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hillingdon-my.sharepoint.com/personal/gcollier_hillingdon_gov_uk/Documents/BCF/Performance/2023-24 Reporting Templates/Q2 2023-24/"/>
    </mc:Choice>
  </mc:AlternateContent>
  <xr:revisionPtr revIDLastSave="73" documentId="8_{443D7156-563C-46A8-AA49-DA73D754525A}" xr6:coauthVersionLast="47" xr6:coauthVersionMax="47" xr10:uidLastSave="{AA7F9E52-208F-41F2-ADE5-A2CA93891DBB}"/>
  <bookViews>
    <workbookView xWindow="-108" yWindow="-108" windowWidth="30936" windowHeight="16896" tabRatio="689" activeTab="9" xr2:uid="{00000000-000D-0000-FFFF-FFFF00000000}"/>
  </bookViews>
  <sheets>
    <sheet name="1. Guidance" sheetId="66" r:id="rId1"/>
    <sheet name="2. Cover" sheetId="2" r:id="rId2"/>
    <sheet name="3. National Conditions" sheetId="21" r:id="rId3"/>
    <sheet name="4. Metrics" sheetId="29" r:id="rId4"/>
    <sheet name="Metrics Q1 data sheet" sheetId="67" state="hidden" r:id="rId5"/>
    <sheet name="Metrics backsheet" sheetId="32" state="hidden" r:id="rId6"/>
    <sheet name="TrustList" sheetId="58" state="hidden" r:id="rId7"/>
    <sheet name="5.1 C&amp;D Guidance &amp; Assumptions" sheetId="61" r:id="rId8"/>
    <sheet name="5.2 C&amp;D Hospital Discharge" sheetId="51" r:id="rId9"/>
    <sheet name="5.3 C&amp;D Community" sheetId="52" r:id="rId10"/>
    <sheet name="PathwayLookup" sheetId="62" state="hidden" r:id="rId11"/>
    <sheet name="BS_HD_Dem" sheetId="53" state="hidden" r:id="rId12"/>
    <sheet name="6. Spend &amp; Activity" sheetId="64" state="hidden" r:id="rId13"/>
    <sheet name="SpendActivityBS" sheetId="65" state="hidden" r:id="rId14"/>
    <sheet name="BS_HD_Cap" sheetId="54" state="hidden" r:id="rId15"/>
    <sheet name="BS_Comm_Dem" sheetId="56" state="hidden" r:id="rId16"/>
    <sheet name="BS_Comm_Cap" sheetId="57" state="hidden" r:id="rId17"/>
    <sheet name="ASC Discharge Fund-due 2nd May" sheetId="48" state="hidden" r:id="rId18"/>
    <sheet name="dfplnexp" sheetId="49" state="hidden" r:id="rId19"/>
    <sheet name="units" sheetId="50" state="hidden" r:id="rId20"/>
    <sheet name="Backsheet for muncher" sheetId="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s>
  <definedNames>
    <definedName name="__123Graph_A" localSheetId="0" hidden="1">'[1]Model inputs'!#REF!</definedName>
    <definedName name="__123Graph_A" localSheetId="7" hidden="1">'[1]Model inputs'!#REF!</definedName>
    <definedName name="__123Graph_A" localSheetId="8" hidden="1">'[1]Model inputs'!#REF!</definedName>
    <definedName name="__123Graph_A" localSheetId="9" hidden="1">'[1]Model inputs'!#REF!</definedName>
    <definedName name="__123Graph_A" localSheetId="12" hidden="1">'[1]Model inputs'!#REF!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0" hidden="1">#REF!</definedName>
    <definedName name="_xlnm._FilterDatabase" localSheetId="11" hidden="1">BS_HD_Dem!$A$1:$U$2437</definedName>
    <definedName name="_xlnm._FilterDatabase" localSheetId="18" hidden="1">dfplnexp!$A$1:$H$2570</definedName>
    <definedName name="_xlnm._FilterDatabase" localSheetId="4" hidden="1">'Metrics Q1 data sheet'!$A$1:$D$151</definedName>
    <definedName name="_xlnm._FilterDatabase" localSheetId="13" hidden="1">SpendActivityBS!$N$1:$AJ$3030</definedName>
    <definedName name="_xlnm._FilterDatabase" hidden="1">#REF!</definedName>
    <definedName name="_Order1" hidden="1">255</definedName>
    <definedName name="_Order2" hidden="1">0</definedName>
    <definedName name="_Regression_Out" localSheetId="0" hidden="1">#REF!</definedName>
    <definedName name="_Regression_Out" localSheetId="7" hidden="1">#REF!</definedName>
    <definedName name="_Regression_Out" localSheetId="8" hidden="1">#REF!</definedName>
    <definedName name="_Regression_Out" localSheetId="9" hidden="1">#REF!</definedName>
    <definedName name="_Regression_Out" localSheetId="12" hidden="1">#REF!</definedName>
    <definedName name="_Regression_Out" hidden="1">#REF!</definedName>
    <definedName name="_Regression_X" localSheetId="0" hidden="1">#REF!</definedName>
    <definedName name="_Regression_X" localSheetId="7" hidden="1">#REF!</definedName>
    <definedName name="_Regression_X" localSheetId="8" hidden="1">#REF!</definedName>
    <definedName name="_Regression_X" localSheetId="9" hidden="1">#REF!</definedName>
    <definedName name="_Regression_X" localSheetId="12" hidden="1">#REF!</definedName>
    <definedName name="_Regression_X" hidden="1">#REF!</definedName>
    <definedName name="_Regression_Y" localSheetId="0" hidden="1">#REF!</definedName>
    <definedName name="_Regression_Y" localSheetId="7" hidden="1">#REF!</definedName>
    <definedName name="_Regression_Y" localSheetId="8" hidden="1">#REF!</definedName>
    <definedName name="_Regression_Y" localSheetId="9" hidden="1">#REF!</definedName>
    <definedName name="_Regression_Y" localSheetId="12" hidden="1">#REF!</definedName>
    <definedName name="_Regression_Y" hidden="1">#REF!</definedName>
    <definedName name="a1_Integrated_Care_Planning_and_Navigation" localSheetId="0">#REF!</definedName>
    <definedName name="a1_Integrated_Care_Planning_and_Navigation" localSheetId="7">#REF!</definedName>
    <definedName name="a1_Integrated_Care_Planning_and_Navigation" localSheetId="8">#REF!</definedName>
    <definedName name="a1_Integrated_Care_Planning_and_Navigation" localSheetId="9">#REF!</definedName>
    <definedName name="a1_Integrated_Care_Planning_and_Navigation" localSheetId="12">#REF!</definedName>
    <definedName name="a1_Integrated_Care_Planning_and_Navigation">#REF!</definedName>
    <definedName name="a10_Prevention___Early_Intervention" localSheetId="0">#REF!</definedName>
    <definedName name="a10_Prevention___Early_Intervention" localSheetId="7">#REF!</definedName>
    <definedName name="a10_Prevention___Early_Intervention" localSheetId="8">#REF!</definedName>
    <definedName name="a10_Prevention___Early_Intervention" localSheetId="9">#REF!</definedName>
    <definedName name="a10_Prevention___Early_Intervention" localSheetId="12">#REF!</definedName>
    <definedName name="a10_Prevention___Early_Intervention">#REF!</definedName>
    <definedName name="a11_Carers_Services" localSheetId="0">#REF!</definedName>
    <definedName name="a11_Carers_Services" localSheetId="7">#REF!</definedName>
    <definedName name="a11_Carers_Services" localSheetId="8">#REF!</definedName>
    <definedName name="a11_Carers_Services" localSheetId="9">#REF!</definedName>
    <definedName name="a11_Carers_Services" localSheetId="12">#REF!</definedName>
    <definedName name="a11_Carers_Services">#REF!</definedName>
    <definedName name="a12_Care_Act_Implementation_Related_Duties" localSheetId="0">#REF!</definedName>
    <definedName name="a12_Care_Act_Implementation_Related_Duties" localSheetId="7">#REF!</definedName>
    <definedName name="a12_Care_Act_Implementation_Related_Duties" localSheetId="8">#REF!</definedName>
    <definedName name="a12_Care_Act_Implementation_Related_Duties" localSheetId="9">#REF!</definedName>
    <definedName name="a12_Care_Act_Implementation_Related_Duties" localSheetId="12">#REF!</definedName>
    <definedName name="a12_Care_Act_Implementation_Related_Duties">#REF!</definedName>
    <definedName name="a13_Assistive_Technologies_and_Equipment" localSheetId="0">#REF!</definedName>
    <definedName name="a13_Assistive_Technologies_and_Equipment" localSheetId="7">#REF!</definedName>
    <definedName name="a13_Assistive_Technologies_and_Equipment" localSheetId="8">#REF!</definedName>
    <definedName name="a13_Assistive_Technologies_and_Equipment" localSheetId="9">#REF!</definedName>
    <definedName name="a13_Assistive_Technologies_and_Equipment" localSheetId="12">#REF!</definedName>
    <definedName name="a13_Assistive_Technologies_and_Equipment">#REF!</definedName>
    <definedName name="a15_Personalised_Budgeting_and_Commissioning" localSheetId="0">#REF!</definedName>
    <definedName name="a15_Personalised_Budgeting_and_Commissioning" localSheetId="7">#REF!</definedName>
    <definedName name="a15_Personalised_Budgeting_and_Commissioning" localSheetId="8">#REF!</definedName>
    <definedName name="a15_Personalised_Budgeting_and_Commissioning" localSheetId="9">#REF!</definedName>
    <definedName name="a15_Personalised_Budgeting_and_Commissioning" localSheetId="12">#REF!</definedName>
    <definedName name="a15_Personalised_Budgeting_and_Commissioning">#REF!</definedName>
    <definedName name="a2_Intermediate_Care_Services" localSheetId="0">#REF!</definedName>
    <definedName name="a2_Intermediate_Care_Services" localSheetId="7">#REF!</definedName>
    <definedName name="a2_Intermediate_Care_Services" localSheetId="8">#REF!</definedName>
    <definedName name="a2_Intermediate_Care_Services" localSheetId="9">#REF!</definedName>
    <definedName name="a2_Intermediate_Care_Services" localSheetId="12">#REF!</definedName>
    <definedName name="a2_Intermediate_Care_Services">#REF!</definedName>
    <definedName name="a4_High_Impact_Change_Model_for_Managing_Transfer_of_Care" localSheetId="0">#REF!</definedName>
    <definedName name="a4_High_Impact_Change_Model_for_Managing_Transfer_of_Care" localSheetId="7">#REF!</definedName>
    <definedName name="a4_High_Impact_Change_Model_for_Managing_Transfer_of_Care" localSheetId="8">#REF!</definedName>
    <definedName name="a4_High_Impact_Change_Model_for_Managing_Transfer_of_Care" localSheetId="9">#REF!</definedName>
    <definedName name="a4_High_Impact_Change_Model_for_Managing_Transfer_of_Care" localSheetId="12">#REF!</definedName>
    <definedName name="a4_High_Impact_Change_Model_for_Managing_Transfer_of_Care">#REF!</definedName>
    <definedName name="a6_DFG_Related_Schemes" localSheetId="0">#REF!</definedName>
    <definedName name="a6_DFG_Related_Schemes" localSheetId="7">#REF!</definedName>
    <definedName name="a6_DFG_Related_Schemes" localSheetId="8">#REF!</definedName>
    <definedName name="a6_DFG_Related_Schemes" localSheetId="9">#REF!</definedName>
    <definedName name="a6_DFG_Related_Schemes" localSheetId="12">#REF!</definedName>
    <definedName name="a6_DFG_Related_Schemes">#REF!</definedName>
    <definedName name="a8_Residential_Placements" localSheetId="0">#REF!</definedName>
    <definedName name="a8_Residential_Placements" localSheetId="7">#REF!</definedName>
    <definedName name="a8_Residential_Placements" localSheetId="8">#REF!</definedName>
    <definedName name="a8_Residential_Placements" localSheetId="9">#REF!</definedName>
    <definedName name="a8_Residential_Placements" localSheetId="12">#REF!</definedName>
    <definedName name="a8_Residential_Placements">#REF!</definedName>
    <definedName name="a9_Enablers_for_Integration" localSheetId="0">#REF!</definedName>
    <definedName name="a9_Enablers_for_Integration" localSheetId="7">#REF!</definedName>
    <definedName name="a9_Enablers_for_Integration" localSheetId="8">#REF!</definedName>
    <definedName name="a9_Enablers_for_Integration" localSheetId="9">#REF!</definedName>
    <definedName name="a9_Enablers_for_Integration" localSheetId="12">#REF!</definedName>
    <definedName name="a9_Enablers_for_Integration">#REF!</definedName>
    <definedName name="asdas" localSheetId="0"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localSheetId="7" hidden="1">{#N/A,#N/A,FALSE,"TMCOMP96";#N/A,#N/A,FALSE,"MAT96";#N/A,#N/A,FALSE,"FANDA96";#N/A,#N/A,FALSE,"INTRAN96";#N/A,#N/A,FALSE,"NAA9697";#N/A,#N/A,FALSE,"ECWEBB";#N/A,#N/A,FALSE,"MFT96";#N/A,#N/A,FALSE,"CTrecon"}</definedName>
    <definedName name="b" localSheetId="8" hidden="1">{#N/A,#N/A,FALSE,"TMCOMP96";#N/A,#N/A,FALSE,"MAT96";#N/A,#N/A,FALSE,"FANDA96";#N/A,#N/A,FALSE,"INTRAN96";#N/A,#N/A,FALSE,"NAA9697";#N/A,#N/A,FALSE,"ECWEBB";#N/A,#N/A,FALSE,"MFT96";#N/A,#N/A,FALSE,"CTrecon"}</definedName>
    <definedName name="b" localSheetId="9" hidden="1">{#N/A,#N/A,FALSE,"TMCOMP96";#N/A,#N/A,FALSE,"MAT96";#N/A,#N/A,FALSE,"FANDA96";#N/A,#N/A,FALSE,"INTRAN96";#N/A,#N/A,FALSE,"NAA9697";#N/A,#N/A,FALSE,"ECWEBB";#N/A,#N/A,FALSE,"MFT96";#N/A,#N/A,FALSE,"CTrecon"}</definedName>
    <definedName name="b" localSheetId="12"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1_Beds" localSheetId="0">#REF!</definedName>
    <definedName name="b1_Beds" localSheetId="7">#REF!</definedName>
    <definedName name="b1_Beds" localSheetId="8">#REF!</definedName>
    <definedName name="b1_Beds" localSheetId="9">#REF!</definedName>
    <definedName name="b1_Beds" localSheetId="12">#REF!</definedName>
    <definedName name="b1_Beds">#REF!</definedName>
    <definedName name="b2_Packages_or_placements_or_hours_of_care" localSheetId="0">#REF!</definedName>
    <definedName name="b2_Packages_or_placements_or_hours_of_care" localSheetId="7">#REF!</definedName>
    <definedName name="b2_Packages_or_placements_or_hours_of_care" localSheetId="8">#REF!</definedName>
    <definedName name="b2_Packages_or_placements_or_hours_of_care" localSheetId="9">#REF!</definedName>
    <definedName name="b2_Packages_or_placements_or_hours_of_care" localSheetId="12">#REF!</definedName>
    <definedName name="b2_Packages_or_placements_or_hours_of_care">#REF!</definedName>
    <definedName name="b3_Planned_service" localSheetId="0">#REF!</definedName>
    <definedName name="b3_Planned_service" localSheetId="7">#REF!</definedName>
    <definedName name="b3_Planned_service" localSheetId="8">#REF!</definedName>
    <definedName name="b3_Planned_service" localSheetId="9">#REF!</definedName>
    <definedName name="b3_Planned_service" localSheetId="12">#REF!</definedName>
    <definedName name="b3_Planned_service">#REF!</definedName>
    <definedName name="b4_Residential_care_placements" localSheetId="0">#REF!</definedName>
    <definedName name="b4_Residential_care_placements" localSheetId="7">#REF!</definedName>
    <definedName name="b4_Residential_care_placements" localSheetId="8">#REF!</definedName>
    <definedName name="b4_Residential_care_placements" localSheetId="9">#REF!</definedName>
    <definedName name="b4_Residential_care_placements" localSheetId="12">#REF!</definedName>
    <definedName name="b4_Residential_care_placements">#REF!</definedName>
    <definedName name="b5_Packages_or_Hours_of_care_or_Placements_or_No._of_beds_or_Planned_service_capacity" localSheetId="0">#REF!</definedName>
    <definedName name="b5_Packages_or_Hours_of_care_or_Placements_or_No._of_beds_or_Planned_service_capacity" localSheetId="7">#REF!</definedName>
    <definedName name="b5_Packages_or_Hours_of_care_or_Placements_or_No._of_beds_or_Planned_service_capacity" localSheetId="8">#REF!</definedName>
    <definedName name="b5_Packages_or_Hours_of_care_or_Placements_or_No._of_beds_or_Planned_service_capacity" localSheetId="9">#REF!</definedName>
    <definedName name="b5_Packages_or_Hours_of_care_or_Placements_or_No._of_beds_or_Planned_service_capacity" localSheetId="12">#REF!</definedName>
    <definedName name="b5_Packages_or_Hours_of_care_or_Placements_or_No._of_beds_or_Planned_service_capacity">#REF!</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localSheetId="0"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ernalData_3" localSheetId="15" hidden="1">BS_Comm_Dem!$C$1:$P$1065</definedName>
    <definedName name="ExternalData_4" localSheetId="14" hidden="1">BS_HD_Cap!$C$1:$S$1065</definedName>
    <definedName name="ExternalData_5" localSheetId="16" hidden="1">BS_Comm_Cap!$C$1:$S$1065</definedName>
    <definedName name="ExtraProfiles" localSheetId="0" hidden="1">#REF!</definedName>
    <definedName name="ExtraProfiles" localSheetId="7" hidden="1">#REF!</definedName>
    <definedName name="ExtraProfiles" localSheetId="8" hidden="1">#REF!</definedName>
    <definedName name="ExtraProfiles" localSheetId="9" hidden="1">#REF!</definedName>
    <definedName name="ExtraProfiles" localSheetId="12" hidden="1">#REF!</definedName>
    <definedName name="ExtraProfiles" hidden="1">#REF!</definedName>
    <definedName name="fg" localSheetId="0"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 hidden="1">#REF!</definedName>
    <definedName name="NewClass1" localSheetId="0" hidden="1">#REF!</definedName>
    <definedName name="NewClass1" localSheetId="7" hidden="1">#REF!</definedName>
    <definedName name="NewClass1" localSheetId="8" hidden="1">#REF!</definedName>
    <definedName name="NewClass1" localSheetId="9" hidden="1">#REF!</definedName>
    <definedName name="NewClass1" localSheetId="12" hidden="1">#REF!</definedName>
    <definedName name="NewClass1" hidden="1">#REF!</definedName>
    <definedName name="Option2" localSheetId="0"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[6]Population!#REF!</definedName>
    <definedName name="Population" localSheetId="0" hidden="1">#REF!</definedName>
    <definedName name="Population" localSheetId="7" hidden="1">#REF!</definedName>
    <definedName name="Population" localSheetId="8" hidden="1">#REF!</definedName>
    <definedName name="Population" localSheetId="9" hidden="1">#REF!</definedName>
    <definedName name="Population" localSheetId="12" hidden="1">#REF!</definedName>
    <definedName name="Population" hidden="1">#REF!</definedName>
    <definedName name="_xlnm.Print_Area" localSheetId="1">'2. Cover'!$A$1:$K$191</definedName>
    <definedName name="Profiles" localSheetId="0" hidden="1">#REF!</definedName>
    <definedName name="Profiles" localSheetId="7" hidden="1">#REF!</definedName>
    <definedName name="Profiles" localSheetId="8" hidden="1">#REF!</definedName>
    <definedName name="Profiles" localSheetId="9" hidden="1">#REF!</definedName>
    <definedName name="Profiles" localSheetId="12" hidden="1">#REF!</definedName>
    <definedName name="Profiles" hidden="1">#REF!</definedName>
    <definedName name="Projections" localSheetId="0" hidden="1">#REF!</definedName>
    <definedName name="Projections" localSheetId="7" hidden="1">#REF!</definedName>
    <definedName name="Projections" localSheetId="8" hidden="1">#REF!</definedName>
    <definedName name="Projections" localSheetId="9" hidden="1">#REF!</definedName>
    <definedName name="Projections" localSheetId="12" hidden="1">#REF!</definedName>
    <definedName name="Projections" hidden="1">#REF!</definedName>
    <definedName name="Results" hidden="1">[7]UK99!$A$1:$A$1</definedName>
    <definedName name="sdf" localSheetId="0"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10" i="56" l="1"/>
  <c r="A1010" i="56" s="1"/>
  <c r="B1011" i="56"/>
  <c r="A1011" i="56" s="1"/>
  <c r="B1012" i="56"/>
  <c r="A1012" i="56" s="1"/>
  <c r="B1013" i="56"/>
  <c r="A1013" i="56" s="1"/>
  <c r="B1014" i="56"/>
  <c r="A1014" i="56" s="1"/>
  <c r="B1015" i="56"/>
  <c r="A1015" i="56" s="1"/>
  <c r="B1016" i="56"/>
  <c r="A1016" i="56" s="1"/>
  <c r="B1017" i="56"/>
  <c r="A1017" i="56" s="1"/>
  <c r="B1018" i="56"/>
  <c r="A1018" i="56" s="1"/>
  <c r="B1019" i="56"/>
  <c r="A1019" i="56" s="1"/>
  <c r="B1020" i="56"/>
  <c r="A1020" i="56" s="1"/>
  <c r="B1021" i="56"/>
  <c r="A1021" i="56" s="1"/>
  <c r="B1022" i="56"/>
  <c r="A1022" i="56" s="1"/>
  <c r="B1023" i="56"/>
  <c r="A1023" i="56" s="1"/>
  <c r="B1024" i="56"/>
  <c r="A1024" i="56" s="1"/>
  <c r="B1025" i="56"/>
  <c r="A1025" i="56" s="1"/>
  <c r="B1026" i="56"/>
  <c r="A1026" i="56" s="1"/>
  <c r="B1027" i="56"/>
  <c r="A1027" i="56" s="1"/>
  <c r="B1028" i="56"/>
  <c r="A1028" i="56" s="1"/>
  <c r="B1029" i="56"/>
  <c r="A1029" i="56" s="1"/>
  <c r="B1030" i="56"/>
  <c r="A1030" i="56" s="1"/>
  <c r="B1031" i="56"/>
  <c r="A1031" i="56" s="1"/>
  <c r="B1032" i="56"/>
  <c r="A1032" i="56" s="1"/>
  <c r="B1033" i="56"/>
  <c r="A1033" i="56" s="1"/>
  <c r="B1034" i="56"/>
  <c r="A1034" i="56" s="1"/>
  <c r="B1035" i="56"/>
  <c r="A1035" i="56" s="1"/>
  <c r="B1036" i="56"/>
  <c r="A1036" i="56" s="1"/>
  <c r="B1037" i="56"/>
  <c r="A1037" i="56" s="1"/>
  <c r="B1038" i="56"/>
  <c r="A1038" i="56" s="1"/>
  <c r="B1039" i="56"/>
  <c r="A1039" i="56" s="1"/>
  <c r="B1040" i="56"/>
  <c r="A1040" i="56" s="1"/>
  <c r="B1041" i="56"/>
  <c r="A1041" i="56" s="1"/>
  <c r="B1042" i="56"/>
  <c r="A1042" i="56" s="1"/>
  <c r="B1043" i="56"/>
  <c r="A1043" i="56" s="1"/>
  <c r="B1044" i="56"/>
  <c r="A1044" i="56" s="1"/>
  <c r="B1045" i="56"/>
  <c r="A1045" i="56" s="1"/>
  <c r="B1046" i="56"/>
  <c r="A1046" i="56" s="1"/>
  <c r="B1047" i="56"/>
  <c r="A1047" i="56" s="1"/>
  <c r="B1048" i="56"/>
  <c r="A1048" i="56" s="1"/>
  <c r="B1049" i="56"/>
  <c r="A1049" i="56" s="1"/>
  <c r="B1050" i="56"/>
  <c r="A1050" i="56" s="1"/>
  <c r="B1051" i="56"/>
  <c r="A1051" i="56" s="1"/>
  <c r="B1052" i="56"/>
  <c r="A1052" i="56" s="1"/>
  <c r="B1053" i="56"/>
  <c r="A1053" i="56" s="1"/>
  <c r="B1054" i="56"/>
  <c r="A1054" i="56" s="1"/>
  <c r="B1055" i="56"/>
  <c r="A1055" i="56" s="1"/>
  <c r="B1056" i="56"/>
  <c r="A1056" i="56" s="1"/>
  <c r="B1057" i="56"/>
  <c r="A1057" i="56" s="1"/>
  <c r="B1058" i="56"/>
  <c r="A1058" i="56" s="1"/>
  <c r="B1059" i="56"/>
  <c r="A1059" i="56" s="1"/>
  <c r="B1060" i="56"/>
  <c r="A1060" i="56" s="1"/>
  <c r="B1061" i="56"/>
  <c r="A1061" i="56" s="1"/>
  <c r="B1062" i="56"/>
  <c r="A1062" i="56" s="1"/>
  <c r="B1063" i="56"/>
  <c r="A1063" i="56" s="1"/>
  <c r="B1064" i="56"/>
  <c r="A1064" i="56" s="1"/>
  <c r="B1065" i="56"/>
  <c r="A1065" i="56" s="1"/>
  <c r="B1010" i="57"/>
  <c r="A1010" i="57" s="1"/>
  <c r="B1011" i="57"/>
  <c r="A1011" i="57" s="1"/>
  <c r="B1012" i="57"/>
  <c r="A1012" i="57" s="1"/>
  <c r="B1013" i="57"/>
  <c r="A1013" i="57" s="1"/>
  <c r="B1014" i="57"/>
  <c r="A1014" i="57" s="1"/>
  <c r="B1015" i="57"/>
  <c r="A1015" i="57" s="1"/>
  <c r="B1016" i="57"/>
  <c r="A1016" i="57" s="1"/>
  <c r="B1017" i="57"/>
  <c r="A1017" i="57" s="1"/>
  <c r="B1018" i="57"/>
  <c r="A1018" i="57" s="1"/>
  <c r="B1019" i="57"/>
  <c r="A1019" i="57" s="1"/>
  <c r="B1020" i="57"/>
  <c r="A1020" i="57" s="1"/>
  <c r="B1021" i="57"/>
  <c r="A1021" i="57" s="1"/>
  <c r="B1022" i="57"/>
  <c r="A1022" i="57" s="1"/>
  <c r="B1023" i="57"/>
  <c r="A1023" i="57" s="1"/>
  <c r="B1024" i="57"/>
  <c r="A1024" i="57" s="1"/>
  <c r="B1025" i="57"/>
  <c r="A1025" i="57" s="1"/>
  <c r="B1026" i="57"/>
  <c r="A1026" i="57" s="1"/>
  <c r="B1027" i="57"/>
  <c r="A1027" i="57" s="1"/>
  <c r="B1028" i="57"/>
  <c r="A1028" i="57" s="1"/>
  <c r="B1029" i="57"/>
  <c r="A1029" i="57" s="1"/>
  <c r="B1030" i="57"/>
  <c r="A1030" i="57" s="1"/>
  <c r="B1031" i="57"/>
  <c r="A1031" i="57" s="1"/>
  <c r="B1032" i="57"/>
  <c r="A1032" i="57" s="1"/>
  <c r="B1033" i="57"/>
  <c r="A1033" i="57" s="1"/>
  <c r="B1034" i="57"/>
  <c r="A1034" i="57" s="1"/>
  <c r="B1035" i="57"/>
  <c r="A1035" i="57" s="1"/>
  <c r="B1036" i="57"/>
  <c r="A1036" i="57" s="1"/>
  <c r="B1037" i="57"/>
  <c r="A1037" i="57" s="1"/>
  <c r="B1038" i="57"/>
  <c r="A1038" i="57" s="1"/>
  <c r="B1039" i="57"/>
  <c r="A1039" i="57" s="1"/>
  <c r="B1040" i="57"/>
  <c r="A1040" i="57" s="1"/>
  <c r="B1041" i="57"/>
  <c r="A1041" i="57" s="1"/>
  <c r="B1042" i="57"/>
  <c r="A1042" i="57" s="1"/>
  <c r="B1043" i="57"/>
  <c r="A1043" i="57" s="1"/>
  <c r="B1044" i="57"/>
  <c r="A1044" i="57" s="1"/>
  <c r="B1045" i="57"/>
  <c r="A1045" i="57" s="1"/>
  <c r="B1046" i="57"/>
  <c r="A1046" i="57" s="1"/>
  <c r="B1047" i="57"/>
  <c r="A1047" i="57" s="1"/>
  <c r="B1048" i="57"/>
  <c r="A1048" i="57" s="1"/>
  <c r="B1049" i="57"/>
  <c r="A1049" i="57" s="1"/>
  <c r="B1050" i="57"/>
  <c r="A1050" i="57" s="1"/>
  <c r="B1051" i="57"/>
  <c r="A1051" i="57" s="1"/>
  <c r="B1052" i="57"/>
  <c r="A1052" i="57" s="1"/>
  <c r="B1053" i="57"/>
  <c r="A1053" i="57" s="1"/>
  <c r="B1054" i="57"/>
  <c r="A1054" i="57" s="1"/>
  <c r="B1055" i="57"/>
  <c r="A1055" i="57" s="1"/>
  <c r="B1056" i="57"/>
  <c r="A1056" i="57" s="1"/>
  <c r="B1057" i="57"/>
  <c r="A1057" i="57" s="1"/>
  <c r="B1058" i="57"/>
  <c r="A1058" i="57" s="1"/>
  <c r="B1059" i="57"/>
  <c r="A1059" i="57" s="1"/>
  <c r="B1060" i="57"/>
  <c r="A1060" i="57" s="1"/>
  <c r="B1061" i="57"/>
  <c r="A1061" i="57" s="1"/>
  <c r="B1062" i="57"/>
  <c r="A1062" i="57" s="1"/>
  <c r="B1063" i="57"/>
  <c r="A1063" i="57" s="1"/>
  <c r="B1064" i="57"/>
  <c r="A1064" i="57" s="1"/>
  <c r="B1065" i="57"/>
  <c r="A1065" i="57" s="1"/>
  <c r="T2" i="53"/>
  <c r="T3" i="53"/>
  <c r="T4" i="53"/>
  <c r="T5" i="53"/>
  <c r="T6" i="53"/>
  <c r="T7" i="53"/>
  <c r="T8" i="53"/>
  <c r="T9" i="53"/>
  <c r="T10" i="53"/>
  <c r="T11" i="53"/>
  <c r="T12" i="53"/>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258" i="53"/>
  <c r="T259" i="53"/>
  <c r="T260" i="53"/>
  <c r="T261" i="53"/>
  <c r="T262" i="53"/>
  <c r="T263" i="53"/>
  <c r="T264" i="53"/>
  <c r="T265" i="53"/>
  <c r="T266" i="53"/>
  <c r="T267" i="53"/>
  <c r="T268" i="53"/>
  <c r="T269" i="53"/>
  <c r="T270" i="53"/>
  <c r="T271" i="53"/>
  <c r="T272" i="53"/>
  <c r="T273" i="53"/>
  <c r="T274" i="53"/>
  <c r="T275" i="53"/>
  <c r="T276" i="53"/>
  <c r="T277" i="53"/>
  <c r="T278" i="53"/>
  <c r="T279" i="53"/>
  <c r="T280" i="53"/>
  <c r="T281" i="53"/>
  <c r="T282" i="53"/>
  <c r="T283" i="53"/>
  <c r="T284" i="53"/>
  <c r="T285" i="53"/>
  <c r="T286" i="53"/>
  <c r="T287" i="53"/>
  <c r="T288" i="53"/>
  <c r="T289" i="53"/>
  <c r="T290" i="53"/>
  <c r="T291" i="53"/>
  <c r="T292" i="53"/>
  <c r="T293" i="53"/>
  <c r="T294" i="53"/>
  <c r="T295" i="53"/>
  <c r="T296" i="53"/>
  <c r="T297" i="53"/>
  <c r="T298" i="53"/>
  <c r="T299" i="53"/>
  <c r="T300" i="53"/>
  <c r="T301" i="53"/>
  <c r="T302" i="53"/>
  <c r="T303" i="53"/>
  <c r="T304" i="53"/>
  <c r="T305" i="53"/>
  <c r="T306" i="53"/>
  <c r="T307" i="53"/>
  <c r="T308" i="53"/>
  <c r="T309" i="53"/>
  <c r="T310" i="53"/>
  <c r="T311" i="53"/>
  <c r="T312" i="53"/>
  <c r="T313" i="53"/>
  <c r="T314" i="53"/>
  <c r="T315" i="53"/>
  <c r="T316" i="53"/>
  <c r="T317" i="53"/>
  <c r="T318" i="53"/>
  <c r="T319" i="53"/>
  <c r="T320" i="53"/>
  <c r="T321" i="53"/>
  <c r="T322" i="53"/>
  <c r="T323" i="53"/>
  <c r="T324" i="53"/>
  <c r="T325" i="53"/>
  <c r="T326" i="53"/>
  <c r="T327" i="53"/>
  <c r="T328" i="53"/>
  <c r="T329" i="53"/>
  <c r="T330" i="53"/>
  <c r="T331" i="53"/>
  <c r="T332" i="53"/>
  <c r="T333" i="53"/>
  <c r="T334" i="53"/>
  <c r="T335" i="53"/>
  <c r="T336" i="53"/>
  <c r="T337" i="53"/>
  <c r="T338" i="53"/>
  <c r="T339" i="53"/>
  <c r="T340" i="53"/>
  <c r="T341" i="53"/>
  <c r="T342" i="53"/>
  <c r="T343" i="53"/>
  <c r="T344" i="53"/>
  <c r="T345" i="53"/>
  <c r="T346" i="53"/>
  <c r="T347" i="53"/>
  <c r="T348" i="53"/>
  <c r="T349" i="53"/>
  <c r="T350" i="53"/>
  <c r="T351" i="53"/>
  <c r="T352" i="53"/>
  <c r="T353" i="53"/>
  <c r="T354" i="53"/>
  <c r="T355" i="53"/>
  <c r="T356" i="53"/>
  <c r="T357" i="53"/>
  <c r="T358" i="53"/>
  <c r="T359" i="53"/>
  <c r="T360" i="53"/>
  <c r="T361" i="53"/>
  <c r="T362" i="53"/>
  <c r="T363" i="53"/>
  <c r="T364" i="53"/>
  <c r="T365" i="53"/>
  <c r="T366" i="53"/>
  <c r="T367" i="53"/>
  <c r="T368" i="53"/>
  <c r="T369" i="53"/>
  <c r="T370" i="53"/>
  <c r="T371" i="53"/>
  <c r="T372" i="53"/>
  <c r="T373" i="53"/>
  <c r="T374" i="53"/>
  <c r="T375" i="53"/>
  <c r="T376" i="53"/>
  <c r="T377" i="53"/>
  <c r="T378" i="53"/>
  <c r="T379" i="53"/>
  <c r="T380" i="53"/>
  <c r="T381" i="53"/>
  <c r="T382" i="53"/>
  <c r="T383" i="53"/>
  <c r="T384" i="53"/>
  <c r="T385" i="53"/>
  <c r="T386" i="53"/>
  <c r="T387" i="53"/>
  <c r="T388" i="53"/>
  <c r="T389" i="53"/>
  <c r="T390" i="53"/>
  <c r="T391" i="53"/>
  <c r="T392" i="53"/>
  <c r="T393" i="53"/>
  <c r="T394" i="53"/>
  <c r="T395" i="53"/>
  <c r="T396" i="53"/>
  <c r="T397" i="53"/>
  <c r="T398" i="53"/>
  <c r="T399" i="53"/>
  <c r="T400" i="53"/>
  <c r="T401" i="53"/>
  <c r="T402" i="53"/>
  <c r="T403" i="53"/>
  <c r="T404" i="53"/>
  <c r="T405" i="53"/>
  <c r="T406" i="53"/>
  <c r="T407" i="53"/>
  <c r="T408" i="53"/>
  <c r="T409" i="53"/>
  <c r="T410" i="53"/>
  <c r="T411" i="53"/>
  <c r="T412" i="53"/>
  <c r="T413" i="53"/>
  <c r="T414" i="53"/>
  <c r="T415" i="53"/>
  <c r="T416" i="53"/>
  <c r="T417" i="53"/>
  <c r="T418" i="53"/>
  <c r="T419" i="53"/>
  <c r="T420" i="53"/>
  <c r="T421" i="53"/>
  <c r="T422" i="53"/>
  <c r="T423" i="53"/>
  <c r="T424" i="53"/>
  <c r="T425" i="53"/>
  <c r="T426" i="53"/>
  <c r="T427" i="53"/>
  <c r="T428" i="53"/>
  <c r="T429" i="53"/>
  <c r="T430" i="53"/>
  <c r="T431" i="53"/>
  <c r="T432" i="53"/>
  <c r="T433" i="53"/>
  <c r="T434" i="53"/>
  <c r="T435" i="53"/>
  <c r="T436" i="53"/>
  <c r="T437" i="53"/>
  <c r="T438" i="53"/>
  <c r="T439" i="53"/>
  <c r="T440" i="53"/>
  <c r="T441" i="53"/>
  <c r="T442" i="53"/>
  <c r="T443" i="53"/>
  <c r="T444" i="53"/>
  <c r="T445" i="53"/>
  <c r="T446" i="53"/>
  <c r="T447" i="53"/>
  <c r="T448" i="53"/>
  <c r="T449" i="53"/>
  <c r="T450" i="53"/>
  <c r="T451" i="53"/>
  <c r="T452" i="53"/>
  <c r="T453" i="53"/>
  <c r="T454" i="53"/>
  <c r="T455" i="53"/>
  <c r="T456" i="53"/>
  <c r="T457" i="53"/>
  <c r="T458" i="53"/>
  <c r="T459" i="53"/>
  <c r="T460" i="53"/>
  <c r="T461" i="53"/>
  <c r="T462" i="53"/>
  <c r="T463" i="53"/>
  <c r="T464" i="53"/>
  <c r="T465" i="53"/>
  <c r="T466" i="53"/>
  <c r="T467" i="53"/>
  <c r="T468" i="53"/>
  <c r="T469" i="53"/>
  <c r="T470" i="53"/>
  <c r="T471" i="53"/>
  <c r="T472" i="53"/>
  <c r="T473" i="53"/>
  <c r="T474" i="53"/>
  <c r="T475" i="53"/>
  <c r="T476" i="53"/>
  <c r="T477" i="53"/>
  <c r="T478" i="53"/>
  <c r="T479" i="53"/>
  <c r="T480" i="53"/>
  <c r="T481" i="53"/>
  <c r="T482" i="53"/>
  <c r="T483" i="53"/>
  <c r="T484" i="53"/>
  <c r="T485" i="53"/>
  <c r="T486" i="53"/>
  <c r="T487" i="53"/>
  <c r="T488" i="53"/>
  <c r="T489" i="53"/>
  <c r="T490" i="53"/>
  <c r="T491" i="53"/>
  <c r="T492" i="53"/>
  <c r="T493" i="53"/>
  <c r="T494" i="53"/>
  <c r="T495" i="53"/>
  <c r="T496" i="53"/>
  <c r="T497" i="53"/>
  <c r="T498" i="53"/>
  <c r="T499" i="53"/>
  <c r="T500" i="53"/>
  <c r="T501" i="53"/>
  <c r="T502" i="53"/>
  <c r="T503" i="53"/>
  <c r="T504" i="53"/>
  <c r="T505" i="53"/>
  <c r="T506" i="53"/>
  <c r="T507" i="53"/>
  <c r="T508" i="53"/>
  <c r="T509" i="53"/>
  <c r="T510" i="53"/>
  <c r="T511" i="53"/>
  <c r="T512" i="53"/>
  <c r="T513" i="53"/>
  <c r="T514" i="53"/>
  <c r="T515" i="53"/>
  <c r="T516" i="53"/>
  <c r="T517" i="53"/>
  <c r="T518" i="53"/>
  <c r="T519" i="53"/>
  <c r="T520" i="53"/>
  <c r="T521" i="53"/>
  <c r="T522" i="53"/>
  <c r="T523" i="53"/>
  <c r="T524" i="53"/>
  <c r="T525" i="53"/>
  <c r="T526" i="53"/>
  <c r="T527" i="53"/>
  <c r="T528" i="53"/>
  <c r="T529" i="53"/>
  <c r="T530" i="53"/>
  <c r="T531" i="53"/>
  <c r="T532" i="53"/>
  <c r="T533" i="53"/>
  <c r="T534" i="53"/>
  <c r="T535" i="53"/>
  <c r="T536" i="53"/>
  <c r="T537" i="53"/>
  <c r="T538" i="53"/>
  <c r="T539" i="53"/>
  <c r="T540" i="53"/>
  <c r="T541" i="53"/>
  <c r="T542" i="53"/>
  <c r="T543" i="53"/>
  <c r="T544" i="53"/>
  <c r="T545" i="53"/>
  <c r="T546" i="53"/>
  <c r="T547" i="53"/>
  <c r="T548" i="53"/>
  <c r="T549" i="53"/>
  <c r="T550" i="53"/>
  <c r="T551" i="53"/>
  <c r="T552" i="53"/>
  <c r="T553" i="53"/>
  <c r="T554" i="53"/>
  <c r="T555" i="53"/>
  <c r="T556" i="53"/>
  <c r="T557" i="53"/>
  <c r="T558" i="53"/>
  <c r="T559" i="53"/>
  <c r="T560" i="53"/>
  <c r="T561" i="53"/>
  <c r="T562" i="53"/>
  <c r="T563" i="53"/>
  <c r="T564" i="53"/>
  <c r="T565" i="53"/>
  <c r="T566" i="53"/>
  <c r="T567" i="53"/>
  <c r="T568" i="53"/>
  <c r="T569" i="53"/>
  <c r="T570" i="53"/>
  <c r="T571" i="53"/>
  <c r="T572" i="53"/>
  <c r="T573" i="53"/>
  <c r="T574" i="53"/>
  <c r="T575" i="53"/>
  <c r="T576" i="53"/>
  <c r="T577" i="53"/>
  <c r="T578" i="53"/>
  <c r="T579" i="53"/>
  <c r="T580" i="53"/>
  <c r="T581" i="53"/>
  <c r="T582" i="53"/>
  <c r="T583" i="53"/>
  <c r="T584" i="53"/>
  <c r="T585" i="53"/>
  <c r="T586" i="53"/>
  <c r="T587" i="53"/>
  <c r="T588" i="53"/>
  <c r="T589" i="53"/>
  <c r="T590" i="53"/>
  <c r="T591" i="53"/>
  <c r="T592" i="53"/>
  <c r="T593" i="53"/>
  <c r="T594" i="53"/>
  <c r="T595" i="53"/>
  <c r="T596" i="53"/>
  <c r="T597" i="53"/>
  <c r="T598" i="53"/>
  <c r="T599" i="53"/>
  <c r="T600" i="53"/>
  <c r="T601" i="53"/>
  <c r="T602" i="53"/>
  <c r="T603" i="53"/>
  <c r="T604" i="53"/>
  <c r="T605" i="53"/>
  <c r="T606" i="53"/>
  <c r="T607" i="53"/>
  <c r="T608" i="53"/>
  <c r="T609" i="53"/>
  <c r="T610" i="53"/>
  <c r="T611" i="53"/>
  <c r="T612" i="53"/>
  <c r="T613" i="53"/>
  <c r="T614" i="53"/>
  <c r="T615" i="53"/>
  <c r="T616" i="53"/>
  <c r="T617" i="53"/>
  <c r="T618" i="53"/>
  <c r="T619" i="53"/>
  <c r="T620" i="53"/>
  <c r="T621" i="53"/>
  <c r="T622" i="53"/>
  <c r="T623" i="53"/>
  <c r="T624" i="53"/>
  <c r="T625" i="53"/>
  <c r="T626" i="53"/>
  <c r="T627" i="53"/>
  <c r="T628" i="53"/>
  <c r="T629" i="53"/>
  <c r="T630" i="53"/>
  <c r="T631" i="53"/>
  <c r="T632" i="53"/>
  <c r="T633" i="53"/>
  <c r="T634" i="53"/>
  <c r="T635" i="53"/>
  <c r="T636" i="53"/>
  <c r="T637" i="53"/>
  <c r="T638" i="53"/>
  <c r="T639" i="53"/>
  <c r="T640" i="53"/>
  <c r="T641" i="53"/>
  <c r="T642" i="53"/>
  <c r="T643" i="53"/>
  <c r="T644" i="53"/>
  <c r="T645" i="53"/>
  <c r="T646" i="53"/>
  <c r="T647" i="53"/>
  <c r="T648" i="53"/>
  <c r="T649" i="53"/>
  <c r="T650" i="53"/>
  <c r="T651" i="53"/>
  <c r="T652" i="53"/>
  <c r="T653" i="53"/>
  <c r="T654" i="53"/>
  <c r="T655" i="53"/>
  <c r="T656" i="53"/>
  <c r="T657" i="53"/>
  <c r="T658" i="53"/>
  <c r="T659" i="53"/>
  <c r="T660" i="53"/>
  <c r="T661" i="53"/>
  <c r="T662" i="53"/>
  <c r="T663" i="53"/>
  <c r="T664" i="53"/>
  <c r="T665" i="53"/>
  <c r="T666" i="53"/>
  <c r="T667" i="53"/>
  <c r="T668" i="53"/>
  <c r="T669" i="53"/>
  <c r="T670" i="53"/>
  <c r="T671" i="53"/>
  <c r="T672" i="53"/>
  <c r="T673" i="53"/>
  <c r="T674" i="53"/>
  <c r="T675" i="53"/>
  <c r="T676" i="53"/>
  <c r="T677" i="53"/>
  <c r="T678" i="53"/>
  <c r="T679" i="53"/>
  <c r="T680" i="53"/>
  <c r="T681" i="53"/>
  <c r="T682" i="53"/>
  <c r="T683" i="53"/>
  <c r="T684" i="53"/>
  <c r="T685" i="53"/>
  <c r="T686" i="53"/>
  <c r="T687" i="53"/>
  <c r="T688" i="53"/>
  <c r="T689" i="53"/>
  <c r="T690" i="53"/>
  <c r="T691" i="53"/>
  <c r="T692" i="53"/>
  <c r="T693" i="53"/>
  <c r="T694" i="53"/>
  <c r="T695" i="53"/>
  <c r="T696" i="53"/>
  <c r="T697" i="53"/>
  <c r="T698" i="53"/>
  <c r="T699" i="53"/>
  <c r="T700" i="53"/>
  <c r="T701" i="53"/>
  <c r="T702" i="53"/>
  <c r="T703" i="53"/>
  <c r="T704" i="53"/>
  <c r="T705" i="53"/>
  <c r="T706" i="53"/>
  <c r="T707" i="53"/>
  <c r="T708" i="53"/>
  <c r="T709" i="53"/>
  <c r="T710" i="53"/>
  <c r="T711" i="53"/>
  <c r="T712" i="53"/>
  <c r="T713" i="53"/>
  <c r="T714" i="53"/>
  <c r="T715" i="53"/>
  <c r="T716" i="53"/>
  <c r="T717" i="53"/>
  <c r="T718" i="53"/>
  <c r="T719" i="53"/>
  <c r="T720" i="53"/>
  <c r="T721" i="53"/>
  <c r="T722" i="53"/>
  <c r="T723" i="53"/>
  <c r="T724" i="53"/>
  <c r="T725" i="53"/>
  <c r="T726" i="53"/>
  <c r="T727" i="53"/>
  <c r="T728" i="53"/>
  <c r="T729" i="53"/>
  <c r="T730" i="53"/>
  <c r="T731" i="53"/>
  <c r="T732" i="53"/>
  <c r="T733" i="53"/>
  <c r="T734" i="53"/>
  <c r="T735" i="53"/>
  <c r="T736" i="53"/>
  <c r="T737" i="53"/>
  <c r="T738" i="53"/>
  <c r="T739" i="53"/>
  <c r="T740" i="53"/>
  <c r="T741" i="53"/>
  <c r="T742" i="53"/>
  <c r="T743" i="53"/>
  <c r="T744" i="53"/>
  <c r="T745" i="53"/>
  <c r="T746" i="53"/>
  <c r="T747" i="53"/>
  <c r="T748" i="53"/>
  <c r="T749" i="53"/>
  <c r="T750" i="53"/>
  <c r="T751" i="53"/>
  <c r="T752" i="53"/>
  <c r="T753" i="53"/>
  <c r="T754" i="53"/>
  <c r="T755" i="53"/>
  <c r="T756" i="53"/>
  <c r="T757" i="53"/>
  <c r="T758" i="53"/>
  <c r="T759" i="53"/>
  <c r="T760" i="53"/>
  <c r="T761" i="53"/>
  <c r="T762" i="53"/>
  <c r="T763" i="53"/>
  <c r="T764" i="53"/>
  <c r="T765" i="53"/>
  <c r="T766" i="53"/>
  <c r="T767" i="53"/>
  <c r="T768" i="53"/>
  <c r="T769" i="53"/>
  <c r="T770" i="53"/>
  <c r="T771" i="53"/>
  <c r="T772" i="53"/>
  <c r="T773" i="53"/>
  <c r="T774" i="53"/>
  <c r="T775" i="53"/>
  <c r="T776" i="53"/>
  <c r="T777" i="53"/>
  <c r="T778" i="53"/>
  <c r="T779" i="53"/>
  <c r="T780" i="53"/>
  <c r="T781" i="53"/>
  <c r="T782" i="53"/>
  <c r="T783" i="53"/>
  <c r="T784" i="53"/>
  <c r="T785" i="53"/>
  <c r="T786" i="53"/>
  <c r="T787" i="53"/>
  <c r="T788" i="53"/>
  <c r="T789" i="53"/>
  <c r="T790" i="53"/>
  <c r="T791" i="53"/>
  <c r="T792" i="53"/>
  <c r="T793" i="53"/>
  <c r="T794" i="53"/>
  <c r="T795" i="53"/>
  <c r="T796" i="53"/>
  <c r="T797" i="53"/>
  <c r="T798" i="53"/>
  <c r="T799" i="53"/>
  <c r="T800" i="53"/>
  <c r="T801" i="53"/>
  <c r="T802" i="53"/>
  <c r="T803" i="53"/>
  <c r="T804" i="53"/>
  <c r="T805" i="53"/>
  <c r="T806" i="53"/>
  <c r="T807" i="53"/>
  <c r="T808" i="53"/>
  <c r="T809" i="53"/>
  <c r="T810" i="53"/>
  <c r="T811" i="53"/>
  <c r="T812" i="53"/>
  <c r="T813" i="53"/>
  <c r="T814" i="53"/>
  <c r="T815" i="53"/>
  <c r="T816" i="53"/>
  <c r="T817" i="53"/>
  <c r="T818" i="53"/>
  <c r="T819" i="53"/>
  <c r="T820" i="53"/>
  <c r="T821" i="53"/>
  <c r="T822" i="53"/>
  <c r="T823" i="53"/>
  <c r="T824" i="53"/>
  <c r="T825" i="53"/>
  <c r="T826" i="53"/>
  <c r="T827" i="53"/>
  <c r="T828" i="53"/>
  <c r="T829" i="53"/>
  <c r="T830" i="53"/>
  <c r="T831" i="53"/>
  <c r="T832" i="53"/>
  <c r="T833" i="53"/>
  <c r="T834" i="53"/>
  <c r="T835" i="53"/>
  <c r="T836" i="53"/>
  <c r="T837" i="53"/>
  <c r="T838" i="53"/>
  <c r="T839" i="53"/>
  <c r="T840" i="53"/>
  <c r="T841" i="53"/>
  <c r="T842" i="53"/>
  <c r="T843" i="53"/>
  <c r="T844" i="53"/>
  <c r="T845" i="53"/>
  <c r="T846" i="53"/>
  <c r="T847" i="53"/>
  <c r="T848" i="53"/>
  <c r="T849" i="53"/>
  <c r="T850" i="53"/>
  <c r="T851" i="53"/>
  <c r="T852" i="53"/>
  <c r="T853" i="53"/>
  <c r="T854" i="53"/>
  <c r="T855" i="53"/>
  <c r="T856" i="53"/>
  <c r="T857" i="53"/>
  <c r="T858" i="53"/>
  <c r="T859" i="53"/>
  <c r="T860" i="53"/>
  <c r="T861" i="53"/>
  <c r="T862" i="53"/>
  <c r="T863" i="53"/>
  <c r="T864" i="53"/>
  <c r="T865" i="53"/>
  <c r="T866" i="53"/>
  <c r="T867" i="53"/>
  <c r="T868" i="53"/>
  <c r="T869" i="53"/>
  <c r="T870" i="53"/>
  <c r="T871" i="53"/>
  <c r="T872" i="53"/>
  <c r="T873" i="53"/>
  <c r="T874" i="53"/>
  <c r="T875" i="53"/>
  <c r="T876" i="53"/>
  <c r="T877" i="53"/>
  <c r="T878" i="53"/>
  <c r="T879" i="53"/>
  <c r="T880" i="53"/>
  <c r="T881" i="53"/>
  <c r="T882" i="53"/>
  <c r="T883" i="53"/>
  <c r="T884" i="53"/>
  <c r="T885" i="53"/>
  <c r="T886" i="53"/>
  <c r="T887" i="53"/>
  <c r="T888" i="53"/>
  <c r="T889" i="53"/>
  <c r="T890" i="53"/>
  <c r="T891" i="53"/>
  <c r="T892" i="53"/>
  <c r="T893" i="53"/>
  <c r="T894" i="53"/>
  <c r="T895" i="53"/>
  <c r="T896" i="53"/>
  <c r="T897" i="53"/>
  <c r="T898" i="53"/>
  <c r="T899" i="53"/>
  <c r="T900" i="53"/>
  <c r="T901" i="53"/>
  <c r="T902" i="53"/>
  <c r="T903" i="53"/>
  <c r="T904" i="53"/>
  <c r="T905" i="53"/>
  <c r="T906" i="53"/>
  <c r="T907" i="53"/>
  <c r="T908" i="53"/>
  <c r="T909" i="53"/>
  <c r="T910" i="53"/>
  <c r="T911" i="53"/>
  <c r="T912" i="53"/>
  <c r="T913" i="53"/>
  <c r="T914" i="53"/>
  <c r="T915" i="53"/>
  <c r="T916" i="53"/>
  <c r="T917" i="53"/>
  <c r="T918" i="53"/>
  <c r="T919" i="53"/>
  <c r="T920" i="53"/>
  <c r="T921" i="53"/>
  <c r="T922" i="53"/>
  <c r="T923" i="53"/>
  <c r="T924" i="53"/>
  <c r="T925" i="53"/>
  <c r="T926" i="53"/>
  <c r="T927" i="53"/>
  <c r="T928" i="53"/>
  <c r="T929" i="53"/>
  <c r="T930" i="53"/>
  <c r="T931" i="53"/>
  <c r="T932" i="53"/>
  <c r="T933" i="53"/>
  <c r="T934" i="53"/>
  <c r="T935" i="53"/>
  <c r="T936" i="53"/>
  <c r="T937" i="53"/>
  <c r="T938" i="53"/>
  <c r="T939" i="53"/>
  <c r="T940" i="53"/>
  <c r="T941" i="53"/>
  <c r="T942" i="53"/>
  <c r="T943" i="53"/>
  <c r="T944" i="53"/>
  <c r="T945" i="53"/>
  <c r="T946" i="53"/>
  <c r="T947" i="53"/>
  <c r="T948" i="53"/>
  <c r="T949" i="53"/>
  <c r="T950" i="53"/>
  <c r="T951" i="53"/>
  <c r="T952" i="53"/>
  <c r="T953" i="53"/>
  <c r="T954" i="53"/>
  <c r="T955" i="53"/>
  <c r="T956" i="53"/>
  <c r="T957" i="53"/>
  <c r="T958" i="53"/>
  <c r="T959" i="53"/>
  <c r="T960" i="53"/>
  <c r="T961" i="53"/>
  <c r="T962" i="53"/>
  <c r="T963" i="53"/>
  <c r="T964" i="53"/>
  <c r="T965" i="53"/>
  <c r="T966" i="53"/>
  <c r="T967" i="53"/>
  <c r="T968" i="53"/>
  <c r="T969" i="53"/>
  <c r="T970" i="53"/>
  <c r="T971" i="53"/>
  <c r="T972" i="53"/>
  <c r="T973" i="53"/>
  <c r="T974" i="53"/>
  <c r="T975" i="53"/>
  <c r="T976" i="53"/>
  <c r="T977" i="53"/>
  <c r="T978" i="53"/>
  <c r="T979" i="53"/>
  <c r="T980" i="53"/>
  <c r="T981" i="53"/>
  <c r="T982" i="53"/>
  <c r="T983" i="53"/>
  <c r="T984" i="53"/>
  <c r="T985" i="53"/>
  <c r="T986" i="53"/>
  <c r="T987" i="53"/>
  <c r="T988" i="53"/>
  <c r="T989" i="53"/>
  <c r="T990" i="53"/>
  <c r="T991" i="53"/>
  <c r="T992" i="53"/>
  <c r="T993" i="53"/>
  <c r="T994" i="53"/>
  <c r="T995" i="53"/>
  <c r="T996" i="53"/>
  <c r="T997" i="53"/>
  <c r="T998" i="53"/>
  <c r="T999" i="53"/>
  <c r="T1000" i="53"/>
  <c r="T1001" i="53"/>
  <c r="T1002" i="53"/>
  <c r="T1003" i="53"/>
  <c r="T1004" i="53"/>
  <c r="T1005" i="53"/>
  <c r="T1006" i="53"/>
  <c r="T1007" i="53"/>
  <c r="T1008" i="53"/>
  <c r="T1009" i="53"/>
  <c r="T1010" i="53"/>
  <c r="T1011" i="53"/>
  <c r="T1012" i="53"/>
  <c r="T1013" i="53"/>
  <c r="T1014" i="53"/>
  <c r="T1015" i="53"/>
  <c r="T1016" i="53"/>
  <c r="T1017" i="53"/>
  <c r="T1018" i="53"/>
  <c r="T1019" i="53"/>
  <c r="T1020" i="53"/>
  <c r="T1021" i="53"/>
  <c r="T1022" i="53"/>
  <c r="T1023" i="53"/>
  <c r="T1024" i="53"/>
  <c r="T1025" i="53"/>
  <c r="T1026" i="53"/>
  <c r="T1027" i="53"/>
  <c r="T1028" i="53"/>
  <c r="T1029" i="53"/>
  <c r="T1030" i="53"/>
  <c r="T1031" i="53"/>
  <c r="T1032" i="53"/>
  <c r="T1033" i="53"/>
  <c r="T1034" i="53"/>
  <c r="T1035" i="53"/>
  <c r="T1036" i="53"/>
  <c r="T1037" i="53"/>
  <c r="T1038" i="53"/>
  <c r="T1039" i="53"/>
  <c r="T1040" i="53"/>
  <c r="T1041" i="53"/>
  <c r="T1042" i="53"/>
  <c r="T1043" i="53"/>
  <c r="T1044" i="53"/>
  <c r="T1045" i="53"/>
  <c r="T1046" i="53"/>
  <c r="T1047" i="53"/>
  <c r="T1048" i="53"/>
  <c r="T1049" i="53"/>
  <c r="T1050" i="53"/>
  <c r="T1051" i="53"/>
  <c r="T1052" i="53"/>
  <c r="T1053" i="53"/>
  <c r="T1054" i="53"/>
  <c r="T1055" i="53"/>
  <c r="T1056" i="53"/>
  <c r="T1057" i="53"/>
  <c r="T1058" i="53"/>
  <c r="T1059" i="53"/>
  <c r="T1060" i="53"/>
  <c r="T1061" i="53"/>
  <c r="T1062" i="53"/>
  <c r="T1063" i="53"/>
  <c r="T1064" i="53"/>
  <c r="T1065" i="53"/>
  <c r="T1066" i="53"/>
  <c r="T1067" i="53"/>
  <c r="T1068" i="53"/>
  <c r="T1069" i="53"/>
  <c r="T1070" i="53"/>
  <c r="T1071" i="53"/>
  <c r="T1072" i="53"/>
  <c r="T1073" i="53"/>
  <c r="T1074" i="53"/>
  <c r="T1075" i="53"/>
  <c r="T1076" i="53"/>
  <c r="T1077" i="53"/>
  <c r="T1078" i="53"/>
  <c r="T1079" i="53"/>
  <c r="T1080" i="53"/>
  <c r="T1081" i="53"/>
  <c r="T1082" i="53"/>
  <c r="T1083" i="53"/>
  <c r="T1084" i="53"/>
  <c r="T1085" i="53"/>
  <c r="T1086" i="53"/>
  <c r="T1087" i="53"/>
  <c r="T1088" i="53"/>
  <c r="T1089" i="53"/>
  <c r="T1090" i="53"/>
  <c r="T1091" i="53"/>
  <c r="T1092" i="53"/>
  <c r="T1093" i="53"/>
  <c r="T1094" i="53"/>
  <c r="T1095" i="53"/>
  <c r="T1096" i="53"/>
  <c r="T1097" i="53"/>
  <c r="T1098" i="53"/>
  <c r="T1099" i="53"/>
  <c r="T1100" i="53"/>
  <c r="T1101" i="53"/>
  <c r="T1102" i="53"/>
  <c r="T1103" i="53"/>
  <c r="T1104" i="53"/>
  <c r="T1105" i="53"/>
  <c r="T1106" i="53"/>
  <c r="T1107" i="53"/>
  <c r="T1108" i="53"/>
  <c r="T1109" i="53"/>
  <c r="T1110" i="53"/>
  <c r="T1111" i="53"/>
  <c r="T1112" i="53"/>
  <c r="T1113" i="53"/>
  <c r="T1114" i="53"/>
  <c r="T1115" i="53"/>
  <c r="T1116" i="53"/>
  <c r="T1117" i="53"/>
  <c r="T1118" i="53"/>
  <c r="T1119" i="53"/>
  <c r="T1120" i="53"/>
  <c r="T1121" i="53"/>
  <c r="T1122" i="53"/>
  <c r="T1123" i="53"/>
  <c r="T1124" i="53"/>
  <c r="T1125" i="53"/>
  <c r="T1126" i="53"/>
  <c r="T1127" i="53"/>
  <c r="T1128" i="53"/>
  <c r="T1129" i="53"/>
  <c r="T1130" i="53"/>
  <c r="T1131" i="53"/>
  <c r="T1132" i="53"/>
  <c r="T1133" i="53"/>
  <c r="T1134" i="53"/>
  <c r="T1135" i="53"/>
  <c r="T1136" i="53"/>
  <c r="T1137" i="53"/>
  <c r="T1138" i="53"/>
  <c r="T1139" i="53"/>
  <c r="T1140" i="53"/>
  <c r="T1141" i="53"/>
  <c r="T1142" i="53"/>
  <c r="T1143" i="53"/>
  <c r="T1144" i="53"/>
  <c r="T1145" i="53"/>
  <c r="T1146" i="53"/>
  <c r="T1147" i="53"/>
  <c r="T1148" i="53"/>
  <c r="T1149" i="53"/>
  <c r="T1150" i="53"/>
  <c r="T1151" i="53"/>
  <c r="T1152" i="53"/>
  <c r="T1153" i="53"/>
  <c r="T1154" i="53"/>
  <c r="T1155" i="53"/>
  <c r="T1156" i="53"/>
  <c r="T1157" i="53"/>
  <c r="T1158" i="53"/>
  <c r="T1159" i="53"/>
  <c r="T1160" i="53"/>
  <c r="T1161" i="53"/>
  <c r="T1162" i="53"/>
  <c r="T1163" i="53"/>
  <c r="T1164" i="53"/>
  <c r="T1165" i="53"/>
  <c r="T1166" i="53"/>
  <c r="T1167" i="53"/>
  <c r="T1168" i="53"/>
  <c r="T1169" i="53"/>
  <c r="T1170" i="53"/>
  <c r="T1171" i="53"/>
  <c r="T1172" i="53"/>
  <c r="T1173" i="53"/>
  <c r="T1174" i="53"/>
  <c r="T1175" i="53"/>
  <c r="T1176" i="53"/>
  <c r="T1177" i="53"/>
  <c r="T1178" i="53"/>
  <c r="T1179" i="53"/>
  <c r="T1180" i="53"/>
  <c r="T1181" i="53"/>
  <c r="T1182" i="53"/>
  <c r="T1183" i="53"/>
  <c r="T1184" i="53"/>
  <c r="T1185" i="53"/>
  <c r="T1186" i="53"/>
  <c r="T1187" i="53"/>
  <c r="T1188" i="53"/>
  <c r="T1189" i="53"/>
  <c r="T1190" i="53"/>
  <c r="T1191" i="53"/>
  <c r="T1192" i="53"/>
  <c r="T1193" i="53"/>
  <c r="T1194" i="53"/>
  <c r="T1195" i="53"/>
  <c r="T1196" i="53"/>
  <c r="T1197" i="53"/>
  <c r="T1198" i="53"/>
  <c r="T1199" i="53"/>
  <c r="T1200" i="53"/>
  <c r="T1201" i="53"/>
  <c r="T1202" i="53"/>
  <c r="T1203" i="53"/>
  <c r="T1204" i="53"/>
  <c r="T1205" i="53"/>
  <c r="T1206" i="53"/>
  <c r="T1207" i="53"/>
  <c r="T1208" i="53"/>
  <c r="T1209" i="53"/>
  <c r="T1210" i="53"/>
  <c r="T1211" i="53"/>
  <c r="T1212" i="53"/>
  <c r="T1213" i="53"/>
  <c r="T1214" i="53"/>
  <c r="T1215" i="53"/>
  <c r="T1216" i="53"/>
  <c r="T1217" i="53"/>
  <c r="T1218" i="53"/>
  <c r="T1219" i="53"/>
  <c r="T1220" i="53"/>
  <c r="T1221" i="53"/>
  <c r="T1222" i="53"/>
  <c r="T1223" i="53"/>
  <c r="T1224" i="53"/>
  <c r="T1225" i="53"/>
  <c r="T1226" i="53"/>
  <c r="T1227" i="53"/>
  <c r="T1228" i="53"/>
  <c r="T1229" i="53"/>
  <c r="T1230" i="53"/>
  <c r="T1231" i="53"/>
  <c r="T1232" i="53"/>
  <c r="T1233" i="53"/>
  <c r="T1234" i="53"/>
  <c r="T1235" i="53"/>
  <c r="T1236" i="53"/>
  <c r="T1237" i="53"/>
  <c r="T1238" i="53"/>
  <c r="T1239" i="53"/>
  <c r="T1240" i="53"/>
  <c r="T1241" i="53"/>
  <c r="T1242" i="53"/>
  <c r="T1243" i="53"/>
  <c r="T1244" i="53"/>
  <c r="T1245" i="53"/>
  <c r="T1246" i="53"/>
  <c r="T1247" i="53"/>
  <c r="T1248" i="53"/>
  <c r="T1249" i="53"/>
  <c r="T1250" i="53"/>
  <c r="T1251" i="53"/>
  <c r="T1252" i="53"/>
  <c r="T1253" i="53"/>
  <c r="T1254" i="53"/>
  <c r="T1255" i="53"/>
  <c r="T1256" i="53"/>
  <c r="T1257" i="53"/>
  <c r="T1258" i="53"/>
  <c r="T1259" i="53"/>
  <c r="T1260" i="53"/>
  <c r="T1261" i="53"/>
  <c r="T1262" i="53"/>
  <c r="T1263" i="53"/>
  <c r="T1264" i="53"/>
  <c r="T1265" i="53"/>
  <c r="T1266" i="53"/>
  <c r="T1267" i="53"/>
  <c r="T1268" i="53"/>
  <c r="T1269" i="53"/>
  <c r="T1270" i="53"/>
  <c r="T1271" i="53"/>
  <c r="T1272" i="53"/>
  <c r="T1273" i="53"/>
  <c r="T1274" i="53"/>
  <c r="T1275" i="53"/>
  <c r="T1276" i="53"/>
  <c r="T1277" i="53"/>
  <c r="T1278" i="53"/>
  <c r="T1279" i="53"/>
  <c r="T1280" i="53"/>
  <c r="T1281" i="53"/>
  <c r="T1282" i="53"/>
  <c r="T1283" i="53"/>
  <c r="T1284" i="53"/>
  <c r="T1285" i="53"/>
  <c r="T1286" i="53"/>
  <c r="T1287" i="53"/>
  <c r="T1288" i="53"/>
  <c r="T1289" i="53"/>
  <c r="T1290" i="53"/>
  <c r="T1291" i="53"/>
  <c r="T1292" i="53"/>
  <c r="T1293" i="53"/>
  <c r="T1294" i="53"/>
  <c r="T1295" i="53"/>
  <c r="T1296" i="53"/>
  <c r="T1297" i="53"/>
  <c r="T1298" i="53"/>
  <c r="T1299" i="53"/>
  <c r="T1300" i="53"/>
  <c r="T1301" i="53"/>
  <c r="T1302" i="53"/>
  <c r="T1303" i="53"/>
  <c r="T1304" i="53"/>
  <c r="T1305" i="53"/>
  <c r="T1306" i="53"/>
  <c r="T1307" i="53"/>
  <c r="T1308" i="53"/>
  <c r="T1309" i="53"/>
  <c r="T1310" i="53"/>
  <c r="T1311" i="53"/>
  <c r="T1312" i="53"/>
  <c r="T1313" i="53"/>
  <c r="T1314" i="53"/>
  <c r="T1315" i="53"/>
  <c r="T1316" i="53"/>
  <c r="T1317" i="53"/>
  <c r="T1318" i="53"/>
  <c r="T1319" i="53"/>
  <c r="T1320" i="53"/>
  <c r="T1321" i="53"/>
  <c r="T1322" i="53"/>
  <c r="T1323" i="53"/>
  <c r="T1324" i="53"/>
  <c r="T1325" i="53"/>
  <c r="T1326" i="53"/>
  <c r="T1327" i="53"/>
  <c r="T1328" i="53"/>
  <c r="T1329" i="53"/>
  <c r="T1330" i="53"/>
  <c r="T1331" i="53"/>
  <c r="T1332" i="53"/>
  <c r="T1333" i="53"/>
  <c r="T1334" i="53"/>
  <c r="T1335" i="53"/>
  <c r="T1336" i="53"/>
  <c r="T1337" i="53"/>
  <c r="T1338" i="53"/>
  <c r="T1339" i="53"/>
  <c r="T1340" i="53"/>
  <c r="T1341" i="53"/>
  <c r="T1342" i="53"/>
  <c r="T1343" i="53"/>
  <c r="T1344" i="53"/>
  <c r="T1345" i="53"/>
  <c r="T1346" i="53"/>
  <c r="T1347" i="53"/>
  <c r="T1348" i="53"/>
  <c r="T1349" i="53"/>
  <c r="T1350" i="53"/>
  <c r="T1351" i="53"/>
  <c r="T1352" i="53"/>
  <c r="T1353" i="53"/>
  <c r="T1354" i="53"/>
  <c r="T1355" i="53"/>
  <c r="T1356" i="53"/>
  <c r="T1357" i="53"/>
  <c r="T1358" i="53"/>
  <c r="T1359" i="53"/>
  <c r="T1360" i="53"/>
  <c r="T1361" i="53"/>
  <c r="T1362" i="53"/>
  <c r="T1363" i="53"/>
  <c r="T1364" i="53"/>
  <c r="T1365" i="53"/>
  <c r="T1366" i="53"/>
  <c r="T1367" i="53"/>
  <c r="T1368" i="53"/>
  <c r="T1369" i="53"/>
  <c r="T1370" i="53"/>
  <c r="T1371" i="53"/>
  <c r="T1372" i="53"/>
  <c r="T1373" i="53"/>
  <c r="T1374" i="53"/>
  <c r="T1375" i="53"/>
  <c r="T1376" i="53"/>
  <c r="T1377" i="53"/>
  <c r="T1378" i="53"/>
  <c r="T1379" i="53"/>
  <c r="T1380" i="53"/>
  <c r="T1381" i="53"/>
  <c r="T1382" i="53"/>
  <c r="T1383" i="53"/>
  <c r="T1384" i="53"/>
  <c r="T1385" i="53"/>
  <c r="T1386" i="53"/>
  <c r="T1387" i="53"/>
  <c r="T1388" i="53"/>
  <c r="T1389" i="53"/>
  <c r="T1390" i="53"/>
  <c r="T1391" i="53"/>
  <c r="T1392" i="53"/>
  <c r="T1393" i="53"/>
  <c r="T1394" i="53"/>
  <c r="T1395" i="53"/>
  <c r="T1396" i="53"/>
  <c r="T1397" i="53"/>
  <c r="T1398" i="53"/>
  <c r="T1399" i="53"/>
  <c r="T1400" i="53"/>
  <c r="T1401" i="53"/>
  <c r="T1402" i="53"/>
  <c r="T1403" i="53"/>
  <c r="T1404" i="53"/>
  <c r="T1405" i="53"/>
  <c r="T1406" i="53"/>
  <c r="T1407" i="53"/>
  <c r="T1408" i="53"/>
  <c r="T1409" i="53"/>
  <c r="T1410" i="53"/>
  <c r="T1411" i="53"/>
  <c r="T1412" i="53"/>
  <c r="T1413" i="53"/>
  <c r="T1414" i="53"/>
  <c r="T1415" i="53"/>
  <c r="T1416" i="53"/>
  <c r="T1417" i="53"/>
  <c r="T1418" i="53"/>
  <c r="T1419" i="53"/>
  <c r="T1420" i="53"/>
  <c r="T1421" i="53"/>
  <c r="T1422" i="53"/>
  <c r="T1423" i="53"/>
  <c r="T1424" i="53"/>
  <c r="T1425" i="53"/>
  <c r="T1426" i="53"/>
  <c r="T1427" i="53"/>
  <c r="T1428" i="53"/>
  <c r="T1429" i="53"/>
  <c r="T1430" i="53"/>
  <c r="T1431" i="53"/>
  <c r="T1432" i="53"/>
  <c r="T1433" i="53"/>
  <c r="T1434" i="53"/>
  <c r="T1435" i="53"/>
  <c r="T1436" i="53"/>
  <c r="T1437" i="53"/>
  <c r="T1438" i="53"/>
  <c r="T1439" i="53"/>
  <c r="T1440" i="53"/>
  <c r="T1441" i="53"/>
  <c r="T1442" i="53"/>
  <c r="T1443" i="53"/>
  <c r="T1444" i="53"/>
  <c r="T1445" i="53"/>
  <c r="T1446" i="53"/>
  <c r="T1447" i="53"/>
  <c r="T1448" i="53"/>
  <c r="T1449" i="53"/>
  <c r="T1450" i="53"/>
  <c r="T1451" i="53"/>
  <c r="T1452" i="53"/>
  <c r="T1453" i="53"/>
  <c r="T1454" i="53"/>
  <c r="T1455" i="53"/>
  <c r="T1456" i="53"/>
  <c r="T1457" i="53"/>
  <c r="T1458" i="53"/>
  <c r="T1459" i="53"/>
  <c r="T1460" i="53"/>
  <c r="T1461" i="53"/>
  <c r="T1462" i="53"/>
  <c r="T1463" i="53"/>
  <c r="T1464" i="53"/>
  <c r="T1465" i="53"/>
  <c r="T1466" i="53"/>
  <c r="T1467" i="53"/>
  <c r="T1468" i="53"/>
  <c r="T1469" i="53"/>
  <c r="T1470" i="53"/>
  <c r="T1471" i="53"/>
  <c r="T1472" i="53"/>
  <c r="T1473" i="53"/>
  <c r="T1474" i="53"/>
  <c r="T1475" i="53"/>
  <c r="T1476" i="53"/>
  <c r="T1477" i="53"/>
  <c r="T1478" i="53"/>
  <c r="T1479" i="53"/>
  <c r="T1480" i="53"/>
  <c r="T1481" i="53"/>
  <c r="T1482" i="53"/>
  <c r="T1483" i="53"/>
  <c r="T1484" i="53"/>
  <c r="T1485" i="53"/>
  <c r="T1486" i="53"/>
  <c r="T1487" i="53"/>
  <c r="T1488" i="53"/>
  <c r="T1489" i="53"/>
  <c r="T1490" i="53"/>
  <c r="T1491" i="53"/>
  <c r="T1492" i="53"/>
  <c r="T1493" i="53"/>
  <c r="T1494" i="53"/>
  <c r="T1495" i="53"/>
  <c r="T1496" i="53"/>
  <c r="T1497" i="53"/>
  <c r="T1498" i="53"/>
  <c r="T1499" i="53"/>
  <c r="T1500" i="53"/>
  <c r="T1501" i="53"/>
  <c r="T1502" i="53"/>
  <c r="T1503" i="53"/>
  <c r="T1504" i="53"/>
  <c r="T1505" i="53"/>
  <c r="T1506" i="53"/>
  <c r="T1507" i="53"/>
  <c r="T1508" i="53"/>
  <c r="T1509" i="53"/>
  <c r="T1510" i="53"/>
  <c r="T1511" i="53"/>
  <c r="T1512" i="53"/>
  <c r="T1513" i="53"/>
  <c r="T1514" i="53"/>
  <c r="T1515" i="53"/>
  <c r="T1516" i="53"/>
  <c r="T1517" i="53"/>
  <c r="T1518" i="53"/>
  <c r="T1519" i="53"/>
  <c r="T1520" i="53"/>
  <c r="T1521" i="53"/>
  <c r="T1522" i="53"/>
  <c r="T1523" i="53"/>
  <c r="T1524" i="53"/>
  <c r="T1525" i="53"/>
  <c r="T1526" i="53"/>
  <c r="T1527" i="53"/>
  <c r="T1528" i="53"/>
  <c r="T1529" i="53"/>
  <c r="T1530" i="53"/>
  <c r="T1531" i="53"/>
  <c r="T1532" i="53"/>
  <c r="T1533" i="53"/>
  <c r="T1534" i="53"/>
  <c r="T1535" i="53"/>
  <c r="T1536" i="53"/>
  <c r="T1537" i="53"/>
  <c r="T1538" i="53"/>
  <c r="T1539" i="53"/>
  <c r="T1540" i="53"/>
  <c r="T1541" i="53"/>
  <c r="T1542" i="53"/>
  <c r="T1543" i="53"/>
  <c r="T1544" i="53"/>
  <c r="T1545" i="53"/>
  <c r="T1546" i="53"/>
  <c r="T1547" i="53"/>
  <c r="T1548" i="53"/>
  <c r="T1549" i="53"/>
  <c r="T1550" i="53"/>
  <c r="T1551" i="53"/>
  <c r="T1552" i="53"/>
  <c r="T1553" i="53"/>
  <c r="T1554" i="53"/>
  <c r="T1555" i="53"/>
  <c r="T1556" i="53"/>
  <c r="T1557" i="53"/>
  <c r="T1558" i="53"/>
  <c r="T1559" i="53"/>
  <c r="T1560" i="53"/>
  <c r="T1561" i="53"/>
  <c r="T1562" i="53"/>
  <c r="T1563" i="53"/>
  <c r="T1564" i="53"/>
  <c r="T1565" i="53"/>
  <c r="T1566" i="53"/>
  <c r="T1567" i="53"/>
  <c r="T1568" i="53"/>
  <c r="T1569" i="53"/>
  <c r="T1570" i="53"/>
  <c r="T1571" i="53"/>
  <c r="T1572" i="53"/>
  <c r="T1573" i="53"/>
  <c r="T1574" i="53"/>
  <c r="T1575" i="53"/>
  <c r="T1576" i="53"/>
  <c r="T1577" i="53"/>
  <c r="T1578" i="53"/>
  <c r="T1579" i="53"/>
  <c r="T1580" i="53"/>
  <c r="T1581" i="53"/>
  <c r="T1582" i="53"/>
  <c r="T1583" i="53"/>
  <c r="T1584" i="53"/>
  <c r="T1585" i="53"/>
  <c r="T1586" i="53"/>
  <c r="T1587" i="53"/>
  <c r="T1588" i="53"/>
  <c r="T1589" i="53"/>
  <c r="T1590" i="53"/>
  <c r="T1591" i="53"/>
  <c r="T1592" i="53"/>
  <c r="T1593" i="53"/>
  <c r="T1594" i="53"/>
  <c r="T1595" i="53"/>
  <c r="T1596" i="53"/>
  <c r="T1597" i="53"/>
  <c r="T1598" i="53"/>
  <c r="T1599" i="53"/>
  <c r="T1600" i="53"/>
  <c r="T1601" i="53"/>
  <c r="T1602" i="53"/>
  <c r="T1603" i="53"/>
  <c r="T1604" i="53"/>
  <c r="T1605" i="53"/>
  <c r="T1606" i="53"/>
  <c r="T1607" i="53"/>
  <c r="T1608" i="53"/>
  <c r="T1609" i="53"/>
  <c r="T1610" i="53"/>
  <c r="T1611" i="53"/>
  <c r="T1612" i="53"/>
  <c r="T1613" i="53"/>
  <c r="T1614" i="53"/>
  <c r="T1615" i="53"/>
  <c r="T1616" i="53"/>
  <c r="T1617" i="53"/>
  <c r="T1618" i="53"/>
  <c r="T1619" i="53"/>
  <c r="T1620" i="53"/>
  <c r="T1621" i="53"/>
  <c r="T1622" i="53"/>
  <c r="T1623" i="53"/>
  <c r="T1624" i="53"/>
  <c r="T1625" i="53"/>
  <c r="T1626" i="53"/>
  <c r="T1627" i="53"/>
  <c r="T1628" i="53"/>
  <c r="T1629" i="53"/>
  <c r="T1630" i="53"/>
  <c r="T1631" i="53"/>
  <c r="T1632" i="53"/>
  <c r="T1633" i="53"/>
  <c r="T1634" i="53"/>
  <c r="T1635" i="53"/>
  <c r="T1636" i="53"/>
  <c r="T1637" i="53"/>
  <c r="T1638" i="53"/>
  <c r="T1639" i="53"/>
  <c r="T1640" i="53"/>
  <c r="T1641" i="53"/>
  <c r="T1642" i="53"/>
  <c r="T1643" i="53"/>
  <c r="T1644" i="53"/>
  <c r="T1645" i="53"/>
  <c r="T1646" i="53"/>
  <c r="T1647" i="53"/>
  <c r="T1648" i="53"/>
  <c r="T1649" i="53"/>
  <c r="T1650" i="53"/>
  <c r="T1651" i="53"/>
  <c r="T1652" i="53"/>
  <c r="T1653" i="53"/>
  <c r="T1654" i="53"/>
  <c r="T1655" i="53"/>
  <c r="T1656" i="53"/>
  <c r="T1657" i="53"/>
  <c r="T1658" i="53"/>
  <c r="T1659" i="53"/>
  <c r="T1660" i="53"/>
  <c r="T1661" i="53"/>
  <c r="T1662" i="53"/>
  <c r="T1663" i="53"/>
  <c r="T1664" i="53"/>
  <c r="T1665" i="53"/>
  <c r="T1666" i="53"/>
  <c r="T1667" i="53"/>
  <c r="T1668" i="53"/>
  <c r="T1669" i="53"/>
  <c r="T1670" i="53"/>
  <c r="T1671" i="53"/>
  <c r="T1672" i="53"/>
  <c r="T1673" i="53"/>
  <c r="T1674" i="53"/>
  <c r="T1675" i="53"/>
  <c r="T1676" i="53"/>
  <c r="T1677" i="53"/>
  <c r="T1678" i="53"/>
  <c r="T1679" i="53"/>
  <c r="T1680" i="53"/>
  <c r="T1681" i="53"/>
  <c r="T1682" i="53"/>
  <c r="T1683" i="53"/>
  <c r="T1684" i="53"/>
  <c r="T1685" i="53"/>
  <c r="T1686" i="53"/>
  <c r="T1687" i="53"/>
  <c r="T1688" i="53"/>
  <c r="T1689" i="53"/>
  <c r="T1690" i="53"/>
  <c r="T1691" i="53"/>
  <c r="T1692" i="53"/>
  <c r="T1693" i="53"/>
  <c r="T1694" i="53"/>
  <c r="T1695" i="53"/>
  <c r="T1696" i="53"/>
  <c r="T1697" i="53"/>
  <c r="T1698" i="53"/>
  <c r="T1699" i="53"/>
  <c r="T1700" i="53"/>
  <c r="T1701" i="53"/>
  <c r="T1702" i="53"/>
  <c r="T1703" i="53"/>
  <c r="T1704" i="53"/>
  <c r="T1705" i="53"/>
  <c r="T1706" i="53"/>
  <c r="T1707" i="53"/>
  <c r="T1708" i="53"/>
  <c r="T1709" i="53"/>
  <c r="T1710" i="53"/>
  <c r="T1711" i="53"/>
  <c r="T1712" i="53"/>
  <c r="T1713" i="53"/>
  <c r="T1714" i="53"/>
  <c r="T1715" i="53"/>
  <c r="T1716" i="53"/>
  <c r="T1717" i="53"/>
  <c r="T1718" i="53"/>
  <c r="T1719" i="53"/>
  <c r="T1720" i="53"/>
  <c r="T1721" i="53"/>
  <c r="T1722" i="53"/>
  <c r="T1723" i="53"/>
  <c r="T1724" i="53"/>
  <c r="T1725" i="53"/>
  <c r="T1726" i="53"/>
  <c r="T1727" i="53"/>
  <c r="T1728" i="53"/>
  <c r="T1729" i="53"/>
  <c r="T1730" i="53"/>
  <c r="T1731" i="53"/>
  <c r="T1732" i="53"/>
  <c r="T1733" i="53"/>
  <c r="T1734" i="53"/>
  <c r="T1735" i="53"/>
  <c r="T1736" i="53"/>
  <c r="T1737" i="53"/>
  <c r="T1738" i="53"/>
  <c r="T1739" i="53"/>
  <c r="T1740" i="53"/>
  <c r="T1741" i="53"/>
  <c r="T1742" i="53"/>
  <c r="T1743" i="53"/>
  <c r="T1744" i="53"/>
  <c r="T1745" i="53"/>
  <c r="T1746" i="53"/>
  <c r="T1747" i="53"/>
  <c r="T1748" i="53"/>
  <c r="T1749" i="53"/>
  <c r="T1750" i="53"/>
  <c r="T1751" i="53"/>
  <c r="T1752" i="53"/>
  <c r="T1753" i="53"/>
  <c r="T1754" i="53"/>
  <c r="T1755" i="53"/>
  <c r="T1756" i="53"/>
  <c r="T1757" i="53"/>
  <c r="T1758" i="53"/>
  <c r="T1759" i="53"/>
  <c r="T1760" i="53"/>
  <c r="T1761" i="53"/>
  <c r="T1762" i="53"/>
  <c r="T1763" i="53"/>
  <c r="T1764" i="53"/>
  <c r="T1765" i="53"/>
  <c r="T1766" i="53"/>
  <c r="T1767" i="53"/>
  <c r="T1768" i="53"/>
  <c r="T1769" i="53"/>
  <c r="T1770" i="53"/>
  <c r="T1771" i="53"/>
  <c r="T1772" i="53"/>
  <c r="T1773" i="53"/>
  <c r="T1774" i="53"/>
  <c r="T1775" i="53"/>
  <c r="T1776" i="53"/>
  <c r="T1777" i="53"/>
  <c r="T1778" i="53"/>
  <c r="T1779" i="53"/>
  <c r="T1780" i="53"/>
  <c r="T1781" i="53"/>
  <c r="T1782" i="53"/>
  <c r="T1783" i="53"/>
  <c r="T1784" i="53"/>
  <c r="T1785" i="53"/>
  <c r="T1786" i="53"/>
  <c r="T1787" i="53"/>
  <c r="T1788" i="53"/>
  <c r="T1789" i="53"/>
  <c r="T1790" i="53"/>
  <c r="T1791" i="53"/>
  <c r="T1792" i="53"/>
  <c r="T1793" i="53"/>
  <c r="T1794" i="53"/>
  <c r="T1795" i="53"/>
  <c r="T1796" i="53"/>
  <c r="T1797" i="53"/>
  <c r="T1798" i="53"/>
  <c r="T1799" i="53"/>
  <c r="T1800" i="53"/>
  <c r="T1801" i="53"/>
  <c r="T1802" i="53"/>
  <c r="T1803" i="53"/>
  <c r="T1804" i="53"/>
  <c r="T1805" i="53"/>
  <c r="T1806" i="53"/>
  <c r="T1807" i="53"/>
  <c r="T1808" i="53"/>
  <c r="T1809" i="53"/>
  <c r="T1810" i="53"/>
  <c r="T1811" i="53"/>
  <c r="T1812" i="53"/>
  <c r="T1813" i="53"/>
  <c r="T1814" i="53"/>
  <c r="T1815" i="53"/>
  <c r="T1816" i="53"/>
  <c r="T1817" i="53"/>
  <c r="T1818" i="53"/>
  <c r="T1819" i="53"/>
  <c r="T1820" i="53"/>
  <c r="T1821" i="53"/>
  <c r="T1822" i="53"/>
  <c r="T1823" i="53"/>
  <c r="T1824" i="53"/>
  <c r="T1825" i="53"/>
  <c r="T1826" i="53"/>
  <c r="T1827" i="53"/>
  <c r="T1828" i="53"/>
  <c r="T1829" i="53"/>
  <c r="T1830" i="53"/>
  <c r="T1831" i="53"/>
  <c r="T1832" i="53"/>
  <c r="T1833" i="53"/>
  <c r="T1834" i="53"/>
  <c r="T1835" i="53"/>
  <c r="T1836" i="53"/>
  <c r="T1837" i="53"/>
  <c r="T1838" i="53"/>
  <c r="T1839" i="53"/>
  <c r="T1840" i="53"/>
  <c r="T1841" i="53"/>
  <c r="T1842" i="53"/>
  <c r="T1843" i="53"/>
  <c r="T1844" i="53"/>
  <c r="T1845" i="53"/>
  <c r="T1846" i="53"/>
  <c r="T1847" i="53"/>
  <c r="T1848" i="53"/>
  <c r="T1849" i="53"/>
  <c r="T1850" i="53"/>
  <c r="T1851" i="53"/>
  <c r="T1852" i="53"/>
  <c r="T1853" i="53"/>
  <c r="T1854" i="53"/>
  <c r="T1855" i="53"/>
  <c r="T1856" i="53"/>
  <c r="T1857" i="53"/>
  <c r="T1858" i="53"/>
  <c r="T1859" i="53"/>
  <c r="T1860" i="53"/>
  <c r="T1861" i="53"/>
  <c r="T1862" i="53"/>
  <c r="T1863" i="53"/>
  <c r="T1864" i="53"/>
  <c r="T1865" i="53"/>
  <c r="T1866" i="53"/>
  <c r="T1867" i="53"/>
  <c r="T1868" i="53"/>
  <c r="T1869" i="53"/>
  <c r="T1870" i="53"/>
  <c r="T1871" i="53"/>
  <c r="T1872" i="53"/>
  <c r="T1873" i="53"/>
  <c r="T1874" i="53"/>
  <c r="T1875" i="53"/>
  <c r="T1876" i="53"/>
  <c r="T1877" i="53"/>
  <c r="T1878" i="53"/>
  <c r="T1879" i="53"/>
  <c r="T1880" i="53"/>
  <c r="T1881" i="53"/>
  <c r="T1882" i="53"/>
  <c r="T1883" i="53"/>
  <c r="T1884" i="53"/>
  <c r="T1885" i="53"/>
  <c r="T1886" i="53"/>
  <c r="T1887" i="53"/>
  <c r="T1888" i="53"/>
  <c r="T1889" i="53"/>
  <c r="T1890" i="53"/>
  <c r="T1891" i="53"/>
  <c r="T1892" i="53"/>
  <c r="T1893" i="53"/>
  <c r="T1894" i="53"/>
  <c r="T1895" i="53"/>
  <c r="T1896" i="53"/>
  <c r="T1897" i="53"/>
  <c r="T1898" i="53"/>
  <c r="T1899" i="53"/>
  <c r="T1900" i="53"/>
  <c r="T1901" i="53"/>
  <c r="T1902" i="53"/>
  <c r="T1903" i="53"/>
  <c r="T1904" i="53"/>
  <c r="T1905" i="53"/>
  <c r="T1906" i="53"/>
  <c r="T1907" i="53"/>
  <c r="T1908" i="53"/>
  <c r="T1909" i="53"/>
  <c r="T1910" i="53"/>
  <c r="T1911" i="53"/>
  <c r="T1912" i="53"/>
  <c r="T1913" i="53"/>
  <c r="T1914" i="53"/>
  <c r="T1915" i="53"/>
  <c r="T1916" i="53"/>
  <c r="T1917" i="53"/>
  <c r="T1918" i="53"/>
  <c r="T1919" i="53"/>
  <c r="T1920" i="53"/>
  <c r="T1921" i="53"/>
  <c r="T1922" i="53"/>
  <c r="T1923" i="53"/>
  <c r="T1924" i="53"/>
  <c r="T1925" i="53"/>
  <c r="T1926" i="53"/>
  <c r="T1927" i="53"/>
  <c r="T1928" i="53"/>
  <c r="T1929" i="53"/>
  <c r="T1930" i="53"/>
  <c r="T1931" i="53"/>
  <c r="T1932" i="53"/>
  <c r="T1933" i="53"/>
  <c r="T1934" i="53"/>
  <c r="T1935" i="53"/>
  <c r="T1936" i="53"/>
  <c r="T1937" i="53"/>
  <c r="T1938" i="53"/>
  <c r="T1939" i="53"/>
  <c r="T1940" i="53"/>
  <c r="T1941" i="53"/>
  <c r="T1942" i="53"/>
  <c r="T1943" i="53"/>
  <c r="T1944" i="53"/>
  <c r="T1945" i="53"/>
  <c r="T1946" i="53"/>
  <c r="T1947" i="53"/>
  <c r="T1948" i="53"/>
  <c r="T1949" i="53"/>
  <c r="T1950" i="53"/>
  <c r="T1951" i="53"/>
  <c r="T1952" i="53"/>
  <c r="T1953" i="53"/>
  <c r="T1954" i="53"/>
  <c r="T1955" i="53"/>
  <c r="T1956" i="53"/>
  <c r="T1957" i="53"/>
  <c r="T1958" i="53"/>
  <c r="T1959" i="53"/>
  <c r="T1960" i="53"/>
  <c r="T1961" i="53"/>
  <c r="T1962" i="53"/>
  <c r="T1963" i="53"/>
  <c r="T1964" i="53"/>
  <c r="T1965" i="53"/>
  <c r="T1966" i="53"/>
  <c r="T1967" i="53"/>
  <c r="T1968" i="53"/>
  <c r="T1969" i="53"/>
  <c r="T1970" i="53"/>
  <c r="T1971" i="53"/>
  <c r="T1972" i="53"/>
  <c r="T1973" i="53"/>
  <c r="T1974" i="53"/>
  <c r="T1975" i="53"/>
  <c r="T1976" i="53"/>
  <c r="T1977" i="53"/>
  <c r="T1978" i="53"/>
  <c r="T1979" i="53"/>
  <c r="T1980" i="53"/>
  <c r="T1981" i="53"/>
  <c r="T1982" i="53"/>
  <c r="T1983" i="53"/>
  <c r="T1984" i="53"/>
  <c r="T1985" i="53"/>
  <c r="T1986" i="53"/>
  <c r="T1987" i="53"/>
  <c r="T1988" i="53"/>
  <c r="T1989" i="53"/>
  <c r="T1990" i="53"/>
  <c r="T1991" i="53"/>
  <c r="T1992" i="53"/>
  <c r="T1993" i="53"/>
  <c r="T1994" i="53"/>
  <c r="T1995" i="53"/>
  <c r="T1996" i="53"/>
  <c r="T1997" i="53"/>
  <c r="T1998" i="53"/>
  <c r="T1999" i="53"/>
  <c r="T2000" i="53"/>
  <c r="T2001" i="53"/>
  <c r="T2002" i="53"/>
  <c r="T2003" i="53"/>
  <c r="T2004" i="53"/>
  <c r="T2005" i="53"/>
  <c r="T2006" i="53"/>
  <c r="T2007" i="53"/>
  <c r="T2008" i="53"/>
  <c r="T2009" i="53"/>
  <c r="T2010" i="53"/>
  <c r="T2011" i="53"/>
  <c r="T2012" i="53"/>
  <c r="T2013" i="53"/>
  <c r="T2014" i="53"/>
  <c r="T2015" i="53"/>
  <c r="T2016" i="53"/>
  <c r="T2017" i="53"/>
  <c r="T2018" i="53"/>
  <c r="T2019" i="53"/>
  <c r="T2020" i="53"/>
  <c r="T2021" i="53"/>
  <c r="T2022" i="53"/>
  <c r="T2023" i="53"/>
  <c r="T2024" i="53"/>
  <c r="T2025" i="53"/>
  <c r="T2026" i="53"/>
  <c r="T2027" i="53"/>
  <c r="T2028" i="53"/>
  <c r="T2029" i="53"/>
  <c r="T2030" i="53"/>
  <c r="T2031" i="53"/>
  <c r="T2032" i="53"/>
  <c r="T2033" i="53"/>
  <c r="T2034" i="53"/>
  <c r="T2035" i="53"/>
  <c r="T2036" i="53"/>
  <c r="T2037" i="53"/>
  <c r="T2038" i="53"/>
  <c r="T2039" i="53"/>
  <c r="T2040" i="53"/>
  <c r="T2041" i="53"/>
  <c r="T2042" i="53"/>
  <c r="T2043" i="53"/>
  <c r="T2044" i="53"/>
  <c r="T2045" i="53"/>
  <c r="T2046" i="53"/>
  <c r="T2047" i="53"/>
  <c r="T2048" i="53"/>
  <c r="T2049" i="53"/>
  <c r="T2050" i="53"/>
  <c r="T2051" i="53"/>
  <c r="T2052" i="53"/>
  <c r="T2053" i="53"/>
  <c r="T2054" i="53"/>
  <c r="T2055" i="53"/>
  <c r="T2056" i="53"/>
  <c r="T2057" i="53"/>
  <c r="T2058" i="53"/>
  <c r="T2059" i="53"/>
  <c r="T2060" i="53"/>
  <c r="T2061" i="53"/>
  <c r="T2062" i="53"/>
  <c r="T2063" i="53"/>
  <c r="T2064" i="53"/>
  <c r="T2065" i="53"/>
  <c r="T2066" i="53"/>
  <c r="T2067" i="53"/>
  <c r="T2068" i="53"/>
  <c r="T2069" i="53"/>
  <c r="T2070" i="53"/>
  <c r="T2071" i="53"/>
  <c r="T2072" i="53"/>
  <c r="T2073" i="53"/>
  <c r="T2074" i="53"/>
  <c r="T2075" i="53"/>
  <c r="T2076" i="53"/>
  <c r="T2077" i="53"/>
  <c r="T2078" i="53"/>
  <c r="T2079" i="53"/>
  <c r="T2080" i="53"/>
  <c r="T2081" i="53"/>
  <c r="T2082" i="53"/>
  <c r="T2083" i="53"/>
  <c r="T2084" i="53"/>
  <c r="T2085" i="53"/>
  <c r="T2086" i="53"/>
  <c r="T2087" i="53"/>
  <c r="T2088" i="53"/>
  <c r="T2089" i="53"/>
  <c r="T2090" i="53"/>
  <c r="T2091" i="53"/>
  <c r="T2092" i="53"/>
  <c r="T2093" i="53"/>
  <c r="T2094" i="53"/>
  <c r="T2095" i="53"/>
  <c r="T2096" i="53"/>
  <c r="T2097" i="53"/>
  <c r="T2098" i="53"/>
  <c r="T2099" i="53"/>
  <c r="T2100" i="53"/>
  <c r="T2101" i="53"/>
  <c r="T2102" i="53"/>
  <c r="T2103" i="53"/>
  <c r="T2104" i="53"/>
  <c r="T2105" i="53"/>
  <c r="T2106" i="53"/>
  <c r="T2107" i="53"/>
  <c r="T2108" i="53"/>
  <c r="T2109" i="53"/>
  <c r="T2110" i="53"/>
  <c r="T2111" i="53"/>
  <c r="T2112" i="53"/>
  <c r="T2113" i="53"/>
  <c r="T2114" i="53"/>
  <c r="T2115" i="53"/>
  <c r="T2116" i="53"/>
  <c r="T2117" i="53"/>
  <c r="T2118" i="53"/>
  <c r="T2119" i="53"/>
  <c r="T2120" i="53"/>
  <c r="T2121" i="53"/>
  <c r="T2122" i="53"/>
  <c r="T2123" i="53"/>
  <c r="T2124" i="53"/>
  <c r="T2125" i="53"/>
  <c r="T2126" i="53"/>
  <c r="T2127" i="53"/>
  <c r="T2128" i="53"/>
  <c r="T2129" i="53"/>
  <c r="T2130" i="53"/>
  <c r="T2131" i="53"/>
  <c r="T2132" i="53"/>
  <c r="T2133" i="53"/>
  <c r="T2134" i="53"/>
  <c r="T2135" i="53"/>
  <c r="T2136" i="53"/>
  <c r="T2137" i="53"/>
  <c r="T2138" i="53"/>
  <c r="T2139" i="53"/>
  <c r="T2140" i="53"/>
  <c r="T2141" i="53"/>
  <c r="T2142" i="53"/>
  <c r="T2143" i="53"/>
  <c r="T2144" i="53"/>
  <c r="T2145" i="53"/>
  <c r="T2146" i="53"/>
  <c r="T2147" i="53"/>
  <c r="T2148" i="53"/>
  <c r="T2149" i="53"/>
  <c r="T2150" i="53"/>
  <c r="T2151" i="53"/>
  <c r="T2152" i="53"/>
  <c r="T2153" i="53"/>
  <c r="T2154" i="53"/>
  <c r="T2155" i="53"/>
  <c r="T2156" i="53"/>
  <c r="T2157" i="53"/>
  <c r="T2158" i="53"/>
  <c r="T2159" i="53"/>
  <c r="T2160" i="53"/>
  <c r="T2161" i="53"/>
  <c r="T2162" i="53"/>
  <c r="T2163" i="53"/>
  <c r="T2164" i="53"/>
  <c r="T2165" i="53"/>
  <c r="T2166" i="53"/>
  <c r="T2167" i="53"/>
  <c r="T2168" i="53"/>
  <c r="T2169" i="53"/>
  <c r="T2170" i="53"/>
  <c r="T2171" i="53"/>
  <c r="T2172" i="53"/>
  <c r="T2173" i="53"/>
  <c r="T2174" i="53"/>
  <c r="T2175" i="53"/>
  <c r="T2176" i="53"/>
  <c r="T2177" i="53"/>
  <c r="T2178" i="53"/>
  <c r="T2179" i="53"/>
  <c r="T2180" i="53"/>
  <c r="T2181" i="53"/>
  <c r="T2182" i="53"/>
  <c r="T2183" i="53"/>
  <c r="T2184" i="53"/>
  <c r="T2185" i="53"/>
  <c r="T2186" i="53"/>
  <c r="T2187" i="53"/>
  <c r="T2188" i="53"/>
  <c r="T2189" i="53"/>
  <c r="T2190" i="53"/>
  <c r="T2191" i="53"/>
  <c r="T2192" i="53"/>
  <c r="T2193" i="53"/>
  <c r="T2194" i="53"/>
  <c r="T2195" i="53"/>
  <c r="T2196" i="53"/>
  <c r="T2197" i="53"/>
  <c r="T2198" i="53"/>
  <c r="T2199" i="53"/>
  <c r="T2200" i="53"/>
  <c r="T2201" i="53"/>
  <c r="T2202" i="53"/>
  <c r="T2203" i="53"/>
  <c r="T2204" i="53"/>
  <c r="T2205" i="53"/>
  <c r="T2206" i="53"/>
  <c r="T2207" i="53"/>
  <c r="T2208" i="53"/>
  <c r="T2209" i="53"/>
  <c r="T2210" i="53"/>
  <c r="T2211" i="53"/>
  <c r="T2212" i="53"/>
  <c r="T2213" i="53"/>
  <c r="T2214" i="53"/>
  <c r="T2215" i="53"/>
  <c r="T2216" i="53"/>
  <c r="T2217" i="53"/>
  <c r="T2218" i="53"/>
  <c r="T2219" i="53"/>
  <c r="T2220" i="53"/>
  <c r="T2221" i="53"/>
  <c r="T2222" i="53"/>
  <c r="T2223" i="53"/>
  <c r="T2224" i="53"/>
  <c r="T2225" i="53"/>
  <c r="T2226" i="53"/>
  <c r="T2227" i="53"/>
  <c r="T2228" i="53"/>
  <c r="T2229" i="53"/>
  <c r="T2230" i="53"/>
  <c r="T2231" i="53"/>
  <c r="T2232" i="53"/>
  <c r="T2233" i="53"/>
  <c r="T2234" i="53"/>
  <c r="T2235" i="53"/>
  <c r="T2236" i="53"/>
  <c r="T2237" i="53"/>
  <c r="T2238" i="53"/>
  <c r="T2239" i="53"/>
  <c r="T2240" i="53"/>
  <c r="T2241" i="53"/>
  <c r="T2242" i="53"/>
  <c r="T2243" i="53"/>
  <c r="T2244" i="53"/>
  <c r="T2245" i="53"/>
  <c r="T2246" i="53"/>
  <c r="T2247" i="53"/>
  <c r="T2248" i="53"/>
  <c r="T2249" i="53"/>
  <c r="T2250" i="53"/>
  <c r="T2251" i="53"/>
  <c r="T2252" i="53"/>
  <c r="T2253" i="53"/>
  <c r="T2254" i="53"/>
  <c r="T2255" i="53"/>
  <c r="T2256" i="53"/>
  <c r="T2257" i="53"/>
  <c r="T2258" i="53"/>
  <c r="T2259" i="53"/>
  <c r="T2260" i="53"/>
  <c r="T2261" i="53"/>
  <c r="T2262" i="53"/>
  <c r="T2263" i="53"/>
  <c r="T2264" i="53"/>
  <c r="T2265" i="53"/>
  <c r="T2266" i="53"/>
  <c r="T2267" i="53"/>
  <c r="T2268" i="53"/>
  <c r="T2269" i="53"/>
  <c r="T2270" i="53"/>
  <c r="T2271" i="53"/>
  <c r="T2272" i="53"/>
  <c r="T2273" i="53"/>
  <c r="T2274" i="53"/>
  <c r="T2275" i="53"/>
  <c r="T2276" i="53"/>
  <c r="T2277" i="53"/>
  <c r="T2278" i="53"/>
  <c r="T2279" i="53"/>
  <c r="T2280" i="53"/>
  <c r="T2281" i="53"/>
  <c r="T2282" i="53"/>
  <c r="T2283" i="53"/>
  <c r="T2284" i="53"/>
  <c r="T2285" i="53"/>
  <c r="T2286" i="53"/>
  <c r="T2287" i="53"/>
  <c r="T2288" i="53"/>
  <c r="T2289" i="53"/>
  <c r="T2290" i="53"/>
  <c r="T2291" i="53"/>
  <c r="T2292" i="53"/>
  <c r="T2293" i="53"/>
  <c r="T2294" i="53"/>
  <c r="T2295" i="53"/>
  <c r="T2296" i="53"/>
  <c r="T2297" i="53"/>
  <c r="T2298" i="53"/>
  <c r="T2299" i="53"/>
  <c r="T2300" i="53"/>
  <c r="T2301" i="53"/>
  <c r="T2302" i="53"/>
  <c r="T2303" i="53"/>
  <c r="T2304" i="53"/>
  <c r="T2305" i="53"/>
  <c r="T2306" i="53"/>
  <c r="T2307" i="53"/>
  <c r="T2308" i="53"/>
  <c r="T2309" i="53"/>
  <c r="T2310" i="53"/>
  <c r="T2311" i="53"/>
  <c r="T2312" i="53"/>
  <c r="T2313" i="53"/>
  <c r="T2314" i="53"/>
  <c r="T2315" i="53"/>
  <c r="T2316" i="53"/>
  <c r="T2317" i="53"/>
  <c r="T2318" i="53"/>
  <c r="T2319" i="53"/>
  <c r="T2320" i="53"/>
  <c r="T2321" i="53"/>
  <c r="T2322" i="53"/>
  <c r="T2323" i="53"/>
  <c r="T2324" i="53"/>
  <c r="T2325" i="53"/>
  <c r="T2326" i="53"/>
  <c r="T2327" i="53"/>
  <c r="T2328" i="53"/>
  <c r="T2329" i="53"/>
  <c r="T2330" i="53"/>
  <c r="T2331" i="53"/>
  <c r="T2332" i="53"/>
  <c r="T2333" i="53"/>
  <c r="T2334" i="53"/>
  <c r="T2335" i="53"/>
  <c r="T2336" i="53"/>
  <c r="T2337" i="53"/>
  <c r="T2338" i="53"/>
  <c r="T2339" i="53"/>
  <c r="T2340" i="53"/>
  <c r="T2341" i="53"/>
  <c r="T2342" i="53"/>
  <c r="T2343" i="53"/>
  <c r="T2344" i="53"/>
  <c r="T2345" i="53"/>
  <c r="T2346" i="53"/>
  <c r="T2347" i="53"/>
  <c r="T2348" i="53"/>
  <c r="T2349" i="53"/>
  <c r="T2350" i="53"/>
  <c r="T2351" i="53"/>
  <c r="T2352" i="53"/>
  <c r="T2353" i="53"/>
  <c r="T2354" i="53"/>
  <c r="T2355" i="53"/>
  <c r="T2356" i="53"/>
  <c r="T2357" i="53"/>
  <c r="T2358" i="53"/>
  <c r="T2359" i="53"/>
  <c r="T2360" i="53"/>
  <c r="T2361" i="53"/>
  <c r="T2362" i="53"/>
  <c r="T2363" i="53"/>
  <c r="T2364" i="53"/>
  <c r="T2365" i="53"/>
  <c r="T2366" i="53"/>
  <c r="T2367" i="53"/>
  <c r="T2368" i="53"/>
  <c r="T2369" i="53"/>
  <c r="T2370" i="53"/>
  <c r="T2371" i="53"/>
  <c r="T2372" i="53"/>
  <c r="T2373" i="53"/>
  <c r="T2374" i="53"/>
  <c r="T2375" i="53"/>
  <c r="T2376" i="53"/>
  <c r="T2377" i="53"/>
  <c r="T2378" i="53"/>
  <c r="T2379" i="53"/>
  <c r="T2380" i="53"/>
  <c r="T2381" i="53"/>
  <c r="T2382" i="53"/>
  <c r="T2383" i="53"/>
  <c r="T2384" i="53"/>
  <c r="T2385" i="53"/>
  <c r="T2386" i="53"/>
  <c r="T2387" i="53"/>
  <c r="T2388" i="53"/>
  <c r="T2389" i="53"/>
  <c r="T2390" i="53"/>
  <c r="T2391" i="53"/>
  <c r="T2392" i="53"/>
  <c r="T2393" i="53"/>
  <c r="T2394" i="53"/>
  <c r="T2395" i="53"/>
  <c r="T2396" i="53"/>
  <c r="T2397" i="53"/>
  <c r="T2398" i="53"/>
  <c r="T2399" i="53"/>
  <c r="T2400" i="53"/>
  <c r="T2401" i="53"/>
  <c r="T2402" i="53"/>
  <c r="T2403" i="53"/>
  <c r="T2404" i="53"/>
  <c r="T2405" i="53"/>
  <c r="T2406" i="53"/>
  <c r="T2407" i="53"/>
  <c r="T2408" i="53"/>
  <c r="T2409" i="53"/>
  <c r="T2410" i="53"/>
  <c r="T2411" i="53"/>
  <c r="T2412" i="53"/>
  <c r="T2413" i="53"/>
  <c r="T2414" i="53"/>
  <c r="T2415" i="53"/>
  <c r="T2416" i="53"/>
  <c r="T2417" i="53"/>
  <c r="T2418" i="53"/>
  <c r="T2419" i="53"/>
  <c r="T2420" i="53"/>
  <c r="T2421" i="53"/>
  <c r="T2422" i="53"/>
  <c r="T2423" i="53"/>
  <c r="T2424" i="53"/>
  <c r="T2425" i="53"/>
  <c r="T2426" i="53"/>
  <c r="T2427" i="53"/>
  <c r="T2428" i="53"/>
  <c r="T2429" i="53"/>
  <c r="T2430" i="53"/>
  <c r="T2431" i="53"/>
  <c r="T2432" i="53"/>
  <c r="T2433" i="53"/>
  <c r="T2434" i="53"/>
  <c r="T2435" i="53"/>
  <c r="T2436" i="53"/>
  <c r="T2437" i="53"/>
  <c r="B2" i="66" l="1"/>
  <c r="J12" i="52"/>
  <c r="K15" i="52"/>
  <c r="N15" i="52"/>
  <c r="M15" i="52"/>
  <c r="L15" i="52"/>
  <c r="J15" i="52"/>
  <c r="N14" i="52"/>
  <c r="M14" i="52"/>
  <c r="L14" i="52"/>
  <c r="K14" i="52"/>
  <c r="J14" i="52"/>
  <c r="N13" i="52"/>
  <c r="M13" i="52"/>
  <c r="L13" i="52"/>
  <c r="K13" i="52"/>
  <c r="J13" i="52"/>
  <c r="J11" i="52"/>
  <c r="K12" i="52"/>
  <c r="L12" i="52"/>
  <c r="M12" i="52"/>
  <c r="N12" i="52"/>
  <c r="AA122" i="51"/>
  <c r="AA23" i="51" a="1"/>
  <c r="AA24" i="51" a="1"/>
  <c r="AA26" i="51" a="1"/>
  <c r="AA25" i="51" a="1"/>
  <c r="AA26" i="51" l="1"/>
  <c r="AA25" i="51"/>
  <c r="AA24" i="51"/>
  <c r="AA23" i="51"/>
  <c r="Z22" i="51"/>
  <c r="O132" i="51"/>
  <c r="T15" i="51" s="1"/>
  <c r="N132" i="51"/>
  <c r="S15" i="51" s="1"/>
  <c r="M132" i="51"/>
  <c r="R15" i="51" s="1"/>
  <c r="L132" i="51"/>
  <c r="Q15" i="51" s="1"/>
  <c r="K132" i="51"/>
  <c r="P15" i="51" s="1"/>
  <c r="O107" i="51"/>
  <c r="T14" i="51" s="1"/>
  <c r="N107" i="51"/>
  <c r="S14" i="51" s="1"/>
  <c r="M107" i="51"/>
  <c r="R14" i="51" s="1"/>
  <c r="L107" i="51"/>
  <c r="Q14" i="51" s="1"/>
  <c r="K107" i="51"/>
  <c r="P14" i="51" s="1"/>
  <c r="O82" i="51"/>
  <c r="T13" i="51" s="1"/>
  <c r="N82" i="51"/>
  <c r="S13" i="51" s="1"/>
  <c r="M82" i="51"/>
  <c r="R13" i="51" s="1"/>
  <c r="L82" i="51"/>
  <c r="Q13" i="51" s="1"/>
  <c r="K82" i="51"/>
  <c r="P13" i="51" s="1"/>
  <c r="O57" i="51"/>
  <c r="T12" i="51" s="1"/>
  <c r="N57" i="51"/>
  <c r="S12" i="51" s="1"/>
  <c r="M57" i="51"/>
  <c r="R12" i="51" s="1"/>
  <c r="L57" i="51"/>
  <c r="Q12" i="51" s="1"/>
  <c r="K57" i="51"/>
  <c r="P12" i="51" s="1"/>
  <c r="O32" i="51"/>
  <c r="T11" i="51" s="1"/>
  <c r="N32" i="51"/>
  <c r="N11" i="51" s="1"/>
  <c r="M32" i="51"/>
  <c r="M11" i="51" s="1"/>
  <c r="L32" i="51"/>
  <c r="L11" i="51" s="1"/>
  <c r="K32" i="51"/>
  <c r="AA22" i="51" a="1"/>
  <c r="K11" i="51" l="1"/>
  <c r="P11" i="51"/>
  <c r="AA22" i="51"/>
  <c r="W22" i="51" s="1"/>
  <c r="Y22" i="51" s="1"/>
  <c r="S11" i="51"/>
  <c r="Q11" i="51"/>
  <c r="R11" i="51"/>
  <c r="O11" i="51"/>
  <c r="L24" i="61" l="1"/>
  <c r="N24" i="61" s="1"/>
  <c r="J3" i="65" l="1"/>
  <c r="K3" i="65"/>
  <c r="J4" i="65"/>
  <c r="K4" i="65"/>
  <c r="J5" i="65"/>
  <c r="K5" i="65"/>
  <c r="J6" i="65"/>
  <c r="K6" i="65"/>
  <c r="J7" i="65"/>
  <c r="K7" i="65"/>
  <c r="J8" i="65"/>
  <c r="K8" i="65"/>
  <c r="J9" i="65"/>
  <c r="K9" i="65"/>
  <c r="J10" i="65"/>
  <c r="K10" i="65"/>
  <c r="J11" i="65"/>
  <c r="K11" i="65"/>
  <c r="J12" i="65"/>
  <c r="K12" i="65"/>
  <c r="J13" i="65"/>
  <c r="K13" i="65"/>
  <c r="J14" i="65"/>
  <c r="K14" i="65"/>
  <c r="J15" i="65"/>
  <c r="K15" i="65"/>
  <c r="J16" i="65"/>
  <c r="K16" i="65"/>
  <c r="J17" i="65"/>
  <c r="K17" i="65"/>
  <c r="J18" i="65"/>
  <c r="K18" i="65"/>
  <c r="J19" i="65"/>
  <c r="K19" i="65"/>
  <c r="J20" i="65"/>
  <c r="K20" i="65"/>
  <c r="J21" i="65"/>
  <c r="K21" i="65"/>
  <c r="J22" i="65"/>
  <c r="K22" i="65"/>
  <c r="J23" i="65"/>
  <c r="K23" i="65"/>
  <c r="J24" i="65"/>
  <c r="K24" i="65"/>
  <c r="J25" i="65"/>
  <c r="K25" i="65"/>
  <c r="J26" i="65"/>
  <c r="K26" i="65"/>
  <c r="J27" i="65"/>
  <c r="K27" i="65"/>
  <c r="J28" i="65"/>
  <c r="K28" i="65"/>
  <c r="J29" i="65"/>
  <c r="K29" i="65"/>
  <c r="J30" i="65"/>
  <c r="K30" i="65"/>
  <c r="J31" i="65"/>
  <c r="K31" i="65"/>
  <c r="J32" i="65"/>
  <c r="K32" i="65"/>
  <c r="J33" i="65"/>
  <c r="K33" i="65"/>
  <c r="J34" i="65"/>
  <c r="K34" i="65"/>
  <c r="J35" i="65"/>
  <c r="K35" i="65"/>
  <c r="J36" i="65"/>
  <c r="K36" i="65"/>
  <c r="J37" i="65"/>
  <c r="K37" i="65"/>
  <c r="J38" i="65"/>
  <c r="K38" i="65"/>
  <c r="J39" i="65"/>
  <c r="K39" i="65"/>
  <c r="J40" i="65"/>
  <c r="K40" i="65"/>
  <c r="J41" i="65"/>
  <c r="K41" i="65"/>
  <c r="J42" i="65"/>
  <c r="K42" i="65"/>
  <c r="J43" i="65"/>
  <c r="K43" i="65"/>
  <c r="J44" i="65"/>
  <c r="K44" i="65"/>
  <c r="J45" i="65"/>
  <c r="K45" i="65"/>
  <c r="J46" i="65"/>
  <c r="K46" i="65"/>
  <c r="J47" i="65"/>
  <c r="K47" i="65"/>
  <c r="J48" i="65"/>
  <c r="K48" i="65"/>
  <c r="J49" i="65"/>
  <c r="K49" i="65"/>
  <c r="J50" i="65"/>
  <c r="K50" i="65"/>
  <c r="J51" i="65"/>
  <c r="K51" i="65"/>
  <c r="J52" i="65"/>
  <c r="K52" i="65"/>
  <c r="J53" i="65"/>
  <c r="K53" i="65"/>
  <c r="J54" i="65"/>
  <c r="K54" i="65"/>
  <c r="J55" i="65"/>
  <c r="K55" i="65"/>
  <c r="J56" i="65"/>
  <c r="K56" i="65"/>
  <c r="J57" i="65"/>
  <c r="K57" i="65"/>
  <c r="J58" i="65"/>
  <c r="K58" i="65"/>
  <c r="J59" i="65"/>
  <c r="K59" i="65"/>
  <c r="J60" i="65"/>
  <c r="K60" i="65"/>
  <c r="J61" i="65"/>
  <c r="K61" i="65"/>
  <c r="J62" i="65"/>
  <c r="K62" i="65"/>
  <c r="J63" i="65"/>
  <c r="K63" i="65"/>
  <c r="J64" i="65"/>
  <c r="K64" i="65"/>
  <c r="J65" i="65"/>
  <c r="K65" i="65"/>
  <c r="J66" i="65"/>
  <c r="K66" i="65"/>
  <c r="J67" i="65"/>
  <c r="K67" i="65"/>
  <c r="J68" i="65"/>
  <c r="K68" i="65"/>
  <c r="J69" i="65"/>
  <c r="K69" i="65"/>
  <c r="J70" i="65"/>
  <c r="K70" i="65"/>
  <c r="J71" i="65"/>
  <c r="K71" i="65"/>
  <c r="J72" i="65"/>
  <c r="K72" i="65"/>
  <c r="J73" i="65"/>
  <c r="K73" i="65"/>
  <c r="J74" i="65"/>
  <c r="K74" i="65"/>
  <c r="J75" i="65"/>
  <c r="K75" i="65"/>
  <c r="J76" i="65"/>
  <c r="K76" i="65"/>
  <c r="J77" i="65"/>
  <c r="K77" i="65"/>
  <c r="J78" i="65"/>
  <c r="K78" i="65"/>
  <c r="J79" i="65"/>
  <c r="K79" i="65"/>
  <c r="J80" i="65"/>
  <c r="K80" i="65"/>
  <c r="J81" i="65"/>
  <c r="K81" i="65"/>
  <c r="J82" i="65"/>
  <c r="K82" i="65"/>
  <c r="J83" i="65"/>
  <c r="K83" i="65"/>
  <c r="J84" i="65"/>
  <c r="K84" i="65"/>
  <c r="J85" i="65"/>
  <c r="K85" i="65"/>
  <c r="J86" i="65"/>
  <c r="K86" i="65"/>
  <c r="J87" i="65"/>
  <c r="K87" i="65"/>
  <c r="J88" i="65"/>
  <c r="K88" i="65"/>
  <c r="J89" i="65"/>
  <c r="K89" i="65"/>
  <c r="J90" i="65"/>
  <c r="K90" i="65"/>
  <c r="J91" i="65"/>
  <c r="K91" i="65"/>
  <c r="J92" i="65"/>
  <c r="K92" i="65"/>
  <c r="J93" i="65"/>
  <c r="K93" i="65"/>
  <c r="J94" i="65"/>
  <c r="K94" i="65"/>
  <c r="J95" i="65"/>
  <c r="K95" i="65"/>
  <c r="J96" i="65"/>
  <c r="K96" i="65"/>
  <c r="J97" i="65"/>
  <c r="K97" i="65"/>
  <c r="J98" i="65"/>
  <c r="K98" i="65"/>
  <c r="J99" i="65"/>
  <c r="K99" i="65"/>
  <c r="J100" i="65"/>
  <c r="K100" i="65"/>
  <c r="J101" i="65"/>
  <c r="K101" i="65"/>
  <c r="J102" i="65"/>
  <c r="K102" i="65"/>
  <c r="J103" i="65"/>
  <c r="K103" i="65"/>
  <c r="J104" i="65"/>
  <c r="K104" i="65"/>
  <c r="J105" i="65"/>
  <c r="K105" i="65"/>
  <c r="J106" i="65"/>
  <c r="K106" i="65"/>
  <c r="J107" i="65"/>
  <c r="K107" i="65"/>
  <c r="J108" i="65"/>
  <c r="K108" i="65"/>
  <c r="J109" i="65"/>
  <c r="K109" i="65"/>
  <c r="J110" i="65"/>
  <c r="K110" i="65"/>
  <c r="J111" i="65"/>
  <c r="K111" i="65"/>
  <c r="J112" i="65"/>
  <c r="K112" i="65"/>
  <c r="J113" i="65"/>
  <c r="K113" i="65"/>
  <c r="J114" i="65"/>
  <c r="K114" i="65"/>
  <c r="J115" i="65"/>
  <c r="K115" i="65"/>
  <c r="J116" i="65"/>
  <c r="K116" i="65"/>
  <c r="J117" i="65"/>
  <c r="K117" i="65"/>
  <c r="J118" i="65"/>
  <c r="K118" i="65"/>
  <c r="J119" i="65"/>
  <c r="K119" i="65"/>
  <c r="J120" i="65"/>
  <c r="K120" i="65"/>
  <c r="J121" i="65"/>
  <c r="K121" i="65"/>
  <c r="J122" i="65"/>
  <c r="K122" i="65"/>
  <c r="J123" i="65"/>
  <c r="K123" i="65"/>
  <c r="J124" i="65"/>
  <c r="K124" i="65"/>
  <c r="J125" i="65"/>
  <c r="K125" i="65"/>
  <c r="J126" i="65"/>
  <c r="K126" i="65"/>
  <c r="J127" i="65"/>
  <c r="K127" i="65"/>
  <c r="J128" i="65"/>
  <c r="K128" i="65"/>
  <c r="J129" i="65"/>
  <c r="K129" i="65"/>
  <c r="J130" i="65"/>
  <c r="K130" i="65"/>
  <c r="J131" i="65"/>
  <c r="K131" i="65"/>
  <c r="J132" i="65"/>
  <c r="K132" i="65"/>
  <c r="J133" i="65"/>
  <c r="K133" i="65"/>
  <c r="J134" i="65"/>
  <c r="K134" i="65"/>
  <c r="J135" i="65"/>
  <c r="K135" i="65"/>
  <c r="J136" i="65"/>
  <c r="K136" i="65"/>
  <c r="J137" i="65"/>
  <c r="K137" i="65"/>
  <c r="J138" i="65"/>
  <c r="K138" i="65"/>
  <c r="J139" i="65"/>
  <c r="K139" i="65"/>
  <c r="J140" i="65"/>
  <c r="K140" i="65"/>
  <c r="J141" i="65"/>
  <c r="K141" i="65"/>
  <c r="J142" i="65"/>
  <c r="K142" i="65"/>
  <c r="J143" i="65"/>
  <c r="K143" i="65"/>
  <c r="J144" i="65"/>
  <c r="K144" i="65"/>
  <c r="J145" i="65"/>
  <c r="K145" i="65"/>
  <c r="J146" i="65"/>
  <c r="K146" i="65"/>
  <c r="J147" i="65"/>
  <c r="K147" i="65"/>
  <c r="J148" i="65"/>
  <c r="K148" i="65"/>
  <c r="J149" i="65"/>
  <c r="K149" i="65"/>
  <c r="J150" i="65"/>
  <c r="K150" i="65"/>
  <c r="J151" i="65"/>
  <c r="K151" i="65"/>
  <c r="J152" i="65"/>
  <c r="K152" i="65"/>
  <c r="J153" i="65"/>
  <c r="K153" i="65"/>
  <c r="J154" i="65"/>
  <c r="K154" i="65"/>
  <c r="J155" i="65"/>
  <c r="K155" i="65"/>
  <c r="J156" i="65"/>
  <c r="K156" i="65"/>
  <c r="J157" i="65"/>
  <c r="K157" i="65"/>
  <c r="J158" i="65"/>
  <c r="K158" i="65"/>
  <c r="J159" i="65"/>
  <c r="K159" i="65"/>
  <c r="J160" i="65"/>
  <c r="K160" i="65"/>
  <c r="J161" i="65"/>
  <c r="K161" i="65"/>
  <c r="J162" i="65"/>
  <c r="K162" i="65"/>
  <c r="J163" i="65"/>
  <c r="K163" i="65"/>
  <c r="J164" i="65"/>
  <c r="K164" i="65"/>
  <c r="J165" i="65"/>
  <c r="K165" i="65"/>
  <c r="J166" i="65"/>
  <c r="K166" i="65"/>
  <c r="J167" i="65"/>
  <c r="K167" i="65"/>
  <c r="J168" i="65"/>
  <c r="K168" i="65"/>
  <c r="J169" i="65"/>
  <c r="K169" i="65"/>
  <c r="J170" i="65"/>
  <c r="K170" i="65"/>
  <c r="J171" i="65"/>
  <c r="K171" i="65"/>
  <c r="J172" i="65"/>
  <c r="K172" i="65"/>
  <c r="J173" i="65"/>
  <c r="K173" i="65"/>
  <c r="J174" i="65"/>
  <c r="K174" i="65"/>
  <c r="J175" i="65"/>
  <c r="K175" i="65"/>
  <c r="J176" i="65"/>
  <c r="K176" i="65"/>
  <c r="J177" i="65"/>
  <c r="K177" i="65"/>
  <c r="J178" i="65"/>
  <c r="K178" i="65"/>
  <c r="J179" i="65"/>
  <c r="K179" i="65"/>
  <c r="J180" i="65"/>
  <c r="K180" i="65"/>
  <c r="J181" i="65"/>
  <c r="K181" i="65"/>
  <c r="J182" i="65"/>
  <c r="K182" i="65"/>
  <c r="J183" i="65"/>
  <c r="K183" i="65"/>
  <c r="J184" i="65"/>
  <c r="K184" i="65"/>
  <c r="J185" i="65"/>
  <c r="K185" i="65"/>
  <c r="J186" i="65"/>
  <c r="K186" i="65"/>
  <c r="J187" i="65"/>
  <c r="K187" i="65"/>
  <c r="J188" i="65"/>
  <c r="K188" i="65"/>
  <c r="J189" i="65"/>
  <c r="K189" i="65"/>
  <c r="J190" i="65"/>
  <c r="K190" i="65"/>
  <c r="J191" i="65"/>
  <c r="K191" i="65"/>
  <c r="J192" i="65"/>
  <c r="K192" i="65"/>
  <c r="J193" i="65"/>
  <c r="K193" i="65"/>
  <c r="J194" i="65"/>
  <c r="K194" i="65"/>
  <c r="J195" i="65"/>
  <c r="K195" i="65"/>
  <c r="J196" i="65"/>
  <c r="K196" i="65"/>
  <c r="J197" i="65"/>
  <c r="K197" i="65"/>
  <c r="J198" i="65"/>
  <c r="K198" i="65"/>
  <c r="J199" i="65"/>
  <c r="K199" i="65"/>
  <c r="J200" i="65"/>
  <c r="K200" i="65"/>
  <c r="J201" i="65"/>
  <c r="K201" i="65"/>
  <c r="J202" i="65"/>
  <c r="K202" i="65"/>
  <c r="J203" i="65"/>
  <c r="K203" i="65"/>
  <c r="J204" i="65"/>
  <c r="K204" i="65"/>
  <c r="J205" i="65"/>
  <c r="K205" i="65"/>
  <c r="J206" i="65"/>
  <c r="K206" i="65"/>
  <c r="J207" i="65"/>
  <c r="K207" i="65"/>
  <c r="J208" i="65"/>
  <c r="K208" i="65"/>
  <c r="J209" i="65"/>
  <c r="K209" i="65"/>
  <c r="J210" i="65"/>
  <c r="K210" i="65"/>
  <c r="J211" i="65"/>
  <c r="K211" i="65"/>
  <c r="J212" i="65"/>
  <c r="K212" i="65"/>
  <c r="J213" i="65"/>
  <c r="K213" i="65"/>
  <c r="J214" i="65"/>
  <c r="K214" i="65"/>
  <c r="J215" i="65"/>
  <c r="K215" i="65"/>
  <c r="J216" i="65"/>
  <c r="K216" i="65"/>
  <c r="J217" i="65"/>
  <c r="K217" i="65"/>
  <c r="J218" i="65"/>
  <c r="K218" i="65"/>
  <c r="J219" i="65"/>
  <c r="K219" i="65"/>
  <c r="J220" i="65"/>
  <c r="K220" i="65"/>
  <c r="J221" i="65"/>
  <c r="K221" i="65"/>
  <c r="J222" i="65"/>
  <c r="K222" i="65"/>
  <c r="J223" i="65"/>
  <c r="K223" i="65"/>
  <c r="J224" i="65"/>
  <c r="K224" i="65"/>
  <c r="J225" i="65"/>
  <c r="K225" i="65"/>
  <c r="J226" i="65"/>
  <c r="K226" i="65"/>
  <c r="J227" i="65"/>
  <c r="K227" i="65"/>
  <c r="J228" i="65"/>
  <c r="K228" i="65"/>
  <c r="J229" i="65"/>
  <c r="K229" i="65"/>
  <c r="J230" i="65"/>
  <c r="K230" i="65"/>
  <c r="J231" i="65"/>
  <c r="K231" i="65"/>
  <c r="J232" i="65"/>
  <c r="K232" i="65"/>
  <c r="J233" i="65"/>
  <c r="K233" i="65"/>
  <c r="J234" i="65"/>
  <c r="K234" i="65"/>
  <c r="J235" i="65"/>
  <c r="K235" i="65"/>
  <c r="J236" i="65"/>
  <c r="K236" i="65"/>
  <c r="J237" i="65"/>
  <c r="K237" i="65"/>
  <c r="J238" i="65"/>
  <c r="K238" i="65"/>
  <c r="J239" i="65"/>
  <c r="K239" i="65"/>
  <c r="J240" i="65"/>
  <c r="K240" i="65"/>
  <c r="J241" i="65"/>
  <c r="K241" i="65"/>
  <c r="J242" i="65"/>
  <c r="K242" i="65"/>
  <c r="J243" i="65"/>
  <c r="K243" i="65"/>
  <c r="J244" i="65"/>
  <c r="K244" i="65"/>
  <c r="J245" i="65"/>
  <c r="K245" i="65"/>
  <c r="J246" i="65"/>
  <c r="K246" i="65"/>
  <c r="J247" i="65"/>
  <c r="K247" i="65"/>
  <c r="J248" i="65"/>
  <c r="K248" i="65"/>
  <c r="J249" i="65"/>
  <c r="K249" i="65"/>
  <c r="J250" i="65"/>
  <c r="K250" i="65"/>
  <c r="J251" i="65"/>
  <c r="K251" i="65"/>
  <c r="J252" i="65"/>
  <c r="K252" i="65"/>
  <c r="J253" i="65"/>
  <c r="K253" i="65"/>
  <c r="J254" i="65"/>
  <c r="K254" i="65"/>
  <c r="J255" i="65"/>
  <c r="K255" i="65"/>
  <c r="J256" i="65"/>
  <c r="K256" i="65"/>
  <c r="J257" i="65"/>
  <c r="K257" i="65"/>
  <c r="J258" i="65"/>
  <c r="K258" i="65"/>
  <c r="J259" i="65"/>
  <c r="K259" i="65"/>
  <c r="J260" i="65"/>
  <c r="K260" i="65"/>
  <c r="J261" i="65"/>
  <c r="K261" i="65"/>
  <c r="J262" i="65"/>
  <c r="K262" i="65"/>
  <c r="J263" i="65"/>
  <c r="K263" i="65"/>
  <c r="J264" i="65"/>
  <c r="K264" i="65"/>
  <c r="J265" i="65"/>
  <c r="K265" i="65"/>
  <c r="J266" i="65"/>
  <c r="K266" i="65"/>
  <c r="J267" i="65"/>
  <c r="K267" i="65"/>
  <c r="J268" i="65"/>
  <c r="K268" i="65"/>
  <c r="J269" i="65"/>
  <c r="K269" i="65"/>
  <c r="J270" i="65"/>
  <c r="K270" i="65"/>
  <c r="J271" i="65"/>
  <c r="K271" i="65"/>
  <c r="J272" i="65"/>
  <c r="K272" i="65"/>
  <c r="J273" i="65"/>
  <c r="K273" i="65"/>
  <c r="J274" i="65"/>
  <c r="K274" i="65"/>
  <c r="J275" i="65"/>
  <c r="K275" i="65"/>
  <c r="J276" i="65"/>
  <c r="K276" i="65"/>
  <c r="J277" i="65"/>
  <c r="K277" i="65"/>
  <c r="J278" i="65"/>
  <c r="K278" i="65"/>
  <c r="J279" i="65"/>
  <c r="K279" i="65"/>
  <c r="J280" i="65"/>
  <c r="K280" i="65"/>
  <c r="J281" i="65"/>
  <c r="K281" i="65"/>
  <c r="J282" i="65"/>
  <c r="K282" i="65"/>
  <c r="J283" i="65"/>
  <c r="K283" i="65"/>
  <c r="J284" i="65"/>
  <c r="K284" i="65"/>
  <c r="J285" i="65"/>
  <c r="K285" i="65"/>
  <c r="J286" i="65"/>
  <c r="K286" i="65"/>
  <c r="J287" i="65"/>
  <c r="K287" i="65"/>
  <c r="J288" i="65"/>
  <c r="K288" i="65"/>
  <c r="J289" i="65"/>
  <c r="K289" i="65"/>
  <c r="J290" i="65"/>
  <c r="K290" i="65"/>
  <c r="J291" i="65"/>
  <c r="K291" i="65"/>
  <c r="J292" i="65"/>
  <c r="K292" i="65"/>
  <c r="J293" i="65"/>
  <c r="K293" i="65"/>
  <c r="J294" i="65"/>
  <c r="K294" i="65"/>
  <c r="J295" i="65"/>
  <c r="K295" i="65"/>
  <c r="J296" i="65"/>
  <c r="K296" i="65"/>
  <c r="J297" i="65"/>
  <c r="K297" i="65"/>
  <c r="J298" i="65"/>
  <c r="K298" i="65"/>
  <c r="J299" i="65"/>
  <c r="K299" i="65"/>
  <c r="J300" i="65"/>
  <c r="K300" i="65"/>
  <c r="J301" i="65"/>
  <c r="K301" i="65"/>
  <c r="J302" i="65"/>
  <c r="K302" i="65"/>
  <c r="J303" i="65"/>
  <c r="K303" i="65"/>
  <c r="J304" i="65"/>
  <c r="K304" i="65"/>
  <c r="J305" i="65"/>
  <c r="K305" i="65"/>
  <c r="J306" i="65"/>
  <c r="K306" i="65"/>
  <c r="J307" i="65"/>
  <c r="K307" i="65"/>
  <c r="J308" i="65"/>
  <c r="K308" i="65"/>
  <c r="J309" i="65"/>
  <c r="K309" i="65"/>
  <c r="J310" i="65"/>
  <c r="K310" i="65"/>
  <c r="J311" i="65"/>
  <c r="K311" i="65"/>
  <c r="J312" i="65"/>
  <c r="K312" i="65"/>
  <c r="J313" i="65"/>
  <c r="K313" i="65"/>
  <c r="J314" i="65"/>
  <c r="K314" i="65"/>
  <c r="J315" i="65"/>
  <c r="K315" i="65"/>
  <c r="J316" i="65"/>
  <c r="K316" i="65"/>
  <c r="J317" i="65"/>
  <c r="K317" i="65"/>
  <c r="J318" i="65"/>
  <c r="K318" i="65"/>
  <c r="J319" i="65"/>
  <c r="K319" i="65"/>
  <c r="J320" i="65"/>
  <c r="K320" i="65"/>
  <c r="J321" i="65"/>
  <c r="K321" i="65"/>
  <c r="J322" i="65"/>
  <c r="K322" i="65"/>
  <c r="J323" i="65"/>
  <c r="K323" i="65"/>
  <c r="J324" i="65"/>
  <c r="K324" i="65"/>
  <c r="J325" i="65"/>
  <c r="K325" i="65"/>
  <c r="J326" i="65"/>
  <c r="K326" i="65"/>
  <c r="J327" i="65"/>
  <c r="K327" i="65"/>
  <c r="J328" i="65"/>
  <c r="K328" i="65"/>
  <c r="J329" i="65"/>
  <c r="K329" i="65"/>
  <c r="J330" i="65"/>
  <c r="K330" i="65"/>
  <c r="J331" i="65"/>
  <c r="K331" i="65"/>
  <c r="J332" i="65"/>
  <c r="K332" i="65"/>
  <c r="J333" i="65"/>
  <c r="K333" i="65"/>
  <c r="J334" i="65"/>
  <c r="K334" i="65"/>
  <c r="J335" i="65"/>
  <c r="K335" i="65"/>
  <c r="J336" i="65"/>
  <c r="K336" i="65"/>
  <c r="J337" i="65"/>
  <c r="K337" i="65"/>
  <c r="J338" i="65"/>
  <c r="K338" i="65"/>
  <c r="J339" i="65"/>
  <c r="K339" i="65"/>
  <c r="J340" i="65"/>
  <c r="K340" i="65"/>
  <c r="J341" i="65"/>
  <c r="K341" i="65"/>
  <c r="J342" i="65"/>
  <c r="K342" i="65"/>
  <c r="J343" i="65"/>
  <c r="K343" i="65"/>
  <c r="J344" i="65"/>
  <c r="K344" i="65"/>
  <c r="J345" i="65"/>
  <c r="K345" i="65"/>
  <c r="J346" i="65"/>
  <c r="K346" i="65"/>
  <c r="J347" i="65"/>
  <c r="K347" i="65"/>
  <c r="J348" i="65"/>
  <c r="K348" i="65"/>
  <c r="J349" i="65"/>
  <c r="K349" i="65"/>
  <c r="J350" i="65"/>
  <c r="K350" i="65"/>
  <c r="J351" i="65"/>
  <c r="K351" i="65"/>
  <c r="J352" i="65"/>
  <c r="K352" i="65"/>
  <c r="J353" i="65"/>
  <c r="K353" i="65"/>
  <c r="J354" i="65"/>
  <c r="K354" i="65"/>
  <c r="J355" i="65"/>
  <c r="K355" i="65"/>
  <c r="J356" i="65"/>
  <c r="K356" i="65"/>
  <c r="J357" i="65"/>
  <c r="K357" i="65"/>
  <c r="J358" i="65"/>
  <c r="K358" i="65"/>
  <c r="J359" i="65"/>
  <c r="K359" i="65"/>
  <c r="J360" i="65"/>
  <c r="K360" i="65"/>
  <c r="J361" i="65"/>
  <c r="K361" i="65"/>
  <c r="J362" i="65"/>
  <c r="K362" i="65"/>
  <c r="J363" i="65"/>
  <c r="K363" i="65"/>
  <c r="J364" i="65"/>
  <c r="K364" i="65"/>
  <c r="J365" i="65"/>
  <c r="K365" i="65"/>
  <c r="J366" i="65"/>
  <c r="K366" i="65"/>
  <c r="J367" i="65"/>
  <c r="K367" i="65"/>
  <c r="J368" i="65"/>
  <c r="K368" i="65"/>
  <c r="J369" i="65"/>
  <c r="K369" i="65"/>
  <c r="J370" i="65"/>
  <c r="K370" i="65"/>
  <c r="J371" i="65"/>
  <c r="K371" i="65"/>
  <c r="J372" i="65"/>
  <c r="K372" i="65"/>
  <c r="J373" i="65"/>
  <c r="K373" i="65"/>
  <c r="J374" i="65"/>
  <c r="K374" i="65"/>
  <c r="J375" i="65"/>
  <c r="K375" i="65"/>
  <c r="J376" i="65"/>
  <c r="K376" i="65"/>
  <c r="J377" i="65"/>
  <c r="K377" i="65"/>
  <c r="J378" i="65"/>
  <c r="K378" i="65"/>
  <c r="J379" i="65"/>
  <c r="K379" i="65"/>
  <c r="J380" i="65"/>
  <c r="K380" i="65"/>
  <c r="J381" i="65"/>
  <c r="K381" i="65"/>
  <c r="J382" i="65"/>
  <c r="K382" i="65"/>
  <c r="J383" i="65"/>
  <c r="K383" i="65"/>
  <c r="J384" i="65"/>
  <c r="K384" i="65"/>
  <c r="J385" i="65"/>
  <c r="K385" i="65"/>
  <c r="J386" i="65"/>
  <c r="K386" i="65"/>
  <c r="J387" i="65"/>
  <c r="K387" i="65"/>
  <c r="J388" i="65"/>
  <c r="K388" i="65"/>
  <c r="J389" i="65"/>
  <c r="K389" i="65"/>
  <c r="J390" i="65"/>
  <c r="K390" i="65"/>
  <c r="J391" i="65"/>
  <c r="K391" i="65"/>
  <c r="J392" i="65"/>
  <c r="K392" i="65"/>
  <c r="J393" i="65"/>
  <c r="K393" i="65"/>
  <c r="J394" i="65"/>
  <c r="K394" i="65"/>
  <c r="J395" i="65"/>
  <c r="K395" i="65"/>
  <c r="J396" i="65"/>
  <c r="K396" i="65"/>
  <c r="J397" i="65"/>
  <c r="K397" i="65"/>
  <c r="J398" i="65"/>
  <c r="K398" i="65"/>
  <c r="J399" i="65"/>
  <c r="K399" i="65"/>
  <c r="J400" i="65"/>
  <c r="K400" i="65"/>
  <c r="J401" i="65"/>
  <c r="K401" i="65"/>
  <c r="J402" i="65"/>
  <c r="K402" i="65"/>
  <c r="J403" i="65"/>
  <c r="K403" i="65"/>
  <c r="J404" i="65"/>
  <c r="K404" i="65"/>
  <c r="J405" i="65"/>
  <c r="K405" i="65"/>
  <c r="J406" i="65"/>
  <c r="K406" i="65"/>
  <c r="J407" i="65"/>
  <c r="K407" i="65"/>
  <c r="J408" i="65"/>
  <c r="K408" i="65"/>
  <c r="J409" i="65"/>
  <c r="K409" i="65"/>
  <c r="J410" i="65"/>
  <c r="K410" i="65"/>
  <c r="J411" i="65"/>
  <c r="K411" i="65"/>
  <c r="J412" i="65"/>
  <c r="K412" i="65"/>
  <c r="J413" i="65"/>
  <c r="K413" i="65"/>
  <c r="J414" i="65"/>
  <c r="K414" i="65"/>
  <c r="J415" i="65"/>
  <c r="K415" i="65"/>
  <c r="J416" i="65"/>
  <c r="K416" i="65"/>
  <c r="J417" i="65"/>
  <c r="K417" i="65"/>
  <c r="J418" i="65"/>
  <c r="K418" i="65"/>
  <c r="J419" i="65"/>
  <c r="K419" i="65"/>
  <c r="J420" i="65"/>
  <c r="K420" i="65"/>
  <c r="J421" i="65"/>
  <c r="K421" i="65"/>
  <c r="J422" i="65"/>
  <c r="K422" i="65"/>
  <c r="J423" i="65"/>
  <c r="K423" i="65"/>
  <c r="J424" i="65"/>
  <c r="K424" i="65"/>
  <c r="J425" i="65"/>
  <c r="K425" i="65"/>
  <c r="J426" i="65"/>
  <c r="K426" i="65"/>
  <c r="J427" i="65"/>
  <c r="K427" i="65"/>
  <c r="J428" i="65"/>
  <c r="K428" i="65"/>
  <c r="J429" i="65"/>
  <c r="K429" i="65"/>
  <c r="J430" i="65"/>
  <c r="K430" i="65"/>
  <c r="J431" i="65"/>
  <c r="K431" i="65"/>
  <c r="J432" i="65"/>
  <c r="K432" i="65"/>
  <c r="J433" i="65"/>
  <c r="K433" i="65"/>
  <c r="J434" i="65"/>
  <c r="K434" i="65"/>
  <c r="J435" i="65"/>
  <c r="K435" i="65"/>
  <c r="J436" i="65"/>
  <c r="K436" i="65"/>
  <c r="J437" i="65"/>
  <c r="K437" i="65"/>
  <c r="J438" i="65"/>
  <c r="K438" i="65"/>
  <c r="J439" i="65"/>
  <c r="K439" i="65"/>
  <c r="J440" i="65"/>
  <c r="K440" i="65"/>
  <c r="J441" i="65"/>
  <c r="K441" i="65"/>
  <c r="J442" i="65"/>
  <c r="K442" i="65"/>
  <c r="J443" i="65"/>
  <c r="K443" i="65"/>
  <c r="J444" i="65"/>
  <c r="K444" i="65"/>
  <c r="J445" i="65"/>
  <c r="K445" i="65"/>
  <c r="J446" i="65"/>
  <c r="K446" i="65"/>
  <c r="J447" i="65"/>
  <c r="K447" i="65"/>
  <c r="J448" i="65"/>
  <c r="K448" i="65"/>
  <c r="J449" i="65"/>
  <c r="K449" i="65"/>
  <c r="J450" i="65"/>
  <c r="K450" i="65"/>
  <c r="J451" i="65"/>
  <c r="K451" i="65"/>
  <c r="J452" i="65"/>
  <c r="K452" i="65"/>
  <c r="J453" i="65"/>
  <c r="K453" i="65"/>
  <c r="J454" i="65"/>
  <c r="K454" i="65"/>
  <c r="J455" i="65"/>
  <c r="K455" i="65"/>
  <c r="J456" i="65"/>
  <c r="K456" i="65"/>
  <c r="J457" i="65"/>
  <c r="K457" i="65"/>
  <c r="J458" i="65"/>
  <c r="K458" i="65"/>
  <c r="J459" i="65"/>
  <c r="K459" i="65"/>
  <c r="J460" i="65"/>
  <c r="K460" i="65"/>
  <c r="J461" i="65"/>
  <c r="K461" i="65"/>
  <c r="J462" i="65"/>
  <c r="K462" i="65"/>
  <c r="J463" i="65"/>
  <c r="K463" i="65"/>
  <c r="J464" i="65"/>
  <c r="K464" i="65"/>
  <c r="J465" i="65"/>
  <c r="K465" i="65"/>
  <c r="J466" i="65"/>
  <c r="K466" i="65"/>
  <c r="J467" i="65"/>
  <c r="K467" i="65"/>
  <c r="J468" i="65"/>
  <c r="K468" i="65"/>
  <c r="J469" i="65"/>
  <c r="K469" i="65"/>
  <c r="J470" i="65"/>
  <c r="K470" i="65"/>
  <c r="J471" i="65"/>
  <c r="K471" i="65"/>
  <c r="J472" i="65"/>
  <c r="K472" i="65"/>
  <c r="J473" i="65"/>
  <c r="K473" i="65"/>
  <c r="J474" i="65"/>
  <c r="K474" i="65"/>
  <c r="J475" i="65"/>
  <c r="K475" i="65"/>
  <c r="J476" i="65"/>
  <c r="K476" i="65"/>
  <c r="J477" i="65"/>
  <c r="K477" i="65"/>
  <c r="J478" i="65"/>
  <c r="K478" i="65"/>
  <c r="J479" i="65"/>
  <c r="K479" i="65"/>
  <c r="J480" i="65"/>
  <c r="K480" i="65"/>
  <c r="J481" i="65"/>
  <c r="K481" i="65"/>
  <c r="J482" i="65"/>
  <c r="K482" i="65"/>
  <c r="J483" i="65"/>
  <c r="K483" i="65"/>
  <c r="J484" i="65"/>
  <c r="K484" i="65"/>
  <c r="J485" i="65"/>
  <c r="K485" i="65"/>
  <c r="J486" i="65"/>
  <c r="K486" i="65"/>
  <c r="J487" i="65"/>
  <c r="K487" i="65"/>
  <c r="J488" i="65"/>
  <c r="K488" i="65"/>
  <c r="J489" i="65"/>
  <c r="K489" i="65"/>
  <c r="J490" i="65"/>
  <c r="K490" i="65"/>
  <c r="J491" i="65"/>
  <c r="K491" i="65"/>
  <c r="J492" i="65"/>
  <c r="K492" i="65"/>
  <c r="J493" i="65"/>
  <c r="K493" i="65"/>
  <c r="J494" i="65"/>
  <c r="K494" i="65"/>
  <c r="J495" i="65"/>
  <c r="K495" i="65"/>
  <c r="J496" i="65"/>
  <c r="K496" i="65"/>
  <c r="J497" i="65"/>
  <c r="K497" i="65"/>
  <c r="J498" i="65"/>
  <c r="K498" i="65"/>
  <c r="J499" i="65"/>
  <c r="K499" i="65"/>
  <c r="J500" i="65"/>
  <c r="K500" i="65"/>
  <c r="J501" i="65"/>
  <c r="K501" i="65"/>
  <c r="J502" i="65"/>
  <c r="K502" i="65"/>
  <c r="J503" i="65"/>
  <c r="K503" i="65"/>
  <c r="J504" i="65"/>
  <c r="K504" i="65"/>
  <c r="J505" i="65"/>
  <c r="K505" i="65"/>
  <c r="J506" i="65"/>
  <c r="K506" i="65"/>
  <c r="J507" i="65"/>
  <c r="K507" i="65"/>
  <c r="J508" i="65"/>
  <c r="K508" i="65"/>
  <c r="J509" i="65"/>
  <c r="K509" i="65"/>
  <c r="J510" i="65"/>
  <c r="K510" i="65"/>
  <c r="J511" i="65"/>
  <c r="K511" i="65"/>
  <c r="J512" i="65"/>
  <c r="K512" i="65"/>
  <c r="J513" i="65"/>
  <c r="K513" i="65"/>
  <c r="J514" i="65"/>
  <c r="K514" i="65"/>
  <c r="J515" i="65"/>
  <c r="K515" i="65"/>
  <c r="J516" i="65"/>
  <c r="K516" i="65"/>
  <c r="J517" i="65"/>
  <c r="K517" i="65"/>
  <c r="J518" i="65"/>
  <c r="K518" i="65"/>
  <c r="J519" i="65"/>
  <c r="K519" i="65"/>
  <c r="J520" i="65"/>
  <c r="K520" i="65"/>
  <c r="J521" i="65"/>
  <c r="K521" i="65"/>
  <c r="J522" i="65"/>
  <c r="K522" i="65"/>
  <c r="J523" i="65"/>
  <c r="K523" i="65"/>
  <c r="J524" i="65"/>
  <c r="K524" i="65"/>
  <c r="J525" i="65"/>
  <c r="K525" i="65"/>
  <c r="J526" i="65"/>
  <c r="K526" i="65"/>
  <c r="J527" i="65"/>
  <c r="K527" i="65"/>
  <c r="J528" i="65"/>
  <c r="K528" i="65"/>
  <c r="J529" i="65"/>
  <c r="K529" i="65"/>
  <c r="J530" i="65"/>
  <c r="K530" i="65"/>
  <c r="J531" i="65"/>
  <c r="K531" i="65"/>
  <c r="J532" i="65"/>
  <c r="K532" i="65"/>
  <c r="J533" i="65"/>
  <c r="K533" i="65"/>
  <c r="J534" i="65"/>
  <c r="K534" i="65"/>
  <c r="J535" i="65"/>
  <c r="K535" i="65"/>
  <c r="J536" i="65"/>
  <c r="K536" i="65"/>
  <c r="J537" i="65"/>
  <c r="K537" i="65"/>
  <c r="J538" i="65"/>
  <c r="K538" i="65"/>
  <c r="J539" i="65"/>
  <c r="K539" i="65"/>
  <c r="J540" i="65"/>
  <c r="K540" i="65"/>
  <c r="J541" i="65"/>
  <c r="K541" i="65"/>
  <c r="J542" i="65"/>
  <c r="K542" i="65"/>
  <c r="J543" i="65"/>
  <c r="K543" i="65"/>
  <c r="J544" i="65"/>
  <c r="K544" i="65"/>
  <c r="J545" i="65"/>
  <c r="K545" i="65"/>
  <c r="J546" i="65"/>
  <c r="K546" i="65"/>
  <c r="J547" i="65"/>
  <c r="K547" i="65"/>
  <c r="J548" i="65"/>
  <c r="K548" i="65"/>
  <c r="J549" i="65"/>
  <c r="K549" i="65"/>
  <c r="J550" i="65"/>
  <c r="K550" i="65"/>
  <c r="J551" i="65"/>
  <c r="K551" i="65"/>
  <c r="J552" i="65"/>
  <c r="K552" i="65"/>
  <c r="J553" i="65"/>
  <c r="K553" i="65"/>
  <c r="J554" i="65"/>
  <c r="K554" i="65"/>
  <c r="J555" i="65"/>
  <c r="K555" i="65"/>
  <c r="J556" i="65"/>
  <c r="K556" i="65"/>
  <c r="J557" i="65"/>
  <c r="K557" i="65"/>
  <c r="J558" i="65"/>
  <c r="K558" i="65"/>
  <c r="J559" i="65"/>
  <c r="K559" i="65"/>
  <c r="J560" i="65"/>
  <c r="K560" i="65"/>
  <c r="J561" i="65"/>
  <c r="K561" i="65"/>
  <c r="J562" i="65"/>
  <c r="K562" i="65"/>
  <c r="J563" i="65"/>
  <c r="K563" i="65"/>
  <c r="J564" i="65"/>
  <c r="K564" i="65"/>
  <c r="J565" i="65"/>
  <c r="K565" i="65"/>
  <c r="J566" i="65"/>
  <c r="K566" i="65"/>
  <c r="J567" i="65"/>
  <c r="K567" i="65"/>
  <c r="J568" i="65"/>
  <c r="K568" i="65"/>
  <c r="J569" i="65"/>
  <c r="K569" i="65"/>
  <c r="J570" i="65"/>
  <c r="K570" i="65"/>
  <c r="J571" i="65"/>
  <c r="K571" i="65"/>
  <c r="J572" i="65"/>
  <c r="K572" i="65"/>
  <c r="J573" i="65"/>
  <c r="K573" i="65"/>
  <c r="J574" i="65"/>
  <c r="K574" i="65"/>
  <c r="J575" i="65"/>
  <c r="K575" i="65"/>
  <c r="J576" i="65"/>
  <c r="K576" i="65"/>
  <c r="J577" i="65"/>
  <c r="K577" i="65"/>
  <c r="J578" i="65"/>
  <c r="K578" i="65"/>
  <c r="J579" i="65"/>
  <c r="K579" i="65"/>
  <c r="J580" i="65"/>
  <c r="K580" i="65"/>
  <c r="J581" i="65"/>
  <c r="K581" i="65"/>
  <c r="J582" i="65"/>
  <c r="K582" i="65"/>
  <c r="J583" i="65"/>
  <c r="K583" i="65"/>
  <c r="J584" i="65"/>
  <c r="K584" i="65"/>
  <c r="J585" i="65"/>
  <c r="K585" i="65"/>
  <c r="J586" i="65"/>
  <c r="K586" i="65"/>
  <c r="J587" i="65"/>
  <c r="K587" i="65"/>
  <c r="J588" i="65"/>
  <c r="K588" i="65"/>
  <c r="J589" i="65"/>
  <c r="K589" i="65"/>
  <c r="J590" i="65"/>
  <c r="K590" i="65"/>
  <c r="J591" i="65"/>
  <c r="K591" i="65"/>
  <c r="J592" i="65"/>
  <c r="K592" i="65"/>
  <c r="J593" i="65"/>
  <c r="K593" i="65"/>
  <c r="J594" i="65"/>
  <c r="K594" i="65"/>
  <c r="J595" i="65"/>
  <c r="K595" i="65"/>
  <c r="J596" i="65"/>
  <c r="K596" i="65"/>
  <c r="J597" i="65"/>
  <c r="K597" i="65"/>
  <c r="J598" i="65"/>
  <c r="K598" i="65"/>
  <c r="J599" i="65"/>
  <c r="K599" i="65"/>
  <c r="J600" i="65"/>
  <c r="K600" i="65"/>
  <c r="J601" i="65"/>
  <c r="K601" i="65"/>
  <c r="J602" i="65"/>
  <c r="K602" i="65"/>
  <c r="J603" i="65"/>
  <c r="K603" i="65"/>
  <c r="J604" i="65"/>
  <c r="K604" i="65"/>
  <c r="J605" i="65"/>
  <c r="K605" i="65"/>
  <c r="J606" i="65"/>
  <c r="K606" i="65"/>
  <c r="J607" i="65"/>
  <c r="K607" i="65"/>
  <c r="J608" i="65"/>
  <c r="K608" i="65"/>
  <c r="J609" i="65"/>
  <c r="K609" i="65"/>
  <c r="J610" i="65"/>
  <c r="K610" i="65"/>
  <c r="J611" i="65"/>
  <c r="K611" i="65"/>
  <c r="J612" i="65"/>
  <c r="K612" i="65"/>
  <c r="J613" i="65"/>
  <c r="K613" i="65"/>
  <c r="J614" i="65"/>
  <c r="K614" i="65"/>
  <c r="J615" i="65"/>
  <c r="K615" i="65"/>
  <c r="J616" i="65"/>
  <c r="K616" i="65"/>
  <c r="J617" i="65"/>
  <c r="K617" i="65"/>
  <c r="J618" i="65"/>
  <c r="K618" i="65"/>
  <c r="J619" i="65"/>
  <c r="K619" i="65"/>
  <c r="J620" i="65"/>
  <c r="K620" i="65"/>
  <c r="J621" i="65"/>
  <c r="K621" i="65"/>
  <c r="J622" i="65"/>
  <c r="K622" i="65"/>
  <c r="J623" i="65"/>
  <c r="K623" i="65"/>
  <c r="J624" i="65"/>
  <c r="K624" i="65"/>
  <c r="J625" i="65"/>
  <c r="K625" i="65"/>
  <c r="J626" i="65"/>
  <c r="K626" i="65"/>
  <c r="J627" i="65"/>
  <c r="K627" i="65"/>
  <c r="J628" i="65"/>
  <c r="K628" i="65"/>
  <c r="J629" i="65"/>
  <c r="K629" i="65"/>
  <c r="J630" i="65"/>
  <c r="K630" i="65"/>
  <c r="J631" i="65"/>
  <c r="K631" i="65"/>
  <c r="J632" i="65"/>
  <c r="K632" i="65"/>
  <c r="J633" i="65"/>
  <c r="K633" i="65"/>
  <c r="J634" i="65"/>
  <c r="K634" i="65"/>
  <c r="J635" i="65"/>
  <c r="K635" i="65"/>
  <c r="J636" i="65"/>
  <c r="K636" i="65"/>
  <c r="J637" i="65"/>
  <c r="K637" i="65"/>
  <c r="J638" i="65"/>
  <c r="K638" i="65"/>
  <c r="J639" i="65"/>
  <c r="K639" i="65"/>
  <c r="J640" i="65"/>
  <c r="K640" i="65"/>
  <c r="J641" i="65"/>
  <c r="K641" i="65"/>
  <c r="J642" i="65"/>
  <c r="K642" i="65"/>
  <c r="J643" i="65"/>
  <c r="K643" i="65"/>
  <c r="J644" i="65"/>
  <c r="K644" i="65"/>
  <c r="J645" i="65"/>
  <c r="K645" i="65"/>
  <c r="J646" i="65"/>
  <c r="K646" i="65"/>
  <c r="J647" i="65"/>
  <c r="K647" i="65"/>
  <c r="J648" i="65"/>
  <c r="K648" i="65"/>
  <c r="J649" i="65"/>
  <c r="K649" i="65"/>
  <c r="J650" i="65"/>
  <c r="K650" i="65"/>
  <c r="J651" i="65"/>
  <c r="K651" i="65"/>
  <c r="J652" i="65"/>
  <c r="K652" i="65"/>
  <c r="J653" i="65"/>
  <c r="K653" i="65"/>
  <c r="J654" i="65"/>
  <c r="K654" i="65"/>
  <c r="J655" i="65"/>
  <c r="K655" i="65"/>
  <c r="J656" i="65"/>
  <c r="K656" i="65"/>
  <c r="J657" i="65"/>
  <c r="K657" i="65"/>
  <c r="J658" i="65"/>
  <c r="K658" i="65"/>
  <c r="J659" i="65"/>
  <c r="K659" i="65"/>
  <c r="J660" i="65"/>
  <c r="K660" i="65"/>
  <c r="J661" i="65"/>
  <c r="K661" i="65"/>
  <c r="J662" i="65"/>
  <c r="K662" i="65"/>
  <c r="J663" i="65"/>
  <c r="K663" i="65"/>
  <c r="J664" i="65"/>
  <c r="K664" i="65"/>
  <c r="J665" i="65"/>
  <c r="K665" i="65"/>
  <c r="J666" i="65"/>
  <c r="K666" i="65"/>
  <c r="J667" i="65"/>
  <c r="K667" i="65"/>
  <c r="J668" i="65"/>
  <c r="K668" i="65"/>
  <c r="J669" i="65"/>
  <c r="K669" i="65"/>
  <c r="J670" i="65"/>
  <c r="K670" i="65"/>
  <c r="J671" i="65"/>
  <c r="K671" i="65"/>
  <c r="J672" i="65"/>
  <c r="K672" i="65"/>
  <c r="J673" i="65"/>
  <c r="K673" i="65"/>
  <c r="J674" i="65"/>
  <c r="K674" i="65"/>
  <c r="J675" i="65"/>
  <c r="K675" i="65"/>
  <c r="J676" i="65"/>
  <c r="K676" i="65"/>
  <c r="J677" i="65"/>
  <c r="K677" i="65"/>
  <c r="J678" i="65"/>
  <c r="K678" i="65"/>
  <c r="J679" i="65"/>
  <c r="K679" i="65"/>
  <c r="J680" i="65"/>
  <c r="K680" i="65"/>
  <c r="J681" i="65"/>
  <c r="K681" i="65"/>
  <c r="J682" i="65"/>
  <c r="K682" i="65"/>
  <c r="J683" i="65"/>
  <c r="K683" i="65"/>
  <c r="J684" i="65"/>
  <c r="K684" i="65"/>
  <c r="J685" i="65"/>
  <c r="K685" i="65"/>
  <c r="J686" i="65"/>
  <c r="K686" i="65"/>
  <c r="J687" i="65"/>
  <c r="K687" i="65"/>
  <c r="J688" i="65"/>
  <c r="K688" i="65"/>
  <c r="J689" i="65"/>
  <c r="K689" i="65"/>
  <c r="J690" i="65"/>
  <c r="K690" i="65"/>
  <c r="J691" i="65"/>
  <c r="K691" i="65"/>
  <c r="J692" i="65"/>
  <c r="K692" i="65"/>
  <c r="J693" i="65"/>
  <c r="K693" i="65"/>
  <c r="J694" i="65"/>
  <c r="K694" i="65"/>
  <c r="J695" i="65"/>
  <c r="K695" i="65"/>
  <c r="J696" i="65"/>
  <c r="K696" i="65"/>
  <c r="J697" i="65"/>
  <c r="K697" i="65"/>
  <c r="J698" i="65"/>
  <c r="K698" i="65"/>
  <c r="J699" i="65"/>
  <c r="K699" i="65"/>
  <c r="J700" i="65"/>
  <c r="K700" i="65"/>
  <c r="J701" i="65"/>
  <c r="K701" i="65"/>
  <c r="J702" i="65"/>
  <c r="K702" i="65"/>
  <c r="J703" i="65"/>
  <c r="K703" i="65"/>
  <c r="J704" i="65"/>
  <c r="K704" i="65"/>
  <c r="J705" i="65"/>
  <c r="K705" i="65"/>
  <c r="J706" i="65"/>
  <c r="K706" i="65"/>
  <c r="J707" i="65"/>
  <c r="K707" i="65"/>
  <c r="J708" i="65"/>
  <c r="K708" i="65"/>
  <c r="J709" i="65"/>
  <c r="K709" i="65"/>
  <c r="J710" i="65"/>
  <c r="K710" i="65"/>
  <c r="J711" i="65"/>
  <c r="K711" i="65"/>
  <c r="J712" i="65"/>
  <c r="K712" i="65"/>
  <c r="J713" i="65"/>
  <c r="K713" i="65"/>
  <c r="J714" i="65"/>
  <c r="K714" i="65"/>
  <c r="J715" i="65"/>
  <c r="K715" i="65"/>
  <c r="J716" i="65"/>
  <c r="K716" i="65"/>
  <c r="J717" i="65"/>
  <c r="K717" i="65"/>
  <c r="J718" i="65"/>
  <c r="K718" i="65"/>
  <c r="J719" i="65"/>
  <c r="K719" i="65"/>
  <c r="J720" i="65"/>
  <c r="K720" i="65"/>
  <c r="J721" i="65"/>
  <c r="K721" i="65"/>
  <c r="J722" i="65"/>
  <c r="K722" i="65"/>
  <c r="J723" i="65"/>
  <c r="K723" i="65"/>
  <c r="J724" i="65"/>
  <c r="K724" i="65"/>
  <c r="J725" i="65"/>
  <c r="K725" i="65"/>
  <c r="J726" i="65"/>
  <c r="K726" i="65"/>
  <c r="J727" i="65"/>
  <c r="K727" i="65"/>
  <c r="J728" i="65"/>
  <c r="K728" i="65"/>
  <c r="J729" i="65"/>
  <c r="K729" i="65"/>
  <c r="J730" i="65"/>
  <c r="K730" i="65"/>
  <c r="J731" i="65"/>
  <c r="K731" i="65"/>
  <c r="J732" i="65"/>
  <c r="K732" i="65"/>
  <c r="J733" i="65"/>
  <c r="K733" i="65"/>
  <c r="J734" i="65"/>
  <c r="K734" i="65"/>
  <c r="J735" i="65"/>
  <c r="K735" i="65"/>
  <c r="J736" i="65"/>
  <c r="K736" i="65"/>
  <c r="J737" i="65"/>
  <c r="K737" i="65"/>
  <c r="J738" i="65"/>
  <c r="K738" i="65"/>
  <c r="J739" i="65"/>
  <c r="K739" i="65"/>
  <c r="J740" i="65"/>
  <c r="K740" i="65"/>
  <c r="J741" i="65"/>
  <c r="K741" i="65"/>
  <c r="J742" i="65"/>
  <c r="K742" i="65"/>
  <c r="J743" i="65"/>
  <c r="K743" i="65"/>
  <c r="J744" i="65"/>
  <c r="K744" i="65"/>
  <c r="J745" i="65"/>
  <c r="K745" i="65"/>
  <c r="J746" i="65"/>
  <c r="K746" i="65"/>
  <c r="J747" i="65"/>
  <c r="K747" i="65"/>
  <c r="J748" i="65"/>
  <c r="K748" i="65"/>
  <c r="J749" i="65"/>
  <c r="K749" i="65"/>
  <c r="J750" i="65"/>
  <c r="K750" i="65"/>
  <c r="J751" i="65"/>
  <c r="K751" i="65"/>
  <c r="J752" i="65"/>
  <c r="K752" i="65"/>
  <c r="J753" i="65"/>
  <c r="K753" i="65"/>
  <c r="J754" i="65"/>
  <c r="K754" i="65"/>
  <c r="J755" i="65"/>
  <c r="K755" i="65"/>
  <c r="J756" i="65"/>
  <c r="K756" i="65"/>
  <c r="J757" i="65"/>
  <c r="K757" i="65"/>
  <c r="J758" i="65"/>
  <c r="K758" i="65"/>
  <c r="J759" i="65"/>
  <c r="K759" i="65"/>
  <c r="J760" i="65"/>
  <c r="K760" i="65"/>
  <c r="J761" i="65"/>
  <c r="K761" i="65"/>
  <c r="J762" i="65"/>
  <c r="K762" i="65"/>
  <c r="J763" i="65"/>
  <c r="K763" i="65"/>
  <c r="J764" i="65"/>
  <c r="K764" i="65"/>
  <c r="J765" i="65"/>
  <c r="K765" i="65"/>
  <c r="J766" i="65"/>
  <c r="K766" i="65"/>
  <c r="J767" i="65"/>
  <c r="K767" i="65"/>
  <c r="J768" i="65"/>
  <c r="K768" i="65"/>
  <c r="J769" i="65"/>
  <c r="K769" i="65"/>
  <c r="J770" i="65"/>
  <c r="K770" i="65"/>
  <c r="J771" i="65"/>
  <c r="K771" i="65"/>
  <c r="J772" i="65"/>
  <c r="K772" i="65"/>
  <c r="J773" i="65"/>
  <c r="K773" i="65"/>
  <c r="J774" i="65"/>
  <c r="K774" i="65"/>
  <c r="J775" i="65"/>
  <c r="K775" i="65"/>
  <c r="J776" i="65"/>
  <c r="K776" i="65"/>
  <c r="J777" i="65"/>
  <c r="K777" i="65"/>
  <c r="J778" i="65"/>
  <c r="K778" i="65"/>
  <c r="J779" i="65"/>
  <c r="K779" i="65"/>
  <c r="J780" i="65"/>
  <c r="K780" i="65"/>
  <c r="J781" i="65"/>
  <c r="K781" i="65"/>
  <c r="J782" i="65"/>
  <c r="K782" i="65"/>
  <c r="J783" i="65"/>
  <c r="K783" i="65"/>
  <c r="J784" i="65"/>
  <c r="K784" i="65"/>
  <c r="J785" i="65"/>
  <c r="K785" i="65"/>
  <c r="J786" i="65"/>
  <c r="K786" i="65"/>
  <c r="J787" i="65"/>
  <c r="K787" i="65"/>
  <c r="J788" i="65"/>
  <c r="K788" i="65"/>
  <c r="J789" i="65"/>
  <c r="K789" i="65"/>
  <c r="J790" i="65"/>
  <c r="K790" i="65"/>
  <c r="J791" i="65"/>
  <c r="K791" i="65"/>
  <c r="J792" i="65"/>
  <c r="K792" i="65"/>
  <c r="J793" i="65"/>
  <c r="K793" i="65"/>
  <c r="J794" i="65"/>
  <c r="K794" i="65"/>
  <c r="J795" i="65"/>
  <c r="K795" i="65"/>
  <c r="J796" i="65"/>
  <c r="K796" i="65"/>
  <c r="J797" i="65"/>
  <c r="K797" i="65"/>
  <c r="J798" i="65"/>
  <c r="K798" i="65"/>
  <c r="J799" i="65"/>
  <c r="K799" i="65"/>
  <c r="J800" i="65"/>
  <c r="K800" i="65"/>
  <c r="J801" i="65"/>
  <c r="K801" i="65"/>
  <c r="J802" i="65"/>
  <c r="K802" i="65"/>
  <c r="J803" i="65"/>
  <c r="K803" i="65"/>
  <c r="J804" i="65"/>
  <c r="K804" i="65"/>
  <c r="J805" i="65"/>
  <c r="K805" i="65"/>
  <c r="J806" i="65"/>
  <c r="K806" i="65"/>
  <c r="J807" i="65"/>
  <c r="K807" i="65"/>
  <c r="J808" i="65"/>
  <c r="K808" i="65"/>
  <c r="J809" i="65"/>
  <c r="K809" i="65"/>
  <c r="J810" i="65"/>
  <c r="K810" i="65"/>
  <c r="J811" i="65"/>
  <c r="K811" i="65"/>
  <c r="J812" i="65"/>
  <c r="K812" i="65"/>
  <c r="J813" i="65"/>
  <c r="K813" i="65"/>
  <c r="J814" i="65"/>
  <c r="K814" i="65"/>
  <c r="J815" i="65"/>
  <c r="K815" i="65"/>
  <c r="J816" i="65"/>
  <c r="K816" i="65"/>
  <c r="J817" i="65"/>
  <c r="K817" i="65"/>
  <c r="J818" i="65"/>
  <c r="K818" i="65"/>
  <c r="J819" i="65"/>
  <c r="K819" i="65"/>
  <c r="J820" i="65"/>
  <c r="K820" i="65"/>
  <c r="J821" i="65"/>
  <c r="K821" i="65"/>
  <c r="J822" i="65"/>
  <c r="K822" i="65"/>
  <c r="J823" i="65"/>
  <c r="K823" i="65"/>
  <c r="J824" i="65"/>
  <c r="K824" i="65"/>
  <c r="J825" i="65"/>
  <c r="K825" i="65"/>
  <c r="J826" i="65"/>
  <c r="K826" i="65"/>
  <c r="J827" i="65"/>
  <c r="K827" i="65"/>
  <c r="J828" i="65"/>
  <c r="K828" i="65"/>
  <c r="J829" i="65"/>
  <c r="K829" i="65"/>
  <c r="J830" i="65"/>
  <c r="K830" i="65"/>
  <c r="J831" i="65"/>
  <c r="K831" i="65"/>
  <c r="J832" i="65"/>
  <c r="K832" i="65"/>
  <c r="J833" i="65"/>
  <c r="K833" i="65"/>
  <c r="J834" i="65"/>
  <c r="K834" i="65"/>
  <c r="J835" i="65"/>
  <c r="K835" i="65"/>
  <c r="J836" i="65"/>
  <c r="K836" i="65"/>
  <c r="J837" i="65"/>
  <c r="K837" i="65"/>
  <c r="J838" i="65"/>
  <c r="K838" i="65"/>
  <c r="J839" i="65"/>
  <c r="K839" i="65"/>
  <c r="J840" i="65"/>
  <c r="K840" i="65"/>
  <c r="J841" i="65"/>
  <c r="K841" i="65"/>
  <c r="J842" i="65"/>
  <c r="K842" i="65"/>
  <c r="J843" i="65"/>
  <c r="K843" i="65"/>
  <c r="J844" i="65"/>
  <c r="K844" i="65"/>
  <c r="J845" i="65"/>
  <c r="K845" i="65"/>
  <c r="J846" i="65"/>
  <c r="K846" i="65"/>
  <c r="J847" i="65"/>
  <c r="K847" i="65"/>
  <c r="J848" i="65"/>
  <c r="K848" i="65"/>
  <c r="J849" i="65"/>
  <c r="K849" i="65"/>
  <c r="J850" i="65"/>
  <c r="K850" i="65"/>
  <c r="J851" i="65"/>
  <c r="K851" i="65"/>
  <c r="J852" i="65"/>
  <c r="K852" i="65"/>
  <c r="J853" i="65"/>
  <c r="K853" i="65"/>
  <c r="J854" i="65"/>
  <c r="K854" i="65"/>
  <c r="J855" i="65"/>
  <c r="K855" i="65"/>
  <c r="J856" i="65"/>
  <c r="K856" i="65"/>
  <c r="J857" i="65"/>
  <c r="K857" i="65"/>
  <c r="J858" i="65"/>
  <c r="K858" i="65"/>
  <c r="J859" i="65"/>
  <c r="K859" i="65"/>
  <c r="J860" i="65"/>
  <c r="K860" i="65"/>
  <c r="J861" i="65"/>
  <c r="K861" i="65"/>
  <c r="J862" i="65"/>
  <c r="K862" i="65"/>
  <c r="J863" i="65"/>
  <c r="K863" i="65"/>
  <c r="J864" i="65"/>
  <c r="K864" i="65"/>
  <c r="J865" i="65"/>
  <c r="K865" i="65"/>
  <c r="J866" i="65"/>
  <c r="K866" i="65"/>
  <c r="J867" i="65"/>
  <c r="K867" i="65"/>
  <c r="J868" i="65"/>
  <c r="K868" i="65"/>
  <c r="J869" i="65"/>
  <c r="K869" i="65"/>
  <c r="J870" i="65"/>
  <c r="K870" i="65"/>
  <c r="J871" i="65"/>
  <c r="K871" i="65"/>
  <c r="J872" i="65"/>
  <c r="K872" i="65"/>
  <c r="J873" i="65"/>
  <c r="K873" i="65"/>
  <c r="J874" i="65"/>
  <c r="K874" i="65"/>
  <c r="J875" i="65"/>
  <c r="K875" i="65"/>
  <c r="J876" i="65"/>
  <c r="K876" i="65"/>
  <c r="J877" i="65"/>
  <c r="K877" i="65"/>
  <c r="J878" i="65"/>
  <c r="K878" i="65"/>
  <c r="J879" i="65"/>
  <c r="K879" i="65"/>
  <c r="J880" i="65"/>
  <c r="K880" i="65"/>
  <c r="J881" i="65"/>
  <c r="K881" i="65"/>
  <c r="J882" i="65"/>
  <c r="K882" i="65"/>
  <c r="J883" i="65"/>
  <c r="K883" i="65"/>
  <c r="J884" i="65"/>
  <c r="K884" i="65"/>
  <c r="J885" i="65"/>
  <c r="K885" i="65"/>
  <c r="J886" i="65"/>
  <c r="K886" i="65"/>
  <c r="J887" i="65"/>
  <c r="K887" i="65"/>
  <c r="J888" i="65"/>
  <c r="K888" i="65"/>
  <c r="J889" i="65"/>
  <c r="K889" i="65"/>
  <c r="J890" i="65"/>
  <c r="K890" i="65"/>
  <c r="J891" i="65"/>
  <c r="K891" i="65"/>
  <c r="J892" i="65"/>
  <c r="K892" i="65"/>
  <c r="J893" i="65"/>
  <c r="K893" i="65"/>
  <c r="J894" i="65"/>
  <c r="K894" i="65"/>
  <c r="J895" i="65"/>
  <c r="K895" i="65"/>
  <c r="J896" i="65"/>
  <c r="K896" i="65"/>
  <c r="J897" i="65"/>
  <c r="K897" i="65"/>
  <c r="J898" i="65"/>
  <c r="K898" i="65"/>
  <c r="J899" i="65"/>
  <c r="K899" i="65"/>
  <c r="J900" i="65"/>
  <c r="K900" i="65"/>
  <c r="J901" i="65"/>
  <c r="K901" i="65"/>
  <c r="J902" i="65"/>
  <c r="K902" i="65"/>
  <c r="J903" i="65"/>
  <c r="K903" i="65"/>
  <c r="J904" i="65"/>
  <c r="K904" i="65"/>
  <c r="J905" i="65"/>
  <c r="K905" i="65"/>
  <c r="J906" i="65"/>
  <c r="K906" i="65"/>
  <c r="J907" i="65"/>
  <c r="K907" i="65"/>
  <c r="J908" i="65"/>
  <c r="K908" i="65"/>
  <c r="J909" i="65"/>
  <c r="K909" i="65"/>
  <c r="J910" i="65"/>
  <c r="K910" i="65"/>
  <c r="J911" i="65"/>
  <c r="K911" i="65"/>
  <c r="J912" i="65"/>
  <c r="K912" i="65"/>
  <c r="J913" i="65"/>
  <c r="K913" i="65"/>
  <c r="J914" i="65"/>
  <c r="K914" i="65"/>
  <c r="J915" i="65"/>
  <c r="K915" i="65"/>
  <c r="J916" i="65"/>
  <c r="K916" i="65"/>
  <c r="J917" i="65"/>
  <c r="K917" i="65"/>
  <c r="J918" i="65"/>
  <c r="K918" i="65"/>
  <c r="J919" i="65"/>
  <c r="K919" i="65"/>
  <c r="J920" i="65"/>
  <c r="K920" i="65"/>
  <c r="J921" i="65"/>
  <c r="K921" i="65"/>
  <c r="J922" i="65"/>
  <c r="K922" i="65"/>
  <c r="J923" i="65"/>
  <c r="K923" i="65"/>
  <c r="J924" i="65"/>
  <c r="K924" i="65"/>
  <c r="J925" i="65"/>
  <c r="K925" i="65"/>
  <c r="J926" i="65"/>
  <c r="K926" i="65"/>
  <c r="J927" i="65"/>
  <c r="K927" i="65"/>
  <c r="J928" i="65"/>
  <c r="K928" i="65"/>
  <c r="J929" i="65"/>
  <c r="K929" i="65"/>
  <c r="J930" i="65"/>
  <c r="K930" i="65"/>
  <c r="J931" i="65"/>
  <c r="K931" i="65"/>
  <c r="J932" i="65"/>
  <c r="K932" i="65"/>
  <c r="J933" i="65"/>
  <c r="K933" i="65"/>
  <c r="J934" i="65"/>
  <c r="K934" i="65"/>
  <c r="J935" i="65"/>
  <c r="K935" i="65"/>
  <c r="J936" i="65"/>
  <c r="K936" i="65"/>
  <c r="J937" i="65"/>
  <c r="K937" i="65"/>
  <c r="J938" i="65"/>
  <c r="K938" i="65"/>
  <c r="J939" i="65"/>
  <c r="K939" i="65"/>
  <c r="J940" i="65"/>
  <c r="K940" i="65"/>
  <c r="J941" i="65"/>
  <c r="K941" i="65"/>
  <c r="J942" i="65"/>
  <c r="K942" i="65"/>
  <c r="J943" i="65"/>
  <c r="K943" i="65"/>
  <c r="J944" i="65"/>
  <c r="K944" i="65"/>
  <c r="J945" i="65"/>
  <c r="K945" i="65"/>
  <c r="J946" i="65"/>
  <c r="K946" i="65"/>
  <c r="J947" i="65"/>
  <c r="K947" i="65"/>
  <c r="J948" i="65"/>
  <c r="K948" i="65"/>
  <c r="J949" i="65"/>
  <c r="K949" i="65"/>
  <c r="J950" i="65"/>
  <c r="K950" i="65"/>
  <c r="J951" i="65"/>
  <c r="K951" i="65"/>
  <c r="J952" i="65"/>
  <c r="K952" i="65"/>
  <c r="J953" i="65"/>
  <c r="K953" i="65"/>
  <c r="J954" i="65"/>
  <c r="K954" i="65"/>
  <c r="J955" i="65"/>
  <c r="K955" i="65"/>
  <c r="J956" i="65"/>
  <c r="K956" i="65"/>
  <c r="J957" i="65"/>
  <c r="K957" i="65"/>
  <c r="J958" i="65"/>
  <c r="K958" i="65"/>
  <c r="J959" i="65"/>
  <c r="K959" i="65"/>
  <c r="J960" i="65"/>
  <c r="K960" i="65"/>
  <c r="J961" i="65"/>
  <c r="K961" i="65"/>
  <c r="J962" i="65"/>
  <c r="K962" i="65"/>
  <c r="J963" i="65"/>
  <c r="K963" i="65"/>
  <c r="J964" i="65"/>
  <c r="K964" i="65"/>
  <c r="J965" i="65"/>
  <c r="K965" i="65"/>
  <c r="J966" i="65"/>
  <c r="K966" i="65"/>
  <c r="J967" i="65"/>
  <c r="K967" i="65"/>
  <c r="J968" i="65"/>
  <c r="K968" i="65"/>
  <c r="J969" i="65"/>
  <c r="K969" i="65"/>
  <c r="J970" i="65"/>
  <c r="K970" i="65"/>
  <c r="J971" i="65"/>
  <c r="K971" i="65"/>
  <c r="J972" i="65"/>
  <c r="K972" i="65"/>
  <c r="J973" i="65"/>
  <c r="K973" i="65"/>
  <c r="J974" i="65"/>
  <c r="K974" i="65"/>
  <c r="J975" i="65"/>
  <c r="K975" i="65"/>
  <c r="J976" i="65"/>
  <c r="K976" i="65"/>
  <c r="J977" i="65"/>
  <c r="K977" i="65"/>
  <c r="J978" i="65"/>
  <c r="K978" i="65"/>
  <c r="J979" i="65"/>
  <c r="K979" i="65"/>
  <c r="J980" i="65"/>
  <c r="K980" i="65"/>
  <c r="J981" i="65"/>
  <c r="K981" i="65"/>
  <c r="J982" i="65"/>
  <c r="K982" i="65"/>
  <c r="J983" i="65"/>
  <c r="K983" i="65"/>
  <c r="J984" i="65"/>
  <c r="K984" i="65"/>
  <c r="J985" i="65"/>
  <c r="K985" i="65"/>
  <c r="J986" i="65"/>
  <c r="K986" i="65"/>
  <c r="J987" i="65"/>
  <c r="K987" i="65"/>
  <c r="J988" i="65"/>
  <c r="K988" i="65"/>
  <c r="J989" i="65"/>
  <c r="K989" i="65"/>
  <c r="J990" i="65"/>
  <c r="K990" i="65"/>
  <c r="J991" i="65"/>
  <c r="K991" i="65"/>
  <c r="J992" i="65"/>
  <c r="K992" i="65"/>
  <c r="J993" i="65"/>
  <c r="K993" i="65"/>
  <c r="J994" i="65"/>
  <c r="K994" i="65"/>
  <c r="J995" i="65"/>
  <c r="K995" i="65"/>
  <c r="J996" i="65"/>
  <c r="K996" i="65"/>
  <c r="J997" i="65"/>
  <c r="K997" i="65"/>
  <c r="J998" i="65"/>
  <c r="K998" i="65"/>
  <c r="J999" i="65"/>
  <c r="K999" i="65"/>
  <c r="J1000" i="65"/>
  <c r="K1000" i="65"/>
  <c r="J1001" i="65"/>
  <c r="K1001" i="65"/>
  <c r="J1002" i="65"/>
  <c r="K1002" i="65"/>
  <c r="J1003" i="65"/>
  <c r="K1003" i="65"/>
  <c r="J1004" i="65"/>
  <c r="K1004" i="65"/>
  <c r="J1005" i="65"/>
  <c r="K1005" i="65"/>
  <c r="J1006" i="65"/>
  <c r="K1006" i="65"/>
  <c r="J1007" i="65"/>
  <c r="K1007" i="65"/>
  <c r="J1008" i="65"/>
  <c r="K1008" i="65"/>
  <c r="J1009" i="65"/>
  <c r="K1009" i="65"/>
  <c r="J1010" i="65"/>
  <c r="K1010" i="65"/>
  <c r="J1011" i="65"/>
  <c r="K1011" i="65"/>
  <c r="J1012" i="65"/>
  <c r="K1012" i="65"/>
  <c r="J1013" i="65"/>
  <c r="K1013" i="65"/>
  <c r="J1014" i="65"/>
  <c r="K1014" i="65"/>
  <c r="J1015" i="65"/>
  <c r="K1015" i="65"/>
  <c r="J1016" i="65"/>
  <c r="K1016" i="65"/>
  <c r="J1017" i="65"/>
  <c r="K1017" i="65"/>
  <c r="J1018" i="65"/>
  <c r="K1018" i="65"/>
  <c r="J1019" i="65"/>
  <c r="K1019" i="65"/>
  <c r="J1020" i="65"/>
  <c r="K1020" i="65"/>
  <c r="J1021" i="65"/>
  <c r="K1021" i="65"/>
  <c r="J1022" i="65"/>
  <c r="K1022" i="65"/>
  <c r="J1023" i="65"/>
  <c r="K1023" i="65"/>
  <c r="J1024" i="65"/>
  <c r="K1024" i="65"/>
  <c r="J1025" i="65"/>
  <c r="K1025" i="65"/>
  <c r="J1026" i="65"/>
  <c r="K1026" i="65"/>
  <c r="J1027" i="65"/>
  <c r="K1027" i="65"/>
  <c r="J1028" i="65"/>
  <c r="K1028" i="65"/>
  <c r="J1029" i="65"/>
  <c r="K1029" i="65"/>
  <c r="J1030" i="65"/>
  <c r="K1030" i="65"/>
  <c r="J1031" i="65"/>
  <c r="K1031" i="65"/>
  <c r="J1032" i="65"/>
  <c r="K1032" i="65"/>
  <c r="J1033" i="65"/>
  <c r="K1033" i="65"/>
  <c r="J1034" i="65"/>
  <c r="K1034" i="65"/>
  <c r="J1035" i="65"/>
  <c r="K1035" i="65"/>
  <c r="J1036" i="65"/>
  <c r="K1036" i="65"/>
  <c r="J1037" i="65"/>
  <c r="K1037" i="65"/>
  <c r="J1038" i="65"/>
  <c r="K1038" i="65"/>
  <c r="J1039" i="65"/>
  <c r="K1039" i="65"/>
  <c r="J1040" i="65"/>
  <c r="K1040" i="65"/>
  <c r="J1041" i="65"/>
  <c r="K1041" i="65"/>
  <c r="J1042" i="65"/>
  <c r="K1042" i="65"/>
  <c r="J1043" i="65"/>
  <c r="K1043" i="65"/>
  <c r="J1044" i="65"/>
  <c r="K1044" i="65"/>
  <c r="J1045" i="65"/>
  <c r="K1045" i="65"/>
  <c r="J1046" i="65"/>
  <c r="K1046" i="65"/>
  <c r="J1047" i="65"/>
  <c r="K1047" i="65"/>
  <c r="J1048" i="65"/>
  <c r="K1048" i="65"/>
  <c r="J1049" i="65"/>
  <c r="K1049" i="65"/>
  <c r="J1050" i="65"/>
  <c r="K1050" i="65"/>
  <c r="J1051" i="65"/>
  <c r="K1051" i="65"/>
  <c r="J1052" i="65"/>
  <c r="K1052" i="65"/>
  <c r="J1053" i="65"/>
  <c r="K1053" i="65"/>
  <c r="J1054" i="65"/>
  <c r="K1054" i="65"/>
  <c r="J1055" i="65"/>
  <c r="K1055" i="65"/>
  <c r="J1056" i="65"/>
  <c r="K1056" i="65"/>
  <c r="J1057" i="65"/>
  <c r="K1057" i="65"/>
  <c r="J1058" i="65"/>
  <c r="K1058" i="65"/>
  <c r="J1059" i="65"/>
  <c r="K1059" i="65"/>
  <c r="J1060" i="65"/>
  <c r="K1060" i="65"/>
  <c r="J1061" i="65"/>
  <c r="K1061" i="65"/>
  <c r="J1062" i="65"/>
  <c r="K1062" i="65"/>
  <c r="J1063" i="65"/>
  <c r="K1063" i="65"/>
  <c r="J1064" i="65"/>
  <c r="K1064" i="65"/>
  <c r="J1065" i="65"/>
  <c r="K1065" i="65"/>
  <c r="J1066" i="65"/>
  <c r="K1066" i="65"/>
  <c r="J1067" i="65"/>
  <c r="K1067" i="65"/>
  <c r="J1068" i="65"/>
  <c r="K1068" i="65"/>
  <c r="J1069" i="65"/>
  <c r="K1069" i="65"/>
  <c r="J1070" i="65"/>
  <c r="K1070" i="65"/>
  <c r="J1071" i="65"/>
  <c r="K1071" i="65"/>
  <c r="J1072" i="65"/>
  <c r="K1072" i="65"/>
  <c r="J1073" i="65"/>
  <c r="K1073" i="65"/>
  <c r="J1074" i="65"/>
  <c r="K1074" i="65"/>
  <c r="J1075" i="65"/>
  <c r="K1075" i="65"/>
  <c r="J1076" i="65"/>
  <c r="K1076" i="65"/>
  <c r="J1077" i="65"/>
  <c r="K1077" i="65"/>
  <c r="J1078" i="65"/>
  <c r="K1078" i="65"/>
  <c r="J1079" i="65"/>
  <c r="K1079" i="65"/>
  <c r="J1080" i="65"/>
  <c r="K1080" i="65"/>
  <c r="J1081" i="65"/>
  <c r="K1081" i="65"/>
  <c r="J1082" i="65"/>
  <c r="K1082" i="65"/>
  <c r="J1083" i="65"/>
  <c r="K1083" i="65"/>
  <c r="J1084" i="65"/>
  <c r="K1084" i="65"/>
  <c r="J1085" i="65"/>
  <c r="K1085" i="65"/>
  <c r="J1086" i="65"/>
  <c r="K1086" i="65"/>
  <c r="J1087" i="65"/>
  <c r="K1087" i="65"/>
  <c r="J1088" i="65"/>
  <c r="K1088" i="65"/>
  <c r="J1089" i="65"/>
  <c r="K1089" i="65"/>
  <c r="J1090" i="65"/>
  <c r="K1090" i="65"/>
  <c r="J1091" i="65"/>
  <c r="K1091" i="65"/>
  <c r="J1092" i="65"/>
  <c r="K1092" i="65"/>
  <c r="J1093" i="65"/>
  <c r="K1093" i="65"/>
  <c r="J1094" i="65"/>
  <c r="K1094" i="65"/>
  <c r="J1095" i="65"/>
  <c r="K1095" i="65"/>
  <c r="J1096" i="65"/>
  <c r="K1096" i="65"/>
  <c r="J1097" i="65"/>
  <c r="K1097" i="65"/>
  <c r="J1098" i="65"/>
  <c r="K1098" i="65"/>
  <c r="J1099" i="65"/>
  <c r="K1099" i="65"/>
  <c r="J1100" i="65"/>
  <c r="K1100" i="65"/>
  <c r="J1101" i="65"/>
  <c r="K1101" i="65"/>
  <c r="J1102" i="65"/>
  <c r="K1102" i="65"/>
  <c r="J1103" i="65"/>
  <c r="K1103" i="65"/>
  <c r="J1104" i="65"/>
  <c r="K1104" i="65"/>
  <c r="J1105" i="65"/>
  <c r="K1105" i="65"/>
  <c r="J1106" i="65"/>
  <c r="K1106" i="65"/>
  <c r="J1107" i="65"/>
  <c r="K1107" i="65"/>
  <c r="J1108" i="65"/>
  <c r="K1108" i="65"/>
  <c r="J1109" i="65"/>
  <c r="K1109" i="65"/>
  <c r="J1110" i="65"/>
  <c r="K1110" i="65"/>
  <c r="J1111" i="65"/>
  <c r="K1111" i="65"/>
  <c r="J1112" i="65"/>
  <c r="K1112" i="65"/>
  <c r="J1113" i="65"/>
  <c r="K1113" i="65"/>
  <c r="J1114" i="65"/>
  <c r="K1114" i="65"/>
  <c r="J1115" i="65"/>
  <c r="K1115" i="65"/>
  <c r="J1116" i="65"/>
  <c r="K1116" i="65"/>
  <c r="J1117" i="65"/>
  <c r="K1117" i="65"/>
  <c r="J1118" i="65"/>
  <c r="K1118" i="65"/>
  <c r="J1119" i="65"/>
  <c r="K1119" i="65"/>
  <c r="J1120" i="65"/>
  <c r="K1120" i="65"/>
  <c r="J1121" i="65"/>
  <c r="K1121" i="65"/>
  <c r="J1122" i="65"/>
  <c r="K1122" i="65"/>
  <c r="J1123" i="65"/>
  <c r="K1123" i="65"/>
  <c r="J1124" i="65"/>
  <c r="K1124" i="65"/>
  <c r="J1125" i="65"/>
  <c r="K1125" i="65"/>
  <c r="J1126" i="65"/>
  <c r="K1126" i="65"/>
  <c r="J1127" i="65"/>
  <c r="K1127" i="65"/>
  <c r="J1128" i="65"/>
  <c r="K1128" i="65"/>
  <c r="J1129" i="65"/>
  <c r="K1129" i="65"/>
  <c r="J1130" i="65"/>
  <c r="K1130" i="65"/>
  <c r="J1131" i="65"/>
  <c r="K1131" i="65"/>
  <c r="J1132" i="65"/>
  <c r="K1132" i="65"/>
  <c r="J1133" i="65"/>
  <c r="K1133" i="65"/>
  <c r="J1134" i="65"/>
  <c r="K1134" i="65"/>
  <c r="J1135" i="65"/>
  <c r="K1135" i="65"/>
  <c r="J1136" i="65"/>
  <c r="K1136" i="65"/>
  <c r="J1137" i="65"/>
  <c r="K1137" i="65"/>
  <c r="J1138" i="65"/>
  <c r="K1138" i="65"/>
  <c r="J1139" i="65"/>
  <c r="K1139" i="65"/>
  <c r="J1140" i="65"/>
  <c r="K1140" i="65"/>
  <c r="J1141" i="65"/>
  <c r="K1141" i="65"/>
  <c r="J1142" i="65"/>
  <c r="K1142" i="65"/>
  <c r="J1143" i="65"/>
  <c r="K1143" i="65"/>
  <c r="J1144" i="65"/>
  <c r="K1144" i="65"/>
  <c r="J1145" i="65"/>
  <c r="K1145" i="65"/>
  <c r="J1146" i="65"/>
  <c r="K1146" i="65"/>
  <c r="J1147" i="65"/>
  <c r="K1147" i="65"/>
  <c r="J1148" i="65"/>
  <c r="K1148" i="65"/>
  <c r="J1149" i="65"/>
  <c r="K1149" i="65"/>
  <c r="J1150" i="65"/>
  <c r="K1150" i="65"/>
  <c r="J1151" i="65"/>
  <c r="K1151" i="65"/>
  <c r="J1152" i="65"/>
  <c r="K1152" i="65"/>
  <c r="J1153" i="65"/>
  <c r="K1153" i="65"/>
  <c r="J1154" i="65"/>
  <c r="K1154" i="65"/>
  <c r="J1155" i="65"/>
  <c r="K1155" i="65"/>
  <c r="J1156" i="65"/>
  <c r="K1156" i="65"/>
  <c r="J1157" i="65"/>
  <c r="K1157" i="65"/>
  <c r="J1158" i="65"/>
  <c r="K1158" i="65"/>
  <c r="J1159" i="65"/>
  <c r="K1159" i="65"/>
  <c r="J1160" i="65"/>
  <c r="K1160" i="65"/>
  <c r="J1161" i="65"/>
  <c r="K1161" i="65"/>
  <c r="J1162" i="65"/>
  <c r="K1162" i="65"/>
  <c r="J1163" i="65"/>
  <c r="K1163" i="65"/>
  <c r="J1164" i="65"/>
  <c r="K1164" i="65"/>
  <c r="J1165" i="65"/>
  <c r="K1165" i="65"/>
  <c r="J1166" i="65"/>
  <c r="K1166" i="65"/>
  <c r="J1167" i="65"/>
  <c r="K1167" i="65"/>
  <c r="J1168" i="65"/>
  <c r="K1168" i="65"/>
  <c r="J1169" i="65"/>
  <c r="K1169" i="65"/>
  <c r="J1170" i="65"/>
  <c r="K1170" i="65"/>
  <c r="J1171" i="65"/>
  <c r="K1171" i="65"/>
  <c r="J1172" i="65"/>
  <c r="K1172" i="65"/>
  <c r="J1173" i="65"/>
  <c r="K1173" i="65"/>
  <c r="J1174" i="65"/>
  <c r="K1174" i="65"/>
  <c r="J1175" i="65"/>
  <c r="K1175" i="65"/>
  <c r="J1176" i="65"/>
  <c r="K1176" i="65"/>
  <c r="J1177" i="65"/>
  <c r="K1177" i="65"/>
  <c r="J1178" i="65"/>
  <c r="K1178" i="65"/>
  <c r="J1179" i="65"/>
  <c r="K1179" i="65"/>
  <c r="J1180" i="65"/>
  <c r="K1180" i="65"/>
  <c r="J1181" i="65"/>
  <c r="K1181" i="65"/>
  <c r="J1182" i="65"/>
  <c r="K1182" i="65"/>
  <c r="J1183" i="65"/>
  <c r="K1183" i="65"/>
  <c r="J1184" i="65"/>
  <c r="K1184" i="65"/>
  <c r="J1185" i="65"/>
  <c r="K1185" i="65"/>
  <c r="J1186" i="65"/>
  <c r="K1186" i="65"/>
  <c r="J1187" i="65"/>
  <c r="K1187" i="65"/>
  <c r="J1188" i="65"/>
  <c r="K1188" i="65"/>
  <c r="J1189" i="65"/>
  <c r="K1189" i="65"/>
  <c r="J1190" i="65"/>
  <c r="K1190" i="65"/>
  <c r="J1191" i="65"/>
  <c r="K1191" i="65"/>
  <c r="J1192" i="65"/>
  <c r="K1192" i="65"/>
  <c r="J1193" i="65"/>
  <c r="K1193" i="65"/>
  <c r="J1194" i="65"/>
  <c r="K1194" i="65"/>
  <c r="J1195" i="65"/>
  <c r="K1195" i="65"/>
  <c r="J1196" i="65"/>
  <c r="K1196" i="65"/>
  <c r="J1197" i="65"/>
  <c r="K1197" i="65"/>
  <c r="J1198" i="65"/>
  <c r="K1198" i="65"/>
  <c r="J1199" i="65"/>
  <c r="K1199" i="65"/>
  <c r="J1200" i="65"/>
  <c r="K1200" i="65"/>
  <c r="J1201" i="65"/>
  <c r="K1201" i="65"/>
  <c r="J1202" i="65"/>
  <c r="K1202" i="65"/>
  <c r="J1203" i="65"/>
  <c r="K1203" i="65"/>
  <c r="J1204" i="65"/>
  <c r="K1204" i="65"/>
  <c r="J1205" i="65"/>
  <c r="K1205" i="65"/>
  <c r="J1206" i="65"/>
  <c r="K1206" i="65"/>
  <c r="J1207" i="65"/>
  <c r="K1207" i="65"/>
  <c r="J1208" i="65"/>
  <c r="K1208" i="65"/>
  <c r="J1209" i="65"/>
  <c r="K1209" i="65"/>
  <c r="J1210" i="65"/>
  <c r="K1210" i="65"/>
  <c r="J1211" i="65"/>
  <c r="K1211" i="65"/>
  <c r="J1212" i="65"/>
  <c r="K1212" i="65"/>
  <c r="J1213" i="65"/>
  <c r="K1213" i="65"/>
  <c r="J1214" i="65"/>
  <c r="K1214" i="65"/>
  <c r="J1215" i="65"/>
  <c r="K1215" i="65"/>
  <c r="J1216" i="65"/>
  <c r="K1216" i="65"/>
  <c r="J1217" i="65"/>
  <c r="K1217" i="65"/>
  <c r="J1218" i="65"/>
  <c r="K1218" i="65"/>
  <c r="J1219" i="65"/>
  <c r="K1219" i="65"/>
  <c r="J1220" i="65"/>
  <c r="K1220" i="65"/>
  <c r="J1221" i="65"/>
  <c r="K1221" i="65"/>
  <c r="J1222" i="65"/>
  <c r="K1222" i="65"/>
  <c r="J1223" i="65"/>
  <c r="K1223" i="65"/>
  <c r="J1224" i="65"/>
  <c r="K1224" i="65"/>
  <c r="J1225" i="65"/>
  <c r="K1225" i="65"/>
  <c r="J1226" i="65"/>
  <c r="K1226" i="65"/>
  <c r="J1227" i="65"/>
  <c r="K1227" i="65"/>
  <c r="J1228" i="65"/>
  <c r="K1228" i="65"/>
  <c r="J1229" i="65"/>
  <c r="K1229" i="65"/>
  <c r="J1230" i="65"/>
  <c r="K1230" i="65"/>
  <c r="J1231" i="65"/>
  <c r="K1231" i="65"/>
  <c r="J1232" i="65"/>
  <c r="K1232" i="65"/>
  <c r="J1233" i="65"/>
  <c r="K1233" i="65"/>
  <c r="J1234" i="65"/>
  <c r="K1234" i="65"/>
  <c r="J1235" i="65"/>
  <c r="K1235" i="65"/>
  <c r="J1236" i="65"/>
  <c r="K1236" i="65"/>
  <c r="J1237" i="65"/>
  <c r="K1237" i="65"/>
  <c r="J1238" i="65"/>
  <c r="K1238" i="65"/>
  <c r="J1239" i="65"/>
  <c r="K1239" i="65"/>
  <c r="J1240" i="65"/>
  <c r="K1240" i="65"/>
  <c r="J1241" i="65"/>
  <c r="K1241" i="65"/>
  <c r="J1242" i="65"/>
  <c r="K1242" i="65"/>
  <c r="J1243" i="65"/>
  <c r="K1243" i="65"/>
  <c r="J1244" i="65"/>
  <c r="K1244" i="65"/>
  <c r="J1245" i="65"/>
  <c r="K1245" i="65"/>
  <c r="J1246" i="65"/>
  <c r="K1246" i="65"/>
  <c r="J1247" i="65"/>
  <c r="K1247" i="65"/>
  <c r="J1248" i="65"/>
  <c r="K1248" i="65"/>
  <c r="J1249" i="65"/>
  <c r="K1249" i="65"/>
  <c r="J1250" i="65"/>
  <c r="K1250" i="65"/>
  <c r="J1251" i="65"/>
  <c r="K1251" i="65"/>
  <c r="J1252" i="65"/>
  <c r="K1252" i="65"/>
  <c r="J1253" i="65"/>
  <c r="K1253" i="65"/>
  <c r="J1254" i="65"/>
  <c r="K1254" i="65"/>
  <c r="J1255" i="65"/>
  <c r="K1255" i="65"/>
  <c r="J1256" i="65"/>
  <c r="K1256" i="65"/>
  <c r="J1257" i="65"/>
  <c r="K1257" i="65"/>
  <c r="J1258" i="65"/>
  <c r="K1258" i="65"/>
  <c r="J1259" i="65"/>
  <c r="K1259" i="65"/>
  <c r="J1260" i="65"/>
  <c r="K1260" i="65"/>
  <c r="J1261" i="65"/>
  <c r="K1261" i="65"/>
  <c r="J1262" i="65"/>
  <c r="K1262" i="65"/>
  <c r="J1263" i="65"/>
  <c r="K1263" i="65"/>
  <c r="J1264" i="65"/>
  <c r="K1264" i="65"/>
  <c r="J1265" i="65"/>
  <c r="K1265" i="65"/>
  <c r="J1266" i="65"/>
  <c r="K1266" i="65"/>
  <c r="J1267" i="65"/>
  <c r="K1267" i="65"/>
  <c r="J1268" i="65"/>
  <c r="K1268" i="65"/>
  <c r="J1269" i="65"/>
  <c r="K1269" i="65"/>
  <c r="J1270" i="65"/>
  <c r="K1270" i="65"/>
  <c r="J1271" i="65"/>
  <c r="K1271" i="65"/>
  <c r="J1272" i="65"/>
  <c r="K1272" i="65"/>
  <c r="J1273" i="65"/>
  <c r="K1273" i="65"/>
  <c r="J1274" i="65"/>
  <c r="K1274" i="65"/>
  <c r="J1275" i="65"/>
  <c r="K1275" i="65"/>
  <c r="J1276" i="65"/>
  <c r="K1276" i="65"/>
  <c r="J1277" i="65"/>
  <c r="K1277" i="65"/>
  <c r="J1278" i="65"/>
  <c r="K1278" i="65"/>
  <c r="J1279" i="65"/>
  <c r="K1279" i="65"/>
  <c r="J1280" i="65"/>
  <c r="K1280" i="65"/>
  <c r="J1281" i="65"/>
  <c r="K1281" i="65"/>
  <c r="J1282" i="65"/>
  <c r="K1282" i="65"/>
  <c r="J1283" i="65"/>
  <c r="K1283" i="65"/>
  <c r="J1284" i="65"/>
  <c r="K1284" i="65"/>
  <c r="J1285" i="65"/>
  <c r="K1285" i="65"/>
  <c r="J1286" i="65"/>
  <c r="K1286" i="65"/>
  <c r="J1287" i="65"/>
  <c r="K1287" i="65"/>
  <c r="J1288" i="65"/>
  <c r="K1288" i="65"/>
  <c r="J1289" i="65"/>
  <c r="K1289" i="65"/>
  <c r="J1290" i="65"/>
  <c r="K1290" i="65"/>
  <c r="J1291" i="65"/>
  <c r="K1291" i="65"/>
  <c r="J1292" i="65"/>
  <c r="K1292" i="65"/>
  <c r="J1293" i="65"/>
  <c r="K1293" i="65"/>
  <c r="J1294" i="65"/>
  <c r="K1294" i="65"/>
  <c r="J1295" i="65"/>
  <c r="K1295" i="65"/>
  <c r="J1296" i="65"/>
  <c r="K1296" i="65"/>
  <c r="J1297" i="65"/>
  <c r="K1297" i="65"/>
  <c r="J1298" i="65"/>
  <c r="K1298" i="65"/>
  <c r="J1299" i="65"/>
  <c r="K1299" i="65"/>
  <c r="J1300" i="65"/>
  <c r="K1300" i="65"/>
  <c r="J1301" i="65"/>
  <c r="K1301" i="65"/>
  <c r="J1302" i="65"/>
  <c r="K1302" i="65"/>
  <c r="J1303" i="65"/>
  <c r="K1303" i="65"/>
  <c r="J1304" i="65"/>
  <c r="K1304" i="65"/>
  <c r="J1305" i="65"/>
  <c r="K1305" i="65"/>
  <c r="J1306" i="65"/>
  <c r="K1306" i="65"/>
  <c r="J1307" i="65"/>
  <c r="K1307" i="65"/>
  <c r="J1308" i="65"/>
  <c r="K1308" i="65"/>
  <c r="J1309" i="65"/>
  <c r="K1309" i="65"/>
  <c r="J1310" i="65"/>
  <c r="K1310" i="65"/>
  <c r="J1311" i="65"/>
  <c r="K1311" i="65"/>
  <c r="J1312" i="65"/>
  <c r="K1312" i="65"/>
  <c r="J1313" i="65"/>
  <c r="K1313" i="65"/>
  <c r="J1314" i="65"/>
  <c r="K1314" i="65"/>
  <c r="J1315" i="65"/>
  <c r="K1315" i="65"/>
  <c r="J1316" i="65"/>
  <c r="K1316" i="65"/>
  <c r="J1317" i="65"/>
  <c r="K1317" i="65"/>
  <c r="J1318" i="65"/>
  <c r="K1318" i="65"/>
  <c r="J1319" i="65"/>
  <c r="K1319" i="65"/>
  <c r="J1320" i="65"/>
  <c r="K1320" i="65"/>
  <c r="J1321" i="65"/>
  <c r="K1321" i="65"/>
  <c r="J1322" i="65"/>
  <c r="K1322" i="65"/>
  <c r="J1323" i="65"/>
  <c r="K1323" i="65"/>
  <c r="J1324" i="65"/>
  <c r="K1324" i="65"/>
  <c r="J1325" i="65"/>
  <c r="K1325" i="65"/>
  <c r="J1326" i="65"/>
  <c r="K1326" i="65"/>
  <c r="J1327" i="65"/>
  <c r="K1327" i="65"/>
  <c r="J1328" i="65"/>
  <c r="K1328" i="65"/>
  <c r="J1329" i="65"/>
  <c r="K1329" i="65"/>
  <c r="J1330" i="65"/>
  <c r="K1330" i="65"/>
  <c r="J1331" i="65"/>
  <c r="K1331" i="65"/>
  <c r="J1332" i="65"/>
  <c r="K1332" i="65"/>
  <c r="J1333" i="65"/>
  <c r="K1333" i="65"/>
  <c r="J1334" i="65"/>
  <c r="K1334" i="65"/>
  <c r="J1335" i="65"/>
  <c r="K1335" i="65"/>
  <c r="J1336" i="65"/>
  <c r="K1336" i="65"/>
  <c r="J1337" i="65"/>
  <c r="K1337" i="65"/>
  <c r="J1338" i="65"/>
  <c r="K1338" i="65"/>
  <c r="J1339" i="65"/>
  <c r="K1339" i="65"/>
  <c r="J1340" i="65"/>
  <c r="K1340" i="65"/>
  <c r="J1341" i="65"/>
  <c r="K1341" i="65"/>
  <c r="J1342" i="65"/>
  <c r="K1342" i="65"/>
  <c r="J1343" i="65"/>
  <c r="K1343" i="65"/>
  <c r="J1344" i="65"/>
  <c r="K1344" i="65"/>
  <c r="J1345" i="65"/>
  <c r="K1345" i="65"/>
  <c r="J1346" i="65"/>
  <c r="K1346" i="65"/>
  <c r="J1347" i="65"/>
  <c r="K1347" i="65"/>
  <c r="J1348" i="65"/>
  <c r="K1348" i="65"/>
  <c r="J1349" i="65"/>
  <c r="K1349" i="65"/>
  <c r="J1350" i="65"/>
  <c r="K1350" i="65"/>
  <c r="J1351" i="65"/>
  <c r="K1351" i="65"/>
  <c r="J1352" i="65"/>
  <c r="K1352" i="65"/>
  <c r="J1353" i="65"/>
  <c r="K1353" i="65"/>
  <c r="J1354" i="65"/>
  <c r="K1354" i="65"/>
  <c r="J1355" i="65"/>
  <c r="K1355" i="65"/>
  <c r="J1356" i="65"/>
  <c r="K1356" i="65"/>
  <c r="J1357" i="65"/>
  <c r="K1357" i="65"/>
  <c r="J1358" i="65"/>
  <c r="K1358" i="65"/>
  <c r="J1359" i="65"/>
  <c r="K1359" i="65"/>
  <c r="J1360" i="65"/>
  <c r="K1360" i="65"/>
  <c r="J1361" i="65"/>
  <c r="K1361" i="65"/>
  <c r="J1362" i="65"/>
  <c r="K1362" i="65"/>
  <c r="J1363" i="65"/>
  <c r="K1363" i="65"/>
  <c r="J1364" i="65"/>
  <c r="K1364" i="65"/>
  <c r="J1365" i="65"/>
  <c r="K1365" i="65"/>
  <c r="J1366" i="65"/>
  <c r="K1366" i="65"/>
  <c r="J1367" i="65"/>
  <c r="K1367" i="65"/>
  <c r="J1368" i="65"/>
  <c r="K1368" i="65"/>
  <c r="J1369" i="65"/>
  <c r="K1369" i="65"/>
  <c r="J1370" i="65"/>
  <c r="K1370" i="65"/>
  <c r="J1371" i="65"/>
  <c r="K1371" i="65"/>
  <c r="J1372" i="65"/>
  <c r="K1372" i="65"/>
  <c r="J1373" i="65"/>
  <c r="K1373" i="65"/>
  <c r="J1374" i="65"/>
  <c r="K1374" i="65"/>
  <c r="J1375" i="65"/>
  <c r="K1375" i="65"/>
  <c r="J1376" i="65"/>
  <c r="K1376" i="65"/>
  <c r="J1377" i="65"/>
  <c r="K1377" i="65"/>
  <c r="J1378" i="65"/>
  <c r="K1378" i="65"/>
  <c r="J1379" i="65"/>
  <c r="K1379" i="65"/>
  <c r="J1380" i="65"/>
  <c r="K1380" i="65"/>
  <c r="J1381" i="65"/>
  <c r="K1381" i="65"/>
  <c r="J1382" i="65"/>
  <c r="K1382" i="65"/>
  <c r="J1383" i="65"/>
  <c r="K1383" i="65"/>
  <c r="J1384" i="65"/>
  <c r="K1384" i="65"/>
  <c r="J1385" i="65"/>
  <c r="K1385" i="65"/>
  <c r="J1386" i="65"/>
  <c r="K1386" i="65"/>
  <c r="J1387" i="65"/>
  <c r="K1387" i="65"/>
  <c r="J1388" i="65"/>
  <c r="K1388" i="65"/>
  <c r="J1389" i="65"/>
  <c r="K1389" i="65"/>
  <c r="J1390" i="65"/>
  <c r="K1390" i="65"/>
  <c r="J1391" i="65"/>
  <c r="K1391" i="65"/>
  <c r="J1392" i="65"/>
  <c r="K1392" i="65"/>
  <c r="J1393" i="65"/>
  <c r="K1393" i="65"/>
  <c r="J1394" i="65"/>
  <c r="K1394" i="65"/>
  <c r="J1395" i="65"/>
  <c r="K1395" i="65"/>
  <c r="J1396" i="65"/>
  <c r="K1396" i="65"/>
  <c r="J1397" i="65"/>
  <c r="K1397" i="65"/>
  <c r="J1398" i="65"/>
  <c r="K1398" i="65"/>
  <c r="J1399" i="65"/>
  <c r="K1399" i="65"/>
  <c r="J1400" i="65"/>
  <c r="K1400" i="65"/>
  <c r="J1401" i="65"/>
  <c r="K1401" i="65"/>
  <c r="J1402" i="65"/>
  <c r="K1402" i="65"/>
  <c r="J1403" i="65"/>
  <c r="K1403" i="65"/>
  <c r="J1404" i="65"/>
  <c r="K1404" i="65"/>
  <c r="J1405" i="65"/>
  <c r="K1405" i="65"/>
  <c r="J1406" i="65"/>
  <c r="K1406" i="65"/>
  <c r="J1407" i="65"/>
  <c r="K1407" i="65"/>
  <c r="J1408" i="65"/>
  <c r="K1408" i="65"/>
  <c r="J1409" i="65"/>
  <c r="K1409" i="65"/>
  <c r="J1410" i="65"/>
  <c r="K1410" i="65"/>
  <c r="J1411" i="65"/>
  <c r="K1411" i="65"/>
  <c r="J1412" i="65"/>
  <c r="K1412" i="65"/>
  <c r="J1413" i="65"/>
  <c r="K1413" i="65"/>
  <c r="J1414" i="65"/>
  <c r="K1414" i="65"/>
  <c r="J1415" i="65"/>
  <c r="K1415" i="65"/>
  <c r="J1416" i="65"/>
  <c r="K1416" i="65"/>
  <c r="J1417" i="65"/>
  <c r="K1417" i="65"/>
  <c r="J1418" i="65"/>
  <c r="K1418" i="65"/>
  <c r="J1419" i="65"/>
  <c r="K1419" i="65"/>
  <c r="J1420" i="65"/>
  <c r="K1420" i="65"/>
  <c r="J1421" i="65"/>
  <c r="K1421" i="65"/>
  <c r="J1422" i="65"/>
  <c r="K1422" i="65"/>
  <c r="J1423" i="65"/>
  <c r="K1423" i="65"/>
  <c r="J1424" i="65"/>
  <c r="K1424" i="65"/>
  <c r="J1425" i="65"/>
  <c r="K1425" i="65"/>
  <c r="J1426" i="65"/>
  <c r="K1426" i="65"/>
  <c r="J1427" i="65"/>
  <c r="K1427" i="65"/>
  <c r="J1428" i="65"/>
  <c r="K1428" i="65"/>
  <c r="J1429" i="65"/>
  <c r="K1429" i="65"/>
  <c r="J1430" i="65"/>
  <c r="K1430" i="65"/>
  <c r="J1431" i="65"/>
  <c r="K1431" i="65"/>
  <c r="J1432" i="65"/>
  <c r="K1432" i="65"/>
  <c r="J1433" i="65"/>
  <c r="K1433" i="65"/>
  <c r="J1434" i="65"/>
  <c r="K1434" i="65"/>
  <c r="J1435" i="65"/>
  <c r="K1435" i="65"/>
  <c r="J1436" i="65"/>
  <c r="K1436" i="65"/>
  <c r="J1437" i="65"/>
  <c r="K1437" i="65"/>
  <c r="J1438" i="65"/>
  <c r="K1438" i="65"/>
  <c r="J1439" i="65"/>
  <c r="K1439" i="65"/>
  <c r="J1440" i="65"/>
  <c r="K1440" i="65"/>
  <c r="J1441" i="65"/>
  <c r="K1441" i="65"/>
  <c r="J1442" i="65"/>
  <c r="K1442" i="65"/>
  <c r="J1443" i="65"/>
  <c r="K1443" i="65"/>
  <c r="J1444" i="65"/>
  <c r="K1444" i="65"/>
  <c r="J1445" i="65"/>
  <c r="K1445" i="65"/>
  <c r="J1446" i="65"/>
  <c r="K1446" i="65"/>
  <c r="J1447" i="65"/>
  <c r="K1447" i="65"/>
  <c r="J1448" i="65"/>
  <c r="K1448" i="65"/>
  <c r="J1449" i="65"/>
  <c r="K1449" i="65"/>
  <c r="J1450" i="65"/>
  <c r="K1450" i="65"/>
  <c r="J1451" i="65"/>
  <c r="K1451" i="65"/>
  <c r="J1452" i="65"/>
  <c r="K1452" i="65"/>
  <c r="J1453" i="65"/>
  <c r="K1453" i="65"/>
  <c r="J1454" i="65"/>
  <c r="K1454" i="65"/>
  <c r="J1455" i="65"/>
  <c r="K1455" i="65"/>
  <c r="J1456" i="65"/>
  <c r="K1456" i="65"/>
  <c r="J1457" i="65"/>
  <c r="K1457" i="65"/>
  <c r="J1458" i="65"/>
  <c r="K1458" i="65"/>
  <c r="J1459" i="65"/>
  <c r="K1459" i="65"/>
  <c r="J1460" i="65"/>
  <c r="K1460" i="65"/>
  <c r="J1461" i="65"/>
  <c r="K1461" i="65"/>
  <c r="J1462" i="65"/>
  <c r="K1462" i="65"/>
  <c r="J1463" i="65"/>
  <c r="K1463" i="65"/>
  <c r="J1464" i="65"/>
  <c r="K1464" i="65"/>
  <c r="J1465" i="65"/>
  <c r="K1465" i="65"/>
  <c r="J1466" i="65"/>
  <c r="K1466" i="65"/>
  <c r="J1467" i="65"/>
  <c r="K1467" i="65"/>
  <c r="J1468" i="65"/>
  <c r="K1468" i="65"/>
  <c r="J1469" i="65"/>
  <c r="K1469" i="65"/>
  <c r="J1470" i="65"/>
  <c r="K1470" i="65"/>
  <c r="J1471" i="65"/>
  <c r="K1471" i="65"/>
  <c r="J1472" i="65"/>
  <c r="K1472" i="65"/>
  <c r="J1473" i="65"/>
  <c r="K1473" i="65"/>
  <c r="J1474" i="65"/>
  <c r="K1474" i="65"/>
  <c r="J1475" i="65"/>
  <c r="K1475" i="65"/>
  <c r="J1476" i="65"/>
  <c r="K1476" i="65"/>
  <c r="J1477" i="65"/>
  <c r="K1477" i="65"/>
  <c r="J1478" i="65"/>
  <c r="K1478" i="65"/>
  <c r="J1479" i="65"/>
  <c r="K1479" i="65"/>
  <c r="J1480" i="65"/>
  <c r="K1480" i="65"/>
  <c r="J1481" i="65"/>
  <c r="K1481" i="65"/>
  <c r="J1482" i="65"/>
  <c r="K1482" i="65"/>
  <c r="J1483" i="65"/>
  <c r="K1483" i="65"/>
  <c r="J1484" i="65"/>
  <c r="K1484" i="65"/>
  <c r="J1485" i="65"/>
  <c r="K1485" i="65"/>
  <c r="J1486" i="65"/>
  <c r="K1486" i="65"/>
  <c r="J1487" i="65"/>
  <c r="K1487" i="65"/>
  <c r="J1488" i="65"/>
  <c r="K1488" i="65"/>
  <c r="J1489" i="65"/>
  <c r="K1489" i="65"/>
  <c r="J1490" i="65"/>
  <c r="K1490" i="65"/>
  <c r="J1491" i="65"/>
  <c r="K1491" i="65"/>
  <c r="J1492" i="65"/>
  <c r="K1492" i="65"/>
  <c r="J1493" i="65"/>
  <c r="K1493" i="65"/>
  <c r="J1494" i="65"/>
  <c r="K1494" i="65"/>
  <c r="J1495" i="65"/>
  <c r="K1495" i="65"/>
  <c r="J1496" i="65"/>
  <c r="K1496" i="65"/>
  <c r="J1497" i="65"/>
  <c r="K1497" i="65"/>
  <c r="J1498" i="65"/>
  <c r="K1498" i="65"/>
  <c r="J1499" i="65"/>
  <c r="K1499" i="65"/>
  <c r="J1500" i="65"/>
  <c r="K1500" i="65"/>
  <c r="J1501" i="65"/>
  <c r="K1501" i="65"/>
  <c r="J1502" i="65"/>
  <c r="K1502" i="65"/>
  <c r="J1503" i="65"/>
  <c r="K1503" i="65"/>
  <c r="J1504" i="65"/>
  <c r="K1504" i="65"/>
  <c r="J1505" i="65"/>
  <c r="K1505" i="65"/>
  <c r="J1506" i="65"/>
  <c r="K1506" i="65"/>
  <c r="J1507" i="65"/>
  <c r="K1507" i="65"/>
  <c r="J1508" i="65"/>
  <c r="K1508" i="65"/>
  <c r="J1509" i="65"/>
  <c r="K1509" i="65"/>
  <c r="J1510" i="65"/>
  <c r="K1510" i="65"/>
  <c r="J1511" i="65"/>
  <c r="K1511" i="65"/>
  <c r="J1512" i="65"/>
  <c r="K1512" i="65"/>
  <c r="J1513" i="65"/>
  <c r="K1513" i="65"/>
  <c r="J1514" i="65"/>
  <c r="K1514" i="65"/>
  <c r="J1515" i="65"/>
  <c r="K1515" i="65"/>
  <c r="J1516" i="65"/>
  <c r="K1516" i="65"/>
  <c r="J1517" i="65"/>
  <c r="K1517" i="65"/>
  <c r="J1518" i="65"/>
  <c r="K1518" i="65"/>
  <c r="J1519" i="65"/>
  <c r="K1519" i="65"/>
  <c r="J1520" i="65"/>
  <c r="K1520" i="65"/>
  <c r="J1521" i="65"/>
  <c r="K1521" i="65"/>
  <c r="J1522" i="65"/>
  <c r="K1522" i="65"/>
  <c r="J1523" i="65"/>
  <c r="K1523" i="65"/>
  <c r="J1524" i="65"/>
  <c r="K1524" i="65"/>
  <c r="J1525" i="65"/>
  <c r="K1525" i="65"/>
  <c r="J1526" i="65"/>
  <c r="K1526" i="65"/>
  <c r="J1527" i="65"/>
  <c r="K1527" i="65"/>
  <c r="J1528" i="65"/>
  <c r="K1528" i="65"/>
  <c r="J1529" i="65"/>
  <c r="K1529" i="65"/>
  <c r="J1530" i="65"/>
  <c r="K1530" i="65"/>
  <c r="J1531" i="65"/>
  <c r="K1531" i="65"/>
  <c r="J1532" i="65"/>
  <c r="K1532" i="65"/>
  <c r="J1533" i="65"/>
  <c r="K1533" i="65"/>
  <c r="J1534" i="65"/>
  <c r="K1534" i="65"/>
  <c r="J1535" i="65"/>
  <c r="K1535" i="65"/>
  <c r="J1536" i="65"/>
  <c r="K1536" i="65"/>
  <c r="J1537" i="65"/>
  <c r="K1537" i="65"/>
  <c r="J1538" i="65"/>
  <c r="K1538" i="65"/>
  <c r="J1539" i="65"/>
  <c r="K1539" i="65"/>
  <c r="J1540" i="65"/>
  <c r="K1540" i="65"/>
  <c r="J1541" i="65"/>
  <c r="K1541" i="65"/>
  <c r="J1542" i="65"/>
  <c r="K1542" i="65"/>
  <c r="J1543" i="65"/>
  <c r="K1543" i="65"/>
  <c r="J1544" i="65"/>
  <c r="K1544" i="65"/>
  <c r="J1545" i="65"/>
  <c r="K1545" i="65"/>
  <c r="J1546" i="65"/>
  <c r="K1546" i="65"/>
  <c r="J1547" i="65"/>
  <c r="K1547" i="65"/>
  <c r="J1548" i="65"/>
  <c r="K1548" i="65"/>
  <c r="J1549" i="65"/>
  <c r="K1549" i="65"/>
  <c r="J1550" i="65"/>
  <c r="K1550" i="65"/>
  <c r="J1551" i="65"/>
  <c r="K1551" i="65"/>
  <c r="J1552" i="65"/>
  <c r="K1552" i="65"/>
  <c r="J1553" i="65"/>
  <c r="K1553" i="65"/>
  <c r="J1554" i="65"/>
  <c r="K1554" i="65"/>
  <c r="J1555" i="65"/>
  <c r="K1555" i="65"/>
  <c r="J1556" i="65"/>
  <c r="K1556" i="65"/>
  <c r="J1557" i="65"/>
  <c r="K1557" i="65"/>
  <c r="J1558" i="65"/>
  <c r="K1558" i="65"/>
  <c r="J1559" i="65"/>
  <c r="K1559" i="65"/>
  <c r="J1560" i="65"/>
  <c r="K1560" i="65"/>
  <c r="J1561" i="65"/>
  <c r="K1561" i="65"/>
  <c r="J1562" i="65"/>
  <c r="K1562" i="65"/>
  <c r="J1563" i="65"/>
  <c r="K1563" i="65"/>
  <c r="J1564" i="65"/>
  <c r="K1564" i="65"/>
  <c r="J1565" i="65"/>
  <c r="K1565" i="65"/>
  <c r="J1566" i="65"/>
  <c r="K1566" i="65"/>
  <c r="J1567" i="65"/>
  <c r="K1567" i="65"/>
  <c r="J1568" i="65"/>
  <c r="K1568" i="65"/>
  <c r="J1569" i="65"/>
  <c r="K1569" i="65"/>
  <c r="J1570" i="65"/>
  <c r="K1570" i="65"/>
  <c r="J1571" i="65"/>
  <c r="K1571" i="65"/>
  <c r="J1572" i="65"/>
  <c r="K1572" i="65"/>
  <c r="J1573" i="65"/>
  <c r="K1573" i="65"/>
  <c r="J1574" i="65"/>
  <c r="K1574" i="65"/>
  <c r="J1575" i="65"/>
  <c r="K1575" i="65"/>
  <c r="J1576" i="65"/>
  <c r="K1576" i="65"/>
  <c r="J1577" i="65"/>
  <c r="K1577" i="65"/>
  <c r="J1578" i="65"/>
  <c r="K1578" i="65"/>
  <c r="J1579" i="65"/>
  <c r="K1579" i="65"/>
  <c r="J1580" i="65"/>
  <c r="K1580" i="65"/>
  <c r="J1581" i="65"/>
  <c r="K1581" i="65"/>
  <c r="J1582" i="65"/>
  <c r="K1582" i="65"/>
  <c r="J1583" i="65"/>
  <c r="K1583" i="65"/>
  <c r="J1584" i="65"/>
  <c r="K1584" i="65"/>
  <c r="J1585" i="65"/>
  <c r="K1585" i="65"/>
  <c r="J1586" i="65"/>
  <c r="K1586" i="65"/>
  <c r="J1587" i="65"/>
  <c r="K1587" i="65"/>
  <c r="J1588" i="65"/>
  <c r="K1588" i="65"/>
  <c r="J1589" i="65"/>
  <c r="K1589" i="65"/>
  <c r="J1590" i="65"/>
  <c r="K1590" i="65"/>
  <c r="J1591" i="65"/>
  <c r="K1591" i="65"/>
  <c r="J1592" i="65"/>
  <c r="K1592" i="65"/>
  <c r="J1593" i="65"/>
  <c r="K1593" i="65"/>
  <c r="J1594" i="65"/>
  <c r="K1594" i="65"/>
  <c r="J1595" i="65"/>
  <c r="K1595" i="65"/>
  <c r="J1596" i="65"/>
  <c r="K1596" i="65"/>
  <c r="J1597" i="65"/>
  <c r="K1597" i="65"/>
  <c r="J1598" i="65"/>
  <c r="K1598" i="65"/>
  <c r="J1599" i="65"/>
  <c r="K1599" i="65"/>
  <c r="J1600" i="65"/>
  <c r="K1600" i="65"/>
  <c r="J1601" i="65"/>
  <c r="K1601" i="65"/>
  <c r="J1602" i="65"/>
  <c r="K1602" i="65"/>
  <c r="J1603" i="65"/>
  <c r="K1603" i="65"/>
  <c r="J1604" i="65"/>
  <c r="K1604" i="65"/>
  <c r="J1605" i="65"/>
  <c r="K1605" i="65"/>
  <c r="J1606" i="65"/>
  <c r="K1606" i="65"/>
  <c r="J1607" i="65"/>
  <c r="K1607" i="65"/>
  <c r="J1608" i="65"/>
  <c r="K1608" i="65"/>
  <c r="J1609" i="65"/>
  <c r="K1609" i="65"/>
  <c r="J1610" i="65"/>
  <c r="K1610" i="65"/>
  <c r="J1611" i="65"/>
  <c r="K1611" i="65"/>
  <c r="J1612" i="65"/>
  <c r="K1612" i="65"/>
  <c r="J1613" i="65"/>
  <c r="K1613" i="65"/>
  <c r="J1614" i="65"/>
  <c r="K1614" i="65"/>
  <c r="J1615" i="65"/>
  <c r="K1615" i="65"/>
  <c r="J1616" i="65"/>
  <c r="K1616" i="65"/>
  <c r="J1617" i="65"/>
  <c r="K1617" i="65"/>
  <c r="J1618" i="65"/>
  <c r="K1618" i="65"/>
  <c r="J1619" i="65"/>
  <c r="K1619" i="65"/>
  <c r="J1620" i="65"/>
  <c r="K1620" i="65"/>
  <c r="J1621" i="65"/>
  <c r="K1621" i="65"/>
  <c r="J1622" i="65"/>
  <c r="K1622" i="65"/>
  <c r="J1623" i="65"/>
  <c r="K1623" i="65"/>
  <c r="J1624" i="65"/>
  <c r="K1624" i="65"/>
  <c r="J1625" i="65"/>
  <c r="K1625" i="65"/>
  <c r="J1626" i="65"/>
  <c r="K1626" i="65"/>
  <c r="J1627" i="65"/>
  <c r="K1627" i="65"/>
  <c r="J1628" i="65"/>
  <c r="K1628" i="65"/>
  <c r="J1629" i="65"/>
  <c r="K1629" i="65"/>
  <c r="J1630" i="65"/>
  <c r="K1630" i="65"/>
  <c r="J1631" i="65"/>
  <c r="K1631" i="65"/>
  <c r="J1632" i="65"/>
  <c r="K1632" i="65"/>
  <c r="J1633" i="65"/>
  <c r="K1633" i="65"/>
  <c r="J1634" i="65"/>
  <c r="K1634" i="65"/>
  <c r="J1635" i="65"/>
  <c r="K1635" i="65"/>
  <c r="J1636" i="65"/>
  <c r="K1636" i="65"/>
  <c r="J1637" i="65"/>
  <c r="K1637" i="65"/>
  <c r="J1638" i="65"/>
  <c r="K1638" i="65"/>
  <c r="J1639" i="65"/>
  <c r="K1639" i="65"/>
  <c r="J1640" i="65"/>
  <c r="K1640" i="65"/>
  <c r="J1641" i="65"/>
  <c r="K1641" i="65"/>
  <c r="J1642" i="65"/>
  <c r="K1642" i="65"/>
  <c r="J1643" i="65"/>
  <c r="K1643" i="65"/>
  <c r="J1644" i="65"/>
  <c r="K1644" i="65"/>
  <c r="J1645" i="65"/>
  <c r="K1645" i="65"/>
  <c r="J1646" i="65"/>
  <c r="K1646" i="65"/>
  <c r="J1647" i="65"/>
  <c r="K1647" i="65"/>
  <c r="J1648" i="65"/>
  <c r="K1648" i="65"/>
  <c r="J1649" i="65"/>
  <c r="K1649" i="65"/>
  <c r="J1650" i="65"/>
  <c r="K1650" i="65"/>
  <c r="J1651" i="65"/>
  <c r="K1651" i="65"/>
  <c r="J1652" i="65"/>
  <c r="K1652" i="65"/>
  <c r="J1653" i="65"/>
  <c r="K1653" i="65"/>
  <c r="J1654" i="65"/>
  <c r="K1654" i="65"/>
  <c r="J1655" i="65"/>
  <c r="K1655" i="65"/>
  <c r="J1656" i="65"/>
  <c r="K1656" i="65"/>
  <c r="J1657" i="65"/>
  <c r="K1657" i="65"/>
  <c r="J1658" i="65"/>
  <c r="K1658" i="65"/>
  <c r="J1659" i="65"/>
  <c r="K1659" i="65"/>
  <c r="J1660" i="65"/>
  <c r="K1660" i="65"/>
  <c r="J1661" i="65"/>
  <c r="K1661" i="65"/>
  <c r="J1662" i="65"/>
  <c r="K1662" i="65"/>
  <c r="J1663" i="65"/>
  <c r="K1663" i="65"/>
  <c r="J1664" i="65"/>
  <c r="K1664" i="65"/>
  <c r="J1665" i="65"/>
  <c r="K1665" i="65"/>
  <c r="J1666" i="65"/>
  <c r="K1666" i="65"/>
  <c r="J1667" i="65"/>
  <c r="K1667" i="65"/>
  <c r="J1668" i="65"/>
  <c r="K1668" i="65"/>
  <c r="J1669" i="65"/>
  <c r="K1669" i="65"/>
  <c r="J1670" i="65"/>
  <c r="K1670" i="65"/>
  <c r="J1671" i="65"/>
  <c r="K1671" i="65"/>
  <c r="J1672" i="65"/>
  <c r="K1672" i="65"/>
  <c r="J1673" i="65"/>
  <c r="K1673" i="65"/>
  <c r="J1674" i="65"/>
  <c r="K1674" i="65"/>
  <c r="J1675" i="65"/>
  <c r="K1675" i="65"/>
  <c r="J1676" i="65"/>
  <c r="K1676" i="65"/>
  <c r="J1677" i="65"/>
  <c r="K1677" i="65"/>
  <c r="J1678" i="65"/>
  <c r="K1678" i="65"/>
  <c r="J1679" i="65"/>
  <c r="K1679" i="65"/>
  <c r="J1680" i="65"/>
  <c r="K1680" i="65"/>
  <c r="J1681" i="65"/>
  <c r="K1681" i="65"/>
  <c r="J1682" i="65"/>
  <c r="K1682" i="65"/>
  <c r="J1683" i="65"/>
  <c r="K1683" i="65"/>
  <c r="J1684" i="65"/>
  <c r="K1684" i="65"/>
  <c r="J1685" i="65"/>
  <c r="K1685" i="65"/>
  <c r="J1686" i="65"/>
  <c r="K1686" i="65"/>
  <c r="J1687" i="65"/>
  <c r="K1687" i="65"/>
  <c r="J1688" i="65"/>
  <c r="K1688" i="65"/>
  <c r="J1689" i="65"/>
  <c r="K1689" i="65"/>
  <c r="J1690" i="65"/>
  <c r="K1690" i="65"/>
  <c r="J1691" i="65"/>
  <c r="K1691" i="65"/>
  <c r="J1692" i="65"/>
  <c r="K1692" i="65"/>
  <c r="J1693" i="65"/>
  <c r="K1693" i="65"/>
  <c r="J1694" i="65"/>
  <c r="K1694" i="65"/>
  <c r="J1695" i="65"/>
  <c r="K1695" i="65"/>
  <c r="J1696" i="65"/>
  <c r="K1696" i="65"/>
  <c r="J1697" i="65"/>
  <c r="K1697" i="65"/>
  <c r="J1698" i="65"/>
  <c r="K1698" i="65"/>
  <c r="J1699" i="65"/>
  <c r="K1699" i="65"/>
  <c r="J1700" i="65"/>
  <c r="K1700" i="65"/>
  <c r="J1701" i="65"/>
  <c r="K1701" i="65"/>
  <c r="J1702" i="65"/>
  <c r="K1702" i="65"/>
  <c r="J1703" i="65"/>
  <c r="K1703" i="65"/>
  <c r="J1704" i="65"/>
  <c r="K1704" i="65"/>
  <c r="J1705" i="65"/>
  <c r="K1705" i="65"/>
  <c r="J1706" i="65"/>
  <c r="K1706" i="65"/>
  <c r="J1707" i="65"/>
  <c r="K1707" i="65"/>
  <c r="J1708" i="65"/>
  <c r="K1708" i="65"/>
  <c r="J1709" i="65"/>
  <c r="K1709" i="65"/>
  <c r="J1710" i="65"/>
  <c r="K1710" i="65"/>
  <c r="J1711" i="65"/>
  <c r="K1711" i="65"/>
  <c r="J1712" i="65"/>
  <c r="K1712" i="65"/>
  <c r="J1713" i="65"/>
  <c r="K1713" i="65"/>
  <c r="J1714" i="65"/>
  <c r="K1714" i="65"/>
  <c r="J1715" i="65"/>
  <c r="K1715" i="65"/>
  <c r="J1716" i="65"/>
  <c r="K1716" i="65"/>
  <c r="J1717" i="65"/>
  <c r="K1717" i="65"/>
  <c r="J1718" i="65"/>
  <c r="K1718" i="65"/>
  <c r="J1719" i="65"/>
  <c r="K1719" i="65"/>
  <c r="J1720" i="65"/>
  <c r="K1720" i="65"/>
  <c r="J1721" i="65"/>
  <c r="K1721" i="65"/>
  <c r="J1722" i="65"/>
  <c r="K1722" i="65"/>
  <c r="J1723" i="65"/>
  <c r="K1723" i="65"/>
  <c r="J1724" i="65"/>
  <c r="K1724" i="65"/>
  <c r="J1725" i="65"/>
  <c r="K1725" i="65"/>
  <c r="J1726" i="65"/>
  <c r="K1726" i="65"/>
  <c r="J1727" i="65"/>
  <c r="K1727" i="65"/>
  <c r="J1728" i="65"/>
  <c r="K1728" i="65"/>
  <c r="J1729" i="65"/>
  <c r="K1729" i="65"/>
  <c r="J1730" i="65"/>
  <c r="K1730" i="65"/>
  <c r="J1731" i="65"/>
  <c r="K1731" i="65"/>
  <c r="J1732" i="65"/>
  <c r="K1732" i="65"/>
  <c r="J1733" i="65"/>
  <c r="K1733" i="65"/>
  <c r="J1734" i="65"/>
  <c r="K1734" i="65"/>
  <c r="J1735" i="65"/>
  <c r="K1735" i="65"/>
  <c r="J1736" i="65"/>
  <c r="K1736" i="65"/>
  <c r="J1737" i="65"/>
  <c r="K1737" i="65"/>
  <c r="J1738" i="65"/>
  <c r="K1738" i="65"/>
  <c r="J1739" i="65"/>
  <c r="K1739" i="65"/>
  <c r="J1740" i="65"/>
  <c r="K1740" i="65"/>
  <c r="J1741" i="65"/>
  <c r="K1741" i="65"/>
  <c r="J1742" i="65"/>
  <c r="K1742" i="65"/>
  <c r="J1743" i="65"/>
  <c r="K1743" i="65"/>
  <c r="J1744" i="65"/>
  <c r="K1744" i="65"/>
  <c r="J1745" i="65"/>
  <c r="K1745" i="65"/>
  <c r="J1746" i="65"/>
  <c r="K1746" i="65"/>
  <c r="J1747" i="65"/>
  <c r="K1747" i="65"/>
  <c r="J1748" i="65"/>
  <c r="K1748" i="65"/>
  <c r="J1749" i="65"/>
  <c r="K1749" i="65"/>
  <c r="J1750" i="65"/>
  <c r="K1750" i="65"/>
  <c r="J1751" i="65"/>
  <c r="K1751" i="65"/>
  <c r="J1752" i="65"/>
  <c r="K1752" i="65"/>
  <c r="J1753" i="65"/>
  <c r="K1753" i="65"/>
  <c r="J1754" i="65"/>
  <c r="K1754" i="65"/>
  <c r="J1755" i="65"/>
  <c r="K1755" i="65"/>
  <c r="J1756" i="65"/>
  <c r="K1756" i="65"/>
  <c r="J1757" i="65"/>
  <c r="K1757" i="65"/>
  <c r="J1758" i="65"/>
  <c r="K1758" i="65"/>
  <c r="J1759" i="65"/>
  <c r="K1759" i="65"/>
  <c r="J1760" i="65"/>
  <c r="K1760" i="65"/>
  <c r="J1761" i="65"/>
  <c r="K1761" i="65"/>
  <c r="J1762" i="65"/>
  <c r="K1762" i="65"/>
  <c r="J1763" i="65"/>
  <c r="K1763" i="65"/>
  <c r="J1764" i="65"/>
  <c r="K1764" i="65"/>
  <c r="J1765" i="65"/>
  <c r="K1765" i="65"/>
  <c r="J1766" i="65"/>
  <c r="K1766" i="65"/>
  <c r="J1767" i="65"/>
  <c r="K1767" i="65"/>
  <c r="J1768" i="65"/>
  <c r="K1768" i="65"/>
  <c r="J1769" i="65"/>
  <c r="K1769" i="65"/>
  <c r="J1770" i="65"/>
  <c r="K1770" i="65"/>
  <c r="J1771" i="65"/>
  <c r="K1771" i="65"/>
  <c r="J1772" i="65"/>
  <c r="K1772" i="65"/>
  <c r="J1773" i="65"/>
  <c r="K1773" i="65"/>
  <c r="J1774" i="65"/>
  <c r="K1774" i="65"/>
  <c r="J1775" i="65"/>
  <c r="K1775" i="65"/>
  <c r="J1776" i="65"/>
  <c r="K1776" i="65"/>
  <c r="J1777" i="65"/>
  <c r="K1777" i="65"/>
  <c r="J1778" i="65"/>
  <c r="K1778" i="65"/>
  <c r="J1779" i="65"/>
  <c r="K1779" i="65"/>
  <c r="J1780" i="65"/>
  <c r="K1780" i="65"/>
  <c r="J1781" i="65"/>
  <c r="K1781" i="65"/>
  <c r="J1782" i="65"/>
  <c r="K1782" i="65"/>
  <c r="J1783" i="65"/>
  <c r="K1783" i="65"/>
  <c r="J1784" i="65"/>
  <c r="K1784" i="65"/>
  <c r="J1785" i="65"/>
  <c r="K1785" i="65"/>
  <c r="J1786" i="65"/>
  <c r="K1786" i="65"/>
  <c r="J1787" i="65"/>
  <c r="K1787" i="65"/>
  <c r="J1788" i="65"/>
  <c r="K1788" i="65"/>
  <c r="J1789" i="65"/>
  <c r="K1789" i="65"/>
  <c r="J1790" i="65"/>
  <c r="K1790" i="65"/>
  <c r="J1791" i="65"/>
  <c r="K1791" i="65"/>
  <c r="J1792" i="65"/>
  <c r="K1792" i="65"/>
  <c r="J1793" i="65"/>
  <c r="K1793" i="65"/>
  <c r="J1794" i="65"/>
  <c r="K1794" i="65"/>
  <c r="J1795" i="65"/>
  <c r="K1795" i="65"/>
  <c r="J1796" i="65"/>
  <c r="K1796" i="65"/>
  <c r="J1797" i="65"/>
  <c r="K1797" i="65"/>
  <c r="J1798" i="65"/>
  <c r="K1798" i="65"/>
  <c r="J1799" i="65"/>
  <c r="K1799" i="65"/>
  <c r="J1800" i="65"/>
  <c r="K1800" i="65"/>
  <c r="J1801" i="65"/>
  <c r="K1801" i="65"/>
  <c r="J1802" i="65"/>
  <c r="K1802" i="65"/>
  <c r="J1803" i="65"/>
  <c r="K1803" i="65"/>
  <c r="J1804" i="65"/>
  <c r="K1804" i="65"/>
  <c r="J1805" i="65"/>
  <c r="K1805" i="65"/>
  <c r="J1806" i="65"/>
  <c r="K1806" i="65"/>
  <c r="J1807" i="65"/>
  <c r="K1807" i="65"/>
  <c r="J1808" i="65"/>
  <c r="K1808" i="65"/>
  <c r="J1809" i="65"/>
  <c r="K1809" i="65"/>
  <c r="J1810" i="65"/>
  <c r="K1810" i="65"/>
  <c r="J1811" i="65"/>
  <c r="K1811" i="65"/>
  <c r="J1812" i="65"/>
  <c r="K1812" i="65"/>
  <c r="J1813" i="65"/>
  <c r="K1813" i="65"/>
  <c r="J1814" i="65"/>
  <c r="K1814" i="65"/>
  <c r="J1815" i="65"/>
  <c r="K1815" i="65"/>
  <c r="J1816" i="65"/>
  <c r="K1816" i="65"/>
  <c r="J1817" i="65"/>
  <c r="K1817" i="65"/>
  <c r="J1818" i="65"/>
  <c r="K1818" i="65"/>
  <c r="J1819" i="65"/>
  <c r="K1819" i="65"/>
  <c r="J1820" i="65"/>
  <c r="K1820" i="65"/>
  <c r="J1821" i="65"/>
  <c r="K1821" i="65"/>
  <c r="J1822" i="65"/>
  <c r="K1822" i="65"/>
  <c r="J1823" i="65"/>
  <c r="K1823" i="65"/>
  <c r="J1824" i="65"/>
  <c r="K1824" i="65"/>
  <c r="J1825" i="65"/>
  <c r="K1825" i="65"/>
  <c r="J1826" i="65"/>
  <c r="K1826" i="65"/>
  <c r="J1827" i="65"/>
  <c r="K1827" i="65"/>
  <c r="J1828" i="65"/>
  <c r="K1828" i="65"/>
  <c r="J1829" i="65"/>
  <c r="K1829" i="65"/>
  <c r="J1830" i="65"/>
  <c r="K1830" i="65"/>
  <c r="J1831" i="65"/>
  <c r="K1831" i="65"/>
  <c r="J1832" i="65"/>
  <c r="K1832" i="65"/>
  <c r="J1833" i="65"/>
  <c r="K1833" i="65"/>
  <c r="J1834" i="65"/>
  <c r="K1834" i="65"/>
  <c r="J1835" i="65"/>
  <c r="K1835" i="65"/>
  <c r="J1836" i="65"/>
  <c r="K1836" i="65"/>
  <c r="J1837" i="65"/>
  <c r="K1837" i="65"/>
  <c r="J1838" i="65"/>
  <c r="K1838" i="65"/>
  <c r="J1839" i="65"/>
  <c r="K1839" i="65"/>
  <c r="J1840" i="65"/>
  <c r="K1840" i="65"/>
  <c r="J1841" i="65"/>
  <c r="K1841" i="65"/>
  <c r="J1842" i="65"/>
  <c r="K1842" i="65"/>
  <c r="J1843" i="65"/>
  <c r="K1843" i="65"/>
  <c r="J1844" i="65"/>
  <c r="K1844" i="65"/>
  <c r="J1845" i="65"/>
  <c r="K1845" i="65"/>
  <c r="J1846" i="65"/>
  <c r="K1846" i="65"/>
  <c r="J1847" i="65"/>
  <c r="K1847" i="65"/>
  <c r="J1848" i="65"/>
  <c r="K1848" i="65"/>
  <c r="J1849" i="65"/>
  <c r="K1849" i="65"/>
  <c r="J1850" i="65"/>
  <c r="K1850" i="65"/>
  <c r="J1851" i="65"/>
  <c r="K1851" i="65"/>
  <c r="J1852" i="65"/>
  <c r="K1852" i="65"/>
  <c r="J1853" i="65"/>
  <c r="K1853" i="65"/>
  <c r="J1854" i="65"/>
  <c r="K1854" i="65"/>
  <c r="J1855" i="65"/>
  <c r="K1855" i="65"/>
  <c r="J1856" i="65"/>
  <c r="K1856" i="65"/>
  <c r="J1857" i="65"/>
  <c r="K1857" i="65"/>
  <c r="J1858" i="65"/>
  <c r="K1858" i="65"/>
  <c r="J1859" i="65"/>
  <c r="K1859" i="65"/>
  <c r="J1860" i="65"/>
  <c r="K1860" i="65"/>
  <c r="J1861" i="65"/>
  <c r="K1861" i="65"/>
  <c r="J1862" i="65"/>
  <c r="K1862" i="65"/>
  <c r="J1863" i="65"/>
  <c r="K1863" i="65"/>
  <c r="J1864" i="65"/>
  <c r="K1864" i="65"/>
  <c r="J1865" i="65"/>
  <c r="K1865" i="65"/>
  <c r="J1866" i="65"/>
  <c r="K1866" i="65"/>
  <c r="J1867" i="65"/>
  <c r="K1867" i="65"/>
  <c r="J1868" i="65"/>
  <c r="K1868" i="65"/>
  <c r="J1869" i="65"/>
  <c r="K1869" i="65"/>
  <c r="J1870" i="65"/>
  <c r="K1870" i="65"/>
  <c r="J1871" i="65"/>
  <c r="K1871" i="65"/>
  <c r="J1872" i="65"/>
  <c r="K1872" i="65"/>
  <c r="J1873" i="65"/>
  <c r="K1873" i="65"/>
  <c r="J1874" i="65"/>
  <c r="K1874" i="65"/>
  <c r="J1875" i="65"/>
  <c r="K1875" i="65"/>
  <c r="J1876" i="65"/>
  <c r="K1876" i="65"/>
  <c r="J1877" i="65"/>
  <c r="K1877" i="65"/>
  <c r="J1878" i="65"/>
  <c r="K1878" i="65"/>
  <c r="J1879" i="65"/>
  <c r="K1879" i="65"/>
  <c r="J1880" i="65"/>
  <c r="K1880" i="65"/>
  <c r="J1881" i="65"/>
  <c r="K1881" i="65"/>
  <c r="J1882" i="65"/>
  <c r="K1882" i="65"/>
  <c r="J1883" i="65"/>
  <c r="K1883" i="65"/>
  <c r="J1884" i="65"/>
  <c r="K1884" i="65"/>
  <c r="J1885" i="65"/>
  <c r="K1885" i="65"/>
  <c r="J1886" i="65"/>
  <c r="K1886" i="65"/>
  <c r="J1887" i="65"/>
  <c r="K1887" i="65"/>
  <c r="J1888" i="65"/>
  <c r="K1888" i="65"/>
  <c r="J1889" i="65"/>
  <c r="K1889" i="65"/>
  <c r="J1890" i="65"/>
  <c r="K1890" i="65"/>
  <c r="J1891" i="65"/>
  <c r="K1891" i="65"/>
  <c r="J1892" i="65"/>
  <c r="K1892" i="65"/>
  <c r="J1893" i="65"/>
  <c r="K1893" i="65"/>
  <c r="J1894" i="65"/>
  <c r="K1894" i="65"/>
  <c r="J1895" i="65"/>
  <c r="K1895" i="65"/>
  <c r="J1896" i="65"/>
  <c r="K1896" i="65"/>
  <c r="J1897" i="65"/>
  <c r="K1897" i="65"/>
  <c r="J1898" i="65"/>
  <c r="K1898" i="65"/>
  <c r="J1899" i="65"/>
  <c r="K1899" i="65"/>
  <c r="J1900" i="65"/>
  <c r="K1900" i="65"/>
  <c r="J1901" i="65"/>
  <c r="K1901" i="65"/>
  <c r="J1902" i="65"/>
  <c r="K1902" i="65"/>
  <c r="J1903" i="65"/>
  <c r="K1903" i="65"/>
  <c r="J1904" i="65"/>
  <c r="K1904" i="65"/>
  <c r="J1905" i="65"/>
  <c r="K1905" i="65"/>
  <c r="J1906" i="65"/>
  <c r="K1906" i="65"/>
  <c r="J1907" i="65"/>
  <c r="K1907" i="65"/>
  <c r="J1908" i="65"/>
  <c r="K1908" i="65"/>
  <c r="J1909" i="65"/>
  <c r="K1909" i="65"/>
  <c r="J1910" i="65"/>
  <c r="K1910" i="65"/>
  <c r="J1911" i="65"/>
  <c r="K1911" i="65"/>
  <c r="J1912" i="65"/>
  <c r="K1912" i="65"/>
  <c r="J1913" i="65"/>
  <c r="K1913" i="65"/>
  <c r="J1914" i="65"/>
  <c r="K1914" i="65"/>
  <c r="J1915" i="65"/>
  <c r="K1915" i="65"/>
  <c r="J1916" i="65"/>
  <c r="K1916" i="65"/>
  <c r="J1917" i="65"/>
  <c r="K1917" i="65"/>
  <c r="J1918" i="65"/>
  <c r="K1918" i="65"/>
  <c r="J1919" i="65"/>
  <c r="K1919" i="65"/>
  <c r="J1920" i="65"/>
  <c r="K1920" i="65"/>
  <c r="J1921" i="65"/>
  <c r="K1921" i="65"/>
  <c r="J1922" i="65"/>
  <c r="K1922" i="65"/>
  <c r="J1923" i="65"/>
  <c r="K1923" i="65"/>
  <c r="J1924" i="65"/>
  <c r="K1924" i="65"/>
  <c r="J1925" i="65"/>
  <c r="K1925" i="65"/>
  <c r="J1926" i="65"/>
  <c r="K1926" i="65"/>
  <c r="J1927" i="65"/>
  <c r="K1927" i="65"/>
  <c r="J1928" i="65"/>
  <c r="K1928" i="65"/>
  <c r="J1929" i="65"/>
  <c r="K1929" i="65"/>
  <c r="J1930" i="65"/>
  <c r="K1930" i="65"/>
  <c r="J1931" i="65"/>
  <c r="K1931" i="65"/>
  <c r="J1932" i="65"/>
  <c r="K1932" i="65"/>
  <c r="J1933" i="65"/>
  <c r="K1933" i="65"/>
  <c r="J1934" i="65"/>
  <c r="K1934" i="65"/>
  <c r="J1935" i="65"/>
  <c r="K1935" i="65"/>
  <c r="J1936" i="65"/>
  <c r="K1936" i="65"/>
  <c r="J1937" i="65"/>
  <c r="K1937" i="65"/>
  <c r="J1938" i="65"/>
  <c r="K1938" i="65"/>
  <c r="J1939" i="65"/>
  <c r="K1939" i="65"/>
  <c r="J1940" i="65"/>
  <c r="K1940" i="65"/>
  <c r="J1941" i="65"/>
  <c r="K1941" i="65"/>
  <c r="J1942" i="65"/>
  <c r="K1942" i="65"/>
  <c r="J1943" i="65"/>
  <c r="K1943" i="65"/>
  <c r="J1944" i="65"/>
  <c r="K1944" i="65"/>
  <c r="J1945" i="65"/>
  <c r="K1945" i="65"/>
  <c r="J1946" i="65"/>
  <c r="K1946" i="65"/>
  <c r="J1947" i="65"/>
  <c r="K1947" i="65"/>
  <c r="J1948" i="65"/>
  <c r="K1948" i="65"/>
  <c r="J1949" i="65"/>
  <c r="K1949" i="65"/>
  <c r="J1950" i="65"/>
  <c r="K1950" i="65"/>
  <c r="J1951" i="65"/>
  <c r="K1951" i="65"/>
  <c r="J1952" i="65"/>
  <c r="K1952" i="65"/>
  <c r="J1953" i="65"/>
  <c r="K1953" i="65"/>
  <c r="J1954" i="65"/>
  <c r="K1954" i="65"/>
  <c r="J1955" i="65"/>
  <c r="K1955" i="65"/>
  <c r="J1956" i="65"/>
  <c r="K1956" i="65"/>
  <c r="J1957" i="65"/>
  <c r="K1957" i="65"/>
  <c r="J1958" i="65"/>
  <c r="K1958" i="65"/>
  <c r="J1959" i="65"/>
  <c r="K1959" i="65"/>
  <c r="J1960" i="65"/>
  <c r="K1960" i="65"/>
  <c r="J1961" i="65"/>
  <c r="K1961" i="65"/>
  <c r="J1962" i="65"/>
  <c r="K1962" i="65"/>
  <c r="J1963" i="65"/>
  <c r="K1963" i="65"/>
  <c r="J1964" i="65"/>
  <c r="K1964" i="65"/>
  <c r="J1965" i="65"/>
  <c r="K1965" i="65"/>
  <c r="J1966" i="65"/>
  <c r="K1966" i="65"/>
  <c r="J1967" i="65"/>
  <c r="K1967" i="65"/>
  <c r="J1968" i="65"/>
  <c r="K1968" i="65"/>
  <c r="J1969" i="65"/>
  <c r="K1969" i="65"/>
  <c r="J1970" i="65"/>
  <c r="K1970" i="65"/>
  <c r="J1971" i="65"/>
  <c r="K1971" i="65"/>
  <c r="J1972" i="65"/>
  <c r="K1972" i="65"/>
  <c r="J1973" i="65"/>
  <c r="K1973" i="65"/>
  <c r="J1974" i="65"/>
  <c r="K1974" i="65"/>
  <c r="J1975" i="65"/>
  <c r="K1975" i="65"/>
  <c r="J1976" i="65"/>
  <c r="K1976" i="65"/>
  <c r="J1977" i="65"/>
  <c r="K1977" i="65"/>
  <c r="J1978" i="65"/>
  <c r="K1978" i="65"/>
  <c r="J1979" i="65"/>
  <c r="K1979" i="65"/>
  <c r="J1980" i="65"/>
  <c r="K1980" i="65"/>
  <c r="J1981" i="65"/>
  <c r="K1981" i="65"/>
  <c r="J1982" i="65"/>
  <c r="K1982" i="65"/>
  <c r="J1983" i="65"/>
  <c r="K1983" i="65"/>
  <c r="J1984" i="65"/>
  <c r="K1984" i="65"/>
  <c r="J1985" i="65"/>
  <c r="K1985" i="65"/>
  <c r="J1986" i="65"/>
  <c r="K1986" i="65"/>
  <c r="J1987" i="65"/>
  <c r="K1987" i="65"/>
  <c r="J1988" i="65"/>
  <c r="K1988" i="65"/>
  <c r="J1989" i="65"/>
  <c r="K1989" i="65"/>
  <c r="J1990" i="65"/>
  <c r="K1990" i="65"/>
  <c r="J1991" i="65"/>
  <c r="K1991" i="65"/>
  <c r="J1992" i="65"/>
  <c r="K1992" i="65"/>
  <c r="J1993" i="65"/>
  <c r="K1993" i="65"/>
  <c r="J1994" i="65"/>
  <c r="K1994" i="65"/>
  <c r="J1995" i="65"/>
  <c r="K1995" i="65"/>
  <c r="J1996" i="65"/>
  <c r="K1996" i="65"/>
  <c r="J1997" i="65"/>
  <c r="K1997" i="65"/>
  <c r="J1998" i="65"/>
  <c r="K1998" i="65"/>
  <c r="J1999" i="65"/>
  <c r="K1999" i="65"/>
  <c r="J2000" i="65"/>
  <c r="K2000" i="65"/>
  <c r="J2001" i="65"/>
  <c r="K2001" i="65"/>
  <c r="J2002" i="65"/>
  <c r="K2002" i="65"/>
  <c r="J2003" i="65"/>
  <c r="K2003" i="65"/>
  <c r="J2004" i="65"/>
  <c r="K2004" i="65"/>
  <c r="J2005" i="65"/>
  <c r="K2005" i="65"/>
  <c r="J2006" i="65"/>
  <c r="K2006" i="65"/>
  <c r="J2007" i="65"/>
  <c r="K2007" i="65"/>
  <c r="J2008" i="65"/>
  <c r="K2008" i="65"/>
  <c r="J2009" i="65"/>
  <c r="K2009" i="65"/>
  <c r="J2010" i="65"/>
  <c r="K2010" i="65"/>
  <c r="J2011" i="65"/>
  <c r="K2011" i="65"/>
  <c r="J2012" i="65"/>
  <c r="K2012" i="65"/>
  <c r="J2013" i="65"/>
  <c r="K2013" i="65"/>
  <c r="J2014" i="65"/>
  <c r="K2014" i="65"/>
  <c r="J2015" i="65"/>
  <c r="K2015" i="65"/>
  <c r="J2016" i="65"/>
  <c r="K2016" i="65"/>
  <c r="J2017" i="65"/>
  <c r="K2017" i="65"/>
  <c r="J2018" i="65"/>
  <c r="K2018" i="65"/>
  <c r="J2019" i="65"/>
  <c r="K2019" i="65"/>
  <c r="J2020" i="65"/>
  <c r="K2020" i="65"/>
  <c r="J2021" i="65"/>
  <c r="K2021" i="65"/>
  <c r="J2022" i="65"/>
  <c r="K2022" i="65"/>
  <c r="J2023" i="65"/>
  <c r="K2023" i="65"/>
  <c r="J2024" i="65"/>
  <c r="K2024" i="65"/>
  <c r="J2025" i="65"/>
  <c r="K2025" i="65"/>
  <c r="J2026" i="65"/>
  <c r="K2026" i="65"/>
  <c r="J2027" i="65"/>
  <c r="K2027" i="65"/>
  <c r="J2028" i="65"/>
  <c r="K2028" i="65"/>
  <c r="J2029" i="65"/>
  <c r="K2029" i="65"/>
  <c r="J2030" i="65"/>
  <c r="K2030" i="65"/>
  <c r="J2031" i="65"/>
  <c r="K2031" i="65"/>
  <c r="J2032" i="65"/>
  <c r="K2032" i="65"/>
  <c r="J2033" i="65"/>
  <c r="K2033" i="65"/>
  <c r="J2034" i="65"/>
  <c r="K2034" i="65"/>
  <c r="J2035" i="65"/>
  <c r="K2035" i="65"/>
  <c r="J2036" i="65"/>
  <c r="K2036" i="65"/>
  <c r="J2037" i="65"/>
  <c r="K2037" i="65"/>
  <c r="J2038" i="65"/>
  <c r="K2038" i="65"/>
  <c r="J2039" i="65"/>
  <c r="K2039" i="65"/>
  <c r="J2040" i="65"/>
  <c r="K2040" i="65"/>
  <c r="J2041" i="65"/>
  <c r="K2041" i="65"/>
  <c r="J2042" i="65"/>
  <c r="K2042" i="65"/>
  <c r="J2043" i="65"/>
  <c r="K2043" i="65"/>
  <c r="J2044" i="65"/>
  <c r="K2044" i="65"/>
  <c r="J2045" i="65"/>
  <c r="K2045" i="65"/>
  <c r="J2046" i="65"/>
  <c r="K2046" i="65"/>
  <c r="J2047" i="65"/>
  <c r="K2047" i="65"/>
  <c r="J2048" i="65"/>
  <c r="K2048" i="65"/>
  <c r="J2049" i="65"/>
  <c r="K2049" i="65"/>
  <c r="J2050" i="65"/>
  <c r="K2050" i="65"/>
  <c r="J2051" i="65"/>
  <c r="K2051" i="65"/>
  <c r="J2052" i="65"/>
  <c r="K2052" i="65"/>
  <c r="J2053" i="65"/>
  <c r="K2053" i="65"/>
  <c r="J2054" i="65"/>
  <c r="K2054" i="65"/>
  <c r="J2055" i="65"/>
  <c r="K2055" i="65"/>
  <c r="J2056" i="65"/>
  <c r="K2056" i="65"/>
  <c r="J2057" i="65"/>
  <c r="K2057" i="65"/>
  <c r="J2058" i="65"/>
  <c r="K2058" i="65"/>
  <c r="J2059" i="65"/>
  <c r="K2059" i="65"/>
  <c r="J2060" i="65"/>
  <c r="K2060" i="65"/>
  <c r="J2061" i="65"/>
  <c r="K2061" i="65"/>
  <c r="J2062" i="65"/>
  <c r="K2062" i="65"/>
  <c r="J2063" i="65"/>
  <c r="K2063" i="65"/>
  <c r="J2064" i="65"/>
  <c r="K2064" i="65"/>
  <c r="J2065" i="65"/>
  <c r="K2065" i="65"/>
  <c r="J2066" i="65"/>
  <c r="K2066" i="65"/>
  <c r="J2067" i="65"/>
  <c r="K2067" i="65"/>
  <c r="J2068" i="65"/>
  <c r="K2068" i="65"/>
  <c r="J2069" i="65"/>
  <c r="K2069" i="65"/>
  <c r="J2070" i="65"/>
  <c r="K2070" i="65"/>
  <c r="J2071" i="65"/>
  <c r="K2071" i="65"/>
  <c r="J2072" i="65"/>
  <c r="K2072" i="65"/>
  <c r="J2073" i="65"/>
  <c r="K2073" i="65"/>
  <c r="J2074" i="65"/>
  <c r="K2074" i="65"/>
  <c r="J2075" i="65"/>
  <c r="K2075" i="65"/>
  <c r="J2076" i="65"/>
  <c r="K2076" i="65"/>
  <c r="J2077" i="65"/>
  <c r="K2077" i="65"/>
  <c r="J2078" i="65"/>
  <c r="K2078" i="65"/>
  <c r="J2079" i="65"/>
  <c r="K2079" i="65"/>
  <c r="J2080" i="65"/>
  <c r="K2080" i="65"/>
  <c r="J2081" i="65"/>
  <c r="K2081" i="65"/>
  <c r="J2082" i="65"/>
  <c r="K2082" i="65"/>
  <c r="J2083" i="65"/>
  <c r="K2083" i="65"/>
  <c r="J2084" i="65"/>
  <c r="K2084" i="65"/>
  <c r="J2085" i="65"/>
  <c r="K2085" i="65"/>
  <c r="J2086" i="65"/>
  <c r="K2086" i="65"/>
  <c r="J2087" i="65"/>
  <c r="K2087" i="65"/>
  <c r="J2088" i="65"/>
  <c r="K2088" i="65"/>
  <c r="J2089" i="65"/>
  <c r="K2089" i="65"/>
  <c r="J2090" i="65"/>
  <c r="K2090" i="65"/>
  <c r="J2091" i="65"/>
  <c r="K2091" i="65"/>
  <c r="J2092" i="65"/>
  <c r="K2092" i="65"/>
  <c r="J2093" i="65"/>
  <c r="K2093" i="65"/>
  <c r="J2094" i="65"/>
  <c r="K2094" i="65"/>
  <c r="J2095" i="65"/>
  <c r="K2095" i="65"/>
  <c r="J2096" i="65"/>
  <c r="K2096" i="65"/>
  <c r="J2097" i="65"/>
  <c r="K2097" i="65"/>
  <c r="J2098" i="65"/>
  <c r="K2098" i="65"/>
  <c r="J2099" i="65"/>
  <c r="K2099" i="65"/>
  <c r="J2100" i="65"/>
  <c r="K2100" i="65"/>
  <c r="J2101" i="65"/>
  <c r="K2101" i="65"/>
  <c r="J2102" i="65"/>
  <c r="K2102" i="65"/>
  <c r="J2103" i="65"/>
  <c r="K2103" i="65"/>
  <c r="J2104" i="65"/>
  <c r="K2104" i="65"/>
  <c r="J2105" i="65"/>
  <c r="K2105" i="65"/>
  <c r="J2106" i="65"/>
  <c r="K2106" i="65"/>
  <c r="J2107" i="65"/>
  <c r="K2107" i="65"/>
  <c r="J2108" i="65"/>
  <c r="K2108" i="65"/>
  <c r="J2109" i="65"/>
  <c r="K2109" i="65"/>
  <c r="J2110" i="65"/>
  <c r="K2110" i="65"/>
  <c r="J2111" i="65"/>
  <c r="K2111" i="65"/>
  <c r="J2112" i="65"/>
  <c r="K2112" i="65"/>
  <c r="J2113" i="65"/>
  <c r="K2113" i="65"/>
  <c r="J2114" i="65"/>
  <c r="K2114" i="65"/>
  <c r="J2115" i="65"/>
  <c r="K2115" i="65"/>
  <c r="J2116" i="65"/>
  <c r="K2116" i="65"/>
  <c r="J2117" i="65"/>
  <c r="K2117" i="65"/>
  <c r="J2118" i="65"/>
  <c r="K2118" i="65"/>
  <c r="J2119" i="65"/>
  <c r="K2119" i="65"/>
  <c r="J2120" i="65"/>
  <c r="K2120" i="65"/>
  <c r="J2121" i="65"/>
  <c r="K2121" i="65"/>
  <c r="J2122" i="65"/>
  <c r="K2122" i="65"/>
  <c r="J2123" i="65"/>
  <c r="K2123" i="65"/>
  <c r="J2124" i="65"/>
  <c r="K2124" i="65"/>
  <c r="J2125" i="65"/>
  <c r="K2125" i="65"/>
  <c r="J2126" i="65"/>
  <c r="K2126" i="65"/>
  <c r="J2127" i="65"/>
  <c r="K2127" i="65"/>
  <c r="J2128" i="65"/>
  <c r="K2128" i="65"/>
  <c r="J2129" i="65"/>
  <c r="K2129" i="65"/>
  <c r="J2130" i="65"/>
  <c r="K2130" i="65"/>
  <c r="J2131" i="65"/>
  <c r="K2131" i="65"/>
  <c r="J2132" i="65"/>
  <c r="K2132" i="65"/>
  <c r="J2133" i="65"/>
  <c r="K2133" i="65"/>
  <c r="J2134" i="65"/>
  <c r="K2134" i="65"/>
  <c r="J2135" i="65"/>
  <c r="K2135" i="65"/>
  <c r="J2136" i="65"/>
  <c r="K2136" i="65"/>
  <c r="J2137" i="65"/>
  <c r="K2137" i="65"/>
  <c r="J2138" i="65"/>
  <c r="K2138" i="65"/>
  <c r="J2139" i="65"/>
  <c r="K2139" i="65"/>
  <c r="J2140" i="65"/>
  <c r="K2140" i="65"/>
  <c r="J2141" i="65"/>
  <c r="K2141" i="65"/>
  <c r="J2142" i="65"/>
  <c r="K2142" i="65"/>
  <c r="J2143" i="65"/>
  <c r="K2143" i="65"/>
  <c r="J2144" i="65"/>
  <c r="K2144" i="65"/>
  <c r="J2145" i="65"/>
  <c r="K2145" i="65"/>
  <c r="J2146" i="65"/>
  <c r="K2146" i="65"/>
  <c r="J2147" i="65"/>
  <c r="K2147" i="65"/>
  <c r="J2148" i="65"/>
  <c r="K2148" i="65"/>
  <c r="J2149" i="65"/>
  <c r="K2149" i="65"/>
  <c r="J2150" i="65"/>
  <c r="K2150" i="65"/>
  <c r="J2151" i="65"/>
  <c r="K2151" i="65"/>
  <c r="J2152" i="65"/>
  <c r="K2152" i="65"/>
  <c r="J2153" i="65"/>
  <c r="K2153" i="65"/>
  <c r="J2154" i="65"/>
  <c r="K2154" i="65"/>
  <c r="J2155" i="65"/>
  <c r="K2155" i="65"/>
  <c r="J2156" i="65"/>
  <c r="K2156" i="65"/>
  <c r="J2157" i="65"/>
  <c r="K2157" i="65"/>
  <c r="J2158" i="65"/>
  <c r="K2158" i="65"/>
  <c r="J2159" i="65"/>
  <c r="K2159" i="65"/>
  <c r="J2160" i="65"/>
  <c r="K2160" i="65"/>
  <c r="J2161" i="65"/>
  <c r="K2161" i="65"/>
  <c r="J2162" i="65"/>
  <c r="K2162" i="65"/>
  <c r="J2163" i="65"/>
  <c r="K2163" i="65"/>
  <c r="J2164" i="65"/>
  <c r="K2164" i="65"/>
  <c r="J2165" i="65"/>
  <c r="K2165" i="65"/>
  <c r="J2166" i="65"/>
  <c r="K2166" i="65"/>
  <c r="J2167" i="65"/>
  <c r="K2167" i="65"/>
  <c r="J2168" i="65"/>
  <c r="K2168" i="65"/>
  <c r="J2169" i="65"/>
  <c r="K2169" i="65"/>
  <c r="J2170" i="65"/>
  <c r="K2170" i="65"/>
  <c r="J2171" i="65"/>
  <c r="K2171" i="65"/>
  <c r="J2172" i="65"/>
  <c r="K2172" i="65"/>
  <c r="J2173" i="65"/>
  <c r="K2173" i="65"/>
  <c r="J2174" i="65"/>
  <c r="K2174" i="65"/>
  <c r="J2175" i="65"/>
  <c r="K2175" i="65"/>
  <c r="J2176" i="65"/>
  <c r="K2176" i="65"/>
  <c r="J2177" i="65"/>
  <c r="K2177" i="65"/>
  <c r="J2178" i="65"/>
  <c r="K2178" i="65"/>
  <c r="J2179" i="65"/>
  <c r="K2179" i="65"/>
  <c r="J2180" i="65"/>
  <c r="K2180" i="65"/>
  <c r="J2181" i="65"/>
  <c r="K2181" i="65"/>
  <c r="J2182" i="65"/>
  <c r="K2182" i="65"/>
  <c r="J2183" i="65"/>
  <c r="K2183" i="65"/>
  <c r="J2184" i="65"/>
  <c r="K2184" i="65"/>
  <c r="J2185" i="65"/>
  <c r="K2185" i="65"/>
  <c r="J2186" i="65"/>
  <c r="K2186" i="65"/>
  <c r="J2187" i="65"/>
  <c r="K2187" i="65"/>
  <c r="J2188" i="65"/>
  <c r="K2188" i="65"/>
  <c r="J2189" i="65"/>
  <c r="K2189" i="65"/>
  <c r="J2190" i="65"/>
  <c r="K2190" i="65"/>
  <c r="J2191" i="65"/>
  <c r="K2191" i="65"/>
  <c r="J2192" i="65"/>
  <c r="K2192" i="65"/>
  <c r="J2193" i="65"/>
  <c r="K2193" i="65"/>
  <c r="J2194" i="65"/>
  <c r="K2194" i="65"/>
  <c r="J2195" i="65"/>
  <c r="K2195" i="65"/>
  <c r="J2196" i="65"/>
  <c r="K2196" i="65"/>
  <c r="J2197" i="65"/>
  <c r="K2197" i="65"/>
  <c r="J2198" i="65"/>
  <c r="K2198" i="65"/>
  <c r="J2199" i="65"/>
  <c r="K2199" i="65"/>
  <c r="J2200" i="65"/>
  <c r="K2200" i="65"/>
  <c r="J2201" i="65"/>
  <c r="K2201" i="65"/>
  <c r="J2202" i="65"/>
  <c r="K2202" i="65"/>
  <c r="J2203" i="65"/>
  <c r="K2203" i="65"/>
  <c r="J2204" i="65"/>
  <c r="K2204" i="65"/>
  <c r="J2205" i="65"/>
  <c r="K2205" i="65"/>
  <c r="J2206" i="65"/>
  <c r="K2206" i="65"/>
  <c r="J2207" i="65"/>
  <c r="K2207" i="65"/>
  <c r="J2208" i="65"/>
  <c r="K2208" i="65"/>
  <c r="J2209" i="65"/>
  <c r="K2209" i="65"/>
  <c r="J2210" i="65"/>
  <c r="K2210" i="65"/>
  <c r="J2211" i="65"/>
  <c r="K2211" i="65"/>
  <c r="J2212" i="65"/>
  <c r="K2212" i="65"/>
  <c r="J2213" i="65"/>
  <c r="K2213" i="65"/>
  <c r="J2214" i="65"/>
  <c r="K2214" i="65"/>
  <c r="J2215" i="65"/>
  <c r="K2215" i="65"/>
  <c r="J2216" i="65"/>
  <c r="K2216" i="65"/>
  <c r="J2217" i="65"/>
  <c r="K2217" i="65"/>
  <c r="J2218" i="65"/>
  <c r="K2218" i="65"/>
  <c r="J2219" i="65"/>
  <c r="K2219" i="65"/>
  <c r="J2220" i="65"/>
  <c r="K2220" i="65"/>
  <c r="J2221" i="65"/>
  <c r="K2221" i="65"/>
  <c r="J2222" i="65"/>
  <c r="K2222" i="65"/>
  <c r="J2223" i="65"/>
  <c r="K2223" i="65"/>
  <c r="J2224" i="65"/>
  <c r="K2224" i="65"/>
  <c r="J2225" i="65"/>
  <c r="K2225" i="65"/>
  <c r="J2226" i="65"/>
  <c r="K2226" i="65"/>
  <c r="J2227" i="65"/>
  <c r="K2227" i="65"/>
  <c r="J2228" i="65"/>
  <c r="K2228" i="65"/>
  <c r="J2229" i="65"/>
  <c r="K2229" i="65"/>
  <c r="J2230" i="65"/>
  <c r="K2230" i="65"/>
  <c r="J2231" i="65"/>
  <c r="K2231" i="65"/>
  <c r="J2232" i="65"/>
  <c r="K2232" i="65"/>
  <c r="J2233" i="65"/>
  <c r="K2233" i="65"/>
  <c r="J2234" i="65"/>
  <c r="K2234" i="65"/>
  <c r="J2235" i="65"/>
  <c r="K2235" i="65"/>
  <c r="J2236" i="65"/>
  <c r="K2236" i="65"/>
  <c r="J2237" i="65"/>
  <c r="K2237" i="65"/>
  <c r="J2238" i="65"/>
  <c r="K2238" i="65"/>
  <c r="J2239" i="65"/>
  <c r="K2239" i="65"/>
  <c r="J2240" i="65"/>
  <c r="K2240" i="65"/>
  <c r="J2241" i="65"/>
  <c r="K2241" i="65"/>
  <c r="J2242" i="65"/>
  <c r="K2242" i="65"/>
  <c r="J2243" i="65"/>
  <c r="K2243" i="65"/>
  <c r="J2244" i="65"/>
  <c r="K2244" i="65"/>
  <c r="J2245" i="65"/>
  <c r="K2245" i="65"/>
  <c r="J2246" i="65"/>
  <c r="K2246" i="65"/>
  <c r="J2247" i="65"/>
  <c r="K2247" i="65"/>
  <c r="J2248" i="65"/>
  <c r="K2248" i="65"/>
  <c r="J2249" i="65"/>
  <c r="K2249" i="65"/>
  <c r="J2250" i="65"/>
  <c r="K2250" i="65"/>
  <c r="J2251" i="65"/>
  <c r="K2251" i="65"/>
  <c r="J2252" i="65"/>
  <c r="K2252" i="65"/>
  <c r="J2253" i="65"/>
  <c r="K2253" i="65"/>
  <c r="J2254" i="65"/>
  <c r="K2254" i="65"/>
  <c r="J2255" i="65"/>
  <c r="K2255" i="65"/>
  <c r="J2256" i="65"/>
  <c r="K2256" i="65"/>
  <c r="J2257" i="65"/>
  <c r="K2257" i="65"/>
  <c r="J2258" i="65"/>
  <c r="K2258" i="65"/>
  <c r="J2259" i="65"/>
  <c r="K2259" i="65"/>
  <c r="J2260" i="65"/>
  <c r="K2260" i="65"/>
  <c r="J2261" i="65"/>
  <c r="K2261" i="65"/>
  <c r="J2262" i="65"/>
  <c r="K2262" i="65"/>
  <c r="J2263" i="65"/>
  <c r="K2263" i="65"/>
  <c r="J2264" i="65"/>
  <c r="K2264" i="65"/>
  <c r="J2265" i="65"/>
  <c r="K2265" i="65"/>
  <c r="J2266" i="65"/>
  <c r="K2266" i="65"/>
  <c r="J2267" i="65"/>
  <c r="K2267" i="65"/>
  <c r="J2268" i="65"/>
  <c r="K2268" i="65"/>
  <c r="J2269" i="65"/>
  <c r="K2269" i="65"/>
  <c r="J2270" i="65"/>
  <c r="K2270" i="65"/>
  <c r="J2271" i="65"/>
  <c r="K2271" i="65"/>
  <c r="J2272" i="65"/>
  <c r="K2272" i="65"/>
  <c r="J2273" i="65"/>
  <c r="K2273" i="65"/>
  <c r="J2274" i="65"/>
  <c r="K2274" i="65"/>
  <c r="J2275" i="65"/>
  <c r="K2275" i="65"/>
  <c r="J2276" i="65"/>
  <c r="K2276" i="65"/>
  <c r="J2277" i="65"/>
  <c r="K2277" i="65"/>
  <c r="J2278" i="65"/>
  <c r="K2278" i="65"/>
  <c r="J2279" i="65"/>
  <c r="K2279" i="65"/>
  <c r="J2280" i="65"/>
  <c r="K2280" i="65"/>
  <c r="J2281" i="65"/>
  <c r="K2281" i="65"/>
  <c r="J2282" i="65"/>
  <c r="K2282" i="65"/>
  <c r="J2283" i="65"/>
  <c r="K2283" i="65"/>
  <c r="J2284" i="65"/>
  <c r="K2284" i="65"/>
  <c r="J2285" i="65"/>
  <c r="K2285" i="65"/>
  <c r="J2286" i="65"/>
  <c r="K2286" i="65"/>
  <c r="J2287" i="65"/>
  <c r="K2287" i="65"/>
  <c r="J2288" i="65"/>
  <c r="K2288" i="65"/>
  <c r="J2289" i="65"/>
  <c r="K2289" i="65"/>
  <c r="J2290" i="65"/>
  <c r="K2290" i="65"/>
  <c r="J2291" i="65"/>
  <c r="K2291" i="65"/>
  <c r="J2292" i="65"/>
  <c r="K2292" i="65"/>
  <c r="J2293" i="65"/>
  <c r="K2293" i="65"/>
  <c r="J2294" i="65"/>
  <c r="K2294" i="65"/>
  <c r="J2295" i="65"/>
  <c r="K2295" i="65"/>
  <c r="J2296" i="65"/>
  <c r="K2296" i="65"/>
  <c r="J2297" i="65"/>
  <c r="K2297" i="65"/>
  <c r="J2298" i="65"/>
  <c r="K2298" i="65"/>
  <c r="J2299" i="65"/>
  <c r="K2299" i="65"/>
  <c r="J2300" i="65"/>
  <c r="K2300" i="65"/>
  <c r="J2301" i="65"/>
  <c r="K2301" i="65"/>
  <c r="J2302" i="65"/>
  <c r="K2302" i="65"/>
  <c r="J2303" i="65"/>
  <c r="K2303" i="65"/>
  <c r="J2304" i="65"/>
  <c r="K2304" i="65"/>
  <c r="J2305" i="65"/>
  <c r="K2305" i="65"/>
  <c r="J2306" i="65"/>
  <c r="K2306" i="65"/>
  <c r="J2307" i="65"/>
  <c r="K2307" i="65"/>
  <c r="J2308" i="65"/>
  <c r="K2308" i="65"/>
  <c r="J2309" i="65"/>
  <c r="K2309" i="65"/>
  <c r="J2310" i="65"/>
  <c r="K2310" i="65"/>
  <c r="J2311" i="65"/>
  <c r="K2311" i="65"/>
  <c r="J2312" i="65"/>
  <c r="K2312" i="65"/>
  <c r="J2313" i="65"/>
  <c r="K2313" i="65"/>
  <c r="J2314" i="65"/>
  <c r="K2314" i="65"/>
  <c r="J2315" i="65"/>
  <c r="K2315" i="65"/>
  <c r="J2316" i="65"/>
  <c r="K2316" i="65"/>
  <c r="J2317" i="65"/>
  <c r="K2317" i="65"/>
  <c r="J2318" i="65"/>
  <c r="K2318" i="65"/>
  <c r="J2319" i="65"/>
  <c r="K2319" i="65"/>
  <c r="J2320" i="65"/>
  <c r="K2320" i="65"/>
  <c r="J2321" i="65"/>
  <c r="K2321" i="65"/>
  <c r="J2322" i="65"/>
  <c r="K2322" i="65"/>
  <c r="J2323" i="65"/>
  <c r="K2323" i="65"/>
  <c r="J2324" i="65"/>
  <c r="K2324" i="65"/>
  <c r="J2325" i="65"/>
  <c r="K2325" i="65"/>
  <c r="J2326" i="65"/>
  <c r="K2326" i="65"/>
  <c r="J2327" i="65"/>
  <c r="K2327" i="65"/>
  <c r="J2328" i="65"/>
  <c r="K2328" i="65"/>
  <c r="J2329" i="65"/>
  <c r="K2329" i="65"/>
  <c r="J2330" i="65"/>
  <c r="K2330" i="65"/>
  <c r="J2331" i="65"/>
  <c r="K2331" i="65"/>
  <c r="J2332" i="65"/>
  <c r="K2332" i="65"/>
  <c r="J2333" i="65"/>
  <c r="K2333" i="65"/>
  <c r="J2334" i="65"/>
  <c r="K2334" i="65"/>
  <c r="J2335" i="65"/>
  <c r="K2335" i="65"/>
  <c r="J2336" i="65"/>
  <c r="K2336" i="65"/>
  <c r="J2337" i="65"/>
  <c r="K2337" i="65"/>
  <c r="J2338" i="65"/>
  <c r="K2338" i="65"/>
  <c r="J2339" i="65"/>
  <c r="K2339" i="65"/>
  <c r="J2340" i="65"/>
  <c r="K2340" i="65"/>
  <c r="J2341" i="65"/>
  <c r="K2341" i="65"/>
  <c r="J2342" i="65"/>
  <c r="K2342" i="65"/>
  <c r="J2343" i="65"/>
  <c r="K2343" i="65"/>
  <c r="J2344" i="65"/>
  <c r="K2344" i="65"/>
  <c r="J2345" i="65"/>
  <c r="K2345" i="65"/>
  <c r="J2346" i="65"/>
  <c r="K2346" i="65"/>
  <c r="J2347" i="65"/>
  <c r="K2347" i="65"/>
  <c r="J2348" i="65"/>
  <c r="K2348" i="65"/>
  <c r="J2349" i="65"/>
  <c r="K2349" i="65"/>
  <c r="J2350" i="65"/>
  <c r="K2350" i="65"/>
  <c r="J2351" i="65"/>
  <c r="K2351" i="65"/>
  <c r="J2352" i="65"/>
  <c r="K2352" i="65"/>
  <c r="J2353" i="65"/>
  <c r="K2353" i="65"/>
  <c r="J2354" i="65"/>
  <c r="K2354" i="65"/>
  <c r="J2355" i="65"/>
  <c r="K2355" i="65"/>
  <c r="J2356" i="65"/>
  <c r="K2356" i="65"/>
  <c r="J2357" i="65"/>
  <c r="K2357" i="65"/>
  <c r="J2358" i="65"/>
  <c r="K2358" i="65"/>
  <c r="J2359" i="65"/>
  <c r="K2359" i="65"/>
  <c r="J2360" i="65"/>
  <c r="K2360" i="65"/>
  <c r="J2361" i="65"/>
  <c r="K2361" i="65"/>
  <c r="J2362" i="65"/>
  <c r="K2362" i="65"/>
  <c r="J2363" i="65"/>
  <c r="K2363" i="65"/>
  <c r="J2364" i="65"/>
  <c r="K2364" i="65"/>
  <c r="J2365" i="65"/>
  <c r="K2365" i="65"/>
  <c r="J2366" i="65"/>
  <c r="K2366" i="65"/>
  <c r="J2367" i="65"/>
  <c r="K2367" i="65"/>
  <c r="J2368" i="65"/>
  <c r="K2368" i="65"/>
  <c r="J2369" i="65"/>
  <c r="K2369" i="65"/>
  <c r="J2370" i="65"/>
  <c r="K2370" i="65"/>
  <c r="J2371" i="65"/>
  <c r="K2371" i="65"/>
  <c r="J2372" i="65"/>
  <c r="K2372" i="65"/>
  <c r="J2373" i="65"/>
  <c r="K2373" i="65"/>
  <c r="J2374" i="65"/>
  <c r="K2374" i="65"/>
  <c r="J2375" i="65"/>
  <c r="K2375" i="65"/>
  <c r="J2376" i="65"/>
  <c r="K2376" i="65"/>
  <c r="J2377" i="65"/>
  <c r="K2377" i="65"/>
  <c r="J2378" i="65"/>
  <c r="K2378" i="65"/>
  <c r="J2379" i="65"/>
  <c r="K2379" i="65"/>
  <c r="J2380" i="65"/>
  <c r="K2380" i="65"/>
  <c r="J2381" i="65"/>
  <c r="K2381" i="65"/>
  <c r="J2382" i="65"/>
  <c r="K2382" i="65"/>
  <c r="J2383" i="65"/>
  <c r="K2383" i="65"/>
  <c r="J2384" i="65"/>
  <c r="K2384" i="65"/>
  <c r="J2385" i="65"/>
  <c r="K2385" i="65"/>
  <c r="J2386" i="65"/>
  <c r="K2386" i="65"/>
  <c r="J2387" i="65"/>
  <c r="K2387" i="65"/>
  <c r="J2388" i="65"/>
  <c r="K2388" i="65"/>
  <c r="J2389" i="65"/>
  <c r="K2389" i="65"/>
  <c r="J2390" i="65"/>
  <c r="K2390" i="65"/>
  <c r="J2391" i="65"/>
  <c r="K2391" i="65"/>
  <c r="J2392" i="65"/>
  <c r="K2392" i="65"/>
  <c r="J2393" i="65"/>
  <c r="K2393" i="65"/>
  <c r="J2394" i="65"/>
  <c r="K2394" i="65"/>
  <c r="J2395" i="65"/>
  <c r="K2395" i="65"/>
  <c r="J2396" i="65"/>
  <c r="K2396" i="65"/>
  <c r="J2397" i="65"/>
  <c r="K2397" i="65"/>
  <c r="J2398" i="65"/>
  <c r="K2398" i="65"/>
  <c r="J2399" i="65"/>
  <c r="K2399" i="65"/>
  <c r="J2400" i="65"/>
  <c r="K2400" i="65"/>
  <c r="J2401" i="65"/>
  <c r="K2401" i="65"/>
  <c r="J2402" i="65"/>
  <c r="K2402" i="65"/>
  <c r="J2403" i="65"/>
  <c r="K2403" i="65"/>
  <c r="J2404" i="65"/>
  <c r="K2404" i="65"/>
  <c r="J2405" i="65"/>
  <c r="K2405" i="65"/>
  <c r="J2406" i="65"/>
  <c r="K2406" i="65"/>
  <c r="J2407" i="65"/>
  <c r="K2407" i="65"/>
  <c r="J2408" i="65"/>
  <c r="K2408" i="65"/>
  <c r="J2409" i="65"/>
  <c r="K2409" i="65"/>
  <c r="J2410" i="65"/>
  <c r="K2410" i="65"/>
  <c r="J2411" i="65"/>
  <c r="K2411" i="65"/>
  <c r="J2412" i="65"/>
  <c r="K2412" i="65"/>
  <c r="J2413" i="65"/>
  <c r="K2413" i="65"/>
  <c r="J2414" i="65"/>
  <c r="K2414" i="65"/>
  <c r="J2415" i="65"/>
  <c r="K2415" i="65"/>
  <c r="J2416" i="65"/>
  <c r="K2416" i="65"/>
  <c r="J2417" i="65"/>
  <c r="K2417" i="65"/>
  <c r="J2418" i="65"/>
  <c r="K2418" i="65"/>
  <c r="J2419" i="65"/>
  <c r="K2419" i="65"/>
  <c r="J2420" i="65"/>
  <c r="K2420" i="65"/>
  <c r="J2421" i="65"/>
  <c r="K2421" i="65"/>
  <c r="J2422" i="65"/>
  <c r="K2422" i="65"/>
  <c r="J2423" i="65"/>
  <c r="K2423" i="65"/>
  <c r="J2424" i="65"/>
  <c r="K2424" i="65"/>
  <c r="J2425" i="65"/>
  <c r="K2425" i="65"/>
  <c r="J2426" i="65"/>
  <c r="K2426" i="65"/>
  <c r="J2427" i="65"/>
  <c r="K2427" i="65"/>
  <c r="J2428" i="65"/>
  <c r="K2428" i="65"/>
  <c r="J2429" i="65"/>
  <c r="K2429" i="65"/>
  <c r="J2430" i="65"/>
  <c r="K2430" i="65"/>
  <c r="J2431" i="65"/>
  <c r="K2431" i="65"/>
  <c r="J2432" i="65"/>
  <c r="K2432" i="65"/>
  <c r="J2433" i="65"/>
  <c r="K2433" i="65"/>
  <c r="J2434" i="65"/>
  <c r="K2434" i="65"/>
  <c r="J2435" i="65"/>
  <c r="K2435" i="65"/>
  <c r="J2436" i="65"/>
  <c r="K2436" i="65"/>
  <c r="J2437" i="65"/>
  <c r="K2437" i="65"/>
  <c r="J2438" i="65"/>
  <c r="K2438" i="65"/>
  <c r="J2439" i="65"/>
  <c r="K2439" i="65"/>
  <c r="J2440" i="65"/>
  <c r="K2440" i="65"/>
  <c r="J2441" i="65"/>
  <c r="K2441" i="65"/>
  <c r="J2442" i="65"/>
  <c r="K2442" i="65"/>
  <c r="J2443" i="65"/>
  <c r="K2443" i="65"/>
  <c r="J2444" i="65"/>
  <c r="K2444" i="65"/>
  <c r="J2445" i="65"/>
  <c r="K2445" i="65"/>
  <c r="J2446" i="65"/>
  <c r="K2446" i="65"/>
  <c r="J2447" i="65"/>
  <c r="K2447" i="65"/>
  <c r="J2448" i="65"/>
  <c r="K2448" i="65"/>
  <c r="J2449" i="65"/>
  <c r="K2449" i="65"/>
  <c r="J2450" i="65"/>
  <c r="K2450" i="65"/>
  <c r="J2451" i="65"/>
  <c r="K2451" i="65"/>
  <c r="J2452" i="65"/>
  <c r="K2452" i="65"/>
  <c r="J2453" i="65"/>
  <c r="K2453" i="65"/>
  <c r="J2454" i="65"/>
  <c r="K2454" i="65"/>
  <c r="J2455" i="65"/>
  <c r="K2455" i="65"/>
  <c r="J2456" i="65"/>
  <c r="K2456" i="65"/>
  <c r="J2457" i="65"/>
  <c r="K2457" i="65"/>
  <c r="J2458" i="65"/>
  <c r="K2458" i="65"/>
  <c r="J2459" i="65"/>
  <c r="K2459" i="65"/>
  <c r="J2460" i="65"/>
  <c r="K2460" i="65"/>
  <c r="J2461" i="65"/>
  <c r="K2461" i="65"/>
  <c r="J2462" i="65"/>
  <c r="K2462" i="65"/>
  <c r="J2463" i="65"/>
  <c r="K2463" i="65"/>
  <c r="J2464" i="65"/>
  <c r="K2464" i="65"/>
  <c r="J2465" i="65"/>
  <c r="K2465" i="65"/>
  <c r="J2466" i="65"/>
  <c r="K2466" i="65"/>
  <c r="J2467" i="65"/>
  <c r="K2467" i="65"/>
  <c r="J2468" i="65"/>
  <c r="K2468" i="65"/>
  <c r="J2469" i="65"/>
  <c r="K2469" i="65"/>
  <c r="J2470" i="65"/>
  <c r="K2470" i="65"/>
  <c r="J2471" i="65"/>
  <c r="K2471" i="65"/>
  <c r="J2472" i="65"/>
  <c r="K2472" i="65"/>
  <c r="J2473" i="65"/>
  <c r="K2473" i="65"/>
  <c r="J2474" i="65"/>
  <c r="K2474" i="65"/>
  <c r="J2475" i="65"/>
  <c r="K2475" i="65"/>
  <c r="J2476" i="65"/>
  <c r="K2476" i="65"/>
  <c r="J2477" i="65"/>
  <c r="K2477" i="65"/>
  <c r="J2478" i="65"/>
  <c r="K2478" i="65"/>
  <c r="J2479" i="65"/>
  <c r="K2479" i="65"/>
  <c r="J2480" i="65"/>
  <c r="K2480" i="65"/>
  <c r="J2481" i="65"/>
  <c r="K2481" i="65"/>
  <c r="J2482" i="65"/>
  <c r="K2482" i="65"/>
  <c r="J2483" i="65"/>
  <c r="K2483" i="65"/>
  <c r="J2484" i="65"/>
  <c r="K2484" i="65"/>
  <c r="J2485" i="65"/>
  <c r="K2485" i="65"/>
  <c r="J2486" i="65"/>
  <c r="K2486" i="65"/>
  <c r="J2487" i="65"/>
  <c r="K2487" i="65"/>
  <c r="J2488" i="65"/>
  <c r="K2488" i="65"/>
  <c r="J2489" i="65"/>
  <c r="K2489" i="65"/>
  <c r="J2490" i="65"/>
  <c r="K2490" i="65"/>
  <c r="J2491" i="65"/>
  <c r="K2491" i="65"/>
  <c r="J2492" i="65"/>
  <c r="K2492" i="65"/>
  <c r="J2493" i="65"/>
  <c r="K2493" i="65"/>
  <c r="J2494" i="65"/>
  <c r="K2494" i="65"/>
  <c r="J2495" i="65"/>
  <c r="K2495" i="65"/>
  <c r="J2496" i="65"/>
  <c r="K2496" i="65"/>
  <c r="J2497" i="65"/>
  <c r="K2497" i="65"/>
  <c r="J2498" i="65"/>
  <c r="K2498" i="65"/>
  <c r="J2499" i="65"/>
  <c r="K2499" i="65"/>
  <c r="J2500" i="65"/>
  <c r="K2500" i="65"/>
  <c r="J2501" i="65"/>
  <c r="K2501" i="65"/>
  <c r="J2502" i="65"/>
  <c r="K2502" i="65"/>
  <c r="J2503" i="65"/>
  <c r="K2503" i="65"/>
  <c r="J2504" i="65"/>
  <c r="K2504" i="65"/>
  <c r="J2505" i="65"/>
  <c r="K2505" i="65"/>
  <c r="J2506" i="65"/>
  <c r="K2506" i="65"/>
  <c r="J2507" i="65"/>
  <c r="K2507" i="65"/>
  <c r="J2508" i="65"/>
  <c r="K2508" i="65"/>
  <c r="J2509" i="65"/>
  <c r="K2509" i="65"/>
  <c r="J2510" i="65"/>
  <c r="K2510" i="65"/>
  <c r="J2511" i="65"/>
  <c r="K2511" i="65"/>
  <c r="J2512" i="65"/>
  <c r="K2512" i="65"/>
  <c r="J2513" i="65"/>
  <c r="K2513" i="65"/>
  <c r="J2514" i="65"/>
  <c r="K2514" i="65"/>
  <c r="J2515" i="65"/>
  <c r="K2515" i="65"/>
  <c r="J2516" i="65"/>
  <c r="K2516" i="65"/>
  <c r="J2517" i="65"/>
  <c r="K2517" i="65"/>
  <c r="J2518" i="65"/>
  <c r="K2518" i="65"/>
  <c r="J2519" i="65"/>
  <c r="K2519" i="65"/>
  <c r="J2520" i="65"/>
  <c r="K2520" i="65"/>
  <c r="J2521" i="65"/>
  <c r="K2521" i="65"/>
  <c r="J2522" i="65"/>
  <c r="K2522" i="65"/>
  <c r="J2523" i="65"/>
  <c r="K2523" i="65"/>
  <c r="J2524" i="65"/>
  <c r="K2524" i="65"/>
  <c r="J2525" i="65"/>
  <c r="K2525" i="65"/>
  <c r="J2526" i="65"/>
  <c r="K2526" i="65"/>
  <c r="J2527" i="65"/>
  <c r="K2527" i="65"/>
  <c r="J2528" i="65"/>
  <c r="K2528" i="65"/>
  <c r="J2529" i="65"/>
  <c r="K2529" i="65"/>
  <c r="J2530" i="65"/>
  <c r="K2530" i="65"/>
  <c r="J2531" i="65"/>
  <c r="K2531" i="65"/>
  <c r="J2532" i="65"/>
  <c r="K2532" i="65"/>
  <c r="J2533" i="65"/>
  <c r="K2533" i="65"/>
  <c r="J2534" i="65"/>
  <c r="K2534" i="65"/>
  <c r="J2535" i="65"/>
  <c r="K2535" i="65"/>
  <c r="J2536" i="65"/>
  <c r="K2536" i="65"/>
  <c r="J2537" i="65"/>
  <c r="K2537" i="65"/>
  <c r="J2538" i="65"/>
  <c r="K2538" i="65"/>
  <c r="J2539" i="65"/>
  <c r="K2539" i="65"/>
  <c r="J2540" i="65"/>
  <c r="K2540" i="65"/>
  <c r="J2541" i="65"/>
  <c r="K2541" i="65"/>
  <c r="J2542" i="65"/>
  <c r="K2542" i="65"/>
  <c r="J2543" i="65"/>
  <c r="K2543" i="65"/>
  <c r="J2544" i="65"/>
  <c r="K2544" i="65"/>
  <c r="J2545" i="65"/>
  <c r="K2545" i="65"/>
  <c r="J2546" i="65"/>
  <c r="K2546" i="65"/>
  <c r="J2547" i="65"/>
  <c r="K2547" i="65"/>
  <c r="J2548" i="65"/>
  <c r="K2548" i="65"/>
  <c r="J2549" i="65"/>
  <c r="K2549" i="65"/>
  <c r="J2550" i="65"/>
  <c r="K2550" i="65"/>
  <c r="J2551" i="65"/>
  <c r="K2551" i="65"/>
  <c r="J2552" i="65"/>
  <c r="K2552" i="65"/>
  <c r="J2553" i="65"/>
  <c r="K2553" i="65"/>
  <c r="J2554" i="65"/>
  <c r="K2554" i="65"/>
  <c r="J2555" i="65"/>
  <c r="K2555" i="65"/>
  <c r="J2556" i="65"/>
  <c r="K2556" i="65"/>
  <c r="J2557" i="65"/>
  <c r="K2557" i="65"/>
  <c r="J2558" i="65"/>
  <c r="K2558" i="65"/>
  <c r="J2559" i="65"/>
  <c r="K2559" i="65"/>
  <c r="J2560" i="65"/>
  <c r="K2560" i="65"/>
  <c r="J2561" i="65"/>
  <c r="K2561" i="65"/>
  <c r="J2562" i="65"/>
  <c r="K2562" i="65"/>
  <c r="J2563" i="65"/>
  <c r="K2563" i="65"/>
  <c r="J2564" i="65"/>
  <c r="K2564" i="65"/>
  <c r="J2565" i="65"/>
  <c r="K2565" i="65"/>
  <c r="J2566" i="65"/>
  <c r="K2566" i="65"/>
  <c r="J2567" i="65"/>
  <c r="K2567" i="65"/>
  <c r="J2568" i="65"/>
  <c r="K2568" i="65"/>
  <c r="J2569" i="65"/>
  <c r="K2569" i="65"/>
  <c r="J2570" i="65"/>
  <c r="K2570" i="65"/>
  <c r="J2571" i="65"/>
  <c r="K2571" i="65"/>
  <c r="J2572" i="65"/>
  <c r="K2572" i="65"/>
  <c r="J2573" i="65"/>
  <c r="K2573" i="65"/>
  <c r="J2574" i="65"/>
  <c r="K2574" i="65"/>
  <c r="J2575" i="65"/>
  <c r="K2575" i="65"/>
  <c r="J2576" i="65"/>
  <c r="K2576" i="65"/>
  <c r="J2577" i="65"/>
  <c r="K2577" i="65"/>
  <c r="J2578" i="65"/>
  <c r="K2578" i="65"/>
  <c r="J2579" i="65"/>
  <c r="K2579" i="65"/>
  <c r="J2580" i="65"/>
  <c r="K2580" i="65"/>
  <c r="J2581" i="65"/>
  <c r="K2581" i="65"/>
  <c r="J2582" i="65"/>
  <c r="K2582" i="65"/>
  <c r="J2583" i="65"/>
  <c r="K2583" i="65"/>
  <c r="J2584" i="65"/>
  <c r="K2584" i="65"/>
  <c r="J2585" i="65"/>
  <c r="K2585" i="65"/>
  <c r="J2586" i="65"/>
  <c r="K2586" i="65"/>
  <c r="J2587" i="65"/>
  <c r="K2587" i="65"/>
  <c r="J2588" i="65"/>
  <c r="K2588" i="65"/>
  <c r="J2589" i="65"/>
  <c r="K2589" i="65"/>
  <c r="J2590" i="65"/>
  <c r="K2590" i="65"/>
  <c r="J2591" i="65"/>
  <c r="K2591" i="65"/>
  <c r="J2592" i="65"/>
  <c r="K2592" i="65"/>
  <c r="J2593" i="65"/>
  <c r="K2593" i="65"/>
  <c r="J2594" i="65"/>
  <c r="K2594" i="65"/>
  <c r="J2595" i="65"/>
  <c r="K2595" i="65"/>
  <c r="J2596" i="65"/>
  <c r="K2596" i="65"/>
  <c r="J2597" i="65"/>
  <c r="K2597" i="65"/>
  <c r="J2598" i="65"/>
  <c r="K2598" i="65"/>
  <c r="J2599" i="65"/>
  <c r="K2599" i="65"/>
  <c r="J2600" i="65"/>
  <c r="K2600" i="65"/>
  <c r="J2601" i="65"/>
  <c r="K2601" i="65"/>
  <c r="J2602" i="65"/>
  <c r="K2602" i="65"/>
  <c r="J2603" i="65"/>
  <c r="K2603" i="65"/>
  <c r="J2604" i="65"/>
  <c r="K2604" i="65"/>
  <c r="J2605" i="65"/>
  <c r="K2605" i="65"/>
  <c r="J2606" i="65"/>
  <c r="K2606" i="65"/>
  <c r="J2607" i="65"/>
  <c r="K2607" i="65"/>
  <c r="J2608" i="65"/>
  <c r="K2608" i="65"/>
  <c r="J2609" i="65"/>
  <c r="K2609" i="65"/>
  <c r="J2610" i="65"/>
  <c r="K2610" i="65"/>
  <c r="J2611" i="65"/>
  <c r="K2611" i="65"/>
  <c r="J2612" i="65"/>
  <c r="K2612" i="65"/>
  <c r="J2613" i="65"/>
  <c r="K2613" i="65"/>
  <c r="J2614" i="65"/>
  <c r="K2614" i="65"/>
  <c r="J2615" i="65"/>
  <c r="K2615" i="65"/>
  <c r="J2616" i="65"/>
  <c r="K2616" i="65"/>
  <c r="J2617" i="65"/>
  <c r="K2617" i="65"/>
  <c r="J2618" i="65"/>
  <c r="K2618" i="65"/>
  <c r="J2619" i="65"/>
  <c r="K2619" i="65"/>
  <c r="J2620" i="65"/>
  <c r="K2620" i="65"/>
  <c r="J2621" i="65"/>
  <c r="K2621" i="65"/>
  <c r="J2622" i="65"/>
  <c r="K2622" i="65"/>
  <c r="J2623" i="65"/>
  <c r="K2623" i="65"/>
  <c r="J2624" i="65"/>
  <c r="K2624" i="65"/>
  <c r="J2625" i="65"/>
  <c r="K2625" i="65"/>
  <c r="J2626" i="65"/>
  <c r="K2626" i="65"/>
  <c r="J2627" i="65"/>
  <c r="K2627" i="65"/>
  <c r="J2628" i="65"/>
  <c r="K2628" i="65"/>
  <c r="J2629" i="65"/>
  <c r="K2629" i="65"/>
  <c r="J2630" i="65"/>
  <c r="K2630" i="65"/>
  <c r="J2631" i="65"/>
  <c r="K2631" i="65"/>
  <c r="J2632" i="65"/>
  <c r="K2632" i="65"/>
  <c r="J2633" i="65"/>
  <c r="K2633" i="65"/>
  <c r="J2634" i="65"/>
  <c r="K2634" i="65"/>
  <c r="J2635" i="65"/>
  <c r="K2635" i="65"/>
  <c r="J2636" i="65"/>
  <c r="K2636" i="65"/>
  <c r="J2637" i="65"/>
  <c r="K2637" i="65"/>
  <c r="J2638" i="65"/>
  <c r="K2638" i="65"/>
  <c r="J2639" i="65"/>
  <c r="K2639" i="65"/>
  <c r="J2640" i="65"/>
  <c r="K2640" i="65"/>
  <c r="J2641" i="65"/>
  <c r="K2641" i="65"/>
  <c r="J2642" i="65"/>
  <c r="K2642" i="65"/>
  <c r="J2643" i="65"/>
  <c r="K2643" i="65"/>
  <c r="J2644" i="65"/>
  <c r="K2644" i="65"/>
  <c r="J2645" i="65"/>
  <c r="K2645" i="65"/>
  <c r="J2646" i="65"/>
  <c r="K2646" i="65"/>
  <c r="J2647" i="65"/>
  <c r="K2647" i="65"/>
  <c r="J2648" i="65"/>
  <c r="K2648" i="65"/>
  <c r="J2649" i="65"/>
  <c r="K2649" i="65"/>
  <c r="J2650" i="65"/>
  <c r="K2650" i="65"/>
  <c r="J2651" i="65"/>
  <c r="K2651" i="65"/>
  <c r="J2652" i="65"/>
  <c r="K2652" i="65"/>
  <c r="J2653" i="65"/>
  <c r="K2653" i="65"/>
  <c r="J2654" i="65"/>
  <c r="K2654" i="65"/>
  <c r="J2655" i="65"/>
  <c r="K2655" i="65"/>
  <c r="J2656" i="65"/>
  <c r="K2656" i="65"/>
  <c r="J2657" i="65"/>
  <c r="K2657" i="65"/>
  <c r="J2658" i="65"/>
  <c r="K2658" i="65"/>
  <c r="J2659" i="65"/>
  <c r="K2659" i="65"/>
  <c r="J2660" i="65"/>
  <c r="K2660" i="65"/>
  <c r="J2661" i="65"/>
  <c r="K2661" i="65"/>
  <c r="J2662" i="65"/>
  <c r="K2662" i="65"/>
  <c r="J2663" i="65"/>
  <c r="K2663" i="65"/>
  <c r="J2664" i="65"/>
  <c r="K2664" i="65"/>
  <c r="J2665" i="65"/>
  <c r="K2665" i="65"/>
  <c r="J2666" i="65"/>
  <c r="K2666" i="65"/>
  <c r="J2667" i="65"/>
  <c r="K2667" i="65"/>
  <c r="J2668" i="65"/>
  <c r="K2668" i="65"/>
  <c r="J2669" i="65"/>
  <c r="K2669" i="65"/>
  <c r="J2670" i="65"/>
  <c r="K2670" i="65"/>
  <c r="J2671" i="65"/>
  <c r="K2671" i="65"/>
  <c r="J2672" i="65"/>
  <c r="K2672" i="65"/>
  <c r="J2673" i="65"/>
  <c r="K2673" i="65"/>
  <c r="J2674" i="65"/>
  <c r="K2674" i="65"/>
  <c r="J2675" i="65"/>
  <c r="K2675" i="65"/>
  <c r="J2676" i="65"/>
  <c r="K2676" i="65"/>
  <c r="J2677" i="65"/>
  <c r="K2677" i="65"/>
  <c r="J2678" i="65"/>
  <c r="K2678" i="65"/>
  <c r="J2679" i="65"/>
  <c r="K2679" i="65"/>
  <c r="J2680" i="65"/>
  <c r="K2680" i="65"/>
  <c r="J2681" i="65"/>
  <c r="K2681" i="65"/>
  <c r="J2682" i="65"/>
  <c r="K2682" i="65"/>
  <c r="J2683" i="65"/>
  <c r="K2683" i="65"/>
  <c r="J2684" i="65"/>
  <c r="K2684" i="65"/>
  <c r="J2685" i="65"/>
  <c r="K2685" i="65"/>
  <c r="J2686" i="65"/>
  <c r="K2686" i="65"/>
  <c r="J2687" i="65"/>
  <c r="K2687" i="65"/>
  <c r="J2688" i="65"/>
  <c r="K2688" i="65"/>
  <c r="J2689" i="65"/>
  <c r="K2689" i="65"/>
  <c r="J2690" i="65"/>
  <c r="K2690" i="65"/>
  <c r="J2691" i="65"/>
  <c r="K2691" i="65"/>
  <c r="J2692" i="65"/>
  <c r="K2692" i="65"/>
  <c r="J2693" i="65"/>
  <c r="K2693" i="65"/>
  <c r="J2694" i="65"/>
  <c r="K2694" i="65"/>
  <c r="J2695" i="65"/>
  <c r="K2695" i="65"/>
  <c r="J2696" i="65"/>
  <c r="K2696" i="65"/>
  <c r="J2697" i="65"/>
  <c r="K2697" i="65"/>
  <c r="J2698" i="65"/>
  <c r="K2698" i="65"/>
  <c r="J2699" i="65"/>
  <c r="K2699" i="65"/>
  <c r="J2700" i="65"/>
  <c r="K2700" i="65"/>
  <c r="J2701" i="65"/>
  <c r="K2701" i="65"/>
  <c r="J2702" i="65"/>
  <c r="K2702" i="65"/>
  <c r="J2703" i="65"/>
  <c r="K2703" i="65"/>
  <c r="J2704" i="65"/>
  <c r="K2704" i="65"/>
  <c r="J2705" i="65"/>
  <c r="K2705" i="65"/>
  <c r="J2706" i="65"/>
  <c r="K2706" i="65"/>
  <c r="J2707" i="65"/>
  <c r="K2707" i="65"/>
  <c r="J2708" i="65"/>
  <c r="K2708" i="65"/>
  <c r="J2709" i="65"/>
  <c r="K2709" i="65"/>
  <c r="J2710" i="65"/>
  <c r="K2710" i="65"/>
  <c r="J2711" i="65"/>
  <c r="K2711" i="65"/>
  <c r="J2712" i="65"/>
  <c r="K2712" i="65"/>
  <c r="J2713" i="65"/>
  <c r="K2713" i="65"/>
  <c r="J2714" i="65"/>
  <c r="K2714" i="65"/>
  <c r="J2715" i="65"/>
  <c r="K2715" i="65"/>
  <c r="J2716" i="65"/>
  <c r="K2716" i="65"/>
  <c r="J2717" i="65"/>
  <c r="K2717" i="65"/>
  <c r="J2718" i="65"/>
  <c r="K2718" i="65"/>
  <c r="J2719" i="65"/>
  <c r="K2719" i="65"/>
  <c r="J2720" i="65"/>
  <c r="K2720" i="65"/>
  <c r="J2721" i="65"/>
  <c r="K2721" i="65"/>
  <c r="J2722" i="65"/>
  <c r="K2722" i="65"/>
  <c r="J2723" i="65"/>
  <c r="K2723" i="65"/>
  <c r="J2724" i="65"/>
  <c r="K2724" i="65"/>
  <c r="J2725" i="65"/>
  <c r="K2725" i="65"/>
  <c r="J2726" i="65"/>
  <c r="K2726" i="65"/>
  <c r="J2727" i="65"/>
  <c r="K2727" i="65"/>
  <c r="J2728" i="65"/>
  <c r="K2728" i="65"/>
  <c r="J2729" i="65"/>
  <c r="K2729" i="65"/>
  <c r="J2730" i="65"/>
  <c r="K2730" i="65"/>
  <c r="J2731" i="65"/>
  <c r="K2731" i="65"/>
  <c r="J2732" i="65"/>
  <c r="K2732" i="65"/>
  <c r="J2733" i="65"/>
  <c r="K2733" i="65"/>
  <c r="J2734" i="65"/>
  <c r="K2734" i="65"/>
  <c r="J2735" i="65"/>
  <c r="K2735" i="65"/>
  <c r="J2736" i="65"/>
  <c r="K2736" i="65"/>
  <c r="J2737" i="65"/>
  <c r="K2737" i="65"/>
  <c r="J2738" i="65"/>
  <c r="K2738" i="65"/>
  <c r="J2739" i="65"/>
  <c r="K2739" i="65"/>
  <c r="J2740" i="65"/>
  <c r="K2740" i="65"/>
  <c r="J2741" i="65"/>
  <c r="K2741" i="65"/>
  <c r="J2742" i="65"/>
  <c r="K2742" i="65"/>
  <c r="J2743" i="65"/>
  <c r="K2743" i="65"/>
  <c r="J2744" i="65"/>
  <c r="K2744" i="65"/>
  <c r="J2745" i="65"/>
  <c r="K2745" i="65"/>
  <c r="J2746" i="65"/>
  <c r="K2746" i="65"/>
  <c r="J2747" i="65"/>
  <c r="K2747" i="65"/>
  <c r="J2748" i="65"/>
  <c r="K2748" i="65"/>
  <c r="J2749" i="65"/>
  <c r="K2749" i="65"/>
  <c r="J2750" i="65"/>
  <c r="K2750" i="65"/>
  <c r="J2751" i="65"/>
  <c r="K2751" i="65"/>
  <c r="J2752" i="65"/>
  <c r="K2752" i="65"/>
  <c r="J2753" i="65"/>
  <c r="K2753" i="65"/>
  <c r="J2754" i="65"/>
  <c r="K2754" i="65"/>
  <c r="J2755" i="65"/>
  <c r="K2755" i="65"/>
  <c r="J2756" i="65"/>
  <c r="K2756" i="65"/>
  <c r="J2757" i="65"/>
  <c r="K2757" i="65"/>
  <c r="J2758" i="65"/>
  <c r="K2758" i="65"/>
  <c r="J2759" i="65"/>
  <c r="K2759" i="65"/>
  <c r="J2760" i="65"/>
  <c r="K2760" i="65"/>
  <c r="J2761" i="65"/>
  <c r="K2761" i="65"/>
  <c r="J2762" i="65"/>
  <c r="K2762" i="65"/>
  <c r="J2763" i="65"/>
  <c r="K2763" i="65"/>
  <c r="J2764" i="65"/>
  <c r="K2764" i="65"/>
  <c r="J2765" i="65"/>
  <c r="K2765" i="65"/>
  <c r="J2766" i="65"/>
  <c r="K2766" i="65"/>
  <c r="J2767" i="65"/>
  <c r="K2767" i="65"/>
  <c r="J2768" i="65"/>
  <c r="K2768" i="65"/>
  <c r="J2769" i="65"/>
  <c r="K2769" i="65"/>
  <c r="J2770" i="65"/>
  <c r="K2770" i="65"/>
  <c r="J2771" i="65"/>
  <c r="K2771" i="65"/>
  <c r="J2772" i="65"/>
  <c r="K2772" i="65"/>
  <c r="J2773" i="65"/>
  <c r="K2773" i="65"/>
  <c r="J2774" i="65"/>
  <c r="K2774" i="65"/>
  <c r="J2775" i="65"/>
  <c r="K2775" i="65"/>
  <c r="J2776" i="65"/>
  <c r="K2776" i="65"/>
  <c r="J2" i="65"/>
  <c r="K2" i="65"/>
  <c r="B1384" i="65"/>
  <c r="B1774" i="65"/>
  <c r="A3" i="65"/>
  <c r="B3" i="65" s="1"/>
  <c r="A4" i="65"/>
  <c r="B4" i="65" s="1"/>
  <c r="A5" i="65"/>
  <c r="B5" i="65" s="1"/>
  <c r="A6" i="65"/>
  <c r="B6" i="65" s="1"/>
  <c r="A7" i="65"/>
  <c r="B7" i="65" s="1"/>
  <c r="A8" i="65"/>
  <c r="B8" i="65" s="1"/>
  <c r="A9" i="65"/>
  <c r="B9" i="65" s="1"/>
  <c r="A10" i="65"/>
  <c r="B10" i="65" s="1"/>
  <c r="A11" i="65"/>
  <c r="B11" i="65" s="1"/>
  <c r="A12" i="65"/>
  <c r="B12" i="65" s="1"/>
  <c r="A13" i="65"/>
  <c r="B13" i="65" s="1"/>
  <c r="A14" i="65"/>
  <c r="B14" i="65" s="1"/>
  <c r="A15" i="65"/>
  <c r="B15" i="65" s="1"/>
  <c r="A16" i="65"/>
  <c r="B16" i="65" s="1"/>
  <c r="A17" i="65"/>
  <c r="B17" i="65" s="1"/>
  <c r="A18" i="65"/>
  <c r="B18" i="65" s="1"/>
  <c r="A19" i="65"/>
  <c r="B19" i="65" s="1"/>
  <c r="A20" i="65"/>
  <c r="B20" i="65" s="1"/>
  <c r="A21" i="65"/>
  <c r="B21" i="65" s="1"/>
  <c r="A22" i="65"/>
  <c r="B22" i="65" s="1"/>
  <c r="A23" i="65"/>
  <c r="B23" i="65" s="1"/>
  <c r="A24" i="65"/>
  <c r="B24" i="65" s="1"/>
  <c r="A25" i="65"/>
  <c r="B25" i="65" s="1"/>
  <c r="A26" i="65"/>
  <c r="B26" i="65" s="1"/>
  <c r="A27" i="65"/>
  <c r="B27" i="65" s="1"/>
  <c r="A28" i="65"/>
  <c r="B28" i="65" s="1"/>
  <c r="A29" i="65"/>
  <c r="B29" i="65" s="1"/>
  <c r="A30" i="65"/>
  <c r="B30" i="65" s="1"/>
  <c r="A31" i="65"/>
  <c r="B31" i="65" s="1"/>
  <c r="A32" i="65"/>
  <c r="B32" i="65" s="1"/>
  <c r="A33" i="65"/>
  <c r="B33" i="65" s="1"/>
  <c r="A34" i="65"/>
  <c r="B34" i="65" s="1"/>
  <c r="A35" i="65"/>
  <c r="B35" i="65" s="1"/>
  <c r="A36" i="65"/>
  <c r="B36" i="65" s="1"/>
  <c r="A37" i="65"/>
  <c r="B37" i="65" s="1"/>
  <c r="A38" i="65"/>
  <c r="B38" i="65" s="1"/>
  <c r="A39" i="65"/>
  <c r="B39" i="65" s="1"/>
  <c r="A40" i="65"/>
  <c r="B40" i="65" s="1"/>
  <c r="A41" i="65"/>
  <c r="B41" i="65" s="1"/>
  <c r="A42" i="65"/>
  <c r="B42" i="65" s="1"/>
  <c r="A43" i="65"/>
  <c r="B43" i="65" s="1"/>
  <c r="A44" i="65"/>
  <c r="B44" i="65" s="1"/>
  <c r="A45" i="65"/>
  <c r="B45" i="65" s="1"/>
  <c r="A46" i="65"/>
  <c r="B46" i="65" s="1"/>
  <c r="A47" i="65"/>
  <c r="B47" i="65" s="1"/>
  <c r="A48" i="65"/>
  <c r="B48" i="65" s="1"/>
  <c r="A49" i="65"/>
  <c r="B49" i="65" s="1"/>
  <c r="A50" i="65"/>
  <c r="B50" i="65" s="1"/>
  <c r="A51" i="65"/>
  <c r="B51" i="65" s="1"/>
  <c r="A52" i="65"/>
  <c r="B52" i="65" s="1"/>
  <c r="A53" i="65"/>
  <c r="B53" i="65" s="1"/>
  <c r="A54" i="65"/>
  <c r="B54" i="65" s="1"/>
  <c r="A55" i="65"/>
  <c r="B55" i="65" s="1"/>
  <c r="A56" i="65"/>
  <c r="B56" i="65" s="1"/>
  <c r="A57" i="65"/>
  <c r="B57" i="65" s="1"/>
  <c r="A58" i="65"/>
  <c r="B58" i="65" s="1"/>
  <c r="A59" i="65"/>
  <c r="B59" i="65" s="1"/>
  <c r="A60" i="65"/>
  <c r="B60" i="65" s="1"/>
  <c r="A61" i="65"/>
  <c r="B61" i="65" s="1"/>
  <c r="A62" i="65"/>
  <c r="B62" i="65" s="1"/>
  <c r="A63" i="65"/>
  <c r="B63" i="65" s="1"/>
  <c r="A64" i="65"/>
  <c r="B64" i="65" s="1"/>
  <c r="A65" i="65"/>
  <c r="B65" i="65" s="1"/>
  <c r="A66" i="65"/>
  <c r="B66" i="65" s="1"/>
  <c r="A67" i="65"/>
  <c r="B67" i="65" s="1"/>
  <c r="A68" i="65"/>
  <c r="B68" i="65" s="1"/>
  <c r="A69" i="65"/>
  <c r="B69" i="65" s="1"/>
  <c r="A70" i="65"/>
  <c r="B70" i="65" s="1"/>
  <c r="A71" i="65"/>
  <c r="B71" i="65" s="1"/>
  <c r="A72" i="65"/>
  <c r="B72" i="65" s="1"/>
  <c r="A73" i="65"/>
  <c r="B73" i="65" s="1"/>
  <c r="A74" i="65"/>
  <c r="B74" i="65" s="1"/>
  <c r="A75" i="65"/>
  <c r="B75" i="65" s="1"/>
  <c r="A76" i="65"/>
  <c r="B76" i="65" s="1"/>
  <c r="A77" i="65"/>
  <c r="B77" i="65" s="1"/>
  <c r="A78" i="65"/>
  <c r="B78" i="65" s="1"/>
  <c r="A79" i="65"/>
  <c r="B79" i="65" s="1"/>
  <c r="A80" i="65"/>
  <c r="B80" i="65" s="1"/>
  <c r="A81" i="65"/>
  <c r="B81" i="65" s="1"/>
  <c r="A82" i="65"/>
  <c r="B82" i="65" s="1"/>
  <c r="A83" i="65"/>
  <c r="B83" i="65" s="1"/>
  <c r="A84" i="65"/>
  <c r="B84" i="65" s="1"/>
  <c r="A85" i="65"/>
  <c r="B85" i="65" s="1"/>
  <c r="A86" i="65"/>
  <c r="B86" i="65" s="1"/>
  <c r="A87" i="65"/>
  <c r="B87" i="65" s="1"/>
  <c r="A88" i="65"/>
  <c r="B88" i="65" s="1"/>
  <c r="A89" i="65"/>
  <c r="B89" i="65" s="1"/>
  <c r="A90" i="65"/>
  <c r="B90" i="65" s="1"/>
  <c r="A91" i="65"/>
  <c r="B91" i="65" s="1"/>
  <c r="A92" i="65"/>
  <c r="B92" i="65" s="1"/>
  <c r="A93" i="65"/>
  <c r="B93" i="65" s="1"/>
  <c r="A94" i="65"/>
  <c r="B94" i="65" s="1"/>
  <c r="A95" i="65"/>
  <c r="B95" i="65" s="1"/>
  <c r="A96" i="65"/>
  <c r="B96" i="65" s="1"/>
  <c r="A97" i="65"/>
  <c r="B97" i="65" s="1"/>
  <c r="A98" i="65"/>
  <c r="B98" i="65" s="1"/>
  <c r="A99" i="65"/>
  <c r="B99" i="65" s="1"/>
  <c r="A100" i="65"/>
  <c r="B100" i="65" s="1"/>
  <c r="A101" i="65"/>
  <c r="B101" i="65" s="1"/>
  <c r="A102" i="65"/>
  <c r="B102" i="65" s="1"/>
  <c r="A103" i="65"/>
  <c r="B103" i="65" s="1"/>
  <c r="A104" i="65"/>
  <c r="B104" i="65" s="1"/>
  <c r="A105" i="65"/>
  <c r="B105" i="65" s="1"/>
  <c r="A106" i="65"/>
  <c r="B106" i="65" s="1"/>
  <c r="A107" i="65"/>
  <c r="B107" i="65" s="1"/>
  <c r="A108" i="65"/>
  <c r="B108" i="65" s="1"/>
  <c r="A109" i="65"/>
  <c r="B109" i="65" s="1"/>
  <c r="A110" i="65"/>
  <c r="B110" i="65" s="1"/>
  <c r="A111" i="65"/>
  <c r="B111" i="65" s="1"/>
  <c r="A112" i="65"/>
  <c r="B112" i="65" s="1"/>
  <c r="A113" i="65"/>
  <c r="B113" i="65" s="1"/>
  <c r="A114" i="65"/>
  <c r="B114" i="65" s="1"/>
  <c r="A115" i="65"/>
  <c r="B115" i="65" s="1"/>
  <c r="A116" i="65"/>
  <c r="B116" i="65" s="1"/>
  <c r="A117" i="65"/>
  <c r="B117" i="65" s="1"/>
  <c r="A118" i="65"/>
  <c r="B118" i="65" s="1"/>
  <c r="A119" i="65"/>
  <c r="B119" i="65" s="1"/>
  <c r="A120" i="65"/>
  <c r="B120" i="65" s="1"/>
  <c r="A121" i="65"/>
  <c r="B121" i="65" s="1"/>
  <c r="A122" i="65"/>
  <c r="B122" i="65" s="1"/>
  <c r="A123" i="65"/>
  <c r="B123" i="65" s="1"/>
  <c r="A124" i="65"/>
  <c r="B124" i="65" s="1"/>
  <c r="A125" i="65"/>
  <c r="B125" i="65" s="1"/>
  <c r="A126" i="65"/>
  <c r="B126" i="65" s="1"/>
  <c r="A127" i="65"/>
  <c r="B127" i="65" s="1"/>
  <c r="A128" i="65"/>
  <c r="B128" i="65" s="1"/>
  <c r="A129" i="65"/>
  <c r="B129" i="65" s="1"/>
  <c r="A130" i="65"/>
  <c r="B130" i="65" s="1"/>
  <c r="A131" i="65"/>
  <c r="B131" i="65" s="1"/>
  <c r="A132" i="65"/>
  <c r="B132" i="65" s="1"/>
  <c r="A133" i="65"/>
  <c r="B133" i="65" s="1"/>
  <c r="A134" i="65"/>
  <c r="B134" i="65" s="1"/>
  <c r="A135" i="65"/>
  <c r="B135" i="65" s="1"/>
  <c r="A136" i="65"/>
  <c r="B136" i="65" s="1"/>
  <c r="A137" i="65"/>
  <c r="B137" i="65" s="1"/>
  <c r="A138" i="65"/>
  <c r="B138" i="65" s="1"/>
  <c r="A139" i="65"/>
  <c r="B139" i="65" s="1"/>
  <c r="A140" i="65"/>
  <c r="B140" i="65" s="1"/>
  <c r="A141" i="65"/>
  <c r="B141" i="65" s="1"/>
  <c r="A142" i="65"/>
  <c r="B142" i="65" s="1"/>
  <c r="A143" i="65"/>
  <c r="B143" i="65" s="1"/>
  <c r="A144" i="65"/>
  <c r="B144" i="65" s="1"/>
  <c r="A145" i="65"/>
  <c r="B145" i="65" s="1"/>
  <c r="A146" i="65"/>
  <c r="B146" i="65" s="1"/>
  <c r="A147" i="65"/>
  <c r="B147" i="65" s="1"/>
  <c r="A148" i="65"/>
  <c r="B148" i="65" s="1"/>
  <c r="A149" i="65"/>
  <c r="B149" i="65" s="1"/>
  <c r="A150" i="65"/>
  <c r="B150" i="65" s="1"/>
  <c r="A151" i="65"/>
  <c r="B151" i="65" s="1"/>
  <c r="A152" i="65"/>
  <c r="B152" i="65" s="1"/>
  <c r="A153" i="65"/>
  <c r="B153" i="65" s="1"/>
  <c r="A154" i="65"/>
  <c r="B154" i="65" s="1"/>
  <c r="A155" i="65"/>
  <c r="B155" i="65" s="1"/>
  <c r="A156" i="65"/>
  <c r="B156" i="65" s="1"/>
  <c r="A157" i="65"/>
  <c r="B157" i="65" s="1"/>
  <c r="A158" i="65"/>
  <c r="B158" i="65" s="1"/>
  <c r="A159" i="65"/>
  <c r="B159" i="65" s="1"/>
  <c r="A160" i="65"/>
  <c r="B160" i="65" s="1"/>
  <c r="A161" i="65"/>
  <c r="B161" i="65" s="1"/>
  <c r="A162" i="65"/>
  <c r="B162" i="65" s="1"/>
  <c r="A163" i="65"/>
  <c r="B163" i="65" s="1"/>
  <c r="A164" i="65"/>
  <c r="B164" i="65" s="1"/>
  <c r="A165" i="65"/>
  <c r="B165" i="65" s="1"/>
  <c r="A166" i="65"/>
  <c r="B166" i="65" s="1"/>
  <c r="A167" i="65"/>
  <c r="B167" i="65" s="1"/>
  <c r="A168" i="65"/>
  <c r="B168" i="65" s="1"/>
  <c r="A169" i="65"/>
  <c r="B169" i="65" s="1"/>
  <c r="A170" i="65"/>
  <c r="B170" i="65" s="1"/>
  <c r="A171" i="65"/>
  <c r="B171" i="65" s="1"/>
  <c r="A172" i="65"/>
  <c r="B172" i="65" s="1"/>
  <c r="A173" i="65"/>
  <c r="B173" i="65" s="1"/>
  <c r="A174" i="65"/>
  <c r="B174" i="65" s="1"/>
  <c r="A175" i="65"/>
  <c r="B175" i="65" s="1"/>
  <c r="A176" i="65"/>
  <c r="B176" i="65" s="1"/>
  <c r="A177" i="65"/>
  <c r="B177" i="65" s="1"/>
  <c r="A178" i="65"/>
  <c r="B178" i="65" s="1"/>
  <c r="A179" i="65"/>
  <c r="B179" i="65" s="1"/>
  <c r="A180" i="65"/>
  <c r="B180" i="65" s="1"/>
  <c r="A181" i="65"/>
  <c r="B181" i="65" s="1"/>
  <c r="A182" i="65"/>
  <c r="B182" i="65" s="1"/>
  <c r="A183" i="65"/>
  <c r="B183" i="65" s="1"/>
  <c r="A184" i="65"/>
  <c r="B184" i="65" s="1"/>
  <c r="A185" i="65"/>
  <c r="B185" i="65" s="1"/>
  <c r="A186" i="65"/>
  <c r="B186" i="65" s="1"/>
  <c r="A187" i="65"/>
  <c r="B187" i="65" s="1"/>
  <c r="A188" i="65"/>
  <c r="B188" i="65" s="1"/>
  <c r="A189" i="65"/>
  <c r="B189" i="65" s="1"/>
  <c r="A190" i="65"/>
  <c r="B190" i="65" s="1"/>
  <c r="A191" i="65"/>
  <c r="B191" i="65" s="1"/>
  <c r="A192" i="65"/>
  <c r="B192" i="65" s="1"/>
  <c r="A193" i="65"/>
  <c r="B193" i="65" s="1"/>
  <c r="A194" i="65"/>
  <c r="B194" i="65" s="1"/>
  <c r="A195" i="65"/>
  <c r="B195" i="65" s="1"/>
  <c r="A196" i="65"/>
  <c r="B196" i="65" s="1"/>
  <c r="A197" i="65"/>
  <c r="B197" i="65" s="1"/>
  <c r="A198" i="65"/>
  <c r="B198" i="65" s="1"/>
  <c r="A199" i="65"/>
  <c r="B199" i="65" s="1"/>
  <c r="A200" i="65"/>
  <c r="B200" i="65" s="1"/>
  <c r="A201" i="65"/>
  <c r="B201" i="65" s="1"/>
  <c r="A202" i="65"/>
  <c r="B202" i="65" s="1"/>
  <c r="A203" i="65"/>
  <c r="B203" i="65" s="1"/>
  <c r="A204" i="65"/>
  <c r="B204" i="65" s="1"/>
  <c r="A205" i="65"/>
  <c r="B205" i="65" s="1"/>
  <c r="A206" i="65"/>
  <c r="B206" i="65" s="1"/>
  <c r="A207" i="65"/>
  <c r="B207" i="65" s="1"/>
  <c r="A208" i="65"/>
  <c r="B208" i="65" s="1"/>
  <c r="A209" i="65"/>
  <c r="B209" i="65" s="1"/>
  <c r="A210" i="65"/>
  <c r="B210" i="65" s="1"/>
  <c r="A211" i="65"/>
  <c r="B211" i="65" s="1"/>
  <c r="A212" i="65"/>
  <c r="B212" i="65" s="1"/>
  <c r="A213" i="65"/>
  <c r="B213" i="65" s="1"/>
  <c r="A214" i="65"/>
  <c r="B214" i="65" s="1"/>
  <c r="A215" i="65"/>
  <c r="B215" i="65" s="1"/>
  <c r="A216" i="65"/>
  <c r="B216" i="65" s="1"/>
  <c r="A217" i="65"/>
  <c r="B217" i="65" s="1"/>
  <c r="A218" i="65"/>
  <c r="B218" i="65" s="1"/>
  <c r="A219" i="65"/>
  <c r="B219" i="65" s="1"/>
  <c r="A220" i="65"/>
  <c r="B220" i="65" s="1"/>
  <c r="A221" i="65"/>
  <c r="B221" i="65" s="1"/>
  <c r="A222" i="65"/>
  <c r="B222" i="65" s="1"/>
  <c r="A223" i="65"/>
  <c r="B223" i="65" s="1"/>
  <c r="A224" i="65"/>
  <c r="B224" i="65" s="1"/>
  <c r="A225" i="65"/>
  <c r="B225" i="65" s="1"/>
  <c r="A226" i="65"/>
  <c r="B226" i="65" s="1"/>
  <c r="A227" i="65"/>
  <c r="B227" i="65" s="1"/>
  <c r="A228" i="65"/>
  <c r="B228" i="65" s="1"/>
  <c r="A229" i="65"/>
  <c r="B229" i="65" s="1"/>
  <c r="A230" i="65"/>
  <c r="B230" i="65" s="1"/>
  <c r="A231" i="65"/>
  <c r="B231" i="65" s="1"/>
  <c r="A232" i="65"/>
  <c r="B232" i="65" s="1"/>
  <c r="A233" i="65"/>
  <c r="B233" i="65" s="1"/>
  <c r="A234" i="65"/>
  <c r="B234" i="65" s="1"/>
  <c r="A235" i="65"/>
  <c r="B235" i="65" s="1"/>
  <c r="A236" i="65"/>
  <c r="B236" i="65" s="1"/>
  <c r="A237" i="65"/>
  <c r="B237" i="65" s="1"/>
  <c r="A238" i="65"/>
  <c r="B238" i="65" s="1"/>
  <c r="A239" i="65"/>
  <c r="B239" i="65" s="1"/>
  <c r="A240" i="65"/>
  <c r="B240" i="65" s="1"/>
  <c r="A241" i="65"/>
  <c r="B241" i="65" s="1"/>
  <c r="A242" i="65"/>
  <c r="B242" i="65" s="1"/>
  <c r="A243" i="65"/>
  <c r="B243" i="65" s="1"/>
  <c r="A244" i="65"/>
  <c r="B244" i="65" s="1"/>
  <c r="A245" i="65"/>
  <c r="B245" i="65" s="1"/>
  <c r="A246" i="65"/>
  <c r="B246" i="65" s="1"/>
  <c r="A247" i="65"/>
  <c r="B247" i="65" s="1"/>
  <c r="A248" i="65"/>
  <c r="B248" i="65" s="1"/>
  <c r="A249" i="65"/>
  <c r="B249" i="65" s="1"/>
  <c r="A250" i="65"/>
  <c r="B250" i="65" s="1"/>
  <c r="A251" i="65"/>
  <c r="B251" i="65" s="1"/>
  <c r="A252" i="65"/>
  <c r="B252" i="65" s="1"/>
  <c r="A253" i="65"/>
  <c r="B253" i="65" s="1"/>
  <c r="A254" i="65"/>
  <c r="B254" i="65" s="1"/>
  <c r="A255" i="65"/>
  <c r="B255" i="65" s="1"/>
  <c r="A256" i="65"/>
  <c r="B256" i="65" s="1"/>
  <c r="A257" i="65"/>
  <c r="B257" i="65" s="1"/>
  <c r="A258" i="65"/>
  <c r="B258" i="65" s="1"/>
  <c r="A259" i="65"/>
  <c r="B259" i="65" s="1"/>
  <c r="A260" i="65"/>
  <c r="B260" i="65" s="1"/>
  <c r="A261" i="65"/>
  <c r="B261" i="65" s="1"/>
  <c r="A262" i="65"/>
  <c r="B262" i="65" s="1"/>
  <c r="A263" i="65"/>
  <c r="B263" i="65" s="1"/>
  <c r="A264" i="65"/>
  <c r="B264" i="65" s="1"/>
  <c r="A265" i="65"/>
  <c r="B265" i="65" s="1"/>
  <c r="A266" i="65"/>
  <c r="B266" i="65" s="1"/>
  <c r="A267" i="65"/>
  <c r="B267" i="65" s="1"/>
  <c r="A268" i="65"/>
  <c r="B268" i="65" s="1"/>
  <c r="A269" i="65"/>
  <c r="B269" i="65" s="1"/>
  <c r="A270" i="65"/>
  <c r="B270" i="65" s="1"/>
  <c r="A271" i="65"/>
  <c r="B271" i="65" s="1"/>
  <c r="A272" i="65"/>
  <c r="B272" i="65" s="1"/>
  <c r="A273" i="65"/>
  <c r="B273" i="65" s="1"/>
  <c r="A274" i="65"/>
  <c r="B274" i="65" s="1"/>
  <c r="A275" i="65"/>
  <c r="B275" i="65" s="1"/>
  <c r="A276" i="65"/>
  <c r="B276" i="65" s="1"/>
  <c r="A277" i="65"/>
  <c r="B277" i="65" s="1"/>
  <c r="A278" i="65"/>
  <c r="B278" i="65" s="1"/>
  <c r="A279" i="65"/>
  <c r="B279" i="65" s="1"/>
  <c r="A280" i="65"/>
  <c r="B280" i="65" s="1"/>
  <c r="A281" i="65"/>
  <c r="B281" i="65" s="1"/>
  <c r="A282" i="65"/>
  <c r="B282" i="65" s="1"/>
  <c r="A283" i="65"/>
  <c r="B283" i="65" s="1"/>
  <c r="A284" i="65"/>
  <c r="B284" i="65" s="1"/>
  <c r="A285" i="65"/>
  <c r="B285" i="65" s="1"/>
  <c r="A286" i="65"/>
  <c r="B286" i="65" s="1"/>
  <c r="A287" i="65"/>
  <c r="B287" i="65" s="1"/>
  <c r="A288" i="65"/>
  <c r="B288" i="65" s="1"/>
  <c r="A289" i="65"/>
  <c r="B289" i="65" s="1"/>
  <c r="A290" i="65"/>
  <c r="B290" i="65" s="1"/>
  <c r="A291" i="65"/>
  <c r="B291" i="65" s="1"/>
  <c r="A292" i="65"/>
  <c r="B292" i="65" s="1"/>
  <c r="A293" i="65"/>
  <c r="B293" i="65" s="1"/>
  <c r="A294" i="65"/>
  <c r="B294" i="65" s="1"/>
  <c r="A295" i="65"/>
  <c r="B295" i="65" s="1"/>
  <c r="A296" i="65"/>
  <c r="B296" i="65" s="1"/>
  <c r="A297" i="65"/>
  <c r="B297" i="65" s="1"/>
  <c r="A298" i="65"/>
  <c r="B298" i="65" s="1"/>
  <c r="A299" i="65"/>
  <c r="B299" i="65" s="1"/>
  <c r="A300" i="65"/>
  <c r="B300" i="65" s="1"/>
  <c r="A301" i="65"/>
  <c r="B301" i="65" s="1"/>
  <c r="A302" i="65"/>
  <c r="B302" i="65" s="1"/>
  <c r="A303" i="65"/>
  <c r="B303" i="65" s="1"/>
  <c r="A304" i="65"/>
  <c r="B304" i="65" s="1"/>
  <c r="A305" i="65"/>
  <c r="B305" i="65" s="1"/>
  <c r="A306" i="65"/>
  <c r="B306" i="65" s="1"/>
  <c r="A307" i="65"/>
  <c r="B307" i="65" s="1"/>
  <c r="A308" i="65"/>
  <c r="B308" i="65" s="1"/>
  <c r="A309" i="65"/>
  <c r="B309" i="65" s="1"/>
  <c r="A310" i="65"/>
  <c r="B310" i="65" s="1"/>
  <c r="A311" i="65"/>
  <c r="B311" i="65" s="1"/>
  <c r="A312" i="65"/>
  <c r="B312" i="65" s="1"/>
  <c r="A313" i="65"/>
  <c r="B313" i="65" s="1"/>
  <c r="A314" i="65"/>
  <c r="B314" i="65" s="1"/>
  <c r="A315" i="65"/>
  <c r="B315" i="65" s="1"/>
  <c r="A316" i="65"/>
  <c r="B316" i="65" s="1"/>
  <c r="A317" i="65"/>
  <c r="B317" i="65" s="1"/>
  <c r="A318" i="65"/>
  <c r="B318" i="65" s="1"/>
  <c r="A319" i="65"/>
  <c r="B319" i="65" s="1"/>
  <c r="A320" i="65"/>
  <c r="B320" i="65" s="1"/>
  <c r="A321" i="65"/>
  <c r="B321" i="65" s="1"/>
  <c r="A322" i="65"/>
  <c r="B322" i="65" s="1"/>
  <c r="A323" i="65"/>
  <c r="B323" i="65" s="1"/>
  <c r="A324" i="65"/>
  <c r="B324" i="65" s="1"/>
  <c r="A325" i="65"/>
  <c r="B325" i="65" s="1"/>
  <c r="A326" i="65"/>
  <c r="B326" i="65" s="1"/>
  <c r="A327" i="65"/>
  <c r="B327" i="65" s="1"/>
  <c r="A328" i="65"/>
  <c r="B328" i="65" s="1"/>
  <c r="A329" i="65"/>
  <c r="B329" i="65" s="1"/>
  <c r="A330" i="65"/>
  <c r="B330" i="65" s="1"/>
  <c r="A331" i="65"/>
  <c r="B331" i="65" s="1"/>
  <c r="A332" i="65"/>
  <c r="B332" i="65" s="1"/>
  <c r="A333" i="65"/>
  <c r="B333" i="65" s="1"/>
  <c r="A334" i="65"/>
  <c r="B334" i="65" s="1"/>
  <c r="A335" i="65"/>
  <c r="B335" i="65" s="1"/>
  <c r="A336" i="65"/>
  <c r="B336" i="65" s="1"/>
  <c r="A337" i="65"/>
  <c r="B337" i="65" s="1"/>
  <c r="A338" i="65"/>
  <c r="B338" i="65" s="1"/>
  <c r="A339" i="65"/>
  <c r="B339" i="65" s="1"/>
  <c r="A340" i="65"/>
  <c r="B340" i="65" s="1"/>
  <c r="A341" i="65"/>
  <c r="B341" i="65" s="1"/>
  <c r="A342" i="65"/>
  <c r="B342" i="65" s="1"/>
  <c r="A343" i="65"/>
  <c r="B343" i="65" s="1"/>
  <c r="A344" i="65"/>
  <c r="B344" i="65" s="1"/>
  <c r="A345" i="65"/>
  <c r="B345" i="65" s="1"/>
  <c r="A346" i="65"/>
  <c r="B346" i="65" s="1"/>
  <c r="A347" i="65"/>
  <c r="B347" i="65" s="1"/>
  <c r="A348" i="65"/>
  <c r="B348" i="65" s="1"/>
  <c r="A349" i="65"/>
  <c r="B349" i="65" s="1"/>
  <c r="A350" i="65"/>
  <c r="B350" i="65" s="1"/>
  <c r="A351" i="65"/>
  <c r="B351" i="65" s="1"/>
  <c r="A352" i="65"/>
  <c r="B352" i="65" s="1"/>
  <c r="A353" i="65"/>
  <c r="B353" i="65" s="1"/>
  <c r="A354" i="65"/>
  <c r="B354" i="65" s="1"/>
  <c r="A355" i="65"/>
  <c r="B355" i="65" s="1"/>
  <c r="A356" i="65"/>
  <c r="B356" i="65" s="1"/>
  <c r="A357" i="65"/>
  <c r="B357" i="65" s="1"/>
  <c r="A358" i="65"/>
  <c r="B358" i="65" s="1"/>
  <c r="A359" i="65"/>
  <c r="B359" i="65" s="1"/>
  <c r="A360" i="65"/>
  <c r="B360" i="65" s="1"/>
  <c r="A361" i="65"/>
  <c r="B361" i="65" s="1"/>
  <c r="A362" i="65"/>
  <c r="B362" i="65" s="1"/>
  <c r="A363" i="65"/>
  <c r="B363" i="65" s="1"/>
  <c r="A364" i="65"/>
  <c r="B364" i="65" s="1"/>
  <c r="A365" i="65"/>
  <c r="B365" i="65" s="1"/>
  <c r="A366" i="65"/>
  <c r="B366" i="65" s="1"/>
  <c r="A367" i="65"/>
  <c r="B367" i="65" s="1"/>
  <c r="A368" i="65"/>
  <c r="B368" i="65" s="1"/>
  <c r="A369" i="65"/>
  <c r="B369" i="65" s="1"/>
  <c r="A370" i="65"/>
  <c r="B370" i="65" s="1"/>
  <c r="A371" i="65"/>
  <c r="B371" i="65" s="1"/>
  <c r="A372" i="65"/>
  <c r="B372" i="65" s="1"/>
  <c r="A373" i="65"/>
  <c r="B373" i="65" s="1"/>
  <c r="A374" i="65"/>
  <c r="B374" i="65" s="1"/>
  <c r="A375" i="65"/>
  <c r="B375" i="65" s="1"/>
  <c r="A376" i="65"/>
  <c r="B376" i="65" s="1"/>
  <c r="A377" i="65"/>
  <c r="B377" i="65" s="1"/>
  <c r="A378" i="65"/>
  <c r="B378" i="65" s="1"/>
  <c r="A379" i="65"/>
  <c r="B379" i="65" s="1"/>
  <c r="A380" i="65"/>
  <c r="B380" i="65" s="1"/>
  <c r="A381" i="65"/>
  <c r="B381" i="65" s="1"/>
  <c r="A382" i="65"/>
  <c r="B382" i="65" s="1"/>
  <c r="A383" i="65"/>
  <c r="B383" i="65" s="1"/>
  <c r="A384" i="65"/>
  <c r="B384" i="65" s="1"/>
  <c r="A385" i="65"/>
  <c r="B385" i="65" s="1"/>
  <c r="A386" i="65"/>
  <c r="B386" i="65" s="1"/>
  <c r="A387" i="65"/>
  <c r="B387" i="65" s="1"/>
  <c r="A388" i="65"/>
  <c r="B388" i="65" s="1"/>
  <c r="A389" i="65"/>
  <c r="B389" i="65" s="1"/>
  <c r="A390" i="65"/>
  <c r="B390" i="65" s="1"/>
  <c r="A391" i="65"/>
  <c r="B391" i="65" s="1"/>
  <c r="A392" i="65"/>
  <c r="B392" i="65" s="1"/>
  <c r="A393" i="65"/>
  <c r="B393" i="65" s="1"/>
  <c r="A394" i="65"/>
  <c r="B394" i="65" s="1"/>
  <c r="A395" i="65"/>
  <c r="B395" i="65" s="1"/>
  <c r="A396" i="65"/>
  <c r="B396" i="65" s="1"/>
  <c r="A397" i="65"/>
  <c r="B397" i="65" s="1"/>
  <c r="A398" i="65"/>
  <c r="B398" i="65" s="1"/>
  <c r="A399" i="65"/>
  <c r="B399" i="65" s="1"/>
  <c r="A400" i="65"/>
  <c r="B400" i="65" s="1"/>
  <c r="A401" i="65"/>
  <c r="B401" i="65" s="1"/>
  <c r="A402" i="65"/>
  <c r="B402" i="65" s="1"/>
  <c r="A403" i="65"/>
  <c r="B403" i="65" s="1"/>
  <c r="A404" i="65"/>
  <c r="B404" i="65" s="1"/>
  <c r="A405" i="65"/>
  <c r="B405" i="65" s="1"/>
  <c r="A406" i="65"/>
  <c r="B406" i="65" s="1"/>
  <c r="A407" i="65"/>
  <c r="B407" i="65" s="1"/>
  <c r="A408" i="65"/>
  <c r="B408" i="65" s="1"/>
  <c r="A409" i="65"/>
  <c r="B409" i="65" s="1"/>
  <c r="A410" i="65"/>
  <c r="B410" i="65" s="1"/>
  <c r="A411" i="65"/>
  <c r="B411" i="65" s="1"/>
  <c r="A412" i="65"/>
  <c r="B412" i="65" s="1"/>
  <c r="A413" i="65"/>
  <c r="B413" i="65" s="1"/>
  <c r="A414" i="65"/>
  <c r="B414" i="65" s="1"/>
  <c r="A415" i="65"/>
  <c r="B415" i="65" s="1"/>
  <c r="A416" i="65"/>
  <c r="B416" i="65" s="1"/>
  <c r="A417" i="65"/>
  <c r="B417" i="65" s="1"/>
  <c r="A418" i="65"/>
  <c r="B418" i="65" s="1"/>
  <c r="A419" i="65"/>
  <c r="B419" i="65" s="1"/>
  <c r="A420" i="65"/>
  <c r="B420" i="65" s="1"/>
  <c r="A421" i="65"/>
  <c r="B421" i="65" s="1"/>
  <c r="A422" i="65"/>
  <c r="B422" i="65" s="1"/>
  <c r="A423" i="65"/>
  <c r="B423" i="65" s="1"/>
  <c r="A424" i="65"/>
  <c r="B424" i="65" s="1"/>
  <c r="A425" i="65"/>
  <c r="B425" i="65" s="1"/>
  <c r="A426" i="65"/>
  <c r="B426" i="65" s="1"/>
  <c r="A427" i="65"/>
  <c r="B427" i="65" s="1"/>
  <c r="A428" i="65"/>
  <c r="B428" i="65" s="1"/>
  <c r="A429" i="65"/>
  <c r="B429" i="65" s="1"/>
  <c r="A430" i="65"/>
  <c r="B430" i="65" s="1"/>
  <c r="A431" i="65"/>
  <c r="B431" i="65" s="1"/>
  <c r="A432" i="65"/>
  <c r="B432" i="65" s="1"/>
  <c r="A433" i="65"/>
  <c r="B433" i="65" s="1"/>
  <c r="A434" i="65"/>
  <c r="B434" i="65" s="1"/>
  <c r="A435" i="65"/>
  <c r="B435" i="65" s="1"/>
  <c r="A436" i="65"/>
  <c r="B436" i="65" s="1"/>
  <c r="A437" i="65"/>
  <c r="B437" i="65" s="1"/>
  <c r="A438" i="65"/>
  <c r="B438" i="65" s="1"/>
  <c r="A439" i="65"/>
  <c r="B439" i="65" s="1"/>
  <c r="A440" i="65"/>
  <c r="B440" i="65" s="1"/>
  <c r="A441" i="65"/>
  <c r="B441" i="65" s="1"/>
  <c r="A442" i="65"/>
  <c r="B442" i="65" s="1"/>
  <c r="A443" i="65"/>
  <c r="B443" i="65" s="1"/>
  <c r="A444" i="65"/>
  <c r="B444" i="65" s="1"/>
  <c r="A445" i="65"/>
  <c r="B445" i="65" s="1"/>
  <c r="A446" i="65"/>
  <c r="B446" i="65" s="1"/>
  <c r="A447" i="65"/>
  <c r="B447" i="65" s="1"/>
  <c r="A448" i="65"/>
  <c r="B448" i="65" s="1"/>
  <c r="A449" i="65"/>
  <c r="B449" i="65" s="1"/>
  <c r="A450" i="65"/>
  <c r="B450" i="65" s="1"/>
  <c r="A451" i="65"/>
  <c r="B451" i="65" s="1"/>
  <c r="A452" i="65"/>
  <c r="B452" i="65" s="1"/>
  <c r="A453" i="65"/>
  <c r="B453" i="65" s="1"/>
  <c r="A454" i="65"/>
  <c r="B454" i="65" s="1"/>
  <c r="A455" i="65"/>
  <c r="B455" i="65" s="1"/>
  <c r="A456" i="65"/>
  <c r="B456" i="65" s="1"/>
  <c r="A457" i="65"/>
  <c r="B457" i="65" s="1"/>
  <c r="A458" i="65"/>
  <c r="B458" i="65" s="1"/>
  <c r="A459" i="65"/>
  <c r="B459" i="65" s="1"/>
  <c r="A460" i="65"/>
  <c r="B460" i="65" s="1"/>
  <c r="A461" i="65"/>
  <c r="B461" i="65" s="1"/>
  <c r="A462" i="65"/>
  <c r="B462" i="65" s="1"/>
  <c r="A463" i="65"/>
  <c r="B463" i="65" s="1"/>
  <c r="A464" i="65"/>
  <c r="B464" i="65" s="1"/>
  <c r="A465" i="65"/>
  <c r="B465" i="65" s="1"/>
  <c r="A466" i="65"/>
  <c r="B466" i="65" s="1"/>
  <c r="A467" i="65"/>
  <c r="B467" i="65" s="1"/>
  <c r="A468" i="65"/>
  <c r="B468" i="65" s="1"/>
  <c r="A469" i="65"/>
  <c r="B469" i="65" s="1"/>
  <c r="A470" i="65"/>
  <c r="B470" i="65" s="1"/>
  <c r="A471" i="65"/>
  <c r="B471" i="65" s="1"/>
  <c r="A472" i="65"/>
  <c r="B472" i="65" s="1"/>
  <c r="A473" i="65"/>
  <c r="B473" i="65" s="1"/>
  <c r="A474" i="65"/>
  <c r="B474" i="65" s="1"/>
  <c r="A475" i="65"/>
  <c r="B475" i="65" s="1"/>
  <c r="A476" i="65"/>
  <c r="B476" i="65" s="1"/>
  <c r="A477" i="65"/>
  <c r="B477" i="65" s="1"/>
  <c r="A478" i="65"/>
  <c r="B478" i="65" s="1"/>
  <c r="A479" i="65"/>
  <c r="B479" i="65" s="1"/>
  <c r="A480" i="65"/>
  <c r="B480" i="65" s="1"/>
  <c r="A481" i="65"/>
  <c r="B481" i="65" s="1"/>
  <c r="A482" i="65"/>
  <c r="B482" i="65" s="1"/>
  <c r="A483" i="65"/>
  <c r="B483" i="65" s="1"/>
  <c r="A484" i="65"/>
  <c r="B484" i="65" s="1"/>
  <c r="A485" i="65"/>
  <c r="B485" i="65" s="1"/>
  <c r="A486" i="65"/>
  <c r="B486" i="65" s="1"/>
  <c r="A487" i="65"/>
  <c r="B487" i="65" s="1"/>
  <c r="A488" i="65"/>
  <c r="B488" i="65" s="1"/>
  <c r="A489" i="65"/>
  <c r="B489" i="65" s="1"/>
  <c r="A490" i="65"/>
  <c r="B490" i="65" s="1"/>
  <c r="A491" i="65"/>
  <c r="B491" i="65" s="1"/>
  <c r="A492" i="65"/>
  <c r="B492" i="65" s="1"/>
  <c r="A493" i="65"/>
  <c r="B493" i="65" s="1"/>
  <c r="A494" i="65"/>
  <c r="B494" i="65" s="1"/>
  <c r="A495" i="65"/>
  <c r="B495" i="65" s="1"/>
  <c r="A496" i="65"/>
  <c r="B496" i="65" s="1"/>
  <c r="A497" i="65"/>
  <c r="B497" i="65" s="1"/>
  <c r="A498" i="65"/>
  <c r="B498" i="65" s="1"/>
  <c r="A499" i="65"/>
  <c r="B499" i="65" s="1"/>
  <c r="A500" i="65"/>
  <c r="B500" i="65" s="1"/>
  <c r="A501" i="65"/>
  <c r="B501" i="65" s="1"/>
  <c r="A502" i="65"/>
  <c r="B502" i="65" s="1"/>
  <c r="A503" i="65"/>
  <c r="B503" i="65" s="1"/>
  <c r="A504" i="65"/>
  <c r="B504" i="65" s="1"/>
  <c r="A505" i="65"/>
  <c r="B505" i="65" s="1"/>
  <c r="A506" i="65"/>
  <c r="B506" i="65" s="1"/>
  <c r="A507" i="65"/>
  <c r="B507" i="65" s="1"/>
  <c r="A508" i="65"/>
  <c r="B508" i="65" s="1"/>
  <c r="A509" i="65"/>
  <c r="B509" i="65" s="1"/>
  <c r="A510" i="65"/>
  <c r="B510" i="65" s="1"/>
  <c r="A511" i="65"/>
  <c r="B511" i="65" s="1"/>
  <c r="A512" i="65"/>
  <c r="B512" i="65" s="1"/>
  <c r="A513" i="65"/>
  <c r="B513" i="65" s="1"/>
  <c r="A514" i="65"/>
  <c r="B514" i="65" s="1"/>
  <c r="A515" i="65"/>
  <c r="B515" i="65" s="1"/>
  <c r="A516" i="65"/>
  <c r="B516" i="65" s="1"/>
  <c r="A517" i="65"/>
  <c r="B517" i="65" s="1"/>
  <c r="A518" i="65"/>
  <c r="B518" i="65" s="1"/>
  <c r="A519" i="65"/>
  <c r="B519" i="65" s="1"/>
  <c r="A520" i="65"/>
  <c r="B520" i="65" s="1"/>
  <c r="A521" i="65"/>
  <c r="B521" i="65" s="1"/>
  <c r="A522" i="65"/>
  <c r="B522" i="65" s="1"/>
  <c r="A523" i="65"/>
  <c r="B523" i="65" s="1"/>
  <c r="A524" i="65"/>
  <c r="B524" i="65" s="1"/>
  <c r="A525" i="65"/>
  <c r="B525" i="65" s="1"/>
  <c r="A526" i="65"/>
  <c r="B526" i="65" s="1"/>
  <c r="A527" i="65"/>
  <c r="B527" i="65" s="1"/>
  <c r="A528" i="65"/>
  <c r="B528" i="65" s="1"/>
  <c r="A529" i="65"/>
  <c r="B529" i="65" s="1"/>
  <c r="A530" i="65"/>
  <c r="B530" i="65" s="1"/>
  <c r="A531" i="65"/>
  <c r="B531" i="65" s="1"/>
  <c r="A532" i="65"/>
  <c r="B532" i="65" s="1"/>
  <c r="A533" i="65"/>
  <c r="B533" i="65" s="1"/>
  <c r="A534" i="65"/>
  <c r="B534" i="65" s="1"/>
  <c r="A535" i="65"/>
  <c r="B535" i="65" s="1"/>
  <c r="A536" i="65"/>
  <c r="B536" i="65" s="1"/>
  <c r="A537" i="65"/>
  <c r="B537" i="65" s="1"/>
  <c r="A538" i="65"/>
  <c r="B538" i="65" s="1"/>
  <c r="A539" i="65"/>
  <c r="B539" i="65" s="1"/>
  <c r="A540" i="65"/>
  <c r="B540" i="65" s="1"/>
  <c r="A541" i="65"/>
  <c r="B541" i="65" s="1"/>
  <c r="A542" i="65"/>
  <c r="B542" i="65" s="1"/>
  <c r="A543" i="65"/>
  <c r="B543" i="65" s="1"/>
  <c r="A544" i="65"/>
  <c r="B544" i="65" s="1"/>
  <c r="A545" i="65"/>
  <c r="B545" i="65" s="1"/>
  <c r="A546" i="65"/>
  <c r="B546" i="65" s="1"/>
  <c r="A547" i="65"/>
  <c r="B547" i="65" s="1"/>
  <c r="A548" i="65"/>
  <c r="B548" i="65" s="1"/>
  <c r="A549" i="65"/>
  <c r="B549" i="65" s="1"/>
  <c r="A550" i="65"/>
  <c r="B550" i="65" s="1"/>
  <c r="A551" i="65"/>
  <c r="B551" i="65" s="1"/>
  <c r="A552" i="65"/>
  <c r="B552" i="65" s="1"/>
  <c r="A553" i="65"/>
  <c r="B553" i="65" s="1"/>
  <c r="A554" i="65"/>
  <c r="B554" i="65" s="1"/>
  <c r="A555" i="65"/>
  <c r="B555" i="65" s="1"/>
  <c r="A556" i="65"/>
  <c r="B556" i="65" s="1"/>
  <c r="A557" i="65"/>
  <c r="B557" i="65" s="1"/>
  <c r="A558" i="65"/>
  <c r="B558" i="65" s="1"/>
  <c r="A559" i="65"/>
  <c r="B559" i="65" s="1"/>
  <c r="A560" i="65"/>
  <c r="B560" i="65" s="1"/>
  <c r="A561" i="65"/>
  <c r="B561" i="65" s="1"/>
  <c r="A562" i="65"/>
  <c r="B562" i="65" s="1"/>
  <c r="A563" i="65"/>
  <c r="B563" i="65" s="1"/>
  <c r="A564" i="65"/>
  <c r="B564" i="65" s="1"/>
  <c r="A565" i="65"/>
  <c r="B565" i="65" s="1"/>
  <c r="A566" i="65"/>
  <c r="B566" i="65" s="1"/>
  <c r="A567" i="65"/>
  <c r="B567" i="65" s="1"/>
  <c r="A568" i="65"/>
  <c r="B568" i="65" s="1"/>
  <c r="A569" i="65"/>
  <c r="B569" i="65" s="1"/>
  <c r="A570" i="65"/>
  <c r="B570" i="65" s="1"/>
  <c r="A571" i="65"/>
  <c r="B571" i="65" s="1"/>
  <c r="A572" i="65"/>
  <c r="B572" i="65" s="1"/>
  <c r="A573" i="65"/>
  <c r="B573" i="65" s="1"/>
  <c r="A574" i="65"/>
  <c r="B574" i="65" s="1"/>
  <c r="A575" i="65"/>
  <c r="B575" i="65" s="1"/>
  <c r="A576" i="65"/>
  <c r="B576" i="65" s="1"/>
  <c r="A577" i="65"/>
  <c r="B577" i="65" s="1"/>
  <c r="A578" i="65"/>
  <c r="B578" i="65" s="1"/>
  <c r="A579" i="65"/>
  <c r="B579" i="65" s="1"/>
  <c r="A580" i="65"/>
  <c r="B580" i="65" s="1"/>
  <c r="A581" i="65"/>
  <c r="B581" i="65" s="1"/>
  <c r="A582" i="65"/>
  <c r="B582" i="65" s="1"/>
  <c r="A583" i="65"/>
  <c r="B583" i="65" s="1"/>
  <c r="A584" i="65"/>
  <c r="B584" i="65" s="1"/>
  <c r="A585" i="65"/>
  <c r="B585" i="65" s="1"/>
  <c r="A586" i="65"/>
  <c r="B586" i="65" s="1"/>
  <c r="A587" i="65"/>
  <c r="B587" i="65" s="1"/>
  <c r="A588" i="65"/>
  <c r="B588" i="65" s="1"/>
  <c r="A589" i="65"/>
  <c r="B589" i="65" s="1"/>
  <c r="A590" i="65"/>
  <c r="B590" i="65" s="1"/>
  <c r="A591" i="65"/>
  <c r="B591" i="65" s="1"/>
  <c r="A592" i="65"/>
  <c r="B592" i="65" s="1"/>
  <c r="A593" i="65"/>
  <c r="B593" i="65" s="1"/>
  <c r="A594" i="65"/>
  <c r="B594" i="65" s="1"/>
  <c r="A595" i="65"/>
  <c r="B595" i="65" s="1"/>
  <c r="A596" i="65"/>
  <c r="B596" i="65" s="1"/>
  <c r="A597" i="65"/>
  <c r="B597" i="65" s="1"/>
  <c r="A598" i="65"/>
  <c r="B598" i="65" s="1"/>
  <c r="A599" i="65"/>
  <c r="B599" i="65" s="1"/>
  <c r="A600" i="65"/>
  <c r="B600" i="65" s="1"/>
  <c r="A601" i="65"/>
  <c r="B601" i="65" s="1"/>
  <c r="A602" i="65"/>
  <c r="B602" i="65" s="1"/>
  <c r="A603" i="65"/>
  <c r="B603" i="65" s="1"/>
  <c r="A604" i="65"/>
  <c r="B604" i="65" s="1"/>
  <c r="A605" i="65"/>
  <c r="B605" i="65" s="1"/>
  <c r="A606" i="65"/>
  <c r="B606" i="65" s="1"/>
  <c r="A607" i="65"/>
  <c r="B607" i="65" s="1"/>
  <c r="A608" i="65"/>
  <c r="B608" i="65" s="1"/>
  <c r="A609" i="65"/>
  <c r="B609" i="65" s="1"/>
  <c r="A610" i="65"/>
  <c r="B610" i="65" s="1"/>
  <c r="A611" i="65"/>
  <c r="B611" i="65" s="1"/>
  <c r="A612" i="65"/>
  <c r="B612" i="65" s="1"/>
  <c r="A613" i="65"/>
  <c r="B613" i="65" s="1"/>
  <c r="A614" i="65"/>
  <c r="B614" i="65" s="1"/>
  <c r="A615" i="65"/>
  <c r="B615" i="65" s="1"/>
  <c r="A616" i="65"/>
  <c r="B616" i="65" s="1"/>
  <c r="A617" i="65"/>
  <c r="B617" i="65" s="1"/>
  <c r="A618" i="65"/>
  <c r="B618" i="65" s="1"/>
  <c r="A619" i="65"/>
  <c r="B619" i="65" s="1"/>
  <c r="A620" i="65"/>
  <c r="B620" i="65" s="1"/>
  <c r="A621" i="65"/>
  <c r="B621" i="65" s="1"/>
  <c r="A622" i="65"/>
  <c r="B622" i="65" s="1"/>
  <c r="A623" i="65"/>
  <c r="B623" i="65" s="1"/>
  <c r="A624" i="65"/>
  <c r="B624" i="65" s="1"/>
  <c r="A625" i="65"/>
  <c r="B625" i="65" s="1"/>
  <c r="A626" i="65"/>
  <c r="B626" i="65" s="1"/>
  <c r="A627" i="65"/>
  <c r="B627" i="65" s="1"/>
  <c r="A628" i="65"/>
  <c r="B628" i="65" s="1"/>
  <c r="A629" i="65"/>
  <c r="B629" i="65" s="1"/>
  <c r="A630" i="65"/>
  <c r="B630" i="65" s="1"/>
  <c r="A631" i="65"/>
  <c r="B631" i="65" s="1"/>
  <c r="A632" i="65"/>
  <c r="B632" i="65" s="1"/>
  <c r="A633" i="65"/>
  <c r="B633" i="65" s="1"/>
  <c r="A634" i="65"/>
  <c r="B634" i="65" s="1"/>
  <c r="A635" i="65"/>
  <c r="B635" i="65" s="1"/>
  <c r="A636" i="65"/>
  <c r="B636" i="65" s="1"/>
  <c r="A637" i="65"/>
  <c r="B637" i="65" s="1"/>
  <c r="A638" i="65"/>
  <c r="B638" i="65" s="1"/>
  <c r="A639" i="65"/>
  <c r="B639" i="65" s="1"/>
  <c r="A640" i="65"/>
  <c r="B640" i="65" s="1"/>
  <c r="A641" i="65"/>
  <c r="B641" i="65" s="1"/>
  <c r="A642" i="65"/>
  <c r="B642" i="65" s="1"/>
  <c r="A643" i="65"/>
  <c r="B643" i="65" s="1"/>
  <c r="A644" i="65"/>
  <c r="B644" i="65" s="1"/>
  <c r="A645" i="65"/>
  <c r="B645" i="65" s="1"/>
  <c r="A646" i="65"/>
  <c r="B646" i="65" s="1"/>
  <c r="A647" i="65"/>
  <c r="B647" i="65" s="1"/>
  <c r="A648" i="65"/>
  <c r="B648" i="65" s="1"/>
  <c r="A649" i="65"/>
  <c r="B649" i="65" s="1"/>
  <c r="A650" i="65"/>
  <c r="B650" i="65" s="1"/>
  <c r="A651" i="65"/>
  <c r="B651" i="65" s="1"/>
  <c r="A652" i="65"/>
  <c r="B652" i="65" s="1"/>
  <c r="A653" i="65"/>
  <c r="B653" i="65" s="1"/>
  <c r="A654" i="65"/>
  <c r="B654" i="65" s="1"/>
  <c r="A655" i="65"/>
  <c r="B655" i="65" s="1"/>
  <c r="A656" i="65"/>
  <c r="B656" i="65" s="1"/>
  <c r="A657" i="65"/>
  <c r="B657" i="65" s="1"/>
  <c r="A658" i="65"/>
  <c r="B658" i="65" s="1"/>
  <c r="A659" i="65"/>
  <c r="B659" i="65" s="1"/>
  <c r="A660" i="65"/>
  <c r="B660" i="65" s="1"/>
  <c r="A661" i="65"/>
  <c r="B661" i="65" s="1"/>
  <c r="A662" i="65"/>
  <c r="B662" i="65" s="1"/>
  <c r="A663" i="65"/>
  <c r="B663" i="65" s="1"/>
  <c r="A664" i="65"/>
  <c r="B664" i="65" s="1"/>
  <c r="A665" i="65"/>
  <c r="B665" i="65" s="1"/>
  <c r="A666" i="65"/>
  <c r="B666" i="65" s="1"/>
  <c r="A667" i="65"/>
  <c r="B667" i="65" s="1"/>
  <c r="A668" i="65"/>
  <c r="B668" i="65" s="1"/>
  <c r="A669" i="65"/>
  <c r="B669" i="65" s="1"/>
  <c r="A670" i="65"/>
  <c r="B670" i="65" s="1"/>
  <c r="A671" i="65"/>
  <c r="B671" i="65" s="1"/>
  <c r="A672" i="65"/>
  <c r="B672" i="65" s="1"/>
  <c r="A673" i="65"/>
  <c r="B673" i="65" s="1"/>
  <c r="A674" i="65"/>
  <c r="B674" i="65" s="1"/>
  <c r="A675" i="65"/>
  <c r="B675" i="65" s="1"/>
  <c r="A676" i="65"/>
  <c r="B676" i="65" s="1"/>
  <c r="A677" i="65"/>
  <c r="B677" i="65" s="1"/>
  <c r="A678" i="65"/>
  <c r="B678" i="65" s="1"/>
  <c r="A679" i="65"/>
  <c r="B679" i="65" s="1"/>
  <c r="A680" i="65"/>
  <c r="B680" i="65" s="1"/>
  <c r="A681" i="65"/>
  <c r="B681" i="65" s="1"/>
  <c r="A682" i="65"/>
  <c r="B682" i="65" s="1"/>
  <c r="A683" i="65"/>
  <c r="B683" i="65" s="1"/>
  <c r="A684" i="65"/>
  <c r="B684" i="65" s="1"/>
  <c r="A685" i="65"/>
  <c r="B685" i="65" s="1"/>
  <c r="A686" i="65"/>
  <c r="B686" i="65" s="1"/>
  <c r="A687" i="65"/>
  <c r="B687" i="65" s="1"/>
  <c r="A688" i="65"/>
  <c r="B688" i="65" s="1"/>
  <c r="A689" i="65"/>
  <c r="B689" i="65" s="1"/>
  <c r="A690" i="65"/>
  <c r="B690" i="65" s="1"/>
  <c r="A691" i="65"/>
  <c r="B691" i="65" s="1"/>
  <c r="A692" i="65"/>
  <c r="B692" i="65" s="1"/>
  <c r="A693" i="65"/>
  <c r="B693" i="65" s="1"/>
  <c r="A694" i="65"/>
  <c r="B694" i="65" s="1"/>
  <c r="A695" i="65"/>
  <c r="B695" i="65" s="1"/>
  <c r="A696" i="65"/>
  <c r="B696" i="65" s="1"/>
  <c r="A697" i="65"/>
  <c r="B697" i="65" s="1"/>
  <c r="A698" i="65"/>
  <c r="B698" i="65" s="1"/>
  <c r="A699" i="65"/>
  <c r="B699" i="65" s="1"/>
  <c r="A700" i="65"/>
  <c r="B700" i="65" s="1"/>
  <c r="A701" i="65"/>
  <c r="B701" i="65" s="1"/>
  <c r="A702" i="65"/>
  <c r="B702" i="65" s="1"/>
  <c r="A703" i="65"/>
  <c r="B703" i="65" s="1"/>
  <c r="A704" i="65"/>
  <c r="B704" i="65" s="1"/>
  <c r="A705" i="65"/>
  <c r="B705" i="65" s="1"/>
  <c r="A706" i="65"/>
  <c r="B706" i="65" s="1"/>
  <c r="A707" i="65"/>
  <c r="B707" i="65" s="1"/>
  <c r="A708" i="65"/>
  <c r="B708" i="65" s="1"/>
  <c r="A709" i="65"/>
  <c r="B709" i="65" s="1"/>
  <c r="A710" i="65"/>
  <c r="B710" i="65" s="1"/>
  <c r="A711" i="65"/>
  <c r="B711" i="65" s="1"/>
  <c r="A712" i="65"/>
  <c r="B712" i="65" s="1"/>
  <c r="A713" i="65"/>
  <c r="B713" i="65" s="1"/>
  <c r="A714" i="65"/>
  <c r="B714" i="65" s="1"/>
  <c r="A715" i="65"/>
  <c r="B715" i="65" s="1"/>
  <c r="A716" i="65"/>
  <c r="B716" i="65" s="1"/>
  <c r="A717" i="65"/>
  <c r="B717" i="65" s="1"/>
  <c r="A718" i="65"/>
  <c r="B718" i="65" s="1"/>
  <c r="A719" i="65"/>
  <c r="B719" i="65" s="1"/>
  <c r="A720" i="65"/>
  <c r="B720" i="65" s="1"/>
  <c r="A721" i="65"/>
  <c r="B721" i="65" s="1"/>
  <c r="A722" i="65"/>
  <c r="B722" i="65" s="1"/>
  <c r="A723" i="65"/>
  <c r="B723" i="65" s="1"/>
  <c r="A724" i="65"/>
  <c r="B724" i="65" s="1"/>
  <c r="A725" i="65"/>
  <c r="B725" i="65" s="1"/>
  <c r="A726" i="65"/>
  <c r="B726" i="65" s="1"/>
  <c r="A727" i="65"/>
  <c r="B727" i="65" s="1"/>
  <c r="A728" i="65"/>
  <c r="B728" i="65" s="1"/>
  <c r="A729" i="65"/>
  <c r="B729" i="65" s="1"/>
  <c r="A730" i="65"/>
  <c r="B730" i="65" s="1"/>
  <c r="A731" i="65"/>
  <c r="B731" i="65" s="1"/>
  <c r="A732" i="65"/>
  <c r="B732" i="65" s="1"/>
  <c r="A733" i="65"/>
  <c r="B733" i="65" s="1"/>
  <c r="A734" i="65"/>
  <c r="B734" i="65" s="1"/>
  <c r="A735" i="65"/>
  <c r="B735" i="65" s="1"/>
  <c r="A736" i="65"/>
  <c r="B736" i="65" s="1"/>
  <c r="A737" i="65"/>
  <c r="B737" i="65" s="1"/>
  <c r="A738" i="65"/>
  <c r="B738" i="65" s="1"/>
  <c r="A739" i="65"/>
  <c r="B739" i="65" s="1"/>
  <c r="A740" i="65"/>
  <c r="B740" i="65" s="1"/>
  <c r="A741" i="65"/>
  <c r="B741" i="65" s="1"/>
  <c r="A742" i="65"/>
  <c r="B742" i="65" s="1"/>
  <c r="A743" i="65"/>
  <c r="B743" i="65" s="1"/>
  <c r="A744" i="65"/>
  <c r="B744" i="65" s="1"/>
  <c r="A745" i="65"/>
  <c r="B745" i="65" s="1"/>
  <c r="A746" i="65"/>
  <c r="B746" i="65" s="1"/>
  <c r="A747" i="65"/>
  <c r="B747" i="65" s="1"/>
  <c r="A748" i="65"/>
  <c r="B748" i="65" s="1"/>
  <c r="A749" i="65"/>
  <c r="B749" i="65" s="1"/>
  <c r="A750" i="65"/>
  <c r="B750" i="65" s="1"/>
  <c r="A751" i="65"/>
  <c r="B751" i="65" s="1"/>
  <c r="A752" i="65"/>
  <c r="B752" i="65" s="1"/>
  <c r="A753" i="65"/>
  <c r="B753" i="65" s="1"/>
  <c r="A754" i="65"/>
  <c r="B754" i="65" s="1"/>
  <c r="A755" i="65"/>
  <c r="B755" i="65" s="1"/>
  <c r="A756" i="65"/>
  <c r="B756" i="65" s="1"/>
  <c r="A757" i="65"/>
  <c r="B757" i="65" s="1"/>
  <c r="A758" i="65"/>
  <c r="B758" i="65" s="1"/>
  <c r="A759" i="65"/>
  <c r="B759" i="65" s="1"/>
  <c r="A760" i="65"/>
  <c r="B760" i="65" s="1"/>
  <c r="A761" i="65"/>
  <c r="B761" i="65" s="1"/>
  <c r="A762" i="65"/>
  <c r="B762" i="65" s="1"/>
  <c r="A763" i="65"/>
  <c r="B763" i="65" s="1"/>
  <c r="A764" i="65"/>
  <c r="B764" i="65" s="1"/>
  <c r="A765" i="65"/>
  <c r="B765" i="65" s="1"/>
  <c r="A766" i="65"/>
  <c r="B766" i="65" s="1"/>
  <c r="A767" i="65"/>
  <c r="B767" i="65" s="1"/>
  <c r="A768" i="65"/>
  <c r="B768" i="65" s="1"/>
  <c r="A769" i="65"/>
  <c r="B769" i="65" s="1"/>
  <c r="A770" i="65"/>
  <c r="B770" i="65" s="1"/>
  <c r="A771" i="65"/>
  <c r="B771" i="65" s="1"/>
  <c r="A772" i="65"/>
  <c r="B772" i="65" s="1"/>
  <c r="A773" i="65"/>
  <c r="B773" i="65" s="1"/>
  <c r="A774" i="65"/>
  <c r="B774" i="65" s="1"/>
  <c r="A775" i="65"/>
  <c r="B775" i="65" s="1"/>
  <c r="A776" i="65"/>
  <c r="B776" i="65" s="1"/>
  <c r="A777" i="65"/>
  <c r="B777" i="65" s="1"/>
  <c r="A778" i="65"/>
  <c r="B778" i="65" s="1"/>
  <c r="A779" i="65"/>
  <c r="B779" i="65" s="1"/>
  <c r="A780" i="65"/>
  <c r="B780" i="65" s="1"/>
  <c r="A781" i="65"/>
  <c r="B781" i="65" s="1"/>
  <c r="A782" i="65"/>
  <c r="B782" i="65" s="1"/>
  <c r="A783" i="65"/>
  <c r="B783" i="65" s="1"/>
  <c r="A784" i="65"/>
  <c r="B784" i="65" s="1"/>
  <c r="A785" i="65"/>
  <c r="B785" i="65" s="1"/>
  <c r="A786" i="65"/>
  <c r="B786" i="65" s="1"/>
  <c r="A787" i="65"/>
  <c r="B787" i="65" s="1"/>
  <c r="A788" i="65"/>
  <c r="B788" i="65" s="1"/>
  <c r="A789" i="65"/>
  <c r="B789" i="65" s="1"/>
  <c r="A790" i="65"/>
  <c r="B790" i="65" s="1"/>
  <c r="A791" i="65"/>
  <c r="B791" i="65" s="1"/>
  <c r="A792" i="65"/>
  <c r="B792" i="65" s="1"/>
  <c r="A793" i="65"/>
  <c r="B793" i="65" s="1"/>
  <c r="A794" i="65"/>
  <c r="B794" i="65" s="1"/>
  <c r="A795" i="65"/>
  <c r="B795" i="65" s="1"/>
  <c r="A796" i="65"/>
  <c r="B796" i="65" s="1"/>
  <c r="A797" i="65"/>
  <c r="B797" i="65" s="1"/>
  <c r="A798" i="65"/>
  <c r="B798" i="65" s="1"/>
  <c r="A799" i="65"/>
  <c r="B799" i="65" s="1"/>
  <c r="A800" i="65"/>
  <c r="B800" i="65" s="1"/>
  <c r="A801" i="65"/>
  <c r="B801" i="65" s="1"/>
  <c r="A802" i="65"/>
  <c r="B802" i="65" s="1"/>
  <c r="A803" i="65"/>
  <c r="B803" i="65" s="1"/>
  <c r="A804" i="65"/>
  <c r="B804" i="65" s="1"/>
  <c r="A805" i="65"/>
  <c r="B805" i="65" s="1"/>
  <c r="A806" i="65"/>
  <c r="B806" i="65" s="1"/>
  <c r="A807" i="65"/>
  <c r="B807" i="65" s="1"/>
  <c r="A808" i="65"/>
  <c r="B808" i="65" s="1"/>
  <c r="A809" i="65"/>
  <c r="B809" i="65" s="1"/>
  <c r="A810" i="65"/>
  <c r="B810" i="65" s="1"/>
  <c r="A811" i="65"/>
  <c r="B811" i="65" s="1"/>
  <c r="A812" i="65"/>
  <c r="B812" i="65" s="1"/>
  <c r="A813" i="65"/>
  <c r="B813" i="65" s="1"/>
  <c r="A814" i="65"/>
  <c r="B814" i="65" s="1"/>
  <c r="A815" i="65"/>
  <c r="B815" i="65" s="1"/>
  <c r="A816" i="65"/>
  <c r="B816" i="65" s="1"/>
  <c r="A817" i="65"/>
  <c r="B817" i="65" s="1"/>
  <c r="A818" i="65"/>
  <c r="B818" i="65" s="1"/>
  <c r="A819" i="65"/>
  <c r="B819" i="65" s="1"/>
  <c r="A820" i="65"/>
  <c r="B820" i="65" s="1"/>
  <c r="A821" i="65"/>
  <c r="B821" i="65" s="1"/>
  <c r="A822" i="65"/>
  <c r="B822" i="65" s="1"/>
  <c r="A823" i="65"/>
  <c r="B823" i="65" s="1"/>
  <c r="A824" i="65"/>
  <c r="B824" i="65" s="1"/>
  <c r="A825" i="65"/>
  <c r="B825" i="65" s="1"/>
  <c r="A826" i="65"/>
  <c r="B826" i="65" s="1"/>
  <c r="A827" i="65"/>
  <c r="B827" i="65" s="1"/>
  <c r="A828" i="65"/>
  <c r="B828" i="65" s="1"/>
  <c r="A829" i="65"/>
  <c r="B829" i="65" s="1"/>
  <c r="A830" i="65"/>
  <c r="B830" i="65" s="1"/>
  <c r="A831" i="65"/>
  <c r="B831" i="65" s="1"/>
  <c r="A832" i="65"/>
  <c r="B832" i="65" s="1"/>
  <c r="A833" i="65"/>
  <c r="B833" i="65" s="1"/>
  <c r="A834" i="65"/>
  <c r="B834" i="65" s="1"/>
  <c r="A835" i="65"/>
  <c r="B835" i="65" s="1"/>
  <c r="A836" i="65"/>
  <c r="B836" i="65" s="1"/>
  <c r="A837" i="65"/>
  <c r="B837" i="65" s="1"/>
  <c r="A838" i="65"/>
  <c r="B838" i="65" s="1"/>
  <c r="A839" i="65"/>
  <c r="B839" i="65" s="1"/>
  <c r="A840" i="65"/>
  <c r="B840" i="65" s="1"/>
  <c r="A841" i="65"/>
  <c r="B841" i="65" s="1"/>
  <c r="A842" i="65"/>
  <c r="B842" i="65" s="1"/>
  <c r="A843" i="65"/>
  <c r="B843" i="65" s="1"/>
  <c r="A844" i="65"/>
  <c r="B844" i="65" s="1"/>
  <c r="A845" i="65"/>
  <c r="B845" i="65" s="1"/>
  <c r="A846" i="65"/>
  <c r="B846" i="65" s="1"/>
  <c r="A847" i="65"/>
  <c r="B847" i="65" s="1"/>
  <c r="A848" i="65"/>
  <c r="B848" i="65" s="1"/>
  <c r="A849" i="65"/>
  <c r="B849" i="65" s="1"/>
  <c r="A850" i="65"/>
  <c r="B850" i="65" s="1"/>
  <c r="A851" i="65"/>
  <c r="B851" i="65" s="1"/>
  <c r="A852" i="65"/>
  <c r="B852" i="65" s="1"/>
  <c r="A853" i="65"/>
  <c r="B853" i="65" s="1"/>
  <c r="A854" i="65"/>
  <c r="B854" i="65" s="1"/>
  <c r="A855" i="65"/>
  <c r="B855" i="65" s="1"/>
  <c r="A856" i="65"/>
  <c r="B856" i="65" s="1"/>
  <c r="A857" i="65"/>
  <c r="B857" i="65" s="1"/>
  <c r="A858" i="65"/>
  <c r="B858" i="65" s="1"/>
  <c r="A859" i="65"/>
  <c r="B859" i="65" s="1"/>
  <c r="A860" i="65"/>
  <c r="B860" i="65" s="1"/>
  <c r="A861" i="65"/>
  <c r="B861" i="65" s="1"/>
  <c r="A862" i="65"/>
  <c r="B862" i="65" s="1"/>
  <c r="A863" i="65"/>
  <c r="B863" i="65" s="1"/>
  <c r="A864" i="65"/>
  <c r="B864" i="65" s="1"/>
  <c r="A865" i="65"/>
  <c r="B865" i="65" s="1"/>
  <c r="A866" i="65"/>
  <c r="B866" i="65" s="1"/>
  <c r="A867" i="65"/>
  <c r="B867" i="65" s="1"/>
  <c r="A868" i="65"/>
  <c r="B868" i="65" s="1"/>
  <c r="A869" i="65"/>
  <c r="B869" i="65" s="1"/>
  <c r="A870" i="65"/>
  <c r="B870" i="65" s="1"/>
  <c r="A871" i="65"/>
  <c r="B871" i="65" s="1"/>
  <c r="A872" i="65"/>
  <c r="B872" i="65" s="1"/>
  <c r="A873" i="65"/>
  <c r="B873" i="65" s="1"/>
  <c r="A874" i="65"/>
  <c r="B874" i="65" s="1"/>
  <c r="A875" i="65"/>
  <c r="B875" i="65" s="1"/>
  <c r="A876" i="65"/>
  <c r="B876" i="65" s="1"/>
  <c r="A877" i="65"/>
  <c r="B877" i="65" s="1"/>
  <c r="A878" i="65"/>
  <c r="B878" i="65" s="1"/>
  <c r="A879" i="65"/>
  <c r="B879" i="65" s="1"/>
  <c r="A880" i="65"/>
  <c r="B880" i="65" s="1"/>
  <c r="A881" i="65"/>
  <c r="B881" i="65" s="1"/>
  <c r="A882" i="65"/>
  <c r="B882" i="65" s="1"/>
  <c r="A883" i="65"/>
  <c r="B883" i="65" s="1"/>
  <c r="A884" i="65"/>
  <c r="B884" i="65" s="1"/>
  <c r="A885" i="65"/>
  <c r="B885" i="65" s="1"/>
  <c r="A886" i="65"/>
  <c r="B886" i="65" s="1"/>
  <c r="A887" i="65"/>
  <c r="B887" i="65" s="1"/>
  <c r="A888" i="65"/>
  <c r="B888" i="65" s="1"/>
  <c r="A889" i="65"/>
  <c r="B889" i="65" s="1"/>
  <c r="A890" i="65"/>
  <c r="B890" i="65" s="1"/>
  <c r="A891" i="65"/>
  <c r="B891" i="65" s="1"/>
  <c r="A892" i="65"/>
  <c r="B892" i="65" s="1"/>
  <c r="A893" i="65"/>
  <c r="B893" i="65" s="1"/>
  <c r="A894" i="65"/>
  <c r="B894" i="65" s="1"/>
  <c r="A895" i="65"/>
  <c r="B895" i="65" s="1"/>
  <c r="A896" i="65"/>
  <c r="B896" i="65" s="1"/>
  <c r="A897" i="65"/>
  <c r="B897" i="65" s="1"/>
  <c r="A898" i="65"/>
  <c r="B898" i="65" s="1"/>
  <c r="A899" i="65"/>
  <c r="B899" i="65" s="1"/>
  <c r="A900" i="65"/>
  <c r="B900" i="65" s="1"/>
  <c r="A901" i="65"/>
  <c r="B901" i="65" s="1"/>
  <c r="A902" i="65"/>
  <c r="B902" i="65" s="1"/>
  <c r="A903" i="65"/>
  <c r="B903" i="65" s="1"/>
  <c r="A904" i="65"/>
  <c r="B904" i="65" s="1"/>
  <c r="A905" i="65"/>
  <c r="B905" i="65" s="1"/>
  <c r="A906" i="65"/>
  <c r="B906" i="65" s="1"/>
  <c r="A907" i="65"/>
  <c r="B907" i="65" s="1"/>
  <c r="A908" i="65"/>
  <c r="B908" i="65" s="1"/>
  <c r="A909" i="65"/>
  <c r="B909" i="65" s="1"/>
  <c r="A910" i="65"/>
  <c r="B910" i="65" s="1"/>
  <c r="A911" i="65"/>
  <c r="B911" i="65" s="1"/>
  <c r="A912" i="65"/>
  <c r="B912" i="65" s="1"/>
  <c r="A913" i="65"/>
  <c r="B913" i="65" s="1"/>
  <c r="A914" i="65"/>
  <c r="B914" i="65" s="1"/>
  <c r="A915" i="65"/>
  <c r="B915" i="65" s="1"/>
  <c r="A916" i="65"/>
  <c r="B916" i="65" s="1"/>
  <c r="A917" i="65"/>
  <c r="B917" i="65" s="1"/>
  <c r="A918" i="65"/>
  <c r="B918" i="65" s="1"/>
  <c r="A919" i="65"/>
  <c r="B919" i="65" s="1"/>
  <c r="A920" i="65"/>
  <c r="B920" i="65" s="1"/>
  <c r="A921" i="65"/>
  <c r="B921" i="65" s="1"/>
  <c r="A922" i="65"/>
  <c r="B922" i="65" s="1"/>
  <c r="A923" i="65"/>
  <c r="B923" i="65" s="1"/>
  <c r="A924" i="65"/>
  <c r="B924" i="65" s="1"/>
  <c r="A925" i="65"/>
  <c r="B925" i="65" s="1"/>
  <c r="A926" i="65"/>
  <c r="B926" i="65" s="1"/>
  <c r="A927" i="65"/>
  <c r="B927" i="65" s="1"/>
  <c r="A928" i="65"/>
  <c r="B928" i="65" s="1"/>
  <c r="A929" i="65"/>
  <c r="B929" i="65" s="1"/>
  <c r="A930" i="65"/>
  <c r="B930" i="65" s="1"/>
  <c r="A931" i="65"/>
  <c r="B931" i="65" s="1"/>
  <c r="A932" i="65"/>
  <c r="B932" i="65" s="1"/>
  <c r="A933" i="65"/>
  <c r="B933" i="65" s="1"/>
  <c r="A934" i="65"/>
  <c r="B934" i="65" s="1"/>
  <c r="A935" i="65"/>
  <c r="B935" i="65" s="1"/>
  <c r="A936" i="65"/>
  <c r="B936" i="65" s="1"/>
  <c r="A937" i="65"/>
  <c r="B937" i="65" s="1"/>
  <c r="A938" i="65"/>
  <c r="B938" i="65" s="1"/>
  <c r="A939" i="65"/>
  <c r="B939" i="65" s="1"/>
  <c r="A940" i="65"/>
  <c r="B940" i="65" s="1"/>
  <c r="A941" i="65"/>
  <c r="B941" i="65" s="1"/>
  <c r="A942" i="65"/>
  <c r="B942" i="65" s="1"/>
  <c r="A943" i="65"/>
  <c r="B943" i="65" s="1"/>
  <c r="A944" i="65"/>
  <c r="B944" i="65" s="1"/>
  <c r="A945" i="65"/>
  <c r="B945" i="65" s="1"/>
  <c r="A946" i="65"/>
  <c r="B946" i="65" s="1"/>
  <c r="A947" i="65"/>
  <c r="B947" i="65" s="1"/>
  <c r="A948" i="65"/>
  <c r="B948" i="65" s="1"/>
  <c r="A949" i="65"/>
  <c r="B949" i="65" s="1"/>
  <c r="A950" i="65"/>
  <c r="B950" i="65" s="1"/>
  <c r="A951" i="65"/>
  <c r="B951" i="65" s="1"/>
  <c r="A952" i="65"/>
  <c r="B952" i="65" s="1"/>
  <c r="A953" i="65"/>
  <c r="B953" i="65" s="1"/>
  <c r="A954" i="65"/>
  <c r="B954" i="65" s="1"/>
  <c r="A955" i="65"/>
  <c r="B955" i="65" s="1"/>
  <c r="A956" i="65"/>
  <c r="B956" i="65" s="1"/>
  <c r="A957" i="65"/>
  <c r="B957" i="65" s="1"/>
  <c r="A958" i="65"/>
  <c r="B958" i="65" s="1"/>
  <c r="A959" i="65"/>
  <c r="B959" i="65" s="1"/>
  <c r="A960" i="65"/>
  <c r="B960" i="65" s="1"/>
  <c r="A961" i="65"/>
  <c r="B961" i="65" s="1"/>
  <c r="A962" i="65"/>
  <c r="B962" i="65" s="1"/>
  <c r="A963" i="65"/>
  <c r="B963" i="65" s="1"/>
  <c r="A964" i="65"/>
  <c r="B964" i="65" s="1"/>
  <c r="A965" i="65"/>
  <c r="B965" i="65" s="1"/>
  <c r="A966" i="65"/>
  <c r="B966" i="65" s="1"/>
  <c r="A967" i="65"/>
  <c r="B967" i="65" s="1"/>
  <c r="A968" i="65"/>
  <c r="B968" i="65" s="1"/>
  <c r="A969" i="65"/>
  <c r="B969" i="65" s="1"/>
  <c r="A970" i="65"/>
  <c r="B970" i="65" s="1"/>
  <c r="A971" i="65"/>
  <c r="B971" i="65" s="1"/>
  <c r="A972" i="65"/>
  <c r="B972" i="65" s="1"/>
  <c r="A973" i="65"/>
  <c r="B973" i="65" s="1"/>
  <c r="A974" i="65"/>
  <c r="B974" i="65" s="1"/>
  <c r="A975" i="65"/>
  <c r="B975" i="65" s="1"/>
  <c r="A976" i="65"/>
  <c r="B976" i="65" s="1"/>
  <c r="A977" i="65"/>
  <c r="B977" i="65" s="1"/>
  <c r="A978" i="65"/>
  <c r="B978" i="65" s="1"/>
  <c r="A979" i="65"/>
  <c r="B979" i="65" s="1"/>
  <c r="A980" i="65"/>
  <c r="B980" i="65" s="1"/>
  <c r="A981" i="65"/>
  <c r="B981" i="65" s="1"/>
  <c r="A982" i="65"/>
  <c r="B982" i="65" s="1"/>
  <c r="A983" i="65"/>
  <c r="B983" i="65" s="1"/>
  <c r="A984" i="65"/>
  <c r="B984" i="65" s="1"/>
  <c r="A985" i="65"/>
  <c r="B985" i="65" s="1"/>
  <c r="A986" i="65"/>
  <c r="B986" i="65" s="1"/>
  <c r="A987" i="65"/>
  <c r="B987" i="65" s="1"/>
  <c r="A988" i="65"/>
  <c r="B988" i="65" s="1"/>
  <c r="A989" i="65"/>
  <c r="B989" i="65" s="1"/>
  <c r="A990" i="65"/>
  <c r="B990" i="65" s="1"/>
  <c r="A991" i="65"/>
  <c r="B991" i="65" s="1"/>
  <c r="A992" i="65"/>
  <c r="B992" i="65" s="1"/>
  <c r="A993" i="65"/>
  <c r="B993" i="65" s="1"/>
  <c r="A994" i="65"/>
  <c r="B994" i="65" s="1"/>
  <c r="A995" i="65"/>
  <c r="B995" i="65" s="1"/>
  <c r="A996" i="65"/>
  <c r="B996" i="65" s="1"/>
  <c r="A997" i="65"/>
  <c r="B997" i="65" s="1"/>
  <c r="A998" i="65"/>
  <c r="B998" i="65" s="1"/>
  <c r="A999" i="65"/>
  <c r="B999" i="65" s="1"/>
  <c r="A1000" i="65"/>
  <c r="B1000" i="65" s="1"/>
  <c r="A1001" i="65"/>
  <c r="B1001" i="65" s="1"/>
  <c r="A1002" i="65"/>
  <c r="B1002" i="65" s="1"/>
  <c r="A1003" i="65"/>
  <c r="B1003" i="65" s="1"/>
  <c r="A1004" i="65"/>
  <c r="B1004" i="65" s="1"/>
  <c r="A1005" i="65"/>
  <c r="B1005" i="65" s="1"/>
  <c r="A1006" i="65"/>
  <c r="B1006" i="65" s="1"/>
  <c r="A1007" i="65"/>
  <c r="B1007" i="65" s="1"/>
  <c r="A1008" i="65"/>
  <c r="B1008" i="65" s="1"/>
  <c r="A1009" i="65"/>
  <c r="B1009" i="65" s="1"/>
  <c r="A1010" i="65"/>
  <c r="B1010" i="65" s="1"/>
  <c r="A1011" i="65"/>
  <c r="B1011" i="65" s="1"/>
  <c r="A1012" i="65"/>
  <c r="B1012" i="65" s="1"/>
  <c r="A1013" i="65"/>
  <c r="B1013" i="65" s="1"/>
  <c r="A1014" i="65"/>
  <c r="B1014" i="65" s="1"/>
  <c r="A1015" i="65"/>
  <c r="B1015" i="65" s="1"/>
  <c r="A1016" i="65"/>
  <c r="B1016" i="65" s="1"/>
  <c r="A1017" i="65"/>
  <c r="B1017" i="65" s="1"/>
  <c r="A1018" i="65"/>
  <c r="B1018" i="65" s="1"/>
  <c r="A1019" i="65"/>
  <c r="B1019" i="65" s="1"/>
  <c r="A1020" i="65"/>
  <c r="B1020" i="65" s="1"/>
  <c r="A1021" i="65"/>
  <c r="B1021" i="65" s="1"/>
  <c r="A1022" i="65"/>
  <c r="B1022" i="65" s="1"/>
  <c r="A1023" i="65"/>
  <c r="B1023" i="65" s="1"/>
  <c r="A1024" i="65"/>
  <c r="B1024" i="65" s="1"/>
  <c r="A1025" i="65"/>
  <c r="B1025" i="65" s="1"/>
  <c r="A1026" i="65"/>
  <c r="B1026" i="65" s="1"/>
  <c r="A1027" i="65"/>
  <c r="B1027" i="65" s="1"/>
  <c r="A1028" i="65"/>
  <c r="B1028" i="65" s="1"/>
  <c r="A1029" i="65"/>
  <c r="B1029" i="65" s="1"/>
  <c r="A1030" i="65"/>
  <c r="B1030" i="65" s="1"/>
  <c r="A1031" i="65"/>
  <c r="B1031" i="65" s="1"/>
  <c r="A1032" i="65"/>
  <c r="B1032" i="65" s="1"/>
  <c r="A1033" i="65"/>
  <c r="B1033" i="65" s="1"/>
  <c r="A1034" i="65"/>
  <c r="B1034" i="65" s="1"/>
  <c r="A1035" i="65"/>
  <c r="B1035" i="65" s="1"/>
  <c r="A1036" i="65"/>
  <c r="B1036" i="65" s="1"/>
  <c r="A1037" i="65"/>
  <c r="B1037" i="65" s="1"/>
  <c r="A1038" i="65"/>
  <c r="B1038" i="65" s="1"/>
  <c r="A1039" i="65"/>
  <c r="B1039" i="65" s="1"/>
  <c r="A1040" i="65"/>
  <c r="B1040" i="65" s="1"/>
  <c r="A1041" i="65"/>
  <c r="B1041" i="65" s="1"/>
  <c r="A1042" i="65"/>
  <c r="B1042" i="65" s="1"/>
  <c r="A1043" i="65"/>
  <c r="B1043" i="65" s="1"/>
  <c r="A1044" i="65"/>
  <c r="B1044" i="65" s="1"/>
  <c r="A1045" i="65"/>
  <c r="B1045" i="65" s="1"/>
  <c r="A1046" i="65"/>
  <c r="B1046" i="65" s="1"/>
  <c r="A1047" i="65"/>
  <c r="B1047" i="65" s="1"/>
  <c r="A1048" i="65"/>
  <c r="B1048" i="65" s="1"/>
  <c r="A1049" i="65"/>
  <c r="B1049" i="65" s="1"/>
  <c r="A1050" i="65"/>
  <c r="B1050" i="65" s="1"/>
  <c r="A1051" i="65"/>
  <c r="B1051" i="65" s="1"/>
  <c r="A1052" i="65"/>
  <c r="B1052" i="65" s="1"/>
  <c r="A1053" i="65"/>
  <c r="B1053" i="65" s="1"/>
  <c r="A1054" i="65"/>
  <c r="B1054" i="65" s="1"/>
  <c r="A1055" i="65"/>
  <c r="B1055" i="65" s="1"/>
  <c r="A1056" i="65"/>
  <c r="B1056" i="65" s="1"/>
  <c r="A1057" i="65"/>
  <c r="B1057" i="65" s="1"/>
  <c r="A1058" i="65"/>
  <c r="B1058" i="65" s="1"/>
  <c r="A1059" i="65"/>
  <c r="B1059" i="65" s="1"/>
  <c r="A1060" i="65"/>
  <c r="B1060" i="65" s="1"/>
  <c r="A1061" i="65"/>
  <c r="B1061" i="65" s="1"/>
  <c r="A1062" i="65"/>
  <c r="B1062" i="65" s="1"/>
  <c r="A1063" i="65"/>
  <c r="B1063" i="65" s="1"/>
  <c r="A1064" i="65"/>
  <c r="B1064" i="65" s="1"/>
  <c r="A1065" i="65"/>
  <c r="B1065" i="65" s="1"/>
  <c r="A1066" i="65"/>
  <c r="B1066" i="65" s="1"/>
  <c r="A1067" i="65"/>
  <c r="B1067" i="65" s="1"/>
  <c r="A1068" i="65"/>
  <c r="B1068" i="65" s="1"/>
  <c r="A1069" i="65"/>
  <c r="B1069" i="65" s="1"/>
  <c r="A1070" i="65"/>
  <c r="B1070" i="65" s="1"/>
  <c r="A1071" i="65"/>
  <c r="B1071" i="65" s="1"/>
  <c r="A1072" i="65"/>
  <c r="B1072" i="65" s="1"/>
  <c r="A1073" i="65"/>
  <c r="B1073" i="65" s="1"/>
  <c r="A1074" i="65"/>
  <c r="B1074" i="65" s="1"/>
  <c r="A1075" i="65"/>
  <c r="B1075" i="65" s="1"/>
  <c r="A1076" i="65"/>
  <c r="B1076" i="65" s="1"/>
  <c r="A1077" i="65"/>
  <c r="B1077" i="65" s="1"/>
  <c r="A1078" i="65"/>
  <c r="B1078" i="65" s="1"/>
  <c r="A1079" i="65"/>
  <c r="B1079" i="65" s="1"/>
  <c r="A1080" i="65"/>
  <c r="B1080" i="65" s="1"/>
  <c r="A1081" i="65"/>
  <c r="B1081" i="65" s="1"/>
  <c r="A1082" i="65"/>
  <c r="B1082" i="65" s="1"/>
  <c r="A1083" i="65"/>
  <c r="B1083" i="65" s="1"/>
  <c r="A1084" i="65"/>
  <c r="B1084" i="65" s="1"/>
  <c r="A1085" i="65"/>
  <c r="B1085" i="65" s="1"/>
  <c r="A1086" i="65"/>
  <c r="B1086" i="65" s="1"/>
  <c r="A1087" i="65"/>
  <c r="B1087" i="65" s="1"/>
  <c r="A1088" i="65"/>
  <c r="B1088" i="65" s="1"/>
  <c r="A1089" i="65"/>
  <c r="B1089" i="65" s="1"/>
  <c r="A1090" i="65"/>
  <c r="B1090" i="65" s="1"/>
  <c r="A1091" i="65"/>
  <c r="B1091" i="65" s="1"/>
  <c r="A1092" i="65"/>
  <c r="B1092" i="65" s="1"/>
  <c r="A1093" i="65"/>
  <c r="B1093" i="65" s="1"/>
  <c r="A1094" i="65"/>
  <c r="B1094" i="65" s="1"/>
  <c r="A1095" i="65"/>
  <c r="B1095" i="65" s="1"/>
  <c r="A1096" i="65"/>
  <c r="B1096" i="65" s="1"/>
  <c r="A1097" i="65"/>
  <c r="B1097" i="65" s="1"/>
  <c r="A1098" i="65"/>
  <c r="B1098" i="65" s="1"/>
  <c r="A1099" i="65"/>
  <c r="B1099" i="65" s="1"/>
  <c r="A1100" i="65"/>
  <c r="B1100" i="65" s="1"/>
  <c r="A1101" i="65"/>
  <c r="B1101" i="65" s="1"/>
  <c r="A1102" i="65"/>
  <c r="B1102" i="65" s="1"/>
  <c r="A1103" i="65"/>
  <c r="B1103" i="65" s="1"/>
  <c r="A1104" i="65"/>
  <c r="B1104" i="65" s="1"/>
  <c r="A1105" i="65"/>
  <c r="B1105" i="65" s="1"/>
  <c r="A1106" i="65"/>
  <c r="B1106" i="65" s="1"/>
  <c r="A1107" i="65"/>
  <c r="B1107" i="65" s="1"/>
  <c r="A1108" i="65"/>
  <c r="B1108" i="65" s="1"/>
  <c r="A1109" i="65"/>
  <c r="B1109" i="65" s="1"/>
  <c r="A1110" i="65"/>
  <c r="B1110" i="65" s="1"/>
  <c r="A1111" i="65"/>
  <c r="B1111" i="65" s="1"/>
  <c r="A1112" i="65"/>
  <c r="B1112" i="65" s="1"/>
  <c r="A1113" i="65"/>
  <c r="B1113" i="65" s="1"/>
  <c r="A1114" i="65"/>
  <c r="B1114" i="65" s="1"/>
  <c r="A1115" i="65"/>
  <c r="B1115" i="65" s="1"/>
  <c r="A1116" i="65"/>
  <c r="B1116" i="65" s="1"/>
  <c r="A1117" i="65"/>
  <c r="B1117" i="65" s="1"/>
  <c r="A1118" i="65"/>
  <c r="B1118" i="65" s="1"/>
  <c r="A1119" i="65"/>
  <c r="B1119" i="65" s="1"/>
  <c r="A1120" i="65"/>
  <c r="B1120" i="65" s="1"/>
  <c r="A1121" i="65"/>
  <c r="B1121" i="65" s="1"/>
  <c r="A1122" i="65"/>
  <c r="B1122" i="65" s="1"/>
  <c r="A1123" i="65"/>
  <c r="B1123" i="65" s="1"/>
  <c r="A1124" i="65"/>
  <c r="B1124" i="65" s="1"/>
  <c r="A1125" i="65"/>
  <c r="B1125" i="65" s="1"/>
  <c r="A1126" i="65"/>
  <c r="B1126" i="65" s="1"/>
  <c r="A1127" i="65"/>
  <c r="B1127" i="65" s="1"/>
  <c r="A1128" i="65"/>
  <c r="B1128" i="65" s="1"/>
  <c r="A1129" i="65"/>
  <c r="B1129" i="65" s="1"/>
  <c r="A1130" i="65"/>
  <c r="B1130" i="65" s="1"/>
  <c r="A1131" i="65"/>
  <c r="B1131" i="65" s="1"/>
  <c r="A1132" i="65"/>
  <c r="B1132" i="65" s="1"/>
  <c r="A1133" i="65"/>
  <c r="B1133" i="65" s="1"/>
  <c r="A1134" i="65"/>
  <c r="B1134" i="65" s="1"/>
  <c r="A1135" i="65"/>
  <c r="B1135" i="65" s="1"/>
  <c r="A1136" i="65"/>
  <c r="B1136" i="65" s="1"/>
  <c r="A1137" i="65"/>
  <c r="B1137" i="65" s="1"/>
  <c r="A1138" i="65"/>
  <c r="B1138" i="65" s="1"/>
  <c r="A1139" i="65"/>
  <c r="B1139" i="65" s="1"/>
  <c r="A1140" i="65"/>
  <c r="B1140" i="65" s="1"/>
  <c r="A1141" i="65"/>
  <c r="B1141" i="65" s="1"/>
  <c r="A1142" i="65"/>
  <c r="B1142" i="65" s="1"/>
  <c r="A1143" i="65"/>
  <c r="B1143" i="65" s="1"/>
  <c r="A1144" i="65"/>
  <c r="B1144" i="65" s="1"/>
  <c r="A1145" i="65"/>
  <c r="B1145" i="65" s="1"/>
  <c r="A1146" i="65"/>
  <c r="B1146" i="65" s="1"/>
  <c r="A1147" i="65"/>
  <c r="B1147" i="65" s="1"/>
  <c r="A1148" i="65"/>
  <c r="B1148" i="65" s="1"/>
  <c r="A1149" i="65"/>
  <c r="B1149" i="65" s="1"/>
  <c r="A1150" i="65"/>
  <c r="B1150" i="65" s="1"/>
  <c r="A1151" i="65"/>
  <c r="B1151" i="65" s="1"/>
  <c r="A1152" i="65"/>
  <c r="B1152" i="65" s="1"/>
  <c r="A1153" i="65"/>
  <c r="B1153" i="65" s="1"/>
  <c r="A1154" i="65"/>
  <c r="B1154" i="65" s="1"/>
  <c r="A1155" i="65"/>
  <c r="B1155" i="65" s="1"/>
  <c r="A1156" i="65"/>
  <c r="B1156" i="65" s="1"/>
  <c r="A1157" i="65"/>
  <c r="B1157" i="65" s="1"/>
  <c r="A1158" i="65"/>
  <c r="B1158" i="65" s="1"/>
  <c r="A1159" i="65"/>
  <c r="B1159" i="65" s="1"/>
  <c r="A1160" i="65"/>
  <c r="B1160" i="65" s="1"/>
  <c r="A1161" i="65"/>
  <c r="B1161" i="65" s="1"/>
  <c r="A1162" i="65"/>
  <c r="B1162" i="65" s="1"/>
  <c r="A1163" i="65"/>
  <c r="B1163" i="65" s="1"/>
  <c r="A1164" i="65"/>
  <c r="B1164" i="65" s="1"/>
  <c r="A1165" i="65"/>
  <c r="B1165" i="65" s="1"/>
  <c r="A1166" i="65"/>
  <c r="B1166" i="65" s="1"/>
  <c r="A1167" i="65"/>
  <c r="B1167" i="65" s="1"/>
  <c r="A1168" i="65"/>
  <c r="B1168" i="65" s="1"/>
  <c r="A1169" i="65"/>
  <c r="B1169" i="65" s="1"/>
  <c r="A1170" i="65"/>
  <c r="B1170" i="65" s="1"/>
  <c r="A1171" i="65"/>
  <c r="B1171" i="65" s="1"/>
  <c r="A1172" i="65"/>
  <c r="B1172" i="65" s="1"/>
  <c r="A1173" i="65"/>
  <c r="B1173" i="65" s="1"/>
  <c r="A1174" i="65"/>
  <c r="B1174" i="65" s="1"/>
  <c r="A1175" i="65"/>
  <c r="B1175" i="65" s="1"/>
  <c r="A1176" i="65"/>
  <c r="B1176" i="65" s="1"/>
  <c r="A1177" i="65"/>
  <c r="B1177" i="65" s="1"/>
  <c r="A1178" i="65"/>
  <c r="B1178" i="65" s="1"/>
  <c r="A1179" i="65"/>
  <c r="B1179" i="65" s="1"/>
  <c r="A1180" i="65"/>
  <c r="B1180" i="65" s="1"/>
  <c r="A1181" i="65"/>
  <c r="B1181" i="65" s="1"/>
  <c r="A1182" i="65"/>
  <c r="B1182" i="65" s="1"/>
  <c r="A1183" i="65"/>
  <c r="B1183" i="65" s="1"/>
  <c r="A1184" i="65"/>
  <c r="B1184" i="65" s="1"/>
  <c r="A1185" i="65"/>
  <c r="B1185" i="65" s="1"/>
  <c r="A1186" i="65"/>
  <c r="B1186" i="65" s="1"/>
  <c r="A1187" i="65"/>
  <c r="B1187" i="65" s="1"/>
  <c r="A1188" i="65"/>
  <c r="B1188" i="65" s="1"/>
  <c r="A1189" i="65"/>
  <c r="B1189" i="65" s="1"/>
  <c r="A1190" i="65"/>
  <c r="B1190" i="65" s="1"/>
  <c r="A1191" i="65"/>
  <c r="B1191" i="65" s="1"/>
  <c r="A1192" i="65"/>
  <c r="B1192" i="65" s="1"/>
  <c r="A1193" i="65"/>
  <c r="B1193" i="65" s="1"/>
  <c r="A1194" i="65"/>
  <c r="B1194" i="65" s="1"/>
  <c r="A1195" i="65"/>
  <c r="B1195" i="65" s="1"/>
  <c r="A1196" i="65"/>
  <c r="B1196" i="65" s="1"/>
  <c r="A1197" i="65"/>
  <c r="B1197" i="65" s="1"/>
  <c r="A1198" i="65"/>
  <c r="B1198" i="65" s="1"/>
  <c r="A1199" i="65"/>
  <c r="B1199" i="65" s="1"/>
  <c r="A1200" i="65"/>
  <c r="B1200" i="65" s="1"/>
  <c r="A1201" i="65"/>
  <c r="B1201" i="65" s="1"/>
  <c r="A1202" i="65"/>
  <c r="B1202" i="65" s="1"/>
  <c r="A1203" i="65"/>
  <c r="B1203" i="65" s="1"/>
  <c r="A1204" i="65"/>
  <c r="B1204" i="65" s="1"/>
  <c r="A1205" i="65"/>
  <c r="B1205" i="65" s="1"/>
  <c r="A1206" i="65"/>
  <c r="B1206" i="65" s="1"/>
  <c r="A1207" i="65"/>
  <c r="B1207" i="65" s="1"/>
  <c r="A1208" i="65"/>
  <c r="B1208" i="65" s="1"/>
  <c r="A1209" i="65"/>
  <c r="B1209" i="65" s="1"/>
  <c r="A1210" i="65"/>
  <c r="B1210" i="65" s="1"/>
  <c r="A1211" i="65"/>
  <c r="B1211" i="65" s="1"/>
  <c r="A1212" i="65"/>
  <c r="B1212" i="65" s="1"/>
  <c r="A1213" i="65"/>
  <c r="B1213" i="65" s="1"/>
  <c r="A1214" i="65"/>
  <c r="B1214" i="65" s="1"/>
  <c r="A1215" i="65"/>
  <c r="B1215" i="65" s="1"/>
  <c r="A1216" i="65"/>
  <c r="B1216" i="65" s="1"/>
  <c r="A1217" i="65"/>
  <c r="B1217" i="65" s="1"/>
  <c r="A1218" i="65"/>
  <c r="B1218" i="65" s="1"/>
  <c r="A1219" i="65"/>
  <c r="B1219" i="65" s="1"/>
  <c r="A1220" i="65"/>
  <c r="B1220" i="65" s="1"/>
  <c r="A1221" i="65"/>
  <c r="B1221" i="65" s="1"/>
  <c r="A1222" i="65"/>
  <c r="B1222" i="65" s="1"/>
  <c r="A1223" i="65"/>
  <c r="B1223" i="65" s="1"/>
  <c r="A1224" i="65"/>
  <c r="B1224" i="65" s="1"/>
  <c r="A1225" i="65"/>
  <c r="B1225" i="65" s="1"/>
  <c r="A1226" i="65"/>
  <c r="B1226" i="65" s="1"/>
  <c r="A1227" i="65"/>
  <c r="B1227" i="65" s="1"/>
  <c r="A1228" i="65"/>
  <c r="B1228" i="65" s="1"/>
  <c r="A1229" i="65"/>
  <c r="B1229" i="65" s="1"/>
  <c r="A1230" i="65"/>
  <c r="B1230" i="65" s="1"/>
  <c r="A1231" i="65"/>
  <c r="B1231" i="65" s="1"/>
  <c r="A1232" i="65"/>
  <c r="B1232" i="65" s="1"/>
  <c r="A1233" i="65"/>
  <c r="B1233" i="65" s="1"/>
  <c r="A1234" i="65"/>
  <c r="B1234" i="65" s="1"/>
  <c r="A1235" i="65"/>
  <c r="B1235" i="65" s="1"/>
  <c r="A1236" i="65"/>
  <c r="B1236" i="65" s="1"/>
  <c r="A1237" i="65"/>
  <c r="B1237" i="65" s="1"/>
  <c r="A1238" i="65"/>
  <c r="B1238" i="65" s="1"/>
  <c r="A1239" i="65"/>
  <c r="B1239" i="65" s="1"/>
  <c r="A1240" i="65"/>
  <c r="B1240" i="65" s="1"/>
  <c r="A1241" i="65"/>
  <c r="B1241" i="65" s="1"/>
  <c r="A1242" i="65"/>
  <c r="B1242" i="65" s="1"/>
  <c r="A1243" i="65"/>
  <c r="B1243" i="65" s="1"/>
  <c r="A1244" i="65"/>
  <c r="B1244" i="65" s="1"/>
  <c r="A1245" i="65"/>
  <c r="B1245" i="65" s="1"/>
  <c r="A1246" i="65"/>
  <c r="B1246" i="65" s="1"/>
  <c r="A1247" i="65"/>
  <c r="B1247" i="65" s="1"/>
  <c r="A1248" i="65"/>
  <c r="B1248" i="65" s="1"/>
  <c r="A1249" i="65"/>
  <c r="B1249" i="65" s="1"/>
  <c r="A1250" i="65"/>
  <c r="B1250" i="65" s="1"/>
  <c r="A1251" i="65"/>
  <c r="B1251" i="65" s="1"/>
  <c r="A1252" i="65"/>
  <c r="B1252" i="65" s="1"/>
  <c r="A1253" i="65"/>
  <c r="B1253" i="65" s="1"/>
  <c r="A1254" i="65"/>
  <c r="B1254" i="65" s="1"/>
  <c r="A1255" i="65"/>
  <c r="B1255" i="65" s="1"/>
  <c r="A1256" i="65"/>
  <c r="B1256" i="65" s="1"/>
  <c r="A1257" i="65"/>
  <c r="B1257" i="65" s="1"/>
  <c r="A1258" i="65"/>
  <c r="B1258" i="65" s="1"/>
  <c r="A1259" i="65"/>
  <c r="B1259" i="65" s="1"/>
  <c r="A1260" i="65"/>
  <c r="B1260" i="65" s="1"/>
  <c r="A1261" i="65"/>
  <c r="B1261" i="65" s="1"/>
  <c r="A1262" i="65"/>
  <c r="B1262" i="65" s="1"/>
  <c r="A1263" i="65"/>
  <c r="B1263" i="65" s="1"/>
  <c r="A1264" i="65"/>
  <c r="B1264" i="65" s="1"/>
  <c r="A1265" i="65"/>
  <c r="B1265" i="65" s="1"/>
  <c r="A1266" i="65"/>
  <c r="B1266" i="65" s="1"/>
  <c r="A1267" i="65"/>
  <c r="B1267" i="65" s="1"/>
  <c r="A1268" i="65"/>
  <c r="B1268" i="65" s="1"/>
  <c r="A1269" i="65"/>
  <c r="B1269" i="65" s="1"/>
  <c r="A1270" i="65"/>
  <c r="B1270" i="65" s="1"/>
  <c r="A1271" i="65"/>
  <c r="B1271" i="65" s="1"/>
  <c r="A1272" i="65"/>
  <c r="B1272" i="65" s="1"/>
  <c r="A1273" i="65"/>
  <c r="B1273" i="65" s="1"/>
  <c r="A1274" i="65"/>
  <c r="B1274" i="65" s="1"/>
  <c r="A1275" i="65"/>
  <c r="B1275" i="65" s="1"/>
  <c r="A1276" i="65"/>
  <c r="B1276" i="65" s="1"/>
  <c r="A1277" i="65"/>
  <c r="B1277" i="65" s="1"/>
  <c r="A1278" i="65"/>
  <c r="B1278" i="65" s="1"/>
  <c r="A1279" i="65"/>
  <c r="B1279" i="65" s="1"/>
  <c r="A1280" i="65"/>
  <c r="B1280" i="65" s="1"/>
  <c r="A1281" i="65"/>
  <c r="B1281" i="65" s="1"/>
  <c r="A1282" i="65"/>
  <c r="B1282" i="65" s="1"/>
  <c r="A1283" i="65"/>
  <c r="B1283" i="65" s="1"/>
  <c r="A1284" i="65"/>
  <c r="B1284" i="65" s="1"/>
  <c r="A1285" i="65"/>
  <c r="B1285" i="65" s="1"/>
  <c r="A1286" i="65"/>
  <c r="B1286" i="65" s="1"/>
  <c r="A1287" i="65"/>
  <c r="B1287" i="65" s="1"/>
  <c r="A1288" i="65"/>
  <c r="B1288" i="65" s="1"/>
  <c r="A1289" i="65"/>
  <c r="B1289" i="65" s="1"/>
  <c r="A1290" i="65"/>
  <c r="B1290" i="65" s="1"/>
  <c r="A1291" i="65"/>
  <c r="B1291" i="65" s="1"/>
  <c r="A1292" i="65"/>
  <c r="B1292" i="65" s="1"/>
  <c r="A1293" i="65"/>
  <c r="B1293" i="65" s="1"/>
  <c r="A1294" i="65"/>
  <c r="B1294" i="65" s="1"/>
  <c r="A1295" i="65"/>
  <c r="B1295" i="65" s="1"/>
  <c r="A1296" i="65"/>
  <c r="B1296" i="65" s="1"/>
  <c r="A1297" i="65"/>
  <c r="B1297" i="65" s="1"/>
  <c r="A1298" i="65"/>
  <c r="B1298" i="65" s="1"/>
  <c r="A1299" i="65"/>
  <c r="B1299" i="65" s="1"/>
  <c r="A1300" i="65"/>
  <c r="B1300" i="65" s="1"/>
  <c r="A1301" i="65"/>
  <c r="B1301" i="65" s="1"/>
  <c r="A1302" i="65"/>
  <c r="B1302" i="65" s="1"/>
  <c r="A1303" i="65"/>
  <c r="B1303" i="65" s="1"/>
  <c r="A1304" i="65"/>
  <c r="B1304" i="65" s="1"/>
  <c r="A1305" i="65"/>
  <c r="B1305" i="65" s="1"/>
  <c r="A1306" i="65"/>
  <c r="B1306" i="65" s="1"/>
  <c r="A1307" i="65"/>
  <c r="B1307" i="65" s="1"/>
  <c r="A1308" i="65"/>
  <c r="B1308" i="65" s="1"/>
  <c r="A1309" i="65"/>
  <c r="B1309" i="65" s="1"/>
  <c r="A1310" i="65"/>
  <c r="B1310" i="65" s="1"/>
  <c r="A1311" i="65"/>
  <c r="B1311" i="65" s="1"/>
  <c r="A1312" i="65"/>
  <c r="B1312" i="65" s="1"/>
  <c r="A1313" i="65"/>
  <c r="B1313" i="65" s="1"/>
  <c r="A1314" i="65"/>
  <c r="B1314" i="65" s="1"/>
  <c r="A1315" i="65"/>
  <c r="B1315" i="65" s="1"/>
  <c r="A1316" i="65"/>
  <c r="B1316" i="65" s="1"/>
  <c r="A1317" i="65"/>
  <c r="B1317" i="65" s="1"/>
  <c r="A1318" i="65"/>
  <c r="B1318" i="65" s="1"/>
  <c r="A1319" i="65"/>
  <c r="B1319" i="65" s="1"/>
  <c r="A1320" i="65"/>
  <c r="B1320" i="65" s="1"/>
  <c r="A1321" i="65"/>
  <c r="B1321" i="65" s="1"/>
  <c r="A1322" i="65"/>
  <c r="B1322" i="65" s="1"/>
  <c r="A1323" i="65"/>
  <c r="B1323" i="65" s="1"/>
  <c r="A1324" i="65"/>
  <c r="B1324" i="65" s="1"/>
  <c r="A1325" i="65"/>
  <c r="B1325" i="65" s="1"/>
  <c r="A1326" i="65"/>
  <c r="B1326" i="65" s="1"/>
  <c r="A1327" i="65"/>
  <c r="B1327" i="65" s="1"/>
  <c r="A1328" i="65"/>
  <c r="B1328" i="65" s="1"/>
  <c r="A1329" i="65"/>
  <c r="B1329" i="65" s="1"/>
  <c r="A1330" i="65"/>
  <c r="B1330" i="65" s="1"/>
  <c r="A1331" i="65"/>
  <c r="B1331" i="65" s="1"/>
  <c r="A1332" i="65"/>
  <c r="B1332" i="65" s="1"/>
  <c r="A1333" i="65"/>
  <c r="B1333" i="65" s="1"/>
  <c r="A1334" i="65"/>
  <c r="B1334" i="65" s="1"/>
  <c r="A1335" i="65"/>
  <c r="B1335" i="65" s="1"/>
  <c r="A1336" i="65"/>
  <c r="B1336" i="65" s="1"/>
  <c r="A1337" i="65"/>
  <c r="B1337" i="65" s="1"/>
  <c r="A1338" i="65"/>
  <c r="B1338" i="65" s="1"/>
  <c r="A1339" i="65"/>
  <c r="B1339" i="65" s="1"/>
  <c r="A1340" i="65"/>
  <c r="B1340" i="65" s="1"/>
  <c r="A1341" i="65"/>
  <c r="B1341" i="65" s="1"/>
  <c r="A1342" i="65"/>
  <c r="B1342" i="65" s="1"/>
  <c r="A1343" i="65"/>
  <c r="B1343" i="65" s="1"/>
  <c r="A1344" i="65"/>
  <c r="B1344" i="65" s="1"/>
  <c r="A1345" i="65"/>
  <c r="B1345" i="65" s="1"/>
  <c r="A1346" i="65"/>
  <c r="B1346" i="65" s="1"/>
  <c r="A1347" i="65"/>
  <c r="B1347" i="65" s="1"/>
  <c r="A1348" i="65"/>
  <c r="B1348" i="65" s="1"/>
  <c r="A1349" i="65"/>
  <c r="B1349" i="65" s="1"/>
  <c r="A1350" i="65"/>
  <c r="B1350" i="65" s="1"/>
  <c r="A1351" i="65"/>
  <c r="B1351" i="65" s="1"/>
  <c r="A1352" i="65"/>
  <c r="B1352" i="65" s="1"/>
  <c r="A1353" i="65"/>
  <c r="B1353" i="65" s="1"/>
  <c r="A1354" i="65"/>
  <c r="B1354" i="65" s="1"/>
  <c r="A1355" i="65"/>
  <c r="B1355" i="65" s="1"/>
  <c r="A1356" i="65"/>
  <c r="B1356" i="65" s="1"/>
  <c r="A1357" i="65"/>
  <c r="B1357" i="65" s="1"/>
  <c r="A1358" i="65"/>
  <c r="B1358" i="65" s="1"/>
  <c r="A1359" i="65"/>
  <c r="B1359" i="65" s="1"/>
  <c r="A1360" i="65"/>
  <c r="B1360" i="65" s="1"/>
  <c r="A1361" i="65"/>
  <c r="B1361" i="65" s="1"/>
  <c r="A1362" i="65"/>
  <c r="B1362" i="65" s="1"/>
  <c r="A1363" i="65"/>
  <c r="B1363" i="65" s="1"/>
  <c r="A1364" i="65"/>
  <c r="B1364" i="65" s="1"/>
  <c r="A1365" i="65"/>
  <c r="B1365" i="65" s="1"/>
  <c r="A1366" i="65"/>
  <c r="B1366" i="65" s="1"/>
  <c r="A1367" i="65"/>
  <c r="B1367" i="65" s="1"/>
  <c r="A1368" i="65"/>
  <c r="B1368" i="65" s="1"/>
  <c r="A1369" i="65"/>
  <c r="B1369" i="65" s="1"/>
  <c r="A1370" i="65"/>
  <c r="B1370" i="65" s="1"/>
  <c r="A1371" i="65"/>
  <c r="B1371" i="65" s="1"/>
  <c r="A1372" i="65"/>
  <c r="B1372" i="65" s="1"/>
  <c r="A1373" i="65"/>
  <c r="B1373" i="65" s="1"/>
  <c r="A1374" i="65"/>
  <c r="B1374" i="65" s="1"/>
  <c r="A1375" i="65"/>
  <c r="B1375" i="65" s="1"/>
  <c r="A1376" i="65"/>
  <c r="B1376" i="65" s="1"/>
  <c r="A1377" i="65"/>
  <c r="B1377" i="65" s="1"/>
  <c r="A1378" i="65"/>
  <c r="B1378" i="65" s="1"/>
  <c r="A1379" i="65"/>
  <c r="B1379" i="65" s="1"/>
  <c r="A1380" i="65"/>
  <c r="B1380" i="65" s="1"/>
  <c r="A1381" i="65"/>
  <c r="B1381" i="65" s="1"/>
  <c r="A1382" i="65"/>
  <c r="B1382" i="65" s="1"/>
  <c r="A1383" i="65"/>
  <c r="B1383" i="65" s="1"/>
  <c r="A1384" i="65"/>
  <c r="A1385" i="65"/>
  <c r="B1385" i="65" s="1"/>
  <c r="A1386" i="65"/>
  <c r="B1386" i="65" s="1"/>
  <c r="A1387" i="65"/>
  <c r="B1387" i="65" s="1"/>
  <c r="A1388" i="65"/>
  <c r="B1388" i="65" s="1"/>
  <c r="A1389" i="65"/>
  <c r="B1389" i="65" s="1"/>
  <c r="A1390" i="65"/>
  <c r="B1390" i="65" s="1"/>
  <c r="A1391" i="65"/>
  <c r="B1391" i="65" s="1"/>
  <c r="A1392" i="65"/>
  <c r="B1392" i="65" s="1"/>
  <c r="A1393" i="65"/>
  <c r="B1393" i="65" s="1"/>
  <c r="A1394" i="65"/>
  <c r="B1394" i="65" s="1"/>
  <c r="A1395" i="65"/>
  <c r="B1395" i="65" s="1"/>
  <c r="A1396" i="65"/>
  <c r="B1396" i="65" s="1"/>
  <c r="A1397" i="65"/>
  <c r="B1397" i="65" s="1"/>
  <c r="A1398" i="65"/>
  <c r="B1398" i="65" s="1"/>
  <c r="A1399" i="65"/>
  <c r="B1399" i="65" s="1"/>
  <c r="A1400" i="65"/>
  <c r="B1400" i="65" s="1"/>
  <c r="A1401" i="65"/>
  <c r="B1401" i="65" s="1"/>
  <c r="A1402" i="65"/>
  <c r="B1402" i="65" s="1"/>
  <c r="A1403" i="65"/>
  <c r="B1403" i="65" s="1"/>
  <c r="A1404" i="65"/>
  <c r="B1404" i="65" s="1"/>
  <c r="A1405" i="65"/>
  <c r="B1405" i="65" s="1"/>
  <c r="A1406" i="65"/>
  <c r="B1406" i="65" s="1"/>
  <c r="A1407" i="65"/>
  <c r="B1407" i="65" s="1"/>
  <c r="A1408" i="65"/>
  <c r="B1408" i="65" s="1"/>
  <c r="A1409" i="65"/>
  <c r="B1409" i="65" s="1"/>
  <c r="A1410" i="65"/>
  <c r="B1410" i="65" s="1"/>
  <c r="A1411" i="65"/>
  <c r="B1411" i="65" s="1"/>
  <c r="A1412" i="65"/>
  <c r="B1412" i="65" s="1"/>
  <c r="A1413" i="65"/>
  <c r="B1413" i="65" s="1"/>
  <c r="A1414" i="65"/>
  <c r="B1414" i="65" s="1"/>
  <c r="A1415" i="65"/>
  <c r="B1415" i="65" s="1"/>
  <c r="A1416" i="65"/>
  <c r="B1416" i="65" s="1"/>
  <c r="A1417" i="65"/>
  <c r="B1417" i="65" s="1"/>
  <c r="A1418" i="65"/>
  <c r="B1418" i="65" s="1"/>
  <c r="A1419" i="65"/>
  <c r="B1419" i="65" s="1"/>
  <c r="A1420" i="65"/>
  <c r="B1420" i="65" s="1"/>
  <c r="A1421" i="65"/>
  <c r="B1421" i="65" s="1"/>
  <c r="A1422" i="65"/>
  <c r="B1422" i="65" s="1"/>
  <c r="A1423" i="65"/>
  <c r="B1423" i="65" s="1"/>
  <c r="A1424" i="65"/>
  <c r="B1424" i="65" s="1"/>
  <c r="A1425" i="65"/>
  <c r="B1425" i="65" s="1"/>
  <c r="A1426" i="65"/>
  <c r="B1426" i="65" s="1"/>
  <c r="A1427" i="65"/>
  <c r="B1427" i="65" s="1"/>
  <c r="A1428" i="65"/>
  <c r="B1428" i="65" s="1"/>
  <c r="A1429" i="65"/>
  <c r="B1429" i="65" s="1"/>
  <c r="A1430" i="65"/>
  <c r="B1430" i="65" s="1"/>
  <c r="A1431" i="65"/>
  <c r="B1431" i="65" s="1"/>
  <c r="A1432" i="65"/>
  <c r="B1432" i="65" s="1"/>
  <c r="A1433" i="65"/>
  <c r="B1433" i="65" s="1"/>
  <c r="A1434" i="65"/>
  <c r="B1434" i="65" s="1"/>
  <c r="A1435" i="65"/>
  <c r="B1435" i="65" s="1"/>
  <c r="A1436" i="65"/>
  <c r="B1436" i="65" s="1"/>
  <c r="A1437" i="65"/>
  <c r="B1437" i="65" s="1"/>
  <c r="A1438" i="65"/>
  <c r="B1438" i="65" s="1"/>
  <c r="A1439" i="65"/>
  <c r="B1439" i="65" s="1"/>
  <c r="A1440" i="65"/>
  <c r="B1440" i="65" s="1"/>
  <c r="A1441" i="65"/>
  <c r="B1441" i="65" s="1"/>
  <c r="A1442" i="65"/>
  <c r="B1442" i="65" s="1"/>
  <c r="A1443" i="65"/>
  <c r="B1443" i="65" s="1"/>
  <c r="A1444" i="65"/>
  <c r="B1444" i="65" s="1"/>
  <c r="A1445" i="65"/>
  <c r="B1445" i="65" s="1"/>
  <c r="A1446" i="65"/>
  <c r="B1446" i="65" s="1"/>
  <c r="A1447" i="65"/>
  <c r="B1447" i="65" s="1"/>
  <c r="A1448" i="65"/>
  <c r="B1448" i="65" s="1"/>
  <c r="A1449" i="65"/>
  <c r="B1449" i="65" s="1"/>
  <c r="A1450" i="65"/>
  <c r="B1450" i="65" s="1"/>
  <c r="A1451" i="65"/>
  <c r="B1451" i="65" s="1"/>
  <c r="A1452" i="65"/>
  <c r="B1452" i="65" s="1"/>
  <c r="A1453" i="65"/>
  <c r="B1453" i="65" s="1"/>
  <c r="A1454" i="65"/>
  <c r="B1454" i="65" s="1"/>
  <c r="A1455" i="65"/>
  <c r="B1455" i="65" s="1"/>
  <c r="A1456" i="65"/>
  <c r="B1456" i="65" s="1"/>
  <c r="A1457" i="65"/>
  <c r="B1457" i="65" s="1"/>
  <c r="A1458" i="65"/>
  <c r="B1458" i="65" s="1"/>
  <c r="A1459" i="65"/>
  <c r="B1459" i="65" s="1"/>
  <c r="A1460" i="65"/>
  <c r="B1460" i="65" s="1"/>
  <c r="A1461" i="65"/>
  <c r="B1461" i="65" s="1"/>
  <c r="A1462" i="65"/>
  <c r="B1462" i="65" s="1"/>
  <c r="A1463" i="65"/>
  <c r="B1463" i="65" s="1"/>
  <c r="A1464" i="65"/>
  <c r="B1464" i="65" s="1"/>
  <c r="A1465" i="65"/>
  <c r="B1465" i="65" s="1"/>
  <c r="A1466" i="65"/>
  <c r="B1466" i="65" s="1"/>
  <c r="A1467" i="65"/>
  <c r="B1467" i="65" s="1"/>
  <c r="A1468" i="65"/>
  <c r="B1468" i="65" s="1"/>
  <c r="A1469" i="65"/>
  <c r="B1469" i="65" s="1"/>
  <c r="A1470" i="65"/>
  <c r="B1470" i="65" s="1"/>
  <c r="A1471" i="65"/>
  <c r="B1471" i="65" s="1"/>
  <c r="A1472" i="65"/>
  <c r="B1472" i="65" s="1"/>
  <c r="A1473" i="65"/>
  <c r="B1473" i="65" s="1"/>
  <c r="A1474" i="65"/>
  <c r="B1474" i="65" s="1"/>
  <c r="A1475" i="65"/>
  <c r="B1475" i="65" s="1"/>
  <c r="A1476" i="65"/>
  <c r="B1476" i="65" s="1"/>
  <c r="A1477" i="65"/>
  <c r="B1477" i="65" s="1"/>
  <c r="A1478" i="65"/>
  <c r="B1478" i="65" s="1"/>
  <c r="A1479" i="65"/>
  <c r="B1479" i="65" s="1"/>
  <c r="A1480" i="65"/>
  <c r="B1480" i="65" s="1"/>
  <c r="A1481" i="65"/>
  <c r="B1481" i="65" s="1"/>
  <c r="A1482" i="65"/>
  <c r="B1482" i="65" s="1"/>
  <c r="A1483" i="65"/>
  <c r="B1483" i="65" s="1"/>
  <c r="A1484" i="65"/>
  <c r="B1484" i="65" s="1"/>
  <c r="A1485" i="65"/>
  <c r="B1485" i="65" s="1"/>
  <c r="A1486" i="65"/>
  <c r="B1486" i="65" s="1"/>
  <c r="A1487" i="65"/>
  <c r="B1487" i="65" s="1"/>
  <c r="A1488" i="65"/>
  <c r="B1488" i="65" s="1"/>
  <c r="A1489" i="65"/>
  <c r="B1489" i="65" s="1"/>
  <c r="A1490" i="65"/>
  <c r="B1490" i="65" s="1"/>
  <c r="A1491" i="65"/>
  <c r="B1491" i="65" s="1"/>
  <c r="A1492" i="65"/>
  <c r="B1492" i="65" s="1"/>
  <c r="A1493" i="65"/>
  <c r="B1493" i="65" s="1"/>
  <c r="A1494" i="65"/>
  <c r="B1494" i="65" s="1"/>
  <c r="A1495" i="65"/>
  <c r="B1495" i="65" s="1"/>
  <c r="A1496" i="65"/>
  <c r="B1496" i="65" s="1"/>
  <c r="A1497" i="65"/>
  <c r="B1497" i="65" s="1"/>
  <c r="A1498" i="65"/>
  <c r="B1498" i="65" s="1"/>
  <c r="A1499" i="65"/>
  <c r="B1499" i="65" s="1"/>
  <c r="A1500" i="65"/>
  <c r="B1500" i="65" s="1"/>
  <c r="A1501" i="65"/>
  <c r="B1501" i="65" s="1"/>
  <c r="A1502" i="65"/>
  <c r="B1502" i="65" s="1"/>
  <c r="A1503" i="65"/>
  <c r="B1503" i="65" s="1"/>
  <c r="A1504" i="65"/>
  <c r="B1504" i="65" s="1"/>
  <c r="A1505" i="65"/>
  <c r="B1505" i="65" s="1"/>
  <c r="A1506" i="65"/>
  <c r="B1506" i="65" s="1"/>
  <c r="A1507" i="65"/>
  <c r="B1507" i="65" s="1"/>
  <c r="A1508" i="65"/>
  <c r="B1508" i="65" s="1"/>
  <c r="A1509" i="65"/>
  <c r="B1509" i="65" s="1"/>
  <c r="A1510" i="65"/>
  <c r="B1510" i="65" s="1"/>
  <c r="A1511" i="65"/>
  <c r="B1511" i="65" s="1"/>
  <c r="A1512" i="65"/>
  <c r="B1512" i="65" s="1"/>
  <c r="A1513" i="65"/>
  <c r="B1513" i="65" s="1"/>
  <c r="A1514" i="65"/>
  <c r="B1514" i="65" s="1"/>
  <c r="A1515" i="65"/>
  <c r="B1515" i="65" s="1"/>
  <c r="A1516" i="65"/>
  <c r="B1516" i="65" s="1"/>
  <c r="A1517" i="65"/>
  <c r="B1517" i="65" s="1"/>
  <c r="A1518" i="65"/>
  <c r="B1518" i="65" s="1"/>
  <c r="A1519" i="65"/>
  <c r="B1519" i="65" s="1"/>
  <c r="A1520" i="65"/>
  <c r="B1520" i="65" s="1"/>
  <c r="A1521" i="65"/>
  <c r="B1521" i="65" s="1"/>
  <c r="A1522" i="65"/>
  <c r="B1522" i="65" s="1"/>
  <c r="A1523" i="65"/>
  <c r="B1523" i="65" s="1"/>
  <c r="A1524" i="65"/>
  <c r="B1524" i="65" s="1"/>
  <c r="A1525" i="65"/>
  <c r="B1525" i="65" s="1"/>
  <c r="A1526" i="65"/>
  <c r="B1526" i="65" s="1"/>
  <c r="A1527" i="65"/>
  <c r="B1527" i="65" s="1"/>
  <c r="A1528" i="65"/>
  <c r="B1528" i="65" s="1"/>
  <c r="A1529" i="65"/>
  <c r="B1529" i="65" s="1"/>
  <c r="A1530" i="65"/>
  <c r="B1530" i="65" s="1"/>
  <c r="A1531" i="65"/>
  <c r="B1531" i="65" s="1"/>
  <c r="A1532" i="65"/>
  <c r="B1532" i="65" s="1"/>
  <c r="A1533" i="65"/>
  <c r="B1533" i="65" s="1"/>
  <c r="A1534" i="65"/>
  <c r="B1534" i="65" s="1"/>
  <c r="A1535" i="65"/>
  <c r="B1535" i="65" s="1"/>
  <c r="A1536" i="65"/>
  <c r="B1536" i="65" s="1"/>
  <c r="A1537" i="65"/>
  <c r="B1537" i="65" s="1"/>
  <c r="A1538" i="65"/>
  <c r="B1538" i="65" s="1"/>
  <c r="A1539" i="65"/>
  <c r="B1539" i="65" s="1"/>
  <c r="A1540" i="65"/>
  <c r="B1540" i="65" s="1"/>
  <c r="A1541" i="65"/>
  <c r="B1541" i="65" s="1"/>
  <c r="A1542" i="65"/>
  <c r="B1542" i="65" s="1"/>
  <c r="A1543" i="65"/>
  <c r="B1543" i="65" s="1"/>
  <c r="A1544" i="65"/>
  <c r="B1544" i="65" s="1"/>
  <c r="A1545" i="65"/>
  <c r="B1545" i="65" s="1"/>
  <c r="A1546" i="65"/>
  <c r="B1546" i="65" s="1"/>
  <c r="A1547" i="65"/>
  <c r="B1547" i="65" s="1"/>
  <c r="A1548" i="65"/>
  <c r="B1548" i="65" s="1"/>
  <c r="A1549" i="65"/>
  <c r="B1549" i="65" s="1"/>
  <c r="A1550" i="65"/>
  <c r="B1550" i="65" s="1"/>
  <c r="A1551" i="65"/>
  <c r="B1551" i="65" s="1"/>
  <c r="A1552" i="65"/>
  <c r="B1552" i="65" s="1"/>
  <c r="A1553" i="65"/>
  <c r="B1553" i="65" s="1"/>
  <c r="A1554" i="65"/>
  <c r="B1554" i="65" s="1"/>
  <c r="A1555" i="65"/>
  <c r="B1555" i="65" s="1"/>
  <c r="A1556" i="65"/>
  <c r="B1556" i="65" s="1"/>
  <c r="A1557" i="65"/>
  <c r="B1557" i="65" s="1"/>
  <c r="A1558" i="65"/>
  <c r="B1558" i="65" s="1"/>
  <c r="A1559" i="65"/>
  <c r="B1559" i="65" s="1"/>
  <c r="A1560" i="65"/>
  <c r="B1560" i="65" s="1"/>
  <c r="A1561" i="65"/>
  <c r="B1561" i="65" s="1"/>
  <c r="A1562" i="65"/>
  <c r="B1562" i="65" s="1"/>
  <c r="A1563" i="65"/>
  <c r="B1563" i="65" s="1"/>
  <c r="A1564" i="65"/>
  <c r="B1564" i="65" s="1"/>
  <c r="A1565" i="65"/>
  <c r="B1565" i="65" s="1"/>
  <c r="A1566" i="65"/>
  <c r="B1566" i="65" s="1"/>
  <c r="A1567" i="65"/>
  <c r="B1567" i="65" s="1"/>
  <c r="A1568" i="65"/>
  <c r="B1568" i="65" s="1"/>
  <c r="A1569" i="65"/>
  <c r="B1569" i="65" s="1"/>
  <c r="A1570" i="65"/>
  <c r="B1570" i="65" s="1"/>
  <c r="A1571" i="65"/>
  <c r="B1571" i="65" s="1"/>
  <c r="A1572" i="65"/>
  <c r="B1572" i="65" s="1"/>
  <c r="A1573" i="65"/>
  <c r="B1573" i="65" s="1"/>
  <c r="A1574" i="65"/>
  <c r="B1574" i="65" s="1"/>
  <c r="A1575" i="65"/>
  <c r="B1575" i="65" s="1"/>
  <c r="A1576" i="65"/>
  <c r="B1576" i="65" s="1"/>
  <c r="A1577" i="65"/>
  <c r="B1577" i="65" s="1"/>
  <c r="A1578" i="65"/>
  <c r="B1578" i="65" s="1"/>
  <c r="A1579" i="65"/>
  <c r="B1579" i="65" s="1"/>
  <c r="A1580" i="65"/>
  <c r="B1580" i="65" s="1"/>
  <c r="A1581" i="65"/>
  <c r="B1581" i="65" s="1"/>
  <c r="A1582" i="65"/>
  <c r="B1582" i="65" s="1"/>
  <c r="A1583" i="65"/>
  <c r="B1583" i="65" s="1"/>
  <c r="A1584" i="65"/>
  <c r="B1584" i="65" s="1"/>
  <c r="A1585" i="65"/>
  <c r="B1585" i="65" s="1"/>
  <c r="A1586" i="65"/>
  <c r="B1586" i="65" s="1"/>
  <c r="A1587" i="65"/>
  <c r="B1587" i="65" s="1"/>
  <c r="A1588" i="65"/>
  <c r="B1588" i="65" s="1"/>
  <c r="A1589" i="65"/>
  <c r="B1589" i="65" s="1"/>
  <c r="A1590" i="65"/>
  <c r="B1590" i="65" s="1"/>
  <c r="A1591" i="65"/>
  <c r="B1591" i="65" s="1"/>
  <c r="A1592" i="65"/>
  <c r="B1592" i="65" s="1"/>
  <c r="A1593" i="65"/>
  <c r="B1593" i="65" s="1"/>
  <c r="A1594" i="65"/>
  <c r="B1594" i="65" s="1"/>
  <c r="A1595" i="65"/>
  <c r="B1595" i="65" s="1"/>
  <c r="A1596" i="65"/>
  <c r="B1596" i="65" s="1"/>
  <c r="A1597" i="65"/>
  <c r="B1597" i="65" s="1"/>
  <c r="A1598" i="65"/>
  <c r="B1598" i="65" s="1"/>
  <c r="A1599" i="65"/>
  <c r="B1599" i="65" s="1"/>
  <c r="A1600" i="65"/>
  <c r="B1600" i="65" s="1"/>
  <c r="A1601" i="65"/>
  <c r="B1601" i="65" s="1"/>
  <c r="A1602" i="65"/>
  <c r="B1602" i="65" s="1"/>
  <c r="A1603" i="65"/>
  <c r="B1603" i="65" s="1"/>
  <c r="A1604" i="65"/>
  <c r="B1604" i="65" s="1"/>
  <c r="A1605" i="65"/>
  <c r="B1605" i="65" s="1"/>
  <c r="A1606" i="65"/>
  <c r="B1606" i="65" s="1"/>
  <c r="A1607" i="65"/>
  <c r="B1607" i="65" s="1"/>
  <c r="A1608" i="65"/>
  <c r="B1608" i="65" s="1"/>
  <c r="A1609" i="65"/>
  <c r="B1609" i="65" s="1"/>
  <c r="A1610" i="65"/>
  <c r="B1610" i="65" s="1"/>
  <c r="A1611" i="65"/>
  <c r="B1611" i="65" s="1"/>
  <c r="A1612" i="65"/>
  <c r="B1612" i="65" s="1"/>
  <c r="A1613" i="65"/>
  <c r="B1613" i="65" s="1"/>
  <c r="A1614" i="65"/>
  <c r="B1614" i="65" s="1"/>
  <c r="A1615" i="65"/>
  <c r="B1615" i="65" s="1"/>
  <c r="A1616" i="65"/>
  <c r="B1616" i="65" s="1"/>
  <c r="A1617" i="65"/>
  <c r="B1617" i="65" s="1"/>
  <c r="A1618" i="65"/>
  <c r="B1618" i="65" s="1"/>
  <c r="A1619" i="65"/>
  <c r="B1619" i="65" s="1"/>
  <c r="A1620" i="65"/>
  <c r="B1620" i="65" s="1"/>
  <c r="A1621" i="65"/>
  <c r="B1621" i="65" s="1"/>
  <c r="A1622" i="65"/>
  <c r="B1622" i="65" s="1"/>
  <c r="A1623" i="65"/>
  <c r="B1623" i="65" s="1"/>
  <c r="A1624" i="65"/>
  <c r="B1624" i="65" s="1"/>
  <c r="A1625" i="65"/>
  <c r="B1625" i="65" s="1"/>
  <c r="A1626" i="65"/>
  <c r="B1626" i="65" s="1"/>
  <c r="A1627" i="65"/>
  <c r="B1627" i="65" s="1"/>
  <c r="A1628" i="65"/>
  <c r="B1628" i="65" s="1"/>
  <c r="A1629" i="65"/>
  <c r="B1629" i="65" s="1"/>
  <c r="A1630" i="65"/>
  <c r="B1630" i="65" s="1"/>
  <c r="A1631" i="65"/>
  <c r="B1631" i="65" s="1"/>
  <c r="A1632" i="65"/>
  <c r="B1632" i="65" s="1"/>
  <c r="A1633" i="65"/>
  <c r="B1633" i="65" s="1"/>
  <c r="A1634" i="65"/>
  <c r="B1634" i="65" s="1"/>
  <c r="A1635" i="65"/>
  <c r="B1635" i="65" s="1"/>
  <c r="A1636" i="65"/>
  <c r="B1636" i="65" s="1"/>
  <c r="A1637" i="65"/>
  <c r="B1637" i="65" s="1"/>
  <c r="A1638" i="65"/>
  <c r="B1638" i="65" s="1"/>
  <c r="A1639" i="65"/>
  <c r="B1639" i="65" s="1"/>
  <c r="A1640" i="65"/>
  <c r="B1640" i="65" s="1"/>
  <c r="A1641" i="65"/>
  <c r="B1641" i="65" s="1"/>
  <c r="A1642" i="65"/>
  <c r="B1642" i="65" s="1"/>
  <c r="A1643" i="65"/>
  <c r="B1643" i="65" s="1"/>
  <c r="A1644" i="65"/>
  <c r="B1644" i="65" s="1"/>
  <c r="A1645" i="65"/>
  <c r="B1645" i="65" s="1"/>
  <c r="A1646" i="65"/>
  <c r="B1646" i="65" s="1"/>
  <c r="A1647" i="65"/>
  <c r="B1647" i="65" s="1"/>
  <c r="A1648" i="65"/>
  <c r="B1648" i="65" s="1"/>
  <c r="A1649" i="65"/>
  <c r="B1649" i="65" s="1"/>
  <c r="A1650" i="65"/>
  <c r="B1650" i="65" s="1"/>
  <c r="A1651" i="65"/>
  <c r="B1651" i="65" s="1"/>
  <c r="A1652" i="65"/>
  <c r="B1652" i="65" s="1"/>
  <c r="A1653" i="65"/>
  <c r="B1653" i="65" s="1"/>
  <c r="A1654" i="65"/>
  <c r="B1654" i="65" s="1"/>
  <c r="A1655" i="65"/>
  <c r="B1655" i="65" s="1"/>
  <c r="A1656" i="65"/>
  <c r="B1656" i="65" s="1"/>
  <c r="A1657" i="65"/>
  <c r="B1657" i="65" s="1"/>
  <c r="A1658" i="65"/>
  <c r="B1658" i="65" s="1"/>
  <c r="A1659" i="65"/>
  <c r="B1659" i="65" s="1"/>
  <c r="A1660" i="65"/>
  <c r="B1660" i="65" s="1"/>
  <c r="A1661" i="65"/>
  <c r="B1661" i="65" s="1"/>
  <c r="A1662" i="65"/>
  <c r="B1662" i="65" s="1"/>
  <c r="A1663" i="65"/>
  <c r="B1663" i="65" s="1"/>
  <c r="A1664" i="65"/>
  <c r="B1664" i="65" s="1"/>
  <c r="A1665" i="65"/>
  <c r="B1665" i="65" s="1"/>
  <c r="A1666" i="65"/>
  <c r="B1666" i="65" s="1"/>
  <c r="A1667" i="65"/>
  <c r="B1667" i="65" s="1"/>
  <c r="A1668" i="65"/>
  <c r="B1668" i="65" s="1"/>
  <c r="A1669" i="65"/>
  <c r="B1669" i="65" s="1"/>
  <c r="A1670" i="65"/>
  <c r="B1670" i="65" s="1"/>
  <c r="A1671" i="65"/>
  <c r="B1671" i="65" s="1"/>
  <c r="A1672" i="65"/>
  <c r="B1672" i="65" s="1"/>
  <c r="A1673" i="65"/>
  <c r="B1673" i="65" s="1"/>
  <c r="A1674" i="65"/>
  <c r="B1674" i="65" s="1"/>
  <c r="A1675" i="65"/>
  <c r="B1675" i="65" s="1"/>
  <c r="A1676" i="65"/>
  <c r="B1676" i="65" s="1"/>
  <c r="A1677" i="65"/>
  <c r="B1677" i="65" s="1"/>
  <c r="A1678" i="65"/>
  <c r="B1678" i="65" s="1"/>
  <c r="A1679" i="65"/>
  <c r="B1679" i="65" s="1"/>
  <c r="A1680" i="65"/>
  <c r="B1680" i="65" s="1"/>
  <c r="A1681" i="65"/>
  <c r="B1681" i="65" s="1"/>
  <c r="A1682" i="65"/>
  <c r="B1682" i="65" s="1"/>
  <c r="A1683" i="65"/>
  <c r="B1683" i="65" s="1"/>
  <c r="A1684" i="65"/>
  <c r="B1684" i="65" s="1"/>
  <c r="A1685" i="65"/>
  <c r="B1685" i="65" s="1"/>
  <c r="A1686" i="65"/>
  <c r="B1686" i="65" s="1"/>
  <c r="A1687" i="65"/>
  <c r="B1687" i="65" s="1"/>
  <c r="A1688" i="65"/>
  <c r="B1688" i="65" s="1"/>
  <c r="A1689" i="65"/>
  <c r="B1689" i="65" s="1"/>
  <c r="A1690" i="65"/>
  <c r="B1690" i="65" s="1"/>
  <c r="A1691" i="65"/>
  <c r="B1691" i="65" s="1"/>
  <c r="A1692" i="65"/>
  <c r="B1692" i="65" s="1"/>
  <c r="A1693" i="65"/>
  <c r="B1693" i="65" s="1"/>
  <c r="A1694" i="65"/>
  <c r="B1694" i="65" s="1"/>
  <c r="A1695" i="65"/>
  <c r="B1695" i="65" s="1"/>
  <c r="A1696" i="65"/>
  <c r="B1696" i="65" s="1"/>
  <c r="A1697" i="65"/>
  <c r="B1697" i="65" s="1"/>
  <c r="A1698" i="65"/>
  <c r="B1698" i="65" s="1"/>
  <c r="A1699" i="65"/>
  <c r="B1699" i="65" s="1"/>
  <c r="A1700" i="65"/>
  <c r="B1700" i="65" s="1"/>
  <c r="A1701" i="65"/>
  <c r="B1701" i="65" s="1"/>
  <c r="A1702" i="65"/>
  <c r="B1702" i="65" s="1"/>
  <c r="A1703" i="65"/>
  <c r="B1703" i="65" s="1"/>
  <c r="A1704" i="65"/>
  <c r="B1704" i="65" s="1"/>
  <c r="A1705" i="65"/>
  <c r="B1705" i="65" s="1"/>
  <c r="A1706" i="65"/>
  <c r="B1706" i="65" s="1"/>
  <c r="A1707" i="65"/>
  <c r="B1707" i="65" s="1"/>
  <c r="A1708" i="65"/>
  <c r="B1708" i="65" s="1"/>
  <c r="A1709" i="65"/>
  <c r="B1709" i="65" s="1"/>
  <c r="A1710" i="65"/>
  <c r="B1710" i="65" s="1"/>
  <c r="A1711" i="65"/>
  <c r="B1711" i="65" s="1"/>
  <c r="A1712" i="65"/>
  <c r="B1712" i="65" s="1"/>
  <c r="A1713" i="65"/>
  <c r="B1713" i="65" s="1"/>
  <c r="A1714" i="65"/>
  <c r="B1714" i="65" s="1"/>
  <c r="A1715" i="65"/>
  <c r="B1715" i="65" s="1"/>
  <c r="A1716" i="65"/>
  <c r="B1716" i="65" s="1"/>
  <c r="A1717" i="65"/>
  <c r="B1717" i="65" s="1"/>
  <c r="A1718" i="65"/>
  <c r="B1718" i="65" s="1"/>
  <c r="A1719" i="65"/>
  <c r="B1719" i="65" s="1"/>
  <c r="A1720" i="65"/>
  <c r="B1720" i="65" s="1"/>
  <c r="A1721" i="65"/>
  <c r="B1721" i="65" s="1"/>
  <c r="A1722" i="65"/>
  <c r="B1722" i="65" s="1"/>
  <c r="A1723" i="65"/>
  <c r="B1723" i="65" s="1"/>
  <c r="A1724" i="65"/>
  <c r="B1724" i="65" s="1"/>
  <c r="A1725" i="65"/>
  <c r="B1725" i="65" s="1"/>
  <c r="A1726" i="65"/>
  <c r="B1726" i="65" s="1"/>
  <c r="A1727" i="65"/>
  <c r="B1727" i="65" s="1"/>
  <c r="A1728" i="65"/>
  <c r="B1728" i="65" s="1"/>
  <c r="A1729" i="65"/>
  <c r="B1729" i="65" s="1"/>
  <c r="A1730" i="65"/>
  <c r="B1730" i="65" s="1"/>
  <c r="A1731" i="65"/>
  <c r="B1731" i="65" s="1"/>
  <c r="A1732" i="65"/>
  <c r="B1732" i="65" s="1"/>
  <c r="A1733" i="65"/>
  <c r="B1733" i="65" s="1"/>
  <c r="A1734" i="65"/>
  <c r="B1734" i="65" s="1"/>
  <c r="A1735" i="65"/>
  <c r="B1735" i="65" s="1"/>
  <c r="A1736" i="65"/>
  <c r="B1736" i="65" s="1"/>
  <c r="A1737" i="65"/>
  <c r="B1737" i="65" s="1"/>
  <c r="A1738" i="65"/>
  <c r="B1738" i="65" s="1"/>
  <c r="A1739" i="65"/>
  <c r="B1739" i="65" s="1"/>
  <c r="A1740" i="65"/>
  <c r="B1740" i="65" s="1"/>
  <c r="A1741" i="65"/>
  <c r="B1741" i="65" s="1"/>
  <c r="A1742" i="65"/>
  <c r="B1742" i="65" s="1"/>
  <c r="A1743" i="65"/>
  <c r="B1743" i="65" s="1"/>
  <c r="A1744" i="65"/>
  <c r="B1744" i="65" s="1"/>
  <c r="A1745" i="65"/>
  <c r="B1745" i="65" s="1"/>
  <c r="A1746" i="65"/>
  <c r="B1746" i="65" s="1"/>
  <c r="A1747" i="65"/>
  <c r="B1747" i="65" s="1"/>
  <c r="A1748" i="65"/>
  <c r="B1748" i="65" s="1"/>
  <c r="A1749" i="65"/>
  <c r="B1749" i="65" s="1"/>
  <c r="A1750" i="65"/>
  <c r="B1750" i="65" s="1"/>
  <c r="A1751" i="65"/>
  <c r="B1751" i="65" s="1"/>
  <c r="A1752" i="65"/>
  <c r="B1752" i="65" s="1"/>
  <c r="A1753" i="65"/>
  <c r="B1753" i="65" s="1"/>
  <c r="A1754" i="65"/>
  <c r="B1754" i="65" s="1"/>
  <c r="A1755" i="65"/>
  <c r="B1755" i="65" s="1"/>
  <c r="A1756" i="65"/>
  <c r="B1756" i="65" s="1"/>
  <c r="A1757" i="65"/>
  <c r="B1757" i="65" s="1"/>
  <c r="A1758" i="65"/>
  <c r="B1758" i="65" s="1"/>
  <c r="A1759" i="65"/>
  <c r="B1759" i="65" s="1"/>
  <c r="A1760" i="65"/>
  <c r="B1760" i="65" s="1"/>
  <c r="A1761" i="65"/>
  <c r="B1761" i="65" s="1"/>
  <c r="A1762" i="65"/>
  <c r="B1762" i="65" s="1"/>
  <c r="A1763" i="65"/>
  <c r="B1763" i="65" s="1"/>
  <c r="A1764" i="65"/>
  <c r="B1764" i="65" s="1"/>
  <c r="A1765" i="65"/>
  <c r="B1765" i="65" s="1"/>
  <c r="A1766" i="65"/>
  <c r="B1766" i="65" s="1"/>
  <c r="A1767" i="65"/>
  <c r="B1767" i="65" s="1"/>
  <c r="A1768" i="65"/>
  <c r="B1768" i="65" s="1"/>
  <c r="A1769" i="65"/>
  <c r="B1769" i="65" s="1"/>
  <c r="A1770" i="65"/>
  <c r="B1770" i="65" s="1"/>
  <c r="A1771" i="65"/>
  <c r="B1771" i="65" s="1"/>
  <c r="A1772" i="65"/>
  <c r="B1772" i="65" s="1"/>
  <c r="A1773" i="65"/>
  <c r="B1773" i="65" s="1"/>
  <c r="A1774" i="65"/>
  <c r="A1775" i="65"/>
  <c r="B1775" i="65" s="1"/>
  <c r="A1776" i="65"/>
  <c r="B1776" i="65" s="1"/>
  <c r="A1777" i="65"/>
  <c r="B1777" i="65" s="1"/>
  <c r="A1778" i="65"/>
  <c r="B1778" i="65" s="1"/>
  <c r="A1779" i="65"/>
  <c r="B1779" i="65" s="1"/>
  <c r="A1780" i="65"/>
  <c r="B1780" i="65" s="1"/>
  <c r="A1781" i="65"/>
  <c r="B1781" i="65" s="1"/>
  <c r="A1782" i="65"/>
  <c r="B1782" i="65" s="1"/>
  <c r="A1783" i="65"/>
  <c r="B1783" i="65" s="1"/>
  <c r="A1784" i="65"/>
  <c r="B1784" i="65" s="1"/>
  <c r="A1785" i="65"/>
  <c r="B1785" i="65" s="1"/>
  <c r="A1786" i="65"/>
  <c r="B1786" i="65" s="1"/>
  <c r="A1787" i="65"/>
  <c r="B1787" i="65" s="1"/>
  <c r="A1788" i="65"/>
  <c r="B1788" i="65" s="1"/>
  <c r="A1789" i="65"/>
  <c r="B1789" i="65" s="1"/>
  <c r="A1790" i="65"/>
  <c r="B1790" i="65" s="1"/>
  <c r="A1791" i="65"/>
  <c r="B1791" i="65" s="1"/>
  <c r="A1792" i="65"/>
  <c r="B1792" i="65" s="1"/>
  <c r="A1793" i="65"/>
  <c r="B1793" i="65" s="1"/>
  <c r="A1794" i="65"/>
  <c r="B1794" i="65" s="1"/>
  <c r="A1795" i="65"/>
  <c r="B1795" i="65" s="1"/>
  <c r="A1796" i="65"/>
  <c r="B1796" i="65" s="1"/>
  <c r="A1797" i="65"/>
  <c r="B1797" i="65" s="1"/>
  <c r="A1798" i="65"/>
  <c r="B1798" i="65" s="1"/>
  <c r="A1799" i="65"/>
  <c r="B1799" i="65" s="1"/>
  <c r="A1800" i="65"/>
  <c r="B1800" i="65" s="1"/>
  <c r="A1801" i="65"/>
  <c r="B1801" i="65" s="1"/>
  <c r="A1802" i="65"/>
  <c r="B1802" i="65" s="1"/>
  <c r="A1803" i="65"/>
  <c r="B1803" i="65" s="1"/>
  <c r="A1804" i="65"/>
  <c r="B1804" i="65" s="1"/>
  <c r="A1805" i="65"/>
  <c r="B1805" i="65" s="1"/>
  <c r="A1806" i="65"/>
  <c r="B1806" i="65" s="1"/>
  <c r="A1807" i="65"/>
  <c r="B1807" i="65" s="1"/>
  <c r="A1808" i="65"/>
  <c r="B1808" i="65" s="1"/>
  <c r="A1809" i="65"/>
  <c r="B1809" i="65" s="1"/>
  <c r="A1810" i="65"/>
  <c r="B1810" i="65" s="1"/>
  <c r="A1811" i="65"/>
  <c r="B1811" i="65" s="1"/>
  <c r="A1812" i="65"/>
  <c r="B1812" i="65" s="1"/>
  <c r="A1813" i="65"/>
  <c r="B1813" i="65" s="1"/>
  <c r="A1814" i="65"/>
  <c r="B1814" i="65" s="1"/>
  <c r="A1815" i="65"/>
  <c r="B1815" i="65" s="1"/>
  <c r="A1816" i="65"/>
  <c r="B1816" i="65" s="1"/>
  <c r="A1817" i="65"/>
  <c r="B1817" i="65" s="1"/>
  <c r="A1818" i="65"/>
  <c r="B1818" i="65" s="1"/>
  <c r="A1819" i="65"/>
  <c r="B1819" i="65" s="1"/>
  <c r="A1820" i="65"/>
  <c r="B1820" i="65" s="1"/>
  <c r="A1821" i="65"/>
  <c r="B1821" i="65" s="1"/>
  <c r="A1822" i="65"/>
  <c r="B1822" i="65" s="1"/>
  <c r="A1823" i="65"/>
  <c r="B1823" i="65" s="1"/>
  <c r="A1824" i="65"/>
  <c r="B1824" i="65" s="1"/>
  <c r="A1825" i="65"/>
  <c r="B1825" i="65" s="1"/>
  <c r="A1826" i="65"/>
  <c r="B1826" i="65" s="1"/>
  <c r="A1827" i="65"/>
  <c r="B1827" i="65" s="1"/>
  <c r="A1828" i="65"/>
  <c r="B1828" i="65" s="1"/>
  <c r="A1829" i="65"/>
  <c r="B1829" i="65" s="1"/>
  <c r="A1830" i="65"/>
  <c r="B1830" i="65" s="1"/>
  <c r="A1831" i="65"/>
  <c r="B1831" i="65" s="1"/>
  <c r="A1832" i="65"/>
  <c r="B1832" i="65" s="1"/>
  <c r="A1833" i="65"/>
  <c r="B1833" i="65" s="1"/>
  <c r="A1834" i="65"/>
  <c r="B1834" i="65" s="1"/>
  <c r="A1835" i="65"/>
  <c r="B1835" i="65" s="1"/>
  <c r="A1836" i="65"/>
  <c r="B1836" i="65" s="1"/>
  <c r="A1837" i="65"/>
  <c r="B1837" i="65" s="1"/>
  <c r="A1838" i="65"/>
  <c r="B1838" i="65" s="1"/>
  <c r="A1839" i="65"/>
  <c r="B1839" i="65" s="1"/>
  <c r="A1840" i="65"/>
  <c r="B1840" i="65" s="1"/>
  <c r="A1841" i="65"/>
  <c r="B1841" i="65" s="1"/>
  <c r="A1842" i="65"/>
  <c r="B1842" i="65" s="1"/>
  <c r="A1843" i="65"/>
  <c r="B1843" i="65" s="1"/>
  <c r="A1844" i="65"/>
  <c r="B1844" i="65" s="1"/>
  <c r="A1845" i="65"/>
  <c r="B1845" i="65" s="1"/>
  <c r="A1846" i="65"/>
  <c r="B1846" i="65" s="1"/>
  <c r="A1847" i="65"/>
  <c r="B1847" i="65" s="1"/>
  <c r="A1848" i="65"/>
  <c r="B1848" i="65" s="1"/>
  <c r="A1849" i="65"/>
  <c r="B1849" i="65" s="1"/>
  <c r="A1850" i="65"/>
  <c r="B1850" i="65" s="1"/>
  <c r="A1851" i="65"/>
  <c r="B1851" i="65" s="1"/>
  <c r="A1852" i="65"/>
  <c r="B1852" i="65" s="1"/>
  <c r="A1853" i="65"/>
  <c r="B1853" i="65" s="1"/>
  <c r="A1854" i="65"/>
  <c r="B1854" i="65" s="1"/>
  <c r="A1855" i="65"/>
  <c r="B1855" i="65" s="1"/>
  <c r="A1856" i="65"/>
  <c r="B1856" i="65" s="1"/>
  <c r="A1857" i="65"/>
  <c r="B1857" i="65" s="1"/>
  <c r="A1858" i="65"/>
  <c r="B1858" i="65" s="1"/>
  <c r="A1859" i="65"/>
  <c r="B1859" i="65" s="1"/>
  <c r="A1860" i="65"/>
  <c r="B1860" i="65" s="1"/>
  <c r="A1861" i="65"/>
  <c r="B1861" i="65" s="1"/>
  <c r="A1862" i="65"/>
  <c r="B1862" i="65" s="1"/>
  <c r="A1863" i="65"/>
  <c r="B1863" i="65" s="1"/>
  <c r="A1864" i="65"/>
  <c r="B1864" i="65" s="1"/>
  <c r="A1865" i="65"/>
  <c r="B1865" i="65" s="1"/>
  <c r="A1866" i="65"/>
  <c r="B1866" i="65" s="1"/>
  <c r="A1867" i="65"/>
  <c r="B1867" i="65" s="1"/>
  <c r="A1868" i="65"/>
  <c r="B1868" i="65" s="1"/>
  <c r="A1869" i="65"/>
  <c r="B1869" i="65" s="1"/>
  <c r="A1870" i="65"/>
  <c r="B1870" i="65" s="1"/>
  <c r="A1871" i="65"/>
  <c r="B1871" i="65" s="1"/>
  <c r="A1872" i="65"/>
  <c r="B1872" i="65" s="1"/>
  <c r="A1873" i="65"/>
  <c r="B1873" i="65" s="1"/>
  <c r="A1874" i="65"/>
  <c r="B1874" i="65" s="1"/>
  <c r="A1875" i="65"/>
  <c r="B1875" i="65" s="1"/>
  <c r="A1876" i="65"/>
  <c r="B1876" i="65" s="1"/>
  <c r="A1877" i="65"/>
  <c r="B1877" i="65" s="1"/>
  <c r="A1878" i="65"/>
  <c r="B1878" i="65" s="1"/>
  <c r="A1879" i="65"/>
  <c r="B1879" i="65" s="1"/>
  <c r="A1880" i="65"/>
  <c r="B1880" i="65" s="1"/>
  <c r="A1881" i="65"/>
  <c r="B1881" i="65" s="1"/>
  <c r="A1882" i="65"/>
  <c r="B1882" i="65" s="1"/>
  <c r="A1883" i="65"/>
  <c r="B1883" i="65" s="1"/>
  <c r="A1884" i="65"/>
  <c r="B1884" i="65" s="1"/>
  <c r="A1885" i="65"/>
  <c r="B1885" i="65" s="1"/>
  <c r="A1886" i="65"/>
  <c r="B1886" i="65" s="1"/>
  <c r="A1887" i="65"/>
  <c r="B1887" i="65" s="1"/>
  <c r="A1888" i="65"/>
  <c r="B1888" i="65" s="1"/>
  <c r="A1889" i="65"/>
  <c r="B1889" i="65" s="1"/>
  <c r="A1890" i="65"/>
  <c r="B1890" i="65" s="1"/>
  <c r="A1891" i="65"/>
  <c r="B1891" i="65" s="1"/>
  <c r="A1892" i="65"/>
  <c r="B1892" i="65" s="1"/>
  <c r="A1893" i="65"/>
  <c r="B1893" i="65" s="1"/>
  <c r="A1894" i="65"/>
  <c r="B1894" i="65" s="1"/>
  <c r="A1895" i="65"/>
  <c r="B1895" i="65" s="1"/>
  <c r="A1896" i="65"/>
  <c r="B1896" i="65" s="1"/>
  <c r="A1897" i="65"/>
  <c r="B1897" i="65" s="1"/>
  <c r="A1898" i="65"/>
  <c r="B1898" i="65" s="1"/>
  <c r="A1899" i="65"/>
  <c r="B1899" i="65" s="1"/>
  <c r="A1900" i="65"/>
  <c r="B1900" i="65" s="1"/>
  <c r="A1901" i="65"/>
  <c r="B1901" i="65" s="1"/>
  <c r="A1902" i="65"/>
  <c r="B1902" i="65" s="1"/>
  <c r="A1903" i="65"/>
  <c r="B1903" i="65" s="1"/>
  <c r="A1904" i="65"/>
  <c r="B1904" i="65" s="1"/>
  <c r="A1905" i="65"/>
  <c r="B1905" i="65" s="1"/>
  <c r="A1906" i="65"/>
  <c r="B1906" i="65" s="1"/>
  <c r="A1907" i="65"/>
  <c r="B1907" i="65" s="1"/>
  <c r="A1908" i="65"/>
  <c r="B1908" i="65" s="1"/>
  <c r="A1909" i="65"/>
  <c r="B1909" i="65" s="1"/>
  <c r="A1910" i="65"/>
  <c r="B1910" i="65" s="1"/>
  <c r="A1911" i="65"/>
  <c r="B1911" i="65" s="1"/>
  <c r="A1912" i="65"/>
  <c r="B1912" i="65" s="1"/>
  <c r="A1913" i="65"/>
  <c r="B1913" i="65" s="1"/>
  <c r="A1914" i="65"/>
  <c r="B1914" i="65" s="1"/>
  <c r="A1915" i="65"/>
  <c r="B1915" i="65" s="1"/>
  <c r="A1916" i="65"/>
  <c r="B1916" i="65" s="1"/>
  <c r="A1917" i="65"/>
  <c r="B1917" i="65" s="1"/>
  <c r="A1918" i="65"/>
  <c r="B1918" i="65" s="1"/>
  <c r="A1919" i="65"/>
  <c r="B1919" i="65" s="1"/>
  <c r="A1920" i="65"/>
  <c r="B1920" i="65" s="1"/>
  <c r="A1921" i="65"/>
  <c r="B1921" i="65" s="1"/>
  <c r="A1922" i="65"/>
  <c r="B1922" i="65" s="1"/>
  <c r="A1923" i="65"/>
  <c r="B1923" i="65" s="1"/>
  <c r="A1924" i="65"/>
  <c r="B1924" i="65" s="1"/>
  <c r="A1925" i="65"/>
  <c r="B1925" i="65" s="1"/>
  <c r="A1926" i="65"/>
  <c r="B1926" i="65" s="1"/>
  <c r="A1927" i="65"/>
  <c r="B1927" i="65" s="1"/>
  <c r="A1928" i="65"/>
  <c r="B1928" i="65" s="1"/>
  <c r="A1929" i="65"/>
  <c r="B1929" i="65" s="1"/>
  <c r="A1930" i="65"/>
  <c r="B1930" i="65" s="1"/>
  <c r="A1931" i="65"/>
  <c r="B1931" i="65" s="1"/>
  <c r="A1932" i="65"/>
  <c r="B1932" i="65" s="1"/>
  <c r="A1933" i="65"/>
  <c r="B1933" i="65" s="1"/>
  <c r="A1934" i="65"/>
  <c r="B1934" i="65" s="1"/>
  <c r="A1935" i="65"/>
  <c r="B1935" i="65" s="1"/>
  <c r="A1936" i="65"/>
  <c r="B1936" i="65" s="1"/>
  <c r="A1937" i="65"/>
  <c r="B1937" i="65" s="1"/>
  <c r="A1938" i="65"/>
  <c r="B1938" i="65" s="1"/>
  <c r="A1939" i="65"/>
  <c r="B1939" i="65" s="1"/>
  <c r="A1940" i="65"/>
  <c r="B1940" i="65" s="1"/>
  <c r="A1941" i="65"/>
  <c r="B1941" i="65" s="1"/>
  <c r="A1942" i="65"/>
  <c r="B1942" i="65" s="1"/>
  <c r="A1943" i="65"/>
  <c r="B1943" i="65" s="1"/>
  <c r="A1944" i="65"/>
  <c r="B1944" i="65" s="1"/>
  <c r="A1945" i="65"/>
  <c r="B1945" i="65" s="1"/>
  <c r="A1946" i="65"/>
  <c r="B1946" i="65" s="1"/>
  <c r="A1947" i="65"/>
  <c r="B1947" i="65" s="1"/>
  <c r="A1948" i="65"/>
  <c r="B1948" i="65" s="1"/>
  <c r="A1949" i="65"/>
  <c r="B1949" i="65" s="1"/>
  <c r="A1950" i="65"/>
  <c r="B1950" i="65" s="1"/>
  <c r="A1951" i="65"/>
  <c r="B1951" i="65" s="1"/>
  <c r="A1952" i="65"/>
  <c r="B1952" i="65" s="1"/>
  <c r="A1953" i="65"/>
  <c r="B1953" i="65" s="1"/>
  <c r="A1954" i="65"/>
  <c r="B1954" i="65" s="1"/>
  <c r="A1955" i="65"/>
  <c r="B1955" i="65" s="1"/>
  <c r="A1956" i="65"/>
  <c r="B1956" i="65" s="1"/>
  <c r="A1957" i="65"/>
  <c r="B1957" i="65" s="1"/>
  <c r="A1958" i="65"/>
  <c r="B1958" i="65" s="1"/>
  <c r="A1959" i="65"/>
  <c r="B1959" i="65" s="1"/>
  <c r="A1960" i="65"/>
  <c r="B1960" i="65" s="1"/>
  <c r="A1961" i="65"/>
  <c r="B1961" i="65" s="1"/>
  <c r="A1962" i="65"/>
  <c r="B1962" i="65" s="1"/>
  <c r="A1963" i="65"/>
  <c r="B1963" i="65" s="1"/>
  <c r="A1964" i="65"/>
  <c r="B1964" i="65" s="1"/>
  <c r="A1965" i="65"/>
  <c r="B1965" i="65" s="1"/>
  <c r="A1966" i="65"/>
  <c r="B1966" i="65" s="1"/>
  <c r="A1967" i="65"/>
  <c r="B1967" i="65" s="1"/>
  <c r="A1968" i="65"/>
  <c r="B1968" i="65" s="1"/>
  <c r="A1969" i="65"/>
  <c r="B1969" i="65" s="1"/>
  <c r="A1970" i="65"/>
  <c r="B1970" i="65" s="1"/>
  <c r="A1971" i="65"/>
  <c r="B1971" i="65" s="1"/>
  <c r="A1972" i="65"/>
  <c r="B1972" i="65" s="1"/>
  <c r="A1973" i="65"/>
  <c r="B1973" i="65" s="1"/>
  <c r="A1974" i="65"/>
  <c r="B1974" i="65" s="1"/>
  <c r="A1975" i="65"/>
  <c r="B1975" i="65" s="1"/>
  <c r="A1976" i="65"/>
  <c r="B1976" i="65" s="1"/>
  <c r="A1977" i="65"/>
  <c r="B1977" i="65" s="1"/>
  <c r="A1978" i="65"/>
  <c r="B1978" i="65" s="1"/>
  <c r="A1979" i="65"/>
  <c r="B1979" i="65" s="1"/>
  <c r="A1980" i="65"/>
  <c r="B1980" i="65" s="1"/>
  <c r="A1981" i="65"/>
  <c r="B1981" i="65" s="1"/>
  <c r="A1982" i="65"/>
  <c r="B1982" i="65" s="1"/>
  <c r="A1983" i="65"/>
  <c r="B1983" i="65" s="1"/>
  <c r="A1984" i="65"/>
  <c r="B1984" i="65" s="1"/>
  <c r="A1985" i="65"/>
  <c r="B1985" i="65" s="1"/>
  <c r="A1986" i="65"/>
  <c r="B1986" i="65" s="1"/>
  <c r="A1987" i="65"/>
  <c r="B1987" i="65" s="1"/>
  <c r="A1988" i="65"/>
  <c r="B1988" i="65" s="1"/>
  <c r="A1989" i="65"/>
  <c r="B1989" i="65" s="1"/>
  <c r="A1990" i="65"/>
  <c r="B1990" i="65" s="1"/>
  <c r="A1991" i="65"/>
  <c r="B1991" i="65" s="1"/>
  <c r="A1992" i="65"/>
  <c r="B1992" i="65" s="1"/>
  <c r="A1993" i="65"/>
  <c r="B1993" i="65" s="1"/>
  <c r="A1994" i="65"/>
  <c r="B1994" i="65" s="1"/>
  <c r="A1995" i="65"/>
  <c r="B1995" i="65" s="1"/>
  <c r="A1996" i="65"/>
  <c r="B1996" i="65" s="1"/>
  <c r="A1997" i="65"/>
  <c r="B1997" i="65" s="1"/>
  <c r="A1998" i="65"/>
  <c r="B1998" i="65" s="1"/>
  <c r="A1999" i="65"/>
  <c r="B1999" i="65" s="1"/>
  <c r="A2000" i="65"/>
  <c r="B2000" i="65" s="1"/>
  <c r="A2001" i="65"/>
  <c r="B2001" i="65" s="1"/>
  <c r="A2002" i="65"/>
  <c r="B2002" i="65" s="1"/>
  <c r="A2003" i="65"/>
  <c r="B2003" i="65" s="1"/>
  <c r="A2004" i="65"/>
  <c r="B2004" i="65" s="1"/>
  <c r="A2005" i="65"/>
  <c r="B2005" i="65" s="1"/>
  <c r="A2006" i="65"/>
  <c r="B2006" i="65" s="1"/>
  <c r="A2007" i="65"/>
  <c r="B2007" i="65" s="1"/>
  <c r="A2008" i="65"/>
  <c r="B2008" i="65" s="1"/>
  <c r="A2009" i="65"/>
  <c r="B2009" i="65" s="1"/>
  <c r="A2010" i="65"/>
  <c r="B2010" i="65" s="1"/>
  <c r="A2011" i="65"/>
  <c r="B2011" i="65" s="1"/>
  <c r="A2012" i="65"/>
  <c r="B2012" i="65" s="1"/>
  <c r="A2013" i="65"/>
  <c r="B2013" i="65" s="1"/>
  <c r="A2014" i="65"/>
  <c r="B2014" i="65" s="1"/>
  <c r="A2015" i="65"/>
  <c r="B2015" i="65" s="1"/>
  <c r="A2016" i="65"/>
  <c r="B2016" i="65" s="1"/>
  <c r="A2017" i="65"/>
  <c r="B2017" i="65" s="1"/>
  <c r="A2018" i="65"/>
  <c r="B2018" i="65" s="1"/>
  <c r="A2019" i="65"/>
  <c r="B2019" i="65" s="1"/>
  <c r="A2020" i="65"/>
  <c r="B2020" i="65" s="1"/>
  <c r="A2021" i="65"/>
  <c r="B2021" i="65" s="1"/>
  <c r="A2022" i="65"/>
  <c r="B2022" i="65" s="1"/>
  <c r="A2023" i="65"/>
  <c r="B2023" i="65" s="1"/>
  <c r="A2024" i="65"/>
  <c r="B2024" i="65" s="1"/>
  <c r="A2025" i="65"/>
  <c r="B2025" i="65" s="1"/>
  <c r="A2026" i="65"/>
  <c r="B2026" i="65" s="1"/>
  <c r="A2027" i="65"/>
  <c r="B2027" i="65" s="1"/>
  <c r="A2028" i="65"/>
  <c r="B2028" i="65" s="1"/>
  <c r="A2029" i="65"/>
  <c r="B2029" i="65" s="1"/>
  <c r="A2030" i="65"/>
  <c r="B2030" i="65" s="1"/>
  <c r="A2031" i="65"/>
  <c r="B2031" i="65" s="1"/>
  <c r="A2032" i="65"/>
  <c r="B2032" i="65" s="1"/>
  <c r="A2033" i="65"/>
  <c r="B2033" i="65" s="1"/>
  <c r="A2034" i="65"/>
  <c r="B2034" i="65" s="1"/>
  <c r="A2035" i="65"/>
  <c r="B2035" i="65" s="1"/>
  <c r="A2036" i="65"/>
  <c r="B2036" i="65" s="1"/>
  <c r="A2037" i="65"/>
  <c r="B2037" i="65" s="1"/>
  <c r="A2038" i="65"/>
  <c r="B2038" i="65" s="1"/>
  <c r="A2039" i="65"/>
  <c r="B2039" i="65" s="1"/>
  <c r="A2040" i="65"/>
  <c r="B2040" i="65" s="1"/>
  <c r="A2041" i="65"/>
  <c r="B2041" i="65" s="1"/>
  <c r="A2042" i="65"/>
  <c r="B2042" i="65" s="1"/>
  <c r="A2043" i="65"/>
  <c r="B2043" i="65" s="1"/>
  <c r="A2044" i="65"/>
  <c r="B2044" i="65" s="1"/>
  <c r="A2045" i="65"/>
  <c r="B2045" i="65" s="1"/>
  <c r="A2046" i="65"/>
  <c r="B2046" i="65" s="1"/>
  <c r="A2047" i="65"/>
  <c r="B2047" i="65" s="1"/>
  <c r="A2048" i="65"/>
  <c r="B2048" i="65" s="1"/>
  <c r="A2049" i="65"/>
  <c r="B2049" i="65" s="1"/>
  <c r="A2050" i="65"/>
  <c r="B2050" i="65" s="1"/>
  <c r="A2051" i="65"/>
  <c r="B2051" i="65" s="1"/>
  <c r="A2052" i="65"/>
  <c r="B2052" i="65" s="1"/>
  <c r="A2053" i="65"/>
  <c r="B2053" i="65" s="1"/>
  <c r="A2054" i="65"/>
  <c r="B2054" i="65" s="1"/>
  <c r="A2055" i="65"/>
  <c r="B2055" i="65" s="1"/>
  <c r="A2056" i="65"/>
  <c r="B2056" i="65" s="1"/>
  <c r="A2057" i="65"/>
  <c r="B2057" i="65" s="1"/>
  <c r="A2058" i="65"/>
  <c r="B2058" i="65" s="1"/>
  <c r="A2059" i="65"/>
  <c r="B2059" i="65" s="1"/>
  <c r="A2060" i="65"/>
  <c r="B2060" i="65" s="1"/>
  <c r="A2061" i="65"/>
  <c r="B2061" i="65" s="1"/>
  <c r="A2062" i="65"/>
  <c r="B2062" i="65" s="1"/>
  <c r="A2063" i="65"/>
  <c r="B2063" i="65" s="1"/>
  <c r="A2064" i="65"/>
  <c r="B2064" i="65" s="1"/>
  <c r="A2065" i="65"/>
  <c r="B2065" i="65" s="1"/>
  <c r="A2066" i="65"/>
  <c r="B2066" i="65" s="1"/>
  <c r="A2067" i="65"/>
  <c r="B2067" i="65" s="1"/>
  <c r="A2068" i="65"/>
  <c r="B2068" i="65" s="1"/>
  <c r="A2069" i="65"/>
  <c r="B2069" i="65" s="1"/>
  <c r="A2070" i="65"/>
  <c r="B2070" i="65" s="1"/>
  <c r="A2071" i="65"/>
  <c r="B2071" i="65" s="1"/>
  <c r="A2072" i="65"/>
  <c r="B2072" i="65" s="1"/>
  <c r="A2073" i="65"/>
  <c r="B2073" i="65" s="1"/>
  <c r="A2074" i="65"/>
  <c r="B2074" i="65" s="1"/>
  <c r="A2075" i="65"/>
  <c r="B2075" i="65" s="1"/>
  <c r="A2076" i="65"/>
  <c r="B2076" i="65" s="1"/>
  <c r="A2077" i="65"/>
  <c r="B2077" i="65" s="1"/>
  <c r="A2078" i="65"/>
  <c r="B2078" i="65" s="1"/>
  <c r="A2079" i="65"/>
  <c r="B2079" i="65" s="1"/>
  <c r="A2080" i="65"/>
  <c r="B2080" i="65" s="1"/>
  <c r="A2081" i="65"/>
  <c r="B2081" i="65" s="1"/>
  <c r="A2082" i="65"/>
  <c r="B2082" i="65" s="1"/>
  <c r="A2083" i="65"/>
  <c r="B2083" i="65" s="1"/>
  <c r="A2084" i="65"/>
  <c r="B2084" i="65" s="1"/>
  <c r="A2085" i="65"/>
  <c r="B2085" i="65" s="1"/>
  <c r="A2086" i="65"/>
  <c r="B2086" i="65" s="1"/>
  <c r="A2087" i="65"/>
  <c r="B2087" i="65" s="1"/>
  <c r="A2088" i="65"/>
  <c r="B2088" i="65" s="1"/>
  <c r="A2089" i="65"/>
  <c r="B2089" i="65" s="1"/>
  <c r="A2090" i="65"/>
  <c r="B2090" i="65" s="1"/>
  <c r="A2091" i="65"/>
  <c r="B2091" i="65" s="1"/>
  <c r="A2092" i="65"/>
  <c r="B2092" i="65" s="1"/>
  <c r="A2093" i="65"/>
  <c r="B2093" i="65" s="1"/>
  <c r="A2094" i="65"/>
  <c r="B2094" i="65" s="1"/>
  <c r="A2095" i="65"/>
  <c r="B2095" i="65" s="1"/>
  <c r="A2096" i="65"/>
  <c r="B2096" i="65" s="1"/>
  <c r="A2097" i="65"/>
  <c r="B2097" i="65" s="1"/>
  <c r="A2098" i="65"/>
  <c r="B2098" i="65" s="1"/>
  <c r="A2099" i="65"/>
  <c r="B2099" i="65" s="1"/>
  <c r="A2100" i="65"/>
  <c r="B2100" i="65" s="1"/>
  <c r="A2101" i="65"/>
  <c r="B2101" i="65" s="1"/>
  <c r="A2102" i="65"/>
  <c r="B2102" i="65" s="1"/>
  <c r="A2103" i="65"/>
  <c r="B2103" i="65" s="1"/>
  <c r="A2104" i="65"/>
  <c r="B2104" i="65" s="1"/>
  <c r="A2105" i="65"/>
  <c r="B2105" i="65" s="1"/>
  <c r="A2106" i="65"/>
  <c r="B2106" i="65" s="1"/>
  <c r="A2107" i="65"/>
  <c r="B2107" i="65" s="1"/>
  <c r="A2108" i="65"/>
  <c r="B2108" i="65" s="1"/>
  <c r="A2109" i="65"/>
  <c r="B2109" i="65" s="1"/>
  <c r="A2110" i="65"/>
  <c r="B2110" i="65" s="1"/>
  <c r="A2111" i="65"/>
  <c r="B2111" i="65" s="1"/>
  <c r="A2112" i="65"/>
  <c r="B2112" i="65" s="1"/>
  <c r="A2113" i="65"/>
  <c r="B2113" i="65" s="1"/>
  <c r="A2114" i="65"/>
  <c r="B2114" i="65" s="1"/>
  <c r="A2115" i="65"/>
  <c r="B2115" i="65" s="1"/>
  <c r="A2116" i="65"/>
  <c r="B2116" i="65" s="1"/>
  <c r="A2117" i="65"/>
  <c r="B2117" i="65" s="1"/>
  <c r="A2118" i="65"/>
  <c r="B2118" i="65" s="1"/>
  <c r="A2119" i="65"/>
  <c r="B2119" i="65" s="1"/>
  <c r="A2120" i="65"/>
  <c r="B2120" i="65" s="1"/>
  <c r="A2121" i="65"/>
  <c r="B2121" i="65" s="1"/>
  <c r="A2122" i="65"/>
  <c r="B2122" i="65" s="1"/>
  <c r="A2123" i="65"/>
  <c r="B2123" i="65" s="1"/>
  <c r="A2124" i="65"/>
  <c r="B2124" i="65" s="1"/>
  <c r="A2125" i="65"/>
  <c r="B2125" i="65" s="1"/>
  <c r="A2126" i="65"/>
  <c r="B2126" i="65" s="1"/>
  <c r="A2127" i="65"/>
  <c r="B2127" i="65" s="1"/>
  <c r="A2128" i="65"/>
  <c r="B2128" i="65" s="1"/>
  <c r="A2129" i="65"/>
  <c r="B2129" i="65" s="1"/>
  <c r="A2130" i="65"/>
  <c r="B2130" i="65" s="1"/>
  <c r="A2131" i="65"/>
  <c r="B2131" i="65" s="1"/>
  <c r="A2132" i="65"/>
  <c r="B2132" i="65" s="1"/>
  <c r="A2133" i="65"/>
  <c r="B2133" i="65" s="1"/>
  <c r="A2134" i="65"/>
  <c r="B2134" i="65" s="1"/>
  <c r="A2135" i="65"/>
  <c r="B2135" i="65" s="1"/>
  <c r="A2136" i="65"/>
  <c r="B2136" i="65" s="1"/>
  <c r="A2137" i="65"/>
  <c r="B2137" i="65" s="1"/>
  <c r="A2138" i="65"/>
  <c r="B2138" i="65" s="1"/>
  <c r="A2139" i="65"/>
  <c r="B2139" i="65" s="1"/>
  <c r="A2140" i="65"/>
  <c r="B2140" i="65" s="1"/>
  <c r="A2141" i="65"/>
  <c r="B2141" i="65" s="1"/>
  <c r="A2142" i="65"/>
  <c r="B2142" i="65" s="1"/>
  <c r="A2143" i="65"/>
  <c r="B2143" i="65" s="1"/>
  <c r="A2144" i="65"/>
  <c r="B2144" i="65" s="1"/>
  <c r="A2145" i="65"/>
  <c r="B2145" i="65" s="1"/>
  <c r="A2146" i="65"/>
  <c r="B2146" i="65" s="1"/>
  <c r="A2147" i="65"/>
  <c r="B2147" i="65" s="1"/>
  <c r="A2148" i="65"/>
  <c r="B2148" i="65" s="1"/>
  <c r="A2149" i="65"/>
  <c r="B2149" i="65" s="1"/>
  <c r="A2150" i="65"/>
  <c r="B2150" i="65" s="1"/>
  <c r="A2151" i="65"/>
  <c r="B2151" i="65" s="1"/>
  <c r="A2152" i="65"/>
  <c r="B2152" i="65" s="1"/>
  <c r="A2153" i="65"/>
  <c r="B2153" i="65" s="1"/>
  <c r="A2154" i="65"/>
  <c r="B2154" i="65" s="1"/>
  <c r="A2155" i="65"/>
  <c r="B2155" i="65" s="1"/>
  <c r="A2156" i="65"/>
  <c r="B2156" i="65" s="1"/>
  <c r="A2157" i="65"/>
  <c r="B2157" i="65" s="1"/>
  <c r="A2158" i="65"/>
  <c r="B2158" i="65" s="1"/>
  <c r="A2159" i="65"/>
  <c r="B2159" i="65" s="1"/>
  <c r="A2160" i="65"/>
  <c r="B2160" i="65" s="1"/>
  <c r="A2161" i="65"/>
  <c r="B2161" i="65" s="1"/>
  <c r="A2162" i="65"/>
  <c r="B2162" i="65" s="1"/>
  <c r="A2163" i="65"/>
  <c r="B2163" i="65" s="1"/>
  <c r="A2164" i="65"/>
  <c r="B2164" i="65" s="1"/>
  <c r="A2165" i="65"/>
  <c r="B2165" i="65" s="1"/>
  <c r="A2166" i="65"/>
  <c r="B2166" i="65" s="1"/>
  <c r="A2167" i="65"/>
  <c r="B2167" i="65" s="1"/>
  <c r="A2168" i="65"/>
  <c r="B2168" i="65" s="1"/>
  <c r="A2169" i="65"/>
  <c r="B2169" i="65" s="1"/>
  <c r="A2170" i="65"/>
  <c r="B2170" i="65" s="1"/>
  <c r="A2171" i="65"/>
  <c r="B2171" i="65" s="1"/>
  <c r="A2172" i="65"/>
  <c r="B2172" i="65" s="1"/>
  <c r="A2173" i="65"/>
  <c r="B2173" i="65" s="1"/>
  <c r="A2174" i="65"/>
  <c r="B2174" i="65" s="1"/>
  <c r="A2175" i="65"/>
  <c r="B2175" i="65" s="1"/>
  <c r="A2176" i="65"/>
  <c r="B2176" i="65" s="1"/>
  <c r="A2177" i="65"/>
  <c r="B2177" i="65" s="1"/>
  <c r="A2178" i="65"/>
  <c r="B2178" i="65" s="1"/>
  <c r="A2179" i="65"/>
  <c r="B2179" i="65" s="1"/>
  <c r="A2180" i="65"/>
  <c r="B2180" i="65" s="1"/>
  <c r="A2181" i="65"/>
  <c r="B2181" i="65" s="1"/>
  <c r="A2182" i="65"/>
  <c r="B2182" i="65" s="1"/>
  <c r="A2183" i="65"/>
  <c r="B2183" i="65" s="1"/>
  <c r="A2184" i="65"/>
  <c r="B2184" i="65" s="1"/>
  <c r="A2185" i="65"/>
  <c r="B2185" i="65" s="1"/>
  <c r="A2186" i="65"/>
  <c r="B2186" i="65" s="1"/>
  <c r="A2187" i="65"/>
  <c r="B2187" i="65" s="1"/>
  <c r="A2188" i="65"/>
  <c r="B2188" i="65" s="1"/>
  <c r="A2189" i="65"/>
  <c r="B2189" i="65" s="1"/>
  <c r="A2190" i="65"/>
  <c r="B2190" i="65" s="1"/>
  <c r="A2191" i="65"/>
  <c r="B2191" i="65" s="1"/>
  <c r="A2192" i="65"/>
  <c r="B2192" i="65" s="1"/>
  <c r="A2193" i="65"/>
  <c r="B2193" i="65" s="1"/>
  <c r="A2194" i="65"/>
  <c r="B2194" i="65" s="1"/>
  <c r="A2195" i="65"/>
  <c r="B2195" i="65" s="1"/>
  <c r="A2196" i="65"/>
  <c r="B2196" i="65" s="1"/>
  <c r="A2197" i="65"/>
  <c r="B2197" i="65" s="1"/>
  <c r="A2198" i="65"/>
  <c r="B2198" i="65" s="1"/>
  <c r="A2199" i="65"/>
  <c r="B2199" i="65" s="1"/>
  <c r="A2200" i="65"/>
  <c r="B2200" i="65" s="1"/>
  <c r="A2201" i="65"/>
  <c r="B2201" i="65" s="1"/>
  <c r="A2202" i="65"/>
  <c r="B2202" i="65" s="1"/>
  <c r="A2203" i="65"/>
  <c r="B2203" i="65" s="1"/>
  <c r="A2204" i="65"/>
  <c r="B2204" i="65" s="1"/>
  <c r="A2205" i="65"/>
  <c r="B2205" i="65" s="1"/>
  <c r="A2206" i="65"/>
  <c r="B2206" i="65" s="1"/>
  <c r="A2207" i="65"/>
  <c r="B2207" i="65" s="1"/>
  <c r="A2208" i="65"/>
  <c r="B2208" i="65" s="1"/>
  <c r="A2209" i="65"/>
  <c r="B2209" i="65" s="1"/>
  <c r="A2210" i="65"/>
  <c r="B2210" i="65" s="1"/>
  <c r="A2211" i="65"/>
  <c r="B2211" i="65" s="1"/>
  <c r="A2212" i="65"/>
  <c r="B2212" i="65" s="1"/>
  <c r="A2213" i="65"/>
  <c r="B2213" i="65" s="1"/>
  <c r="A2214" i="65"/>
  <c r="B2214" i="65" s="1"/>
  <c r="A2215" i="65"/>
  <c r="B2215" i="65" s="1"/>
  <c r="A2216" i="65"/>
  <c r="B2216" i="65" s="1"/>
  <c r="A2217" i="65"/>
  <c r="B2217" i="65" s="1"/>
  <c r="A2218" i="65"/>
  <c r="B2218" i="65" s="1"/>
  <c r="A2219" i="65"/>
  <c r="B2219" i="65" s="1"/>
  <c r="A2220" i="65"/>
  <c r="B2220" i="65" s="1"/>
  <c r="A2221" i="65"/>
  <c r="B2221" i="65" s="1"/>
  <c r="A2222" i="65"/>
  <c r="B2222" i="65" s="1"/>
  <c r="A2223" i="65"/>
  <c r="B2223" i="65" s="1"/>
  <c r="A2224" i="65"/>
  <c r="B2224" i="65" s="1"/>
  <c r="A2225" i="65"/>
  <c r="B2225" i="65" s="1"/>
  <c r="A2226" i="65"/>
  <c r="B2226" i="65" s="1"/>
  <c r="A2227" i="65"/>
  <c r="B2227" i="65" s="1"/>
  <c r="A2228" i="65"/>
  <c r="B2228" i="65" s="1"/>
  <c r="A2229" i="65"/>
  <c r="B2229" i="65" s="1"/>
  <c r="A2230" i="65"/>
  <c r="B2230" i="65" s="1"/>
  <c r="A2231" i="65"/>
  <c r="B2231" i="65" s="1"/>
  <c r="A2232" i="65"/>
  <c r="B2232" i="65" s="1"/>
  <c r="A2233" i="65"/>
  <c r="B2233" i="65" s="1"/>
  <c r="A2234" i="65"/>
  <c r="B2234" i="65" s="1"/>
  <c r="A2235" i="65"/>
  <c r="B2235" i="65" s="1"/>
  <c r="A2236" i="65"/>
  <c r="B2236" i="65" s="1"/>
  <c r="A2237" i="65"/>
  <c r="B2237" i="65" s="1"/>
  <c r="A2238" i="65"/>
  <c r="B2238" i="65" s="1"/>
  <c r="A2239" i="65"/>
  <c r="B2239" i="65" s="1"/>
  <c r="A2240" i="65"/>
  <c r="B2240" i="65" s="1"/>
  <c r="A2241" i="65"/>
  <c r="B2241" i="65" s="1"/>
  <c r="A2242" i="65"/>
  <c r="B2242" i="65" s="1"/>
  <c r="A2243" i="65"/>
  <c r="B2243" i="65" s="1"/>
  <c r="A2244" i="65"/>
  <c r="B2244" i="65" s="1"/>
  <c r="A2245" i="65"/>
  <c r="B2245" i="65" s="1"/>
  <c r="A2246" i="65"/>
  <c r="B2246" i="65" s="1"/>
  <c r="A2247" i="65"/>
  <c r="B2247" i="65" s="1"/>
  <c r="A2248" i="65"/>
  <c r="B2248" i="65" s="1"/>
  <c r="A2249" i="65"/>
  <c r="B2249" i="65" s="1"/>
  <c r="A2250" i="65"/>
  <c r="B2250" i="65" s="1"/>
  <c r="A2251" i="65"/>
  <c r="B2251" i="65" s="1"/>
  <c r="A2252" i="65"/>
  <c r="B2252" i="65" s="1"/>
  <c r="A2253" i="65"/>
  <c r="B2253" i="65" s="1"/>
  <c r="A2254" i="65"/>
  <c r="B2254" i="65" s="1"/>
  <c r="A2255" i="65"/>
  <c r="B2255" i="65" s="1"/>
  <c r="A2256" i="65"/>
  <c r="B2256" i="65" s="1"/>
  <c r="A2257" i="65"/>
  <c r="B2257" i="65" s="1"/>
  <c r="A2258" i="65"/>
  <c r="B2258" i="65" s="1"/>
  <c r="A2259" i="65"/>
  <c r="B2259" i="65" s="1"/>
  <c r="A2260" i="65"/>
  <c r="B2260" i="65" s="1"/>
  <c r="A2261" i="65"/>
  <c r="B2261" i="65" s="1"/>
  <c r="A2262" i="65"/>
  <c r="B2262" i="65" s="1"/>
  <c r="A2263" i="65"/>
  <c r="B2263" i="65" s="1"/>
  <c r="A2264" i="65"/>
  <c r="B2264" i="65" s="1"/>
  <c r="A2265" i="65"/>
  <c r="B2265" i="65" s="1"/>
  <c r="A2266" i="65"/>
  <c r="B2266" i="65" s="1"/>
  <c r="A2267" i="65"/>
  <c r="B2267" i="65" s="1"/>
  <c r="A2268" i="65"/>
  <c r="B2268" i="65" s="1"/>
  <c r="A2269" i="65"/>
  <c r="B2269" i="65" s="1"/>
  <c r="A2270" i="65"/>
  <c r="B2270" i="65" s="1"/>
  <c r="A2271" i="65"/>
  <c r="B2271" i="65" s="1"/>
  <c r="A2272" i="65"/>
  <c r="B2272" i="65" s="1"/>
  <c r="A2273" i="65"/>
  <c r="B2273" i="65" s="1"/>
  <c r="A2274" i="65"/>
  <c r="B2274" i="65" s="1"/>
  <c r="A2275" i="65"/>
  <c r="B2275" i="65" s="1"/>
  <c r="A2276" i="65"/>
  <c r="B2276" i="65" s="1"/>
  <c r="A2277" i="65"/>
  <c r="B2277" i="65" s="1"/>
  <c r="A2278" i="65"/>
  <c r="B2278" i="65" s="1"/>
  <c r="A2279" i="65"/>
  <c r="B2279" i="65" s="1"/>
  <c r="A2280" i="65"/>
  <c r="B2280" i="65" s="1"/>
  <c r="A2281" i="65"/>
  <c r="B2281" i="65" s="1"/>
  <c r="A2282" i="65"/>
  <c r="B2282" i="65" s="1"/>
  <c r="A2283" i="65"/>
  <c r="B2283" i="65" s="1"/>
  <c r="A2284" i="65"/>
  <c r="B2284" i="65" s="1"/>
  <c r="A2285" i="65"/>
  <c r="B2285" i="65" s="1"/>
  <c r="A2286" i="65"/>
  <c r="B2286" i="65" s="1"/>
  <c r="A2287" i="65"/>
  <c r="B2287" i="65" s="1"/>
  <c r="A2288" i="65"/>
  <c r="B2288" i="65" s="1"/>
  <c r="A2289" i="65"/>
  <c r="B2289" i="65" s="1"/>
  <c r="A2290" i="65"/>
  <c r="B2290" i="65" s="1"/>
  <c r="A2291" i="65"/>
  <c r="B2291" i="65" s="1"/>
  <c r="A2292" i="65"/>
  <c r="B2292" i="65" s="1"/>
  <c r="A2293" i="65"/>
  <c r="B2293" i="65" s="1"/>
  <c r="A2294" i="65"/>
  <c r="B2294" i="65" s="1"/>
  <c r="A2295" i="65"/>
  <c r="B2295" i="65" s="1"/>
  <c r="A2296" i="65"/>
  <c r="B2296" i="65" s="1"/>
  <c r="A2297" i="65"/>
  <c r="B2297" i="65" s="1"/>
  <c r="A2298" i="65"/>
  <c r="B2298" i="65" s="1"/>
  <c r="A2299" i="65"/>
  <c r="B2299" i="65" s="1"/>
  <c r="A2300" i="65"/>
  <c r="B2300" i="65" s="1"/>
  <c r="A2301" i="65"/>
  <c r="B2301" i="65" s="1"/>
  <c r="A2302" i="65"/>
  <c r="B2302" i="65" s="1"/>
  <c r="A2303" i="65"/>
  <c r="B2303" i="65" s="1"/>
  <c r="A2304" i="65"/>
  <c r="B2304" i="65" s="1"/>
  <c r="A2305" i="65"/>
  <c r="B2305" i="65" s="1"/>
  <c r="A2306" i="65"/>
  <c r="B2306" i="65" s="1"/>
  <c r="A2307" i="65"/>
  <c r="B2307" i="65" s="1"/>
  <c r="A2308" i="65"/>
  <c r="B2308" i="65" s="1"/>
  <c r="A2309" i="65"/>
  <c r="B2309" i="65" s="1"/>
  <c r="A2310" i="65"/>
  <c r="B2310" i="65" s="1"/>
  <c r="A2311" i="65"/>
  <c r="B2311" i="65" s="1"/>
  <c r="A2312" i="65"/>
  <c r="B2312" i="65" s="1"/>
  <c r="A2313" i="65"/>
  <c r="B2313" i="65" s="1"/>
  <c r="A2314" i="65"/>
  <c r="B2314" i="65" s="1"/>
  <c r="A2315" i="65"/>
  <c r="B2315" i="65" s="1"/>
  <c r="A2316" i="65"/>
  <c r="B2316" i="65" s="1"/>
  <c r="A2317" i="65"/>
  <c r="B2317" i="65" s="1"/>
  <c r="A2318" i="65"/>
  <c r="B2318" i="65" s="1"/>
  <c r="A2319" i="65"/>
  <c r="B2319" i="65" s="1"/>
  <c r="A2320" i="65"/>
  <c r="B2320" i="65" s="1"/>
  <c r="A2321" i="65"/>
  <c r="B2321" i="65" s="1"/>
  <c r="A2322" i="65"/>
  <c r="B2322" i="65" s="1"/>
  <c r="A2323" i="65"/>
  <c r="B2323" i="65" s="1"/>
  <c r="A2324" i="65"/>
  <c r="B2324" i="65" s="1"/>
  <c r="A2325" i="65"/>
  <c r="B2325" i="65" s="1"/>
  <c r="A2326" i="65"/>
  <c r="B2326" i="65" s="1"/>
  <c r="A2327" i="65"/>
  <c r="B2327" i="65" s="1"/>
  <c r="A2328" i="65"/>
  <c r="B2328" i="65" s="1"/>
  <c r="A2329" i="65"/>
  <c r="B2329" i="65" s="1"/>
  <c r="A2330" i="65"/>
  <c r="B2330" i="65" s="1"/>
  <c r="A2331" i="65"/>
  <c r="B2331" i="65" s="1"/>
  <c r="A2332" i="65"/>
  <c r="B2332" i="65" s="1"/>
  <c r="A2333" i="65"/>
  <c r="B2333" i="65" s="1"/>
  <c r="A2334" i="65"/>
  <c r="B2334" i="65" s="1"/>
  <c r="A2335" i="65"/>
  <c r="B2335" i="65" s="1"/>
  <c r="A2336" i="65"/>
  <c r="B2336" i="65" s="1"/>
  <c r="A2337" i="65"/>
  <c r="B2337" i="65" s="1"/>
  <c r="A2338" i="65"/>
  <c r="B2338" i="65" s="1"/>
  <c r="A2339" i="65"/>
  <c r="B2339" i="65" s="1"/>
  <c r="A2340" i="65"/>
  <c r="B2340" i="65" s="1"/>
  <c r="A2341" i="65"/>
  <c r="B2341" i="65" s="1"/>
  <c r="A2342" i="65"/>
  <c r="B2342" i="65" s="1"/>
  <c r="A2343" i="65"/>
  <c r="B2343" i="65" s="1"/>
  <c r="A2344" i="65"/>
  <c r="B2344" i="65" s="1"/>
  <c r="A2345" i="65"/>
  <c r="B2345" i="65" s="1"/>
  <c r="A2346" i="65"/>
  <c r="B2346" i="65" s="1"/>
  <c r="A2347" i="65"/>
  <c r="B2347" i="65" s="1"/>
  <c r="A2348" i="65"/>
  <c r="B2348" i="65" s="1"/>
  <c r="A2349" i="65"/>
  <c r="B2349" i="65" s="1"/>
  <c r="A2350" i="65"/>
  <c r="B2350" i="65" s="1"/>
  <c r="A2351" i="65"/>
  <c r="B2351" i="65" s="1"/>
  <c r="A2352" i="65"/>
  <c r="B2352" i="65" s="1"/>
  <c r="A2353" i="65"/>
  <c r="B2353" i="65" s="1"/>
  <c r="A2354" i="65"/>
  <c r="B2354" i="65" s="1"/>
  <c r="A2355" i="65"/>
  <c r="B2355" i="65" s="1"/>
  <c r="A2356" i="65"/>
  <c r="B2356" i="65" s="1"/>
  <c r="A2357" i="65"/>
  <c r="B2357" i="65" s="1"/>
  <c r="A2358" i="65"/>
  <c r="B2358" i="65" s="1"/>
  <c r="A2359" i="65"/>
  <c r="B2359" i="65" s="1"/>
  <c r="A2360" i="65"/>
  <c r="B2360" i="65" s="1"/>
  <c r="A2361" i="65"/>
  <c r="B2361" i="65" s="1"/>
  <c r="A2362" i="65"/>
  <c r="B2362" i="65" s="1"/>
  <c r="A2363" i="65"/>
  <c r="B2363" i="65" s="1"/>
  <c r="A2364" i="65"/>
  <c r="B2364" i="65" s="1"/>
  <c r="A2365" i="65"/>
  <c r="B2365" i="65" s="1"/>
  <c r="A2366" i="65"/>
  <c r="B2366" i="65" s="1"/>
  <c r="A2367" i="65"/>
  <c r="B2367" i="65" s="1"/>
  <c r="A2368" i="65"/>
  <c r="B2368" i="65" s="1"/>
  <c r="A2369" i="65"/>
  <c r="B2369" i="65" s="1"/>
  <c r="A2370" i="65"/>
  <c r="B2370" i="65" s="1"/>
  <c r="A2371" i="65"/>
  <c r="B2371" i="65" s="1"/>
  <c r="A2372" i="65"/>
  <c r="B2372" i="65" s="1"/>
  <c r="A2373" i="65"/>
  <c r="B2373" i="65" s="1"/>
  <c r="A2374" i="65"/>
  <c r="B2374" i="65" s="1"/>
  <c r="A2375" i="65"/>
  <c r="B2375" i="65" s="1"/>
  <c r="A2376" i="65"/>
  <c r="B2376" i="65" s="1"/>
  <c r="A2377" i="65"/>
  <c r="B2377" i="65" s="1"/>
  <c r="A2378" i="65"/>
  <c r="B2378" i="65" s="1"/>
  <c r="A2379" i="65"/>
  <c r="B2379" i="65" s="1"/>
  <c r="A2380" i="65"/>
  <c r="B2380" i="65" s="1"/>
  <c r="A2381" i="65"/>
  <c r="B2381" i="65" s="1"/>
  <c r="A2382" i="65"/>
  <c r="B2382" i="65" s="1"/>
  <c r="A2383" i="65"/>
  <c r="B2383" i="65" s="1"/>
  <c r="A2384" i="65"/>
  <c r="B2384" i="65" s="1"/>
  <c r="A2385" i="65"/>
  <c r="B2385" i="65" s="1"/>
  <c r="A2386" i="65"/>
  <c r="B2386" i="65" s="1"/>
  <c r="A2387" i="65"/>
  <c r="B2387" i="65" s="1"/>
  <c r="A2388" i="65"/>
  <c r="B2388" i="65" s="1"/>
  <c r="A2389" i="65"/>
  <c r="B2389" i="65" s="1"/>
  <c r="A2390" i="65"/>
  <c r="B2390" i="65" s="1"/>
  <c r="A2391" i="65"/>
  <c r="B2391" i="65" s="1"/>
  <c r="A2392" i="65"/>
  <c r="B2392" i="65" s="1"/>
  <c r="A2393" i="65"/>
  <c r="B2393" i="65" s="1"/>
  <c r="A2394" i="65"/>
  <c r="B2394" i="65" s="1"/>
  <c r="A2395" i="65"/>
  <c r="B2395" i="65" s="1"/>
  <c r="A2396" i="65"/>
  <c r="B2396" i="65" s="1"/>
  <c r="A2397" i="65"/>
  <c r="B2397" i="65" s="1"/>
  <c r="A2398" i="65"/>
  <c r="B2398" i="65" s="1"/>
  <c r="A2399" i="65"/>
  <c r="B2399" i="65" s="1"/>
  <c r="A2400" i="65"/>
  <c r="B2400" i="65" s="1"/>
  <c r="A2401" i="65"/>
  <c r="B2401" i="65" s="1"/>
  <c r="A2402" i="65"/>
  <c r="B2402" i="65" s="1"/>
  <c r="A2403" i="65"/>
  <c r="B2403" i="65" s="1"/>
  <c r="A2404" i="65"/>
  <c r="B2404" i="65" s="1"/>
  <c r="A2405" i="65"/>
  <c r="B2405" i="65" s="1"/>
  <c r="A2406" i="65"/>
  <c r="B2406" i="65" s="1"/>
  <c r="A2407" i="65"/>
  <c r="B2407" i="65" s="1"/>
  <c r="A2408" i="65"/>
  <c r="B2408" i="65" s="1"/>
  <c r="A2409" i="65"/>
  <c r="B2409" i="65" s="1"/>
  <c r="A2410" i="65"/>
  <c r="B2410" i="65" s="1"/>
  <c r="A2411" i="65"/>
  <c r="B2411" i="65" s="1"/>
  <c r="A2412" i="65"/>
  <c r="B2412" i="65" s="1"/>
  <c r="A2413" i="65"/>
  <c r="B2413" i="65" s="1"/>
  <c r="A2414" i="65"/>
  <c r="B2414" i="65" s="1"/>
  <c r="A2415" i="65"/>
  <c r="B2415" i="65" s="1"/>
  <c r="A2416" i="65"/>
  <c r="B2416" i="65" s="1"/>
  <c r="A2417" i="65"/>
  <c r="B2417" i="65" s="1"/>
  <c r="A2418" i="65"/>
  <c r="B2418" i="65" s="1"/>
  <c r="A2419" i="65"/>
  <c r="B2419" i="65" s="1"/>
  <c r="A2420" i="65"/>
  <c r="B2420" i="65" s="1"/>
  <c r="A2421" i="65"/>
  <c r="B2421" i="65" s="1"/>
  <c r="A2422" i="65"/>
  <c r="B2422" i="65" s="1"/>
  <c r="A2423" i="65"/>
  <c r="B2423" i="65" s="1"/>
  <c r="A2424" i="65"/>
  <c r="B2424" i="65" s="1"/>
  <c r="A2425" i="65"/>
  <c r="B2425" i="65" s="1"/>
  <c r="A2426" i="65"/>
  <c r="B2426" i="65" s="1"/>
  <c r="A2427" i="65"/>
  <c r="B2427" i="65" s="1"/>
  <c r="A2428" i="65"/>
  <c r="B2428" i="65" s="1"/>
  <c r="A2429" i="65"/>
  <c r="B2429" i="65" s="1"/>
  <c r="A2430" i="65"/>
  <c r="B2430" i="65" s="1"/>
  <c r="A2431" i="65"/>
  <c r="B2431" i="65" s="1"/>
  <c r="A2432" i="65"/>
  <c r="B2432" i="65" s="1"/>
  <c r="A2433" i="65"/>
  <c r="B2433" i="65" s="1"/>
  <c r="A2434" i="65"/>
  <c r="B2434" i="65" s="1"/>
  <c r="A2435" i="65"/>
  <c r="B2435" i="65" s="1"/>
  <c r="A2436" i="65"/>
  <c r="B2436" i="65" s="1"/>
  <c r="A2437" i="65"/>
  <c r="B2437" i="65" s="1"/>
  <c r="A2438" i="65"/>
  <c r="B2438" i="65" s="1"/>
  <c r="A2439" i="65"/>
  <c r="B2439" i="65" s="1"/>
  <c r="A2440" i="65"/>
  <c r="B2440" i="65" s="1"/>
  <c r="A2441" i="65"/>
  <c r="B2441" i="65" s="1"/>
  <c r="A2442" i="65"/>
  <c r="B2442" i="65" s="1"/>
  <c r="A2443" i="65"/>
  <c r="B2443" i="65" s="1"/>
  <c r="A2444" i="65"/>
  <c r="B2444" i="65" s="1"/>
  <c r="A2445" i="65"/>
  <c r="B2445" i="65" s="1"/>
  <c r="A2446" i="65"/>
  <c r="B2446" i="65" s="1"/>
  <c r="A2447" i="65"/>
  <c r="B2447" i="65" s="1"/>
  <c r="A2448" i="65"/>
  <c r="B2448" i="65" s="1"/>
  <c r="A2449" i="65"/>
  <c r="B2449" i="65" s="1"/>
  <c r="A2450" i="65"/>
  <c r="B2450" i="65" s="1"/>
  <c r="A2451" i="65"/>
  <c r="B2451" i="65" s="1"/>
  <c r="A2452" i="65"/>
  <c r="B2452" i="65" s="1"/>
  <c r="A2453" i="65"/>
  <c r="B2453" i="65" s="1"/>
  <c r="A2454" i="65"/>
  <c r="B2454" i="65" s="1"/>
  <c r="A2455" i="65"/>
  <c r="B2455" i="65" s="1"/>
  <c r="A2456" i="65"/>
  <c r="B2456" i="65" s="1"/>
  <c r="A2457" i="65"/>
  <c r="B2457" i="65" s="1"/>
  <c r="A2458" i="65"/>
  <c r="B2458" i="65" s="1"/>
  <c r="A2459" i="65"/>
  <c r="B2459" i="65" s="1"/>
  <c r="A2460" i="65"/>
  <c r="B2460" i="65" s="1"/>
  <c r="A2461" i="65"/>
  <c r="B2461" i="65" s="1"/>
  <c r="A2462" i="65"/>
  <c r="B2462" i="65" s="1"/>
  <c r="A2463" i="65"/>
  <c r="B2463" i="65" s="1"/>
  <c r="A2464" i="65"/>
  <c r="B2464" i="65" s="1"/>
  <c r="A2465" i="65"/>
  <c r="B2465" i="65" s="1"/>
  <c r="A2466" i="65"/>
  <c r="B2466" i="65" s="1"/>
  <c r="A2467" i="65"/>
  <c r="B2467" i="65" s="1"/>
  <c r="A2468" i="65"/>
  <c r="B2468" i="65" s="1"/>
  <c r="A2469" i="65"/>
  <c r="B2469" i="65" s="1"/>
  <c r="A2470" i="65"/>
  <c r="B2470" i="65" s="1"/>
  <c r="A2471" i="65"/>
  <c r="B2471" i="65" s="1"/>
  <c r="A2472" i="65"/>
  <c r="B2472" i="65" s="1"/>
  <c r="A2473" i="65"/>
  <c r="B2473" i="65" s="1"/>
  <c r="A2474" i="65"/>
  <c r="B2474" i="65" s="1"/>
  <c r="A2475" i="65"/>
  <c r="B2475" i="65" s="1"/>
  <c r="A2476" i="65"/>
  <c r="B2476" i="65" s="1"/>
  <c r="A2477" i="65"/>
  <c r="B2477" i="65" s="1"/>
  <c r="A2478" i="65"/>
  <c r="B2478" i="65" s="1"/>
  <c r="A2479" i="65"/>
  <c r="B2479" i="65" s="1"/>
  <c r="A2480" i="65"/>
  <c r="B2480" i="65" s="1"/>
  <c r="A2481" i="65"/>
  <c r="B2481" i="65" s="1"/>
  <c r="A2482" i="65"/>
  <c r="B2482" i="65" s="1"/>
  <c r="A2483" i="65"/>
  <c r="B2483" i="65" s="1"/>
  <c r="A2484" i="65"/>
  <c r="B2484" i="65" s="1"/>
  <c r="A2485" i="65"/>
  <c r="B2485" i="65" s="1"/>
  <c r="A2486" i="65"/>
  <c r="B2486" i="65" s="1"/>
  <c r="A2487" i="65"/>
  <c r="B2487" i="65" s="1"/>
  <c r="A2488" i="65"/>
  <c r="B2488" i="65" s="1"/>
  <c r="A2489" i="65"/>
  <c r="B2489" i="65" s="1"/>
  <c r="A2490" i="65"/>
  <c r="B2490" i="65" s="1"/>
  <c r="A2491" i="65"/>
  <c r="B2491" i="65" s="1"/>
  <c r="A2492" i="65"/>
  <c r="B2492" i="65" s="1"/>
  <c r="A2493" i="65"/>
  <c r="B2493" i="65" s="1"/>
  <c r="A2494" i="65"/>
  <c r="B2494" i="65" s="1"/>
  <c r="A2495" i="65"/>
  <c r="B2495" i="65" s="1"/>
  <c r="A2496" i="65"/>
  <c r="B2496" i="65" s="1"/>
  <c r="A2497" i="65"/>
  <c r="B2497" i="65" s="1"/>
  <c r="A2498" i="65"/>
  <c r="B2498" i="65" s="1"/>
  <c r="A2499" i="65"/>
  <c r="B2499" i="65" s="1"/>
  <c r="A2500" i="65"/>
  <c r="B2500" i="65" s="1"/>
  <c r="A2501" i="65"/>
  <c r="B2501" i="65" s="1"/>
  <c r="A2502" i="65"/>
  <c r="B2502" i="65" s="1"/>
  <c r="A2503" i="65"/>
  <c r="B2503" i="65" s="1"/>
  <c r="A2504" i="65"/>
  <c r="B2504" i="65" s="1"/>
  <c r="A2505" i="65"/>
  <c r="B2505" i="65" s="1"/>
  <c r="A2506" i="65"/>
  <c r="B2506" i="65" s="1"/>
  <c r="A2507" i="65"/>
  <c r="B2507" i="65" s="1"/>
  <c r="A2508" i="65"/>
  <c r="B2508" i="65" s="1"/>
  <c r="A2509" i="65"/>
  <c r="B2509" i="65" s="1"/>
  <c r="A2510" i="65"/>
  <c r="B2510" i="65" s="1"/>
  <c r="A2511" i="65"/>
  <c r="B2511" i="65" s="1"/>
  <c r="A2512" i="65"/>
  <c r="B2512" i="65" s="1"/>
  <c r="A2513" i="65"/>
  <c r="B2513" i="65" s="1"/>
  <c r="A2514" i="65"/>
  <c r="B2514" i="65" s="1"/>
  <c r="A2515" i="65"/>
  <c r="B2515" i="65" s="1"/>
  <c r="A2516" i="65"/>
  <c r="B2516" i="65" s="1"/>
  <c r="A2517" i="65"/>
  <c r="B2517" i="65" s="1"/>
  <c r="A2518" i="65"/>
  <c r="B2518" i="65" s="1"/>
  <c r="A2519" i="65"/>
  <c r="B2519" i="65" s="1"/>
  <c r="A2520" i="65"/>
  <c r="B2520" i="65" s="1"/>
  <c r="A2521" i="65"/>
  <c r="B2521" i="65" s="1"/>
  <c r="A2522" i="65"/>
  <c r="B2522" i="65" s="1"/>
  <c r="A2523" i="65"/>
  <c r="B2523" i="65" s="1"/>
  <c r="A2524" i="65"/>
  <c r="B2524" i="65" s="1"/>
  <c r="A2525" i="65"/>
  <c r="B2525" i="65" s="1"/>
  <c r="A2526" i="65"/>
  <c r="B2526" i="65" s="1"/>
  <c r="A2527" i="65"/>
  <c r="B2527" i="65" s="1"/>
  <c r="A2528" i="65"/>
  <c r="B2528" i="65" s="1"/>
  <c r="A2529" i="65"/>
  <c r="B2529" i="65" s="1"/>
  <c r="A2530" i="65"/>
  <c r="B2530" i="65" s="1"/>
  <c r="A2531" i="65"/>
  <c r="B2531" i="65" s="1"/>
  <c r="A2532" i="65"/>
  <c r="B2532" i="65" s="1"/>
  <c r="A2533" i="65"/>
  <c r="B2533" i="65" s="1"/>
  <c r="A2534" i="65"/>
  <c r="B2534" i="65" s="1"/>
  <c r="A2535" i="65"/>
  <c r="B2535" i="65" s="1"/>
  <c r="A2536" i="65"/>
  <c r="B2536" i="65" s="1"/>
  <c r="A2537" i="65"/>
  <c r="B2537" i="65" s="1"/>
  <c r="A2538" i="65"/>
  <c r="B2538" i="65" s="1"/>
  <c r="A2539" i="65"/>
  <c r="B2539" i="65" s="1"/>
  <c r="A2540" i="65"/>
  <c r="B2540" i="65" s="1"/>
  <c r="A2541" i="65"/>
  <c r="B2541" i="65" s="1"/>
  <c r="A2542" i="65"/>
  <c r="B2542" i="65" s="1"/>
  <c r="A2543" i="65"/>
  <c r="B2543" i="65" s="1"/>
  <c r="A2544" i="65"/>
  <c r="B2544" i="65" s="1"/>
  <c r="A2545" i="65"/>
  <c r="B2545" i="65" s="1"/>
  <c r="A2546" i="65"/>
  <c r="B2546" i="65" s="1"/>
  <c r="A2547" i="65"/>
  <c r="B2547" i="65" s="1"/>
  <c r="A2548" i="65"/>
  <c r="B2548" i="65" s="1"/>
  <c r="A2549" i="65"/>
  <c r="B2549" i="65" s="1"/>
  <c r="A2550" i="65"/>
  <c r="B2550" i="65" s="1"/>
  <c r="A2551" i="65"/>
  <c r="B2551" i="65" s="1"/>
  <c r="A2552" i="65"/>
  <c r="B2552" i="65" s="1"/>
  <c r="A2553" i="65"/>
  <c r="B2553" i="65" s="1"/>
  <c r="A2554" i="65"/>
  <c r="B2554" i="65" s="1"/>
  <c r="A2555" i="65"/>
  <c r="B2555" i="65" s="1"/>
  <c r="A2556" i="65"/>
  <c r="B2556" i="65" s="1"/>
  <c r="A2557" i="65"/>
  <c r="B2557" i="65" s="1"/>
  <c r="A2558" i="65"/>
  <c r="B2558" i="65" s="1"/>
  <c r="A2559" i="65"/>
  <c r="B2559" i="65" s="1"/>
  <c r="A2560" i="65"/>
  <c r="B2560" i="65" s="1"/>
  <c r="A2561" i="65"/>
  <c r="B2561" i="65" s="1"/>
  <c r="A2562" i="65"/>
  <c r="B2562" i="65" s="1"/>
  <c r="A2563" i="65"/>
  <c r="B2563" i="65" s="1"/>
  <c r="A2564" i="65"/>
  <c r="B2564" i="65" s="1"/>
  <c r="A2565" i="65"/>
  <c r="B2565" i="65" s="1"/>
  <c r="A2566" i="65"/>
  <c r="B2566" i="65" s="1"/>
  <c r="A2567" i="65"/>
  <c r="B2567" i="65" s="1"/>
  <c r="A2568" i="65"/>
  <c r="B2568" i="65" s="1"/>
  <c r="A2569" i="65"/>
  <c r="B2569" i="65" s="1"/>
  <c r="A2570" i="65"/>
  <c r="B2570" i="65" s="1"/>
  <c r="A2571" i="65"/>
  <c r="B2571" i="65" s="1"/>
  <c r="A2572" i="65"/>
  <c r="B2572" i="65" s="1"/>
  <c r="A2573" i="65"/>
  <c r="B2573" i="65" s="1"/>
  <c r="A2574" i="65"/>
  <c r="B2574" i="65" s="1"/>
  <c r="A2575" i="65"/>
  <c r="B2575" i="65" s="1"/>
  <c r="A2576" i="65"/>
  <c r="B2576" i="65" s="1"/>
  <c r="A2577" i="65"/>
  <c r="B2577" i="65" s="1"/>
  <c r="A2578" i="65"/>
  <c r="B2578" i="65" s="1"/>
  <c r="A2579" i="65"/>
  <c r="B2579" i="65" s="1"/>
  <c r="A2580" i="65"/>
  <c r="B2580" i="65" s="1"/>
  <c r="A2581" i="65"/>
  <c r="B2581" i="65" s="1"/>
  <c r="A2582" i="65"/>
  <c r="B2582" i="65" s="1"/>
  <c r="A2583" i="65"/>
  <c r="B2583" i="65" s="1"/>
  <c r="A2584" i="65"/>
  <c r="B2584" i="65" s="1"/>
  <c r="A2585" i="65"/>
  <c r="B2585" i="65" s="1"/>
  <c r="A2586" i="65"/>
  <c r="B2586" i="65" s="1"/>
  <c r="A2587" i="65"/>
  <c r="B2587" i="65" s="1"/>
  <c r="A2588" i="65"/>
  <c r="B2588" i="65" s="1"/>
  <c r="A2589" i="65"/>
  <c r="B2589" i="65" s="1"/>
  <c r="A2590" i="65"/>
  <c r="B2590" i="65" s="1"/>
  <c r="A2591" i="65"/>
  <c r="B2591" i="65" s="1"/>
  <c r="A2592" i="65"/>
  <c r="B2592" i="65" s="1"/>
  <c r="A2593" i="65"/>
  <c r="B2593" i="65" s="1"/>
  <c r="A2594" i="65"/>
  <c r="B2594" i="65" s="1"/>
  <c r="A2595" i="65"/>
  <c r="B2595" i="65" s="1"/>
  <c r="A2596" i="65"/>
  <c r="B2596" i="65" s="1"/>
  <c r="A2597" i="65"/>
  <c r="B2597" i="65" s="1"/>
  <c r="A2598" i="65"/>
  <c r="B2598" i="65" s="1"/>
  <c r="A2599" i="65"/>
  <c r="B2599" i="65" s="1"/>
  <c r="A2600" i="65"/>
  <c r="B2600" i="65" s="1"/>
  <c r="A2601" i="65"/>
  <c r="B2601" i="65" s="1"/>
  <c r="A2602" i="65"/>
  <c r="B2602" i="65" s="1"/>
  <c r="A2603" i="65"/>
  <c r="B2603" i="65" s="1"/>
  <c r="A2604" i="65"/>
  <c r="B2604" i="65" s="1"/>
  <c r="A2605" i="65"/>
  <c r="B2605" i="65" s="1"/>
  <c r="A2606" i="65"/>
  <c r="B2606" i="65" s="1"/>
  <c r="A2607" i="65"/>
  <c r="B2607" i="65" s="1"/>
  <c r="A2608" i="65"/>
  <c r="B2608" i="65" s="1"/>
  <c r="A2609" i="65"/>
  <c r="B2609" i="65" s="1"/>
  <c r="A2610" i="65"/>
  <c r="B2610" i="65" s="1"/>
  <c r="A2611" i="65"/>
  <c r="B2611" i="65" s="1"/>
  <c r="A2612" i="65"/>
  <c r="B2612" i="65" s="1"/>
  <c r="A2613" i="65"/>
  <c r="B2613" i="65" s="1"/>
  <c r="A2614" i="65"/>
  <c r="B2614" i="65" s="1"/>
  <c r="A2615" i="65"/>
  <c r="B2615" i="65" s="1"/>
  <c r="A2616" i="65"/>
  <c r="B2616" i="65" s="1"/>
  <c r="A2617" i="65"/>
  <c r="B2617" i="65" s="1"/>
  <c r="A2618" i="65"/>
  <c r="B2618" i="65" s="1"/>
  <c r="A2619" i="65"/>
  <c r="B2619" i="65" s="1"/>
  <c r="A2620" i="65"/>
  <c r="B2620" i="65" s="1"/>
  <c r="A2621" i="65"/>
  <c r="B2621" i="65" s="1"/>
  <c r="A2622" i="65"/>
  <c r="B2622" i="65" s="1"/>
  <c r="A2623" i="65"/>
  <c r="B2623" i="65" s="1"/>
  <c r="A2624" i="65"/>
  <c r="B2624" i="65" s="1"/>
  <c r="A2625" i="65"/>
  <c r="B2625" i="65" s="1"/>
  <c r="A2626" i="65"/>
  <c r="B2626" i="65" s="1"/>
  <c r="A2627" i="65"/>
  <c r="B2627" i="65" s="1"/>
  <c r="A2628" i="65"/>
  <c r="B2628" i="65" s="1"/>
  <c r="A2629" i="65"/>
  <c r="B2629" i="65" s="1"/>
  <c r="A2630" i="65"/>
  <c r="B2630" i="65" s="1"/>
  <c r="A2631" i="65"/>
  <c r="B2631" i="65" s="1"/>
  <c r="A2632" i="65"/>
  <c r="B2632" i="65" s="1"/>
  <c r="A2633" i="65"/>
  <c r="B2633" i="65" s="1"/>
  <c r="A2634" i="65"/>
  <c r="B2634" i="65" s="1"/>
  <c r="A2635" i="65"/>
  <c r="B2635" i="65" s="1"/>
  <c r="A2636" i="65"/>
  <c r="B2636" i="65" s="1"/>
  <c r="A2637" i="65"/>
  <c r="B2637" i="65" s="1"/>
  <c r="A2638" i="65"/>
  <c r="B2638" i="65" s="1"/>
  <c r="A2639" i="65"/>
  <c r="B2639" i="65" s="1"/>
  <c r="A2640" i="65"/>
  <c r="B2640" i="65" s="1"/>
  <c r="A2641" i="65"/>
  <c r="B2641" i="65" s="1"/>
  <c r="A2642" i="65"/>
  <c r="B2642" i="65" s="1"/>
  <c r="A2643" i="65"/>
  <c r="B2643" i="65" s="1"/>
  <c r="A2644" i="65"/>
  <c r="B2644" i="65" s="1"/>
  <c r="A2645" i="65"/>
  <c r="B2645" i="65" s="1"/>
  <c r="A2646" i="65"/>
  <c r="B2646" i="65" s="1"/>
  <c r="A2647" i="65"/>
  <c r="B2647" i="65" s="1"/>
  <c r="A2648" i="65"/>
  <c r="B2648" i="65" s="1"/>
  <c r="A2649" i="65"/>
  <c r="B2649" i="65" s="1"/>
  <c r="A2650" i="65"/>
  <c r="B2650" i="65" s="1"/>
  <c r="A2651" i="65"/>
  <c r="B2651" i="65" s="1"/>
  <c r="A2652" i="65"/>
  <c r="B2652" i="65" s="1"/>
  <c r="A2653" i="65"/>
  <c r="B2653" i="65" s="1"/>
  <c r="A2654" i="65"/>
  <c r="B2654" i="65" s="1"/>
  <c r="A2655" i="65"/>
  <c r="B2655" i="65" s="1"/>
  <c r="A2656" i="65"/>
  <c r="B2656" i="65" s="1"/>
  <c r="A2657" i="65"/>
  <c r="B2657" i="65" s="1"/>
  <c r="A2658" i="65"/>
  <c r="B2658" i="65" s="1"/>
  <c r="A2659" i="65"/>
  <c r="B2659" i="65" s="1"/>
  <c r="A2660" i="65"/>
  <c r="B2660" i="65" s="1"/>
  <c r="A2661" i="65"/>
  <c r="B2661" i="65" s="1"/>
  <c r="A2662" i="65"/>
  <c r="B2662" i="65" s="1"/>
  <c r="A2663" i="65"/>
  <c r="B2663" i="65" s="1"/>
  <c r="A2664" i="65"/>
  <c r="B2664" i="65" s="1"/>
  <c r="A2665" i="65"/>
  <c r="B2665" i="65" s="1"/>
  <c r="A2666" i="65"/>
  <c r="B2666" i="65" s="1"/>
  <c r="A2667" i="65"/>
  <c r="B2667" i="65" s="1"/>
  <c r="A2668" i="65"/>
  <c r="B2668" i="65" s="1"/>
  <c r="A2669" i="65"/>
  <c r="B2669" i="65" s="1"/>
  <c r="A2670" i="65"/>
  <c r="B2670" i="65" s="1"/>
  <c r="A2671" i="65"/>
  <c r="B2671" i="65" s="1"/>
  <c r="A2672" i="65"/>
  <c r="B2672" i="65" s="1"/>
  <c r="A2673" i="65"/>
  <c r="B2673" i="65" s="1"/>
  <c r="A2674" i="65"/>
  <c r="B2674" i="65" s="1"/>
  <c r="A2675" i="65"/>
  <c r="B2675" i="65" s="1"/>
  <c r="A2676" i="65"/>
  <c r="B2676" i="65" s="1"/>
  <c r="A2677" i="65"/>
  <c r="B2677" i="65" s="1"/>
  <c r="A2678" i="65"/>
  <c r="B2678" i="65" s="1"/>
  <c r="A2679" i="65"/>
  <c r="B2679" i="65" s="1"/>
  <c r="A2680" i="65"/>
  <c r="B2680" i="65" s="1"/>
  <c r="A2681" i="65"/>
  <c r="B2681" i="65" s="1"/>
  <c r="A2682" i="65"/>
  <c r="B2682" i="65" s="1"/>
  <c r="A2683" i="65"/>
  <c r="B2683" i="65" s="1"/>
  <c r="A2684" i="65"/>
  <c r="B2684" i="65" s="1"/>
  <c r="A2685" i="65"/>
  <c r="B2685" i="65" s="1"/>
  <c r="A2686" i="65"/>
  <c r="B2686" i="65" s="1"/>
  <c r="A2687" i="65"/>
  <c r="B2687" i="65" s="1"/>
  <c r="A2688" i="65"/>
  <c r="B2688" i="65" s="1"/>
  <c r="A2689" i="65"/>
  <c r="B2689" i="65" s="1"/>
  <c r="A2690" i="65"/>
  <c r="B2690" i="65" s="1"/>
  <c r="A2691" i="65"/>
  <c r="B2691" i="65" s="1"/>
  <c r="A2692" i="65"/>
  <c r="B2692" i="65" s="1"/>
  <c r="A2693" i="65"/>
  <c r="B2693" i="65" s="1"/>
  <c r="A2694" i="65"/>
  <c r="B2694" i="65" s="1"/>
  <c r="A2695" i="65"/>
  <c r="B2695" i="65" s="1"/>
  <c r="A2696" i="65"/>
  <c r="B2696" i="65" s="1"/>
  <c r="A2697" i="65"/>
  <c r="B2697" i="65" s="1"/>
  <c r="A2698" i="65"/>
  <c r="B2698" i="65" s="1"/>
  <c r="A2699" i="65"/>
  <c r="B2699" i="65" s="1"/>
  <c r="A2700" i="65"/>
  <c r="B2700" i="65" s="1"/>
  <c r="A2701" i="65"/>
  <c r="B2701" i="65" s="1"/>
  <c r="A2702" i="65"/>
  <c r="B2702" i="65" s="1"/>
  <c r="A2703" i="65"/>
  <c r="B2703" i="65" s="1"/>
  <c r="A2704" i="65"/>
  <c r="B2704" i="65" s="1"/>
  <c r="A2705" i="65"/>
  <c r="B2705" i="65" s="1"/>
  <c r="A2706" i="65"/>
  <c r="B2706" i="65" s="1"/>
  <c r="A2707" i="65"/>
  <c r="B2707" i="65" s="1"/>
  <c r="A2708" i="65"/>
  <c r="B2708" i="65" s="1"/>
  <c r="A2709" i="65"/>
  <c r="B2709" i="65" s="1"/>
  <c r="A2710" i="65"/>
  <c r="B2710" i="65" s="1"/>
  <c r="A2711" i="65"/>
  <c r="B2711" i="65" s="1"/>
  <c r="A2712" i="65"/>
  <c r="B2712" i="65" s="1"/>
  <c r="A2713" i="65"/>
  <c r="B2713" i="65" s="1"/>
  <c r="A2714" i="65"/>
  <c r="B2714" i="65" s="1"/>
  <c r="A2715" i="65"/>
  <c r="B2715" i="65" s="1"/>
  <c r="A2716" i="65"/>
  <c r="B2716" i="65" s="1"/>
  <c r="A2717" i="65"/>
  <c r="B2717" i="65" s="1"/>
  <c r="A2718" i="65"/>
  <c r="B2718" i="65" s="1"/>
  <c r="A2719" i="65"/>
  <c r="B2719" i="65" s="1"/>
  <c r="A2720" i="65"/>
  <c r="B2720" i="65" s="1"/>
  <c r="A2721" i="65"/>
  <c r="B2721" i="65" s="1"/>
  <c r="A2722" i="65"/>
  <c r="B2722" i="65" s="1"/>
  <c r="A2723" i="65"/>
  <c r="B2723" i="65" s="1"/>
  <c r="A2724" i="65"/>
  <c r="B2724" i="65" s="1"/>
  <c r="A2725" i="65"/>
  <c r="B2725" i="65" s="1"/>
  <c r="A2726" i="65"/>
  <c r="B2726" i="65" s="1"/>
  <c r="A2727" i="65"/>
  <c r="B2727" i="65" s="1"/>
  <c r="A2728" i="65"/>
  <c r="B2728" i="65" s="1"/>
  <c r="A2729" i="65"/>
  <c r="B2729" i="65" s="1"/>
  <c r="A2730" i="65"/>
  <c r="B2730" i="65" s="1"/>
  <c r="A2731" i="65"/>
  <c r="B2731" i="65" s="1"/>
  <c r="A2732" i="65"/>
  <c r="B2732" i="65" s="1"/>
  <c r="A2733" i="65"/>
  <c r="B2733" i="65" s="1"/>
  <c r="A2734" i="65"/>
  <c r="B2734" i="65" s="1"/>
  <c r="A2735" i="65"/>
  <c r="B2735" i="65" s="1"/>
  <c r="A2736" i="65"/>
  <c r="B2736" i="65" s="1"/>
  <c r="A2737" i="65"/>
  <c r="B2737" i="65" s="1"/>
  <c r="A2738" i="65"/>
  <c r="B2738" i="65" s="1"/>
  <c r="A2739" i="65"/>
  <c r="B2739" i="65" s="1"/>
  <c r="A2740" i="65"/>
  <c r="B2740" i="65" s="1"/>
  <c r="A2741" i="65"/>
  <c r="B2741" i="65" s="1"/>
  <c r="A2742" i="65"/>
  <c r="B2742" i="65" s="1"/>
  <c r="A2743" i="65"/>
  <c r="B2743" i="65" s="1"/>
  <c r="A2744" i="65"/>
  <c r="B2744" i="65" s="1"/>
  <c r="A2745" i="65"/>
  <c r="B2745" i="65" s="1"/>
  <c r="A2746" i="65"/>
  <c r="B2746" i="65" s="1"/>
  <c r="A2747" i="65"/>
  <c r="B2747" i="65" s="1"/>
  <c r="A2748" i="65"/>
  <c r="B2748" i="65" s="1"/>
  <c r="A2749" i="65"/>
  <c r="B2749" i="65" s="1"/>
  <c r="A2750" i="65"/>
  <c r="B2750" i="65" s="1"/>
  <c r="A2751" i="65"/>
  <c r="B2751" i="65" s="1"/>
  <c r="A2752" i="65"/>
  <c r="B2752" i="65" s="1"/>
  <c r="A2753" i="65"/>
  <c r="B2753" i="65" s="1"/>
  <c r="A2754" i="65"/>
  <c r="B2754" i="65" s="1"/>
  <c r="A2755" i="65"/>
  <c r="B2755" i="65" s="1"/>
  <c r="A2756" i="65"/>
  <c r="B2756" i="65" s="1"/>
  <c r="A2757" i="65"/>
  <c r="B2757" i="65" s="1"/>
  <c r="A2758" i="65"/>
  <c r="B2758" i="65" s="1"/>
  <c r="A2759" i="65"/>
  <c r="B2759" i="65" s="1"/>
  <c r="A2760" i="65"/>
  <c r="B2760" i="65" s="1"/>
  <c r="A2761" i="65"/>
  <c r="B2761" i="65" s="1"/>
  <c r="A2762" i="65"/>
  <c r="B2762" i="65" s="1"/>
  <c r="A2763" i="65"/>
  <c r="B2763" i="65" s="1"/>
  <c r="A2764" i="65"/>
  <c r="B2764" i="65" s="1"/>
  <c r="A2765" i="65"/>
  <c r="B2765" i="65" s="1"/>
  <c r="A2766" i="65"/>
  <c r="B2766" i="65" s="1"/>
  <c r="A2767" i="65"/>
  <c r="B2767" i="65" s="1"/>
  <c r="A2768" i="65"/>
  <c r="B2768" i="65" s="1"/>
  <c r="A2769" i="65"/>
  <c r="B2769" i="65" s="1"/>
  <c r="A2770" i="65"/>
  <c r="B2770" i="65" s="1"/>
  <c r="A2771" i="65"/>
  <c r="B2771" i="65" s="1"/>
  <c r="A2772" i="65"/>
  <c r="B2772" i="65" s="1"/>
  <c r="A2773" i="65"/>
  <c r="B2773" i="65" s="1"/>
  <c r="A2774" i="65"/>
  <c r="B2774" i="65" s="1"/>
  <c r="A2775" i="65"/>
  <c r="B2775" i="65" s="1"/>
  <c r="A2776" i="65"/>
  <c r="B2776" i="65" s="1"/>
  <c r="A2" i="65"/>
  <c r="B2" i="65" s="1"/>
  <c r="N2" i="65"/>
  <c r="N3" i="65"/>
  <c r="N4" i="65"/>
  <c r="N5" i="65"/>
  <c r="N6" i="65"/>
  <c r="N7" i="65"/>
  <c r="N8" i="65"/>
  <c r="N9" i="65"/>
  <c r="N10" i="65"/>
  <c r="N11" i="65"/>
  <c r="N12" i="65"/>
  <c r="N13" i="65"/>
  <c r="N14" i="65"/>
  <c r="N15" i="65"/>
  <c r="N16" i="65"/>
  <c r="N17" i="65"/>
  <c r="N18" i="65"/>
  <c r="N19" i="65"/>
  <c r="N20" i="65"/>
  <c r="N21" i="65"/>
  <c r="N22" i="65"/>
  <c r="N23" i="65"/>
  <c r="N24" i="65"/>
  <c r="N25" i="65"/>
  <c r="N26" i="65"/>
  <c r="N27" i="65"/>
  <c r="N28" i="65"/>
  <c r="N29" i="65"/>
  <c r="N30" i="65"/>
  <c r="N31" i="65"/>
  <c r="N32" i="65"/>
  <c r="N33" i="65"/>
  <c r="N34" i="65"/>
  <c r="N35" i="65"/>
  <c r="N36" i="65"/>
  <c r="N37" i="65"/>
  <c r="N38" i="65"/>
  <c r="N39" i="65"/>
  <c r="N40" i="65"/>
  <c r="N41" i="65"/>
  <c r="N42" i="65"/>
  <c r="N43" i="65"/>
  <c r="N44" i="65"/>
  <c r="N45" i="65"/>
  <c r="N46" i="65"/>
  <c r="N47"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N95" i="65"/>
  <c r="N96" i="65"/>
  <c r="N97" i="65"/>
  <c r="N98" i="65"/>
  <c r="N99" i="65"/>
  <c r="N100" i="65"/>
  <c r="N101" i="65"/>
  <c r="N102" i="65"/>
  <c r="N103" i="65"/>
  <c r="N104" i="65"/>
  <c r="N105" i="65"/>
  <c r="N106" i="65"/>
  <c r="N107" i="65"/>
  <c r="N108" i="65"/>
  <c r="N109" i="65"/>
  <c r="N110" i="65"/>
  <c r="N111" i="65"/>
  <c r="N112" i="65"/>
  <c r="N113" i="65"/>
  <c r="N114" i="65"/>
  <c r="N115" i="65"/>
  <c r="N116" i="65"/>
  <c r="N117" i="65"/>
  <c r="N118" i="65"/>
  <c r="N119" i="65"/>
  <c r="N120" i="65"/>
  <c r="N121" i="65"/>
  <c r="N122" i="65"/>
  <c r="N123" i="65"/>
  <c r="N124" i="65"/>
  <c r="N125" i="65"/>
  <c r="N126" i="65"/>
  <c r="N127" i="65"/>
  <c r="N128" i="65"/>
  <c r="N129" i="65"/>
  <c r="N130" i="65"/>
  <c r="N131" i="65"/>
  <c r="N132" i="65"/>
  <c r="N133" i="65"/>
  <c r="N134" i="65"/>
  <c r="N135" i="65"/>
  <c r="N136" i="65"/>
  <c r="N137" i="65"/>
  <c r="N138" i="65"/>
  <c r="N139" i="65"/>
  <c r="N140" i="65"/>
  <c r="N141" i="65"/>
  <c r="N142" i="65"/>
  <c r="N143" i="65"/>
  <c r="N144" i="65"/>
  <c r="N145" i="65"/>
  <c r="N146" i="65"/>
  <c r="N147" i="65"/>
  <c r="N148" i="65"/>
  <c r="N149" i="65"/>
  <c r="N150" i="65"/>
  <c r="N151" i="65"/>
  <c r="N152" i="65"/>
  <c r="N153" i="65"/>
  <c r="N154" i="65"/>
  <c r="N155" i="65"/>
  <c r="N156" i="65"/>
  <c r="N157" i="65"/>
  <c r="N158" i="65"/>
  <c r="N159" i="65"/>
  <c r="N160" i="65"/>
  <c r="N161" i="65"/>
  <c r="N162" i="65"/>
  <c r="N163" i="65"/>
  <c r="N164" i="65"/>
  <c r="N165" i="65"/>
  <c r="N166" i="65"/>
  <c r="N167" i="65"/>
  <c r="N168" i="65"/>
  <c r="N169" i="65"/>
  <c r="N170" i="65"/>
  <c r="N171" i="65"/>
  <c r="N172" i="65"/>
  <c r="N173" i="65"/>
  <c r="N174" i="65"/>
  <c r="N175" i="65"/>
  <c r="N176" i="65"/>
  <c r="N177" i="65"/>
  <c r="N178" i="65"/>
  <c r="N179" i="65"/>
  <c r="N180" i="65"/>
  <c r="N181" i="65"/>
  <c r="N182" i="65"/>
  <c r="N183" i="65"/>
  <c r="N184" i="65"/>
  <c r="N185" i="65"/>
  <c r="N186" i="65"/>
  <c r="N187" i="65"/>
  <c r="N188" i="65"/>
  <c r="N189" i="65"/>
  <c r="N190" i="65"/>
  <c r="N191" i="65"/>
  <c r="N192" i="65"/>
  <c r="N193" i="65"/>
  <c r="N194" i="65"/>
  <c r="N195" i="65"/>
  <c r="N196" i="65"/>
  <c r="N197" i="65"/>
  <c r="N198" i="65"/>
  <c r="N199" i="65"/>
  <c r="N200" i="65"/>
  <c r="N201" i="65"/>
  <c r="N202" i="65"/>
  <c r="N203" i="65"/>
  <c r="N204" i="65"/>
  <c r="N205" i="65"/>
  <c r="N206" i="65"/>
  <c r="N207" i="65"/>
  <c r="N208" i="65"/>
  <c r="N209" i="65"/>
  <c r="N210" i="65"/>
  <c r="N211" i="65"/>
  <c r="N212" i="65"/>
  <c r="N213" i="65"/>
  <c r="N214" i="65"/>
  <c r="N215" i="65"/>
  <c r="N216" i="65"/>
  <c r="N217" i="65"/>
  <c r="N218" i="65"/>
  <c r="N219" i="65"/>
  <c r="N220" i="65"/>
  <c r="N221" i="65"/>
  <c r="N222" i="65"/>
  <c r="N223" i="65"/>
  <c r="N224" i="65"/>
  <c r="N225" i="65"/>
  <c r="N226" i="65"/>
  <c r="N227" i="65"/>
  <c r="N228" i="65"/>
  <c r="N229" i="65"/>
  <c r="N230" i="65"/>
  <c r="N231" i="65"/>
  <c r="N232" i="65"/>
  <c r="N233" i="65"/>
  <c r="N234" i="65"/>
  <c r="N235" i="65"/>
  <c r="N236" i="65"/>
  <c r="N237" i="65"/>
  <c r="N238" i="65"/>
  <c r="N239" i="65"/>
  <c r="N240" i="65"/>
  <c r="N241" i="65"/>
  <c r="N242" i="65"/>
  <c r="N243" i="65"/>
  <c r="N244" i="65"/>
  <c r="N245" i="65"/>
  <c r="N246" i="65"/>
  <c r="N247" i="65"/>
  <c r="N248" i="65"/>
  <c r="N249" i="65"/>
  <c r="N250" i="65"/>
  <c r="N251" i="65"/>
  <c r="N252" i="65"/>
  <c r="N253" i="65"/>
  <c r="N254" i="65"/>
  <c r="N255" i="65"/>
  <c r="N256" i="65"/>
  <c r="N257" i="65"/>
  <c r="N258" i="65"/>
  <c r="N259" i="65"/>
  <c r="N260" i="65"/>
  <c r="N261" i="65"/>
  <c r="N262" i="65"/>
  <c r="N263" i="65"/>
  <c r="N264" i="65"/>
  <c r="N265" i="65"/>
  <c r="N266" i="65"/>
  <c r="N267" i="65"/>
  <c r="N268" i="65"/>
  <c r="N269" i="65"/>
  <c r="N270" i="65"/>
  <c r="N271" i="65"/>
  <c r="N272" i="65"/>
  <c r="N273" i="65"/>
  <c r="N274" i="65"/>
  <c r="N275" i="65"/>
  <c r="N276" i="65"/>
  <c r="N277" i="65"/>
  <c r="N278" i="65"/>
  <c r="N279" i="65"/>
  <c r="N280" i="65"/>
  <c r="N281" i="65"/>
  <c r="N282" i="65"/>
  <c r="N283" i="65"/>
  <c r="N284" i="65"/>
  <c r="N285" i="65"/>
  <c r="N286" i="65"/>
  <c r="N287" i="65"/>
  <c r="N288" i="65"/>
  <c r="N289" i="65"/>
  <c r="N290" i="65"/>
  <c r="N291" i="65"/>
  <c r="N292" i="65"/>
  <c r="N293" i="65"/>
  <c r="N294" i="65"/>
  <c r="N295" i="65"/>
  <c r="N296" i="65"/>
  <c r="N297" i="65"/>
  <c r="N298" i="65"/>
  <c r="N299" i="65"/>
  <c r="N300" i="65"/>
  <c r="N301" i="65"/>
  <c r="N302" i="65"/>
  <c r="N303" i="65"/>
  <c r="N304" i="65"/>
  <c r="N305" i="65"/>
  <c r="N306" i="65"/>
  <c r="N307" i="65"/>
  <c r="N308" i="65"/>
  <c r="N309" i="65"/>
  <c r="N310" i="65"/>
  <c r="N311" i="65"/>
  <c r="N312" i="65"/>
  <c r="N313" i="65"/>
  <c r="N314" i="65"/>
  <c r="N315" i="65"/>
  <c r="N316" i="65"/>
  <c r="N317" i="65"/>
  <c r="N318" i="65"/>
  <c r="N319" i="65"/>
  <c r="N320" i="65"/>
  <c r="N321" i="65"/>
  <c r="N322" i="65"/>
  <c r="N323" i="65"/>
  <c r="N324" i="65"/>
  <c r="N325" i="65"/>
  <c r="N326" i="65"/>
  <c r="N327" i="65"/>
  <c r="N328" i="65"/>
  <c r="N329" i="65"/>
  <c r="N330" i="65"/>
  <c r="N331" i="65"/>
  <c r="N332" i="65"/>
  <c r="N333" i="65"/>
  <c r="N334" i="65"/>
  <c r="N335" i="65"/>
  <c r="N336" i="65"/>
  <c r="N337" i="65"/>
  <c r="N338" i="65"/>
  <c r="N339" i="65"/>
  <c r="N340" i="65"/>
  <c r="N341" i="65"/>
  <c r="N342" i="65"/>
  <c r="N343" i="65"/>
  <c r="N344" i="65"/>
  <c r="N345" i="65"/>
  <c r="N346" i="65"/>
  <c r="N347" i="65"/>
  <c r="N348" i="65"/>
  <c r="N349" i="65"/>
  <c r="N350" i="65"/>
  <c r="N351" i="65"/>
  <c r="N352" i="65"/>
  <c r="N353" i="65"/>
  <c r="N354" i="65"/>
  <c r="N355" i="65"/>
  <c r="N356" i="65"/>
  <c r="N357" i="65"/>
  <c r="N358" i="65"/>
  <c r="N359" i="65"/>
  <c r="N360" i="65"/>
  <c r="N361" i="65"/>
  <c r="N362" i="65"/>
  <c r="N363" i="65"/>
  <c r="N364" i="65"/>
  <c r="N365" i="65"/>
  <c r="N366" i="65"/>
  <c r="N367" i="65"/>
  <c r="N368" i="65"/>
  <c r="N369" i="65"/>
  <c r="N370" i="65"/>
  <c r="N371" i="65"/>
  <c r="N372" i="65"/>
  <c r="N373" i="65"/>
  <c r="N374" i="65"/>
  <c r="N375" i="65"/>
  <c r="N376" i="65"/>
  <c r="N377" i="65"/>
  <c r="N378" i="65"/>
  <c r="N379" i="65"/>
  <c r="N380" i="65"/>
  <c r="N381" i="65"/>
  <c r="N382" i="65"/>
  <c r="N383" i="65"/>
  <c r="N384" i="65"/>
  <c r="N385" i="65"/>
  <c r="N386" i="65"/>
  <c r="N387" i="65"/>
  <c r="N388" i="65"/>
  <c r="N389" i="65"/>
  <c r="N390" i="65"/>
  <c r="N391" i="65"/>
  <c r="N392" i="65"/>
  <c r="N393" i="65"/>
  <c r="N394" i="65"/>
  <c r="N395" i="65"/>
  <c r="N396" i="65"/>
  <c r="N397" i="65"/>
  <c r="N398" i="65"/>
  <c r="N399" i="65"/>
  <c r="N400" i="65"/>
  <c r="N401" i="65"/>
  <c r="N402" i="65"/>
  <c r="N403" i="65"/>
  <c r="N404" i="65"/>
  <c r="N405" i="65"/>
  <c r="N406" i="65"/>
  <c r="N407" i="65"/>
  <c r="N408" i="65"/>
  <c r="N409" i="65"/>
  <c r="N410" i="65"/>
  <c r="N411" i="65"/>
  <c r="N412" i="65"/>
  <c r="N413" i="65"/>
  <c r="N414" i="65"/>
  <c r="N415" i="65"/>
  <c r="N416" i="65"/>
  <c r="N417" i="65"/>
  <c r="N418" i="65"/>
  <c r="N419" i="65"/>
  <c r="N420" i="65"/>
  <c r="N421" i="65"/>
  <c r="N422" i="65"/>
  <c r="N423" i="65"/>
  <c r="N424" i="65"/>
  <c r="N425" i="65"/>
  <c r="N426" i="65"/>
  <c r="N427" i="65"/>
  <c r="N428" i="65"/>
  <c r="N429" i="65"/>
  <c r="N430" i="65"/>
  <c r="N431" i="65"/>
  <c r="N432" i="65"/>
  <c r="N433" i="65"/>
  <c r="N434" i="65"/>
  <c r="N435" i="65"/>
  <c r="N436" i="65"/>
  <c r="N437" i="65"/>
  <c r="N438" i="65"/>
  <c r="N439" i="65"/>
  <c r="N440" i="65"/>
  <c r="N441" i="65"/>
  <c r="N442" i="65"/>
  <c r="N443" i="65"/>
  <c r="N444" i="65"/>
  <c r="N445" i="65"/>
  <c r="N446" i="65"/>
  <c r="N447" i="65"/>
  <c r="N448" i="65"/>
  <c r="N449" i="65"/>
  <c r="N450" i="65"/>
  <c r="N451" i="65"/>
  <c r="N452" i="65"/>
  <c r="N453" i="65"/>
  <c r="N454" i="65"/>
  <c r="N455" i="65"/>
  <c r="N456" i="65"/>
  <c r="N457" i="65"/>
  <c r="N458" i="65"/>
  <c r="N459" i="65"/>
  <c r="N460" i="65"/>
  <c r="N461" i="65"/>
  <c r="N462" i="65"/>
  <c r="N463" i="65"/>
  <c r="N464" i="65"/>
  <c r="N465" i="65"/>
  <c r="N466" i="65"/>
  <c r="N467" i="65"/>
  <c r="N468" i="65"/>
  <c r="N469" i="65"/>
  <c r="N470" i="65"/>
  <c r="N471" i="65"/>
  <c r="N472" i="65"/>
  <c r="N473" i="65"/>
  <c r="N474" i="65"/>
  <c r="N475" i="65"/>
  <c r="N476" i="65"/>
  <c r="N477" i="65"/>
  <c r="N478" i="65"/>
  <c r="N479" i="65"/>
  <c r="N480" i="65"/>
  <c r="N481" i="65"/>
  <c r="N482" i="65"/>
  <c r="N483" i="65"/>
  <c r="N484" i="65"/>
  <c r="N485" i="65"/>
  <c r="N486" i="65"/>
  <c r="N487" i="65"/>
  <c r="N488" i="65"/>
  <c r="N489" i="65"/>
  <c r="N490" i="65"/>
  <c r="N491" i="65"/>
  <c r="N492" i="65"/>
  <c r="N493" i="65"/>
  <c r="N494" i="65"/>
  <c r="N495" i="65"/>
  <c r="N496" i="65"/>
  <c r="N497" i="65"/>
  <c r="N498" i="65"/>
  <c r="N499" i="65"/>
  <c r="N500" i="65"/>
  <c r="N501" i="65"/>
  <c r="N502" i="65"/>
  <c r="N503" i="65"/>
  <c r="N504" i="65"/>
  <c r="N505" i="65"/>
  <c r="N506" i="65"/>
  <c r="N507" i="65"/>
  <c r="N508" i="65"/>
  <c r="N509" i="65"/>
  <c r="N510" i="65"/>
  <c r="N511" i="65"/>
  <c r="N512" i="65"/>
  <c r="N513" i="65"/>
  <c r="N514" i="65"/>
  <c r="N515" i="65"/>
  <c r="N516" i="65"/>
  <c r="N517" i="65"/>
  <c r="N518" i="65"/>
  <c r="N519" i="65"/>
  <c r="N520" i="65"/>
  <c r="N521" i="65"/>
  <c r="N522" i="65"/>
  <c r="N523" i="65"/>
  <c r="N524" i="65"/>
  <c r="N525" i="65"/>
  <c r="N526" i="65"/>
  <c r="N527" i="65"/>
  <c r="N528" i="65"/>
  <c r="N529" i="65"/>
  <c r="N530" i="65"/>
  <c r="N531" i="65"/>
  <c r="N532" i="65"/>
  <c r="N533" i="65"/>
  <c r="N534" i="65"/>
  <c r="N535" i="65"/>
  <c r="N536" i="65"/>
  <c r="N537" i="65"/>
  <c r="N538" i="65"/>
  <c r="N539" i="65"/>
  <c r="N540" i="65"/>
  <c r="N541" i="65"/>
  <c r="N542" i="65"/>
  <c r="N543" i="65"/>
  <c r="N544" i="65"/>
  <c r="N545" i="65"/>
  <c r="N546" i="65"/>
  <c r="N547" i="65"/>
  <c r="N548" i="65"/>
  <c r="N549" i="65"/>
  <c r="N550" i="65"/>
  <c r="N551" i="65"/>
  <c r="N552" i="65"/>
  <c r="N553" i="65"/>
  <c r="N554" i="65"/>
  <c r="N555" i="65"/>
  <c r="N556" i="65"/>
  <c r="N557" i="65"/>
  <c r="N558" i="65"/>
  <c r="N559" i="65"/>
  <c r="N560" i="65"/>
  <c r="N561" i="65"/>
  <c r="N562" i="65"/>
  <c r="N563" i="65"/>
  <c r="N564" i="65"/>
  <c r="N565" i="65"/>
  <c r="N566" i="65"/>
  <c r="N567" i="65"/>
  <c r="N568" i="65"/>
  <c r="N569" i="65"/>
  <c r="N570" i="65"/>
  <c r="N571" i="65"/>
  <c r="N572" i="65"/>
  <c r="N573" i="65"/>
  <c r="N574" i="65"/>
  <c r="N575" i="65"/>
  <c r="N576" i="65"/>
  <c r="N577" i="65"/>
  <c r="N578" i="65"/>
  <c r="N579" i="65"/>
  <c r="N580" i="65"/>
  <c r="N581" i="65"/>
  <c r="N582" i="65"/>
  <c r="N583" i="65"/>
  <c r="N584" i="65"/>
  <c r="N585" i="65"/>
  <c r="N586" i="65"/>
  <c r="N587" i="65"/>
  <c r="N588" i="65"/>
  <c r="N589" i="65"/>
  <c r="N590" i="65"/>
  <c r="N591" i="65"/>
  <c r="N592" i="65"/>
  <c r="N593" i="65"/>
  <c r="N594" i="65"/>
  <c r="N595" i="65"/>
  <c r="N596" i="65"/>
  <c r="N597" i="65"/>
  <c r="N598" i="65"/>
  <c r="N599" i="65"/>
  <c r="N600" i="65"/>
  <c r="N601" i="65"/>
  <c r="N602" i="65"/>
  <c r="N603" i="65"/>
  <c r="N604" i="65"/>
  <c r="N605" i="65"/>
  <c r="N606" i="65"/>
  <c r="N607" i="65"/>
  <c r="N608" i="65"/>
  <c r="N609" i="65"/>
  <c r="N610" i="65"/>
  <c r="N611" i="65"/>
  <c r="N612" i="65"/>
  <c r="N613" i="65"/>
  <c r="N614" i="65"/>
  <c r="N615" i="65"/>
  <c r="N616" i="65"/>
  <c r="N617" i="65"/>
  <c r="N618" i="65"/>
  <c r="N619" i="65"/>
  <c r="N620" i="65"/>
  <c r="N621" i="65"/>
  <c r="N622" i="65"/>
  <c r="N623" i="65"/>
  <c r="N624" i="65"/>
  <c r="N625" i="65"/>
  <c r="N626" i="65"/>
  <c r="N627" i="65"/>
  <c r="N628" i="65"/>
  <c r="N629" i="65"/>
  <c r="N630" i="65"/>
  <c r="N631" i="65"/>
  <c r="N632" i="65"/>
  <c r="N633" i="65"/>
  <c r="N634" i="65"/>
  <c r="N635" i="65"/>
  <c r="N636" i="65"/>
  <c r="N637" i="65"/>
  <c r="N638" i="65"/>
  <c r="N639" i="65"/>
  <c r="N640" i="65"/>
  <c r="N641" i="65"/>
  <c r="N642" i="65"/>
  <c r="N643" i="65"/>
  <c r="N644" i="65"/>
  <c r="N645" i="65"/>
  <c r="N646" i="65"/>
  <c r="N647" i="65"/>
  <c r="N648" i="65"/>
  <c r="N649" i="65"/>
  <c r="N650" i="65"/>
  <c r="N651" i="65"/>
  <c r="N652" i="65"/>
  <c r="N653" i="65"/>
  <c r="N654" i="65"/>
  <c r="N655" i="65"/>
  <c r="N656" i="65"/>
  <c r="N657" i="65"/>
  <c r="N658" i="65"/>
  <c r="N659" i="65"/>
  <c r="N660" i="65"/>
  <c r="N661" i="65"/>
  <c r="N662" i="65"/>
  <c r="N663" i="65"/>
  <c r="N664" i="65"/>
  <c r="N665" i="65"/>
  <c r="N666" i="65"/>
  <c r="N667" i="65"/>
  <c r="N668" i="65"/>
  <c r="N669" i="65"/>
  <c r="N670" i="65"/>
  <c r="N671" i="65"/>
  <c r="N672" i="65"/>
  <c r="N673" i="65"/>
  <c r="N674" i="65"/>
  <c r="N675" i="65"/>
  <c r="N676" i="65"/>
  <c r="N677" i="65"/>
  <c r="N678" i="65"/>
  <c r="N679" i="65"/>
  <c r="N680" i="65"/>
  <c r="N681" i="65"/>
  <c r="N682" i="65"/>
  <c r="N683" i="65"/>
  <c r="N684" i="65"/>
  <c r="N685" i="65"/>
  <c r="N686" i="65"/>
  <c r="N687" i="65"/>
  <c r="N688" i="65"/>
  <c r="N689" i="65"/>
  <c r="N690" i="65"/>
  <c r="N691" i="65"/>
  <c r="N692" i="65"/>
  <c r="N693" i="65"/>
  <c r="N694" i="65"/>
  <c r="N695" i="65"/>
  <c r="N696" i="65"/>
  <c r="N697" i="65"/>
  <c r="N698" i="65"/>
  <c r="N699" i="65"/>
  <c r="N700" i="65"/>
  <c r="N701" i="65"/>
  <c r="N702" i="65"/>
  <c r="N703" i="65"/>
  <c r="N704" i="65"/>
  <c r="N705" i="65"/>
  <c r="N706" i="65"/>
  <c r="N707" i="65"/>
  <c r="N708" i="65"/>
  <c r="N709" i="65"/>
  <c r="N710" i="65"/>
  <c r="N711" i="65"/>
  <c r="N712" i="65"/>
  <c r="N713" i="65"/>
  <c r="N714" i="65"/>
  <c r="N715" i="65"/>
  <c r="N716" i="65"/>
  <c r="N717" i="65"/>
  <c r="N718" i="65"/>
  <c r="N719" i="65"/>
  <c r="N720" i="65"/>
  <c r="N721" i="65"/>
  <c r="N722" i="65"/>
  <c r="N723" i="65"/>
  <c r="N724" i="65"/>
  <c r="N725" i="65"/>
  <c r="N726" i="65"/>
  <c r="N727" i="65"/>
  <c r="N728" i="65"/>
  <c r="N729" i="65"/>
  <c r="N730" i="65"/>
  <c r="N731" i="65"/>
  <c r="N732" i="65"/>
  <c r="N733" i="65"/>
  <c r="N734" i="65"/>
  <c r="N735" i="65"/>
  <c r="N736" i="65"/>
  <c r="N737" i="65"/>
  <c r="N738" i="65"/>
  <c r="N739" i="65"/>
  <c r="N740" i="65"/>
  <c r="N741" i="65"/>
  <c r="N742" i="65"/>
  <c r="N743" i="65"/>
  <c r="N744" i="65"/>
  <c r="N745" i="65"/>
  <c r="N746" i="65"/>
  <c r="N747" i="65"/>
  <c r="N748" i="65"/>
  <c r="N749" i="65"/>
  <c r="N750" i="65"/>
  <c r="N751" i="65"/>
  <c r="N752" i="65"/>
  <c r="N753" i="65"/>
  <c r="N754" i="65"/>
  <c r="N755" i="65"/>
  <c r="N756" i="65"/>
  <c r="N757" i="65"/>
  <c r="N758" i="65"/>
  <c r="N759" i="65"/>
  <c r="N760" i="65"/>
  <c r="N761" i="65"/>
  <c r="N762" i="65"/>
  <c r="N763" i="65"/>
  <c r="N764" i="65"/>
  <c r="N765" i="65"/>
  <c r="N766" i="65"/>
  <c r="N767" i="65"/>
  <c r="N768" i="65"/>
  <c r="N769" i="65"/>
  <c r="N770" i="65"/>
  <c r="N771" i="65"/>
  <c r="N772" i="65"/>
  <c r="N773" i="65"/>
  <c r="N774" i="65"/>
  <c r="N775" i="65"/>
  <c r="N776" i="65"/>
  <c r="N777" i="65"/>
  <c r="N778" i="65"/>
  <c r="N779" i="65"/>
  <c r="N780" i="65"/>
  <c r="N781" i="65"/>
  <c r="N782" i="65"/>
  <c r="N783" i="65"/>
  <c r="N784" i="65"/>
  <c r="N785" i="65"/>
  <c r="N786" i="65"/>
  <c r="N787" i="65"/>
  <c r="N788" i="65"/>
  <c r="N789" i="65"/>
  <c r="N790" i="65"/>
  <c r="N791" i="65"/>
  <c r="N792" i="65"/>
  <c r="N793" i="65"/>
  <c r="N794" i="65"/>
  <c r="N795" i="65"/>
  <c r="N796" i="65"/>
  <c r="N797" i="65"/>
  <c r="N798" i="65"/>
  <c r="N799" i="65"/>
  <c r="N800" i="65"/>
  <c r="N801" i="65"/>
  <c r="N802" i="65"/>
  <c r="N803" i="65"/>
  <c r="N804" i="65"/>
  <c r="N805" i="65"/>
  <c r="N806" i="65"/>
  <c r="N807" i="65"/>
  <c r="N808" i="65"/>
  <c r="N809" i="65"/>
  <c r="N810" i="65"/>
  <c r="N811" i="65"/>
  <c r="N812" i="65"/>
  <c r="N813" i="65"/>
  <c r="N814" i="65"/>
  <c r="N815" i="65"/>
  <c r="N816" i="65"/>
  <c r="N817" i="65"/>
  <c r="N818" i="65"/>
  <c r="N819" i="65"/>
  <c r="N820" i="65"/>
  <c r="N821" i="65"/>
  <c r="N822" i="65"/>
  <c r="N823" i="65"/>
  <c r="N824" i="65"/>
  <c r="N825" i="65"/>
  <c r="N826" i="65"/>
  <c r="N827" i="65"/>
  <c r="N828" i="65"/>
  <c r="N829" i="65"/>
  <c r="N830" i="65"/>
  <c r="N831" i="65"/>
  <c r="N832" i="65"/>
  <c r="N833" i="65"/>
  <c r="N834" i="65"/>
  <c r="N835" i="65"/>
  <c r="N836" i="65"/>
  <c r="N837" i="65"/>
  <c r="N838" i="65"/>
  <c r="N839" i="65"/>
  <c r="N840" i="65"/>
  <c r="N841" i="65"/>
  <c r="N842" i="65"/>
  <c r="N843" i="65"/>
  <c r="N844" i="65"/>
  <c r="N845" i="65"/>
  <c r="N846" i="65"/>
  <c r="N847" i="65"/>
  <c r="N848" i="65"/>
  <c r="N849" i="65"/>
  <c r="N850" i="65"/>
  <c r="N851" i="65"/>
  <c r="N852" i="65"/>
  <c r="N853" i="65"/>
  <c r="N854" i="65"/>
  <c r="N855" i="65"/>
  <c r="N856" i="65"/>
  <c r="N857" i="65"/>
  <c r="N858" i="65"/>
  <c r="N859" i="65"/>
  <c r="N860" i="65"/>
  <c r="N861" i="65"/>
  <c r="N862" i="65"/>
  <c r="N863" i="65"/>
  <c r="N864" i="65"/>
  <c r="N865" i="65"/>
  <c r="N866" i="65"/>
  <c r="N867" i="65"/>
  <c r="N868" i="65"/>
  <c r="N869" i="65"/>
  <c r="N870" i="65"/>
  <c r="N871" i="65"/>
  <c r="N872" i="65"/>
  <c r="N873" i="65"/>
  <c r="N874" i="65"/>
  <c r="N875" i="65"/>
  <c r="N876" i="65"/>
  <c r="N877" i="65"/>
  <c r="N878" i="65"/>
  <c r="N879" i="65"/>
  <c r="N880" i="65"/>
  <c r="N881" i="65"/>
  <c r="N882" i="65"/>
  <c r="N883" i="65"/>
  <c r="N884" i="65"/>
  <c r="N885" i="65"/>
  <c r="N886" i="65"/>
  <c r="N887" i="65"/>
  <c r="N888" i="65"/>
  <c r="N889" i="65"/>
  <c r="N890" i="65"/>
  <c r="N891" i="65"/>
  <c r="N892" i="65"/>
  <c r="N893" i="65"/>
  <c r="N894" i="65"/>
  <c r="N895" i="65"/>
  <c r="N896" i="65"/>
  <c r="N897" i="65"/>
  <c r="N898" i="65"/>
  <c r="N899" i="65"/>
  <c r="N900" i="65"/>
  <c r="N901" i="65"/>
  <c r="N902" i="65"/>
  <c r="N903" i="65"/>
  <c r="N904" i="65"/>
  <c r="N905" i="65"/>
  <c r="N906" i="65"/>
  <c r="N907" i="65"/>
  <c r="N908" i="65"/>
  <c r="N909" i="65"/>
  <c r="N910" i="65"/>
  <c r="N911" i="65"/>
  <c r="N912" i="65"/>
  <c r="N913" i="65"/>
  <c r="N914" i="65"/>
  <c r="N915" i="65"/>
  <c r="N916" i="65"/>
  <c r="N917" i="65"/>
  <c r="N918" i="65"/>
  <c r="N919" i="65"/>
  <c r="N920" i="65"/>
  <c r="N921" i="65"/>
  <c r="N922" i="65"/>
  <c r="N923" i="65"/>
  <c r="N924" i="65"/>
  <c r="N925" i="65"/>
  <c r="N926" i="65"/>
  <c r="N927" i="65"/>
  <c r="N928" i="65"/>
  <c r="N929" i="65"/>
  <c r="N930" i="65"/>
  <c r="N931" i="65"/>
  <c r="N932" i="65"/>
  <c r="N933" i="65"/>
  <c r="N934" i="65"/>
  <c r="N935" i="65"/>
  <c r="N936" i="65"/>
  <c r="N937" i="65"/>
  <c r="N938" i="65"/>
  <c r="N939" i="65"/>
  <c r="N940" i="65"/>
  <c r="N941" i="65"/>
  <c r="N942" i="65"/>
  <c r="N943" i="65"/>
  <c r="N944" i="65"/>
  <c r="N945" i="65"/>
  <c r="N946" i="65"/>
  <c r="N947" i="65"/>
  <c r="N948" i="65"/>
  <c r="N949" i="65"/>
  <c r="N950" i="65"/>
  <c r="N951" i="65"/>
  <c r="N952" i="65"/>
  <c r="N953" i="65"/>
  <c r="N954" i="65"/>
  <c r="N955" i="65"/>
  <c r="N956" i="65"/>
  <c r="N957" i="65"/>
  <c r="N958" i="65"/>
  <c r="N959" i="65"/>
  <c r="N960" i="65"/>
  <c r="N961" i="65"/>
  <c r="N962" i="65"/>
  <c r="N963" i="65"/>
  <c r="N964" i="65"/>
  <c r="N965" i="65"/>
  <c r="N966" i="65"/>
  <c r="N967" i="65"/>
  <c r="N968" i="65"/>
  <c r="N969" i="65"/>
  <c r="N970" i="65"/>
  <c r="N971" i="65"/>
  <c r="N972" i="65"/>
  <c r="N973" i="65"/>
  <c r="N974" i="65"/>
  <c r="N975" i="65"/>
  <c r="N976" i="65"/>
  <c r="N977" i="65"/>
  <c r="N978" i="65"/>
  <c r="N979" i="65"/>
  <c r="N980" i="65"/>
  <c r="N981" i="65"/>
  <c r="N982" i="65"/>
  <c r="N983" i="65"/>
  <c r="N984" i="65"/>
  <c r="N985" i="65"/>
  <c r="N986" i="65"/>
  <c r="N987" i="65"/>
  <c r="N988" i="65"/>
  <c r="N989" i="65"/>
  <c r="N990" i="65"/>
  <c r="N991" i="65"/>
  <c r="N992" i="65"/>
  <c r="N993" i="65"/>
  <c r="N994" i="65"/>
  <c r="N995" i="65"/>
  <c r="N996" i="65"/>
  <c r="N997" i="65"/>
  <c r="N998" i="65"/>
  <c r="N999" i="65"/>
  <c r="N1000" i="65"/>
  <c r="N1001" i="65"/>
  <c r="N1002" i="65"/>
  <c r="N1003" i="65"/>
  <c r="N1004" i="65"/>
  <c r="N1005" i="65"/>
  <c r="N1006" i="65"/>
  <c r="N1007" i="65"/>
  <c r="N1008" i="65"/>
  <c r="N1009" i="65"/>
  <c r="N1010" i="65"/>
  <c r="N1011" i="65"/>
  <c r="N1012" i="65"/>
  <c r="N1013" i="65"/>
  <c r="N1014" i="65"/>
  <c r="N1015" i="65"/>
  <c r="N1016" i="65"/>
  <c r="N1017" i="65"/>
  <c r="N1018" i="65"/>
  <c r="N1019" i="65"/>
  <c r="N1020" i="65"/>
  <c r="N1021" i="65"/>
  <c r="N1022" i="65"/>
  <c r="N1023" i="65"/>
  <c r="N1024" i="65"/>
  <c r="N1025" i="65"/>
  <c r="N1026" i="65"/>
  <c r="N1027" i="65"/>
  <c r="N1028" i="65"/>
  <c r="N1029" i="65"/>
  <c r="N1030" i="65"/>
  <c r="N1031" i="65"/>
  <c r="N1032" i="65"/>
  <c r="N1033" i="65"/>
  <c r="N1034" i="65"/>
  <c r="N1035" i="65"/>
  <c r="N1036" i="65"/>
  <c r="N1037" i="65"/>
  <c r="N1038" i="65"/>
  <c r="N1039" i="65"/>
  <c r="N1040" i="65"/>
  <c r="N1041" i="65"/>
  <c r="N1042" i="65"/>
  <c r="N1043" i="65"/>
  <c r="N1044" i="65"/>
  <c r="N1045" i="65"/>
  <c r="N1046" i="65"/>
  <c r="N1047" i="65"/>
  <c r="N1048" i="65"/>
  <c r="N1049" i="65"/>
  <c r="N1050" i="65"/>
  <c r="N1051" i="65"/>
  <c r="N1052" i="65"/>
  <c r="N1053" i="65"/>
  <c r="N1054" i="65"/>
  <c r="N1055" i="65"/>
  <c r="N1056" i="65"/>
  <c r="N1057" i="65"/>
  <c r="N1058" i="65"/>
  <c r="N1059" i="65"/>
  <c r="N1060" i="65"/>
  <c r="N1061" i="65"/>
  <c r="N1062" i="65"/>
  <c r="N1063" i="65"/>
  <c r="N1064" i="65"/>
  <c r="N1065" i="65"/>
  <c r="N1066" i="65"/>
  <c r="N1067" i="65"/>
  <c r="N1068" i="65"/>
  <c r="N1069" i="65"/>
  <c r="N1070" i="65"/>
  <c r="N1071" i="65"/>
  <c r="N1072" i="65"/>
  <c r="N1073" i="65"/>
  <c r="N1074" i="65"/>
  <c r="N1075" i="65"/>
  <c r="N1076" i="65"/>
  <c r="N1077" i="65"/>
  <c r="N1078" i="65"/>
  <c r="N1079" i="65"/>
  <c r="N1080" i="65"/>
  <c r="N1081" i="65"/>
  <c r="N1082" i="65"/>
  <c r="N1083" i="65"/>
  <c r="N1084" i="65"/>
  <c r="N1085" i="65"/>
  <c r="N1086" i="65"/>
  <c r="N1087" i="65"/>
  <c r="N1088" i="65"/>
  <c r="N1089" i="65"/>
  <c r="N1090" i="65"/>
  <c r="N1091" i="65"/>
  <c r="N1092" i="65"/>
  <c r="N1093" i="65"/>
  <c r="N1094" i="65"/>
  <c r="N1095" i="65"/>
  <c r="N1096" i="65"/>
  <c r="N1097" i="65"/>
  <c r="N1098" i="65"/>
  <c r="N1099" i="65"/>
  <c r="N1100" i="65"/>
  <c r="N1101" i="65"/>
  <c r="N1102" i="65"/>
  <c r="N1103" i="65"/>
  <c r="N1104" i="65"/>
  <c r="N1105" i="65"/>
  <c r="N1106" i="65"/>
  <c r="N1107" i="65"/>
  <c r="N1108" i="65"/>
  <c r="N1109" i="65"/>
  <c r="N1110" i="65"/>
  <c r="N1111" i="65"/>
  <c r="N1112" i="65"/>
  <c r="N1113" i="65"/>
  <c r="N1114" i="65"/>
  <c r="N1115" i="65"/>
  <c r="N1116" i="65"/>
  <c r="N1117" i="65"/>
  <c r="N1118" i="65"/>
  <c r="N1119" i="65"/>
  <c r="N1120" i="65"/>
  <c r="N1121" i="65"/>
  <c r="N1122" i="65"/>
  <c r="N1123" i="65"/>
  <c r="N1124" i="65"/>
  <c r="N1125" i="65"/>
  <c r="N1126" i="65"/>
  <c r="N1127" i="65"/>
  <c r="N1128" i="65"/>
  <c r="N1129" i="65"/>
  <c r="N1130" i="65"/>
  <c r="N1131" i="65"/>
  <c r="N1132" i="65"/>
  <c r="N1133" i="65"/>
  <c r="N1134" i="65"/>
  <c r="N1135" i="65"/>
  <c r="N1136" i="65"/>
  <c r="N1137" i="65"/>
  <c r="N1138" i="65"/>
  <c r="N1139" i="65"/>
  <c r="N1140" i="65"/>
  <c r="N1141" i="65"/>
  <c r="N1142" i="65"/>
  <c r="N1143" i="65"/>
  <c r="N1144" i="65"/>
  <c r="N1145" i="65"/>
  <c r="N1146" i="65"/>
  <c r="N1147" i="65"/>
  <c r="N1148" i="65"/>
  <c r="N1149" i="65"/>
  <c r="N1150" i="65"/>
  <c r="N1151" i="65"/>
  <c r="N1152" i="65"/>
  <c r="N1153" i="65"/>
  <c r="N1154" i="65"/>
  <c r="N1155" i="65"/>
  <c r="N1156" i="65"/>
  <c r="N1157" i="65"/>
  <c r="N1158" i="65"/>
  <c r="N1159" i="65"/>
  <c r="N1160" i="65"/>
  <c r="N1161" i="65"/>
  <c r="N1162" i="65"/>
  <c r="N1163" i="65"/>
  <c r="N1164" i="65"/>
  <c r="N1165" i="65"/>
  <c r="N1166" i="65"/>
  <c r="N1167" i="65"/>
  <c r="N1168" i="65"/>
  <c r="N1169" i="65"/>
  <c r="N1170" i="65"/>
  <c r="N1171" i="65"/>
  <c r="N1172" i="65"/>
  <c r="N1173" i="65"/>
  <c r="N1174" i="65"/>
  <c r="N1175" i="65"/>
  <c r="N1176" i="65"/>
  <c r="N1177" i="65"/>
  <c r="N1178" i="65"/>
  <c r="N1179" i="65"/>
  <c r="N1180" i="65"/>
  <c r="N1181" i="65"/>
  <c r="N1182" i="65"/>
  <c r="N1183" i="65"/>
  <c r="N1184" i="65"/>
  <c r="N1185" i="65"/>
  <c r="N1186" i="65"/>
  <c r="N1187" i="65"/>
  <c r="N1188" i="65"/>
  <c r="N1189" i="65"/>
  <c r="N1190" i="65"/>
  <c r="N1191" i="65"/>
  <c r="N1192" i="65"/>
  <c r="N1193" i="65"/>
  <c r="N1194" i="65"/>
  <c r="N1195" i="65"/>
  <c r="N1196" i="65"/>
  <c r="N1197" i="65"/>
  <c r="N1198" i="65"/>
  <c r="N1199" i="65"/>
  <c r="N1200" i="65"/>
  <c r="N1201" i="65"/>
  <c r="N1202" i="65"/>
  <c r="N1203" i="65"/>
  <c r="N1204" i="65"/>
  <c r="N1205" i="65"/>
  <c r="N1206" i="65"/>
  <c r="N1207" i="65"/>
  <c r="N1208" i="65"/>
  <c r="N1209" i="65"/>
  <c r="N1210" i="65"/>
  <c r="N1211" i="65"/>
  <c r="N1212" i="65"/>
  <c r="N1213" i="65"/>
  <c r="N1214" i="65"/>
  <c r="N1215" i="65"/>
  <c r="N1216" i="65"/>
  <c r="N1217" i="65"/>
  <c r="N1218" i="65"/>
  <c r="N1219" i="65"/>
  <c r="N1220" i="65"/>
  <c r="N1221" i="65"/>
  <c r="N1222" i="65"/>
  <c r="N1223" i="65"/>
  <c r="N1224" i="65"/>
  <c r="N1225" i="65"/>
  <c r="N1226" i="65"/>
  <c r="N1227" i="65"/>
  <c r="N1228" i="65"/>
  <c r="N1229" i="65"/>
  <c r="N1230" i="65"/>
  <c r="N1231" i="65"/>
  <c r="N1232" i="65"/>
  <c r="N1233" i="65"/>
  <c r="N1234" i="65"/>
  <c r="N1235" i="65"/>
  <c r="N1236" i="65"/>
  <c r="N1237" i="65"/>
  <c r="N1238" i="65"/>
  <c r="N1239" i="65"/>
  <c r="N1240" i="65"/>
  <c r="N1241" i="65"/>
  <c r="N1242" i="65"/>
  <c r="N1243" i="65"/>
  <c r="N1244" i="65"/>
  <c r="N1245" i="65"/>
  <c r="N1246" i="65"/>
  <c r="N1247" i="65"/>
  <c r="N1248" i="65"/>
  <c r="N1249" i="65"/>
  <c r="N1250" i="65"/>
  <c r="N1251" i="65"/>
  <c r="N1252" i="65"/>
  <c r="N1253" i="65"/>
  <c r="N1254" i="65"/>
  <c r="N1255" i="65"/>
  <c r="N1256" i="65"/>
  <c r="N1257" i="65"/>
  <c r="N1258" i="65"/>
  <c r="N1259" i="65"/>
  <c r="N1260" i="65"/>
  <c r="N1261" i="65"/>
  <c r="N1262" i="65"/>
  <c r="N1263" i="65"/>
  <c r="N1264" i="65"/>
  <c r="N1265" i="65"/>
  <c r="N1266" i="65"/>
  <c r="N1267" i="65"/>
  <c r="N1268" i="65"/>
  <c r="N1269" i="65"/>
  <c r="N1270" i="65"/>
  <c r="N1271" i="65"/>
  <c r="N1272" i="65"/>
  <c r="N1273" i="65"/>
  <c r="N1274" i="65"/>
  <c r="N1275" i="65"/>
  <c r="N1276" i="65"/>
  <c r="N1277" i="65"/>
  <c r="N1278" i="65"/>
  <c r="N1279" i="65"/>
  <c r="N1280" i="65"/>
  <c r="N1281" i="65"/>
  <c r="N1282" i="65"/>
  <c r="N1283" i="65"/>
  <c r="N1284" i="65"/>
  <c r="N1285" i="65"/>
  <c r="N1286" i="65"/>
  <c r="N1287" i="65"/>
  <c r="N1288" i="65"/>
  <c r="N1289" i="65"/>
  <c r="N1290" i="65"/>
  <c r="N1291" i="65"/>
  <c r="N1292" i="65"/>
  <c r="N1293" i="65"/>
  <c r="N1294" i="65"/>
  <c r="N1295" i="65"/>
  <c r="N1296" i="65"/>
  <c r="N1297" i="65"/>
  <c r="N1298" i="65"/>
  <c r="N1299" i="65"/>
  <c r="N1300" i="65"/>
  <c r="N1301" i="65"/>
  <c r="N1302" i="65"/>
  <c r="N1303" i="65"/>
  <c r="N1304" i="65"/>
  <c r="N1305" i="65"/>
  <c r="N1306" i="65"/>
  <c r="N1307" i="65"/>
  <c r="N1308" i="65"/>
  <c r="N1309" i="65"/>
  <c r="N1310" i="65"/>
  <c r="N1311" i="65"/>
  <c r="N1312" i="65"/>
  <c r="N1313" i="65"/>
  <c r="N1314" i="65"/>
  <c r="N1315" i="65"/>
  <c r="N1316" i="65"/>
  <c r="N1317" i="65"/>
  <c r="N1318" i="65"/>
  <c r="N1319" i="65"/>
  <c r="N1320" i="65"/>
  <c r="N1321" i="65"/>
  <c r="N1322" i="65"/>
  <c r="N1323" i="65"/>
  <c r="N1324" i="65"/>
  <c r="N1325" i="65"/>
  <c r="N1326" i="65"/>
  <c r="N1327" i="65"/>
  <c r="N1328" i="65"/>
  <c r="N1329" i="65"/>
  <c r="N1330" i="65"/>
  <c r="N1331" i="65"/>
  <c r="N1332" i="65"/>
  <c r="N1333" i="65"/>
  <c r="N1334" i="65"/>
  <c r="N1335" i="65"/>
  <c r="N1336" i="65"/>
  <c r="N1337" i="65"/>
  <c r="N1338" i="65"/>
  <c r="N1339" i="65"/>
  <c r="N1340" i="65"/>
  <c r="N1341" i="65"/>
  <c r="N1342" i="65"/>
  <c r="N1343" i="65"/>
  <c r="N1344" i="65"/>
  <c r="N1345" i="65"/>
  <c r="N1346" i="65"/>
  <c r="N1347" i="65"/>
  <c r="N1348" i="65"/>
  <c r="N1349" i="65"/>
  <c r="N1350" i="65"/>
  <c r="N1351" i="65"/>
  <c r="N1352" i="65"/>
  <c r="N1353" i="65"/>
  <c r="N1354" i="65"/>
  <c r="N1355" i="65"/>
  <c r="N1356" i="65"/>
  <c r="N1357" i="65"/>
  <c r="N1358" i="65"/>
  <c r="N1359" i="65"/>
  <c r="N1360" i="65"/>
  <c r="N1361" i="65"/>
  <c r="N1362" i="65"/>
  <c r="N1363" i="65"/>
  <c r="N1364" i="65"/>
  <c r="N1365" i="65"/>
  <c r="N1366" i="65"/>
  <c r="N1367" i="65"/>
  <c r="N1368" i="65"/>
  <c r="N1369" i="65"/>
  <c r="N1370" i="65"/>
  <c r="N1371" i="65"/>
  <c r="N1372" i="65"/>
  <c r="N1373" i="65"/>
  <c r="N1374" i="65"/>
  <c r="N1375" i="65"/>
  <c r="N1376" i="65"/>
  <c r="N1377" i="65"/>
  <c r="N1378" i="65"/>
  <c r="N1379" i="65"/>
  <c r="N1380" i="65"/>
  <c r="N1381" i="65"/>
  <c r="N1382" i="65"/>
  <c r="N1383" i="65"/>
  <c r="N1384" i="65"/>
  <c r="N1385" i="65"/>
  <c r="N1386" i="65"/>
  <c r="N1387" i="65"/>
  <c r="N1388" i="65"/>
  <c r="N1389" i="65"/>
  <c r="N1390" i="65"/>
  <c r="N1391" i="65"/>
  <c r="N1392" i="65"/>
  <c r="N1393" i="65"/>
  <c r="N1394" i="65"/>
  <c r="N1395" i="65"/>
  <c r="N1396" i="65"/>
  <c r="N1397" i="65"/>
  <c r="N1398" i="65"/>
  <c r="N1399" i="65"/>
  <c r="N1400" i="65"/>
  <c r="N1401" i="65"/>
  <c r="N1402" i="65"/>
  <c r="N1403" i="65"/>
  <c r="N1404" i="65"/>
  <c r="N1405" i="65"/>
  <c r="N1406" i="65"/>
  <c r="N1407" i="65"/>
  <c r="N1408" i="65"/>
  <c r="N1409" i="65"/>
  <c r="N1410" i="65"/>
  <c r="N1411" i="65"/>
  <c r="N1412" i="65"/>
  <c r="N1413" i="65"/>
  <c r="N1414" i="65"/>
  <c r="N1415" i="65"/>
  <c r="N1416" i="65"/>
  <c r="N1417" i="65"/>
  <c r="N1418" i="65"/>
  <c r="N1419" i="65"/>
  <c r="N1420" i="65"/>
  <c r="N1421" i="65"/>
  <c r="N1422" i="65"/>
  <c r="N1423" i="65"/>
  <c r="N1424" i="65"/>
  <c r="N1425" i="65"/>
  <c r="N1426" i="65"/>
  <c r="N1427" i="65"/>
  <c r="N1428" i="65"/>
  <c r="N1429" i="65"/>
  <c r="N1430" i="65"/>
  <c r="N1431" i="65"/>
  <c r="N1432" i="65"/>
  <c r="N1433" i="65"/>
  <c r="N1434" i="65"/>
  <c r="N1435" i="65"/>
  <c r="N1436" i="65"/>
  <c r="N1437" i="65"/>
  <c r="N1438" i="65"/>
  <c r="N1439" i="65"/>
  <c r="N1440" i="65"/>
  <c r="N1441" i="65"/>
  <c r="N1442" i="65"/>
  <c r="N1443" i="65"/>
  <c r="N1444" i="65"/>
  <c r="N1445" i="65"/>
  <c r="N1446" i="65"/>
  <c r="N1447" i="65"/>
  <c r="N1448" i="65"/>
  <c r="N1449" i="65"/>
  <c r="N1450" i="65"/>
  <c r="N1451" i="65"/>
  <c r="N1452" i="65"/>
  <c r="N1453" i="65"/>
  <c r="N1454" i="65"/>
  <c r="N1455" i="65"/>
  <c r="N1456" i="65"/>
  <c r="N1457" i="65"/>
  <c r="N1458" i="65"/>
  <c r="N1459" i="65"/>
  <c r="N1460" i="65"/>
  <c r="N1461" i="65"/>
  <c r="N1462" i="65"/>
  <c r="N1463" i="65"/>
  <c r="N1464" i="65"/>
  <c r="N1465" i="65"/>
  <c r="N1466" i="65"/>
  <c r="N1467" i="65"/>
  <c r="N1468" i="65"/>
  <c r="N1469" i="65"/>
  <c r="N1470" i="65"/>
  <c r="N1471" i="65"/>
  <c r="N1472" i="65"/>
  <c r="N1473" i="65"/>
  <c r="N1474" i="65"/>
  <c r="N1475" i="65"/>
  <c r="N1476" i="65"/>
  <c r="N1477" i="65"/>
  <c r="N1478" i="65"/>
  <c r="N1479" i="65"/>
  <c r="N1480" i="65"/>
  <c r="N1481" i="65"/>
  <c r="N1482" i="65"/>
  <c r="N1483" i="65"/>
  <c r="N1484" i="65"/>
  <c r="N1485" i="65"/>
  <c r="N1486" i="65"/>
  <c r="N1487" i="65"/>
  <c r="N1488" i="65"/>
  <c r="N1489" i="65"/>
  <c r="N1490" i="65"/>
  <c r="N1491" i="65"/>
  <c r="N1492" i="65"/>
  <c r="N1493" i="65"/>
  <c r="N1494" i="65"/>
  <c r="N1495" i="65"/>
  <c r="N1496" i="65"/>
  <c r="N1497" i="65"/>
  <c r="N1498" i="65"/>
  <c r="N1499" i="65"/>
  <c r="N1500" i="65"/>
  <c r="N1501" i="65"/>
  <c r="N1502" i="65"/>
  <c r="N1503" i="65"/>
  <c r="N1504" i="65"/>
  <c r="N1505" i="65"/>
  <c r="N1506" i="65"/>
  <c r="N1507" i="65"/>
  <c r="N1508" i="65"/>
  <c r="N1509" i="65"/>
  <c r="N1510" i="65"/>
  <c r="N1511" i="65"/>
  <c r="N1512" i="65"/>
  <c r="N1513" i="65"/>
  <c r="N1514" i="65"/>
  <c r="N1515" i="65"/>
  <c r="N1516" i="65"/>
  <c r="N1517" i="65"/>
  <c r="N1518" i="65"/>
  <c r="N1519" i="65"/>
  <c r="N1520" i="65"/>
  <c r="N1521" i="65"/>
  <c r="N1522" i="65"/>
  <c r="N1523" i="65"/>
  <c r="N1524" i="65"/>
  <c r="N1525" i="65"/>
  <c r="N1526" i="65"/>
  <c r="N1527" i="65"/>
  <c r="N1528" i="65"/>
  <c r="N1529" i="65"/>
  <c r="N1530" i="65"/>
  <c r="N1531" i="65"/>
  <c r="N1532" i="65"/>
  <c r="N1533" i="65"/>
  <c r="N1534" i="65"/>
  <c r="N1535" i="65"/>
  <c r="N1536" i="65"/>
  <c r="N1537" i="65"/>
  <c r="N1538" i="65"/>
  <c r="N1539" i="65"/>
  <c r="N1540" i="65"/>
  <c r="N1541" i="65"/>
  <c r="N1542" i="65"/>
  <c r="N1543" i="65"/>
  <c r="N1544" i="65"/>
  <c r="N1545" i="65"/>
  <c r="N1546" i="65"/>
  <c r="N1547" i="65"/>
  <c r="N1548" i="65"/>
  <c r="N1549" i="65"/>
  <c r="N1550" i="65"/>
  <c r="N1551" i="65"/>
  <c r="N1552" i="65"/>
  <c r="N1553" i="65"/>
  <c r="N1554" i="65"/>
  <c r="N1555" i="65"/>
  <c r="N1556" i="65"/>
  <c r="N1557" i="65"/>
  <c r="N1558" i="65"/>
  <c r="N1559" i="65"/>
  <c r="N1560" i="65"/>
  <c r="N1561" i="65"/>
  <c r="N1562" i="65"/>
  <c r="N1563" i="65"/>
  <c r="N1564" i="65"/>
  <c r="N1565" i="65"/>
  <c r="N1566" i="65"/>
  <c r="N1567" i="65"/>
  <c r="N1568" i="65"/>
  <c r="N1569" i="65"/>
  <c r="N1570" i="65"/>
  <c r="N1571" i="65"/>
  <c r="N1572" i="65"/>
  <c r="N1573" i="65"/>
  <c r="N1574" i="65"/>
  <c r="N1575" i="65"/>
  <c r="N1576" i="65"/>
  <c r="N1577" i="65"/>
  <c r="N1578" i="65"/>
  <c r="N1579" i="65"/>
  <c r="N1580" i="65"/>
  <c r="N1581" i="65"/>
  <c r="N1582" i="65"/>
  <c r="N1583" i="65"/>
  <c r="N1584" i="65"/>
  <c r="N1585" i="65"/>
  <c r="N1586" i="65"/>
  <c r="N1587" i="65"/>
  <c r="N1588" i="65"/>
  <c r="N1589" i="65"/>
  <c r="N1590" i="65"/>
  <c r="N1591" i="65"/>
  <c r="N1592" i="65"/>
  <c r="N1593" i="65"/>
  <c r="N1594" i="65"/>
  <c r="N1595" i="65"/>
  <c r="N1596" i="65"/>
  <c r="N1597" i="65"/>
  <c r="N1598" i="65"/>
  <c r="N1599" i="65"/>
  <c r="N1600" i="65"/>
  <c r="N1601" i="65"/>
  <c r="N1602" i="65"/>
  <c r="N1603" i="65"/>
  <c r="N1604" i="65"/>
  <c r="N1605" i="65"/>
  <c r="N1606" i="65"/>
  <c r="N1607" i="65"/>
  <c r="N1608" i="65"/>
  <c r="N1609" i="65"/>
  <c r="N1610" i="65"/>
  <c r="N1611" i="65"/>
  <c r="N1612" i="65"/>
  <c r="N1613" i="65"/>
  <c r="N1614" i="65"/>
  <c r="N1615" i="65"/>
  <c r="N1616" i="65"/>
  <c r="N1617" i="65"/>
  <c r="N1618" i="65"/>
  <c r="N1619" i="65"/>
  <c r="N1620" i="65"/>
  <c r="N1621" i="65"/>
  <c r="N1622" i="65"/>
  <c r="N1623" i="65"/>
  <c r="N1624" i="65"/>
  <c r="N1625" i="65"/>
  <c r="N1626" i="65"/>
  <c r="N1627" i="65"/>
  <c r="N1628" i="65"/>
  <c r="N1629" i="65"/>
  <c r="N1630" i="65"/>
  <c r="N1631" i="65"/>
  <c r="N1632" i="65"/>
  <c r="N1633" i="65"/>
  <c r="N1634" i="65"/>
  <c r="N1635" i="65"/>
  <c r="N1636" i="65"/>
  <c r="N1637" i="65"/>
  <c r="N1638" i="65"/>
  <c r="N1639" i="65"/>
  <c r="N1640" i="65"/>
  <c r="N1641" i="65"/>
  <c r="N1642" i="65"/>
  <c r="N1643" i="65"/>
  <c r="N1644" i="65"/>
  <c r="N1645" i="65"/>
  <c r="N1646" i="65"/>
  <c r="N1647" i="65"/>
  <c r="N1648" i="65"/>
  <c r="N1649" i="65"/>
  <c r="N1650" i="65"/>
  <c r="N1651" i="65"/>
  <c r="N1652" i="65"/>
  <c r="N1653" i="65"/>
  <c r="N1654" i="65"/>
  <c r="N1655" i="65"/>
  <c r="N1656" i="65"/>
  <c r="N1657" i="65"/>
  <c r="N1658" i="65"/>
  <c r="N1659" i="65"/>
  <c r="N1660" i="65"/>
  <c r="N1661" i="65"/>
  <c r="N1662" i="65"/>
  <c r="N1663" i="65"/>
  <c r="N1664" i="65"/>
  <c r="N1665" i="65"/>
  <c r="N1666" i="65"/>
  <c r="N1667" i="65"/>
  <c r="N1668" i="65"/>
  <c r="N1669" i="65"/>
  <c r="N1670" i="65"/>
  <c r="N1671" i="65"/>
  <c r="N1672" i="65"/>
  <c r="N1673" i="65"/>
  <c r="N1674" i="65"/>
  <c r="N1675" i="65"/>
  <c r="N1676" i="65"/>
  <c r="N1677" i="65"/>
  <c r="N1678" i="65"/>
  <c r="N1679" i="65"/>
  <c r="N1680" i="65"/>
  <c r="N1681" i="65"/>
  <c r="N1682" i="65"/>
  <c r="N1683" i="65"/>
  <c r="N1684" i="65"/>
  <c r="N1685" i="65"/>
  <c r="N1686" i="65"/>
  <c r="N1687" i="65"/>
  <c r="N1688" i="65"/>
  <c r="N1689" i="65"/>
  <c r="N1690" i="65"/>
  <c r="N1691" i="65"/>
  <c r="N1692" i="65"/>
  <c r="N1693" i="65"/>
  <c r="N1694" i="65"/>
  <c r="N1695" i="65"/>
  <c r="N1696" i="65"/>
  <c r="N1697" i="65"/>
  <c r="N1698" i="65"/>
  <c r="N1699" i="65"/>
  <c r="N1700" i="65"/>
  <c r="N1701" i="65"/>
  <c r="N1702" i="65"/>
  <c r="N1703" i="65"/>
  <c r="N1704" i="65"/>
  <c r="N1705" i="65"/>
  <c r="N1706" i="65"/>
  <c r="N1707" i="65"/>
  <c r="N1708" i="65"/>
  <c r="N1709" i="65"/>
  <c r="N1710" i="65"/>
  <c r="N1711" i="65"/>
  <c r="N1712" i="65"/>
  <c r="N1713" i="65"/>
  <c r="N1714" i="65"/>
  <c r="N1715" i="65"/>
  <c r="N1716" i="65"/>
  <c r="N1717" i="65"/>
  <c r="N1718" i="65"/>
  <c r="N1719" i="65"/>
  <c r="N1720" i="65"/>
  <c r="N1721" i="65"/>
  <c r="N1722" i="65"/>
  <c r="N1723" i="65"/>
  <c r="N1724" i="65"/>
  <c r="N1725" i="65"/>
  <c r="N1726" i="65"/>
  <c r="N1727" i="65"/>
  <c r="N1728" i="65"/>
  <c r="N1729" i="65"/>
  <c r="N1730" i="65"/>
  <c r="N1731" i="65"/>
  <c r="N1732" i="65"/>
  <c r="N1733" i="65"/>
  <c r="N1734" i="65"/>
  <c r="N1735" i="65"/>
  <c r="N1736" i="65"/>
  <c r="N1737" i="65"/>
  <c r="N1738" i="65"/>
  <c r="N1739" i="65"/>
  <c r="N1740" i="65"/>
  <c r="N1741" i="65"/>
  <c r="N1742" i="65"/>
  <c r="N1743" i="65"/>
  <c r="N1744" i="65"/>
  <c r="N1745" i="65"/>
  <c r="N1746" i="65"/>
  <c r="N1747" i="65"/>
  <c r="N1748" i="65"/>
  <c r="N1749" i="65"/>
  <c r="N1750" i="65"/>
  <c r="N1751" i="65"/>
  <c r="N1752" i="65"/>
  <c r="N1753" i="65"/>
  <c r="N1754" i="65"/>
  <c r="N1755" i="65"/>
  <c r="N1756" i="65"/>
  <c r="N1757" i="65"/>
  <c r="N1758" i="65"/>
  <c r="N1759" i="65"/>
  <c r="N1760" i="65"/>
  <c r="N1761" i="65"/>
  <c r="N1762" i="65"/>
  <c r="N1763" i="65"/>
  <c r="N1764" i="65"/>
  <c r="N1765" i="65"/>
  <c r="N1766" i="65"/>
  <c r="N1767" i="65"/>
  <c r="N1768" i="65"/>
  <c r="N1769" i="65"/>
  <c r="N1770" i="65"/>
  <c r="N1771" i="65"/>
  <c r="N1772" i="65"/>
  <c r="N1773" i="65"/>
  <c r="N1774" i="65"/>
  <c r="N1775" i="65"/>
  <c r="N1776" i="65"/>
  <c r="N1777" i="65"/>
  <c r="N1778" i="65"/>
  <c r="N1779" i="65"/>
  <c r="N1780" i="65"/>
  <c r="N1781" i="65"/>
  <c r="N1782" i="65"/>
  <c r="N1783" i="65"/>
  <c r="N1784" i="65"/>
  <c r="N1785" i="65"/>
  <c r="N1786" i="65"/>
  <c r="N1787" i="65"/>
  <c r="N1788" i="65"/>
  <c r="N1789" i="65"/>
  <c r="N1790" i="65"/>
  <c r="N1791" i="65"/>
  <c r="N1792" i="65"/>
  <c r="N1793" i="65"/>
  <c r="N1794" i="65"/>
  <c r="N1795" i="65"/>
  <c r="N1796" i="65"/>
  <c r="N1797" i="65"/>
  <c r="N1798" i="65"/>
  <c r="N1799" i="65"/>
  <c r="N1800" i="65"/>
  <c r="N1801" i="65"/>
  <c r="N1802" i="65"/>
  <c r="N1803" i="65"/>
  <c r="N1804" i="65"/>
  <c r="N1805" i="65"/>
  <c r="N1806" i="65"/>
  <c r="N1807" i="65"/>
  <c r="N1808" i="65"/>
  <c r="N1809" i="65"/>
  <c r="N1810" i="65"/>
  <c r="N1811" i="65"/>
  <c r="N1812" i="65"/>
  <c r="N1813" i="65"/>
  <c r="N1814" i="65"/>
  <c r="N1815" i="65"/>
  <c r="N1816" i="65"/>
  <c r="N1817" i="65"/>
  <c r="N1818" i="65"/>
  <c r="N1819" i="65"/>
  <c r="N1820" i="65"/>
  <c r="N1821" i="65"/>
  <c r="N1822" i="65"/>
  <c r="N1823" i="65"/>
  <c r="N1824" i="65"/>
  <c r="N1825" i="65"/>
  <c r="N1826" i="65"/>
  <c r="N1827" i="65"/>
  <c r="N1828" i="65"/>
  <c r="N1829" i="65"/>
  <c r="N1830" i="65"/>
  <c r="N1831" i="65"/>
  <c r="N1832" i="65"/>
  <c r="N1833" i="65"/>
  <c r="N1834" i="65"/>
  <c r="N1835" i="65"/>
  <c r="N1836" i="65"/>
  <c r="N1837" i="65"/>
  <c r="N1838" i="65"/>
  <c r="N1839" i="65"/>
  <c r="N1840" i="65"/>
  <c r="N1841" i="65"/>
  <c r="N1842" i="65"/>
  <c r="N1843" i="65"/>
  <c r="N1844" i="65"/>
  <c r="N1845" i="65"/>
  <c r="N1846" i="65"/>
  <c r="N1847" i="65"/>
  <c r="N1848" i="65"/>
  <c r="N1849" i="65"/>
  <c r="N1850" i="65"/>
  <c r="N1851" i="65"/>
  <c r="N1852" i="65"/>
  <c r="N1853" i="65"/>
  <c r="N1854" i="65"/>
  <c r="N1855" i="65"/>
  <c r="N1856" i="65"/>
  <c r="N1857" i="65"/>
  <c r="N1858" i="65"/>
  <c r="N1859" i="65"/>
  <c r="N1860" i="65"/>
  <c r="N1861" i="65"/>
  <c r="N1862" i="65"/>
  <c r="N1863" i="65"/>
  <c r="N1864" i="65"/>
  <c r="N1865" i="65"/>
  <c r="N1866" i="65"/>
  <c r="N1867" i="65"/>
  <c r="N1868" i="65"/>
  <c r="N1869" i="65"/>
  <c r="N1870" i="65"/>
  <c r="N1871" i="65"/>
  <c r="N1872" i="65"/>
  <c r="N1873" i="65"/>
  <c r="N1874" i="65"/>
  <c r="N1875" i="65"/>
  <c r="N1876" i="65"/>
  <c r="N1877" i="65"/>
  <c r="N1878" i="65"/>
  <c r="N1879" i="65"/>
  <c r="N1880" i="65"/>
  <c r="N1881" i="65"/>
  <c r="N1882" i="65"/>
  <c r="N1883" i="65"/>
  <c r="N1884" i="65"/>
  <c r="N1885" i="65"/>
  <c r="N1886" i="65"/>
  <c r="N1887" i="65"/>
  <c r="N1888" i="65"/>
  <c r="N1889" i="65"/>
  <c r="N1890" i="65"/>
  <c r="N1891" i="65"/>
  <c r="N1892" i="65"/>
  <c r="N1893" i="65"/>
  <c r="N1894" i="65"/>
  <c r="N1895" i="65"/>
  <c r="N1896" i="65"/>
  <c r="N1897" i="65"/>
  <c r="N1898" i="65"/>
  <c r="N1899" i="65"/>
  <c r="N1900" i="65"/>
  <c r="N1901" i="65"/>
  <c r="N1902" i="65"/>
  <c r="N1903" i="65"/>
  <c r="N1904" i="65"/>
  <c r="N1905" i="65"/>
  <c r="N1906" i="65"/>
  <c r="N1907" i="65"/>
  <c r="N1908" i="65"/>
  <c r="N1909" i="65"/>
  <c r="N1910" i="65"/>
  <c r="N1911" i="65"/>
  <c r="N1912" i="65"/>
  <c r="N1913" i="65"/>
  <c r="N1914" i="65"/>
  <c r="N1915" i="65"/>
  <c r="N1916" i="65"/>
  <c r="N1917" i="65"/>
  <c r="N1918" i="65"/>
  <c r="N1919" i="65"/>
  <c r="N1920" i="65"/>
  <c r="N1921" i="65"/>
  <c r="N1922" i="65"/>
  <c r="N1923" i="65"/>
  <c r="N1924" i="65"/>
  <c r="N1925" i="65"/>
  <c r="N1926" i="65"/>
  <c r="N1927" i="65"/>
  <c r="N1928" i="65"/>
  <c r="N1929" i="65"/>
  <c r="N1930" i="65"/>
  <c r="N1931" i="65"/>
  <c r="N1932" i="65"/>
  <c r="N1933" i="65"/>
  <c r="N1934" i="65"/>
  <c r="N1935" i="65"/>
  <c r="N1936" i="65"/>
  <c r="N1937" i="65"/>
  <c r="N1938" i="65"/>
  <c r="N1939" i="65"/>
  <c r="N1940" i="65"/>
  <c r="N1941" i="65"/>
  <c r="N1942" i="65"/>
  <c r="N1943" i="65"/>
  <c r="N1944" i="65"/>
  <c r="N1945" i="65"/>
  <c r="N1946" i="65"/>
  <c r="N1947" i="65"/>
  <c r="N1948" i="65"/>
  <c r="N1949" i="65"/>
  <c r="N1950" i="65"/>
  <c r="N1951" i="65"/>
  <c r="N1952" i="65"/>
  <c r="N1953" i="65"/>
  <c r="N1954" i="65"/>
  <c r="N1955" i="65"/>
  <c r="N1956" i="65"/>
  <c r="N1957" i="65"/>
  <c r="N1958" i="65"/>
  <c r="N1959" i="65"/>
  <c r="N1960" i="65"/>
  <c r="N1961" i="65"/>
  <c r="N1962" i="65"/>
  <c r="N1963" i="65"/>
  <c r="N1964" i="65"/>
  <c r="N1965" i="65"/>
  <c r="N1966" i="65"/>
  <c r="N1967" i="65"/>
  <c r="N1968" i="65"/>
  <c r="N1969" i="65"/>
  <c r="N1970" i="65"/>
  <c r="N1971" i="65"/>
  <c r="N1972" i="65"/>
  <c r="N1973" i="65"/>
  <c r="N1974" i="65"/>
  <c r="N1975" i="65"/>
  <c r="N1976" i="65"/>
  <c r="N1977" i="65"/>
  <c r="N1978" i="65"/>
  <c r="N1979" i="65"/>
  <c r="N1980" i="65"/>
  <c r="N1981" i="65"/>
  <c r="N1982" i="65"/>
  <c r="N1983" i="65"/>
  <c r="N1984" i="65"/>
  <c r="N1985" i="65"/>
  <c r="N1986" i="65"/>
  <c r="N1987" i="65"/>
  <c r="N1988" i="65"/>
  <c r="N1989" i="65"/>
  <c r="N1990" i="65"/>
  <c r="N1991" i="65"/>
  <c r="N1992" i="65"/>
  <c r="N1993" i="65"/>
  <c r="N1994" i="65"/>
  <c r="N1995" i="65"/>
  <c r="N1996" i="65"/>
  <c r="N1997" i="65"/>
  <c r="N1998" i="65"/>
  <c r="N1999" i="65"/>
  <c r="N2000" i="65"/>
  <c r="N2001" i="65"/>
  <c r="N2002" i="65"/>
  <c r="N2003" i="65"/>
  <c r="N2004" i="65"/>
  <c r="N2005" i="65"/>
  <c r="N2006" i="65"/>
  <c r="N2007" i="65"/>
  <c r="N2008" i="65"/>
  <c r="N2009" i="65"/>
  <c r="N2010" i="65"/>
  <c r="N2011" i="65"/>
  <c r="N2012" i="65"/>
  <c r="N2013" i="65"/>
  <c r="N2014" i="65"/>
  <c r="N2015" i="65"/>
  <c r="N2016" i="65"/>
  <c r="N2017" i="65"/>
  <c r="N2018" i="65"/>
  <c r="N2019" i="65"/>
  <c r="N2020" i="65"/>
  <c r="N2021" i="65"/>
  <c r="N2022" i="65"/>
  <c r="N2023" i="65"/>
  <c r="N2024" i="65"/>
  <c r="N2025" i="65"/>
  <c r="N2026" i="65"/>
  <c r="N2027" i="65"/>
  <c r="N2028" i="65"/>
  <c r="N2029" i="65"/>
  <c r="N2030" i="65"/>
  <c r="N2031" i="65"/>
  <c r="N2032" i="65"/>
  <c r="N2033" i="65"/>
  <c r="N2034" i="65"/>
  <c r="N2035" i="65"/>
  <c r="N2036" i="65"/>
  <c r="N2037" i="65"/>
  <c r="N2038" i="65"/>
  <c r="N2039" i="65"/>
  <c r="N2040" i="65"/>
  <c r="N2041" i="65"/>
  <c r="N2042" i="65"/>
  <c r="N2043" i="65"/>
  <c r="N2044" i="65"/>
  <c r="N2045" i="65"/>
  <c r="N2046" i="65"/>
  <c r="N2047" i="65"/>
  <c r="N2048" i="65"/>
  <c r="N2049" i="65"/>
  <c r="N2050" i="65"/>
  <c r="N2051" i="65"/>
  <c r="N2052" i="65"/>
  <c r="N2053" i="65"/>
  <c r="N2054" i="65"/>
  <c r="N2055" i="65"/>
  <c r="N2056" i="65"/>
  <c r="N2057" i="65"/>
  <c r="N2058" i="65"/>
  <c r="N2059" i="65"/>
  <c r="N2060" i="65"/>
  <c r="N2061" i="65"/>
  <c r="N2062" i="65"/>
  <c r="N2063" i="65"/>
  <c r="N2064" i="65"/>
  <c r="N2065" i="65"/>
  <c r="N2066" i="65"/>
  <c r="N2067" i="65"/>
  <c r="N2068" i="65"/>
  <c r="N2069" i="65"/>
  <c r="N2070" i="65"/>
  <c r="N2071" i="65"/>
  <c r="N2072" i="65"/>
  <c r="N2073" i="65"/>
  <c r="N2074" i="65"/>
  <c r="N2075" i="65"/>
  <c r="N2076" i="65"/>
  <c r="N2077" i="65"/>
  <c r="N2078" i="65"/>
  <c r="N2079" i="65"/>
  <c r="N2080" i="65"/>
  <c r="N2081" i="65"/>
  <c r="N2082" i="65"/>
  <c r="N2083" i="65"/>
  <c r="N2084" i="65"/>
  <c r="N2085" i="65"/>
  <c r="N2086" i="65"/>
  <c r="N2087" i="65"/>
  <c r="N2088" i="65"/>
  <c r="N2089" i="65"/>
  <c r="N2090" i="65"/>
  <c r="N2091" i="65"/>
  <c r="N2092" i="65"/>
  <c r="N2093" i="65"/>
  <c r="N2094" i="65"/>
  <c r="N2095" i="65"/>
  <c r="N2096" i="65"/>
  <c r="N2097" i="65"/>
  <c r="N2098" i="65"/>
  <c r="N2099" i="65"/>
  <c r="N2100" i="65"/>
  <c r="N2101" i="65"/>
  <c r="N2102" i="65"/>
  <c r="N2103" i="65"/>
  <c r="N2104" i="65"/>
  <c r="N2105" i="65"/>
  <c r="N2106" i="65"/>
  <c r="N2107" i="65"/>
  <c r="N2108" i="65"/>
  <c r="N2109" i="65"/>
  <c r="N2110" i="65"/>
  <c r="N2111" i="65"/>
  <c r="N2112" i="65"/>
  <c r="N2113" i="65"/>
  <c r="N2114" i="65"/>
  <c r="N2115" i="65"/>
  <c r="N2116" i="65"/>
  <c r="N2117" i="65"/>
  <c r="N2118" i="65"/>
  <c r="N2119" i="65"/>
  <c r="N2120" i="65"/>
  <c r="N2121" i="65"/>
  <c r="N2122" i="65"/>
  <c r="N2123" i="65"/>
  <c r="N2124" i="65"/>
  <c r="N2125" i="65"/>
  <c r="N2126" i="65"/>
  <c r="N2127" i="65"/>
  <c r="N2128" i="65"/>
  <c r="N2129" i="65"/>
  <c r="N2130" i="65"/>
  <c r="N2131" i="65"/>
  <c r="N2132" i="65"/>
  <c r="N2133" i="65"/>
  <c r="N2134" i="65"/>
  <c r="N2135" i="65"/>
  <c r="N2136" i="65"/>
  <c r="N2137" i="65"/>
  <c r="N2138" i="65"/>
  <c r="N2139" i="65"/>
  <c r="N2140" i="65"/>
  <c r="N2141" i="65"/>
  <c r="N2142" i="65"/>
  <c r="N2143" i="65"/>
  <c r="N2144" i="65"/>
  <c r="N2145" i="65"/>
  <c r="N2146" i="65"/>
  <c r="N2147" i="65"/>
  <c r="N2148" i="65"/>
  <c r="N2149" i="65"/>
  <c r="N2150" i="65"/>
  <c r="N2151" i="65"/>
  <c r="N2152" i="65"/>
  <c r="N2153" i="65"/>
  <c r="N2154" i="65"/>
  <c r="N2155" i="65"/>
  <c r="N2156" i="65"/>
  <c r="N2157" i="65"/>
  <c r="N2158" i="65"/>
  <c r="N2159" i="65"/>
  <c r="N2160" i="65"/>
  <c r="N2161" i="65"/>
  <c r="N2162" i="65"/>
  <c r="N2163" i="65"/>
  <c r="N2164" i="65"/>
  <c r="N2165" i="65"/>
  <c r="N2166" i="65"/>
  <c r="N2167" i="65"/>
  <c r="N2168" i="65"/>
  <c r="N2169" i="65"/>
  <c r="N2170" i="65"/>
  <c r="N2171" i="65"/>
  <c r="N2172" i="65"/>
  <c r="N2173" i="65"/>
  <c r="N2174" i="65"/>
  <c r="N2175" i="65"/>
  <c r="N2176" i="65"/>
  <c r="N2177" i="65"/>
  <c r="N2178" i="65"/>
  <c r="N2179" i="65"/>
  <c r="N2180" i="65"/>
  <c r="N2181" i="65"/>
  <c r="N2182" i="65"/>
  <c r="N2183" i="65"/>
  <c r="N2184" i="65"/>
  <c r="N2185" i="65"/>
  <c r="N2186" i="65"/>
  <c r="N2187" i="65"/>
  <c r="N2188" i="65"/>
  <c r="N2189" i="65"/>
  <c r="N2190" i="65"/>
  <c r="N2191" i="65"/>
  <c r="N2192" i="65"/>
  <c r="N2193" i="65"/>
  <c r="N2194" i="65"/>
  <c r="N2195" i="65"/>
  <c r="N2196" i="65"/>
  <c r="N2197" i="65"/>
  <c r="N2198" i="65"/>
  <c r="N2199" i="65"/>
  <c r="N2200" i="65"/>
  <c r="N2201" i="65"/>
  <c r="N2202" i="65"/>
  <c r="N2203" i="65"/>
  <c r="N2204" i="65"/>
  <c r="N2205" i="65"/>
  <c r="N2206" i="65"/>
  <c r="N2207" i="65"/>
  <c r="N2208" i="65"/>
  <c r="N2209" i="65"/>
  <c r="N2210" i="65"/>
  <c r="N2211" i="65"/>
  <c r="N2212" i="65"/>
  <c r="N2213" i="65"/>
  <c r="N2214" i="65"/>
  <c r="N2215" i="65"/>
  <c r="N2216" i="65"/>
  <c r="N2217" i="65"/>
  <c r="N2218" i="65"/>
  <c r="N2219" i="65"/>
  <c r="N2220" i="65"/>
  <c r="N2221" i="65"/>
  <c r="N2222" i="65"/>
  <c r="N2223" i="65"/>
  <c r="N2224" i="65"/>
  <c r="N2225" i="65"/>
  <c r="N2226" i="65"/>
  <c r="N2227" i="65"/>
  <c r="N2228" i="65"/>
  <c r="N2229" i="65"/>
  <c r="N2230" i="65"/>
  <c r="N2231" i="65"/>
  <c r="N2232" i="65"/>
  <c r="N2233" i="65"/>
  <c r="N2234" i="65"/>
  <c r="N2235" i="65"/>
  <c r="N2236" i="65"/>
  <c r="N2237" i="65"/>
  <c r="N2238" i="65"/>
  <c r="N2239" i="65"/>
  <c r="N2240" i="65"/>
  <c r="N2241" i="65"/>
  <c r="N2242" i="65"/>
  <c r="N2243" i="65"/>
  <c r="N2244" i="65"/>
  <c r="N2245" i="65"/>
  <c r="N2246" i="65"/>
  <c r="N2247" i="65"/>
  <c r="N2248" i="65"/>
  <c r="N2249" i="65"/>
  <c r="N2250" i="65"/>
  <c r="N2251" i="65"/>
  <c r="N2252" i="65"/>
  <c r="N2253" i="65"/>
  <c r="N2254" i="65"/>
  <c r="N2255" i="65"/>
  <c r="N2256" i="65"/>
  <c r="N2257" i="65"/>
  <c r="N2258" i="65"/>
  <c r="N2259" i="65"/>
  <c r="N2260" i="65"/>
  <c r="N2261" i="65"/>
  <c r="N2262" i="65"/>
  <c r="N2263" i="65"/>
  <c r="N2264" i="65"/>
  <c r="N2265" i="65"/>
  <c r="N2266" i="65"/>
  <c r="N2267" i="65"/>
  <c r="N2268" i="65"/>
  <c r="N2269" i="65"/>
  <c r="N2270" i="65"/>
  <c r="N2271" i="65"/>
  <c r="N2272" i="65"/>
  <c r="N2273" i="65"/>
  <c r="N2274" i="65"/>
  <c r="N2275" i="65"/>
  <c r="N2276" i="65"/>
  <c r="N2277" i="65"/>
  <c r="N2278" i="65"/>
  <c r="N2279" i="65"/>
  <c r="N2280" i="65"/>
  <c r="N2281" i="65"/>
  <c r="N2282" i="65"/>
  <c r="N2283" i="65"/>
  <c r="N2284" i="65"/>
  <c r="N2285" i="65"/>
  <c r="N2286" i="65"/>
  <c r="N2287" i="65"/>
  <c r="N2288" i="65"/>
  <c r="N2289" i="65"/>
  <c r="N2290" i="65"/>
  <c r="N2291" i="65"/>
  <c r="N2292" i="65"/>
  <c r="N2293" i="65"/>
  <c r="N2294" i="65"/>
  <c r="N2295" i="65"/>
  <c r="N2296" i="65"/>
  <c r="N2297" i="65"/>
  <c r="N2298" i="65"/>
  <c r="N2299" i="65"/>
  <c r="N2300" i="65"/>
  <c r="N2301" i="65"/>
  <c r="N2302" i="65"/>
  <c r="N2303" i="65"/>
  <c r="N2304" i="65"/>
  <c r="N2305" i="65"/>
  <c r="N2306" i="65"/>
  <c r="N2307" i="65"/>
  <c r="N2308" i="65"/>
  <c r="N2309" i="65"/>
  <c r="N2310" i="65"/>
  <c r="N2311" i="65"/>
  <c r="N2312" i="65"/>
  <c r="N2313" i="65"/>
  <c r="N2314" i="65"/>
  <c r="N2315" i="65"/>
  <c r="N2316" i="65"/>
  <c r="N2317" i="65"/>
  <c r="N2318" i="65"/>
  <c r="N2319" i="65"/>
  <c r="N2320" i="65"/>
  <c r="N2321" i="65"/>
  <c r="N2322" i="65"/>
  <c r="N2323" i="65"/>
  <c r="N2324" i="65"/>
  <c r="N2325" i="65"/>
  <c r="N2326" i="65"/>
  <c r="N2327" i="65"/>
  <c r="N2328" i="65"/>
  <c r="N2329" i="65"/>
  <c r="N2330" i="65"/>
  <c r="N2331" i="65"/>
  <c r="N2332" i="65"/>
  <c r="N2333" i="65"/>
  <c r="N2334" i="65"/>
  <c r="N2335" i="65"/>
  <c r="N2336" i="65"/>
  <c r="N2337" i="65"/>
  <c r="N2338" i="65"/>
  <c r="N2339" i="65"/>
  <c r="N2340" i="65"/>
  <c r="N2341" i="65"/>
  <c r="N2342" i="65"/>
  <c r="N2343" i="65"/>
  <c r="N2344" i="65"/>
  <c r="N2345" i="65"/>
  <c r="N2346" i="65"/>
  <c r="N2347" i="65"/>
  <c r="N2348" i="65"/>
  <c r="N2349" i="65"/>
  <c r="N2350" i="65"/>
  <c r="N2351" i="65"/>
  <c r="N2352" i="65"/>
  <c r="N2353" i="65"/>
  <c r="N2354" i="65"/>
  <c r="N2355" i="65"/>
  <c r="N2356" i="65"/>
  <c r="N2357" i="65"/>
  <c r="N2358" i="65"/>
  <c r="N2359" i="65"/>
  <c r="N2360" i="65"/>
  <c r="N2361" i="65"/>
  <c r="N2362" i="65"/>
  <c r="N2363" i="65"/>
  <c r="N2364" i="65"/>
  <c r="N2365" i="65"/>
  <c r="N2366" i="65"/>
  <c r="N2367" i="65"/>
  <c r="N2368" i="65"/>
  <c r="N2369" i="65"/>
  <c r="N2370" i="65"/>
  <c r="N2371" i="65"/>
  <c r="N2372" i="65"/>
  <c r="N2373" i="65"/>
  <c r="N2374" i="65"/>
  <c r="N2375" i="65"/>
  <c r="N2376" i="65"/>
  <c r="N2377" i="65"/>
  <c r="N2378" i="65"/>
  <c r="N2379" i="65"/>
  <c r="N2380" i="65"/>
  <c r="N2381" i="65"/>
  <c r="N2382" i="65"/>
  <c r="N2383" i="65"/>
  <c r="N2384" i="65"/>
  <c r="N2385" i="65"/>
  <c r="N2386" i="65"/>
  <c r="N2387" i="65"/>
  <c r="N2388" i="65"/>
  <c r="N2389" i="65"/>
  <c r="N2390" i="65"/>
  <c r="N2391" i="65"/>
  <c r="N2392" i="65"/>
  <c r="N2393" i="65"/>
  <c r="N2394" i="65"/>
  <c r="N2395" i="65"/>
  <c r="N2396" i="65"/>
  <c r="N2397" i="65"/>
  <c r="N2398" i="65"/>
  <c r="N2399" i="65"/>
  <c r="N2400" i="65"/>
  <c r="N2401" i="65"/>
  <c r="N2402" i="65"/>
  <c r="N2403" i="65"/>
  <c r="N2404" i="65"/>
  <c r="N2405" i="65"/>
  <c r="N2406" i="65"/>
  <c r="N2407" i="65"/>
  <c r="N2408" i="65"/>
  <c r="N2409" i="65"/>
  <c r="N2410" i="65"/>
  <c r="N2411" i="65"/>
  <c r="N2412" i="65"/>
  <c r="N2413" i="65"/>
  <c r="N2414" i="65"/>
  <c r="N2415" i="65"/>
  <c r="N2416" i="65"/>
  <c r="N2417" i="65"/>
  <c r="N2418" i="65"/>
  <c r="N2419" i="65"/>
  <c r="N2420" i="65"/>
  <c r="N2421" i="65"/>
  <c r="N2422" i="65"/>
  <c r="N2423" i="65"/>
  <c r="N2424" i="65"/>
  <c r="N2425" i="65"/>
  <c r="N2426" i="65"/>
  <c r="N2427" i="65"/>
  <c r="N2428" i="65"/>
  <c r="N2429" i="65"/>
  <c r="N2430" i="65"/>
  <c r="N2431" i="65"/>
  <c r="N2432" i="65"/>
  <c r="N2433" i="65"/>
  <c r="N2434" i="65"/>
  <c r="N2435" i="65"/>
  <c r="N2436" i="65"/>
  <c r="N2437" i="65"/>
  <c r="N2438" i="65"/>
  <c r="N2439" i="65"/>
  <c r="N2440" i="65"/>
  <c r="N2441" i="65"/>
  <c r="N2442" i="65"/>
  <c r="N2443" i="65"/>
  <c r="N2444" i="65"/>
  <c r="N2445" i="65"/>
  <c r="N2446" i="65"/>
  <c r="N2447" i="65"/>
  <c r="N2448" i="65"/>
  <c r="N2449" i="65"/>
  <c r="N2450" i="65"/>
  <c r="N2451" i="65"/>
  <c r="N2452" i="65"/>
  <c r="N2453" i="65"/>
  <c r="N2454" i="65"/>
  <c r="N2455" i="65"/>
  <c r="N2456" i="65"/>
  <c r="N2457" i="65"/>
  <c r="N2458" i="65"/>
  <c r="N2459" i="65"/>
  <c r="N2460" i="65"/>
  <c r="N2461" i="65"/>
  <c r="N2462" i="65"/>
  <c r="N2463" i="65"/>
  <c r="N2464" i="65"/>
  <c r="N2465" i="65"/>
  <c r="N2466" i="65"/>
  <c r="N2467" i="65"/>
  <c r="N2468" i="65"/>
  <c r="N2469" i="65"/>
  <c r="N2470" i="65"/>
  <c r="N2471" i="65"/>
  <c r="N2472" i="65"/>
  <c r="N2473" i="65"/>
  <c r="N2474" i="65"/>
  <c r="N2475" i="65"/>
  <c r="N2476" i="65"/>
  <c r="N2477" i="65"/>
  <c r="N2478" i="65"/>
  <c r="N2479" i="65"/>
  <c r="N2480" i="65"/>
  <c r="N2481" i="65"/>
  <c r="N2482" i="65"/>
  <c r="N2483" i="65"/>
  <c r="N2484" i="65"/>
  <c r="N2485" i="65"/>
  <c r="N2486" i="65"/>
  <c r="N2487" i="65"/>
  <c r="N2488" i="65"/>
  <c r="N2489" i="65"/>
  <c r="N2490" i="65"/>
  <c r="N2491" i="65"/>
  <c r="N2492" i="65"/>
  <c r="N2493" i="65"/>
  <c r="N2494" i="65"/>
  <c r="N2495" i="65"/>
  <c r="N2496" i="65"/>
  <c r="N2497" i="65"/>
  <c r="N2498" i="65"/>
  <c r="N2499" i="65"/>
  <c r="N2500" i="65"/>
  <c r="N2501" i="65"/>
  <c r="N2502" i="65"/>
  <c r="N2503" i="65"/>
  <c r="N2504" i="65"/>
  <c r="N2505" i="65"/>
  <c r="N2506" i="65"/>
  <c r="N2507" i="65"/>
  <c r="N2508" i="65"/>
  <c r="N2509" i="65"/>
  <c r="N2510" i="65"/>
  <c r="N2511" i="65"/>
  <c r="N2512" i="65"/>
  <c r="N2513" i="65"/>
  <c r="N2514" i="65"/>
  <c r="N2515" i="65"/>
  <c r="N2516" i="65"/>
  <c r="N2517" i="65"/>
  <c r="N2518" i="65"/>
  <c r="N2519" i="65"/>
  <c r="N2520" i="65"/>
  <c r="N2521" i="65"/>
  <c r="N2522" i="65"/>
  <c r="N2523" i="65"/>
  <c r="N2524" i="65"/>
  <c r="N2525" i="65"/>
  <c r="N2526" i="65"/>
  <c r="N2527" i="65"/>
  <c r="N2528" i="65"/>
  <c r="N2529" i="65"/>
  <c r="N2530" i="65"/>
  <c r="N2531" i="65"/>
  <c r="N2532" i="65"/>
  <c r="N2533" i="65"/>
  <c r="N2534" i="65"/>
  <c r="N2535" i="65"/>
  <c r="N2536" i="65"/>
  <c r="N2537" i="65"/>
  <c r="N2538" i="65"/>
  <c r="N2539" i="65"/>
  <c r="N2540" i="65"/>
  <c r="N2541" i="65"/>
  <c r="N2542" i="65"/>
  <c r="N2543" i="65"/>
  <c r="N2544" i="65"/>
  <c r="N2545" i="65"/>
  <c r="N2546" i="65"/>
  <c r="N2547" i="65"/>
  <c r="N2548" i="65"/>
  <c r="N2549" i="65"/>
  <c r="N2550" i="65"/>
  <c r="N2551" i="65"/>
  <c r="N2552" i="65"/>
  <c r="N2553" i="65"/>
  <c r="N2554" i="65"/>
  <c r="N2555" i="65"/>
  <c r="N2556" i="65"/>
  <c r="N2557" i="65"/>
  <c r="N2558" i="65"/>
  <c r="N2559" i="65"/>
  <c r="N2560" i="65"/>
  <c r="N2561" i="65"/>
  <c r="N2562" i="65"/>
  <c r="N2563" i="65"/>
  <c r="N2564" i="65"/>
  <c r="N2565" i="65"/>
  <c r="N2566" i="65"/>
  <c r="N2567" i="65"/>
  <c r="N2568" i="65"/>
  <c r="N2569" i="65"/>
  <c r="N2570" i="65"/>
  <c r="N2571" i="65"/>
  <c r="N2572" i="65"/>
  <c r="N2573" i="65"/>
  <c r="N2574" i="65"/>
  <c r="N2575" i="65"/>
  <c r="N2576" i="65"/>
  <c r="N2577" i="65"/>
  <c r="N2578" i="65"/>
  <c r="N2579" i="65"/>
  <c r="N2580" i="65"/>
  <c r="N2581" i="65"/>
  <c r="N2582" i="65"/>
  <c r="N2583" i="65"/>
  <c r="N2584" i="65"/>
  <c r="N2585" i="65"/>
  <c r="N2586" i="65"/>
  <c r="N2587" i="65"/>
  <c r="N2588" i="65"/>
  <c r="N2589" i="65"/>
  <c r="N2590" i="65"/>
  <c r="N2591" i="65"/>
  <c r="N2592" i="65"/>
  <c r="N2593" i="65"/>
  <c r="N2594" i="65"/>
  <c r="N2595" i="65"/>
  <c r="N2596" i="65"/>
  <c r="N2597" i="65"/>
  <c r="N2598" i="65"/>
  <c r="N2599" i="65"/>
  <c r="N2600" i="65"/>
  <c r="N2601" i="65"/>
  <c r="N2602" i="65"/>
  <c r="N2603" i="65"/>
  <c r="N2604" i="65"/>
  <c r="N2605" i="65"/>
  <c r="N2606" i="65"/>
  <c r="N2607" i="65"/>
  <c r="N2608" i="65"/>
  <c r="N2609" i="65"/>
  <c r="N2610" i="65"/>
  <c r="N2611" i="65"/>
  <c r="N2612" i="65"/>
  <c r="N2613" i="65"/>
  <c r="N2614" i="65"/>
  <c r="N2615" i="65"/>
  <c r="N2616" i="65"/>
  <c r="N2617" i="65"/>
  <c r="N2618" i="65"/>
  <c r="N2619" i="65"/>
  <c r="N2620" i="65"/>
  <c r="N2621" i="65"/>
  <c r="N2622" i="65"/>
  <c r="N2623" i="65"/>
  <c r="N2624" i="65"/>
  <c r="N2625" i="65"/>
  <c r="N2626" i="65"/>
  <c r="N2627" i="65"/>
  <c r="N2628" i="65"/>
  <c r="N2629" i="65"/>
  <c r="N2630" i="65"/>
  <c r="N2631" i="65"/>
  <c r="N2632" i="65"/>
  <c r="N2633" i="65"/>
  <c r="N2634" i="65"/>
  <c r="N2635" i="65"/>
  <c r="N2636" i="65"/>
  <c r="N2637" i="65"/>
  <c r="N2638" i="65"/>
  <c r="N2639" i="65"/>
  <c r="N2640" i="65"/>
  <c r="N2641" i="65"/>
  <c r="N2642" i="65"/>
  <c r="N2643" i="65"/>
  <c r="N2644" i="65"/>
  <c r="N2645" i="65"/>
  <c r="N2646" i="65"/>
  <c r="N2647" i="65"/>
  <c r="N2648" i="65"/>
  <c r="N2649" i="65"/>
  <c r="N2650" i="65"/>
  <c r="N2651" i="65"/>
  <c r="N2652" i="65"/>
  <c r="N2653" i="65"/>
  <c r="N2654" i="65"/>
  <c r="N2655" i="65"/>
  <c r="N2656" i="65"/>
  <c r="N2657" i="65"/>
  <c r="N2658" i="65"/>
  <c r="N2659" i="65"/>
  <c r="N2660" i="65"/>
  <c r="N2661" i="65"/>
  <c r="N2662" i="65"/>
  <c r="N2663" i="65"/>
  <c r="N2664" i="65"/>
  <c r="N2665" i="65"/>
  <c r="N2666" i="65"/>
  <c r="N2667" i="65"/>
  <c r="N2668" i="65"/>
  <c r="N2669" i="65"/>
  <c r="N2670" i="65"/>
  <c r="N2671" i="65"/>
  <c r="N2672" i="65"/>
  <c r="N2673" i="65"/>
  <c r="N2674" i="65"/>
  <c r="N2675" i="65"/>
  <c r="N2676" i="65"/>
  <c r="N2677" i="65"/>
  <c r="N2678" i="65"/>
  <c r="N2679" i="65"/>
  <c r="N2680" i="65"/>
  <c r="N2681" i="65"/>
  <c r="N2682" i="65"/>
  <c r="N2683" i="65"/>
  <c r="N2684" i="65"/>
  <c r="N2685" i="65"/>
  <c r="N2686" i="65"/>
  <c r="N2687" i="65"/>
  <c r="N2688" i="65"/>
  <c r="N2689" i="65"/>
  <c r="N2690" i="65"/>
  <c r="N2691" i="65"/>
  <c r="N2692" i="65"/>
  <c r="N2693" i="65"/>
  <c r="N2694" i="65"/>
  <c r="N2695" i="65"/>
  <c r="N2696" i="65"/>
  <c r="N2697" i="65"/>
  <c r="N2698" i="65"/>
  <c r="N2699" i="65"/>
  <c r="N2700" i="65"/>
  <c r="N2701" i="65"/>
  <c r="N2702" i="65"/>
  <c r="N2703" i="65"/>
  <c r="N2704" i="65"/>
  <c r="N2705" i="65"/>
  <c r="N2706" i="65"/>
  <c r="N2707" i="65"/>
  <c r="N2708" i="65"/>
  <c r="N2709" i="65"/>
  <c r="N2710" i="65"/>
  <c r="N2711" i="65"/>
  <c r="N2712" i="65"/>
  <c r="N2713" i="65"/>
  <c r="N2714" i="65"/>
  <c r="N2715" i="65"/>
  <c r="N2716" i="65"/>
  <c r="N2717" i="65"/>
  <c r="N2718" i="65"/>
  <c r="N2719" i="65"/>
  <c r="N2720" i="65"/>
  <c r="N2721" i="65"/>
  <c r="N2722" i="65"/>
  <c r="N2723" i="65"/>
  <c r="N2724" i="65"/>
  <c r="N2725" i="65"/>
  <c r="N2726" i="65"/>
  <c r="N2727" i="65"/>
  <c r="N2728" i="65"/>
  <c r="N2729" i="65"/>
  <c r="N2730" i="65"/>
  <c r="N2731" i="65"/>
  <c r="N2732" i="65"/>
  <c r="N2733" i="65"/>
  <c r="N2734" i="65"/>
  <c r="N2735" i="65"/>
  <c r="N2736" i="65"/>
  <c r="N2737" i="65"/>
  <c r="N2738" i="65"/>
  <c r="N2739" i="65"/>
  <c r="N2740" i="65"/>
  <c r="N2741" i="65"/>
  <c r="N2742" i="65"/>
  <c r="N2743" i="65"/>
  <c r="N2744" i="65"/>
  <c r="N2745" i="65"/>
  <c r="N2746" i="65"/>
  <c r="N2747" i="65"/>
  <c r="N2748" i="65"/>
  <c r="N2749" i="65"/>
  <c r="N2750" i="65"/>
  <c r="N2751" i="65"/>
  <c r="N2752" i="65"/>
  <c r="N2753" i="65"/>
  <c r="N2754" i="65"/>
  <c r="N2755" i="65"/>
  <c r="N2756" i="65"/>
  <c r="N2757" i="65"/>
  <c r="N2758" i="65"/>
  <c r="N2759" i="65"/>
  <c r="N2760" i="65"/>
  <c r="N2761" i="65"/>
  <c r="N2762" i="65"/>
  <c r="N2763" i="65"/>
  <c r="N2764" i="65"/>
  <c r="N2765" i="65"/>
  <c r="N2766" i="65"/>
  <c r="N2767" i="65"/>
  <c r="N2768" i="65"/>
  <c r="N2769" i="65"/>
  <c r="N2770" i="65"/>
  <c r="N2771" i="65"/>
  <c r="N2772" i="65"/>
  <c r="N2773" i="65"/>
  <c r="N2774" i="65"/>
  <c r="N2775" i="65"/>
  <c r="N2776" i="65"/>
  <c r="N2777" i="65"/>
  <c r="N2778" i="65"/>
  <c r="N2779" i="65"/>
  <c r="N2780" i="65"/>
  <c r="N2781" i="65"/>
  <c r="N2782" i="65"/>
  <c r="N2783" i="65"/>
  <c r="N2784" i="65"/>
  <c r="N2785" i="65"/>
  <c r="N2786" i="65"/>
  <c r="N2787" i="65"/>
  <c r="N2788" i="65"/>
  <c r="N2789" i="65"/>
  <c r="N2790" i="65"/>
  <c r="N2791" i="65"/>
  <c r="N2792" i="65"/>
  <c r="N2793" i="65"/>
  <c r="N2794" i="65"/>
  <c r="N2795" i="65"/>
  <c r="N2796" i="65"/>
  <c r="N2797" i="65"/>
  <c r="N2798" i="65"/>
  <c r="N2799" i="65"/>
  <c r="N2800" i="65"/>
  <c r="N2801" i="65"/>
  <c r="N2802" i="65"/>
  <c r="N2803" i="65"/>
  <c r="N2804" i="65"/>
  <c r="N2805" i="65"/>
  <c r="N2806" i="65"/>
  <c r="N2807" i="65"/>
  <c r="N2808" i="65"/>
  <c r="N2809" i="65"/>
  <c r="N2810" i="65"/>
  <c r="N2811" i="65"/>
  <c r="N2812" i="65"/>
  <c r="N2813" i="65"/>
  <c r="N2814" i="65"/>
  <c r="N2815" i="65"/>
  <c r="N2816" i="65"/>
  <c r="N2817" i="65"/>
  <c r="N2818" i="65"/>
  <c r="N2819" i="65"/>
  <c r="N2820" i="65"/>
  <c r="N2821" i="65"/>
  <c r="N2822" i="65"/>
  <c r="N2823" i="65"/>
  <c r="N2824" i="65"/>
  <c r="N2825" i="65"/>
  <c r="N2826" i="65"/>
  <c r="N2827" i="65"/>
  <c r="N2828" i="65"/>
  <c r="N2829" i="65"/>
  <c r="N2830" i="65"/>
  <c r="N2831" i="65"/>
  <c r="N2832" i="65"/>
  <c r="N2833" i="65"/>
  <c r="N2834" i="65"/>
  <c r="N2835" i="65"/>
  <c r="N2836" i="65"/>
  <c r="N2837" i="65"/>
  <c r="N2838" i="65"/>
  <c r="N2839" i="65"/>
  <c r="N2840" i="65"/>
  <c r="N2841" i="65"/>
  <c r="N2842" i="65"/>
  <c r="N2843" i="65"/>
  <c r="N2844" i="65"/>
  <c r="N2845" i="65"/>
  <c r="N2846" i="65"/>
  <c r="N2847" i="65"/>
  <c r="N2848" i="65"/>
  <c r="N2849" i="65"/>
  <c r="N2850" i="65"/>
  <c r="N2851" i="65"/>
  <c r="N2852" i="65"/>
  <c r="N2853" i="65"/>
  <c r="N2854" i="65"/>
  <c r="N2855" i="65"/>
  <c r="N2856" i="65"/>
  <c r="N2857" i="65"/>
  <c r="N2858" i="65"/>
  <c r="N2859" i="65"/>
  <c r="N2860" i="65"/>
  <c r="N2861" i="65"/>
  <c r="N2862" i="65"/>
  <c r="N2863" i="65"/>
  <c r="N2864" i="65"/>
  <c r="N2865" i="65"/>
  <c r="N2866" i="65"/>
  <c r="N2867" i="65"/>
  <c r="N2868" i="65"/>
  <c r="N2869" i="65"/>
  <c r="N2870" i="65"/>
  <c r="N2871" i="65"/>
  <c r="N2872" i="65"/>
  <c r="N2873" i="65"/>
  <c r="N2874" i="65"/>
  <c r="N2875" i="65"/>
  <c r="N2876" i="65"/>
  <c r="N2877" i="65"/>
  <c r="N2878" i="65"/>
  <c r="N2879" i="65"/>
  <c r="N2880" i="65"/>
  <c r="N2881" i="65"/>
  <c r="N2882" i="65"/>
  <c r="N2883" i="65"/>
  <c r="N2884" i="65"/>
  <c r="N2885" i="65"/>
  <c r="N2886" i="65"/>
  <c r="N2887" i="65"/>
  <c r="N2888" i="65"/>
  <c r="N2889" i="65"/>
  <c r="N2890" i="65"/>
  <c r="N2891" i="65"/>
  <c r="N2892" i="65"/>
  <c r="N2893" i="65"/>
  <c r="N2894" i="65"/>
  <c r="N2895" i="65"/>
  <c r="N2896" i="65"/>
  <c r="N2897" i="65"/>
  <c r="N2898" i="65"/>
  <c r="N2899" i="65"/>
  <c r="N2900" i="65"/>
  <c r="N2901" i="65"/>
  <c r="N2902" i="65"/>
  <c r="N2903" i="65"/>
  <c r="N2904" i="65"/>
  <c r="N2905" i="65"/>
  <c r="N2906" i="65"/>
  <c r="N2907" i="65"/>
  <c r="N2908" i="65"/>
  <c r="N2909" i="65"/>
  <c r="N2910" i="65"/>
  <c r="N2911" i="65"/>
  <c r="N2912" i="65"/>
  <c r="N2913" i="65"/>
  <c r="N2914" i="65"/>
  <c r="N2915" i="65"/>
  <c r="N2916" i="65"/>
  <c r="N2917" i="65"/>
  <c r="N2918" i="65"/>
  <c r="N2919" i="65"/>
  <c r="N2920" i="65"/>
  <c r="N2921" i="65"/>
  <c r="N2922" i="65"/>
  <c r="N2923" i="65"/>
  <c r="N2924" i="65"/>
  <c r="N2925" i="65"/>
  <c r="N2926" i="65"/>
  <c r="N2927" i="65"/>
  <c r="N2928" i="65"/>
  <c r="N2929" i="65"/>
  <c r="N2930" i="65"/>
  <c r="N2931" i="65"/>
  <c r="N2932" i="65"/>
  <c r="N2933" i="65"/>
  <c r="N2934" i="65"/>
  <c r="N2935" i="65"/>
  <c r="N2936" i="65"/>
  <c r="N2937" i="65"/>
  <c r="N2938" i="65"/>
  <c r="N2939" i="65"/>
  <c r="N2940" i="65"/>
  <c r="N2941" i="65"/>
  <c r="N2942" i="65"/>
  <c r="N2943" i="65"/>
  <c r="N2944" i="65"/>
  <c r="N2945" i="65"/>
  <c r="N2946" i="65"/>
  <c r="N2947" i="65"/>
  <c r="N2948" i="65"/>
  <c r="N2949" i="65"/>
  <c r="N2950" i="65"/>
  <c r="N2951" i="65"/>
  <c r="N2952" i="65"/>
  <c r="N2953" i="65"/>
  <c r="N2954" i="65"/>
  <c r="N2955" i="65"/>
  <c r="N2956" i="65"/>
  <c r="N2957" i="65"/>
  <c r="N2958" i="65"/>
  <c r="N2959" i="65"/>
  <c r="N2960" i="65"/>
  <c r="N2961" i="65"/>
  <c r="N2962" i="65"/>
  <c r="N2963" i="65"/>
  <c r="N2964" i="65"/>
  <c r="N2965" i="65"/>
  <c r="N2966" i="65"/>
  <c r="N2967" i="65"/>
  <c r="N2968" i="65"/>
  <c r="N2969" i="65"/>
  <c r="N2970" i="65"/>
  <c r="N2971" i="65"/>
  <c r="N2972" i="65"/>
  <c r="N2973" i="65"/>
  <c r="N2974" i="65"/>
  <c r="N2975" i="65"/>
  <c r="N2976" i="65"/>
  <c r="N2977" i="65"/>
  <c r="N2978" i="65"/>
  <c r="N2979" i="65"/>
  <c r="N2980" i="65"/>
  <c r="N2981" i="65"/>
  <c r="N2982" i="65"/>
  <c r="N2983" i="65"/>
  <c r="N2984" i="65"/>
  <c r="N2985" i="65"/>
  <c r="N2986" i="65"/>
  <c r="N2987" i="65"/>
  <c r="N2988" i="65"/>
  <c r="N2989" i="65"/>
  <c r="N2990" i="65"/>
  <c r="N2991" i="65"/>
  <c r="N2992" i="65"/>
  <c r="N2993" i="65"/>
  <c r="N2994" i="65"/>
  <c r="N2995" i="65"/>
  <c r="N2996" i="65"/>
  <c r="N2997" i="65"/>
  <c r="N2998" i="65"/>
  <c r="N2999" i="65"/>
  <c r="N3000" i="65"/>
  <c r="N3001" i="65"/>
  <c r="N3002" i="65"/>
  <c r="N3003" i="65"/>
  <c r="N3004" i="65"/>
  <c r="N3005" i="65"/>
  <c r="N3006" i="65"/>
  <c r="N3007" i="65"/>
  <c r="N3008" i="65"/>
  <c r="N3009" i="65"/>
  <c r="N3010" i="65"/>
  <c r="N3011" i="65"/>
  <c r="N3012" i="65"/>
  <c r="N3013" i="65"/>
  <c r="N3014" i="65"/>
  <c r="N3015" i="65"/>
  <c r="N3016" i="65"/>
  <c r="N3017" i="65"/>
  <c r="N3018" i="65"/>
  <c r="N3019" i="65"/>
  <c r="N3020" i="65"/>
  <c r="N3021" i="65"/>
  <c r="N3022" i="65"/>
  <c r="N3023" i="65"/>
  <c r="N3024" i="65"/>
  <c r="N3025" i="65"/>
  <c r="N3026" i="65"/>
  <c r="N3027" i="65"/>
  <c r="N3028" i="65"/>
  <c r="N3029" i="65"/>
  <c r="N3030" i="65"/>
  <c r="B11" i="64"/>
  <c r="B12" i="64"/>
  <c r="G5" i="64" a="1"/>
  <c r="G5" i="64" s="1"/>
  <c r="D5" i="52" a="1"/>
  <c r="D5" i="52" s="1"/>
  <c r="C2437" i="53"/>
  <c r="D2437" i="53"/>
  <c r="C2436" i="53"/>
  <c r="D2436" i="53"/>
  <c r="C2435" i="53"/>
  <c r="D2435" i="53"/>
  <c r="C2434" i="53"/>
  <c r="D2434" i="53"/>
  <c r="C2433" i="53"/>
  <c r="D2433" i="53"/>
  <c r="C2432" i="53"/>
  <c r="D2432" i="53"/>
  <c r="C2431" i="53"/>
  <c r="D2431" i="53"/>
  <c r="C2430" i="53"/>
  <c r="D2430" i="53"/>
  <c r="C2429" i="53"/>
  <c r="D2429" i="53"/>
  <c r="C2428" i="53"/>
  <c r="D2428" i="53"/>
  <c r="C2427" i="53"/>
  <c r="D2427" i="53"/>
  <c r="C2426" i="53"/>
  <c r="D2426" i="53"/>
  <c r="C2425" i="53"/>
  <c r="D2425" i="53"/>
  <c r="C2424" i="53"/>
  <c r="D2424" i="53"/>
  <c r="C2423" i="53"/>
  <c r="D2423" i="53"/>
  <c r="C2422" i="53"/>
  <c r="D2422" i="53"/>
  <c r="C2421" i="53"/>
  <c r="D2421" i="53"/>
  <c r="C2420" i="53"/>
  <c r="D2420" i="53"/>
  <c r="C2419" i="53"/>
  <c r="D2419" i="53"/>
  <c r="C2418" i="53"/>
  <c r="D2418" i="53"/>
  <c r="C2417" i="53"/>
  <c r="D2417" i="53"/>
  <c r="C2416" i="53"/>
  <c r="D2416" i="53"/>
  <c r="C2415" i="53"/>
  <c r="D2415" i="53"/>
  <c r="C2414" i="53"/>
  <c r="D2414" i="53"/>
  <c r="C2413" i="53"/>
  <c r="D2413" i="53"/>
  <c r="C2412" i="53"/>
  <c r="D2412" i="53"/>
  <c r="C2411" i="53"/>
  <c r="D2411" i="53"/>
  <c r="C2410" i="53"/>
  <c r="D2410" i="53"/>
  <c r="C2409" i="53"/>
  <c r="D2409" i="53"/>
  <c r="C2408" i="53"/>
  <c r="D2408" i="53"/>
  <c r="C2407" i="53"/>
  <c r="D2407" i="53"/>
  <c r="C2406" i="53"/>
  <c r="D2406" i="53"/>
  <c r="C2405" i="53"/>
  <c r="D2405" i="53"/>
  <c r="C2404" i="53"/>
  <c r="D2404" i="53"/>
  <c r="C2403" i="53"/>
  <c r="D2403" i="53"/>
  <c r="C2402" i="53"/>
  <c r="D2402" i="53"/>
  <c r="C2401" i="53"/>
  <c r="D2401" i="53"/>
  <c r="D2400" i="53"/>
  <c r="C2400" i="53"/>
  <c r="C2399" i="53"/>
  <c r="D2399" i="53"/>
  <c r="C2398" i="53"/>
  <c r="D2398" i="53"/>
  <c r="C2397" i="53"/>
  <c r="D2397" i="53"/>
  <c r="C2396" i="53"/>
  <c r="D2396" i="53"/>
  <c r="C2395" i="53"/>
  <c r="D2395" i="53"/>
  <c r="C2394" i="53"/>
  <c r="D2394" i="53"/>
  <c r="C2393" i="53"/>
  <c r="D2393" i="53"/>
  <c r="D2392" i="53"/>
  <c r="C2392" i="53"/>
  <c r="C2391" i="53"/>
  <c r="D2391" i="53"/>
  <c r="C2390" i="53"/>
  <c r="D2390" i="53"/>
  <c r="C2389" i="53"/>
  <c r="D2389" i="53"/>
  <c r="C2388" i="53"/>
  <c r="D2388" i="53"/>
  <c r="C2387" i="53"/>
  <c r="D2387" i="53"/>
  <c r="C2386" i="53"/>
  <c r="D2386" i="53"/>
  <c r="C2385" i="53"/>
  <c r="D2385" i="53"/>
  <c r="C2384" i="53"/>
  <c r="D2384" i="53"/>
  <c r="C2383" i="53"/>
  <c r="D2383" i="53"/>
  <c r="C2382" i="53"/>
  <c r="D2382" i="53"/>
  <c r="D2381" i="53"/>
  <c r="C2381" i="53"/>
  <c r="C2380" i="53"/>
  <c r="D2380" i="53"/>
  <c r="C2379" i="53"/>
  <c r="D2379" i="53"/>
  <c r="C2378" i="53"/>
  <c r="D2378" i="53"/>
  <c r="C2377" i="53"/>
  <c r="D2377" i="53"/>
  <c r="C2376" i="53"/>
  <c r="D2376" i="53"/>
  <c r="C2375" i="53"/>
  <c r="D2375" i="53"/>
  <c r="C2374" i="53"/>
  <c r="D2374" i="53"/>
  <c r="C2373" i="53"/>
  <c r="D2373" i="53"/>
  <c r="C2372" i="53"/>
  <c r="D2372" i="53"/>
  <c r="C2371" i="53"/>
  <c r="D2371" i="53"/>
  <c r="C2370" i="53"/>
  <c r="D2370" i="53"/>
  <c r="C2369" i="53"/>
  <c r="D2369" i="53"/>
  <c r="C2368" i="53"/>
  <c r="D2368" i="53"/>
  <c r="C2367" i="53"/>
  <c r="D2367" i="53"/>
  <c r="C2366" i="53"/>
  <c r="D2366" i="53"/>
  <c r="C2365" i="53"/>
  <c r="D2365" i="53"/>
  <c r="C2364" i="53"/>
  <c r="D2364" i="53"/>
  <c r="C2363" i="53"/>
  <c r="D2363" i="53"/>
  <c r="C2362" i="53"/>
  <c r="D2362" i="53"/>
  <c r="C2361" i="53"/>
  <c r="D2361" i="53"/>
  <c r="C2360" i="53"/>
  <c r="D2360" i="53"/>
  <c r="C2359" i="53"/>
  <c r="D2359" i="53"/>
  <c r="C2358" i="53"/>
  <c r="D2358" i="53"/>
  <c r="C2357" i="53"/>
  <c r="D2357" i="53"/>
  <c r="C2356" i="53"/>
  <c r="D2356" i="53"/>
  <c r="C2355" i="53"/>
  <c r="D2355" i="53"/>
  <c r="C2354" i="53"/>
  <c r="D2354" i="53"/>
  <c r="C2353" i="53"/>
  <c r="D2353" i="53"/>
  <c r="C2352" i="53"/>
  <c r="D2352" i="53"/>
  <c r="C2351" i="53"/>
  <c r="D2351" i="53"/>
  <c r="C2350" i="53"/>
  <c r="D2350" i="53"/>
  <c r="C2349" i="53"/>
  <c r="D2349" i="53"/>
  <c r="C2348" i="53"/>
  <c r="D2348" i="53"/>
  <c r="C2347" i="53"/>
  <c r="D2347" i="53"/>
  <c r="C2346" i="53"/>
  <c r="D2346" i="53"/>
  <c r="C2345" i="53"/>
  <c r="D2345" i="53"/>
  <c r="C2344" i="53"/>
  <c r="D2344" i="53"/>
  <c r="C2343" i="53"/>
  <c r="D2343" i="53"/>
  <c r="C2342" i="53"/>
  <c r="D2342" i="53"/>
  <c r="C2341" i="53"/>
  <c r="D2341" i="53"/>
  <c r="C2340" i="53"/>
  <c r="D2340" i="53"/>
  <c r="C2339" i="53"/>
  <c r="D2339" i="53"/>
  <c r="C2338" i="53"/>
  <c r="D2338" i="53"/>
  <c r="C2337" i="53"/>
  <c r="D2337" i="53"/>
  <c r="C2336" i="53"/>
  <c r="D2336" i="53"/>
  <c r="C2335" i="53"/>
  <c r="D2335" i="53"/>
  <c r="C2334" i="53"/>
  <c r="D2334" i="53"/>
  <c r="C2333" i="53"/>
  <c r="D2333" i="53"/>
  <c r="C2332" i="53"/>
  <c r="D2332" i="53"/>
  <c r="C2331" i="53"/>
  <c r="D2331" i="53"/>
  <c r="C2330" i="53"/>
  <c r="D2330" i="53"/>
  <c r="C2329" i="53"/>
  <c r="D2329" i="53"/>
  <c r="C2328" i="53"/>
  <c r="D2328" i="53"/>
  <c r="C2327" i="53"/>
  <c r="D2327" i="53"/>
  <c r="C2326" i="53"/>
  <c r="D2326" i="53"/>
  <c r="C2325" i="53"/>
  <c r="D2325" i="53"/>
  <c r="C2324" i="53"/>
  <c r="D2324" i="53"/>
  <c r="C2323" i="53"/>
  <c r="D2323" i="53"/>
  <c r="C2322" i="53"/>
  <c r="D2322" i="53"/>
  <c r="C2321" i="53"/>
  <c r="D2321" i="53"/>
  <c r="C2320" i="53"/>
  <c r="D2320" i="53"/>
  <c r="C2319" i="53"/>
  <c r="D2319" i="53"/>
  <c r="C2318" i="53"/>
  <c r="D2318" i="53"/>
  <c r="C2317" i="53"/>
  <c r="D2317" i="53"/>
  <c r="C2316" i="53"/>
  <c r="D2316" i="53"/>
  <c r="C2315" i="53"/>
  <c r="D2315" i="53"/>
  <c r="C2314" i="53"/>
  <c r="D2314" i="53"/>
  <c r="C2313" i="53"/>
  <c r="D2313" i="53"/>
  <c r="C2312" i="53"/>
  <c r="D2312" i="53"/>
  <c r="C2311" i="53"/>
  <c r="D2311" i="53"/>
  <c r="C2310" i="53"/>
  <c r="D2310" i="53"/>
  <c r="C2309" i="53"/>
  <c r="D2309" i="53"/>
  <c r="C2308" i="53"/>
  <c r="D2308" i="53"/>
  <c r="C2307" i="53"/>
  <c r="D2307" i="53"/>
  <c r="C2306" i="53"/>
  <c r="D2306" i="53"/>
  <c r="C2305" i="53"/>
  <c r="D2305" i="53"/>
  <c r="C2304" i="53"/>
  <c r="D2304" i="53"/>
  <c r="C2303" i="53"/>
  <c r="D2303" i="53"/>
  <c r="C2302" i="53"/>
  <c r="D2302" i="53"/>
  <c r="C2301" i="53"/>
  <c r="D2301" i="53"/>
  <c r="C2300" i="53"/>
  <c r="D2300" i="53"/>
  <c r="C2299" i="53"/>
  <c r="D2299" i="53"/>
  <c r="C2298" i="53"/>
  <c r="D2298" i="53"/>
  <c r="C2297" i="53"/>
  <c r="D2297" i="53"/>
  <c r="C2296" i="53"/>
  <c r="D2296" i="53"/>
  <c r="C2295" i="53"/>
  <c r="D2295" i="53"/>
  <c r="C2294" i="53"/>
  <c r="D2294" i="53"/>
  <c r="C2293" i="53"/>
  <c r="D2293" i="53"/>
  <c r="C2292" i="53"/>
  <c r="D2292" i="53"/>
  <c r="C2291" i="53"/>
  <c r="D2291" i="53"/>
  <c r="C2290" i="53"/>
  <c r="D2290" i="53"/>
  <c r="C2289" i="53"/>
  <c r="D2289" i="53"/>
  <c r="C2288" i="53"/>
  <c r="D2288" i="53"/>
  <c r="C2287" i="53"/>
  <c r="D2287" i="53"/>
  <c r="C2286" i="53"/>
  <c r="D2286" i="53"/>
  <c r="C2285" i="53"/>
  <c r="D2285" i="53"/>
  <c r="C2284" i="53"/>
  <c r="D2284" i="53"/>
  <c r="C2283" i="53"/>
  <c r="D2283" i="53"/>
  <c r="C2282" i="53"/>
  <c r="D2282" i="53"/>
  <c r="C2281" i="53"/>
  <c r="D2281" i="53"/>
  <c r="C2280" i="53"/>
  <c r="D2280" i="53"/>
  <c r="C2279" i="53"/>
  <c r="D2279" i="53"/>
  <c r="C2278" i="53"/>
  <c r="D2278" i="53"/>
  <c r="C2277" i="53"/>
  <c r="D2277" i="53"/>
  <c r="C2276" i="53"/>
  <c r="D2276" i="53"/>
  <c r="C2275" i="53"/>
  <c r="D2275" i="53"/>
  <c r="C2274" i="53"/>
  <c r="D2274" i="53"/>
  <c r="C2273" i="53"/>
  <c r="D2273" i="53"/>
  <c r="C2272" i="53"/>
  <c r="D2272" i="53"/>
  <c r="C2271" i="53"/>
  <c r="D2271" i="53"/>
  <c r="C2270" i="53"/>
  <c r="D2270" i="53"/>
  <c r="C2269" i="53"/>
  <c r="D2269" i="53"/>
  <c r="C2268" i="53"/>
  <c r="D2268" i="53"/>
  <c r="C2267" i="53"/>
  <c r="D2267" i="53"/>
  <c r="C2266" i="53"/>
  <c r="D2266" i="53"/>
  <c r="C2265" i="53"/>
  <c r="D2265" i="53"/>
  <c r="C2264" i="53"/>
  <c r="D2264" i="53"/>
  <c r="C2263" i="53"/>
  <c r="D2263" i="53"/>
  <c r="C2262" i="53"/>
  <c r="D2262" i="53"/>
  <c r="C2261" i="53"/>
  <c r="D2261" i="53"/>
  <c r="C2260" i="53"/>
  <c r="D2260" i="53"/>
  <c r="C2259" i="53"/>
  <c r="D2259" i="53"/>
  <c r="C2258" i="53"/>
  <c r="D2258" i="53"/>
  <c r="C2257" i="53"/>
  <c r="D2257" i="53"/>
  <c r="C2256" i="53"/>
  <c r="D2256" i="53"/>
  <c r="C2255" i="53"/>
  <c r="D2255" i="53"/>
  <c r="C2254" i="53"/>
  <c r="D2254" i="53"/>
  <c r="C2253" i="53"/>
  <c r="D2253" i="53"/>
  <c r="C2252" i="53"/>
  <c r="D2252" i="53"/>
  <c r="C2251" i="53"/>
  <c r="D2251" i="53"/>
  <c r="C2250" i="53"/>
  <c r="D2250" i="53"/>
  <c r="C2249" i="53"/>
  <c r="D2249" i="53"/>
  <c r="C2248" i="53"/>
  <c r="D2248" i="53"/>
  <c r="C2247" i="53"/>
  <c r="D2247" i="53"/>
  <c r="C2246" i="53"/>
  <c r="D2246" i="53"/>
  <c r="C2245" i="53"/>
  <c r="D2245" i="53"/>
  <c r="C2244" i="53"/>
  <c r="D2244" i="53"/>
  <c r="C2243" i="53"/>
  <c r="D2243" i="53"/>
  <c r="C2242" i="53"/>
  <c r="D2242" i="53"/>
  <c r="C2241" i="53"/>
  <c r="D2241" i="53"/>
  <c r="C2240" i="53"/>
  <c r="D2240" i="53"/>
  <c r="C2239" i="53"/>
  <c r="D2239" i="53"/>
  <c r="C2238" i="53"/>
  <c r="D2238" i="53"/>
  <c r="C2237" i="53"/>
  <c r="D2237" i="53"/>
  <c r="C2236" i="53"/>
  <c r="D2236" i="53"/>
  <c r="C2235" i="53"/>
  <c r="D2235" i="53"/>
  <c r="C2234" i="53"/>
  <c r="D2234" i="53"/>
  <c r="C2233" i="53"/>
  <c r="D2233" i="53"/>
  <c r="C2232" i="53"/>
  <c r="D2232" i="53"/>
  <c r="C2231" i="53"/>
  <c r="D2231" i="53"/>
  <c r="C2230" i="53"/>
  <c r="D2230" i="53"/>
  <c r="C2229" i="53"/>
  <c r="D2229" i="53"/>
  <c r="C2228" i="53"/>
  <c r="D2228" i="53"/>
  <c r="C2227" i="53"/>
  <c r="D2227" i="53"/>
  <c r="C2226" i="53"/>
  <c r="D2226" i="53"/>
  <c r="C2225" i="53"/>
  <c r="D2225" i="53"/>
  <c r="C2224" i="53"/>
  <c r="D2224" i="53"/>
  <c r="C2223" i="53"/>
  <c r="D2223" i="53"/>
  <c r="C2222" i="53"/>
  <c r="D2222" i="53"/>
  <c r="C2221" i="53"/>
  <c r="D2221" i="53"/>
  <c r="C2220" i="53"/>
  <c r="D2220" i="53"/>
  <c r="C2219" i="53"/>
  <c r="D2219" i="53"/>
  <c r="C2218" i="53"/>
  <c r="D2218" i="53"/>
  <c r="C2217" i="53"/>
  <c r="D2217" i="53"/>
  <c r="C2216" i="53"/>
  <c r="D2216" i="53"/>
  <c r="C2215" i="53"/>
  <c r="D2215" i="53"/>
  <c r="C2214" i="53"/>
  <c r="D2214" i="53"/>
  <c r="C2213" i="53"/>
  <c r="D2213" i="53"/>
  <c r="C2212" i="53"/>
  <c r="D2212" i="53"/>
  <c r="C2211" i="53"/>
  <c r="D2211" i="53"/>
  <c r="C2210" i="53"/>
  <c r="D2210" i="53"/>
  <c r="C2209" i="53"/>
  <c r="D2209" i="53"/>
  <c r="C2208" i="53"/>
  <c r="D2208" i="53"/>
  <c r="C2207" i="53"/>
  <c r="D2207" i="53"/>
  <c r="C2206" i="53"/>
  <c r="D2206" i="53"/>
  <c r="C2205" i="53"/>
  <c r="D2205" i="53"/>
  <c r="C2204" i="53"/>
  <c r="D2204" i="53"/>
  <c r="C2203" i="53"/>
  <c r="D2203" i="53"/>
  <c r="C2202" i="53"/>
  <c r="D2202" i="53"/>
  <c r="C2201" i="53"/>
  <c r="D2201" i="53"/>
  <c r="C2200" i="53"/>
  <c r="D2200" i="53"/>
  <c r="C2199" i="53"/>
  <c r="D2199" i="53"/>
  <c r="C2198" i="53"/>
  <c r="D2198" i="53"/>
  <c r="C2197" i="53"/>
  <c r="D2197" i="53"/>
  <c r="C2196" i="53"/>
  <c r="D2196" i="53"/>
  <c r="C2195" i="53"/>
  <c r="D2195" i="53"/>
  <c r="C2194" i="53"/>
  <c r="D2194" i="53"/>
  <c r="C2193" i="53"/>
  <c r="D2193" i="53"/>
  <c r="C2192" i="53"/>
  <c r="D2192" i="53"/>
  <c r="C2191" i="53"/>
  <c r="D2191" i="53"/>
  <c r="C2190" i="53"/>
  <c r="D2190" i="53"/>
  <c r="C2189" i="53"/>
  <c r="D2189" i="53"/>
  <c r="C2188" i="53"/>
  <c r="D2188" i="53"/>
  <c r="C2187" i="53"/>
  <c r="D2187" i="53"/>
  <c r="C2186" i="53"/>
  <c r="D2186" i="53"/>
  <c r="C2185" i="53"/>
  <c r="D2185" i="53"/>
  <c r="C2184" i="53"/>
  <c r="D2184" i="53"/>
  <c r="C2183" i="53"/>
  <c r="D2183" i="53"/>
  <c r="C2182" i="53"/>
  <c r="D2182" i="53"/>
  <c r="C2181" i="53"/>
  <c r="D2181" i="53"/>
  <c r="C2180" i="53"/>
  <c r="D2180" i="53"/>
  <c r="C2179" i="53"/>
  <c r="D2179" i="53"/>
  <c r="C2178" i="53"/>
  <c r="D2178" i="53"/>
  <c r="C2177" i="53"/>
  <c r="D2177" i="53"/>
  <c r="C2176" i="53"/>
  <c r="D2176" i="53"/>
  <c r="C2175" i="53"/>
  <c r="D2175" i="53"/>
  <c r="C2174" i="53"/>
  <c r="D2174" i="53"/>
  <c r="C2173" i="53"/>
  <c r="D2173" i="53"/>
  <c r="C2172" i="53"/>
  <c r="D2172" i="53"/>
  <c r="C2171" i="53"/>
  <c r="D2171" i="53"/>
  <c r="C2170" i="53"/>
  <c r="D2170" i="53"/>
  <c r="C2169" i="53"/>
  <c r="D2169" i="53"/>
  <c r="C2168" i="53"/>
  <c r="D2168" i="53"/>
  <c r="C2167" i="53"/>
  <c r="D2167" i="53"/>
  <c r="C2166" i="53"/>
  <c r="D2166" i="53"/>
  <c r="C2165" i="53"/>
  <c r="D2165" i="53"/>
  <c r="C2164" i="53"/>
  <c r="D2164" i="53"/>
  <c r="C2163" i="53"/>
  <c r="D2163" i="53"/>
  <c r="C2162" i="53"/>
  <c r="D2162" i="53"/>
  <c r="C2161" i="53"/>
  <c r="D2161" i="53"/>
  <c r="C2160" i="53"/>
  <c r="D2160" i="53"/>
  <c r="C2159" i="53"/>
  <c r="D2159" i="53"/>
  <c r="C2158" i="53"/>
  <c r="D2158" i="53"/>
  <c r="C2157" i="53"/>
  <c r="D2157" i="53"/>
  <c r="C2156" i="53"/>
  <c r="D2156" i="53"/>
  <c r="C2155" i="53"/>
  <c r="D2155" i="53"/>
  <c r="C2154" i="53"/>
  <c r="D2154" i="53"/>
  <c r="C2153" i="53"/>
  <c r="D2153" i="53"/>
  <c r="C2152" i="53"/>
  <c r="D2152" i="53"/>
  <c r="C2151" i="53"/>
  <c r="D2151" i="53"/>
  <c r="C2150" i="53"/>
  <c r="D2150" i="53"/>
  <c r="C2149" i="53"/>
  <c r="D2149" i="53"/>
  <c r="C2148" i="53"/>
  <c r="D2148" i="53"/>
  <c r="C2147" i="53"/>
  <c r="D2147" i="53"/>
  <c r="C2146" i="53"/>
  <c r="D2146" i="53"/>
  <c r="C2145" i="53"/>
  <c r="D2145" i="53"/>
  <c r="C2144" i="53"/>
  <c r="D2144" i="53"/>
  <c r="C2143" i="53"/>
  <c r="D2143" i="53"/>
  <c r="C2142" i="53"/>
  <c r="D2142" i="53"/>
  <c r="C2141" i="53"/>
  <c r="D2141" i="53"/>
  <c r="C2140" i="53"/>
  <c r="D2140" i="53"/>
  <c r="C2139" i="53"/>
  <c r="D2139" i="53"/>
  <c r="D2138" i="53"/>
  <c r="C2138" i="53"/>
  <c r="C2137" i="53"/>
  <c r="D2137" i="53"/>
  <c r="C2136" i="53"/>
  <c r="D2136" i="53"/>
  <c r="C2135" i="53"/>
  <c r="D2135" i="53"/>
  <c r="C2134" i="53"/>
  <c r="D2134" i="53"/>
  <c r="C2133" i="53"/>
  <c r="D2133" i="53"/>
  <c r="C2132" i="53"/>
  <c r="D2132" i="53"/>
  <c r="C2131" i="53"/>
  <c r="D2131" i="53"/>
  <c r="C2130" i="53"/>
  <c r="D2130" i="53"/>
  <c r="C2129" i="53"/>
  <c r="D2129" i="53"/>
  <c r="C2128" i="53"/>
  <c r="D2128" i="53"/>
  <c r="C2127" i="53"/>
  <c r="D2127" i="53"/>
  <c r="C2126" i="53"/>
  <c r="D2126" i="53"/>
  <c r="C2125" i="53"/>
  <c r="D2125" i="53"/>
  <c r="C2124" i="53"/>
  <c r="D2124" i="53"/>
  <c r="C2123" i="53"/>
  <c r="D2123" i="53"/>
  <c r="C2122" i="53"/>
  <c r="D2122" i="53"/>
  <c r="C2121" i="53"/>
  <c r="D2121" i="53"/>
  <c r="C2120" i="53"/>
  <c r="D2120" i="53"/>
  <c r="C2119" i="53"/>
  <c r="D2119" i="53"/>
  <c r="C2118" i="53"/>
  <c r="D2118" i="53"/>
  <c r="C2117" i="53"/>
  <c r="D2117" i="53"/>
  <c r="C2116" i="53"/>
  <c r="D2116" i="53"/>
  <c r="C2115" i="53"/>
  <c r="D2115" i="53"/>
  <c r="C2114" i="53"/>
  <c r="D2114" i="53"/>
  <c r="C2113" i="53"/>
  <c r="D2113" i="53"/>
  <c r="C2112" i="53"/>
  <c r="D2112" i="53"/>
  <c r="C2111" i="53"/>
  <c r="D2111" i="53"/>
  <c r="C2110" i="53"/>
  <c r="D2110" i="53"/>
  <c r="C2109" i="53"/>
  <c r="D2109" i="53"/>
  <c r="C2108" i="53"/>
  <c r="D2108" i="53"/>
  <c r="C2107" i="53"/>
  <c r="D2107" i="53"/>
  <c r="C2106" i="53"/>
  <c r="D2106" i="53"/>
  <c r="C2105" i="53"/>
  <c r="D2105" i="53"/>
  <c r="C2104" i="53"/>
  <c r="D2104" i="53"/>
  <c r="C2103" i="53"/>
  <c r="D2103" i="53"/>
  <c r="C2102" i="53"/>
  <c r="D2102" i="53"/>
  <c r="C2101" i="53"/>
  <c r="D2101" i="53"/>
  <c r="C2100" i="53"/>
  <c r="D2100" i="53"/>
  <c r="C2099" i="53"/>
  <c r="D2099" i="53"/>
  <c r="C2098" i="53"/>
  <c r="D2098" i="53"/>
  <c r="C2097" i="53"/>
  <c r="D2097" i="53"/>
  <c r="C2096" i="53"/>
  <c r="D2096" i="53"/>
  <c r="C2095" i="53"/>
  <c r="D2095" i="53"/>
  <c r="C2094" i="53"/>
  <c r="D2094" i="53"/>
  <c r="C2093" i="53"/>
  <c r="D2093" i="53"/>
  <c r="C2092" i="53"/>
  <c r="D2092" i="53"/>
  <c r="C2091" i="53"/>
  <c r="D2091" i="53"/>
  <c r="C2090" i="53"/>
  <c r="D2090" i="53"/>
  <c r="C2089" i="53"/>
  <c r="D2089" i="53"/>
  <c r="C2088" i="53"/>
  <c r="B2088" i="53" s="1"/>
  <c r="A2088" i="53" s="1"/>
  <c r="D2088" i="53"/>
  <c r="C2087" i="53"/>
  <c r="D2087" i="53"/>
  <c r="C2086" i="53"/>
  <c r="D2086" i="53"/>
  <c r="C2085" i="53"/>
  <c r="D2085" i="53"/>
  <c r="C2084" i="53"/>
  <c r="D2084" i="53"/>
  <c r="C2083" i="53"/>
  <c r="D2083" i="53"/>
  <c r="C2082" i="53"/>
  <c r="D2082" i="53"/>
  <c r="C2081" i="53"/>
  <c r="D2081" i="53"/>
  <c r="C2080" i="53"/>
  <c r="D2080" i="53"/>
  <c r="C2079" i="53"/>
  <c r="D2079" i="53"/>
  <c r="C2078" i="53"/>
  <c r="D2078" i="53"/>
  <c r="C2077" i="53"/>
  <c r="D2077" i="53"/>
  <c r="C2076" i="53"/>
  <c r="D2076" i="53"/>
  <c r="C2075" i="53"/>
  <c r="D2075" i="53"/>
  <c r="C2074" i="53"/>
  <c r="D2074" i="53"/>
  <c r="D2073" i="53"/>
  <c r="C2073" i="53"/>
  <c r="C2072" i="53"/>
  <c r="D2072" i="53"/>
  <c r="C2071" i="53"/>
  <c r="D2071" i="53"/>
  <c r="C2070" i="53"/>
  <c r="D2070" i="53"/>
  <c r="C2069" i="53"/>
  <c r="D2069" i="53"/>
  <c r="C2068" i="53"/>
  <c r="D2068" i="53"/>
  <c r="C2067" i="53"/>
  <c r="D2067" i="53"/>
  <c r="C2066" i="53"/>
  <c r="D2066" i="53"/>
  <c r="C2065" i="53"/>
  <c r="D2065" i="53"/>
  <c r="C2064" i="53"/>
  <c r="D2064" i="53"/>
  <c r="C2063" i="53"/>
  <c r="D2063" i="53"/>
  <c r="C2062" i="53"/>
  <c r="D2062" i="53"/>
  <c r="C2061" i="53"/>
  <c r="D2061" i="53"/>
  <c r="C2060" i="53"/>
  <c r="D2060" i="53"/>
  <c r="C2059" i="53"/>
  <c r="D2059" i="53"/>
  <c r="C2058" i="53"/>
  <c r="D2058" i="53"/>
  <c r="C2057" i="53"/>
  <c r="D2057" i="53"/>
  <c r="C2056" i="53"/>
  <c r="D2056" i="53"/>
  <c r="C2055" i="53"/>
  <c r="D2055" i="53"/>
  <c r="C2054" i="53"/>
  <c r="D2054" i="53"/>
  <c r="C2053" i="53"/>
  <c r="D2053" i="53"/>
  <c r="C2052" i="53"/>
  <c r="D2052" i="53"/>
  <c r="C2051" i="53"/>
  <c r="D2051" i="53"/>
  <c r="C2050" i="53"/>
  <c r="D2050" i="53"/>
  <c r="C2049" i="53"/>
  <c r="D2049" i="53"/>
  <c r="C2048" i="53"/>
  <c r="D2048" i="53"/>
  <c r="D2047" i="53"/>
  <c r="C2047" i="53"/>
  <c r="C2046" i="53"/>
  <c r="D2046" i="53"/>
  <c r="C2045" i="53"/>
  <c r="D2045" i="53"/>
  <c r="C2044" i="53"/>
  <c r="D2044" i="53"/>
  <c r="C2043" i="53"/>
  <c r="D2043" i="53"/>
  <c r="C2042" i="53"/>
  <c r="D2042" i="53"/>
  <c r="C2041" i="53"/>
  <c r="D2041" i="53"/>
  <c r="C2040" i="53"/>
  <c r="D2040" i="53"/>
  <c r="C2039" i="53"/>
  <c r="D2039" i="53"/>
  <c r="C2038" i="53"/>
  <c r="D2038" i="53"/>
  <c r="C2037" i="53"/>
  <c r="D2037" i="53"/>
  <c r="C2036" i="53"/>
  <c r="D2036" i="53"/>
  <c r="C2035" i="53"/>
  <c r="D2035" i="53"/>
  <c r="C2034" i="53"/>
  <c r="D2034" i="53"/>
  <c r="C2033" i="53"/>
  <c r="D2033" i="53"/>
  <c r="C2032" i="53"/>
  <c r="D2032" i="53"/>
  <c r="C2031" i="53"/>
  <c r="D2031" i="53"/>
  <c r="C2030" i="53"/>
  <c r="D2030" i="53"/>
  <c r="C2029" i="53"/>
  <c r="D2029" i="53"/>
  <c r="C2028" i="53"/>
  <c r="D2028" i="53"/>
  <c r="C2027" i="53"/>
  <c r="D2027" i="53"/>
  <c r="C2026" i="53"/>
  <c r="D2026" i="53"/>
  <c r="C2025" i="53"/>
  <c r="D2025" i="53"/>
  <c r="C2024" i="53"/>
  <c r="D2024" i="53"/>
  <c r="C2023" i="53"/>
  <c r="D2023" i="53"/>
  <c r="C2022" i="53"/>
  <c r="D2022" i="53"/>
  <c r="C2021" i="53"/>
  <c r="D2021" i="53"/>
  <c r="C2020" i="53"/>
  <c r="D2020" i="53"/>
  <c r="C2019" i="53"/>
  <c r="D2019" i="53"/>
  <c r="C2018" i="53"/>
  <c r="D2018" i="53"/>
  <c r="C2017" i="53"/>
  <c r="D2017" i="53"/>
  <c r="C2016" i="53"/>
  <c r="D2016" i="53"/>
  <c r="C2015" i="53"/>
  <c r="D2015" i="53"/>
  <c r="C2014" i="53"/>
  <c r="D2014" i="53"/>
  <c r="C2013" i="53"/>
  <c r="D2013" i="53"/>
  <c r="C2012" i="53"/>
  <c r="D2012" i="53"/>
  <c r="C2011" i="53"/>
  <c r="D2011" i="53"/>
  <c r="C2010" i="53"/>
  <c r="D2010" i="53"/>
  <c r="C2009" i="53"/>
  <c r="D2009" i="53"/>
  <c r="C2008" i="53"/>
  <c r="D2008" i="53"/>
  <c r="C2007" i="53"/>
  <c r="D2007" i="53"/>
  <c r="C2006" i="53"/>
  <c r="D2006" i="53"/>
  <c r="C2005" i="53"/>
  <c r="D2005" i="53"/>
  <c r="C2004" i="53"/>
  <c r="D2004" i="53"/>
  <c r="C2003" i="53"/>
  <c r="D2003" i="53"/>
  <c r="C2002" i="53"/>
  <c r="D2002" i="53"/>
  <c r="C2001" i="53"/>
  <c r="D2001" i="53"/>
  <c r="C2000" i="53"/>
  <c r="D2000" i="53"/>
  <c r="C1999" i="53"/>
  <c r="D1999" i="53"/>
  <c r="C1998" i="53"/>
  <c r="D1998" i="53"/>
  <c r="C1997" i="53"/>
  <c r="D1997" i="53"/>
  <c r="C1996" i="53"/>
  <c r="D1996" i="53"/>
  <c r="C1995" i="53"/>
  <c r="D1995" i="53"/>
  <c r="C1994" i="53"/>
  <c r="D1994" i="53"/>
  <c r="C1993" i="53"/>
  <c r="D1993" i="53"/>
  <c r="C1992" i="53"/>
  <c r="D1992" i="53"/>
  <c r="C1991" i="53"/>
  <c r="D1991" i="53"/>
  <c r="C1990" i="53"/>
  <c r="D1990" i="53"/>
  <c r="C1989" i="53"/>
  <c r="D1989" i="53"/>
  <c r="C1988" i="53"/>
  <c r="D1988" i="53"/>
  <c r="C1987" i="53"/>
  <c r="D1987" i="53"/>
  <c r="C1986" i="53"/>
  <c r="D1986" i="53"/>
  <c r="C1985" i="53"/>
  <c r="D1985" i="53"/>
  <c r="C1984" i="53"/>
  <c r="D1984" i="53"/>
  <c r="C1983" i="53"/>
  <c r="D1983" i="53"/>
  <c r="C1982" i="53"/>
  <c r="D1982" i="53"/>
  <c r="C1981" i="53"/>
  <c r="D1981" i="53"/>
  <c r="C1980" i="53"/>
  <c r="D1980" i="53"/>
  <c r="C1979" i="53"/>
  <c r="D1979" i="53"/>
  <c r="C1978" i="53"/>
  <c r="D1978" i="53"/>
  <c r="C1977" i="53"/>
  <c r="D1977" i="53"/>
  <c r="C1976" i="53"/>
  <c r="D1976" i="53"/>
  <c r="C1975" i="53"/>
  <c r="D1975" i="53"/>
  <c r="C1974" i="53"/>
  <c r="D1974" i="53"/>
  <c r="C1973" i="53"/>
  <c r="D1973" i="53"/>
  <c r="C1972" i="53"/>
  <c r="D1972" i="53"/>
  <c r="C1971" i="53"/>
  <c r="D1971" i="53"/>
  <c r="C1970" i="53"/>
  <c r="D1970" i="53"/>
  <c r="C1969" i="53"/>
  <c r="D1969" i="53"/>
  <c r="C1258" i="53"/>
  <c r="D1258" i="53"/>
  <c r="C1968" i="53"/>
  <c r="D1968" i="53"/>
  <c r="C1257" i="53"/>
  <c r="D1257" i="53"/>
  <c r="C1967" i="53"/>
  <c r="D1967" i="53"/>
  <c r="C1256" i="53"/>
  <c r="D1256" i="53"/>
  <c r="C1966" i="53"/>
  <c r="D1966" i="53"/>
  <c r="C1255" i="53"/>
  <c r="D1255" i="53"/>
  <c r="C1965" i="53"/>
  <c r="D1965" i="53"/>
  <c r="C1254" i="53"/>
  <c r="D1254" i="53"/>
  <c r="C1964" i="53"/>
  <c r="D1964" i="53"/>
  <c r="C1253" i="53"/>
  <c r="D1253" i="53"/>
  <c r="C1963" i="53"/>
  <c r="D1963" i="53"/>
  <c r="C1252" i="53"/>
  <c r="D1252" i="53"/>
  <c r="C1925" i="53"/>
  <c r="D1925" i="53"/>
  <c r="C1251" i="53"/>
  <c r="D1251" i="53"/>
  <c r="C1924" i="53"/>
  <c r="D1924" i="53"/>
  <c r="C1250" i="53"/>
  <c r="D1250" i="53"/>
  <c r="C1923" i="53"/>
  <c r="D1923" i="53"/>
  <c r="C1249" i="53"/>
  <c r="D1249" i="53"/>
  <c r="C1922" i="53"/>
  <c r="D1922" i="53"/>
  <c r="C1248" i="53"/>
  <c r="D1248" i="53"/>
  <c r="C1921" i="53"/>
  <c r="D1921" i="53"/>
  <c r="C1247" i="53"/>
  <c r="D1247" i="53"/>
  <c r="C1920" i="53"/>
  <c r="D1920" i="53"/>
  <c r="C1246" i="53"/>
  <c r="D1246" i="53"/>
  <c r="C1919" i="53"/>
  <c r="D1919" i="53"/>
  <c r="C1245" i="53"/>
  <c r="D1245" i="53"/>
  <c r="C1619" i="53"/>
  <c r="D1619" i="53"/>
  <c r="C1618" i="53"/>
  <c r="D1618" i="53"/>
  <c r="C1244" i="53"/>
  <c r="D1244" i="53"/>
  <c r="C200" i="53"/>
  <c r="D200" i="53"/>
  <c r="C1617" i="53"/>
  <c r="D1617" i="53"/>
  <c r="C1243" i="53"/>
  <c r="D1243" i="53"/>
  <c r="C1616" i="53"/>
  <c r="D1616" i="53"/>
  <c r="C1242" i="53"/>
  <c r="D1242" i="53"/>
  <c r="C1318" i="53"/>
  <c r="D1318" i="53"/>
  <c r="C1317" i="53"/>
  <c r="D1317" i="53"/>
  <c r="C1316" i="53"/>
  <c r="D1316" i="53"/>
  <c r="C1315" i="53"/>
  <c r="D1315" i="53"/>
  <c r="C1314" i="53"/>
  <c r="D1314" i="53"/>
  <c r="C1313" i="53"/>
  <c r="D1313" i="53"/>
  <c r="C1312" i="53"/>
  <c r="D1312" i="53"/>
  <c r="C1918" i="53"/>
  <c r="D1918" i="53"/>
  <c r="C1917" i="53"/>
  <c r="D1917" i="53"/>
  <c r="C1916" i="53"/>
  <c r="D1916" i="53"/>
  <c r="C1915" i="53"/>
  <c r="D1915" i="53"/>
  <c r="C1914" i="53"/>
  <c r="D1914" i="53"/>
  <c r="C1913" i="53"/>
  <c r="D1913" i="53"/>
  <c r="C1912" i="53"/>
  <c r="D1912" i="53"/>
  <c r="C86" i="53"/>
  <c r="D86" i="53"/>
  <c r="C85" i="53"/>
  <c r="D85" i="53"/>
  <c r="C84" i="53"/>
  <c r="D84" i="53"/>
  <c r="C83" i="53"/>
  <c r="D83" i="53"/>
  <c r="C82" i="53"/>
  <c r="D82" i="53"/>
  <c r="C1394" i="53"/>
  <c r="D1394" i="53"/>
  <c r="C1383" i="53"/>
  <c r="D1383" i="53"/>
  <c r="C520" i="53"/>
  <c r="D520" i="53"/>
  <c r="C1393" i="53"/>
  <c r="D1393" i="53"/>
  <c r="C1382" i="53"/>
  <c r="D1382" i="53"/>
  <c r="C519" i="53"/>
  <c r="D519" i="53"/>
  <c r="C1392" i="53"/>
  <c r="D1392" i="53"/>
  <c r="C1381" i="53"/>
  <c r="D1381" i="53"/>
  <c r="C518" i="53"/>
  <c r="D518" i="53"/>
  <c r="C1391" i="53"/>
  <c r="D1391" i="53"/>
  <c r="C1380" i="53"/>
  <c r="D1380" i="53"/>
  <c r="C517" i="53"/>
  <c r="D517" i="53"/>
  <c r="C1932" i="53"/>
  <c r="D1932" i="53"/>
  <c r="C1931" i="53"/>
  <c r="D1931" i="53"/>
  <c r="C1241" i="53"/>
  <c r="D1241" i="53"/>
  <c r="C926" i="53"/>
  <c r="D926" i="53"/>
  <c r="C221" i="53"/>
  <c r="D221" i="53"/>
  <c r="C1930" i="53"/>
  <c r="D1930" i="53"/>
  <c r="C1240" i="53"/>
  <c r="D1240" i="53"/>
  <c r="C925" i="53"/>
  <c r="D925" i="53"/>
  <c r="C220" i="53"/>
  <c r="D220" i="53"/>
  <c r="C1929" i="53"/>
  <c r="D1929" i="53"/>
  <c r="C1239" i="53"/>
  <c r="D1239" i="53"/>
  <c r="C924" i="53"/>
  <c r="D924" i="53"/>
  <c r="C219" i="53"/>
  <c r="D219" i="53"/>
  <c r="C1928" i="53"/>
  <c r="D1928" i="53"/>
  <c r="C1927" i="53"/>
  <c r="D1927" i="53"/>
  <c r="C1926" i="53"/>
  <c r="D1926" i="53"/>
  <c r="C1807" i="53"/>
  <c r="D1807" i="53"/>
  <c r="C841" i="53"/>
  <c r="D841" i="53"/>
  <c r="C1806" i="53"/>
  <c r="D1806" i="53"/>
  <c r="C840" i="53"/>
  <c r="D840" i="53"/>
  <c r="C1805" i="53"/>
  <c r="D1805" i="53"/>
  <c r="C839" i="53"/>
  <c r="D839" i="53"/>
  <c r="C1804" i="53"/>
  <c r="D1804" i="53"/>
  <c r="C838" i="53"/>
  <c r="D838" i="53"/>
  <c r="C1803" i="53"/>
  <c r="D1803" i="53"/>
  <c r="C837" i="53"/>
  <c r="D837" i="53"/>
  <c r="C1802" i="53"/>
  <c r="D1802" i="53"/>
  <c r="C836" i="53"/>
  <c r="D836" i="53"/>
  <c r="C1801" i="53"/>
  <c r="D1801" i="53"/>
  <c r="C835" i="53"/>
  <c r="D835" i="53"/>
  <c r="C1843" i="53"/>
  <c r="D1843" i="53"/>
  <c r="C1558" i="53"/>
  <c r="D1558" i="53"/>
  <c r="C1292" i="53"/>
  <c r="D1292" i="53"/>
  <c r="C436" i="53"/>
  <c r="D436" i="53"/>
  <c r="C1842" i="53"/>
  <c r="D1842" i="53"/>
  <c r="C1557" i="53"/>
  <c r="D1557" i="53"/>
  <c r="C1291" i="53"/>
  <c r="D1291" i="53"/>
  <c r="C435" i="53"/>
  <c r="D435" i="53"/>
  <c r="C1841" i="53"/>
  <c r="D1841" i="53"/>
  <c r="C1556" i="53"/>
  <c r="D1556" i="53"/>
  <c r="C1290" i="53"/>
  <c r="D1290" i="53"/>
  <c r="C434" i="53"/>
  <c r="D434" i="53"/>
  <c r="C1840" i="53"/>
  <c r="D1840" i="53"/>
  <c r="C1555" i="53"/>
  <c r="D1555" i="53"/>
  <c r="C1289" i="53"/>
  <c r="D1289" i="53"/>
  <c r="C433" i="53"/>
  <c r="D433" i="53"/>
  <c r="C1839" i="53"/>
  <c r="D1839" i="53"/>
  <c r="C1554" i="53"/>
  <c r="D1554" i="53"/>
  <c r="C1288" i="53"/>
  <c r="D1288" i="53"/>
  <c r="C432" i="53"/>
  <c r="D432" i="53"/>
  <c r="C1838" i="53"/>
  <c r="D1838" i="53"/>
  <c r="C1553" i="53"/>
  <c r="D1553" i="53"/>
  <c r="C1287" i="53"/>
  <c r="D1287" i="53"/>
  <c r="C431" i="53"/>
  <c r="D431" i="53"/>
  <c r="C1837" i="53"/>
  <c r="D1837" i="53"/>
  <c r="C1552" i="53"/>
  <c r="D1552" i="53"/>
  <c r="C1286" i="53"/>
  <c r="D1286" i="53"/>
  <c r="C430" i="53"/>
  <c r="B430" i="53" s="1"/>
  <c r="A430" i="53" s="1"/>
  <c r="D430" i="53"/>
  <c r="C905" i="53"/>
  <c r="D905" i="53"/>
  <c r="C904" i="53"/>
  <c r="D904" i="53"/>
  <c r="C903" i="53"/>
  <c r="D903" i="53"/>
  <c r="C902" i="53"/>
  <c r="D902" i="53"/>
  <c r="C901" i="53"/>
  <c r="D901" i="53"/>
  <c r="C900" i="53"/>
  <c r="D900" i="53"/>
  <c r="C1311" i="53"/>
  <c r="D1311" i="53"/>
  <c r="C1310" i="53"/>
  <c r="D1310" i="53"/>
  <c r="C1309" i="53"/>
  <c r="D1309" i="53"/>
  <c r="C1308" i="53"/>
  <c r="D1308" i="53"/>
  <c r="C1307" i="53"/>
  <c r="D1307" i="53"/>
  <c r="C1306" i="53"/>
  <c r="D1306" i="53"/>
  <c r="C1305" i="53"/>
  <c r="D1305" i="53"/>
  <c r="C1742" i="53"/>
  <c r="D1742" i="53"/>
  <c r="C1470" i="53"/>
  <c r="D1470" i="53"/>
  <c r="C495" i="53"/>
  <c r="D495" i="53"/>
  <c r="C1741" i="53"/>
  <c r="D1741" i="53"/>
  <c r="C1469" i="53"/>
  <c r="D1469" i="53"/>
  <c r="C494" i="53"/>
  <c r="D494" i="53"/>
  <c r="C1740" i="53"/>
  <c r="D1740" i="53"/>
  <c r="C1468" i="53"/>
  <c r="D1468" i="53"/>
  <c r="C493" i="53"/>
  <c r="D493" i="53"/>
  <c r="C1739" i="53"/>
  <c r="D1739" i="53"/>
  <c r="C1467" i="53"/>
  <c r="D1467" i="53"/>
  <c r="C492" i="53"/>
  <c r="D492" i="53"/>
  <c r="C1738" i="53"/>
  <c r="D1738" i="53"/>
  <c r="C1466" i="53"/>
  <c r="D1466" i="53"/>
  <c r="C491" i="53"/>
  <c r="D491" i="53"/>
  <c r="C1737" i="53"/>
  <c r="D1737" i="53"/>
  <c r="C1465" i="53"/>
  <c r="D1465" i="53"/>
  <c r="C490" i="53"/>
  <c r="D490" i="53"/>
  <c r="C1865" i="53"/>
  <c r="D1865" i="53"/>
  <c r="C1864" i="53"/>
  <c r="D1864" i="53"/>
  <c r="C1863" i="53"/>
  <c r="D1863" i="53"/>
  <c r="C1862" i="53"/>
  <c r="D1862" i="53"/>
  <c r="C1861" i="53"/>
  <c r="D1861" i="53"/>
  <c r="C1860" i="53"/>
  <c r="D1860" i="53"/>
  <c r="C1859" i="53"/>
  <c r="D1859" i="53"/>
  <c r="C1516" i="53"/>
  <c r="D1516" i="53"/>
  <c r="C1238" i="53"/>
  <c r="D1238" i="53"/>
  <c r="C276" i="53"/>
  <c r="D276" i="53"/>
  <c r="C1515" i="53"/>
  <c r="D1515" i="53"/>
  <c r="C1237" i="53"/>
  <c r="D1237" i="53"/>
  <c r="C275" i="53"/>
  <c r="D275" i="53"/>
  <c r="C1514" i="53"/>
  <c r="D1514" i="53"/>
  <c r="C1236" i="53"/>
  <c r="D1236" i="53"/>
  <c r="C274" i="53"/>
  <c r="D274" i="53"/>
  <c r="C1513" i="53"/>
  <c r="D1513" i="53"/>
  <c r="C1235" i="53"/>
  <c r="D1235" i="53"/>
  <c r="C273" i="53"/>
  <c r="D273" i="53"/>
  <c r="C1512" i="53"/>
  <c r="D1512" i="53"/>
  <c r="C1234" i="53"/>
  <c r="D1234" i="53"/>
  <c r="C272" i="53"/>
  <c r="D272" i="53"/>
  <c r="C1511" i="53"/>
  <c r="D1511" i="53"/>
  <c r="C1233" i="53"/>
  <c r="D1233" i="53"/>
  <c r="C271" i="53"/>
  <c r="D271" i="53"/>
  <c r="C1510" i="53"/>
  <c r="D1510" i="53"/>
  <c r="C1232" i="53"/>
  <c r="D1232" i="53"/>
  <c r="C270" i="53"/>
  <c r="D270" i="53"/>
  <c r="C606" i="53"/>
  <c r="D606" i="53"/>
  <c r="C177" i="53"/>
  <c r="D177" i="53"/>
  <c r="C131" i="53"/>
  <c r="D131" i="53"/>
  <c r="C605" i="53"/>
  <c r="D605" i="53"/>
  <c r="C176" i="53"/>
  <c r="D176" i="53"/>
  <c r="C130" i="53"/>
  <c r="D130" i="53"/>
  <c r="C604" i="53"/>
  <c r="D604" i="53"/>
  <c r="C175" i="53"/>
  <c r="D175" i="53"/>
  <c r="C129" i="53"/>
  <c r="D129" i="53"/>
  <c r="C603" i="53"/>
  <c r="D603" i="53"/>
  <c r="C174" i="53"/>
  <c r="D174" i="53"/>
  <c r="C128" i="53"/>
  <c r="D128" i="53"/>
  <c r="C602" i="53"/>
  <c r="D602" i="53"/>
  <c r="C173" i="53"/>
  <c r="D173" i="53"/>
  <c r="C127" i="53"/>
  <c r="D127" i="53"/>
  <c r="C601" i="53"/>
  <c r="D601" i="53"/>
  <c r="C172" i="53"/>
  <c r="D172" i="53"/>
  <c r="C126" i="53"/>
  <c r="D126" i="53"/>
  <c r="C600" i="53"/>
  <c r="D600" i="53"/>
  <c r="C171" i="53"/>
  <c r="D171" i="53"/>
  <c r="C125" i="53"/>
  <c r="D125" i="53"/>
  <c r="C1851" i="53"/>
  <c r="D1851" i="53"/>
  <c r="C1850" i="53"/>
  <c r="D1850" i="53"/>
  <c r="C1849" i="53"/>
  <c r="D1849" i="53"/>
  <c r="C1848" i="53"/>
  <c r="D1848" i="53"/>
  <c r="C803" i="53"/>
  <c r="D803" i="53"/>
  <c r="C802" i="53"/>
  <c r="D802" i="53"/>
  <c r="C801" i="53"/>
  <c r="D801" i="53"/>
  <c r="C81" i="53"/>
  <c r="D81" i="53"/>
  <c r="C800" i="53"/>
  <c r="D800" i="53"/>
  <c r="C80" i="53"/>
  <c r="D80" i="53"/>
  <c r="C799" i="53"/>
  <c r="D799" i="53"/>
  <c r="C798" i="53"/>
  <c r="D798" i="53"/>
  <c r="C766" i="53"/>
  <c r="D766" i="53"/>
  <c r="C765" i="53"/>
  <c r="D765" i="53"/>
  <c r="C599" i="53"/>
  <c r="B599" i="53" s="1"/>
  <c r="A599" i="53" s="1"/>
  <c r="D599" i="53"/>
  <c r="C170" i="53"/>
  <c r="D170" i="53"/>
  <c r="C124" i="53"/>
  <c r="D124" i="53"/>
  <c r="C598" i="53"/>
  <c r="D598" i="53"/>
  <c r="C169" i="53"/>
  <c r="D169" i="53"/>
  <c r="C123" i="53"/>
  <c r="D123" i="53"/>
  <c r="C597" i="53"/>
  <c r="B597" i="53" s="1"/>
  <c r="A597" i="53" s="1"/>
  <c r="D597" i="53"/>
  <c r="C168" i="53"/>
  <c r="D168" i="53"/>
  <c r="C122" i="53"/>
  <c r="D122" i="53"/>
  <c r="C596" i="53"/>
  <c r="B596" i="53" s="1"/>
  <c r="A596" i="53" s="1"/>
  <c r="D596" i="53"/>
  <c r="C167" i="53"/>
  <c r="D167" i="53"/>
  <c r="C121" i="53"/>
  <c r="D121" i="53"/>
  <c r="C595" i="53"/>
  <c r="D595" i="53"/>
  <c r="C166" i="53"/>
  <c r="D166" i="53"/>
  <c r="C120" i="53"/>
  <c r="D120" i="53"/>
  <c r="C594" i="53"/>
  <c r="D594" i="53"/>
  <c r="C165" i="53"/>
  <c r="D165" i="53"/>
  <c r="C119" i="53"/>
  <c r="D119" i="53"/>
  <c r="C593" i="53"/>
  <c r="D593" i="53"/>
  <c r="C164" i="53"/>
  <c r="D164" i="53"/>
  <c r="C118" i="53"/>
  <c r="D118" i="53"/>
  <c r="C1636" i="53"/>
  <c r="D1636" i="53"/>
  <c r="C1231" i="53"/>
  <c r="D1231" i="53"/>
  <c r="C1635" i="53"/>
  <c r="D1635" i="53"/>
  <c r="C1230" i="53"/>
  <c r="D1230" i="53"/>
  <c r="C1634" i="53"/>
  <c r="D1634" i="53"/>
  <c r="C1229" i="53"/>
  <c r="D1229" i="53"/>
  <c r="C1633" i="53"/>
  <c r="D1633" i="53"/>
  <c r="C1228" i="53"/>
  <c r="D1228" i="53"/>
  <c r="C783" i="53"/>
  <c r="D783" i="53"/>
  <c r="C782" i="53"/>
  <c r="D782" i="53"/>
  <c r="C781" i="53"/>
  <c r="D781" i="53"/>
  <c r="C780" i="53"/>
  <c r="D780" i="53"/>
  <c r="C1628" i="53"/>
  <c r="D1628" i="53"/>
  <c r="C1227" i="53"/>
  <c r="D1227" i="53"/>
  <c r="C1627" i="53"/>
  <c r="D1627" i="53"/>
  <c r="C1226" i="53"/>
  <c r="D1226" i="53"/>
  <c r="C1565" i="53"/>
  <c r="D1565" i="53"/>
  <c r="C1564" i="53"/>
  <c r="D1564" i="53"/>
  <c r="C1563" i="53"/>
  <c r="D1563" i="53"/>
  <c r="C1562" i="53"/>
  <c r="D1562" i="53"/>
  <c r="C1561" i="53"/>
  <c r="D1561" i="53"/>
  <c r="C1560" i="53"/>
  <c r="D1560" i="53"/>
  <c r="C1559" i="53"/>
  <c r="D1559" i="53"/>
  <c r="C516" i="53"/>
  <c r="D516" i="53"/>
  <c r="C515" i="53"/>
  <c r="D515" i="53"/>
  <c r="C514" i="53"/>
  <c r="D514" i="53"/>
  <c r="C513" i="53"/>
  <c r="D513" i="53"/>
  <c r="C512" i="53"/>
  <c r="D512" i="53"/>
  <c r="C511" i="53"/>
  <c r="D511" i="53"/>
  <c r="C510" i="53"/>
  <c r="D510" i="53"/>
  <c r="C79" i="53"/>
  <c r="D79" i="53"/>
  <c r="C78" i="53"/>
  <c r="D78" i="53"/>
  <c r="C77" i="53"/>
  <c r="D77" i="53"/>
  <c r="C76" i="53"/>
  <c r="D76" i="53"/>
  <c r="C75" i="53"/>
  <c r="D75" i="53"/>
  <c r="C74" i="53"/>
  <c r="D74" i="53"/>
  <c r="C73" i="53"/>
  <c r="D73" i="53"/>
  <c r="C1225" i="53"/>
  <c r="D1225" i="53"/>
  <c r="C1224" i="53"/>
  <c r="D1224" i="53"/>
  <c r="C1223" i="53"/>
  <c r="D1223" i="53"/>
  <c r="C1222" i="53"/>
  <c r="D1222" i="53"/>
  <c r="C1221" i="53"/>
  <c r="D1221" i="53"/>
  <c r="C1220" i="53"/>
  <c r="D1220" i="53"/>
  <c r="C1219" i="53"/>
  <c r="D1219" i="53"/>
  <c r="C1457" i="53"/>
  <c r="D1457" i="53"/>
  <c r="C1218" i="53"/>
  <c r="D1218" i="53"/>
  <c r="C1456" i="53"/>
  <c r="D1456" i="53"/>
  <c r="C1217" i="53"/>
  <c r="D1217" i="53"/>
  <c r="C1455" i="53"/>
  <c r="D1455" i="53"/>
  <c r="C1454" i="53"/>
  <c r="D1454" i="53"/>
  <c r="C1216" i="53"/>
  <c r="D1216" i="53"/>
  <c r="C1453" i="53"/>
  <c r="D1453" i="53"/>
  <c r="C1215" i="53"/>
  <c r="D1215" i="53"/>
  <c r="C633" i="53"/>
  <c r="D633" i="53"/>
  <c r="C1878" i="53"/>
  <c r="D1878" i="53"/>
  <c r="C632" i="53"/>
  <c r="D632" i="53"/>
  <c r="C422" i="53"/>
  <c r="D422" i="53"/>
  <c r="C1877" i="53"/>
  <c r="D1877" i="53"/>
  <c r="C631" i="53"/>
  <c r="D631" i="53"/>
  <c r="C421" i="53"/>
  <c r="D421" i="53"/>
  <c r="C1876" i="53"/>
  <c r="D1876" i="53"/>
  <c r="C630" i="53"/>
  <c r="D630" i="53"/>
  <c r="C420" i="53"/>
  <c r="D420" i="53"/>
  <c r="C1875" i="53"/>
  <c r="D1875" i="53"/>
  <c r="C629" i="53"/>
  <c r="B629" i="53" s="1"/>
  <c r="A629" i="53" s="1"/>
  <c r="D629" i="53"/>
  <c r="C419" i="53"/>
  <c r="D419" i="53"/>
  <c r="C1874" i="53"/>
  <c r="D1874" i="53"/>
  <c r="C628" i="53"/>
  <c r="D628" i="53"/>
  <c r="C418" i="53"/>
  <c r="D418" i="53"/>
  <c r="C1873" i="53"/>
  <c r="D1873" i="53"/>
  <c r="C627" i="53"/>
  <c r="D627" i="53"/>
  <c r="C417" i="53"/>
  <c r="D417" i="53"/>
  <c r="C1818" i="53"/>
  <c r="D1818" i="53"/>
  <c r="C1817" i="53"/>
  <c r="D1817" i="53"/>
  <c r="C1816" i="53"/>
  <c r="D1816" i="53"/>
  <c r="C1815" i="53"/>
  <c r="D1815" i="53"/>
  <c r="C1814" i="53"/>
  <c r="D1814" i="53"/>
  <c r="C1813" i="53"/>
  <c r="D1813" i="53"/>
  <c r="C1812" i="53"/>
  <c r="D1812" i="53"/>
  <c r="C1214" i="53"/>
  <c r="D1214" i="53"/>
  <c r="C878" i="53"/>
  <c r="D878" i="53"/>
  <c r="C1213" i="53"/>
  <c r="D1213" i="53"/>
  <c r="C877" i="53"/>
  <c r="D877" i="53"/>
  <c r="C1212" i="53"/>
  <c r="D1212" i="53"/>
  <c r="C876" i="53"/>
  <c r="D876" i="53"/>
  <c r="C1211" i="53"/>
  <c r="D1211" i="53"/>
  <c r="C875" i="53"/>
  <c r="D875" i="53"/>
  <c r="C1210" i="53"/>
  <c r="D1210" i="53"/>
  <c r="C874" i="53"/>
  <c r="D874" i="53"/>
  <c r="C1209" i="53"/>
  <c r="D1209" i="53"/>
  <c r="C873" i="53"/>
  <c r="D873" i="53"/>
  <c r="C1208" i="53"/>
  <c r="D1208" i="53"/>
  <c r="C872" i="53"/>
  <c r="D872" i="53"/>
  <c r="C1544" i="53"/>
  <c r="D1544" i="53"/>
  <c r="C1543" i="53"/>
  <c r="D1543" i="53"/>
  <c r="C1542" i="53"/>
  <c r="D1542" i="53"/>
  <c r="C1541" i="53"/>
  <c r="D1541" i="53"/>
  <c r="C1540" i="53"/>
  <c r="D1540" i="53"/>
  <c r="C1539" i="53"/>
  <c r="D1539" i="53"/>
  <c r="C1538" i="53"/>
  <c r="D1538" i="53"/>
  <c r="C1847" i="53"/>
  <c r="D1847" i="53"/>
  <c r="C1811" i="53"/>
  <c r="D1811" i="53"/>
  <c r="C1770" i="53"/>
  <c r="D1770" i="53"/>
  <c r="C1704" i="53"/>
  <c r="D1704" i="53"/>
  <c r="C1615" i="53"/>
  <c r="D1615" i="53"/>
  <c r="C383" i="53"/>
  <c r="D383" i="53"/>
  <c r="C1846" i="53"/>
  <c r="D1846" i="53"/>
  <c r="C1810" i="53"/>
  <c r="D1810" i="53"/>
  <c r="C1769" i="53"/>
  <c r="D1769" i="53"/>
  <c r="C1703" i="53"/>
  <c r="D1703" i="53"/>
  <c r="C1614" i="53"/>
  <c r="D1614" i="53"/>
  <c r="C382" i="53"/>
  <c r="D382" i="53"/>
  <c r="C1845" i="53"/>
  <c r="D1845" i="53"/>
  <c r="C1809" i="53"/>
  <c r="D1809" i="53"/>
  <c r="C1768" i="53"/>
  <c r="D1768" i="53"/>
  <c r="C1702" i="53"/>
  <c r="D1702" i="53"/>
  <c r="C1613" i="53"/>
  <c r="D1613" i="53"/>
  <c r="C381" i="53"/>
  <c r="D381" i="53"/>
  <c r="C1844" i="53"/>
  <c r="D1844" i="53"/>
  <c r="C1808" i="53"/>
  <c r="D1808" i="53"/>
  <c r="C1767" i="53"/>
  <c r="D1767" i="53"/>
  <c r="C1701" i="53"/>
  <c r="D1701" i="53"/>
  <c r="C1612" i="53"/>
  <c r="D1612" i="53"/>
  <c r="C380" i="53"/>
  <c r="D380" i="53"/>
  <c r="C1537" i="53"/>
  <c r="D1537" i="53"/>
  <c r="C1536" i="53"/>
  <c r="D1536" i="53"/>
  <c r="C1535" i="53"/>
  <c r="D1535" i="53"/>
  <c r="C1534" i="53"/>
  <c r="D1534" i="53"/>
  <c r="C1533" i="53"/>
  <c r="D1533" i="53"/>
  <c r="C1532" i="53"/>
  <c r="D1532" i="53"/>
  <c r="C1531" i="53"/>
  <c r="D1531" i="53"/>
  <c r="C1207" i="53"/>
  <c r="D1207" i="53"/>
  <c r="C685" i="53"/>
  <c r="D685" i="53"/>
  <c r="C560" i="53"/>
  <c r="D560" i="53"/>
  <c r="C1206" i="53"/>
  <c r="D1206" i="53"/>
  <c r="C684" i="53"/>
  <c r="D684" i="53"/>
  <c r="C559" i="53"/>
  <c r="D559" i="53"/>
  <c r="C1205" i="53"/>
  <c r="D1205" i="53"/>
  <c r="C683" i="53"/>
  <c r="D683" i="53"/>
  <c r="C558" i="53"/>
  <c r="D558" i="53"/>
  <c r="C1204" i="53"/>
  <c r="D1204" i="53"/>
  <c r="C682" i="53"/>
  <c r="D682" i="53"/>
  <c r="C557" i="53"/>
  <c r="D557" i="53"/>
  <c r="C1203" i="53"/>
  <c r="D1203" i="53"/>
  <c r="C681" i="53"/>
  <c r="D681" i="53"/>
  <c r="C556" i="53"/>
  <c r="D556" i="53"/>
  <c r="C1202" i="53"/>
  <c r="D1202" i="53"/>
  <c r="C680" i="53"/>
  <c r="D680" i="53"/>
  <c r="C555" i="53"/>
  <c r="D555" i="53"/>
  <c r="C1201" i="53"/>
  <c r="D1201" i="53"/>
  <c r="C679" i="53"/>
  <c r="D679" i="53"/>
  <c r="C554" i="53"/>
  <c r="D554" i="53"/>
  <c r="C779" i="53"/>
  <c r="D779" i="53"/>
  <c r="C72" i="53"/>
  <c r="D72" i="53"/>
  <c r="C71" i="53"/>
  <c r="D71" i="53"/>
  <c r="C70" i="53"/>
  <c r="D70" i="53"/>
  <c r="C69" i="53"/>
  <c r="D69" i="53"/>
  <c r="C68" i="53"/>
  <c r="D68" i="53"/>
  <c r="C67" i="53"/>
  <c r="D67" i="53"/>
  <c r="C66" i="53"/>
  <c r="D66" i="53"/>
  <c r="C65" i="53"/>
  <c r="D65" i="53"/>
  <c r="C64" i="53"/>
  <c r="D64" i="53"/>
  <c r="C63" i="53"/>
  <c r="D63" i="53"/>
  <c r="C62" i="53"/>
  <c r="D62" i="53"/>
  <c r="C61" i="53"/>
  <c r="D61" i="53"/>
  <c r="C60" i="53"/>
  <c r="D60" i="53"/>
  <c r="C59" i="53"/>
  <c r="D59" i="53"/>
  <c r="C58" i="53"/>
  <c r="D58" i="53"/>
  <c r="C57" i="53"/>
  <c r="D57" i="53"/>
  <c r="C56" i="53"/>
  <c r="D56" i="53"/>
  <c r="C55" i="53"/>
  <c r="D55" i="53"/>
  <c r="C54" i="53"/>
  <c r="D54" i="53"/>
  <c r="C53" i="53"/>
  <c r="D53" i="53"/>
  <c r="C827" i="53"/>
  <c r="D827" i="53"/>
  <c r="C1729" i="53"/>
  <c r="D1729" i="53"/>
  <c r="C826" i="53"/>
  <c r="D826" i="53"/>
  <c r="C1728" i="53"/>
  <c r="D1728" i="53"/>
  <c r="C825" i="53"/>
  <c r="D825" i="53"/>
  <c r="C1727" i="53"/>
  <c r="D1727" i="53"/>
  <c r="C824" i="53"/>
  <c r="D824" i="53"/>
  <c r="C1726" i="53"/>
  <c r="D1726" i="53"/>
  <c r="C823" i="53"/>
  <c r="D823" i="53"/>
  <c r="C1725" i="53"/>
  <c r="D1725" i="53"/>
  <c r="C822" i="53"/>
  <c r="D822" i="53"/>
  <c r="C1724" i="53"/>
  <c r="D1724" i="53"/>
  <c r="C821" i="53"/>
  <c r="D821" i="53"/>
  <c r="C1953" i="53"/>
  <c r="D1953" i="53"/>
  <c r="C1723" i="53"/>
  <c r="D1723" i="53"/>
  <c r="C1426" i="53"/>
  <c r="D1426" i="53"/>
  <c r="C1379" i="53"/>
  <c r="D1379" i="53"/>
  <c r="C1952" i="53"/>
  <c r="D1952" i="53"/>
  <c r="C1722" i="53"/>
  <c r="D1722" i="53"/>
  <c r="C1425" i="53"/>
  <c r="D1425" i="53"/>
  <c r="C1378" i="53"/>
  <c r="D1378" i="53"/>
  <c r="C1951" i="53"/>
  <c r="D1951" i="53"/>
  <c r="C1721" i="53"/>
  <c r="D1721" i="53"/>
  <c r="C1424" i="53"/>
  <c r="D1424" i="53"/>
  <c r="C1377" i="53"/>
  <c r="D1377" i="53"/>
  <c r="C1950" i="53"/>
  <c r="D1950" i="53"/>
  <c r="C1720" i="53"/>
  <c r="D1720" i="53"/>
  <c r="C1423" i="53"/>
  <c r="D1423" i="53"/>
  <c r="C1376" i="53"/>
  <c r="D1376" i="53"/>
  <c r="C1949" i="53"/>
  <c r="D1949" i="53"/>
  <c r="C1719" i="53"/>
  <c r="D1719" i="53"/>
  <c r="C1422" i="53"/>
  <c r="D1422" i="53"/>
  <c r="C1375" i="53"/>
  <c r="D1375" i="53"/>
  <c r="C1948" i="53"/>
  <c r="D1948" i="53"/>
  <c r="C1718" i="53"/>
  <c r="D1718" i="53"/>
  <c r="C1421" i="53"/>
  <c r="D1421" i="53"/>
  <c r="C1374" i="53"/>
  <c r="D1374" i="53"/>
  <c r="C1947" i="53"/>
  <c r="D1947" i="53"/>
  <c r="C1717" i="53"/>
  <c r="D1717" i="53"/>
  <c r="C1420" i="53"/>
  <c r="D1420" i="53"/>
  <c r="C1373" i="53"/>
  <c r="D1373" i="53"/>
  <c r="C1700" i="53"/>
  <c r="D1700" i="53"/>
  <c r="C1200" i="53"/>
  <c r="D1200" i="53"/>
  <c r="C1699" i="53"/>
  <c r="D1699" i="53"/>
  <c r="C1199" i="53"/>
  <c r="D1199" i="53"/>
  <c r="C1698" i="53"/>
  <c r="D1698" i="53"/>
  <c r="C1198" i="53"/>
  <c r="D1198" i="53"/>
  <c r="C1697" i="53"/>
  <c r="D1697" i="53"/>
  <c r="C1197" i="53"/>
  <c r="D1197" i="53"/>
  <c r="C1696" i="53"/>
  <c r="D1696" i="53"/>
  <c r="C1196" i="53"/>
  <c r="D1196" i="53"/>
  <c r="C1695" i="53"/>
  <c r="D1695" i="53"/>
  <c r="C1195" i="53"/>
  <c r="D1195" i="53"/>
  <c r="C475" i="53"/>
  <c r="D475" i="53"/>
  <c r="C474" i="53"/>
  <c r="D474" i="53"/>
  <c r="C473" i="53"/>
  <c r="D473" i="53"/>
  <c r="C472" i="53"/>
  <c r="D472" i="53"/>
  <c r="C471" i="53"/>
  <c r="D471" i="53"/>
  <c r="C470" i="53"/>
  <c r="D470" i="53"/>
  <c r="C1626" i="53"/>
  <c r="D1626" i="53"/>
  <c r="C1604" i="53"/>
  <c r="D1604" i="53"/>
  <c r="C1419" i="53"/>
  <c r="D1419" i="53"/>
  <c r="C1194" i="53"/>
  <c r="D1194" i="53"/>
  <c r="C1625" i="53"/>
  <c r="D1625" i="53"/>
  <c r="C1603" i="53"/>
  <c r="D1603" i="53"/>
  <c r="C1418" i="53"/>
  <c r="D1418" i="53"/>
  <c r="C1193" i="53"/>
  <c r="D1193" i="53"/>
  <c r="C1624" i="53"/>
  <c r="D1624" i="53"/>
  <c r="C1602" i="53"/>
  <c r="D1602" i="53"/>
  <c r="C1417" i="53"/>
  <c r="D1417" i="53"/>
  <c r="C1192" i="53"/>
  <c r="D1192" i="53"/>
  <c r="C1623" i="53"/>
  <c r="D1623" i="53"/>
  <c r="C1601" i="53"/>
  <c r="D1601" i="53"/>
  <c r="C1416" i="53"/>
  <c r="D1416" i="53"/>
  <c r="C1191" i="53"/>
  <c r="D1191" i="53"/>
  <c r="C1622" i="53"/>
  <c r="D1622" i="53"/>
  <c r="C1600" i="53"/>
  <c r="D1600" i="53"/>
  <c r="C1415" i="53"/>
  <c r="D1415" i="53"/>
  <c r="C1190" i="53"/>
  <c r="D1190" i="53"/>
  <c r="C1621" i="53"/>
  <c r="D1621" i="53"/>
  <c r="C1599" i="53"/>
  <c r="D1599" i="53"/>
  <c r="C1414" i="53"/>
  <c r="D1414" i="53"/>
  <c r="C1189" i="53"/>
  <c r="D1189" i="53"/>
  <c r="C1620" i="53"/>
  <c r="D1620" i="53"/>
  <c r="C1598" i="53"/>
  <c r="D1598" i="53"/>
  <c r="C1413" i="53"/>
  <c r="D1413" i="53"/>
  <c r="C1188" i="53"/>
  <c r="D1188" i="53"/>
  <c r="C1405" i="53"/>
  <c r="D1405" i="53"/>
  <c r="C1404" i="53"/>
  <c r="D1404" i="53"/>
  <c r="C1403" i="53"/>
  <c r="D1403" i="53"/>
  <c r="C1402" i="53"/>
  <c r="D1402" i="53"/>
  <c r="C1401" i="53"/>
  <c r="D1401" i="53"/>
  <c r="C1400" i="53"/>
  <c r="D1400" i="53"/>
  <c r="C1399" i="53"/>
  <c r="D1399" i="53"/>
  <c r="C1488" i="53"/>
  <c r="D1488" i="53"/>
  <c r="C749" i="53"/>
  <c r="D749" i="53"/>
  <c r="C1487" i="53"/>
  <c r="D1487" i="53"/>
  <c r="C748" i="53"/>
  <c r="D748" i="53"/>
  <c r="C1486" i="53"/>
  <c r="D1486" i="53"/>
  <c r="C747" i="53"/>
  <c r="D747" i="53"/>
  <c r="C1485" i="53"/>
  <c r="D1485" i="53"/>
  <c r="C746" i="53"/>
  <c r="D746" i="53"/>
  <c r="C1484" i="53"/>
  <c r="D1484" i="53"/>
  <c r="C745" i="53"/>
  <c r="D745" i="53"/>
  <c r="C1483" i="53"/>
  <c r="D1483" i="53"/>
  <c r="C744" i="53"/>
  <c r="D744" i="53"/>
  <c r="C1482" i="53"/>
  <c r="D1482" i="53"/>
  <c r="C743" i="53"/>
  <c r="D743" i="53"/>
  <c r="C1398" i="53"/>
  <c r="D1398" i="53"/>
  <c r="C1397" i="53"/>
  <c r="D1397" i="53"/>
  <c r="C1396" i="53"/>
  <c r="D1396" i="53"/>
  <c r="C1395" i="53"/>
  <c r="D1395" i="53"/>
  <c r="C923" i="53"/>
  <c r="D923" i="53"/>
  <c r="C922" i="53"/>
  <c r="D922" i="53"/>
  <c r="C921" i="53"/>
  <c r="D921" i="53"/>
  <c r="C920" i="53"/>
  <c r="D920" i="53"/>
  <c r="C919" i="53"/>
  <c r="D919" i="53"/>
  <c r="C918" i="53"/>
  <c r="D918" i="53"/>
  <c r="C917" i="53"/>
  <c r="D917" i="53"/>
  <c r="C1789" i="53"/>
  <c r="D1789" i="53"/>
  <c r="C899" i="53"/>
  <c r="D899" i="53"/>
  <c r="C1788" i="53"/>
  <c r="D1788" i="53"/>
  <c r="C898" i="53"/>
  <c r="D898" i="53"/>
  <c r="C1787" i="53"/>
  <c r="D1787" i="53"/>
  <c r="C897" i="53"/>
  <c r="D897" i="53"/>
  <c r="C896" i="53"/>
  <c r="D896" i="53"/>
  <c r="C895" i="53"/>
  <c r="D895" i="53"/>
  <c r="C1786" i="53"/>
  <c r="D1786" i="53"/>
  <c r="C894" i="53"/>
  <c r="D894" i="53"/>
  <c r="C1785" i="53"/>
  <c r="D1785" i="53"/>
  <c r="C893" i="53"/>
  <c r="D893" i="53"/>
  <c r="C1611" i="53"/>
  <c r="D1611" i="53"/>
  <c r="C1610" i="53"/>
  <c r="D1610" i="53"/>
  <c r="C1609" i="53"/>
  <c r="D1609" i="53"/>
  <c r="C1608" i="53"/>
  <c r="D1608" i="53"/>
  <c r="C1607" i="53"/>
  <c r="D1607" i="53"/>
  <c r="C1606" i="53"/>
  <c r="D1606" i="53"/>
  <c r="C1605" i="53"/>
  <c r="D1605" i="53"/>
  <c r="C916" i="53"/>
  <c r="D916" i="53"/>
  <c r="C915" i="53"/>
  <c r="D915" i="53"/>
  <c r="C914" i="53"/>
  <c r="D914" i="53"/>
  <c r="C913" i="53"/>
  <c r="D913" i="53"/>
  <c r="C912" i="53"/>
  <c r="D912" i="53"/>
  <c r="C911" i="53"/>
  <c r="D911" i="53"/>
  <c r="C910" i="53"/>
  <c r="D910" i="53"/>
  <c r="C1187" i="53"/>
  <c r="D1187" i="53"/>
  <c r="C699" i="53"/>
  <c r="D699" i="53"/>
  <c r="C269" i="53"/>
  <c r="D269" i="53"/>
  <c r="C1186" i="53"/>
  <c r="D1186" i="53"/>
  <c r="C698" i="53"/>
  <c r="D698" i="53"/>
  <c r="C268" i="53"/>
  <c r="D268" i="53"/>
  <c r="C1185" i="53"/>
  <c r="D1185" i="53"/>
  <c r="C697" i="53"/>
  <c r="D697" i="53"/>
  <c r="C267" i="53"/>
  <c r="D267" i="53"/>
  <c r="C1184" i="53"/>
  <c r="D1184" i="53"/>
  <c r="C696" i="53"/>
  <c r="D696" i="53"/>
  <c r="C266" i="53"/>
  <c r="D266" i="53"/>
  <c r="C1183" i="53"/>
  <c r="D1183" i="53"/>
  <c r="C695" i="53"/>
  <c r="D695" i="53"/>
  <c r="C265" i="53"/>
  <c r="D265" i="53"/>
  <c r="C1182" i="53"/>
  <c r="B1182" i="53" s="1"/>
  <c r="A1182" i="53" s="1"/>
  <c r="D1182" i="53"/>
  <c r="C694" i="53"/>
  <c r="B694" i="53" s="1"/>
  <c r="A694" i="53" s="1"/>
  <c r="D694" i="53"/>
  <c r="C264" i="53"/>
  <c r="D264" i="53"/>
  <c r="C1181" i="53"/>
  <c r="D1181" i="53"/>
  <c r="C693" i="53"/>
  <c r="D693" i="53"/>
  <c r="C263" i="53"/>
  <c r="D263" i="53"/>
  <c r="C1448" i="53"/>
  <c r="D1448" i="53"/>
  <c r="C1180" i="53"/>
  <c r="D1180" i="53"/>
  <c r="C1447" i="53"/>
  <c r="D1447" i="53"/>
  <c r="C1179" i="53"/>
  <c r="D1179" i="53"/>
  <c r="C1446" i="53"/>
  <c r="D1446" i="53"/>
  <c r="C1178" i="53"/>
  <c r="D1178" i="53"/>
  <c r="C1445" i="53"/>
  <c r="D1445" i="53"/>
  <c r="C1177" i="53"/>
  <c r="D1177" i="53"/>
  <c r="C1444" i="53"/>
  <c r="D1444" i="53"/>
  <c r="C1176" i="53"/>
  <c r="D1176" i="53"/>
  <c r="C1443" i="53"/>
  <c r="D1443" i="53"/>
  <c r="C1175" i="53"/>
  <c r="D1175" i="53"/>
  <c r="C1442" i="53"/>
  <c r="D1442" i="53"/>
  <c r="C1174" i="53"/>
  <c r="D1174" i="53"/>
  <c r="C163" i="53"/>
  <c r="D163" i="53"/>
  <c r="C117" i="53"/>
  <c r="D117" i="53"/>
  <c r="C843" i="53"/>
  <c r="D843" i="53"/>
  <c r="C162" i="53"/>
  <c r="D162" i="53"/>
  <c r="C116" i="53"/>
  <c r="D116" i="53"/>
  <c r="C161" i="53"/>
  <c r="D161" i="53"/>
  <c r="C115" i="53"/>
  <c r="D115" i="53"/>
  <c r="C160" i="53"/>
  <c r="D160" i="53"/>
  <c r="C114" i="53"/>
  <c r="D114" i="53"/>
  <c r="C159" i="53"/>
  <c r="D159" i="53"/>
  <c r="C113" i="53"/>
  <c r="D113" i="53"/>
  <c r="C158" i="53"/>
  <c r="D158" i="53"/>
  <c r="C112" i="53"/>
  <c r="D112" i="53"/>
  <c r="C1173" i="53"/>
  <c r="D1173" i="53"/>
  <c r="C842" i="53"/>
  <c r="D842" i="53"/>
  <c r="C157" i="53"/>
  <c r="D157" i="53"/>
  <c r="C111" i="53"/>
  <c r="D111" i="53"/>
  <c r="C1304" i="53"/>
  <c r="D1304" i="53"/>
  <c r="C1303" i="53"/>
  <c r="D1303" i="53"/>
  <c r="C1302" i="53"/>
  <c r="D1302" i="53"/>
  <c r="C1301" i="53"/>
  <c r="D1301" i="53"/>
  <c r="C199" i="53"/>
  <c r="D199" i="53"/>
  <c r="C1300" i="53"/>
  <c r="D1300" i="53"/>
  <c r="C1277" i="53"/>
  <c r="D1277" i="53"/>
  <c r="C1276" i="53"/>
  <c r="D1276" i="53"/>
  <c r="C1275" i="53"/>
  <c r="D1275" i="53"/>
  <c r="C1274" i="53"/>
  <c r="D1274" i="53"/>
  <c r="C1273" i="53"/>
  <c r="D1273" i="53"/>
  <c r="C1272" i="53"/>
  <c r="D1272" i="53"/>
  <c r="C892" i="53"/>
  <c r="D892" i="53"/>
  <c r="C262" i="53"/>
  <c r="D262" i="53"/>
  <c r="C891" i="53"/>
  <c r="D891" i="53"/>
  <c r="C261" i="53"/>
  <c r="D261" i="53"/>
  <c r="C890" i="53"/>
  <c r="D890" i="53"/>
  <c r="C260" i="53"/>
  <c r="D260" i="53"/>
  <c r="C889" i="53"/>
  <c r="D889" i="53"/>
  <c r="C259" i="53"/>
  <c r="D259" i="53"/>
  <c r="C888" i="53"/>
  <c r="D888" i="53"/>
  <c r="C258" i="53"/>
  <c r="D258" i="53"/>
  <c r="C887" i="53"/>
  <c r="D887" i="53"/>
  <c r="C257" i="53"/>
  <c r="D257" i="53"/>
  <c r="C886" i="53"/>
  <c r="D886" i="53"/>
  <c r="C256" i="53"/>
  <c r="D256" i="53"/>
  <c r="C1264" i="53"/>
  <c r="D1264" i="53"/>
  <c r="C1172" i="53"/>
  <c r="D1172" i="53"/>
  <c r="C1263" i="53"/>
  <c r="D1263" i="53"/>
  <c r="C1171" i="53"/>
  <c r="D1171" i="53"/>
  <c r="C1262" i="53"/>
  <c r="D1262" i="53"/>
  <c r="C1170" i="53"/>
  <c r="D1170" i="53"/>
  <c r="C1261" i="53"/>
  <c r="D1261" i="53"/>
  <c r="C1169" i="53"/>
  <c r="D1169" i="53"/>
  <c r="C1260" i="53"/>
  <c r="D1260" i="53"/>
  <c r="C1168" i="53"/>
  <c r="D1168" i="53"/>
  <c r="C909" i="53"/>
  <c r="D909" i="53"/>
  <c r="C908" i="53"/>
  <c r="D908" i="53"/>
  <c r="C907" i="53"/>
  <c r="D907" i="53"/>
  <c r="C906" i="53"/>
  <c r="D906" i="53"/>
  <c r="C52" i="53"/>
  <c r="D52" i="53"/>
  <c r="C1412" i="53"/>
  <c r="D1412" i="53"/>
  <c r="C1167" i="53"/>
  <c r="D1167" i="53"/>
  <c r="C964" i="53"/>
  <c r="D964" i="53"/>
  <c r="C957" i="53"/>
  <c r="D957" i="53"/>
  <c r="C351" i="53"/>
  <c r="D351" i="53"/>
  <c r="C1411" i="53"/>
  <c r="D1411" i="53"/>
  <c r="C1166" i="53"/>
  <c r="D1166" i="53"/>
  <c r="C963" i="53"/>
  <c r="D963" i="53"/>
  <c r="C956" i="53"/>
  <c r="D956" i="53"/>
  <c r="C350" i="53"/>
  <c r="D350" i="53"/>
  <c r="C51" i="53"/>
  <c r="D51" i="53"/>
  <c r="C1410" i="53"/>
  <c r="D1410" i="53"/>
  <c r="C1165" i="53"/>
  <c r="D1165" i="53"/>
  <c r="C962" i="53"/>
  <c r="D962" i="53"/>
  <c r="C955" i="53"/>
  <c r="D955" i="53"/>
  <c r="C349" i="53"/>
  <c r="D349" i="53"/>
  <c r="C50" i="53"/>
  <c r="D50" i="53"/>
  <c r="C1409" i="53"/>
  <c r="D1409" i="53"/>
  <c r="C1164" i="53"/>
  <c r="D1164" i="53"/>
  <c r="C961" i="53"/>
  <c r="D961" i="53"/>
  <c r="D954" i="53"/>
  <c r="C954" i="53"/>
  <c r="C348" i="53"/>
  <c r="D348" i="53"/>
  <c r="C1408" i="53"/>
  <c r="D1408" i="53"/>
  <c r="C1163" i="53"/>
  <c r="D1163" i="53"/>
  <c r="C960" i="53"/>
  <c r="D960" i="53"/>
  <c r="C953" i="53"/>
  <c r="D953" i="53"/>
  <c r="C1407" i="53"/>
  <c r="D1407" i="53"/>
  <c r="C1162" i="53"/>
  <c r="D1162" i="53"/>
  <c r="C959" i="53"/>
  <c r="D959" i="53"/>
  <c r="C952" i="53"/>
  <c r="D952" i="53"/>
  <c r="C1406" i="53"/>
  <c r="D1406" i="53"/>
  <c r="C1161" i="53"/>
  <c r="D1161" i="53"/>
  <c r="C958" i="53"/>
  <c r="D958" i="53"/>
  <c r="C951" i="53"/>
  <c r="D951" i="53"/>
  <c r="C1579" i="53"/>
  <c r="D1579" i="53"/>
  <c r="C950" i="53"/>
  <c r="D950" i="53"/>
  <c r="C1578" i="53"/>
  <c r="D1578" i="53"/>
  <c r="C949" i="53"/>
  <c r="D949" i="53"/>
  <c r="C1577" i="53"/>
  <c r="D1577" i="53"/>
  <c r="C948" i="53"/>
  <c r="D948" i="53"/>
  <c r="C1576" i="53"/>
  <c r="D1576" i="53"/>
  <c r="C947" i="53"/>
  <c r="D947" i="53"/>
  <c r="C1575" i="53"/>
  <c r="D1575" i="53"/>
  <c r="C946" i="53"/>
  <c r="D946" i="53"/>
  <c r="C1574" i="53"/>
  <c r="D1574" i="53"/>
  <c r="C945" i="53"/>
  <c r="D945" i="53"/>
  <c r="C1573" i="53"/>
  <c r="D1573" i="53"/>
  <c r="C944" i="53"/>
  <c r="D944" i="53"/>
  <c r="C1962" i="53"/>
  <c r="D1962" i="53"/>
  <c r="C1160" i="53"/>
  <c r="D1160" i="53"/>
  <c r="C572" i="53"/>
  <c r="D572" i="53"/>
  <c r="C1961" i="53"/>
  <c r="D1961" i="53"/>
  <c r="C1159" i="53"/>
  <c r="D1159" i="53"/>
  <c r="C571" i="53"/>
  <c r="D571" i="53"/>
  <c r="C1960" i="53"/>
  <c r="D1960" i="53"/>
  <c r="C1158" i="53"/>
  <c r="D1158" i="53"/>
  <c r="C570" i="53"/>
  <c r="D570" i="53"/>
  <c r="C1959" i="53"/>
  <c r="D1959" i="53"/>
  <c r="C1157" i="53"/>
  <c r="D1157" i="53"/>
  <c r="C569" i="53"/>
  <c r="D569" i="53"/>
  <c r="C1958" i="53"/>
  <c r="D1958" i="53"/>
  <c r="C1156" i="53"/>
  <c r="D1156" i="53"/>
  <c r="C568" i="53"/>
  <c r="D568" i="53"/>
  <c r="C1572" i="53"/>
  <c r="D1572" i="53"/>
  <c r="C1155" i="53"/>
  <c r="D1155" i="53"/>
  <c r="C943" i="53"/>
  <c r="D943" i="53"/>
  <c r="C1571" i="53"/>
  <c r="D1571" i="53"/>
  <c r="C1154" i="53"/>
  <c r="D1154" i="53"/>
  <c r="C942" i="53"/>
  <c r="D942" i="53"/>
  <c r="C1570" i="53"/>
  <c r="D1570" i="53"/>
  <c r="C1153" i="53"/>
  <c r="B1153" i="53" s="1"/>
  <c r="A1153" i="53" s="1"/>
  <c r="D1153" i="53"/>
  <c r="C941" i="53"/>
  <c r="D941" i="53"/>
  <c r="C1569" i="53"/>
  <c r="D1569" i="53"/>
  <c r="C1152" i="53"/>
  <c r="B1152" i="53" s="1"/>
  <c r="A1152" i="53" s="1"/>
  <c r="D1152" i="53"/>
  <c r="C940" i="53"/>
  <c r="D940" i="53"/>
  <c r="C1568" i="53"/>
  <c r="D1568" i="53"/>
  <c r="C1151" i="53"/>
  <c r="D1151" i="53"/>
  <c r="C939" i="53"/>
  <c r="D939" i="53"/>
  <c r="C1567" i="53"/>
  <c r="D1567" i="53"/>
  <c r="C1150" i="53"/>
  <c r="B1150" i="53" s="1"/>
  <c r="A1150" i="53" s="1"/>
  <c r="D1150" i="53"/>
  <c r="C938" i="53"/>
  <c r="D938" i="53"/>
  <c r="C1566" i="53"/>
  <c r="D1566" i="53"/>
  <c r="C1149" i="53"/>
  <c r="D1149" i="53"/>
  <c r="C937" i="53"/>
  <c r="D937" i="53"/>
  <c r="C1716" i="53"/>
  <c r="D1716" i="53"/>
  <c r="C820" i="53"/>
  <c r="D820" i="53"/>
  <c r="C1715" i="53"/>
  <c r="D1715" i="53"/>
  <c r="C819" i="53"/>
  <c r="D819" i="53"/>
  <c r="C1714" i="53"/>
  <c r="D1714" i="53"/>
  <c r="C818" i="53"/>
  <c r="D818" i="53"/>
  <c r="C1713" i="53"/>
  <c r="D1713" i="53"/>
  <c r="C817" i="53"/>
  <c r="D817" i="53"/>
  <c r="C1712" i="53"/>
  <c r="D1712" i="53"/>
  <c r="C816" i="53"/>
  <c r="D816" i="53"/>
  <c r="C1711" i="53"/>
  <c r="D1711" i="53"/>
  <c r="C815" i="53"/>
  <c r="D815" i="53"/>
  <c r="C641" i="53"/>
  <c r="D641" i="53"/>
  <c r="C640" i="53"/>
  <c r="D640" i="53"/>
  <c r="C639" i="53"/>
  <c r="D639" i="53"/>
  <c r="C638" i="53"/>
  <c r="D638" i="53"/>
  <c r="C637" i="53"/>
  <c r="D637" i="53"/>
  <c r="C636" i="53"/>
  <c r="D636" i="53"/>
  <c r="C635" i="53"/>
  <c r="D635" i="53"/>
  <c r="C49" i="53"/>
  <c r="D49" i="53"/>
  <c r="C48" i="53"/>
  <c r="D48" i="53"/>
  <c r="C47" i="53"/>
  <c r="D47" i="53"/>
  <c r="C46" i="53"/>
  <c r="D46" i="53"/>
  <c r="C1148" i="53"/>
  <c r="D1148" i="53"/>
  <c r="C936" i="53"/>
  <c r="D936" i="53"/>
  <c r="C1147" i="53"/>
  <c r="D1147" i="53"/>
  <c r="C935" i="53"/>
  <c r="D935" i="53"/>
  <c r="C1146" i="53"/>
  <c r="D1146" i="53"/>
  <c r="C934" i="53"/>
  <c r="D934" i="53"/>
  <c r="C1145" i="53"/>
  <c r="D1145" i="53"/>
  <c r="C933" i="53"/>
  <c r="D933" i="53"/>
  <c r="C1144" i="53"/>
  <c r="D1144" i="53"/>
  <c r="C932" i="53"/>
  <c r="D932" i="53"/>
  <c r="C1143" i="53"/>
  <c r="D1143" i="53"/>
  <c r="C931" i="53"/>
  <c r="D931" i="53"/>
  <c r="C1142" i="53"/>
  <c r="D1142" i="53"/>
  <c r="C930" i="53"/>
  <c r="D930" i="53"/>
  <c r="C1597" i="53"/>
  <c r="D1597" i="53"/>
  <c r="C808" i="53"/>
  <c r="D808" i="53"/>
  <c r="C626" i="53"/>
  <c r="D626" i="53"/>
  <c r="C1596" i="53"/>
  <c r="D1596" i="53"/>
  <c r="C807" i="53"/>
  <c r="D807" i="53"/>
  <c r="C625" i="53"/>
  <c r="D625" i="53"/>
  <c r="C1595" i="53"/>
  <c r="D1595" i="53"/>
  <c r="C806" i="53"/>
  <c r="D806" i="53"/>
  <c r="C624" i="53"/>
  <c r="D624" i="53"/>
  <c r="C1594" i="53"/>
  <c r="D1594" i="53"/>
  <c r="C805" i="53"/>
  <c r="D805" i="53"/>
  <c r="C623" i="53"/>
  <c r="D623" i="53"/>
  <c r="C592" i="53"/>
  <c r="D592" i="53"/>
  <c r="C156" i="53"/>
  <c r="D156" i="53"/>
  <c r="C110" i="53"/>
  <c r="D110" i="53"/>
  <c r="C591" i="53"/>
  <c r="D591" i="53"/>
  <c r="C155" i="53"/>
  <c r="D155" i="53"/>
  <c r="C109" i="53"/>
  <c r="D109" i="53"/>
  <c r="C590" i="53"/>
  <c r="D590" i="53"/>
  <c r="C154" i="53"/>
  <c r="D154" i="53"/>
  <c r="C108" i="53"/>
  <c r="D108" i="53"/>
  <c r="C589" i="53"/>
  <c r="D589" i="53"/>
  <c r="C153" i="53"/>
  <c r="D153" i="53"/>
  <c r="C107" i="53"/>
  <c r="D107" i="53"/>
  <c r="C588" i="53"/>
  <c r="D588" i="53"/>
  <c r="C152" i="53"/>
  <c r="D152" i="53"/>
  <c r="C106" i="53"/>
  <c r="D106" i="53"/>
  <c r="C587" i="53"/>
  <c r="D587" i="53"/>
  <c r="C151" i="53"/>
  <c r="D151" i="53"/>
  <c r="C105" i="53"/>
  <c r="D105" i="53"/>
  <c r="C586" i="53"/>
  <c r="D586" i="53"/>
  <c r="C150" i="53"/>
  <c r="D150" i="53"/>
  <c r="C104" i="53"/>
  <c r="D104" i="53"/>
  <c r="C45" i="53"/>
  <c r="D45" i="53"/>
  <c r="C44" i="53"/>
  <c r="D44" i="53"/>
  <c r="C43" i="53"/>
  <c r="D43" i="53"/>
  <c r="C42" i="53"/>
  <c r="D42" i="53"/>
  <c r="C41" i="53"/>
  <c r="D41" i="53"/>
  <c r="C40" i="53"/>
  <c r="D40" i="53"/>
  <c r="C39" i="53"/>
  <c r="D39" i="53"/>
  <c r="C38" i="53"/>
  <c r="D38" i="53"/>
  <c r="C37" i="53"/>
  <c r="D37" i="53"/>
  <c r="C36" i="53"/>
  <c r="D36" i="53"/>
  <c r="C35" i="53"/>
  <c r="D35" i="53"/>
  <c r="C34" i="53"/>
  <c r="D34" i="53"/>
  <c r="C33" i="53"/>
  <c r="D33" i="53"/>
  <c r="C804" i="53"/>
  <c r="D804" i="53"/>
  <c r="C1441" i="53"/>
  <c r="D1441" i="53"/>
  <c r="C1141" i="53"/>
  <c r="D1141" i="53"/>
  <c r="C1440" i="53"/>
  <c r="D1440" i="53"/>
  <c r="C1140" i="53"/>
  <c r="D1140" i="53"/>
  <c r="C1439" i="53"/>
  <c r="D1439" i="53"/>
  <c r="C1139" i="53"/>
  <c r="B1139" i="53" s="1"/>
  <c r="A1139" i="53" s="1"/>
  <c r="D1139" i="53"/>
  <c r="C1438" i="53"/>
  <c r="D1438" i="53"/>
  <c r="C1138" i="53"/>
  <c r="D1138" i="53"/>
  <c r="C1437" i="53"/>
  <c r="D1437" i="53"/>
  <c r="C1137" i="53"/>
  <c r="D1137" i="53"/>
  <c r="C1436" i="53"/>
  <c r="D1436" i="53"/>
  <c r="C1136" i="53"/>
  <c r="D1136" i="53"/>
  <c r="C1435" i="53"/>
  <c r="D1435" i="53"/>
  <c r="C1135" i="53"/>
  <c r="D1135" i="53"/>
  <c r="C1509" i="53"/>
  <c r="D1509" i="53"/>
  <c r="C1134" i="53"/>
  <c r="D1134" i="53"/>
  <c r="C450" i="53"/>
  <c r="D450" i="53"/>
  <c r="C1508" i="53"/>
  <c r="D1508" i="53"/>
  <c r="C1133" i="53"/>
  <c r="D1133" i="53"/>
  <c r="C449" i="53"/>
  <c r="D449" i="53"/>
  <c r="C1507" i="53"/>
  <c r="D1507" i="53"/>
  <c r="C1132" i="53"/>
  <c r="D1132" i="53"/>
  <c r="C448" i="53"/>
  <c r="D448" i="53"/>
  <c r="C1506" i="53"/>
  <c r="D1506" i="53"/>
  <c r="C1131" i="53"/>
  <c r="D1131" i="53"/>
  <c r="C447" i="53"/>
  <c r="D447" i="53"/>
  <c r="C1505" i="53"/>
  <c r="D1505" i="53"/>
  <c r="C1130" i="53"/>
  <c r="D1130" i="53"/>
  <c r="C446" i="53"/>
  <c r="D446" i="53"/>
  <c r="C1504" i="53"/>
  <c r="D1504" i="53"/>
  <c r="D1129" i="53"/>
  <c r="C1129" i="53"/>
  <c r="C445" i="53"/>
  <c r="D445" i="53"/>
  <c r="C1503" i="53"/>
  <c r="D1503" i="53"/>
  <c r="C1128" i="53"/>
  <c r="D1128" i="53"/>
  <c r="C444" i="53"/>
  <c r="D444" i="53"/>
  <c r="C1682" i="53"/>
  <c r="D1682" i="53"/>
  <c r="C1285" i="53"/>
  <c r="D1285" i="53"/>
  <c r="C1127" i="53"/>
  <c r="D1127" i="53"/>
  <c r="C771" i="53"/>
  <c r="D771" i="53"/>
  <c r="C757" i="53"/>
  <c r="D757" i="53"/>
  <c r="C678" i="53"/>
  <c r="D678" i="53"/>
  <c r="C634" i="53"/>
  <c r="D634" i="53"/>
  <c r="C553" i="53"/>
  <c r="D553" i="53"/>
  <c r="C398" i="53"/>
  <c r="D398" i="53"/>
  <c r="C333" i="53"/>
  <c r="D333" i="53"/>
  <c r="C234" i="53"/>
  <c r="D234" i="53"/>
  <c r="C770" i="53"/>
  <c r="D770" i="53"/>
  <c r="C769" i="53"/>
  <c r="D769" i="53"/>
  <c r="C768" i="53"/>
  <c r="D768" i="53"/>
  <c r="C767" i="53"/>
  <c r="D767" i="53"/>
  <c r="C756" i="53"/>
  <c r="D756" i="53"/>
  <c r="C677" i="53"/>
  <c r="D677" i="53"/>
  <c r="C552" i="53"/>
  <c r="D552" i="53"/>
  <c r="C397" i="53"/>
  <c r="D397" i="53"/>
  <c r="C332" i="53"/>
  <c r="D332" i="53"/>
  <c r="C764" i="53"/>
  <c r="D764" i="53"/>
  <c r="C763" i="53"/>
  <c r="D763" i="53"/>
  <c r="C762" i="53"/>
  <c r="D762" i="53"/>
  <c r="C761" i="53"/>
  <c r="D761" i="53"/>
  <c r="C760" i="53"/>
  <c r="D760" i="53"/>
  <c r="C759" i="53"/>
  <c r="D759" i="53"/>
  <c r="C758" i="53"/>
  <c r="D758" i="53"/>
  <c r="C198" i="53"/>
  <c r="D198" i="53"/>
  <c r="C197" i="53"/>
  <c r="D197" i="53"/>
  <c r="C196" i="53"/>
  <c r="D196" i="53"/>
  <c r="C195" i="53"/>
  <c r="D195" i="53"/>
  <c r="C194" i="53"/>
  <c r="D194" i="53"/>
  <c r="C193" i="53"/>
  <c r="D193" i="53"/>
  <c r="C192" i="53"/>
  <c r="D192" i="53"/>
  <c r="C742" i="53"/>
  <c r="D742" i="53"/>
  <c r="C741" i="53"/>
  <c r="D741" i="53"/>
  <c r="C740" i="53"/>
  <c r="D740" i="53"/>
  <c r="C739" i="53"/>
  <c r="D739" i="53"/>
  <c r="C738" i="53"/>
  <c r="D738" i="53"/>
  <c r="C737" i="53"/>
  <c r="D737" i="53"/>
  <c r="C1641" i="53"/>
  <c r="D1641" i="53"/>
  <c r="C1640" i="53"/>
  <c r="D1640" i="53"/>
  <c r="C1639" i="53"/>
  <c r="D1639" i="53"/>
  <c r="C1638" i="53"/>
  <c r="D1638" i="53"/>
  <c r="C1637" i="53"/>
  <c r="D1637" i="53"/>
  <c r="C551" i="53"/>
  <c r="D551" i="53"/>
  <c r="C550" i="53"/>
  <c r="D550" i="53"/>
  <c r="C549" i="53"/>
  <c r="D549" i="53"/>
  <c r="C1784" i="53"/>
  <c r="D1784" i="53"/>
  <c r="C715" i="53"/>
  <c r="D715" i="53"/>
  <c r="C1783" i="53"/>
  <c r="D1783" i="53"/>
  <c r="C714" i="53"/>
  <c r="D714" i="53"/>
  <c r="C1782" i="53"/>
  <c r="D1782" i="53"/>
  <c r="C713" i="53"/>
  <c r="D713" i="53"/>
  <c r="C1781" i="53"/>
  <c r="D1781" i="53"/>
  <c r="C712" i="53"/>
  <c r="D712" i="53"/>
  <c r="C1780" i="53"/>
  <c r="D1780" i="53"/>
  <c r="C711" i="53"/>
  <c r="D711" i="53"/>
  <c r="C1779" i="53"/>
  <c r="D1779" i="53"/>
  <c r="C710" i="53"/>
  <c r="D710" i="53"/>
  <c r="C1778" i="53"/>
  <c r="D1778" i="53"/>
  <c r="C709" i="53"/>
  <c r="D709" i="53"/>
  <c r="C1777" i="53"/>
  <c r="D1777" i="53"/>
  <c r="C1776" i="53"/>
  <c r="D1776" i="53"/>
  <c r="C1775" i="53"/>
  <c r="D1775" i="53"/>
  <c r="C708" i="53"/>
  <c r="D708" i="53"/>
  <c r="C1774" i="53"/>
  <c r="D1774" i="53"/>
  <c r="C707" i="53"/>
  <c r="D707" i="53"/>
  <c r="C1773" i="53"/>
  <c r="D1773" i="53"/>
  <c r="C706" i="53"/>
  <c r="D706" i="53"/>
  <c r="C1772" i="53"/>
  <c r="D1772" i="53"/>
  <c r="C705" i="53"/>
  <c r="D705" i="53"/>
  <c r="C1771" i="53"/>
  <c r="D1771" i="53"/>
  <c r="C704" i="53"/>
  <c r="D704" i="53"/>
  <c r="C32" i="53"/>
  <c r="D32" i="53"/>
  <c r="C31" i="53"/>
  <c r="D31" i="53"/>
  <c r="C30" i="53"/>
  <c r="D30" i="53"/>
  <c r="C29" i="53"/>
  <c r="D29" i="53"/>
  <c r="C28" i="53"/>
  <c r="D28" i="53"/>
  <c r="C27" i="53"/>
  <c r="D27" i="53"/>
  <c r="C26" i="53"/>
  <c r="D26" i="53"/>
  <c r="C1800" i="53"/>
  <c r="D1800" i="53"/>
  <c r="C1481" i="53"/>
  <c r="D1481" i="53"/>
  <c r="C1126" i="53"/>
  <c r="D1126" i="53"/>
  <c r="C703" i="53"/>
  <c r="D703" i="53"/>
  <c r="C409" i="53"/>
  <c r="D409" i="53"/>
  <c r="C211" i="53"/>
  <c r="D211" i="53"/>
  <c r="C1799" i="53"/>
  <c r="D1799" i="53"/>
  <c r="C1480" i="53"/>
  <c r="D1480" i="53"/>
  <c r="C1125" i="53"/>
  <c r="D1125" i="53"/>
  <c r="C702" i="53"/>
  <c r="D702" i="53"/>
  <c r="C408" i="53"/>
  <c r="D408" i="53"/>
  <c r="C210" i="53"/>
  <c r="D210" i="53"/>
  <c r="C1798" i="53"/>
  <c r="D1798" i="53"/>
  <c r="C1479" i="53"/>
  <c r="D1479" i="53"/>
  <c r="C1124" i="53"/>
  <c r="D1124" i="53"/>
  <c r="C701" i="53"/>
  <c r="D701" i="53"/>
  <c r="C407" i="53"/>
  <c r="D407" i="53"/>
  <c r="C209" i="53"/>
  <c r="D209" i="53"/>
  <c r="C1797" i="53"/>
  <c r="D1797" i="53"/>
  <c r="C1478" i="53"/>
  <c r="D1478" i="53"/>
  <c r="C1123" i="53"/>
  <c r="D1123" i="53"/>
  <c r="C700" i="53"/>
  <c r="D700" i="53"/>
  <c r="C406" i="53"/>
  <c r="D406" i="53"/>
  <c r="C208" i="53"/>
  <c r="D208" i="53"/>
  <c r="C1502" i="53"/>
  <c r="D1502" i="53"/>
  <c r="C1434" i="53"/>
  <c r="D1434" i="53"/>
  <c r="C1122" i="53"/>
  <c r="D1122" i="53"/>
  <c r="C676" i="53"/>
  <c r="D676" i="53"/>
  <c r="C548" i="53"/>
  <c r="D548" i="53"/>
  <c r="C25" i="53"/>
  <c r="D25" i="53"/>
  <c r="C1501" i="53"/>
  <c r="D1501" i="53"/>
  <c r="C1433" i="53"/>
  <c r="D1433" i="53"/>
  <c r="C1121" i="53"/>
  <c r="D1121" i="53"/>
  <c r="C675" i="53"/>
  <c r="D675" i="53"/>
  <c r="C547" i="53"/>
  <c r="D547" i="53"/>
  <c r="C1500" i="53"/>
  <c r="D1500" i="53"/>
  <c r="C1432" i="53"/>
  <c r="D1432" i="53"/>
  <c r="C1120" i="53"/>
  <c r="D1120" i="53"/>
  <c r="C674" i="53"/>
  <c r="D674" i="53"/>
  <c r="C546" i="53"/>
  <c r="D546" i="53"/>
  <c r="C1499" i="53"/>
  <c r="D1499" i="53"/>
  <c r="C1431" i="53"/>
  <c r="D1431" i="53"/>
  <c r="C1119" i="53"/>
  <c r="D1119" i="53"/>
  <c r="C673" i="53"/>
  <c r="D673" i="53"/>
  <c r="C545" i="53"/>
  <c r="D545" i="53"/>
  <c r="C1498" i="53"/>
  <c r="D1498" i="53"/>
  <c r="C1430" i="53"/>
  <c r="D1430" i="53"/>
  <c r="C1118" i="53"/>
  <c r="D1118" i="53"/>
  <c r="C672" i="53"/>
  <c r="D672" i="53"/>
  <c r="C544" i="53"/>
  <c r="D544" i="53"/>
  <c r="C1497" i="53"/>
  <c r="D1497" i="53"/>
  <c r="C1429" i="53"/>
  <c r="D1429" i="53"/>
  <c r="C1117" i="53"/>
  <c r="D1117" i="53"/>
  <c r="C671" i="53"/>
  <c r="D671" i="53"/>
  <c r="C543" i="53"/>
  <c r="D543" i="53"/>
  <c r="C24" i="53"/>
  <c r="D24" i="53"/>
  <c r="C1496" i="53"/>
  <c r="D1496" i="53"/>
  <c r="C1428" i="53"/>
  <c r="D1428" i="53"/>
  <c r="C1116" i="53"/>
  <c r="D1116" i="53"/>
  <c r="C670" i="53"/>
  <c r="D670" i="53"/>
  <c r="C542" i="53"/>
  <c r="D542" i="53"/>
  <c r="C1530" i="53"/>
  <c r="D1530" i="53"/>
  <c r="C1115" i="53"/>
  <c r="D1115" i="53"/>
  <c r="C736" i="53"/>
  <c r="D736" i="53"/>
  <c r="C1529" i="53"/>
  <c r="D1529" i="53"/>
  <c r="C1114" i="53"/>
  <c r="D1114" i="53"/>
  <c r="C735" i="53"/>
  <c r="D735" i="53"/>
  <c r="C1528" i="53"/>
  <c r="D1528" i="53"/>
  <c r="C1113" i="53"/>
  <c r="D1113" i="53"/>
  <c r="C734" i="53"/>
  <c r="D734" i="53"/>
  <c r="C1527" i="53"/>
  <c r="D1527" i="53"/>
  <c r="C1112" i="53"/>
  <c r="D1112" i="53"/>
  <c r="C733" i="53"/>
  <c r="D733" i="53"/>
  <c r="C1526" i="53"/>
  <c r="D1526" i="53"/>
  <c r="C1111" i="53"/>
  <c r="D1111" i="53"/>
  <c r="C732" i="53"/>
  <c r="D732" i="53"/>
  <c r="C1525" i="53"/>
  <c r="D1525" i="53"/>
  <c r="C1110" i="53"/>
  <c r="D1110" i="53"/>
  <c r="C731" i="53"/>
  <c r="D731" i="53"/>
  <c r="C1524" i="53"/>
  <c r="D1524" i="53"/>
  <c r="C1109" i="53"/>
  <c r="D1109" i="53"/>
  <c r="C730" i="53"/>
  <c r="D730" i="53"/>
  <c r="C797" i="53"/>
  <c r="D797" i="53"/>
  <c r="C248" i="53"/>
  <c r="D248" i="53"/>
  <c r="C796" i="53"/>
  <c r="D796" i="53"/>
  <c r="C247" i="53"/>
  <c r="D247" i="53"/>
  <c r="C795" i="53"/>
  <c r="D795" i="53"/>
  <c r="C246" i="53"/>
  <c r="D246" i="53"/>
  <c r="C794" i="53"/>
  <c r="D794" i="53"/>
  <c r="C245" i="53"/>
  <c r="D245" i="53"/>
  <c r="C793" i="53"/>
  <c r="D793" i="53"/>
  <c r="C244" i="53"/>
  <c r="D244" i="53"/>
  <c r="C792" i="53"/>
  <c r="D792" i="53"/>
  <c r="C243" i="53"/>
  <c r="D243" i="53"/>
  <c r="C791" i="53"/>
  <c r="D791" i="53"/>
  <c r="C242" i="53"/>
  <c r="D242" i="53"/>
  <c r="C1477" i="53"/>
  <c r="D1477" i="53"/>
  <c r="C692" i="53"/>
  <c r="D692" i="53"/>
  <c r="C1476" i="53"/>
  <c r="D1476" i="53"/>
  <c r="C691" i="53"/>
  <c r="D691" i="53"/>
  <c r="C1475" i="53"/>
  <c r="D1475" i="53"/>
  <c r="C690" i="53"/>
  <c r="D690" i="53"/>
  <c r="C1474" i="53"/>
  <c r="D1474" i="53"/>
  <c r="C689" i="53"/>
  <c r="D689" i="53"/>
  <c r="C1473" i="53"/>
  <c r="D1473" i="53"/>
  <c r="C688" i="53"/>
  <c r="D688" i="53"/>
  <c r="C1472" i="53"/>
  <c r="D1472" i="53"/>
  <c r="C687" i="53"/>
  <c r="D687" i="53"/>
  <c r="C1471" i="53"/>
  <c r="D1471" i="53"/>
  <c r="C686" i="53"/>
  <c r="D686" i="53"/>
  <c r="C1108" i="53"/>
  <c r="D1108" i="53"/>
  <c r="C617" i="53"/>
  <c r="D617" i="53"/>
  <c r="C1107" i="53"/>
  <c r="D1107" i="53"/>
  <c r="C616" i="53"/>
  <c r="D616" i="53"/>
  <c r="C1106" i="53"/>
  <c r="D1106" i="53"/>
  <c r="C615" i="53"/>
  <c r="D615" i="53"/>
  <c r="C1105" i="53"/>
  <c r="D1105" i="53"/>
  <c r="C614" i="53"/>
  <c r="D614" i="53"/>
  <c r="C1104" i="53"/>
  <c r="D1104" i="53"/>
  <c r="C613" i="53"/>
  <c r="D613" i="53"/>
  <c r="C1103" i="53"/>
  <c r="D1103" i="53"/>
  <c r="C612" i="53"/>
  <c r="D612" i="53"/>
  <c r="C1102" i="53"/>
  <c r="D1102" i="53"/>
  <c r="C611" i="53"/>
  <c r="D611" i="53"/>
  <c r="C755" i="53"/>
  <c r="D755" i="53"/>
  <c r="C396" i="53"/>
  <c r="D396" i="53"/>
  <c r="C331" i="53"/>
  <c r="D331" i="53"/>
  <c r="C754" i="53"/>
  <c r="D754" i="53"/>
  <c r="C395" i="53"/>
  <c r="D395" i="53"/>
  <c r="C330" i="53"/>
  <c r="D330" i="53"/>
  <c r="C753" i="53"/>
  <c r="D753" i="53"/>
  <c r="C394" i="53"/>
  <c r="D394" i="53"/>
  <c r="C329" i="53"/>
  <c r="D329" i="53"/>
  <c r="C752" i="53"/>
  <c r="D752" i="53"/>
  <c r="C393" i="53"/>
  <c r="D393" i="53"/>
  <c r="C328" i="53"/>
  <c r="D328" i="53"/>
  <c r="C751" i="53"/>
  <c r="D751" i="53"/>
  <c r="C392" i="53"/>
  <c r="D392" i="53"/>
  <c r="C327" i="53"/>
  <c r="D327" i="53"/>
  <c r="C750" i="53"/>
  <c r="D750" i="53"/>
  <c r="C391" i="53"/>
  <c r="D391" i="53"/>
  <c r="C326" i="53"/>
  <c r="D326" i="53"/>
  <c r="C1911" i="53"/>
  <c r="D1911" i="53"/>
  <c r="C1681" i="53"/>
  <c r="D1681" i="53"/>
  <c r="C1362" i="53"/>
  <c r="D1362" i="53"/>
  <c r="C1101" i="53"/>
  <c r="D1101" i="53"/>
  <c r="C1910" i="53"/>
  <c r="D1910" i="53"/>
  <c r="C1680" i="53"/>
  <c r="D1680" i="53"/>
  <c r="C1361" i="53"/>
  <c r="D1361" i="53"/>
  <c r="C1100" i="53"/>
  <c r="D1100" i="53"/>
  <c r="C1909" i="53"/>
  <c r="D1909" i="53"/>
  <c r="C1679" i="53"/>
  <c r="D1679" i="53"/>
  <c r="C1360" i="53"/>
  <c r="D1360" i="53"/>
  <c r="C1099" i="53"/>
  <c r="D1099" i="53"/>
  <c r="C1908" i="53"/>
  <c r="D1908" i="53"/>
  <c r="C1678" i="53"/>
  <c r="D1678" i="53"/>
  <c r="C1359" i="53"/>
  <c r="D1359" i="53"/>
  <c r="C1098" i="53"/>
  <c r="D1098" i="53"/>
  <c r="C1907" i="53"/>
  <c r="D1907" i="53"/>
  <c r="C1677" i="53"/>
  <c r="D1677" i="53"/>
  <c r="C1358" i="53"/>
  <c r="D1358" i="53"/>
  <c r="C1097" i="53"/>
  <c r="D1097" i="53"/>
  <c r="D1906" i="53"/>
  <c r="C1906" i="53"/>
  <c r="C1676" i="53"/>
  <c r="D1676" i="53"/>
  <c r="C1357" i="53"/>
  <c r="D1357" i="53"/>
  <c r="C1096" i="53"/>
  <c r="D1096" i="53"/>
  <c r="C1905" i="53"/>
  <c r="D1905" i="53"/>
  <c r="C1675" i="53"/>
  <c r="D1675" i="53"/>
  <c r="C1356" i="53"/>
  <c r="D1356" i="53"/>
  <c r="C1095" i="53"/>
  <c r="D1095" i="53"/>
  <c r="C622" i="53"/>
  <c r="D622" i="53"/>
  <c r="C621" i="53"/>
  <c r="D621" i="53"/>
  <c r="D620" i="53"/>
  <c r="C620" i="53"/>
  <c r="C619" i="53"/>
  <c r="D619" i="53"/>
  <c r="C618" i="53"/>
  <c r="D618" i="53"/>
  <c r="C1872" i="53"/>
  <c r="D1872" i="53"/>
  <c r="C1593" i="53"/>
  <c r="D1593" i="53"/>
  <c r="C1094" i="53"/>
  <c r="D1094" i="53"/>
  <c r="C390" i="53"/>
  <c r="D390" i="53"/>
  <c r="C1871" i="53"/>
  <c r="D1871" i="53"/>
  <c r="C1592" i="53"/>
  <c r="D1592" i="53"/>
  <c r="C1093" i="53"/>
  <c r="D1093" i="53"/>
  <c r="C389" i="53"/>
  <c r="D389" i="53"/>
  <c r="C1870" i="53"/>
  <c r="D1870" i="53"/>
  <c r="C1591" i="53"/>
  <c r="D1591" i="53"/>
  <c r="C1092" i="53"/>
  <c r="D1092" i="53"/>
  <c r="C388" i="53"/>
  <c r="D388" i="53"/>
  <c r="C1869" i="53"/>
  <c r="D1869" i="53"/>
  <c r="C1590" i="53"/>
  <c r="D1590" i="53"/>
  <c r="C1091" i="53"/>
  <c r="D1091" i="53"/>
  <c r="C387" i="53"/>
  <c r="D387" i="53"/>
  <c r="C1868" i="53"/>
  <c r="D1868" i="53"/>
  <c r="C1589" i="53"/>
  <c r="D1589" i="53"/>
  <c r="C1090" i="53"/>
  <c r="D1090" i="53"/>
  <c r="C386" i="53"/>
  <c r="D386" i="53"/>
  <c r="C1867" i="53"/>
  <c r="D1867" i="53"/>
  <c r="C1588" i="53"/>
  <c r="D1588" i="53"/>
  <c r="C1089" i="53"/>
  <c r="D1089" i="53"/>
  <c r="C385" i="53"/>
  <c r="D385" i="53"/>
  <c r="C1866" i="53"/>
  <c r="D1866" i="53"/>
  <c r="C1587" i="53"/>
  <c r="D1587" i="53"/>
  <c r="C1088" i="53"/>
  <c r="D1088" i="53"/>
  <c r="C384" i="53"/>
  <c r="D384" i="53"/>
  <c r="C1939" i="53"/>
  <c r="D1939" i="53"/>
  <c r="C1938" i="53"/>
  <c r="D1938" i="53"/>
  <c r="D1937" i="53"/>
  <c r="C1937" i="53"/>
  <c r="C1936" i="53"/>
  <c r="D1936" i="53"/>
  <c r="C1935" i="53"/>
  <c r="D1935" i="53"/>
  <c r="C1934" i="53"/>
  <c r="D1934" i="53"/>
  <c r="C1933" i="53"/>
  <c r="D1933" i="53"/>
  <c r="C103" i="53"/>
  <c r="D103" i="53"/>
  <c r="C102" i="53"/>
  <c r="D102" i="53"/>
  <c r="C101" i="53"/>
  <c r="D101" i="53"/>
  <c r="C100" i="53"/>
  <c r="D100" i="53"/>
  <c r="C99" i="53"/>
  <c r="D99" i="53"/>
  <c r="C98" i="53"/>
  <c r="D98" i="53"/>
  <c r="C97" i="53"/>
  <c r="D97" i="53"/>
  <c r="C1087" i="53"/>
  <c r="D1087" i="53"/>
  <c r="C871" i="53"/>
  <c r="D871" i="53"/>
  <c r="C1086" i="53"/>
  <c r="D1086" i="53"/>
  <c r="C870" i="53"/>
  <c r="D870" i="53"/>
  <c r="C1085" i="53"/>
  <c r="D1085" i="53"/>
  <c r="C869" i="53"/>
  <c r="D869" i="53"/>
  <c r="C1084" i="53"/>
  <c r="D1084" i="53"/>
  <c r="C868" i="53"/>
  <c r="D868" i="53"/>
  <c r="C1083" i="53"/>
  <c r="D1083" i="53"/>
  <c r="C867" i="53"/>
  <c r="D867" i="53"/>
  <c r="C1082" i="53"/>
  <c r="D1082" i="53"/>
  <c r="C866" i="53"/>
  <c r="D866" i="53"/>
  <c r="C1081" i="53"/>
  <c r="D1081" i="53"/>
  <c r="C865" i="53"/>
  <c r="D865" i="53"/>
  <c r="C1904" i="53"/>
  <c r="D1904" i="53"/>
  <c r="C1674" i="53"/>
  <c r="D1674" i="53"/>
  <c r="C1355" i="53"/>
  <c r="D1355" i="53"/>
  <c r="C864" i="53"/>
  <c r="D864" i="53"/>
  <c r="C1903" i="53"/>
  <c r="D1903" i="53"/>
  <c r="C1673" i="53"/>
  <c r="D1673" i="53"/>
  <c r="C1354" i="53"/>
  <c r="D1354" i="53"/>
  <c r="C863" i="53"/>
  <c r="D863" i="53"/>
  <c r="C1902" i="53"/>
  <c r="D1902" i="53"/>
  <c r="C1672" i="53"/>
  <c r="D1672" i="53"/>
  <c r="C1353" i="53"/>
  <c r="D1353" i="53"/>
  <c r="C862" i="53"/>
  <c r="D862" i="53"/>
  <c r="C1901" i="53"/>
  <c r="D1901" i="53"/>
  <c r="C1671" i="53"/>
  <c r="D1671" i="53"/>
  <c r="C1352" i="53"/>
  <c r="D1352" i="53"/>
  <c r="C861" i="53"/>
  <c r="D861" i="53"/>
  <c r="C1900" i="53"/>
  <c r="D1900" i="53"/>
  <c r="C1670" i="53"/>
  <c r="D1670" i="53"/>
  <c r="C1351" i="53"/>
  <c r="D1351" i="53"/>
  <c r="C860" i="53"/>
  <c r="D860" i="53"/>
  <c r="C1899" i="53"/>
  <c r="D1899" i="53"/>
  <c r="C1669" i="53"/>
  <c r="D1669" i="53"/>
  <c r="C1350" i="53"/>
  <c r="D1350" i="53"/>
  <c r="C859" i="53"/>
  <c r="D859" i="53"/>
  <c r="C1898" i="53"/>
  <c r="D1898" i="53"/>
  <c r="C1668" i="53"/>
  <c r="D1668" i="53"/>
  <c r="C1349" i="53"/>
  <c r="D1349" i="53"/>
  <c r="C858" i="53"/>
  <c r="D858" i="53"/>
  <c r="C1689" i="53"/>
  <c r="D1689" i="53"/>
  <c r="C1365" i="53"/>
  <c r="D1365" i="53"/>
  <c r="C1271" i="53"/>
  <c r="D1271" i="53"/>
  <c r="C567" i="53"/>
  <c r="D567" i="53"/>
  <c r="C469" i="53"/>
  <c r="D469" i="53"/>
  <c r="C1688" i="53"/>
  <c r="D1688" i="53"/>
  <c r="C1364" i="53"/>
  <c r="D1364" i="53"/>
  <c r="C1270" i="53"/>
  <c r="D1270" i="53"/>
  <c r="C566" i="53"/>
  <c r="D566" i="53"/>
  <c r="C468" i="53"/>
  <c r="D468" i="53"/>
  <c r="C1687" i="53"/>
  <c r="D1687" i="53"/>
  <c r="C1269" i="53"/>
  <c r="D1269" i="53"/>
  <c r="C565" i="53"/>
  <c r="D565" i="53"/>
  <c r="C1686" i="53"/>
  <c r="D1686" i="53"/>
  <c r="C1268" i="53"/>
  <c r="D1268" i="53"/>
  <c r="C564" i="53"/>
  <c r="D564" i="53"/>
  <c r="C1685" i="53"/>
  <c r="D1685" i="53"/>
  <c r="C1267" i="53"/>
  <c r="D1267" i="53"/>
  <c r="C563" i="53"/>
  <c r="D563" i="53"/>
  <c r="C467" i="53"/>
  <c r="D467" i="53"/>
  <c r="C1684" i="53"/>
  <c r="D1684" i="53"/>
  <c r="C1266" i="53"/>
  <c r="D1266" i="53"/>
  <c r="C562" i="53"/>
  <c r="D562" i="53"/>
  <c r="C466" i="53"/>
  <c r="D466" i="53"/>
  <c r="C1683" i="53"/>
  <c r="D1683" i="53"/>
  <c r="C1363" i="53"/>
  <c r="D1363" i="53"/>
  <c r="C1265" i="53"/>
  <c r="D1265" i="53"/>
  <c r="C561" i="53"/>
  <c r="D561" i="53"/>
  <c r="C465" i="53"/>
  <c r="D465" i="53"/>
  <c r="C1858" i="53"/>
  <c r="D1858" i="53"/>
  <c r="C1523" i="53"/>
  <c r="D1523" i="53"/>
  <c r="C1080" i="53"/>
  <c r="D1080" i="53"/>
  <c r="C23" i="53"/>
  <c r="D23" i="53"/>
  <c r="C1857" i="53"/>
  <c r="D1857" i="53"/>
  <c r="C1522" i="53"/>
  <c r="D1522" i="53"/>
  <c r="C1079" i="53"/>
  <c r="D1079" i="53"/>
  <c r="C22" i="53"/>
  <c r="D22" i="53"/>
  <c r="C1856" i="53"/>
  <c r="D1856" i="53"/>
  <c r="C1521" i="53"/>
  <c r="D1521" i="53"/>
  <c r="C1078" i="53"/>
  <c r="D1078" i="53"/>
  <c r="C21" i="53"/>
  <c r="B21" i="53" s="1"/>
  <c r="A21" i="53" s="1"/>
  <c r="D21" i="53"/>
  <c r="C1855" i="53"/>
  <c r="D1855" i="53"/>
  <c r="C1520" i="53"/>
  <c r="D1520" i="53"/>
  <c r="C1077" i="53"/>
  <c r="D1077" i="53"/>
  <c r="C20" i="53"/>
  <c r="B20" i="53" s="1"/>
  <c r="A20" i="53" s="1"/>
  <c r="D20" i="53"/>
  <c r="C1854" i="53"/>
  <c r="D1854" i="53"/>
  <c r="C1519" i="53"/>
  <c r="D1519" i="53"/>
  <c r="C1076" i="53"/>
  <c r="D1076" i="53"/>
  <c r="C19" i="53"/>
  <c r="D19" i="53"/>
  <c r="C1853" i="53"/>
  <c r="D1853" i="53"/>
  <c r="C1518" i="53"/>
  <c r="D1518" i="53"/>
  <c r="C1075" i="53"/>
  <c r="D1075" i="53"/>
  <c r="C18" i="53"/>
  <c r="D18" i="53"/>
  <c r="C1852" i="53"/>
  <c r="D1852" i="53"/>
  <c r="C1517" i="53"/>
  <c r="D1517" i="53"/>
  <c r="C1074" i="53"/>
  <c r="D1074" i="53"/>
  <c r="C17" i="53"/>
  <c r="D17" i="53"/>
  <c r="C1073" i="53"/>
  <c r="D1073" i="53"/>
  <c r="C585" i="53"/>
  <c r="D585" i="53"/>
  <c r="C149" i="53"/>
  <c r="D149" i="53"/>
  <c r="C1072" i="53"/>
  <c r="D1072" i="53"/>
  <c r="C584" i="53"/>
  <c r="D584" i="53"/>
  <c r="C148" i="53"/>
  <c r="D148" i="53"/>
  <c r="C1071" i="53"/>
  <c r="D1071" i="53"/>
  <c r="C583" i="53"/>
  <c r="D583" i="53"/>
  <c r="C147" i="53"/>
  <c r="D147" i="53"/>
  <c r="C1070" i="53"/>
  <c r="D1070" i="53"/>
  <c r="C146" i="53"/>
  <c r="D146" i="53"/>
  <c r="C1069" i="53"/>
  <c r="D1069" i="53"/>
  <c r="C582" i="53"/>
  <c r="D582" i="53"/>
  <c r="C145" i="53"/>
  <c r="D145" i="53"/>
  <c r="C1068" i="53"/>
  <c r="D1068" i="53"/>
  <c r="C581" i="53"/>
  <c r="D581" i="53"/>
  <c r="C144" i="53"/>
  <c r="D144" i="53"/>
  <c r="C1067" i="53"/>
  <c r="D1067" i="53"/>
  <c r="C580" i="53"/>
  <c r="D580" i="53"/>
  <c r="C1066" i="53"/>
  <c r="D1066" i="53"/>
  <c r="C729" i="53"/>
  <c r="D729" i="53"/>
  <c r="C669" i="53"/>
  <c r="D669" i="53"/>
  <c r="C541" i="53"/>
  <c r="D541" i="53"/>
  <c r="C1065" i="53"/>
  <c r="D1065" i="53"/>
  <c r="C728" i="53"/>
  <c r="D728" i="53"/>
  <c r="C668" i="53"/>
  <c r="D668" i="53"/>
  <c r="C540" i="53"/>
  <c r="D540" i="53"/>
  <c r="C1064" i="53"/>
  <c r="D1064" i="53"/>
  <c r="C727" i="53"/>
  <c r="D727" i="53"/>
  <c r="C667" i="53"/>
  <c r="D667" i="53"/>
  <c r="C539" i="53"/>
  <c r="D539" i="53"/>
  <c r="C1063" i="53"/>
  <c r="D1063" i="53"/>
  <c r="C726" i="53"/>
  <c r="D726" i="53"/>
  <c r="C666" i="53"/>
  <c r="D666" i="53"/>
  <c r="C538" i="53"/>
  <c r="D538" i="53"/>
  <c r="C1062" i="53"/>
  <c r="D1062" i="53"/>
  <c r="C725" i="53"/>
  <c r="D725" i="53"/>
  <c r="C665" i="53"/>
  <c r="D665" i="53"/>
  <c r="C537" i="53"/>
  <c r="D537" i="53"/>
  <c r="C1061" i="53"/>
  <c r="D1061" i="53"/>
  <c r="C724" i="53"/>
  <c r="B724" i="53" s="1"/>
  <c r="A724" i="53" s="1"/>
  <c r="D724" i="53"/>
  <c r="C664" i="53"/>
  <c r="D664" i="53"/>
  <c r="C536" i="53"/>
  <c r="D536" i="53"/>
  <c r="C16" i="53"/>
  <c r="D16" i="53"/>
  <c r="C1060" i="53"/>
  <c r="D1060" i="53"/>
  <c r="C723" i="53"/>
  <c r="D723" i="53"/>
  <c r="C663" i="53"/>
  <c r="D663" i="53"/>
  <c r="C535" i="53"/>
  <c r="D535" i="53"/>
  <c r="C509" i="53"/>
  <c r="D509" i="53"/>
  <c r="C502" i="53"/>
  <c r="D502" i="53"/>
  <c r="C508" i="53"/>
  <c r="D508" i="53"/>
  <c r="C501" i="53"/>
  <c r="D501" i="53"/>
  <c r="C507" i="53"/>
  <c r="D507" i="53"/>
  <c r="C500" i="53"/>
  <c r="D500" i="53"/>
  <c r="C506" i="53"/>
  <c r="D506" i="53"/>
  <c r="C499" i="53"/>
  <c r="D499" i="53"/>
  <c r="C505" i="53"/>
  <c r="D505" i="53"/>
  <c r="C498" i="53"/>
  <c r="D498" i="53"/>
  <c r="C504" i="53"/>
  <c r="D504" i="53"/>
  <c r="C497" i="53"/>
  <c r="D497" i="53"/>
  <c r="C503" i="53"/>
  <c r="D503" i="53"/>
  <c r="C496" i="53"/>
  <c r="D496" i="53"/>
  <c r="C482" i="53"/>
  <c r="D482" i="53"/>
  <c r="C481" i="53"/>
  <c r="D481" i="53"/>
  <c r="C480" i="53"/>
  <c r="D480" i="53"/>
  <c r="C479" i="53"/>
  <c r="D479" i="53"/>
  <c r="C478" i="53"/>
  <c r="D478" i="53"/>
  <c r="C477" i="53"/>
  <c r="D477" i="53"/>
  <c r="C476" i="53"/>
  <c r="D476" i="53"/>
  <c r="C1586" i="53"/>
  <c r="D1586" i="53"/>
  <c r="C778" i="53"/>
  <c r="D778" i="53"/>
  <c r="C416" i="53"/>
  <c r="D416" i="53"/>
  <c r="C1585" i="53"/>
  <c r="D1585" i="53"/>
  <c r="C777" i="53"/>
  <c r="D777" i="53"/>
  <c r="C415" i="53"/>
  <c r="D415" i="53"/>
  <c r="C1584" i="53"/>
  <c r="D1584" i="53"/>
  <c r="C776" i="53"/>
  <c r="D776" i="53"/>
  <c r="C414" i="53"/>
  <c r="D414" i="53"/>
  <c r="C1583" i="53"/>
  <c r="D1583" i="53"/>
  <c r="D775" i="53"/>
  <c r="C775" i="53"/>
  <c r="C413" i="53"/>
  <c r="D413" i="53"/>
  <c r="C1582" i="53"/>
  <c r="D1582" i="53"/>
  <c r="C774" i="53"/>
  <c r="D774" i="53"/>
  <c r="C412" i="53"/>
  <c r="D412" i="53"/>
  <c r="C1581" i="53"/>
  <c r="D1581" i="53"/>
  <c r="C773" i="53"/>
  <c r="D773" i="53"/>
  <c r="C411" i="53"/>
  <c r="D411" i="53"/>
  <c r="C1580" i="53"/>
  <c r="D1580" i="53"/>
  <c r="C772" i="53"/>
  <c r="D772" i="53"/>
  <c r="C410" i="53"/>
  <c r="D410" i="53"/>
  <c r="C1897" i="53"/>
  <c r="D1897" i="53"/>
  <c r="C1667" i="53"/>
  <c r="D1667" i="53"/>
  <c r="C1348" i="53"/>
  <c r="D1348" i="53"/>
  <c r="C1059" i="53"/>
  <c r="D1059" i="53"/>
  <c r="C857" i="53"/>
  <c r="D857" i="53"/>
  <c r="C1896" i="53"/>
  <c r="D1896" i="53"/>
  <c r="C1347" i="53"/>
  <c r="D1347" i="53"/>
  <c r="C1058" i="53"/>
  <c r="D1058" i="53"/>
  <c r="C856" i="53"/>
  <c r="D856" i="53"/>
  <c r="C1895" i="53"/>
  <c r="D1895" i="53"/>
  <c r="C1666" i="53"/>
  <c r="D1666" i="53"/>
  <c r="C1346" i="53"/>
  <c r="D1346" i="53"/>
  <c r="C1057" i="53"/>
  <c r="D1057" i="53"/>
  <c r="C855" i="53"/>
  <c r="D855" i="53"/>
  <c r="C1894" i="53"/>
  <c r="D1894" i="53"/>
  <c r="C1665" i="53"/>
  <c r="D1665" i="53"/>
  <c r="C1345" i="53"/>
  <c r="D1345" i="53"/>
  <c r="C1056" i="53"/>
  <c r="D1056" i="53"/>
  <c r="C854" i="53"/>
  <c r="D854" i="53"/>
  <c r="C1893" i="53"/>
  <c r="D1893" i="53"/>
  <c r="C1664" i="53"/>
  <c r="D1664" i="53"/>
  <c r="C1344" i="53"/>
  <c r="D1344" i="53"/>
  <c r="C1055" i="53"/>
  <c r="D1055" i="53"/>
  <c r="C853" i="53"/>
  <c r="D853" i="53"/>
  <c r="C1892" i="53"/>
  <c r="D1892" i="53"/>
  <c r="C1663" i="53"/>
  <c r="D1663" i="53"/>
  <c r="C1343" i="53"/>
  <c r="D1343" i="53"/>
  <c r="C1054" i="53"/>
  <c r="D1054" i="53"/>
  <c r="C852" i="53"/>
  <c r="D852" i="53"/>
  <c r="C1891" i="53"/>
  <c r="D1891" i="53"/>
  <c r="C1662" i="53"/>
  <c r="D1662" i="53"/>
  <c r="C1342" i="53"/>
  <c r="D1342" i="53"/>
  <c r="C1053" i="53"/>
  <c r="D1053" i="53"/>
  <c r="C851" i="53"/>
  <c r="D851" i="53"/>
  <c r="C1836" i="53"/>
  <c r="D1836" i="53"/>
  <c r="C1551" i="53"/>
  <c r="D1551" i="53"/>
  <c r="C1284" i="53"/>
  <c r="D1284" i="53"/>
  <c r="C429" i="53"/>
  <c r="D429" i="53"/>
  <c r="C1835" i="53"/>
  <c r="D1835" i="53"/>
  <c r="C1550" i="53"/>
  <c r="D1550" i="53"/>
  <c r="C1283" i="53"/>
  <c r="D1283" i="53"/>
  <c r="C428" i="53"/>
  <c r="D428" i="53"/>
  <c r="C1834" i="53"/>
  <c r="D1834" i="53"/>
  <c r="C1549" i="53"/>
  <c r="D1549" i="53"/>
  <c r="C1282" i="53"/>
  <c r="D1282" i="53"/>
  <c r="C427" i="53"/>
  <c r="D427" i="53"/>
  <c r="C1833" i="53"/>
  <c r="D1833" i="53"/>
  <c r="C1548" i="53"/>
  <c r="D1548" i="53"/>
  <c r="C1281" i="53"/>
  <c r="D1281" i="53"/>
  <c r="C426" i="53"/>
  <c r="D426" i="53"/>
  <c r="C1832" i="53"/>
  <c r="D1832" i="53"/>
  <c r="C1547" i="53"/>
  <c r="D1547" i="53"/>
  <c r="C1280" i="53"/>
  <c r="D1280" i="53"/>
  <c r="C425" i="53"/>
  <c r="D425" i="53"/>
  <c r="C1831" i="53"/>
  <c r="D1831" i="53"/>
  <c r="C1546" i="53"/>
  <c r="D1546" i="53"/>
  <c r="C1279" i="53"/>
  <c r="D1279" i="53"/>
  <c r="C424" i="53"/>
  <c r="D424" i="53"/>
  <c r="C1830" i="53"/>
  <c r="D1830" i="53"/>
  <c r="C1545" i="53"/>
  <c r="D1545" i="53"/>
  <c r="C1278" i="53"/>
  <c r="D1278" i="53"/>
  <c r="C423" i="53"/>
  <c r="D423" i="53"/>
  <c r="C1957" i="53"/>
  <c r="D1957" i="53"/>
  <c r="C1052" i="53"/>
  <c r="D1052" i="53"/>
  <c r="C610" i="53"/>
  <c r="D610" i="53"/>
  <c r="C1956" i="53"/>
  <c r="D1956" i="53"/>
  <c r="C1051" i="53"/>
  <c r="D1051" i="53"/>
  <c r="C929" i="53"/>
  <c r="D929" i="53"/>
  <c r="C609" i="53"/>
  <c r="D609" i="53"/>
  <c r="C1955" i="53"/>
  <c r="D1955" i="53"/>
  <c r="C1050" i="53"/>
  <c r="D1050" i="53"/>
  <c r="C928" i="53"/>
  <c r="D928" i="53"/>
  <c r="C608" i="53"/>
  <c r="D608" i="53"/>
  <c r="C1954" i="53"/>
  <c r="D1954" i="53"/>
  <c r="C1049" i="53"/>
  <c r="D1049" i="53"/>
  <c r="C927" i="53"/>
  <c r="D927" i="53"/>
  <c r="C607" i="53"/>
  <c r="D607" i="53"/>
  <c r="C379" i="53"/>
  <c r="D379" i="53"/>
  <c r="D378" i="53"/>
  <c r="C378" i="53"/>
  <c r="C377" i="53"/>
  <c r="D377" i="53"/>
  <c r="C376" i="53"/>
  <c r="D376" i="53"/>
  <c r="C375" i="53"/>
  <c r="D375" i="53"/>
  <c r="C374" i="53"/>
  <c r="D374" i="53"/>
  <c r="C373" i="53"/>
  <c r="D373" i="53"/>
  <c r="C1946" i="53"/>
  <c r="D1946" i="53"/>
  <c r="C1756" i="53"/>
  <c r="D1756" i="53"/>
  <c r="C1390" i="53"/>
  <c r="D1390" i="53"/>
  <c r="C372" i="53"/>
  <c r="D372" i="53"/>
  <c r="C358" i="53"/>
  <c r="D358" i="53"/>
  <c r="C1945" i="53"/>
  <c r="D1945" i="53"/>
  <c r="C1755" i="53"/>
  <c r="D1755" i="53"/>
  <c r="D1389" i="53"/>
  <c r="C1389" i="53"/>
  <c r="C371" i="53"/>
  <c r="D371" i="53"/>
  <c r="C357" i="53"/>
  <c r="D357" i="53"/>
  <c r="C1944" i="53"/>
  <c r="D1944" i="53"/>
  <c r="C1754" i="53"/>
  <c r="D1754" i="53"/>
  <c r="C1388" i="53"/>
  <c r="D1388" i="53"/>
  <c r="C370" i="53"/>
  <c r="D370" i="53"/>
  <c r="C356" i="53"/>
  <c r="D356" i="53"/>
  <c r="C1943" i="53"/>
  <c r="D1943" i="53"/>
  <c r="C1753" i="53"/>
  <c r="D1753" i="53"/>
  <c r="C1387" i="53"/>
  <c r="D1387" i="53"/>
  <c r="C369" i="53"/>
  <c r="D369" i="53"/>
  <c r="C355" i="53"/>
  <c r="D355" i="53"/>
  <c r="C1942" i="53"/>
  <c r="D1942" i="53"/>
  <c r="C1752" i="53"/>
  <c r="D1752" i="53"/>
  <c r="C1386" i="53"/>
  <c r="D1386" i="53"/>
  <c r="C368" i="53"/>
  <c r="D368" i="53"/>
  <c r="C354" i="53"/>
  <c r="D354" i="53"/>
  <c r="C1941" i="53"/>
  <c r="D1941" i="53"/>
  <c r="C1751" i="53"/>
  <c r="D1751" i="53"/>
  <c r="C1385" i="53"/>
  <c r="D1385" i="53"/>
  <c r="C367" i="53"/>
  <c r="D367" i="53"/>
  <c r="C353" i="53"/>
  <c r="D353" i="53"/>
  <c r="C1940" i="53"/>
  <c r="D1940" i="53"/>
  <c r="C1750" i="53"/>
  <c r="D1750" i="53"/>
  <c r="C1384" i="53"/>
  <c r="D1384" i="53"/>
  <c r="C366" i="53"/>
  <c r="D366" i="53"/>
  <c r="C352" i="53"/>
  <c r="D352" i="53"/>
  <c r="C347" i="53"/>
  <c r="D347" i="53"/>
  <c r="C346" i="53"/>
  <c r="D346" i="53"/>
  <c r="C345" i="53"/>
  <c r="D345" i="53"/>
  <c r="C344" i="53"/>
  <c r="D344" i="53"/>
  <c r="C343" i="53"/>
  <c r="D343" i="53"/>
  <c r="C1829" i="53"/>
  <c r="D1829" i="53"/>
  <c r="C1632" i="53"/>
  <c r="D1632" i="53"/>
  <c r="C1329" i="53"/>
  <c r="D1329" i="53"/>
  <c r="C1048" i="53"/>
  <c r="D1048" i="53"/>
  <c r="C1828" i="53"/>
  <c r="D1828" i="53"/>
  <c r="C1631" i="53"/>
  <c r="D1631" i="53"/>
  <c r="C1328" i="53"/>
  <c r="D1328" i="53"/>
  <c r="C1047" i="53"/>
  <c r="D1047" i="53"/>
  <c r="C1827" i="53"/>
  <c r="D1827" i="53"/>
  <c r="C1630" i="53"/>
  <c r="D1630" i="53"/>
  <c r="C1327" i="53"/>
  <c r="D1327" i="53"/>
  <c r="C1046" i="53"/>
  <c r="D1046" i="53"/>
  <c r="C1826" i="53"/>
  <c r="D1826" i="53"/>
  <c r="C1629" i="53"/>
  <c r="D1629" i="53"/>
  <c r="C1326" i="53"/>
  <c r="D1326" i="53"/>
  <c r="C1045" i="53"/>
  <c r="D1045" i="53"/>
  <c r="C1766" i="53"/>
  <c r="D1766" i="53"/>
  <c r="C1044" i="53"/>
  <c r="D1044" i="53"/>
  <c r="C342" i="53"/>
  <c r="D342" i="53"/>
  <c r="C286" i="53"/>
  <c r="D286" i="53"/>
  <c r="C1765" i="53"/>
  <c r="D1765" i="53"/>
  <c r="C1043" i="53"/>
  <c r="D1043" i="53"/>
  <c r="C341" i="53"/>
  <c r="D341" i="53"/>
  <c r="C285" i="53"/>
  <c r="D285" i="53"/>
  <c r="C1764" i="53"/>
  <c r="D1764" i="53"/>
  <c r="C1042" i="53"/>
  <c r="D1042" i="53"/>
  <c r="C340" i="53"/>
  <c r="D340" i="53"/>
  <c r="C284" i="53"/>
  <c r="D284" i="53"/>
  <c r="C1763" i="53"/>
  <c r="D1763" i="53"/>
  <c r="C1041" i="53"/>
  <c r="D1041" i="53"/>
  <c r="C339" i="53"/>
  <c r="D339" i="53"/>
  <c r="C283" i="53"/>
  <c r="D283" i="53"/>
  <c r="C1762" i="53"/>
  <c r="D1762" i="53"/>
  <c r="C1040" i="53"/>
  <c r="D1040" i="53"/>
  <c r="C338" i="53"/>
  <c r="D338" i="53"/>
  <c r="C282" i="53"/>
  <c r="D282" i="53"/>
  <c r="C1761" i="53"/>
  <c r="D1761" i="53"/>
  <c r="C281" i="53"/>
  <c r="D281" i="53"/>
  <c r="C1760" i="53"/>
  <c r="D1760" i="53"/>
  <c r="C1039" i="53"/>
  <c r="D1039" i="53"/>
  <c r="C337" i="53"/>
  <c r="D337" i="53"/>
  <c r="C280" i="53"/>
  <c r="D280" i="53"/>
  <c r="C1759" i="53"/>
  <c r="D1759" i="53"/>
  <c r="C1038" i="53"/>
  <c r="D1038" i="53"/>
  <c r="C336" i="53"/>
  <c r="D336" i="53"/>
  <c r="C279" i="53"/>
  <c r="D279" i="53"/>
  <c r="C1758" i="53"/>
  <c r="D1758" i="53"/>
  <c r="C1037" i="53"/>
  <c r="D1037" i="53"/>
  <c r="C335" i="53"/>
  <c r="D335" i="53"/>
  <c r="C278" i="53"/>
  <c r="D278" i="53"/>
  <c r="C1757" i="53"/>
  <c r="D1757" i="53"/>
  <c r="C1036" i="53"/>
  <c r="D1036" i="53"/>
  <c r="C334" i="53"/>
  <c r="D334" i="53"/>
  <c r="C277" i="53"/>
  <c r="D277" i="53"/>
  <c r="C1035" i="53"/>
  <c r="D1035" i="53"/>
  <c r="C311" i="53"/>
  <c r="D311" i="53"/>
  <c r="C1034" i="53"/>
  <c r="D1034" i="53"/>
  <c r="C310" i="53"/>
  <c r="D310" i="53"/>
  <c r="C1033" i="53"/>
  <c r="D1033" i="53"/>
  <c r="C309" i="53"/>
  <c r="D309" i="53"/>
  <c r="C1032" i="53"/>
  <c r="D1032" i="53"/>
  <c r="C308" i="53"/>
  <c r="D308" i="53"/>
  <c r="C1031" i="53"/>
  <c r="D1031" i="53"/>
  <c r="C307" i="53"/>
  <c r="D307" i="53"/>
  <c r="C1030" i="53"/>
  <c r="D1030" i="53"/>
  <c r="C306" i="53"/>
  <c r="D306" i="53"/>
  <c r="C1029" i="53"/>
  <c r="D1029" i="53"/>
  <c r="C305" i="53"/>
  <c r="D305" i="53"/>
  <c r="C1796" i="53"/>
  <c r="D1796" i="53"/>
  <c r="C834" i="53"/>
  <c r="D834" i="53"/>
  <c r="C1795" i="53"/>
  <c r="D1795" i="53"/>
  <c r="C833" i="53"/>
  <c r="D833" i="53"/>
  <c r="C1794" i="53"/>
  <c r="D1794" i="53"/>
  <c r="C832" i="53"/>
  <c r="D832" i="53"/>
  <c r="C1793" i="53"/>
  <c r="D1793" i="53"/>
  <c r="C831" i="53"/>
  <c r="D831" i="53"/>
  <c r="C1792" i="53"/>
  <c r="D1792" i="53"/>
  <c r="C830" i="53"/>
  <c r="D830" i="53"/>
  <c r="C1791" i="53"/>
  <c r="D1791" i="53"/>
  <c r="C829" i="53"/>
  <c r="D829" i="53"/>
  <c r="C1790" i="53"/>
  <c r="D1790" i="53"/>
  <c r="C828" i="53"/>
  <c r="D828" i="53"/>
  <c r="C1495" i="53"/>
  <c r="D1495" i="53"/>
  <c r="C1028" i="53"/>
  <c r="D1028" i="53"/>
  <c r="C662" i="53"/>
  <c r="D662" i="53"/>
  <c r="C443" i="53"/>
  <c r="D443" i="53"/>
  <c r="C318" i="53"/>
  <c r="D318" i="53"/>
  <c r="C1494" i="53"/>
  <c r="D1494" i="53"/>
  <c r="C1027" i="53"/>
  <c r="D1027" i="53"/>
  <c r="D661" i="53"/>
  <c r="C661" i="53"/>
  <c r="C442" i="53"/>
  <c r="D442" i="53"/>
  <c r="C317" i="53"/>
  <c r="D317" i="53"/>
  <c r="C1493" i="53"/>
  <c r="D1493" i="53"/>
  <c r="C1026" i="53"/>
  <c r="D1026" i="53"/>
  <c r="C660" i="53"/>
  <c r="D660" i="53"/>
  <c r="C441" i="53"/>
  <c r="D441" i="53"/>
  <c r="C316" i="53"/>
  <c r="D316" i="53"/>
  <c r="C1492" i="53"/>
  <c r="D1492" i="53"/>
  <c r="C1025" i="53"/>
  <c r="D1025" i="53"/>
  <c r="C659" i="53"/>
  <c r="D659" i="53"/>
  <c r="C440" i="53"/>
  <c r="D440" i="53"/>
  <c r="C315" i="53"/>
  <c r="D315" i="53"/>
  <c r="C1491" i="53"/>
  <c r="D1491" i="53"/>
  <c r="C1024" i="53"/>
  <c r="D1024" i="53"/>
  <c r="C658" i="53"/>
  <c r="D658" i="53"/>
  <c r="C439" i="53"/>
  <c r="D439" i="53"/>
  <c r="C314" i="53"/>
  <c r="D314" i="53"/>
  <c r="C1490" i="53"/>
  <c r="D1490" i="53"/>
  <c r="C1427" i="53"/>
  <c r="D1427" i="53"/>
  <c r="C1023" i="53"/>
  <c r="D1023" i="53"/>
  <c r="C657" i="53"/>
  <c r="D657" i="53"/>
  <c r="C438" i="53"/>
  <c r="D438" i="53"/>
  <c r="C313" i="53"/>
  <c r="D313" i="53"/>
  <c r="C15" i="53"/>
  <c r="D15" i="53"/>
  <c r="C1489" i="53"/>
  <c r="D1489" i="53"/>
  <c r="C1022" i="53"/>
  <c r="D1022" i="53"/>
  <c r="C656" i="53"/>
  <c r="D656" i="53"/>
  <c r="C437" i="53"/>
  <c r="D437" i="53"/>
  <c r="C312" i="53"/>
  <c r="D312" i="53"/>
  <c r="C1736" i="53"/>
  <c r="D1736" i="53"/>
  <c r="C1464" i="53"/>
  <c r="D1464" i="53"/>
  <c r="C489" i="53"/>
  <c r="D489" i="53"/>
  <c r="C1735" i="53"/>
  <c r="D1735" i="53"/>
  <c r="C1463" i="53"/>
  <c r="D1463" i="53"/>
  <c r="C488" i="53"/>
  <c r="D488" i="53"/>
  <c r="C1734" i="53"/>
  <c r="D1734" i="53"/>
  <c r="C1462" i="53"/>
  <c r="D1462" i="53"/>
  <c r="C487" i="53"/>
  <c r="D487" i="53"/>
  <c r="C1733" i="53"/>
  <c r="D1733" i="53"/>
  <c r="C1461" i="53"/>
  <c r="D1461" i="53"/>
  <c r="C486" i="53"/>
  <c r="D486" i="53"/>
  <c r="C1732" i="53"/>
  <c r="D1732" i="53"/>
  <c r="C1460" i="53"/>
  <c r="D1460" i="53"/>
  <c r="C485" i="53"/>
  <c r="D485" i="53"/>
  <c r="C1731" i="53"/>
  <c r="D1731" i="53"/>
  <c r="C1459" i="53"/>
  <c r="D1459" i="53"/>
  <c r="C484" i="53"/>
  <c r="D484" i="53"/>
  <c r="C1730" i="53"/>
  <c r="D1730" i="53"/>
  <c r="C1458" i="53"/>
  <c r="D1458" i="53"/>
  <c r="C483" i="53"/>
  <c r="D483" i="53"/>
  <c r="C1452" i="53"/>
  <c r="D1452" i="53"/>
  <c r="C1021" i="53"/>
  <c r="D1021" i="53"/>
  <c r="C304" i="53"/>
  <c r="D304" i="53"/>
  <c r="C1451" i="53"/>
  <c r="D1451" i="53"/>
  <c r="C1020" i="53"/>
  <c r="D1020" i="53"/>
  <c r="C303" i="53"/>
  <c r="D303" i="53"/>
  <c r="D1450" i="53"/>
  <c r="C1450" i="53"/>
  <c r="C1019" i="53"/>
  <c r="D1019" i="53"/>
  <c r="C302" i="53"/>
  <c r="D302" i="53"/>
  <c r="D1449" i="53"/>
  <c r="C1449" i="53"/>
  <c r="C1018" i="53"/>
  <c r="D1018" i="53"/>
  <c r="C301" i="53"/>
  <c r="D301" i="53"/>
  <c r="C1825" i="53"/>
  <c r="D1825" i="53"/>
  <c r="C1325" i="53"/>
  <c r="D1325" i="53"/>
  <c r="C293" i="53"/>
  <c r="D293" i="53"/>
  <c r="C1824" i="53"/>
  <c r="D1824" i="53"/>
  <c r="C1324" i="53"/>
  <c r="D1324" i="53"/>
  <c r="C292" i="53"/>
  <c r="D292" i="53"/>
  <c r="C1823" i="53"/>
  <c r="D1823" i="53"/>
  <c r="C1323" i="53"/>
  <c r="D1323" i="53"/>
  <c r="C291" i="53"/>
  <c r="D291" i="53"/>
  <c r="C1822" i="53"/>
  <c r="D1822" i="53"/>
  <c r="C1322" i="53"/>
  <c r="D1322" i="53"/>
  <c r="C290" i="53"/>
  <c r="D290" i="53"/>
  <c r="C1821" i="53"/>
  <c r="D1821" i="53"/>
  <c r="C1321" i="53"/>
  <c r="D1321" i="53"/>
  <c r="C289" i="53"/>
  <c r="D289" i="53"/>
  <c r="C1820" i="53"/>
  <c r="D1820" i="53"/>
  <c r="C1320" i="53"/>
  <c r="D1320" i="53"/>
  <c r="C288" i="53"/>
  <c r="D288" i="53"/>
  <c r="C1819" i="53"/>
  <c r="D1819" i="53"/>
  <c r="C1319" i="53"/>
  <c r="D1319" i="53"/>
  <c r="C287" i="53"/>
  <c r="D287" i="53"/>
  <c r="C1661" i="53"/>
  <c r="D1661" i="53"/>
  <c r="C1017" i="53"/>
  <c r="D1017" i="53"/>
  <c r="C579" i="53"/>
  <c r="D579" i="53"/>
  <c r="C534" i="53"/>
  <c r="D534" i="53"/>
  <c r="C143" i="53"/>
  <c r="D143" i="53"/>
  <c r="C1660" i="53"/>
  <c r="D1660" i="53"/>
  <c r="C1016" i="53"/>
  <c r="D1016" i="53"/>
  <c r="C578" i="53"/>
  <c r="D578" i="53"/>
  <c r="C533" i="53"/>
  <c r="D533" i="53"/>
  <c r="C142" i="53"/>
  <c r="D142" i="53"/>
  <c r="C1659" i="53"/>
  <c r="D1659" i="53"/>
  <c r="C1015" i="53"/>
  <c r="D1015" i="53"/>
  <c r="C577" i="53"/>
  <c r="D577" i="53"/>
  <c r="C532" i="53"/>
  <c r="D532" i="53"/>
  <c r="C141" i="53"/>
  <c r="D141" i="53"/>
  <c r="C1658" i="53"/>
  <c r="D1658" i="53"/>
  <c r="C1014" i="53"/>
  <c r="D1014" i="53"/>
  <c r="C576" i="53"/>
  <c r="B576" i="53" s="1"/>
  <c r="A576" i="53" s="1"/>
  <c r="D576" i="53"/>
  <c r="C531" i="53"/>
  <c r="D531" i="53"/>
  <c r="C140" i="53"/>
  <c r="D140" i="53"/>
  <c r="C1657" i="53"/>
  <c r="D1657" i="53"/>
  <c r="C1013" i="53"/>
  <c r="D1013" i="53"/>
  <c r="C575" i="53"/>
  <c r="B575" i="53" s="1"/>
  <c r="A575" i="53" s="1"/>
  <c r="D575" i="53"/>
  <c r="C530" i="53"/>
  <c r="D530" i="53"/>
  <c r="C139" i="53"/>
  <c r="D139" i="53"/>
  <c r="C1656" i="53"/>
  <c r="D1656" i="53"/>
  <c r="C1012" i="53"/>
  <c r="D1012" i="53"/>
  <c r="C574" i="53"/>
  <c r="D574" i="53"/>
  <c r="C529" i="53"/>
  <c r="D529" i="53"/>
  <c r="C138" i="53"/>
  <c r="D138" i="53"/>
  <c r="C1655" i="53"/>
  <c r="D1655" i="53"/>
  <c r="C1011" i="53"/>
  <c r="D1011" i="53"/>
  <c r="C573" i="53"/>
  <c r="D573" i="53"/>
  <c r="C528" i="53"/>
  <c r="D528" i="53"/>
  <c r="C137" i="53"/>
  <c r="D137" i="53"/>
  <c r="C790" i="53"/>
  <c r="D790" i="53"/>
  <c r="C300" i="53"/>
  <c r="D300" i="53"/>
  <c r="C789" i="53"/>
  <c r="D789" i="53"/>
  <c r="C299" i="53"/>
  <c r="D299" i="53"/>
  <c r="C788" i="53"/>
  <c r="D788" i="53"/>
  <c r="C298" i="53"/>
  <c r="D298" i="53"/>
  <c r="C787" i="53"/>
  <c r="D787" i="53"/>
  <c r="C297" i="53"/>
  <c r="D297" i="53"/>
  <c r="C786" i="53"/>
  <c r="D786" i="53"/>
  <c r="C296" i="53"/>
  <c r="D296" i="53"/>
  <c r="D785" i="53"/>
  <c r="C785" i="53"/>
  <c r="C295" i="53"/>
  <c r="D295" i="53"/>
  <c r="C784" i="53"/>
  <c r="D784" i="53"/>
  <c r="C294" i="53"/>
  <c r="D294" i="53"/>
  <c r="C14" i="53"/>
  <c r="D14" i="53"/>
  <c r="C13" i="53"/>
  <c r="D13" i="53"/>
  <c r="C12" i="53"/>
  <c r="D12" i="53"/>
  <c r="C11" i="53"/>
  <c r="D11" i="53"/>
  <c r="C1010" i="53"/>
  <c r="D1010" i="53"/>
  <c r="C191" i="53"/>
  <c r="D191" i="53"/>
  <c r="C1009" i="53"/>
  <c r="D1009" i="53"/>
  <c r="C190" i="53"/>
  <c r="D190" i="53"/>
  <c r="C1008" i="53"/>
  <c r="D1008" i="53"/>
  <c r="C189" i="53"/>
  <c r="D189" i="53"/>
  <c r="C1007" i="53"/>
  <c r="D1007" i="53"/>
  <c r="C188" i="53"/>
  <c r="D188" i="53"/>
  <c r="C1006" i="53"/>
  <c r="D1006" i="53"/>
  <c r="C187" i="53"/>
  <c r="D187" i="53"/>
  <c r="C1005" i="53"/>
  <c r="D1005" i="53"/>
  <c r="C186" i="53"/>
  <c r="D186" i="53"/>
  <c r="C1004" i="53"/>
  <c r="D1004" i="53"/>
  <c r="C185" i="53"/>
  <c r="D185" i="53"/>
  <c r="C1259" i="53"/>
  <c r="D1259" i="53"/>
  <c r="C1890" i="53"/>
  <c r="D1890" i="53"/>
  <c r="C1654" i="53"/>
  <c r="D1654" i="53"/>
  <c r="C1341" i="53"/>
  <c r="D1341" i="53"/>
  <c r="C1889" i="53"/>
  <c r="D1889" i="53"/>
  <c r="C1653" i="53"/>
  <c r="D1653" i="53"/>
  <c r="C1340" i="53"/>
  <c r="D1340" i="53"/>
  <c r="C1003" i="53"/>
  <c r="D1003" i="53"/>
  <c r="C1888" i="53"/>
  <c r="D1888" i="53"/>
  <c r="C1652" i="53"/>
  <c r="D1652" i="53"/>
  <c r="C1339" i="53"/>
  <c r="D1339" i="53"/>
  <c r="C132" i="53"/>
  <c r="D132" i="53"/>
  <c r="C1651" i="53"/>
  <c r="D1651" i="53"/>
  <c r="C1338" i="53"/>
  <c r="D1338" i="53"/>
  <c r="C1002" i="53"/>
  <c r="D1002" i="53"/>
  <c r="C10" i="53"/>
  <c r="D10" i="53"/>
  <c r="C1887" i="53"/>
  <c r="D1887" i="53"/>
  <c r="C1650" i="53"/>
  <c r="D1650" i="53"/>
  <c r="C1337" i="53"/>
  <c r="D1337" i="53"/>
  <c r="C1001" i="53"/>
  <c r="D1001" i="53"/>
  <c r="C1886" i="53"/>
  <c r="D1886" i="53"/>
  <c r="C1649" i="53"/>
  <c r="D1649" i="53"/>
  <c r="C1336" i="53"/>
  <c r="D1336" i="53"/>
  <c r="C9" i="53"/>
  <c r="D9" i="53"/>
  <c r="C885" i="53"/>
  <c r="D885" i="53"/>
  <c r="C255" i="53"/>
  <c r="D255" i="53"/>
  <c r="C884" i="53"/>
  <c r="D884" i="53"/>
  <c r="C254" i="53"/>
  <c r="D254" i="53"/>
  <c r="C883" i="53"/>
  <c r="D883" i="53"/>
  <c r="C253" i="53"/>
  <c r="D253" i="53"/>
  <c r="C882" i="53"/>
  <c r="D882" i="53"/>
  <c r="C252" i="53"/>
  <c r="D252" i="53"/>
  <c r="C881" i="53"/>
  <c r="D881" i="53"/>
  <c r="C251" i="53"/>
  <c r="D251" i="53"/>
  <c r="C880" i="53"/>
  <c r="D880" i="53"/>
  <c r="C250" i="53"/>
  <c r="D250" i="53"/>
  <c r="C879" i="53"/>
  <c r="D879" i="53"/>
  <c r="C249" i="53"/>
  <c r="D249" i="53"/>
  <c r="C241" i="53"/>
  <c r="D241" i="53"/>
  <c r="C240" i="53"/>
  <c r="D240" i="53"/>
  <c r="C239" i="53"/>
  <c r="D239" i="53"/>
  <c r="C238" i="53"/>
  <c r="D238" i="53"/>
  <c r="C237" i="53"/>
  <c r="D237" i="53"/>
  <c r="C236" i="53"/>
  <c r="D236" i="53"/>
  <c r="C235" i="53"/>
  <c r="D235" i="53"/>
  <c r="C8" i="53"/>
  <c r="D8" i="53"/>
  <c r="C7" i="53"/>
  <c r="D7" i="53"/>
  <c r="C6" i="53"/>
  <c r="D6" i="53"/>
  <c r="C5" i="53"/>
  <c r="D5" i="53"/>
  <c r="D4" i="53"/>
  <c r="C4" i="53"/>
  <c r="C3" i="53"/>
  <c r="D3" i="53"/>
  <c r="C2" i="53"/>
  <c r="D2" i="53"/>
  <c r="C1000" i="53"/>
  <c r="D1000" i="53"/>
  <c r="C464" i="53"/>
  <c r="D464" i="53"/>
  <c r="C233" i="53"/>
  <c r="D233" i="53"/>
  <c r="C999" i="53"/>
  <c r="D999" i="53"/>
  <c r="C463" i="53"/>
  <c r="D463" i="53"/>
  <c r="C232" i="53"/>
  <c r="D232" i="53"/>
  <c r="C998" i="53"/>
  <c r="D998" i="53"/>
  <c r="C462" i="53"/>
  <c r="D462" i="53"/>
  <c r="C231" i="53"/>
  <c r="D231" i="53"/>
  <c r="C997" i="53"/>
  <c r="D997" i="53"/>
  <c r="C461" i="53"/>
  <c r="D461" i="53"/>
  <c r="C230" i="53"/>
  <c r="D230" i="53"/>
  <c r="C996" i="53"/>
  <c r="D996" i="53"/>
  <c r="C460" i="53"/>
  <c r="D460" i="53"/>
  <c r="C229" i="53"/>
  <c r="D229" i="53"/>
  <c r="C995" i="53"/>
  <c r="D995" i="53"/>
  <c r="C459" i="53"/>
  <c r="D459" i="53"/>
  <c r="C228" i="53"/>
  <c r="D228" i="53"/>
  <c r="C994" i="53"/>
  <c r="D994" i="53"/>
  <c r="C458" i="53"/>
  <c r="D458" i="53"/>
  <c r="C227" i="53"/>
  <c r="D227" i="53"/>
  <c r="C993" i="53"/>
  <c r="D993" i="53"/>
  <c r="C992" i="53"/>
  <c r="D992" i="53"/>
  <c r="C655" i="53"/>
  <c r="D655" i="53"/>
  <c r="C991" i="53"/>
  <c r="D991" i="53"/>
  <c r="C654" i="53"/>
  <c r="D654" i="53"/>
  <c r="C990" i="53"/>
  <c r="D990" i="53"/>
  <c r="C653" i="53"/>
  <c r="D653" i="53"/>
  <c r="C989" i="53"/>
  <c r="D989" i="53"/>
  <c r="C652" i="53"/>
  <c r="D652" i="53"/>
  <c r="C988" i="53"/>
  <c r="D988" i="53"/>
  <c r="C651" i="53"/>
  <c r="D651" i="53"/>
  <c r="C650" i="53"/>
  <c r="D650" i="53"/>
  <c r="C987" i="53"/>
  <c r="D987" i="53"/>
  <c r="C649" i="53"/>
  <c r="D649" i="53"/>
  <c r="C1710" i="53"/>
  <c r="D1710" i="53"/>
  <c r="D814" i="53"/>
  <c r="C814" i="53"/>
  <c r="C1709" i="53"/>
  <c r="D1709" i="53"/>
  <c r="C813" i="53"/>
  <c r="D813" i="53"/>
  <c r="C1708" i="53"/>
  <c r="D1708" i="53"/>
  <c r="C812" i="53"/>
  <c r="D812" i="53"/>
  <c r="C1707" i="53"/>
  <c r="D1707" i="53"/>
  <c r="C811" i="53"/>
  <c r="D811" i="53"/>
  <c r="C1706" i="53"/>
  <c r="D1706" i="53"/>
  <c r="C810" i="53"/>
  <c r="D810" i="53"/>
  <c r="C1705" i="53"/>
  <c r="D1705" i="53"/>
  <c r="C809" i="53"/>
  <c r="D809" i="53"/>
  <c r="C226" i="53"/>
  <c r="D226" i="53"/>
  <c r="C91" i="53"/>
  <c r="D91" i="53"/>
  <c r="C225" i="53"/>
  <c r="D225" i="53"/>
  <c r="C90" i="53"/>
  <c r="D90" i="53"/>
  <c r="C224" i="53"/>
  <c r="D224" i="53"/>
  <c r="C89" i="53"/>
  <c r="D89" i="53"/>
  <c r="C223" i="53"/>
  <c r="D223" i="53"/>
  <c r="C88" i="53"/>
  <c r="D88" i="53"/>
  <c r="C222" i="53"/>
  <c r="D222" i="53"/>
  <c r="C87" i="53"/>
  <c r="D87" i="53"/>
  <c r="C1299" i="53"/>
  <c r="D1299" i="53"/>
  <c r="C457" i="53"/>
  <c r="D457" i="53"/>
  <c r="C1298" i="53"/>
  <c r="D1298" i="53"/>
  <c r="C456" i="53"/>
  <c r="D456" i="53"/>
  <c r="C1297" i="53"/>
  <c r="D1297" i="53"/>
  <c r="C455" i="53"/>
  <c r="D455" i="53"/>
  <c r="C1296" i="53"/>
  <c r="D1296" i="53"/>
  <c r="C454" i="53"/>
  <c r="D454" i="53"/>
  <c r="C1295" i="53"/>
  <c r="D1295" i="53"/>
  <c r="C453" i="53"/>
  <c r="D453" i="53"/>
  <c r="C1294" i="53"/>
  <c r="D1294" i="53"/>
  <c r="C452" i="53"/>
  <c r="D452" i="53"/>
  <c r="D1293" i="53"/>
  <c r="C1293" i="53"/>
  <c r="C451" i="53"/>
  <c r="D451" i="53"/>
  <c r="C1749" i="53"/>
  <c r="D1749" i="53"/>
  <c r="C986" i="53"/>
  <c r="D986" i="53"/>
  <c r="C365" i="53"/>
  <c r="D365" i="53"/>
  <c r="C1748" i="53"/>
  <c r="D1748" i="53"/>
  <c r="C985" i="53"/>
  <c r="D985" i="53"/>
  <c r="C364" i="53"/>
  <c r="D364" i="53"/>
  <c r="C1747" i="53"/>
  <c r="D1747" i="53"/>
  <c r="C984" i="53"/>
  <c r="D984" i="53"/>
  <c r="C363" i="53"/>
  <c r="D363" i="53"/>
  <c r="C1746" i="53"/>
  <c r="D1746" i="53"/>
  <c r="C983" i="53"/>
  <c r="D983" i="53"/>
  <c r="C362" i="53"/>
  <c r="D362" i="53"/>
  <c r="C1745" i="53"/>
  <c r="D1745" i="53"/>
  <c r="C982" i="53"/>
  <c r="D982" i="53"/>
  <c r="C361" i="53"/>
  <c r="D361" i="53"/>
  <c r="C1744" i="53"/>
  <c r="D1744" i="53"/>
  <c r="C981" i="53"/>
  <c r="D981" i="53"/>
  <c r="C360" i="53"/>
  <c r="D360" i="53"/>
  <c r="C1743" i="53"/>
  <c r="D1743" i="53"/>
  <c r="C980" i="53"/>
  <c r="D980" i="53"/>
  <c r="C359" i="53"/>
  <c r="D359" i="53"/>
  <c r="C218" i="53"/>
  <c r="D218" i="53"/>
  <c r="C217" i="53"/>
  <c r="D217" i="53"/>
  <c r="C216" i="53"/>
  <c r="D216" i="53"/>
  <c r="C215" i="53"/>
  <c r="D215" i="53"/>
  <c r="C214" i="53"/>
  <c r="D214" i="53"/>
  <c r="C213" i="53"/>
  <c r="D213" i="53"/>
  <c r="C212" i="53"/>
  <c r="D212" i="53"/>
  <c r="C207" i="53"/>
  <c r="D207" i="53"/>
  <c r="C206" i="53"/>
  <c r="D206" i="53"/>
  <c r="C205" i="53"/>
  <c r="D205" i="53"/>
  <c r="C204" i="53"/>
  <c r="D204" i="53"/>
  <c r="C203" i="53"/>
  <c r="D203" i="53"/>
  <c r="C202" i="53"/>
  <c r="D202" i="53"/>
  <c r="C201" i="53"/>
  <c r="D201" i="53"/>
  <c r="C405" i="53"/>
  <c r="D405" i="53"/>
  <c r="C404" i="53"/>
  <c r="D404" i="53"/>
  <c r="C403" i="53"/>
  <c r="D403" i="53"/>
  <c r="C402" i="53"/>
  <c r="D402" i="53"/>
  <c r="C401" i="53"/>
  <c r="D401" i="53"/>
  <c r="C400" i="53"/>
  <c r="D400" i="53"/>
  <c r="C399" i="53"/>
  <c r="D399" i="53"/>
  <c r="C1694" i="53"/>
  <c r="D1694" i="53"/>
  <c r="C979" i="53"/>
  <c r="D979" i="53"/>
  <c r="C1693" i="53"/>
  <c r="D1693" i="53"/>
  <c r="D978" i="53"/>
  <c r="C978" i="53"/>
  <c r="C1692" i="53"/>
  <c r="D1692" i="53"/>
  <c r="C977" i="53"/>
  <c r="D977" i="53"/>
  <c r="C1691" i="53"/>
  <c r="D1691" i="53"/>
  <c r="C976" i="53"/>
  <c r="D976" i="53"/>
  <c r="C1690" i="53"/>
  <c r="D1690" i="53"/>
  <c r="C975" i="53"/>
  <c r="D975" i="53"/>
  <c r="D974" i="53"/>
  <c r="C974" i="53"/>
  <c r="C722" i="53"/>
  <c r="D722" i="53"/>
  <c r="C648" i="53"/>
  <c r="D648" i="53"/>
  <c r="C527" i="53"/>
  <c r="D527" i="53"/>
  <c r="C325" i="53"/>
  <c r="D325" i="53"/>
  <c r="C973" i="53"/>
  <c r="D973" i="53"/>
  <c r="C721" i="53"/>
  <c r="D721" i="53"/>
  <c r="C647" i="53"/>
  <c r="D647" i="53"/>
  <c r="C526" i="53"/>
  <c r="D526" i="53"/>
  <c r="C324" i="53"/>
  <c r="D324" i="53"/>
  <c r="C972" i="53"/>
  <c r="D972" i="53"/>
  <c r="C720" i="53"/>
  <c r="D720" i="53"/>
  <c r="C646" i="53"/>
  <c r="D646" i="53"/>
  <c r="C525" i="53"/>
  <c r="D525" i="53"/>
  <c r="C323" i="53"/>
  <c r="D323" i="53"/>
  <c r="C971" i="53"/>
  <c r="D971" i="53"/>
  <c r="C719" i="53"/>
  <c r="D719" i="53"/>
  <c r="C645" i="53"/>
  <c r="D645" i="53"/>
  <c r="D524" i="53"/>
  <c r="C524" i="53"/>
  <c r="C322" i="53"/>
  <c r="D322" i="53"/>
  <c r="C970" i="53"/>
  <c r="D970" i="53"/>
  <c r="C718" i="53"/>
  <c r="D718" i="53"/>
  <c r="C644" i="53"/>
  <c r="D644" i="53"/>
  <c r="C523" i="53"/>
  <c r="D523" i="53"/>
  <c r="C321" i="53"/>
  <c r="D321" i="53"/>
  <c r="C969" i="53"/>
  <c r="D969" i="53"/>
  <c r="C717" i="53"/>
  <c r="D717" i="53"/>
  <c r="C643" i="53"/>
  <c r="D643" i="53"/>
  <c r="C522" i="53"/>
  <c r="D522" i="53"/>
  <c r="C320" i="53"/>
  <c r="D320" i="53"/>
  <c r="C968" i="53"/>
  <c r="D968" i="53"/>
  <c r="C716" i="53"/>
  <c r="D716" i="53"/>
  <c r="C642" i="53"/>
  <c r="D642" i="53"/>
  <c r="C521" i="53"/>
  <c r="D521" i="53"/>
  <c r="C319" i="53"/>
  <c r="D319" i="53"/>
  <c r="C184" i="53"/>
  <c r="D184" i="53"/>
  <c r="C183" i="53"/>
  <c r="D183" i="53"/>
  <c r="C182" i="53"/>
  <c r="D182" i="53"/>
  <c r="C181" i="53"/>
  <c r="D181" i="53"/>
  <c r="C180" i="53"/>
  <c r="D180" i="53"/>
  <c r="C179" i="53"/>
  <c r="D179" i="53"/>
  <c r="C178" i="53"/>
  <c r="D178" i="53"/>
  <c r="C1372" i="53"/>
  <c r="D1372" i="53"/>
  <c r="C1371" i="53"/>
  <c r="D1371" i="53"/>
  <c r="C1370" i="53"/>
  <c r="D1370" i="53"/>
  <c r="C1369" i="53"/>
  <c r="D1369" i="53"/>
  <c r="C1368" i="53"/>
  <c r="D1368" i="53"/>
  <c r="C1367" i="53"/>
  <c r="D1367" i="53"/>
  <c r="D1366" i="53"/>
  <c r="C1366" i="53"/>
  <c r="C967" i="53"/>
  <c r="D967" i="53"/>
  <c r="C136" i="53"/>
  <c r="D136" i="53"/>
  <c r="C966" i="53"/>
  <c r="D966" i="53"/>
  <c r="C135" i="53"/>
  <c r="D135" i="53"/>
  <c r="C965" i="53"/>
  <c r="D965" i="53"/>
  <c r="C134" i="53"/>
  <c r="D134" i="53"/>
  <c r="C133" i="53"/>
  <c r="D133" i="53"/>
  <c r="C1885" i="53"/>
  <c r="D1885" i="53"/>
  <c r="C1648" i="53"/>
  <c r="D1648" i="53"/>
  <c r="C1335" i="53"/>
  <c r="D1335" i="53"/>
  <c r="C850" i="53"/>
  <c r="D850" i="53"/>
  <c r="C1884" i="53"/>
  <c r="D1884" i="53"/>
  <c r="C1647" i="53"/>
  <c r="D1647" i="53"/>
  <c r="C1334" i="53"/>
  <c r="D1334" i="53"/>
  <c r="C849" i="53"/>
  <c r="D849" i="53"/>
  <c r="C1883" i="53"/>
  <c r="D1883" i="53"/>
  <c r="C1646" i="53"/>
  <c r="D1646" i="53"/>
  <c r="C848" i="53"/>
  <c r="D848" i="53"/>
  <c r="C1882" i="53"/>
  <c r="D1882" i="53"/>
  <c r="C1645" i="53"/>
  <c r="D1645" i="53"/>
  <c r="C1333" i="53"/>
  <c r="D1333" i="53"/>
  <c r="C847" i="53"/>
  <c r="D847" i="53"/>
  <c r="C1881" i="53"/>
  <c r="D1881" i="53"/>
  <c r="C1644" i="53"/>
  <c r="D1644" i="53"/>
  <c r="C1332" i="53"/>
  <c r="D1332" i="53"/>
  <c r="C846" i="53"/>
  <c r="D846" i="53"/>
  <c r="C1880" i="53"/>
  <c r="D1880" i="53"/>
  <c r="C1643" i="53"/>
  <c r="D1643" i="53"/>
  <c r="C1331" i="53"/>
  <c r="D1331" i="53"/>
  <c r="C845" i="53"/>
  <c r="D845" i="53"/>
  <c r="C1879" i="53"/>
  <c r="D1879" i="53"/>
  <c r="C1642" i="53"/>
  <c r="D1642" i="53"/>
  <c r="C1330" i="53"/>
  <c r="D1330" i="53"/>
  <c r="C844" i="53"/>
  <c r="D844" i="53"/>
  <c r="C96" i="53"/>
  <c r="D96" i="53"/>
  <c r="C95" i="53"/>
  <c r="D95" i="53"/>
  <c r="C94" i="53"/>
  <c r="D94" i="53"/>
  <c r="C93" i="53"/>
  <c r="D93" i="53"/>
  <c r="C92" i="53"/>
  <c r="D92" i="53"/>
  <c r="B1937" i="53" l="1"/>
  <c r="A1937" i="53" s="1"/>
  <c r="B1010" i="53"/>
  <c r="A1010" i="53" s="1"/>
  <c r="B657" i="53"/>
  <c r="A657" i="53" s="1"/>
  <c r="B660" i="53"/>
  <c r="A660" i="53" s="1"/>
  <c r="B776" i="53"/>
  <c r="A776" i="53" s="1"/>
  <c r="B672" i="53"/>
  <c r="A672" i="53" s="1"/>
  <c r="B704" i="53"/>
  <c r="A704" i="53" s="1"/>
  <c r="B706" i="53"/>
  <c r="A706" i="53" s="1"/>
  <c r="B709" i="53"/>
  <c r="A709" i="53" s="1"/>
  <c r="B711" i="53"/>
  <c r="A711" i="53" s="1"/>
  <c r="B713" i="53"/>
  <c r="A713" i="53" s="1"/>
  <c r="B715" i="53"/>
  <c r="A715" i="53" s="1"/>
  <c r="B759" i="53"/>
  <c r="A759" i="53" s="1"/>
  <c r="B932" i="53"/>
  <c r="A932" i="53" s="1"/>
  <c r="B558" i="53"/>
  <c r="A558" i="53" s="1"/>
  <c r="B628" i="53"/>
  <c r="A628" i="53" s="1"/>
  <c r="B122" i="53"/>
  <c r="A122" i="53" s="1"/>
  <c r="B1307" i="53"/>
  <c r="A1307" i="53" s="1"/>
  <c r="B529" i="53"/>
  <c r="A529" i="53" s="1"/>
  <c r="B577" i="53"/>
  <c r="A577" i="53" s="1"/>
  <c r="B533" i="53"/>
  <c r="A533" i="53" s="1"/>
  <c r="B485" i="53"/>
  <c r="A485" i="53" s="1"/>
  <c r="B489" i="53"/>
  <c r="A489" i="53" s="1"/>
  <c r="B1026" i="53"/>
  <c r="A1026" i="53" s="1"/>
  <c r="B22" i="53"/>
  <c r="A22" i="53" s="1"/>
  <c r="B23" i="53"/>
  <c r="A23" i="53" s="1"/>
  <c r="B613" i="53"/>
  <c r="A613" i="53" s="1"/>
  <c r="B732" i="53"/>
  <c r="A732" i="53" s="1"/>
  <c r="B546" i="53"/>
  <c r="A546" i="53" s="1"/>
  <c r="B1138" i="53"/>
  <c r="A1138" i="53" s="1"/>
  <c r="B1142" i="53"/>
  <c r="A1142" i="53" s="1"/>
  <c r="B1148" i="53"/>
  <c r="A1148" i="53" s="1"/>
  <c r="B1154" i="53"/>
  <c r="A1154" i="53" s="1"/>
  <c r="B52" i="53"/>
  <c r="A52" i="53" s="1"/>
  <c r="B55" i="53"/>
  <c r="A55" i="53" s="1"/>
  <c r="B71" i="53"/>
  <c r="A71" i="53" s="1"/>
  <c r="B683" i="53"/>
  <c r="A683" i="53" s="1"/>
  <c r="B875" i="53"/>
  <c r="A875" i="53" s="1"/>
  <c r="B661" i="53"/>
  <c r="A661" i="53" s="1"/>
  <c r="B530" i="53"/>
  <c r="A530" i="53" s="1"/>
  <c r="B488" i="53"/>
  <c r="A488" i="53" s="1"/>
  <c r="B662" i="53"/>
  <c r="A662" i="53" s="1"/>
  <c r="B536" i="53"/>
  <c r="A536" i="53" s="1"/>
  <c r="B731" i="53"/>
  <c r="A731" i="53" s="1"/>
  <c r="B543" i="53"/>
  <c r="A543" i="53" s="1"/>
  <c r="B674" i="53"/>
  <c r="A674" i="53" s="1"/>
  <c r="B705" i="53"/>
  <c r="A705" i="53" s="1"/>
  <c r="B707" i="53"/>
  <c r="A707" i="53" s="1"/>
  <c r="B710" i="53"/>
  <c r="A710" i="53" s="1"/>
  <c r="B712" i="53"/>
  <c r="A712" i="53" s="1"/>
  <c r="B714" i="53"/>
  <c r="A714" i="53" s="1"/>
  <c r="B741" i="53"/>
  <c r="A741" i="53" s="1"/>
  <c r="B933" i="53"/>
  <c r="A933" i="53" s="1"/>
  <c r="B639" i="53"/>
  <c r="A639" i="53" s="1"/>
  <c r="B899" i="53"/>
  <c r="A899" i="53" s="1"/>
  <c r="B2044" i="53"/>
  <c r="A2044" i="53" s="1"/>
  <c r="B2108" i="53"/>
  <c r="A2108" i="53" s="1"/>
  <c r="B187" i="53"/>
  <c r="A187" i="53" s="1"/>
  <c r="B531" i="53"/>
  <c r="A531" i="53" s="1"/>
  <c r="B487" i="53"/>
  <c r="A487" i="53" s="1"/>
  <c r="B307" i="53"/>
  <c r="A307" i="53" s="1"/>
  <c r="B377" i="53"/>
  <c r="A377" i="53" s="1"/>
  <c r="B498" i="53"/>
  <c r="A498" i="53" s="1"/>
  <c r="B664" i="53"/>
  <c r="A664" i="53" s="1"/>
  <c r="B1070" i="53"/>
  <c r="A1070" i="53" s="1"/>
  <c r="B1092" i="53"/>
  <c r="A1092" i="53" s="1"/>
  <c r="B1093" i="53"/>
  <c r="A1093" i="53" s="1"/>
  <c r="B614" i="53"/>
  <c r="A614" i="53" s="1"/>
  <c r="B688" i="53"/>
  <c r="A688" i="53" s="1"/>
  <c r="B671" i="53"/>
  <c r="A671" i="53" s="1"/>
  <c r="B544" i="53"/>
  <c r="A544" i="53" s="1"/>
  <c r="B1143" i="53"/>
  <c r="A1143" i="53" s="1"/>
  <c r="B1147" i="53"/>
  <c r="A1147" i="53" s="1"/>
  <c r="B2181" i="53"/>
  <c r="A2181" i="53" s="1"/>
  <c r="B2138" i="53"/>
  <c r="A2138" i="53" s="1"/>
  <c r="B2073" i="53"/>
  <c r="A2073" i="53" s="1"/>
  <c r="B2047" i="53"/>
  <c r="A2047" i="53" s="1"/>
  <c r="B2392" i="53"/>
  <c r="A2392" i="53" s="1"/>
  <c r="B978" i="53"/>
  <c r="A978" i="53" s="1"/>
  <c r="B1129" i="53"/>
  <c r="A1129" i="53" s="1"/>
  <c r="B2400" i="53"/>
  <c r="A2400" i="53" s="1"/>
  <c r="B1646" i="53"/>
  <c r="A1646" i="53" s="1"/>
  <c r="B1369" i="53"/>
  <c r="A1369" i="53" s="1"/>
  <c r="B403" i="53"/>
  <c r="A403" i="53" s="1"/>
  <c r="B454" i="53"/>
  <c r="A454" i="53" s="1"/>
  <c r="B810" i="53"/>
  <c r="A810" i="53" s="1"/>
  <c r="B996" i="53"/>
  <c r="A996" i="53" s="1"/>
  <c r="B463" i="53"/>
  <c r="A463" i="53" s="1"/>
  <c r="B1000" i="53"/>
  <c r="A1000" i="53" s="1"/>
  <c r="B883" i="53"/>
  <c r="A883" i="53" s="1"/>
  <c r="B1887" i="53"/>
  <c r="A1887" i="53" s="1"/>
  <c r="B1259" i="53"/>
  <c r="A1259" i="53" s="1"/>
  <c r="B1007" i="53"/>
  <c r="A1007" i="53" s="1"/>
  <c r="B1009" i="53"/>
  <c r="A1009" i="53" s="1"/>
  <c r="B140" i="53"/>
  <c r="A140" i="53" s="1"/>
  <c r="B1658" i="53"/>
  <c r="A1658" i="53" s="1"/>
  <c r="B1460" i="53"/>
  <c r="A1460" i="53" s="1"/>
  <c r="B1464" i="53"/>
  <c r="A1464" i="53" s="1"/>
  <c r="B316" i="53"/>
  <c r="A316" i="53" s="1"/>
  <c r="B1493" i="53"/>
  <c r="A1493" i="53" s="1"/>
  <c r="B1027" i="53"/>
  <c r="A1027" i="53" s="1"/>
  <c r="B1032" i="53"/>
  <c r="A1032" i="53" s="1"/>
  <c r="B1388" i="53"/>
  <c r="A1388" i="53" s="1"/>
  <c r="B506" i="53"/>
  <c r="A506" i="53" s="1"/>
  <c r="B1074" i="53"/>
  <c r="A1074" i="53" s="1"/>
  <c r="B1075" i="53"/>
  <c r="A1075" i="53" s="1"/>
  <c r="B1078" i="53"/>
  <c r="A1078" i="53" s="1"/>
  <c r="B1080" i="53"/>
  <c r="A1080" i="53" s="1"/>
  <c r="B867" i="53"/>
  <c r="A867" i="53" s="1"/>
  <c r="B869" i="53"/>
  <c r="A869" i="53" s="1"/>
  <c r="B388" i="53"/>
  <c r="A388" i="53" s="1"/>
  <c r="B1104" i="53"/>
  <c r="A1104" i="53" s="1"/>
  <c r="B1106" i="53"/>
  <c r="A1106" i="53" s="1"/>
  <c r="B1108" i="53"/>
  <c r="A1108" i="53" s="1"/>
  <c r="B1472" i="53"/>
  <c r="A1472" i="53" s="1"/>
  <c r="B1474" i="53"/>
  <c r="A1474" i="53" s="1"/>
  <c r="B1111" i="53"/>
  <c r="A1111" i="53" s="1"/>
  <c r="B1116" i="53"/>
  <c r="A1116" i="53" s="1"/>
  <c r="B1497" i="53"/>
  <c r="A1497" i="53" s="1"/>
  <c r="B1430" i="53"/>
  <c r="A1430" i="53" s="1"/>
  <c r="B1122" i="53"/>
  <c r="A1122" i="53" s="1"/>
  <c r="B27" i="53"/>
  <c r="A27" i="53" s="1"/>
  <c r="B194" i="53"/>
  <c r="A194" i="53" s="1"/>
  <c r="B1438" i="53"/>
  <c r="A1438" i="53" s="1"/>
  <c r="B1579" i="53"/>
  <c r="A1579" i="53" s="1"/>
  <c r="B955" i="53"/>
  <c r="A955" i="53" s="1"/>
  <c r="B51" i="53"/>
  <c r="A51" i="53" s="1"/>
  <c r="B1172" i="53"/>
  <c r="A1172" i="53" s="1"/>
  <c r="B257" i="53"/>
  <c r="A257" i="53" s="1"/>
  <c r="B261" i="53"/>
  <c r="A261" i="53" s="1"/>
  <c r="B1445" i="53"/>
  <c r="A1445" i="53" s="1"/>
  <c r="B919" i="53"/>
  <c r="A919" i="53" s="1"/>
  <c r="B1483" i="53"/>
  <c r="A1483" i="53" s="1"/>
  <c r="B1599" i="53"/>
  <c r="A1599" i="53" s="1"/>
  <c r="B1600" i="53"/>
  <c r="A1600" i="53" s="1"/>
  <c r="B1601" i="53"/>
  <c r="A1601" i="53" s="1"/>
  <c r="B1376" i="53"/>
  <c r="A1376" i="53" s="1"/>
  <c r="B1377" i="53"/>
  <c r="A1377" i="53" s="1"/>
  <c r="B56" i="53"/>
  <c r="A56" i="53" s="1"/>
  <c r="B1205" i="53"/>
  <c r="A1205" i="53" s="1"/>
  <c r="B1703" i="53"/>
  <c r="A1703" i="53" s="1"/>
  <c r="B1211" i="53"/>
  <c r="A1211" i="53" s="1"/>
  <c r="B1221" i="53"/>
  <c r="A1221" i="53" s="1"/>
  <c r="B1560" i="53"/>
  <c r="A1560" i="53" s="1"/>
  <c r="B120" i="53"/>
  <c r="A120" i="53" s="1"/>
  <c r="B124" i="53"/>
  <c r="A124" i="53" s="1"/>
  <c r="B492" i="53"/>
  <c r="A492" i="53" s="1"/>
  <c r="B1741" i="53"/>
  <c r="A1741" i="53" s="1"/>
  <c r="B1309" i="53"/>
  <c r="A1309" i="53" s="1"/>
  <c r="B1802" i="53"/>
  <c r="A1802" i="53" s="1"/>
  <c r="B1916" i="53"/>
  <c r="A1916" i="53" s="1"/>
  <c r="B1246" i="53"/>
  <c r="A1246" i="53" s="1"/>
  <c r="B1254" i="53"/>
  <c r="A1254" i="53" s="1"/>
  <c r="B1256" i="53"/>
  <c r="A1256" i="53" s="1"/>
  <c r="B1972" i="53"/>
  <c r="A1972" i="53" s="1"/>
  <c r="B1976" i="53"/>
  <c r="A1976" i="53" s="1"/>
  <c r="B1980" i="53"/>
  <c r="A1980" i="53" s="1"/>
  <c r="B1984" i="53"/>
  <c r="A1984" i="53" s="1"/>
  <c r="B1988" i="53"/>
  <c r="A1988" i="53" s="1"/>
  <c r="B1992" i="53"/>
  <c r="A1992" i="53" s="1"/>
  <c r="B1996" i="53"/>
  <c r="A1996" i="53" s="1"/>
  <c r="B2000" i="53"/>
  <c r="A2000" i="53" s="1"/>
  <c r="B2004" i="53"/>
  <c r="A2004" i="53" s="1"/>
  <c r="B2008" i="53"/>
  <c r="A2008" i="53" s="1"/>
  <c r="B2012" i="53"/>
  <c r="A2012" i="53" s="1"/>
  <c r="B2016" i="53"/>
  <c r="A2016" i="53" s="1"/>
  <c r="B2020" i="53"/>
  <c r="A2020" i="53" s="1"/>
  <c r="B2024" i="53"/>
  <c r="A2024" i="53" s="1"/>
  <c r="B2028" i="53"/>
  <c r="A2028" i="53" s="1"/>
  <c r="B2032" i="53"/>
  <c r="A2032" i="53" s="1"/>
  <c r="B2036" i="53"/>
  <c r="A2036" i="53" s="1"/>
  <c r="B2040" i="53"/>
  <c r="A2040" i="53" s="1"/>
  <c r="B2048" i="53"/>
  <c r="A2048" i="53" s="1"/>
  <c r="B2052" i="53"/>
  <c r="A2052" i="53" s="1"/>
  <c r="B2056" i="53"/>
  <c r="A2056" i="53" s="1"/>
  <c r="B2060" i="53"/>
  <c r="A2060" i="53" s="1"/>
  <c r="B2064" i="53"/>
  <c r="A2064" i="53" s="1"/>
  <c r="B2068" i="53"/>
  <c r="A2068" i="53" s="1"/>
  <c r="B2072" i="53"/>
  <c r="A2072" i="53" s="1"/>
  <c r="B2076" i="53"/>
  <c r="A2076" i="53" s="1"/>
  <c r="B2080" i="53"/>
  <c r="A2080" i="53" s="1"/>
  <c r="B2381" i="53"/>
  <c r="A2381" i="53" s="1"/>
  <c r="B180" i="53"/>
  <c r="A180" i="53" s="1"/>
  <c r="B401" i="53"/>
  <c r="A401" i="53" s="1"/>
  <c r="B212" i="53"/>
  <c r="A212" i="53" s="1"/>
  <c r="B980" i="53"/>
  <c r="A980" i="53" s="1"/>
  <c r="B453" i="53"/>
  <c r="A453" i="53" s="1"/>
  <c r="B461" i="53"/>
  <c r="A461" i="53" s="1"/>
  <c r="B880" i="53"/>
  <c r="A880" i="53" s="1"/>
  <c r="B1002" i="53"/>
  <c r="A1002" i="53" s="1"/>
  <c r="B1006" i="53"/>
  <c r="A1006" i="53" s="1"/>
  <c r="B1656" i="53"/>
  <c r="A1656" i="53" s="1"/>
  <c r="B1013" i="53"/>
  <c r="A1013" i="53" s="1"/>
  <c r="B1462" i="53"/>
  <c r="A1462" i="53" s="1"/>
  <c r="B1735" i="53"/>
  <c r="A1735" i="53" s="1"/>
  <c r="B442" i="53"/>
  <c r="A442" i="53" s="1"/>
  <c r="B1495" i="53"/>
  <c r="A1495" i="53" s="1"/>
  <c r="B1791" i="53"/>
  <c r="A1791" i="53" s="1"/>
  <c r="B1793" i="53"/>
  <c r="A1793" i="53" s="1"/>
  <c r="B1031" i="53"/>
  <c r="A1031" i="53" s="1"/>
  <c r="B1033" i="53"/>
  <c r="A1033" i="53" s="1"/>
  <c r="B356" i="53"/>
  <c r="A356" i="53" s="1"/>
  <c r="B1944" i="53"/>
  <c r="A1944" i="53" s="1"/>
  <c r="B1957" i="53"/>
  <c r="A1957" i="53" s="1"/>
  <c r="B1055" i="53"/>
  <c r="A1055" i="53" s="1"/>
  <c r="B505" i="53"/>
  <c r="A505" i="53" s="1"/>
  <c r="B1852" i="53"/>
  <c r="A1852" i="53" s="1"/>
  <c r="B1853" i="53"/>
  <c r="A1853" i="53" s="1"/>
  <c r="B1856" i="53"/>
  <c r="A1856" i="53" s="1"/>
  <c r="B1670" i="53"/>
  <c r="A1670" i="53" s="1"/>
  <c r="B868" i="53"/>
  <c r="A868" i="53" s="1"/>
  <c r="B1591" i="53"/>
  <c r="A1591" i="53" s="1"/>
  <c r="B1105" i="53"/>
  <c r="A1105" i="53" s="1"/>
  <c r="B1471" i="53"/>
  <c r="A1471" i="53" s="1"/>
  <c r="B1473" i="53"/>
  <c r="A1473" i="53" s="1"/>
  <c r="B792" i="53"/>
  <c r="A792" i="53" s="1"/>
  <c r="B1109" i="53"/>
  <c r="A1109" i="53" s="1"/>
  <c r="B1525" i="53"/>
  <c r="A1525" i="53" s="1"/>
  <c r="B1496" i="53"/>
  <c r="A1496" i="53" s="1"/>
  <c r="B1117" i="53"/>
  <c r="A1117" i="53" s="1"/>
  <c r="B1432" i="53"/>
  <c r="A1432" i="53" s="1"/>
  <c r="B1437" i="53"/>
  <c r="A1437" i="53" s="1"/>
  <c r="B1439" i="53"/>
  <c r="A1439" i="53" s="1"/>
  <c r="B43" i="53"/>
  <c r="A43" i="53" s="1"/>
  <c r="B50" i="53"/>
  <c r="A50" i="53" s="1"/>
  <c r="B1165" i="53"/>
  <c r="A1165" i="53" s="1"/>
  <c r="B260" i="53"/>
  <c r="A260" i="53" s="1"/>
  <c r="B262" i="53"/>
  <c r="A262" i="53" s="1"/>
  <c r="B1444" i="53"/>
  <c r="A1444" i="53" s="1"/>
  <c r="B1446" i="53"/>
  <c r="A1446" i="53" s="1"/>
  <c r="B264" i="53"/>
  <c r="A264" i="53" s="1"/>
  <c r="B912" i="53"/>
  <c r="A912" i="53" s="1"/>
  <c r="B1190" i="53"/>
  <c r="A1190" i="53" s="1"/>
  <c r="B1191" i="53"/>
  <c r="A1191" i="53" s="1"/>
  <c r="B1720" i="53"/>
  <c r="A1720" i="53" s="1"/>
  <c r="B1721" i="53"/>
  <c r="A1721" i="53" s="1"/>
  <c r="B822" i="53"/>
  <c r="A822" i="53" s="1"/>
  <c r="B1210" i="53"/>
  <c r="A1210" i="53" s="1"/>
  <c r="B1212" i="53"/>
  <c r="A1212" i="53" s="1"/>
  <c r="B1815" i="53"/>
  <c r="A1815" i="53" s="1"/>
  <c r="B512" i="53"/>
  <c r="A512" i="53" s="1"/>
  <c r="B1233" i="53"/>
  <c r="A1233" i="53" s="1"/>
  <c r="B1466" i="53"/>
  <c r="A1466" i="53" s="1"/>
  <c r="B1739" i="53"/>
  <c r="A1739" i="53" s="1"/>
  <c r="B848" i="53"/>
  <c r="A848" i="53" s="1"/>
  <c r="B1368" i="53"/>
  <c r="A1368" i="53" s="1"/>
  <c r="B1372" i="53"/>
  <c r="A1372" i="53" s="1"/>
  <c r="B402" i="53"/>
  <c r="A402" i="53" s="1"/>
  <c r="B201" i="53"/>
  <c r="A201" i="53" s="1"/>
  <c r="B213" i="53"/>
  <c r="A213" i="53" s="1"/>
  <c r="B1295" i="53"/>
  <c r="A1295" i="53" s="1"/>
  <c r="B997" i="53"/>
  <c r="A997" i="53" s="1"/>
  <c r="B232" i="53"/>
  <c r="A232" i="53" s="1"/>
  <c r="B253" i="53"/>
  <c r="A253" i="53" s="1"/>
  <c r="B188" i="53"/>
  <c r="A188" i="53" s="1"/>
  <c r="B298" i="53"/>
  <c r="A298" i="53" s="1"/>
  <c r="B139" i="53"/>
  <c r="A139" i="53" s="1"/>
  <c r="B1657" i="53"/>
  <c r="A1657" i="53" s="1"/>
  <c r="B1014" i="53"/>
  <c r="A1014" i="53" s="1"/>
  <c r="B1461" i="53"/>
  <c r="A1461" i="53" s="1"/>
  <c r="B1734" i="53"/>
  <c r="A1734" i="53" s="1"/>
  <c r="B15" i="53"/>
  <c r="A15" i="53" s="1"/>
  <c r="B1023" i="53"/>
  <c r="A1023" i="53" s="1"/>
  <c r="B443" i="53"/>
  <c r="A443" i="53" s="1"/>
  <c r="B832" i="53"/>
  <c r="A832" i="53" s="1"/>
  <c r="B308" i="53"/>
  <c r="A308" i="53" s="1"/>
  <c r="B281" i="53"/>
  <c r="A281" i="53" s="1"/>
  <c r="B370" i="53"/>
  <c r="A370" i="53" s="1"/>
  <c r="B375" i="53"/>
  <c r="A375" i="53" s="1"/>
  <c r="B379" i="53"/>
  <c r="A379" i="53" s="1"/>
  <c r="B1056" i="53"/>
  <c r="A1056" i="53" s="1"/>
  <c r="B1584" i="53"/>
  <c r="A1584" i="53" s="1"/>
  <c r="B499" i="53"/>
  <c r="A499" i="53" s="1"/>
  <c r="B16" i="53"/>
  <c r="A16" i="53" s="1"/>
  <c r="B1061" i="53"/>
  <c r="A1061" i="53" s="1"/>
  <c r="B17" i="53"/>
  <c r="A17" i="53" s="1"/>
  <c r="B18" i="53"/>
  <c r="A18" i="53" s="1"/>
  <c r="B19" i="53"/>
  <c r="A19" i="53" s="1"/>
  <c r="B1084" i="53"/>
  <c r="A1084" i="53" s="1"/>
  <c r="B1870" i="53"/>
  <c r="A1870" i="53" s="1"/>
  <c r="B24" i="53"/>
  <c r="A24" i="53" s="1"/>
  <c r="B1429" i="53"/>
  <c r="A1429" i="53" s="1"/>
  <c r="B1118" i="53"/>
  <c r="A1118" i="53" s="1"/>
  <c r="B1500" i="53"/>
  <c r="A1500" i="53" s="1"/>
  <c r="B1433" i="53"/>
  <c r="A1433" i="53" s="1"/>
  <c r="B1775" i="53"/>
  <c r="A1775" i="53" s="1"/>
  <c r="B445" i="53"/>
  <c r="A445" i="53" s="1"/>
  <c r="B40" i="53"/>
  <c r="A40" i="53" s="1"/>
  <c r="B1144" i="53"/>
  <c r="A1144" i="53" s="1"/>
  <c r="B1146" i="53"/>
  <c r="A1146" i="53" s="1"/>
  <c r="B950" i="53"/>
  <c r="A950" i="53" s="1"/>
  <c r="B349" i="53"/>
  <c r="A349" i="53" s="1"/>
  <c r="B1410" i="53"/>
  <c r="A1410" i="53" s="1"/>
  <c r="B2084" i="53"/>
  <c r="A2084" i="53" s="1"/>
  <c r="B2092" i="53"/>
  <c r="A2092" i="53" s="1"/>
  <c r="B2096" i="53"/>
  <c r="A2096" i="53" s="1"/>
  <c r="B2100" i="53"/>
  <c r="A2100" i="53" s="1"/>
  <c r="B2104" i="53"/>
  <c r="A2104" i="53" s="1"/>
  <c r="B2112" i="53"/>
  <c r="A2112" i="53" s="1"/>
  <c r="B2116" i="53"/>
  <c r="A2116" i="53" s="1"/>
  <c r="B2120" i="53"/>
  <c r="A2120" i="53" s="1"/>
  <c r="B2124" i="53"/>
  <c r="A2124" i="53" s="1"/>
  <c r="B2128" i="53"/>
  <c r="A2128" i="53" s="1"/>
  <c r="B2132" i="53"/>
  <c r="A2132" i="53" s="1"/>
  <c r="B2136" i="53"/>
  <c r="A2136" i="53" s="1"/>
  <c r="B2140" i="53"/>
  <c r="A2140" i="53" s="1"/>
  <c r="B2144" i="53"/>
  <c r="A2144" i="53" s="1"/>
  <c r="B2148" i="53"/>
  <c r="A2148" i="53" s="1"/>
  <c r="B2152" i="53"/>
  <c r="A2152" i="53" s="1"/>
  <c r="B2156" i="53"/>
  <c r="A2156" i="53" s="1"/>
  <c r="B2160" i="53"/>
  <c r="A2160" i="53" s="1"/>
  <c r="B2164" i="53"/>
  <c r="A2164" i="53" s="1"/>
  <c r="B2168" i="53"/>
  <c r="A2168" i="53" s="1"/>
  <c r="B2172" i="53"/>
  <c r="A2172" i="53" s="1"/>
  <c r="B2176" i="53"/>
  <c r="A2176" i="53" s="1"/>
  <c r="B2180" i="53"/>
  <c r="A2180" i="53" s="1"/>
  <c r="B2184" i="53"/>
  <c r="A2184" i="53" s="1"/>
  <c r="B2188" i="53"/>
  <c r="A2188" i="53" s="1"/>
  <c r="B2192" i="53"/>
  <c r="A2192" i="53" s="1"/>
  <c r="B2196" i="53"/>
  <c r="A2196" i="53" s="1"/>
  <c r="B2200" i="53"/>
  <c r="A2200" i="53" s="1"/>
  <c r="B2204" i="53"/>
  <c r="A2204" i="53" s="1"/>
  <c r="B2208" i="53"/>
  <c r="A2208" i="53" s="1"/>
  <c r="B2212" i="53"/>
  <c r="A2212" i="53" s="1"/>
  <c r="B2216" i="53"/>
  <c r="A2216" i="53" s="1"/>
  <c r="B2220" i="53"/>
  <c r="A2220" i="53" s="1"/>
  <c r="B2224" i="53"/>
  <c r="A2224" i="53" s="1"/>
  <c r="B2228" i="53"/>
  <c r="A2228" i="53" s="1"/>
  <c r="B2232" i="53"/>
  <c r="A2232" i="53" s="1"/>
  <c r="B2236" i="53"/>
  <c r="A2236" i="53" s="1"/>
  <c r="B2240" i="53"/>
  <c r="A2240" i="53" s="1"/>
  <c r="B2244" i="53"/>
  <c r="A2244" i="53" s="1"/>
  <c r="B2248" i="53"/>
  <c r="A2248" i="53" s="1"/>
  <c r="B2252" i="53"/>
  <c r="A2252" i="53" s="1"/>
  <c r="B2256" i="53"/>
  <c r="A2256" i="53" s="1"/>
  <c r="B2260" i="53"/>
  <c r="A2260" i="53" s="1"/>
  <c r="B2264" i="53"/>
  <c r="A2264" i="53" s="1"/>
  <c r="B2268" i="53"/>
  <c r="A2268" i="53" s="1"/>
  <c r="B2272" i="53"/>
  <c r="A2272" i="53" s="1"/>
  <c r="B2276" i="53"/>
  <c r="A2276" i="53" s="1"/>
  <c r="B2280" i="53"/>
  <c r="A2280" i="53" s="1"/>
  <c r="B2284" i="53"/>
  <c r="A2284" i="53" s="1"/>
  <c r="B2288" i="53"/>
  <c r="A2288" i="53" s="1"/>
  <c r="B2292" i="53"/>
  <c r="A2292" i="53" s="1"/>
  <c r="B2296" i="53"/>
  <c r="A2296" i="53" s="1"/>
  <c r="B2300" i="53"/>
  <c r="A2300" i="53" s="1"/>
  <c r="B2304" i="53"/>
  <c r="A2304" i="53" s="1"/>
  <c r="B2308" i="53"/>
  <c r="A2308" i="53" s="1"/>
  <c r="B2312" i="53"/>
  <c r="A2312" i="53" s="1"/>
  <c r="B2316" i="53"/>
  <c r="A2316" i="53" s="1"/>
  <c r="B2320" i="53"/>
  <c r="A2320" i="53" s="1"/>
  <c r="B2324" i="53"/>
  <c r="A2324" i="53" s="1"/>
  <c r="B2328" i="53"/>
  <c r="A2328" i="53" s="1"/>
  <c r="B2332" i="53"/>
  <c r="A2332" i="53" s="1"/>
  <c r="B2336" i="53"/>
  <c r="A2336" i="53" s="1"/>
  <c r="B2340" i="53"/>
  <c r="A2340" i="53" s="1"/>
  <c r="B2344" i="53"/>
  <c r="A2344" i="53" s="1"/>
  <c r="B2348" i="53"/>
  <c r="A2348" i="53" s="1"/>
  <c r="B2352" i="53"/>
  <c r="A2352" i="53" s="1"/>
  <c r="B2356" i="53"/>
  <c r="A2356" i="53" s="1"/>
  <c r="B2360" i="53"/>
  <c r="A2360" i="53" s="1"/>
  <c r="B2364" i="53"/>
  <c r="A2364" i="53" s="1"/>
  <c r="B2368" i="53"/>
  <c r="A2368" i="53" s="1"/>
  <c r="B2372" i="53"/>
  <c r="A2372" i="53" s="1"/>
  <c r="B2376" i="53"/>
  <c r="A2376" i="53" s="1"/>
  <c r="B2380" i="53"/>
  <c r="A2380" i="53" s="1"/>
  <c r="B2384" i="53"/>
  <c r="A2384" i="53" s="1"/>
  <c r="B2388" i="53"/>
  <c r="A2388" i="53" s="1"/>
  <c r="B2396" i="53"/>
  <c r="A2396" i="53" s="1"/>
  <c r="B2404" i="53"/>
  <c r="A2404" i="53" s="1"/>
  <c r="B2408" i="53"/>
  <c r="A2408" i="53" s="1"/>
  <c r="B2412" i="53"/>
  <c r="A2412" i="53" s="1"/>
  <c r="B2416" i="53"/>
  <c r="A2416" i="53" s="1"/>
  <c r="B2420" i="53"/>
  <c r="A2420" i="53" s="1"/>
  <c r="B2424" i="53"/>
  <c r="A2424" i="53" s="1"/>
  <c r="B2428" i="53"/>
  <c r="A2428" i="53" s="1"/>
  <c r="B2432" i="53"/>
  <c r="A2432" i="53" s="1"/>
  <c r="B2436" i="53"/>
  <c r="A2436" i="53" s="1"/>
  <c r="B1470" i="53"/>
  <c r="A1470" i="53" s="1"/>
  <c r="B1311" i="53"/>
  <c r="A1311" i="53" s="1"/>
  <c r="B1287" i="53"/>
  <c r="A1287" i="53" s="1"/>
  <c r="B1290" i="53"/>
  <c r="A1290" i="53" s="1"/>
  <c r="B1914" i="53"/>
  <c r="A1914" i="53" s="1"/>
  <c r="B1918" i="53"/>
  <c r="A1918" i="53" s="1"/>
  <c r="B1245" i="53"/>
  <c r="A1245" i="53" s="1"/>
  <c r="B1247" i="53"/>
  <c r="A1247" i="53" s="1"/>
  <c r="B1255" i="53"/>
  <c r="A1255" i="53" s="1"/>
  <c r="B1970" i="53"/>
  <c r="A1970" i="53" s="1"/>
  <c r="B1974" i="53"/>
  <c r="A1974" i="53" s="1"/>
  <c r="B1978" i="53"/>
  <c r="A1978" i="53" s="1"/>
  <c r="B1982" i="53"/>
  <c r="A1982" i="53" s="1"/>
  <c r="B1986" i="53"/>
  <c r="A1986" i="53" s="1"/>
  <c r="B1990" i="53"/>
  <c r="A1990" i="53" s="1"/>
  <c r="B1994" i="53"/>
  <c r="A1994" i="53" s="1"/>
  <c r="B1998" i="53"/>
  <c r="A1998" i="53" s="1"/>
  <c r="B2002" i="53"/>
  <c r="A2002" i="53" s="1"/>
  <c r="B2006" i="53"/>
  <c r="A2006" i="53" s="1"/>
  <c r="B2010" i="53"/>
  <c r="A2010" i="53" s="1"/>
  <c r="B2014" i="53"/>
  <c r="A2014" i="53" s="1"/>
  <c r="B2018" i="53"/>
  <c r="A2018" i="53" s="1"/>
  <c r="B2022" i="53"/>
  <c r="A2022" i="53" s="1"/>
  <c r="B2026" i="53"/>
  <c r="A2026" i="53" s="1"/>
  <c r="B2030" i="53"/>
  <c r="A2030" i="53" s="1"/>
  <c r="B2034" i="53"/>
  <c r="A2034" i="53" s="1"/>
  <c r="B2038" i="53"/>
  <c r="A2038" i="53" s="1"/>
  <c r="B2042" i="53"/>
  <c r="A2042" i="53" s="1"/>
  <c r="B2046" i="53"/>
  <c r="A2046" i="53" s="1"/>
  <c r="B2050" i="53"/>
  <c r="A2050" i="53" s="1"/>
  <c r="B2054" i="53"/>
  <c r="A2054" i="53" s="1"/>
  <c r="B2058" i="53"/>
  <c r="A2058" i="53" s="1"/>
  <c r="B2062" i="53"/>
  <c r="A2062" i="53" s="1"/>
  <c r="B2066" i="53"/>
  <c r="A2066" i="53" s="1"/>
  <c r="B2070" i="53"/>
  <c r="A2070" i="53" s="1"/>
  <c r="B2074" i="53"/>
  <c r="A2074" i="53" s="1"/>
  <c r="B2078" i="53"/>
  <c r="A2078" i="53" s="1"/>
  <c r="B2082" i="53"/>
  <c r="A2082" i="53" s="1"/>
  <c r="B2086" i="53"/>
  <c r="A2086" i="53" s="1"/>
  <c r="B2090" i="53"/>
  <c r="A2090" i="53" s="1"/>
  <c r="B2094" i="53"/>
  <c r="A2094" i="53" s="1"/>
  <c r="B2098" i="53"/>
  <c r="A2098" i="53" s="1"/>
  <c r="B2102" i="53"/>
  <c r="A2102" i="53" s="1"/>
  <c r="B2106" i="53"/>
  <c r="A2106" i="53" s="1"/>
  <c r="B2110" i="53"/>
  <c r="A2110" i="53" s="1"/>
  <c r="B2114" i="53"/>
  <c r="A2114" i="53" s="1"/>
  <c r="B2118" i="53"/>
  <c r="A2118" i="53" s="1"/>
  <c r="B2122" i="53"/>
  <c r="A2122" i="53" s="1"/>
  <c r="B2126" i="53"/>
  <c r="A2126" i="53" s="1"/>
  <c r="B2130" i="53"/>
  <c r="A2130" i="53" s="1"/>
  <c r="B2134" i="53"/>
  <c r="A2134" i="53" s="1"/>
  <c r="B2142" i="53"/>
  <c r="A2142" i="53" s="1"/>
  <c r="B2146" i="53"/>
  <c r="A2146" i="53" s="1"/>
  <c r="B2150" i="53"/>
  <c r="A2150" i="53" s="1"/>
  <c r="B2154" i="53"/>
  <c r="A2154" i="53" s="1"/>
  <c r="B2158" i="53"/>
  <c r="A2158" i="53" s="1"/>
  <c r="B2162" i="53"/>
  <c r="A2162" i="53" s="1"/>
  <c r="B2166" i="53"/>
  <c r="A2166" i="53" s="1"/>
  <c r="B2170" i="53"/>
  <c r="A2170" i="53" s="1"/>
  <c r="B2174" i="53"/>
  <c r="A2174" i="53" s="1"/>
  <c r="B2178" i="53"/>
  <c r="A2178" i="53" s="1"/>
  <c r="B2182" i="53"/>
  <c r="A2182" i="53" s="1"/>
  <c r="B2186" i="53"/>
  <c r="A2186" i="53" s="1"/>
  <c r="B2190" i="53"/>
  <c r="A2190" i="53" s="1"/>
  <c r="B2194" i="53"/>
  <c r="A2194" i="53" s="1"/>
  <c r="B2198" i="53"/>
  <c r="A2198" i="53" s="1"/>
  <c r="B2202" i="53"/>
  <c r="A2202" i="53" s="1"/>
  <c r="B2206" i="53"/>
  <c r="A2206" i="53" s="1"/>
  <c r="B2210" i="53"/>
  <c r="A2210" i="53" s="1"/>
  <c r="B2214" i="53"/>
  <c r="A2214" i="53" s="1"/>
  <c r="B2218" i="53"/>
  <c r="A2218" i="53" s="1"/>
  <c r="B2222" i="53"/>
  <c r="A2222" i="53" s="1"/>
  <c r="B2226" i="53"/>
  <c r="A2226" i="53" s="1"/>
  <c r="B2230" i="53"/>
  <c r="A2230" i="53" s="1"/>
  <c r="B2234" i="53"/>
  <c r="A2234" i="53" s="1"/>
  <c r="B2238" i="53"/>
  <c r="A2238" i="53" s="1"/>
  <c r="B2242" i="53"/>
  <c r="A2242" i="53" s="1"/>
  <c r="B2246" i="53"/>
  <c r="A2246" i="53" s="1"/>
  <c r="B2250" i="53"/>
  <c r="A2250" i="53" s="1"/>
  <c r="B2254" i="53"/>
  <c r="A2254" i="53" s="1"/>
  <c r="B2258" i="53"/>
  <c r="A2258" i="53" s="1"/>
  <c r="B2262" i="53"/>
  <c r="A2262" i="53" s="1"/>
  <c r="B2266" i="53"/>
  <c r="A2266" i="53" s="1"/>
  <c r="B2270" i="53"/>
  <c r="A2270" i="53" s="1"/>
  <c r="B2274" i="53"/>
  <c r="A2274" i="53" s="1"/>
  <c r="B890" i="53"/>
  <c r="A890" i="53" s="1"/>
  <c r="B1177" i="53"/>
  <c r="A1177" i="53" s="1"/>
  <c r="B913" i="53"/>
  <c r="A913" i="53" s="1"/>
  <c r="B918" i="53"/>
  <c r="A918" i="53" s="1"/>
  <c r="B922" i="53"/>
  <c r="A922" i="53" s="1"/>
  <c r="B1414" i="53"/>
  <c r="A1414" i="53" s="1"/>
  <c r="B1415" i="53"/>
  <c r="A1415" i="53" s="1"/>
  <c r="B1416" i="53"/>
  <c r="A1416" i="53" s="1"/>
  <c r="B1950" i="53"/>
  <c r="A1950" i="53" s="1"/>
  <c r="B1951" i="53"/>
  <c r="A1951" i="53" s="1"/>
  <c r="B1725" i="53"/>
  <c r="A1725" i="53" s="1"/>
  <c r="B1729" i="53"/>
  <c r="A1729" i="53" s="1"/>
  <c r="B1202" i="53"/>
  <c r="A1202" i="53" s="1"/>
  <c r="B1816" i="53"/>
  <c r="A1816" i="53" s="1"/>
  <c r="B1216" i="53"/>
  <c r="A1216" i="53" s="1"/>
  <c r="B1224" i="53"/>
  <c r="A1224" i="53" s="1"/>
  <c r="B1559" i="53"/>
  <c r="A1559" i="53" s="1"/>
  <c r="B1563" i="53"/>
  <c r="A1563" i="53" s="1"/>
  <c r="B121" i="53"/>
  <c r="A121" i="53" s="1"/>
  <c r="B1511" i="53"/>
  <c r="A1511" i="53" s="1"/>
  <c r="B1738" i="53"/>
  <c r="A1738" i="53" s="1"/>
  <c r="B1742" i="53"/>
  <c r="A1742" i="53" s="1"/>
  <c r="B836" i="53"/>
  <c r="A836" i="53" s="1"/>
  <c r="B1312" i="53"/>
  <c r="A1312" i="53" s="1"/>
  <c r="B1919" i="53"/>
  <c r="A1919" i="53" s="1"/>
  <c r="B1921" i="53"/>
  <c r="A1921" i="53" s="1"/>
  <c r="B1966" i="53"/>
  <c r="A1966" i="53" s="1"/>
  <c r="B1971" i="53"/>
  <c r="A1971" i="53" s="1"/>
  <c r="B1975" i="53"/>
  <c r="A1975" i="53" s="1"/>
  <c r="B1979" i="53"/>
  <c r="A1979" i="53" s="1"/>
  <c r="B1983" i="53"/>
  <c r="A1983" i="53" s="1"/>
  <c r="B1987" i="53"/>
  <c r="A1987" i="53" s="1"/>
  <c r="B1991" i="53"/>
  <c r="A1991" i="53" s="1"/>
  <c r="B1995" i="53"/>
  <c r="A1995" i="53" s="1"/>
  <c r="B1999" i="53"/>
  <c r="A1999" i="53" s="1"/>
  <c r="B2003" i="53"/>
  <c r="A2003" i="53" s="1"/>
  <c r="B2007" i="53"/>
  <c r="A2007" i="53" s="1"/>
  <c r="B2011" i="53"/>
  <c r="A2011" i="53" s="1"/>
  <c r="B2015" i="53"/>
  <c r="A2015" i="53" s="1"/>
  <c r="B2019" i="53"/>
  <c r="A2019" i="53" s="1"/>
  <c r="B2023" i="53"/>
  <c r="A2023" i="53" s="1"/>
  <c r="B2027" i="53"/>
  <c r="A2027" i="53" s="1"/>
  <c r="B2031" i="53"/>
  <c r="A2031" i="53" s="1"/>
  <c r="B2035" i="53"/>
  <c r="A2035" i="53" s="1"/>
  <c r="B2039" i="53"/>
  <c r="A2039" i="53" s="1"/>
  <c r="B2043" i="53"/>
  <c r="A2043" i="53" s="1"/>
  <c r="B2051" i="53"/>
  <c r="A2051" i="53" s="1"/>
  <c r="B2055" i="53"/>
  <c r="A2055" i="53" s="1"/>
  <c r="B2059" i="53"/>
  <c r="A2059" i="53" s="1"/>
  <c r="B2063" i="53"/>
  <c r="A2063" i="53" s="1"/>
  <c r="B2067" i="53"/>
  <c r="A2067" i="53" s="1"/>
  <c r="B2071" i="53"/>
  <c r="A2071" i="53" s="1"/>
  <c r="B2075" i="53"/>
  <c r="A2075" i="53" s="1"/>
  <c r="B2079" i="53"/>
  <c r="A2079" i="53" s="1"/>
  <c r="B2083" i="53"/>
  <c r="A2083" i="53" s="1"/>
  <c r="B2087" i="53"/>
  <c r="A2087" i="53" s="1"/>
  <c r="B2091" i="53"/>
  <c r="A2091" i="53" s="1"/>
  <c r="B2095" i="53"/>
  <c r="A2095" i="53" s="1"/>
  <c r="B2278" i="53"/>
  <c r="A2278" i="53" s="1"/>
  <c r="B2282" i="53"/>
  <c r="A2282" i="53" s="1"/>
  <c r="B2286" i="53"/>
  <c r="A2286" i="53" s="1"/>
  <c r="B2290" i="53"/>
  <c r="A2290" i="53" s="1"/>
  <c r="B2294" i="53"/>
  <c r="A2294" i="53" s="1"/>
  <c r="B2298" i="53"/>
  <c r="A2298" i="53" s="1"/>
  <c r="B2302" i="53"/>
  <c r="A2302" i="53" s="1"/>
  <c r="B2306" i="53"/>
  <c r="A2306" i="53" s="1"/>
  <c r="B2310" i="53"/>
  <c r="A2310" i="53" s="1"/>
  <c r="B2314" i="53"/>
  <c r="A2314" i="53" s="1"/>
  <c r="B2318" i="53"/>
  <c r="A2318" i="53" s="1"/>
  <c r="B2322" i="53"/>
  <c r="A2322" i="53" s="1"/>
  <c r="B2326" i="53"/>
  <c r="A2326" i="53" s="1"/>
  <c r="B2330" i="53"/>
  <c r="A2330" i="53" s="1"/>
  <c r="B2334" i="53"/>
  <c r="A2334" i="53" s="1"/>
  <c r="B2338" i="53"/>
  <c r="A2338" i="53" s="1"/>
  <c r="B2342" i="53"/>
  <c r="A2342" i="53" s="1"/>
  <c r="B2346" i="53"/>
  <c r="A2346" i="53" s="1"/>
  <c r="B2350" i="53"/>
  <c r="A2350" i="53" s="1"/>
  <c r="B2354" i="53"/>
  <c r="A2354" i="53" s="1"/>
  <c r="B2358" i="53"/>
  <c r="A2358" i="53" s="1"/>
  <c r="B2362" i="53"/>
  <c r="A2362" i="53" s="1"/>
  <c r="B2366" i="53"/>
  <c r="A2366" i="53" s="1"/>
  <c r="B2370" i="53"/>
  <c r="A2370" i="53" s="1"/>
  <c r="B2374" i="53"/>
  <c r="A2374" i="53" s="1"/>
  <c r="B2378" i="53"/>
  <c r="A2378" i="53" s="1"/>
  <c r="B2382" i="53"/>
  <c r="A2382" i="53" s="1"/>
  <c r="B2386" i="53"/>
  <c r="A2386" i="53" s="1"/>
  <c r="B2390" i="53"/>
  <c r="A2390" i="53" s="1"/>
  <c r="B2394" i="53"/>
  <c r="A2394" i="53" s="1"/>
  <c r="B2398" i="53"/>
  <c r="A2398" i="53" s="1"/>
  <c r="B2402" i="53"/>
  <c r="A2402" i="53" s="1"/>
  <c r="B2406" i="53"/>
  <c r="A2406" i="53" s="1"/>
  <c r="B2410" i="53"/>
  <c r="A2410" i="53" s="1"/>
  <c r="B2414" i="53"/>
  <c r="A2414" i="53" s="1"/>
  <c r="B2418" i="53"/>
  <c r="A2418" i="53" s="1"/>
  <c r="B2422" i="53"/>
  <c r="A2422" i="53" s="1"/>
  <c r="B2426" i="53"/>
  <c r="A2426" i="53" s="1"/>
  <c r="B2430" i="53"/>
  <c r="A2430" i="53" s="1"/>
  <c r="B2434" i="53"/>
  <c r="A2434" i="53" s="1"/>
  <c r="B2099" i="53"/>
  <c r="A2099" i="53" s="1"/>
  <c r="B2103" i="53"/>
  <c r="A2103" i="53" s="1"/>
  <c r="B2107" i="53"/>
  <c r="A2107" i="53" s="1"/>
  <c r="B2111" i="53"/>
  <c r="A2111" i="53" s="1"/>
  <c r="B2115" i="53"/>
  <c r="A2115" i="53" s="1"/>
  <c r="B2119" i="53"/>
  <c r="A2119" i="53" s="1"/>
  <c r="B2123" i="53"/>
  <c r="A2123" i="53" s="1"/>
  <c r="B2127" i="53"/>
  <c r="A2127" i="53" s="1"/>
  <c r="B2131" i="53"/>
  <c r="A2131" i="53" s="1"/>
  <c r="B2135" i="53"/>
  <c r="A2135" i="53" s="1"/>
  <c r="B2139" i="53"/>
  <c r="A2139" i="53" s="1"/>
  <c r="B2143" i="53"/>
  <c r="A2143" i="53" s="1"/>
  <c r="B2147" i="53"/>
  <c r="A2147" i="53" s="1"/>
  <c r="B2151" i="53"/>
  <c r="A2151" i="53" s="1"/>
  <c r="B2155" i="53"/>
  <c r="A2155" i="53" s="1"/>
  <c r="B2159" i="53"/>
  <c r="A2159" i="53" s="1"/>
  <c r="B2163" i="53"/>
  <c r="A2163" i="53" s="1"/>
  <c r="B2167" i="53"/>
  <c r="A2167" i="53" s="1"/>
  <c r="B2171" i="53"/>
  <c r="A2171" i="53" s="1"/>
  <c r="B2175" i="53"/>
  <c r="A2175" i="53" s="1"/>
  <c r="B2179" i="53"/>
  <c r="A2179" i="53" s="1"/>
  <c r="B2183" i="53"/>
  <c r="A2183" i="53" s="1"/>
  <c r="B2187" i="53"/>
  <c r="A2187" i="53" s="1"/>
  <c r="B2191" i="53"/>
  <c r="A2191" i="53" s="1"/>
  <c r="B2195" i="53"/>
  <c r="A2195" i="53" s="1"/>
  <c r="B2199" i="53"/>
  <c r="A2199" i="53" s="1"/>
  <c r="B2203" i="53"/>
  <c r="A2203" i="53" s="1"/>
  <c r="B2207" i="53"/>
  <c r="A2207" i="53" s="1"/>
  <c r="B2211" i="53"/>
  <c r="A2211" i="53" s="1"/>
  <c r="B2215" i="53"/>
  <c r="A2215" i="53" s="1"/>
  <c r="B2219" i="53"/>
  <c r="A2219" i="53" s="1"/>
  <c r="B2223" i="53"/>
  <c r="A2223" i="53" s="1"/>
  <c r="B2227" i="53"/>
  <c r="A2227" i="53" s="1"/>
  <c r="B2231" i="53"/>
  <c r="A2231" i="53" s="1"/>
  <c r="B2235" i="53"/>
  <c r="A2235" i="53" s="1"/>
  <c r="B2239" i="53"/>
  <c r="A2239" i="53" s="1"/>
  <c r="B2243" i="53"/>
  <c r="A2243" i="53" s="1"/>
  <c r="B2247" i="53"/>
  <c r="A2247" i="53" s="1"/>
  <c r="B2251" i="53"/>
  <c r="A2251" i="53" s="1"/>
  <c r="B2255" i="53"/>
  <c r="A2255" i="53" s="1"/>
  <c r="B2259" i="53"/>
  <c r="A2259" i="53" s="1"/>
  <c r="B2263" i="53"/>
  <c r="A2263" i="53" s="1"/>
  <c r="B2267" i="53"/>
  <c r="A2267" i="53" s="1"/>
  <c r="B2271" i="53"/>
  <c r="A2271" i="53" s="1"/>
  <c r="B2275" i="53"/>
  <c r="A2275" i="53" s="1"/>
  <c r="B2279" i="53"/>
  <c r="A2279" i="53" s="1"/>
  <c r="B2283" i="53"/>
  <c r="A2283" i="53" s="1"/>
  <c r="B2287" i="53"/>
  <c r="A2287" i="53" s="1"/>
  <c r="B2291" i="53"/>
  <c r="A2291" i="53" s="1"/>
  <c r="B2295" i="53"/>
  <c r="A2295" i="53" s="1"/>
  <c r="B2299" i="53"/>
  <c r="A2299" i="53" s="1"/>
  <c r="B2303" i="53"/>
  <c r="A2303" i="53" s="1"/>
  <c r="B2307" i="53"/>
  <c r="A2307" i="53" s="1"/>
  <c r="B2311" i="53"/>
  <c r="A2311" i="53" s="1"/>
  <c r="B2315" i="53"/>
  <c r="A2315" i="53" s="1"/>
  <c r="B2319" i="53"/>
  <c r="A2319" i="53" s="1"/>
  <c r="B2323" i="53"/>
  <c r="A2323" i="53" s="1"/>
  <c r="B2327" i="53"/>
  <c r="A2327" i="53" s="1"/>
  <c r="B2331" i="53"/>
  <c r="A2331" i="53" s="1"/>
  <c r="B2335" i="53"/>
  <c r="A2335" i="53" s="1"/>
  <c r="B2339" i="53"/>
  <c r="A2339" i="53" s="1"/>
  <c r="B2343" i="53"/>
  <c r="A2343" i="53" s="1"/>
  <c r="B2347" i="53"/>
  <c r="A2347" i="53" s="1"/>
  <c r="B2351" i="53"/>
  <c r="A2351" i="53" s="1"/>
  <c r="B2355" i="53"/>
  <c r="A2355" i="53" s="1"/>
  <c r="B2359" i="53"/>
  <c r="A2359" i="53" s="1"/>
  <c r="B2363" i="53"/>
  <c r="A2363" i="53" s="1"/>
  <c r="B2367" i="53"/>
  <c r="A2367" i="53" s="1"/>
  <c r="B2371" i="53"/>
  <c r="A2371" i="53" s="1"/>
  <c r="B2375" i="53"/>
  <c r="A2375" i="53" s="1"/>
  <c r="B2379" i="53"/>
  <c r="A2379" i="53" s="1"/>
  <c r="B2383" i="53"/>
  <c r="A2383" i="53" s="1"/>
  <c r="B2387" i="53"/>
  <c r="A2387" i="53" s="1"/>
  <c r="B2391" i="53"/>
  <c r="A2391" i="53" s="1"/>
  <c r="B2395" i="53"/>
  <c r="A2395" i="53" s="1"/>
  <c r="B2399" i="53"/>
  <c r="A2399" i="53" s="1"/>
  <c r="B2403" i="53"/>
  <c r="A2403" i="53" s="1"/>
  <c r="B2407" i="53"/>
  <c r="A2407" i="53" s="1"/>
  <c r="B2411" i="53"/>
  <c r="A2411" i="53" s="1"/>
  <c r="B2415" i="53"/>
  <c r="A2415" i="53" s="1"/>
  <c r="B2419" i="53"/>
  <c r="A2419" i="53" s="1"/>
  <c r="B2423" i="53"/>
  <c r="A2423" i="53" s="1"/>
  <c r="B2427" i="53"/>
  <c r="A2427" i="53" s="1"/>
  <c r="B2431" i="53"/>
  <c r="A2431" i="53" s="1"/>
  <c r="B2435" i="53"/>
  <c r="A2435" i="53" s="1"/>
  <c r="B1883" i="53"/>
  <c r="A1883" i="53" s="1"/>
  <c r="B183" i="53"/>
  <c r="A183" i="53" s="1"/>
  <c r="B203" i="53"/>
  <c r="A203" i="53" s="1"/>
  <c r="B985" i="53"/>
  <c r="A985" i="53" s="1"/>
  <c r="B1296" i="53"/>
  <c r="A1296" i="53" s="1"/>
  <c r="B1706" i="53"/>
  <c r="A1706" i="53" s="1"/>
  <c r="B999" i="53"/>
  <c r="A999" i="53" s="1"/>
  <c r="B250" i="53"/>
  <c r="A250" i="53" s="1"/>
  <c r="B9" i="53"/>
  <c r="A9" i="53" s="1"/>
  <c r="B1001" i="53"/>
  <c r="A1001" i="53" s="1"/>
  <c r="B10" i="53"/>
  <c r="A10" i="53" s="1"/>
  <c r="B1003" i="53"/>
  <c r="A1003" i="53" s="1"/>
  <c r="B290" i="53"/>
  <c r="A290" i="53" s="1"/>
  <c r="B1732" i="53"/>
  <c r="A1732" i="53" s="1"/>
  <c r="B1463" i="53"/>
  <c r="A1463" i="53" s="1"/>
  <c r="B1736" i="53"/>
  <c r="A1736" i="53" s="1"/>
  <c r="B438" i="53"/>
  <c r="A438" i="53" s="1"/>
  <c r="B1490" i="53"/>
  <c r="A1490" i="53" s="1"/>
  <c r="B441" i="53"/>
  <c r="A441" i="53" s="1"/>
  <c r="B1494" i="53"/>
  <c r="A1494" i="53" s="1"/>
  <c r="B1028" i="53"/>
  <c r="A1028" i="53" s="1"/>
  <c r="B829" i="53"/>
  <c r="A829" i="53" s="1"/>
  <c r="B309" i="53"/>
  <c r="A309" i="53" s="1"/>
  <c r="B1754" i="53"/>
  <c r="A1754" i="53" s="1"/>
  <c r="B1545" i="53"/>
  <c r="A1545" i="53" s="1"/>
  <c r="B1546" i="53"/>
  <c r="A1546" i="53" s="1"/>
  <c r="B1549" i="53"/>
  <c r="A1549" i="53" s="1"/>
  <c r="B1550" i="53"/>
  <c r="A1550" i="53" s="1"/>
  <c r="B1551" i="53"/>
  <c r="A1551" i="53" s="1"/>
  <c r="B1054" i="53"/>
  <c r="A1054" i="53" s="1"/>
  <c r="B414" i="53"/>
  <c r="A414" i="53" s="1"/>
  <c r="B1517" i="53"/>
  <c r="A1517" i="53" s="1"/>
  <c r="B1518" i="53"/>
  <c r="A1518" i="53" s="1"/>
  <c r="B1521" i="53"/>
  <c r="A1521" i="53" s="1"/>
  <c r="B1083" i="53"/>
  <c r="A1083" i="53" s="1"/>
  <c r="B1085" i="53"/>
  <c r="A1085" i="53" s="1"/>
  <c r="B1094" i="53"/>
  <c r="A1094" i="53" s="1"/>
  <c r="B1101" i="53"/>
  <c r="A1101" i="53" s="1"/>
  <c r="B243" i="53"/>
  <c r="A243" i="53" s="1"/>
  <c r="B1110" i="53"/>
  <c r="A1110" i="53" s="1"/>
  <c r="B1526" i="53"/>
  <c r="A1526" i="53" s="1"/>
  <c r="B1428" i="53"/>
  <c r="A1428" i="53" s="1"/>
  <c r="B1498" i="53"/>
  <c r="A1498" i="53" s="1"/>
  <c r="B1431" i="53"/>
  <c r="A1431" i="53" s="1"/>
  <c r="B1120" i="53"/>
  <c r="A1120" i="53" s="1"/>
  <c r="B1434" i="53"/>
  <c r="A1434" i="53" s="1"/>
  <c r="B1504" i="53"/>
  <c r="A1504" i="53" s="1"/>
  <c r="B1137" i="53"/>
  <c r="A1137" i="53" s="1"/>
  <c r="B34" i="53"/>
  <c r="A34" i="53" s="1"/>
  <c r="B1145" i="53"/>
  <c r="A1145" i="53" s="1"/>
  <c r="B962" i="53"/>
  <c r="A962" i="53" s="1"/>
  <c r="B887" i="53"/>
  <c r="A887" i="53" s="1"/>
  <c r="B1176" i="53"/>
  <c r="A1176" i="53" s="1"/>
  <c r="B1178" i="53"/>
  <c r="A1178" i="53" s="1"/>
  <c r="B1185" i="53"/>
  <c r="A1185" i="53" s="1"/>
  <c r="B1789" i="53"/>
  <c r="A1789" i="53" s="1"/>
  <c r="B1622" i="53"/>
  <c r="A1622" i="53" s="1"/>
  <c r="B1623" i="53"/>
  <c r="A1623" i="53" s="1"/>
  <c r="B1423" i="53"/>
  <c r="A1423" i="53" s="1"/>
  <c r="B1424" i="53"/>
  <c r="A1424" i="53" s="1"/>
  <c r="B1724" i="53"/>
  <c r="A1724" i="53" s="1"/>
  <c r="B1728" i="53"/>
  <c r="A1728" i="53" s="1"/>
  <c r="B57" i="53"/>
  <c r="A57" i="53" s="1"/>
  <c r="B1533" i="53"/>
  <c r="A1533" i="53" s="1"/>
  <c r="B874" i="53"/>
  <c r="A874" i="53" s="1"/>
  <c r="B876" i="53"/>
  <c r="A876" i="53" s="1"/>
  <c r="B1814" i="53"/>
  <c r="A1814" i="53" s="1"/>
  <c r="B1222" i="53"/>
  <c r="A1222" i="53" s="1"/>
  <c r="B119" i="53"/>
  <c r="A119" i="53" s="1"/>
  <c r="B271" i="53"/>
  <c r="A271" i="53" s="1"/>
  <c r="B1861" i="53"/>
  <c r="A1861" i="53" s="1"/>
  <c r="B491" i="53"/>
  <c r="A491" i="53" s="1"/>
  <c r="B1467" i="53"/>
  <c r="A1467" i="53" s="1"/>
  <c r="B495" i="53"/>
  <c r="A495" i="53" s="1"/>
  <c r="B431" i="53"/>
  <c r="A431" i="53" s="1"/>
  <c r="B433" i="53"/>
  <c r="A433" i="53" s="1"/>
  <c r="B434" i="53"/>
  <c r="A434" i="53" s="1"/>
  <c r="B435" i="53"/>
  <c r="A435" i="53" s="1"/>
  <c r="B436" i="53"/>
  <c r="A436" i="53" s="1"/>
  <c r="B839" i="53"/>
  <c r="A839" i="53" s="1"/>
  <c r="B1913" i="53"/>
  <c r="A1913" i="53" s="1"/>
  <c r="B1920" i="53"/>
  <c r="A1920" i="53" s="1"/>
  <c r="B1965" i="53"/>
  <c r="A1965" i="53" s="1"/>
  <c r="B1967" i="53"/>
  <c r="A1967" i="53" s="1"/>
  <c r="B1973" i="53"/>
  <c r="A1973" i="53" s="1"/>
  <c r="B1977" i="53"/>
  <c r="A1977" i="53" s="1"/>
  <c r="B1981" i="53"/>
  <c r="A1981" i="53" s="1"/>
  <c r="B1985" i="53"/>
  <c r="A1985" i="53" s="1"/>
  <c r="B1989" i="53"/>
  <c r="A1989" i="53" s="1"/>
  <c r="B1993" i="53"/>
  <c r="A1993" i="53" s="1"/>
  <c r="B1997" i="53"/>
  <c r="A1997" i="53" s="1"/>
  <c r="B2001" i="53"/>
  <c r="A2001" i="53" s="1"/>
  <c r="B2005" i="53"/>
  <c r="A2005" i="53" s="1"/>
  <c r="B2009" i="53"/>
  <c r="A2009" i="53" s="1"/>
  <c r="B2013" i="53"/>
  <c r="A2013" i="53" s="1"/>
  <c r="B2017" i="53"/>
  <c r="A2017" i="53" s="1"/>
  <c r="B2021" i="53"/>
  <c r="A2021" i="53" s="1"/>
  <c r="B2025" i="53"/>
  <c r="A2025" i="53" s="1"/>
  <c r="B2029" i="53"/>
  <c r="A2029" i="53" s="1"/>
  <c r="B2033" i="53"/>
  <c r="A2033" i="53" s="1"/>
  <c r="B2037" i="53"/>
  <c r="A2037" i="53" s="1"/>
  <c r="B2041" i="53"/>
  <c r="A2041" i="53" s="1"/>
  <c r="B2045" i="53"/>
  <c r="A2045" i="53" s="1"/>
  <c r="B2049" i="53"/>
  <c r="A2049" i="53" s="1"/>
  <c r="B2053" i="53"/>
  <c r="A2053" i="53" s="1"/>
  <c r="B2057" i="53"/>
  <c r="A2057" i="53" s="1"/>
  <c r="B2061" i="53"/>
  <c r="A2061" i="53" s="1"/>
  <c r="B2065" i="53"/>
  <c r="A2065" i="53" s="1"/>
  <c r="B2069" i="53"/>
  <c r="A2069" i="53" s="1"/>
  <c r="B2077" i="53"/>
  <c r="A2077" i="53" s="1"/>
  <c r="B2081" i="53"/>
  <c r="A2081" i="53" s="1"/>
  <c r="B2085" i="53"/>
  <c r="A2085" i="53" s="1"/>
  <c r="B2089" i="53"/>
  <c r="A2089" i="53" s="1"/>
  <c r="B2093" i="53"/>
  <c r="A2093" i="53" s="1"/>
  <c r="B2097" i="53"/>
  <c r="A2097" i="53" s="1"/>
  <c r="B2101" i="53"/>
  <c r="A2101" i="53" s="1"/>
  <c r="B2105" i="53"/>
  <c r="A2105" i="53" s="1"/>
  <c r="B2109" i="53"/>
  <c r="A2109" i="53" s="1"/>
  <c r="B2113" i="53"/>
  <c r="A2113" i="53" s="1"/>
  <c r="B2117" i="53"/>
  <c r="A2117" i="53" s="1"/>
  <c r="B2121" i="53"/>
  <c r="A2121" i="53" s="1"/>
  <c r="B2125" i="53"/>
  <c r="A2125" i="53" s="1"/>
  <c r="B2129" i="53"/>
  <c r="A2129" i="53" s="1"/>
  <c r="B2133" i="53"/>
  <c r="A2133" i="53" s="1"/>
  <c r="B2137" i="53"/>
  <c r="A2137" i="53" s="1"/>
  <c r="B2141" i="53"/>
  <c r="A2141" i="53" s="1"/>
  <c r="B2145" i="53"/>
  <c r="A2145" i="53" s="1"/>
  <c r="B2149" i="53"/>
  <c r="A2149" i="53" s="1"/>
  <c r="B2153" i="53"/>
  <c r="A2153" i="53" s="1"/>
  <c r="B2157" i="53"/>
  <c r="A2157" i="53" s="1"/>
  <c r="B2161" i="53"/>
  <c r="A2161" i="53" s="1"/>
  <c r="B2165" i="53"/>
  <c r="A2165" i="53" s="1"/>
  <c r="B2169" i="53"/>
  <c r="A2169" i="53" s="1"/>
  <c r="B2173" i="53"/>
  <c r="A2173" i="53" s="1"/>
  <c r="B2177" i="53"/>
  <c r="A2177" i="53" s="1"/>
  <c r="B2185" i="53"/>
  <c r="A2185" i="53" s="1"/>
  <c r="B2189" i="53"/>
  <c r="A2189" i="53" s="1"/>
  <c r="B2193" i="53"/>
  <c r="A2193" i="53" s="1"/>
  <c r="B2197" i="53"/>
  <c r="A2197" i="53" s="1"/>
  <c r="B2201" i="53"/>
  <c r="A2201" i="53" s="1"/>
  <c r="B2205" i="53"/>
  <c r="A2205" i="53" s="1"/>
  <c r="B2209" i="53"/>
  <c r="A2209" i="53" s="1"/>
  <c r="B2213" i="53"/>
  <c r="A2213" i="53" s="1"/>
  <c r="B2217" i="53"/>
  <c r="A2217" i="53" s="1"/>
  <c r="B2221" i="53"/>
  <c r="A2221" i="53" s="1"/>
  <c r="B2225" i="53"/>
  <c r="A2225" i="53" s="1"/>
  <c r="B2229" i="53"/>
  <c r="A2229" i="53" s="1"/>
  <c r="B2233" i="53"/>
  <c r="A2233" i="53" s="1"/>
  <c r="B2237" i="53"/>
  <c r="A2237" i="53" s="1"/>
  <c r="B2241" i="53"/>
  <c r="A2241" i="53" s="1"/>
  <c r="B2245" i="53"/>
  <c r="A2245" i="53" s="1"/>
  <c r="B2249" i="53"/>
  <c r="A2249" i="53" s="1"/>
  <c r="B2253" i="53"/>
  <c r="A2253" i="53" s="1"/>
  <c r="B2257" i="53"/>
  <c r="A2257" i="53" s="1"/>
  <c r="B2261" i="53"/>
  <c r="A2261" i="53" s="1"/>
  <c r="B2265" i="53"/>
  <c r="A2265" i="53" s="1"/>
  <c r="B2269" i="53"/>
  <c r="A2269" i="53" s="1"/>
  <c r="B2273" i="53"/>
  <c r="A2273" i="53" s="1"/>
  <c r="B2277" i="53"/>
  <c r="A2277" i="53" s="1"/>
  <c r="B2281" i="53"/>
  <c r="A2281" i="53" s="1"/>
  <c r="B2285" i="53"/>
  <c r="A2285" i="53" s="1"/>
  <c r="B2289" i="53"/>
  <c r="A2289" i="53" s="1"/>
  <c r="B2293" i="53"/>
  <c r="A2293" i="53" s="1"/>
  <c r="B2297" i="53"/>
  <c r="A2297" i="53" s="1"/>
  <c r="B2301" i="53"/>
  <c r="A2301" i="53" s="1"/>
  <c r="B2305" i="53"/>
  <c r="A2305" i="53" s="1"/>
  <c r="B2309" i="53"/>
  <c r="A2309" i="53" s="1"/>
  <c r="B2313" i="53"/>
  <c r="A2313" i="53" s="1"/>
  <c r="B2317" i="53"/>
  <c r="A2317" i="53" s="1"/>
  <c r="B2321" i="53"/>
  <c r="A2321" i="53" s="1"/>
  <c r="B2325" i="53"/>
  <c r="A2325" i="53" s="1"/>
  <c r="B2329" i="53"/>
  <c r="A2329" i="53" s="1"/>
  <c r="B2333" i="53"/>
  <c r="A2333" i="53" s="1"/>
  <c r="B2337" i="53"/>
  <c r="A2337" i="53" s="1"/>
  <c r="B2341" i="53"/>
  <c r="A2341" i="53" s="1"/>
  <c r="B2345" i="53"/>
  <c r="A2345" i="53" s="1"/>
  <c r="B2349" i="53"/>
  <c r="A2349" i="53" s="1"/>
  <c r="B2353" i="53"/>
  <c r="A2353" i="53" s="1"/>
  <c r="B2357" i="53"/>
  <c r="A2357" i="53" s="1"/>
  <c r="B2361" i="53"/>
  <c r="A2361" i="53" s="1"/>
  <c r="B2365" i="53"/>
  <c r="A2365" i="53" s="1"/>
  <c r="B2369" i="53"/>
  <c r="A2369" i="53" s="1"/>
  <c r="B2373" i="53"/>
  <c r="A2373" i="53" s="1"/>
  <c r="B2377" i="53"/>
  <c r="A2377" i="53" s="1"/>
  <c r="B2385" i="53"/>
  <c r="A2385" i="53" s="1"/>
  <c r="B2389" i="53"/>
  <c r="A2389" i="53" s="1"/>
  <c r="B2393" i="53"/>
  <c r="A2393" i="53" s="1"/>
  <c r="B2397" i="53"/>
  <c r="A2397" i="53" s="1"/>
  <c r="B2401" i="53"/>
  <c r="A2401" i="53" s="1"/>
  <c r="B2405" i="53"/>
  <c r="A2405" i="53" s="1"/>
  <c r="B2409" i="53"/>
  <c r="A2409" i="53" s="1"/>
  <c r="B2413" i="53"/>
  <c r="A2413" i="53" s="1"/>
  <c r="B2417" i="53"/>
  <c r="A2417" i="53" s="1"/>
  <c r="B2421" i="53"/>
  <c r="A2421" i="53" s="1"/>
  <c r="B2425" i="53"/>
  <c r="A2425" i="53" s="1"/>
  <c r="B2429" i="53"/>
  <c r="A2429" i="53" s="1"/>
  <c r="B2433" i="53"/>
  <c r="A2433" i="53" s="1"/>
  <c r="B2437" i="53"/>
  <c r="A2437" i="53" s="1"/>
  <c r="B31" i="53"/>
  <c r="C12" i="64"/>
  <c r="B13" i="64"/>
  <c r="C11" i="64"/>
  <c r="B365" i="53"/>
  <c r="A365" i="53" s="1"/>
  <c r="B983" i="53"/>
  <c r="A983" i="53" s="1"/>
  <c r="B1299" i="53"/>
  <c r="A1299" i="53" s="1"/>
  <c r="B644" i="53"/>
  <c r="A644" i="53" s="1"/>
  <c r="B1694" i="53"/>
  <c r="A1694" i="53" s="1"/>
  <c r="B323" i="53"/>
  <c r="A323" i="53" s="1"/>
  <c r="B846" i="53"/>
  <c r="A846" i="53" s="1"/>
  <c r="B1333" i="53"/>
  <c r="A1333" i="53" s="1"/>
  <c r="B135" i="53"/>
  <c r="A135" i="53" s="1"/>
  <c r="B521" i="53"/>
  <c r="A521" i="53" s="1"/>
  <c r="B976" i="53"/>
  <c r="A976" i="53" s="1"/>
  <c r="B1743" i="53"/>
  <c r="A1743" i="53" s="1"/>
  <c r="B91" i="53"/>
  <c r="A91" i="53" s="1"/>
  <c r="B995" i="53"/>
  <c r="A995" i="53" s="1"/>
  <c r="B788" i="53"/>
  <c r="A788" i="53" s="1"/>
  <c r="B437" i="53"/>
  <c r="A437" i="53" s="1"/>
  <c r="B1367" i="53"/>
  <c r="A1367" i="53" s="1"/>
  <c r="B181" i="53"/>
  <c r="A181" i="53" s="1"/>
  <c r="B1691" i="53"/>
  <c r="A1691" i="53" s="1"/>
  <c r="B216" i="53"/>
  <c r="A216" i="53" s="1"/>
  <c r="B226" i="53"/>
  <c r="A226" i="53" s="1"/>
  <c r="B993" i="53"/>
  <c r="A993" i="53" s="1"/>
  <c r="B12" i="53"/>
  <c r="A12" i="53" s="1"/>
  <c r="B1322" i="53"/>
  <c r="A1322" i="53" s="1"/>
  <c r="B94" i="53"/>
  <c r="A94" i="53" s="1"/>
  <c r="B1371" i="53"/>
  <c r="A1371" i="53" s="1"/>
  <c r="B814" i="53"/>
  <c r="A814" i="53" s="1"/>
  <c r="B255" i="53"/>
  <c r="A255" i="53" s="1"/>
  <c r="B1015" i="53"/>
  <c r="A1015" i="53" s="1"/>
  <c r="B1730" i="53"/>
  <c r="A1730" i="53" s="1"/>
  <c r="B95" i="53"/>
  <c r="A95" i="53" s="1"/>
  <c r="B134" i="53"/>
  <c r="A134" i="53" s="1"/>
  <c r="B717" i="53"/>
  <c r="A717" i="53" s="1"/>
  <c r="B975" i="53"/>
  <c r="A975" i="53" s="1"/>
  <c r="B1746" i="53"/>
  <c r="A1746" i="53" s="1"/>
  <c r="B655" i="53"/>
  <c r="A655" i="53" s="1"/>
  <c r="B998" i="53"/>
  <c r="A998" i="53" s="1"/>
  <c r="B885" i="53"/>
  <c r="A885" i="53" s="1"/>
  <c r="B789" i="53"/>
  <c r="A789" i="53" s="1"/>
  <c r="B1733" i="53"/>
  <c r="A1733" i="53" s="1"/>
  <c r="B847" i="53"/>
  <c r="A847" i="53" s="1"/>
  <c r="B1334" i="53"/>
  <c r="A1334" i="53" s="1"/>
  <c r="B320" i="53"/>
  <c r="A320" i="53" s="1"/>
  <c r="B1690" i="53"/>
  <c r="A1690" i="53" s="1"/>
  <c r="B360" i="53"/>
  <c r="A360" i="53" s="1"/>
  <c r="B457" i="53"/>
  <c r="A457" i="53" s="1"/>
  <c r="B225" i="53"/>
  <c r="A225" i="53" s="1"/>
  <c r="B813" i="53"/>
  <c r="A813" i="53" s="1"/>
  <c r="B227" i="53"/>
  <c r="A227" i="53" s="1"/>
  <c r="B1651" i="53"/>
  <c r="A1651" i="53" s="1"/>
  <c r="B186" i="53"/>
  <c r="A186" i="53" s="1"/>
  <c r="B574" i="53"/>
  <c r="A574" i="53" s="1"/>
  <c r="B658" i="53"/>
  <c r="A658" i="53" s="1"/>
  <c r="B1647" i="53"/>
  <c r="A1647" i="53" s="1"/>
  <c r="B968" i="53"/>
  <c r="A968" i="53" s="1"/>
  <c r="B648" i="53"/>
  <c r="A648" i="53" s="1"/>
  <c r="B464" i="53"/>
  <c r="A464" i="53" s="1"/>
  <c r="B304" i="53"/>
  <c r="A304" i="53" s="1"/>
  <c r="B844" i="53"/>
  <c r="A844" i="53" s="1"/>
  <c r="B1645" i="53"/>
  <c r="A1645" i="53" s="1"/>
  <c r="B178" i="53"/>
  <c r="A178" i="53" s="1"/>
  <c r="B973" i="53"/>
  <c r="A973" i="53" s="1"/>
  <c r="B206" i="53"/>
  <c r="A206" i="53" s="1"/>
  <c r="B87" i="53"/>
  <c r="A87" i="53" s="1"/>
  <c r="B988" i="53"/>
  <c r="A988" i="53" s="1"/>
  <c r="B462" i="53"/>
  <c r="A462" i="53" s="1"/>
  <c r="B1889" i="53"/>
  <c r="A1889" i="53" s="1"/>
  <c r="B1323" i="53"/>
  <c r="A1323" i="53" s="1"/>
  <c r="B133" i="53"/>
  <c r="A133" i="53" s="1"/>
  <c r="B524" i="53"/>
  <c r="A524" i="53" s="1"/>
  <c r="B325" i="53"/>
  <c r="A325" i="53" s="1"/>
  <c r="B1293" i="53"/>
  <c r="A1293" i="53" s="1"/>
  <c r="B991" i="53"/>
  <c r="A991" i="53" s="1"/>
  <c r="B1336" i="53"/>
  <c r="A1336" i="53" s="1"/>
  <c r="B1325" i="53"/>
  <c r="A1325" i="53" s="1"/>
  <c r="B1632" i="53"/>
  <c r="A1632" i="53" s="1"/>
  <c r="B1881" i="53"/>
  <c r="A1881" i="53" s="1"/>
  <c r="B966" i="53"/>
  <c r="A966" i="53" s="1"/>
  <c r="B646" i="53"/>
  <c r="A646" i="53" s="1"/>
  <c r="B987" i="53"/>
  <c r="A987" i="53" s="1"/>
  <c r="B239" i="53"/>
  <c r="A239" i="53" s="1"/>
  <c r="B13" i="53"/>
  <c r="A13" i="53" s="1"/>
  <c r="B1757" i="53"/>
  <c r="A1757" i="53" s="1"/>
  <c r="B1882" i="53"/>
  <c r="A1882" i="53" s="1"/>
  <c r="B970" i="53"/>
  <c r="A970" i="53" s="1"/>
  <c r="B977" i="53"/>
  <c r="A977" i="53" s="1"/>
  <c r="B217" i="53"/>
  <c r="A217" i="53" s="1"/>
  <c r="B1749" i="53"/>
  <c r="A1749" i="53" s="1"/>
  <c r="B809" i="53"/>
  <c r="A809" i="53" s="1"/>
  <c r="B1707" i="53"/>
  <c r="A1707" i="53" s="1"/>
  <c r="B652" i="53"/>
  <c r="A652" i="53" s="1"/>
  <c r="B1011" i="53"/>
  <c r="A1011" i="53" s="1"/>
  <c r="B1451" i="53"/>
  <c r="A1451" i="53" s="1"/>
  <c r="B1963" i="53"/>
  <c r="A1963" i="53" s="1"/>
  <c r="B1964" i="53"/>
  <c r="A1964" i="53" s="1"/>
  <c r="B1618" i="53"/>
  <c r="A1618" i="53" s="1"/>
  <c r="B1917" i="53"/>
  <c r="A1917" i="53" s="1"/>
  <c r="B1317" i="53"/>
  <c r="A1317" i="53" s="1"/>
  <c r="B1253" i="53"/>
  <c r="A1253" i="53" s="1"/>
  <c r="B1619" i="53"/>
  <c r="A1619" i="53" s="1"/>
  <c r="B606" i="53"/>
  <c r="A606" i="53" s="1"/>
  <c r="B1931" i="53"/>
  <c r="A1931" i="53" s="1"/>
  <c r="B1929" i="53"/>
  <c r="A1929" i="53" s="1"/>
  <c r="B835" i="53"/>
  <c r="A835" i="53" s="1"/>
  <c r="B902" i="53"/>
  <c r="A902" i="53" s="1"/>
  <c r="B129" i="53"/>
  <c r="A129" i="53" s="1"/>
  <c r="B519" i="53"/>
  <c r="A519" i="53" s="1"/>
  <c r="B841" i="53"/>
  <c r="A841" i="53" s="1"/>
  <c r="B432" i="53"/>
  <c r="A432" i="53" s="1"/>
  <c r="B1310" i="53"/>
  <c r="A1310" i="53" s="1"/>
  <c r="B220" i="53"/>
  <c r="A220" i="53" s="1"/>
  <c r="B1286" i="53"/>
  <c r="A1286" i="53" s="1"/>
  <c r="B84" i="53"/>
  <c r="A84" i="53" s="1"/>
  <c r="B837" i="53"/>
  <c r="A837" i="53" s="1"/>
  <c r="B1928" i="53"/>
  <c r="A1928" i="53" s="1"/>
  <c r="B1740" i="53"/>
  <c r="A1740" i="53" s="1"/>
  <c r="B126" i="53"/>
  <c r="A126" i="53" s="1"/>
  <c r="B1564" i="53"/>
  <c r="A1564" i="53" s="1"/>
  <c r="B1454" i="53"/>
  <c r="A1454" i="53" s="1"/>
  <c r="B270" i="53"/>
  <c r="A270" i="53" s="1"/>
  <c r="B1850" i="53"/>
  <c r="A1850" i="53" s="1"/>
  <c r="B167" i="53"/>
  <c r="A167" i="53" s="1"/>
  <c r="B595" i="53"/>
  <c r="A595" i="53" s="1"/>
  <c r="B1238" i="53"/>
  <c r="A1238" i="53" s="1"/>
  <c r="B1236" i="53"/>
  <c r="A1236" i="53" s="1"/>
  <c r="B1234" i="53"/>
  <c r="A1234" i="53" s="1"/>
  <c r="B1469" i="53"/>
  <c r="A1469" i="53" s="1"/>
  <c r="B490" i="53"/>
  <c r="A490" i="53" s="1"/>
  <c r="B1232" i="53"/>
  <c r="A1232" i="53" s="1"/>
  <c r="B602" i="53"/>
  <c r="A602" i="53" s="1"/>
  <c r="B766" i="53"/>
  <c r="A766" i="53" s="1"/>
  <c r="B273" i="53"/>
  <c r="A273" i="53" s="1"/>
  <c r="B1231" i="53"/>
  <c r="A1231" i="53" s="1"/>
  <c r="B782" i="53"/>
  <c r="A782" i="53" s="1"/>
  <c r="B1615" i="53"/>
  <c r="A1615" i="53" s="1"/>
  <c r="B1808" i="53"/>
  <c r="A1808" i="53" s="1"/>
  <c r="B559" i="53"/>
  <c r="A559" i="53" s="1"/>
  <c r="B554" i="53"/>
  <c r="A554" i="53" s="1"/>
  <c r="B1634" i="53"/>
  <c r="A1634" i="53" s="1"/>
  <c r="B421" i="53"/>
  <c r="A421" i="53" s="1"/>
  <c r="B516" i="53"/>
  <c r="A516" i="53" s="1"/>
  <c r="B1540" i="53"/>
  <c r="A1540" i="53" s="1"/>
  <c r="B1532" i="53"/>
  <c r="A1532" i="53" s="1"/>
  <c r="B64" i="53"/>
  <c r="A64" i="53" s="1"/>
  <c r="B1562" i="53"/>
  <c r="A1562" i="53" s="1"/>
  <c r="B632" i="53"/>
  <c r="A632" i="53" s="1"/>
  <c r="B1704" i="53"/>
  <c r="A1704" i="53" s="1"/>
  <c r="B1767" i="53"/>
  <c r="A1767" i="53" s="1"/>
  <c r="B684" i="53"/>
  <c r="A684" i="53" s="1"/>
  <c r="B779" i="53"/>
  <c r="A779" i="53" s="1"/>
  <c r="B825" i="53"/>
  <c r="A825" i="53" s="1"/>
  <c r="B633" i="53"/>
  <c r="A633" i="53" s="1"/>
  <c r="B1209" i="53"/>
  <c r="A1209" i="53" s="1"/>
  <c r="B58" i="53"/>
  <c r="A58" i="53" s="1"/>
  <c r="B76" i="53"/>
  <c r="A76" i="53" s="1"/>
  <c r="B61" i="53"/>
  <c r="A61" i="53" s="1"/>
  <c r="B1952" i="53"/>
  <c r="A1952" i="53" s="1"/>
  <c r="B1948" i="53"/>
  <c r="A1948" i="53" s="1"/>
  <c r="B1700" i="53"/>
  <c r="A1700" i="53" s="1"/>
  <c r="B475" i="53"/>
  <c r="A475" i="53" s="1"/>
  <c r="B1417" i="53"/>
  <c r="A1417" i="53" s="1"/>
  <c r="B1413" i="53"/>
  <c r="A1413" i="53" s="1"/>
  <c r="B746" i="53"/>
  <c r="A746" i="53" s="1"/>
  <c r="B894" i="53"/>
  <c r="A894" i="53" s="1"/>
  <c r="B916" i="53"/>
  <c r="A916" i="53" s="1"/>
  <c r="B842" i="53"/>
  <c r="A842" i="53" s="1"/>
  <c r="B267" i="53"/>
  <c r="A267" i="53" s="1"/>
  <c r="B1447" i="53"/>
  <c r="A1447" i="53" s="1"/>
  <c r="B161" i="53"/>
  <c r="A161" i="53" s="1"/>
  <c r="B1301" i="53"/>
  <c r="A1301" i="53" s="1"/>
  <c r="B888" i="53"/>
  <c r="A888" i="53" s="1"/>
  <c r="B1168" i="53"/>
  <c r="A1168" i="53" s="1"/>
  <c r="B572" i="53"/>
  <c r="A572" i="53" s="1"/>
  <c r="B895" i="53"/>
  <c r="A895" i="53" s="1"/>
  <c r="B698" i="53"/>
  <c r="A698" i="53" s="1"/>
  <c r="B1448" i="53"/>
  <c r="A1448" i="53" s="1"/>
  <c r="B162" i="53"/>
  <c r="A162" i="53" s="1"/>
  <c r="B1303" i="53"/>
  <c r="A1303" i="53" s="1"/>
  <c r="B1300" i="53"/>
  <c r="A1300" i="53" s="1"/>
  <c r="B889" i="53"/>
  <c r="A889" i="53" s="1"/>
  <c r="B1169" i="53"/>
  <c r="A1169" i="53" s="1"/>
  <c r="B908" i="53"/>
  <c r="A908" i="53" s="1"/>
  <c r="B350" i="53"/>
  <c r="A350" i="53" s="1"/>
  <c r="B960" i="53"/>
  <c r="A960" i="53" s="1"/>
  <c r="B470" i="53"/>
  <c r="A470" i="53" s="1"/>
  <c r="B1402" i="53"/>
  <c r="A1402" i="53" s="1"/>
  <c r="B1482" i="53"/>
  <c r="A1482" i="53" s="1"/>
  <c r="B898" i="53"/>
  <c r="A898" i="53" s="1"/>
  <c r="B1605" i="53"/>
  <c r="A1605" i="53" s="1"/>
  <c r="B1443" i="53"/>
  <c r="A1443" i="53" s="1"/>
  <c r="B1173" i="53"/>
  <c r="A1173" i="53" s="1"/>
  <c r="B54" i="53"/>
  <c r="A54" i="53" s="1"/>
  <c r="B1949" i="53"/>
  <c r="A1949" i="53" s="1"/>
  <c r="B1947" i="53"/>
  <c r="A1947" i="53" s="1"/>
  <c r="B1698" i="53"/>
  <c r="A1698" i="53" s="1"/>
  <c r="B1419" i="53"/>
  <c r="A1419" i="53" s="1"/>
  <c r="B1399" i="53"/>
  <c r="A1399" i="53" s="1"/>
  <c r="B1397" i="53"/>
  <c r="A1397" i="53" s="1"/>
  <c r="B1785" i="53"/>
  <c r="A1785" i="53" s="1"/>
  <c r="B1609" i="53"/>
  <c r="A1609" i="53" s="1"/>
  <c r="B265" i="53"/>
  <c r="A265" i="53" s="1"/>
  <c r="B1184" i="53"/>
  <c r="A1184" i="53" s="1"/>
  <c r="B115" i="53"/>
  <c r="A115" i="53" s="1"/>
  <c r="B258" i="53"/>
  <c r="A258" i="53" s="1"/>
  <c r="B1264" i="53"/>
  <c r="A1264" i="53" s="1"/>
  <c r="B959" i="53"/>
  <c r="A959" i="53" s="1"/>
  <c r="B635" i="53"/>
  <c r="A635" i="53" s="1"/>
  <c r="B1597" i="53"/>
  <c r="A1597" i="53" s="1"/>
  <c r="B408" i="53"/>
  <c r="A408" i="53" s="1"/>
  <c r="B158" i="53"/>
  <c r="A158" i="53" s="1"/>
  <c r="B956" i="53"/>
  <c r="A956" i="53" s="1"/>
  <c r="B1409" i="53"/>
  <c r="A1409" i="53" s="1"/>
  <c r="B944" i="53"/>
  <c r="A944" i="53" s="1"/>
  <c r="B570" i="53"/>
  <c r="A570" i="53" s="1"/>
  <c r="B1157" i="53"/>
  <c r="A1157" i="53" s="1"/>
  <c r="B1713" i="53"/>
  <c r="A1713" i="53" s="1"/>
  <c r="B48" i="53"/>
  <c r="A48" i="53" s="1"/>
  <c r="B771" i="53"/>
  <c r="A771" i="53" s="1"/>
  <c r="B1272" i="53"/>
  <c r="A1272" i="53" s="1"/>
  <c r="B1958" i="53"/>
  <c r="A1958" i="53" s="1"/>
  <c r="B1171" i="53"/>
  <c r="A1171" i="53" s="1"/>
  <c r="B1161" i="53"/>
  <c r="A1161" i="53" s="1"/>
  <c r="B1714" i="53"/>
  <c r="A1714" i="53" s="1"/>
  <c r="B1509" i="53"/>
  <c r="A1509" i="53" s="1"/>
  <c r="B770" i="53"/>
  <c r="A770" i="53" s="1"/>
  <c r="B1638" i="53"/>
  <c r="A1638" i="53" s="1"/>
  <c r="B1126" i="53"/>
  <c r="A1126" i="53" s="1"/>
  <c r="B1274" i="53"/>
  <c r="A1274" i="53" s="1"/>
  <c r="B256" i="53"/>
  <c r="A256" i="53" s="1"/>
  <c r="B954" i="53"/>
  <c r="A954" i="53" s="1"/>
  <c r="B953" i="53"/>
  <c r="A953" i="53" s="1"/>
  <c r="B1572" i="53"/>
  <c r="A1572" i="53" s="1"/>
  <c r="B47" i="53"/>
  <c r="A47" i="53" s="1"/>
  <c r="B930" i="53"/>
  <c r="A930" i="53" s="1"/>
  <c r="B808" i="53"/>
  <c r="A808" i="53" s="1"/>
  <c r="B1596" i="53"/>
  <c r="A1596" i="53" s="1"/>
  <c r="B625" i="53"/>
  <c r="A625" i="53" s="1"/>
  <c r="B1594" i="53"/>
  <c r="A1594" i="53" s="1"/>
  <c r="B623" i="53"/>
  <c r="A623" i="53" s="1"/>
  <c r="B156" i="53"/>
  <c r="A156" i="53" s="1"/>
  <c r="B109" i="53"/>
  <c r="A109" i="53" s="1"/>
  <c r="B154" i="53"/>
  <c r="A154" i="53" s="1"/>
  <c r="B589" i="53"/>
  <c r="A589" i="53" s="1"/>
  <c r="B152" i="53"/>
  <c r="A152" i="53" s="1"/>
  <c r="B587" i="53"/>
  <c r="A587" i="53" s="1"/>
  <c r="B105" i="53"/>
  <c r="A105" i="53" s="1"/>
  <c r="B964" i="53"/>
  <c r="A964" i="53" s="1"/>
  <c r="B1575" i="53"/>
  <c r="A1575" i="53" s="1"/>
  <c r="B1574" i="53"/>
  <c r="A1574" i="53" s="1"/>
  <c r="B1959" i="53"/>
  <c r="A1959" i="53" s="1"/>
  <c r="B940" i="53"/>
  <c r="A940" i="53" s="1"/>
  <c r="B1151" i="53"/>
  <c r="A1151" i="53" s="1"/>
  <c r="B1567" i="53"/>
  <c r="A1567" i="53" s="1"/>
  <c r="B815" i="53"/>
  <c r="A815" i="53" s="1"/>
  <c r="B640" i="53"/>
  <c r="A640" i="53" s="1"/>
  <c r="B638" i="53"/>
  <c r="A638" i="53" s="1"/>
  <c r="B931" i="53"/>
  <c r="A931" i="53" s="1"/>
  <c r="B806" i="53"/>
  <c r="A806" i="53" s="1"/>
  <c r="B1442" i="53"/>
  <c r="A1442" i="53" s="1"/>
  <c r="B1263" i="53"/>
  <c r="A1263" i="53" s="1"/>
  <c r="B1577" i="53"/>
  <c r="A1577" i="53" s="1"/>
  <c r="B961" i="53"/>
  <c r="A961" i="53" s="1"/>
  <c r="B1571" i="53"/>
  <c r="A1571" i="53" s="1"/>
  <c r="B937" i="53"/>
  <c r="A937" i="53" s="1"/>
  <c r="B936" i="53"/>
  <c r="A936" i="53" s="1"/>
  <c r="B1141" i="53"/>
  <c r="A1141" i="53" s="1"/>
  <c r="B45" i="53"/>
  <c r="A45" i="53" s="1"/>
  <c r="B450" i="53"/>
  <c r="A450" i="53" s="1"/>
  <c r="B193" i="53"/>
  <c r="A193" i="53" s="1"/>
  <c r="B686" i="53"/>
  <c r="A686" i="53" s="1"/>
  <c r="B396" i="53"/>
  <c r="A396" i="53" s="1"/>
  <c r="B326" i="53"/>
  <c r="A326" i="53" s="1"/>
  <c r="B1872" i="53"/>
  <c r="A1872" i="53" s="1"/>
  <c r="B1589" i="53"/>
  <c r="A1589" i="53" s="1"/>
  <c r="B1935" i="53"/>
  <c r="A1935" i="53" s="1"/>
  <c r="B1902" i="53"/>
  <c r="A1902" i="53" s="1"/>
  <c r="B1668" i="53"/>
  <c r="A1668" i="53" s="1"/>
  <c r="B565" i="53"/>
  <c r="A565" i="53" s="1"/>
  <c r="B756" i="53"/>
  <c r="A756" i="53" s="1"/>
  <c r="B1507" i="53"/>
  <c r="A1507" i="53" s="1"/>
  <c r="B26" i="53"/>
  <c r="A26" i="53" s="1"/>
  <c r="B245" i="53"/>
  <c r="A245" i="53" s="1"/>
  <c r="B612" i="53"/>
  <c r="A612" i="53" s="1"/>
  <c r="B392" i="53"/>
  <c r="A392" i="53" s="1"/>
  <c r="B1097" i="53"/>
  <c r="A1097" i="53" s="1"/>
  <c r="B549" i="53"/>
  <c r="A549" i="53" s="1"/>
  <c r="B1798" i="53"/>
  <c r="A1798" i="53" s="1"/>
  <c r="B1679" i="53"/>
  <c r="A1679" i="53" s="1"/>
  <c r="B1099" i="53"/>
  <c r="A1099" i="53" s="1"/>
  <c r="B1098" i="53"/>
  <c r="A1098" i="53" s="1"/>
  <c r="B1087" i="53"/>
  <c r="A1087" i="53" s="1"/>
  <c r="B1351" i="53"/>
  <c r="A1351" i="53" s="1"/>
  <c r="B562" i="53"/>
  <c r="A562" i="53" s="1"/>
  <c r="B1140" i="53"/>
  <c r="A1140" i="53" s="1"/>
  <c r="B1128" i="53"/>
  <c r="A1128" i="53" s="1"/>
  <c r="B768" i="53"/>
  <c r="A768" i="53" s="1"/>
  <c r="B1777" i="53"/>
  <c r="A1777" i="53" s="1"/>
  <c r="B1797" i="53"/>
  <c r="A1797" i="53" s="1"/>
  <c r="B734" i="53"/>
  <c r="A734" i="53" s="1"/>
  <c r="B247" i="53"/>
  <c r="A247" i="53" s="1"/>
  <c r="B690" i="53"/>
  <c r="A690" i="53" s="1"/>
  <c r="B755" i="53"/>
  <c r="A755" i="53" s="1"/>
  <c r="B752" i="53"/>
  <c r="A752" i="53" s="1"/>
  <c r="B391" i="53"/>
  <c r="A391" i="53" s="1"/>
  <c r="B1100" i="53"/>
  <c r="A1100" i="53" s="1"/>
  <c r="B1593" i="53"/>
  <c r="A1593" i="53" s="1"/>
  <c r="B1868" i="53"/>
  <c r="A1868" i="53" s="1"/>
  <c r="B1938" i="53"/>
  <c r="A1938" i="53" s="1"/>
  <c r="B1934" i="53"/>
  <c r="A1934" i="53" s="1"/>
  <c r="B1133" i="53"/>
  <c r="A1133" i="53" s="1"/>
  <c r="B1800" i="53"/>
  <c r="A1800" i="53" s="1"/>
  <c r="B211" i="53"/>
  <c r="A211" i="53" s="1"/>
  <c r="B1119" i="53"/>
  <c r="A1119" i="53" s="1"/>
  <c r="B552" i="53"/>
  <c r="A552" i="53" s="1"/>
  <c r="B389" i="53"/>
  <c r="A389" i="53" s="1"/>
  <c r="B99" i="53"/>
  <c r="A99" i="53" s="1"/>
  <c r="B1898" i="53"/>
  <c r="A1898" i="53" s="1"/>
  <c r="B1686" i="53"/>
  <c r="A1686" i="53" s="1"/>
  <c r="B467" i="53"/>
  <c r="A467" i="53" s="1"/>
  <c r="B1076" i="53"/>
  <c r="A1076" i="53" s="1"/>
  <c r="B608" i="53"/>
  <c r="A608" i="53" s="1"/>
  <c r="B607" i="53"/>
  <c r="A607" i="53" s="1"/>
  <c r="B1046" i="53"/>
  <c r="A1046" i="53" s="1"/>
  <c r="B1763" i="53"/>
  <c r="A1763" i="53" s="1"/>
  <c r="B1038" i="53"/>
  <c r="A1038" i="53" s="1"/>
  <c r="B831" i="53"/>
  <c r="A831" i="53" s="1"/>
  <c r="B1673" i="53"/>
  <c r="A1673" i="53" s="1"/>
  <c r="B378" i="53"/>
  <c r="A378" i="53" s="1"/>
  <c r="B1752" i="53"/>
  <c r="A1752" i="53" s="1"/>
  <c r="B1941" i="53"/>
  <c r="A1941" i="53" s="1"/>
  <c r="B1630" i="53"/>
  <c r="A1630" i="53" s="1"/>
  <c r="B1629" i="53"/>
  <c r="A1629" i="53" s="1"/>
  <c r="B340" i="53"/>
  <c r="A340" i="53" s="1"/>
  <c r="B280" i="53"/>
  <c r="A280" i="53" s="1"/>
  <c r="B279" i="53"/>
  <c r="A279" i="53" s="1"/>
  <c r="B1121" i="53"/>
  <c r="A1121" i="53" s="1"/>
  <c r="B1089" i="53"/>
  <c r="A1089" i="53" s="1"/>
  <c r="B1364" i="53"/>
  <c r="A1364" i="53" s="1"/>
  <c r="B1279" i="53"/>
  <c r="A1279" i="53" s="1"/>
  <c r="B1278" i="53"/>
  <c r="A1278" i="53" s="1"/>
  <c r="B1050" i="53"/>
  <c r="A1050" i="53" s="1"/>
  <c r="B346" i="53"/>
  <c r="A346" i="53" s="1"/>
  <c r="B1829" i="53"/>
  <c r="A1829" i="53" s="1"/>
  <c r="B1828" i="53"/>
  <c r="A1828" i="53" s="1"/>
  <c r="B286" i="53"/>
  <c r="A286" i="53" s="1"/>
  <c r="B1761" i="53"/>
  <c r="A1761" i="53" s="1"/>
  <c r="B1036" i="53"/>
  <c r="A1036" i="53" s="1"/>
  <c r="B1796" i="53"/>
  <c r="A1796" i="53" s="1"/>
  <c r="B440" i="53"/>
  <c r="A440" i="53" s="1"/>
  <c r="B1081" i="53"/>
  <c r="A1081" i="53" s="1"/>
  <c r="B1077" i="53"/>
  <c r="A1077" i="53" s="1"/>
  <c r="B1068" i="53"/>
  <c r="A1068" i="53" s="1"/>
  <c r="B539" i="53"/>
  <c r="A539" i="53" s="1"/>
  <c r="B663" i="53"/>
  <c r="A663" i="53" s="1"/>
  <c r="B482" i="53"/>
  <c r="A482" i="53" s="1"/>
  <c r="B1583" i="53"/>
  <c r="A1583" i="53" s="1"/>
  <c r="B857" i="53"/>
  <c r="A857" i="53" s="1"/>
  <c r="B1664" i="53"/>
  <c r="A1664" i="53" s="1"/>
  <c r="B1284" i="53"/>
  <c r="A1284" i="53" s="1"/>
  <c r="B1672" i="53"/>
  <c r="A1672" i="53" s="1"/>
  <c r="B861" i="53"/>
  <c r="A861" i="53" s="1"/>
  <c r="B1942" i="53"/>
  <c r="A1942" i="53" s="1"/>
  <c r="B354" i="53"/>
  <c r="A354" i="53" s="1"/>
  <c r="B1826" i="53"/>
  <c r="A1826" i="53" s="1"/>
  <c r="B284" i="53"/>
  <c r="A284" i="53" s="1"/>
  <c r="B336" i="53"/>
  <c r="A336" i="53" s="1"/>
  <c r="B1792" i="53"/>
  <c r="A1792" i="53" s="1"/>
  <c r="B317" i="53"/>
  <c r="A317" i="53" s="1"/>
  <c r="B1088" i="53"/>
  <c r="A1088" i="53" s="1"/>
  <c r="B468" i="53"/>
  <c r="A468" i="53" s="1"/>
  <c r="B1954" i="53"/>
  <c r="A1954" i="53" s="1"/>
  <c r="B1751" i="53"/>
  <c r="A1751" i="53" s="1"/>
  <c r="B1327" i="53"/>
  <c r="A1327" i="53" s="1"/>
  <c r="B1042" i="53"/>
  <c r="A1042" i="53" s="1"/>
  <c r="B1041" i="53"/>
  <c r="A1041" i="53" s="1"/>
  <c r="B1355" i="53"/>
  <c r="A1355" i="53" s="1"/>
  <c r="B357" i="53"/>
  <c r="A357" i="53" s="1"/>
  <c r="B1043" i="53"/>
  <c r="A1043" i="53" s="1"/>
  <c r="B310" i="53"/>
  <c r="A310" i="53" s="1"/>
  <c r="B1029" i="53"/>
  <c r="A1029" i="53" s="1"/>
  <c r="B1025" i="53"/>
  <c r="A1025" i="53" s="1"/>
  <c r="B1022" i="53"/>
  <c r="A1022" i="53" s="1"/>
  <c r="B1321" i="53"/>
  <c r="A1321" i="53" s="1"/>
  <c r="B141" i="53"/>
  <c r="A141" i="53" s="1"/>
  <c r="B132" i="53"/>
  <c r="A132" i="53" s="1"/>
  <c r="B345" i="53"/>
  <c r="A345" i="53" s="1"/>
  <c r="B1271" i="53"/>
  <c r="A1271" i="53" s="1"/>
  <c r="B778" i="53"/>
  <c r="A778" i="53" s="1"/>
  <c r="B1282" i="53"/>
  <c r="A1282" i="53" s="1"/>
  <c r="B1631" i="53"/>
  <c r="A1631" i="53" s="1"/>
  <c r="B1759" i="53"/>
  <c r="A1759" i="53" s="1"/>
  <c r="B303" i="53"/>
  <c r="A303" i="53" s="1"/>
  <c r="B1820" i="53"/>
  <c r="A1820" i="53" s="1"/>
  <c r="B1660" i="53"/>
  <c r="A1660" i="53" s="1"/>
  <c r="B578" i="53"/>
  <c r="A578" i="53" s="1"/>
  <c r="B784" i="53"/>
  <c r="A784" i="53" s="1"/>
  <c r="B11" i="53"/>
  <c r="A11" i="53" s="1"/>
  <c r="B185" i="53"/>
  <c r="A185" i="53" s="1"/>
  <c r="B1337" i="53"/>
  <c r="A1337" i="53" s="1"/>
  <c r="B249" i="53"/>
  <c r="A249" i="53" s="1"/>
  <c r="B235" i="53"/>
  <c r="A235" i="53" s="1"/>
  <c r="B4" i="53"/>
  <c r="A4" i="53" s="1"/>
  <c r="B230" i="53"/>
  <c r="A230" i="53" s="1"/>
  <c r="B458" i="53"/>
  <c r="A458" i="53" s="1"/>
  <c r="B653" i="53"/>
  <c r="A653" i="53" s="1"/>
  <c r="B1710" i="53"/>
  <c r="A1710" i="53" s="1"/>
  <c r="B224" i="53"/>
  <c r="A224" i="53" s="1"/>
  <c r="B1298" i="53"/>
  <c r="A1298" i="53" s="1"/>
  <c r="B1294" i="53"/>
  <c r="A1294" i="53" s="1"/>
  <c r="B1745" i="53"/>
  <c r="A1745" i="53" s="1"/>
  <c r="B359" i="53"/>
  <c r="A359" i="53" s="1"/>
  <c r="B207" i="53"/>
  <c r="A207" i="53" s="1"/>
  <c r="B404" i="53"/>
  <c r="A404" i="53" s="1"/>
  <c r="B1693" i="53"/>
  <c r="A1693" i="53" s="1"/>
  <c r="B974" i="53"/>
  <c r="A974" i="53" s="1"/>
  <c r="B526" i="53"/>
  <c r="A526" i="53" s="1"/>
  <c r="B719" i="53"/>
  <c r="A719" i="53" s="1"/>
  <c r="B321" i="53"/>
  <c r="A321" i="53" s="1"/>
  <c r="B642" i="53"/>
  <c r="A642" i="53" s="1"/>
  <c r="B179" i="53"/>
  <c r="A179" i="53" s="1"/>
  <c r="B1366" i="53"/>
  <c r="A1366" i="53" s="1"/>
  <c r="B1885" i="53"/>
  <c r="A1885" i="53" s="1"/>
  <c r="B1644" i="53"/>
  <c r="A1644" i="53" s="1"/>
  <c r="B1642" i="53"/>
  <c r="A1642" i="53" s="1"/>
  <c r="B1384" i="53"/>
  <c r="A1384" i="53" s="1"/>
  <c r="B1021" i="53"/>
  <c r="A1021" i="53" s="1"/>
  <c r="B423" i="53"/>
  <c r="A423" i="53" s="1"/>
  <c r="B1946" i="53"/>
  <c r="A1946" i="53" s="1"/>
  <c r="B1945" i="53"/>
  <c r="A1945" i="53" s="1"/>
  <c r="B1040" i="53"/>
  <c r="A1040" i="53" s="1"/>
  <c r="B834" i="53"/>
  <c r="A834" i="53" s="1"/>
  <c r="B315" i="53"/>
  <c r="A315" i="53" s="1"/>
  <c r="B439" i="53"/>
  <c r="A439" i="53" s="1"/>
  <c r="B1449" i="53"/>
  <c r="A1449" i="53" s="1"/>
  <c r="B1319" i="53"/>
  <c r="A1319" i="53" s="1"/>
  <c r="B1655" i="53"/>
  <c r="A1655" i="53" s="1"/>
  <c r="B254" i="53"/>
  <c r="A254" i="53" s="1"/>
  <c r="B1659" i="53"/>
  <c r="A1659" i="53" s="1"/>
  <c r="B1071" i="53"/>
  <c r="A1071" i="53" s="1"/>
  <c r="B411" i="53"/>
  <c r="A411" i="53" s="1"/>
  <c r="B367" i="53"/>
  <c r="A367" i="53" s="1"/>
  <c r="B1044" i="53"/>
  <c r="A1044" i="53" s="1"/>
  <c r="B277" i="53"/>
  <c r="A277" i="53" s="1"/>
  <c r="B1661" i="53"/>
  <c r="A1661" i="53" s="1"/>
  <c r="B541" i="53"/>
  <c r="A541" i="53" s="1"/>
  <c r="B1057" i="53"/>
  <c r="A1057" i="53" s="1"/>
  <c r="B306" i="53"/>
  <c r="A306" i="53" s="1"/>
  <c r="B828" i="53"/>
  <c r="A828" i="53" s="1"/>
  <c r="B1492" i="53"/>
  <c r="A1492" i="53" s="1"/>
  <c r="B1824" i="53"/>
  <c r="A1824" i="53" s="1"/>
  <c r="B579" i="53"/>
  <c r="A579" i="53" s="1"/>
  <c r="B573" i="53"/>
  <c r="A573" i="53" s="1"/>
  <c r="B295" i="53"/>
  <c r="A295" i="53" s="1"/>
  <c r="B236" i="53"/>
  <c r="A236" i="53" s="1"/>
  <c r="B92" i="53"/>
  <c r="A92" i="53" s="1"/>
  <c r="B537" i="53"/>
  <c r="A537" i="53" s="1"/>
  <c r="B1427" i="53"/>
  <c r="A1427" i="53" s="1"/>
  <c r="B1489" i="53"/>
  <c r="A1489" i="53" s="1"/>
  <c r="B292" i="53"/>
  <c r="A292" i="53" s="1"/>
  <c r="B1016" i="53"/>
  <c r="A1016" i="53" s="1"/>
  <c r="B1649" i="53"/>
  <c r="A1649" i="53" s="1"/>
  <c r="B1359" i="53"/>
  <c r="A1359" i="53" s="1"/>
  <c r="B852" i="53"/>
  <c r="A852" i="53" s="1"/>
  <c r="B1280" i="53"/>
  <c r="A1280" i="53" s="1"/>
  <c r="B424" i="53"/>
  <c r="A424" i="53" s="1"/>
  <c r="B376" i="53"/>
  <c r="A376" i="53" s="1"/>
  <c r="B338" i="53"/>
  <c r="A338" i="53" s="1"/>
  <c r="B278" i="53"/>
  <c r="A278" i="53" s="1"/>
  <c r="B830" i="53"/>
  <c r="A830" i="53" s="1"/>
  <c r="B1329" i="53"/>
  <c r="A1329" i="53" s="1"/>
  <c r="B299" i="53"/>
  <c r="A299" i="53" s="1"/>
  <c r="B1330" i="53"/>
  <c r="A1330" i="53" s="1"/>
  <c r="B845" i="53"/>
  <c r="A845" i="53" s="1"/>
  <c r="B1880" i="53"/>
  <c r="A1880" i="53" s="1"/>
  <c r="B182" i="53"/>
  <c r="A182" i="53" s="1"/>
  <c r="B522" i="53"/>
  <c r="A522" i="53" s="1"/>
  <c r="B971" i="53"/>
  <c r="A971" i="53" s="1"/>
  <c r="B324" i="53"/>
  <c r="A324" i="53" s="1"/>
  <c r="B721" i="53"/>
  <c r="A721" i="53" s="1"/>
  <c r="B527" i="53"/>
  <c r="A527" i="53" s="1"/>
  <c r="B205" i="53"/>
  <c r="A205" i="53" s="1"/>
  <c r="B214" i="53"/>
  <c r="A214" i="53" s="1"/>
  <c r="B981" i="53"/>
  <c r="A981" i="53" s="1"/>
  <c r="B456" i="53"/>
  <c r="A456" i="53" s="1"/>
  <c r="B88" i="53"/>
  <c r="A88" i="53" s="1"/>
  <c r="B650" i="53"/>
  <c r="A650" i="53" s="1"/>
  <c r="B228" i="53"/>
  <c r="A228" i="53" s="1"/>
  <c r="B231" i="53"/>
  <c r="A231" i="53" s="1"/>
  <c r="B8" i="53"/>
  <c r="A8" i="53" s="1"/>
  <c r="B237" i="53"/>
  <c r="A237" i="53" s="1"/>
  <c r="B240" i="53"/>
  <c r="A240" i="53" s="1"/>
  <c r="B879" i="53"/>
  <c r="A879" i="53" s="1"/>
  <c r="B251" i="53"/>
  <c r="A251" i="53" s="1"/>
  <c r="B1340" i="53"/>
  <c r="A1340" i="53" s="1"/>
  <c r="B1341" i="53"/>
  <c r="A1341" i="53" s="1"/>
  <c r="B786" i="53"/>
  <c r="A786" i="53" s="1"/>
  <c r="B532" i="53"/>
  <c r="A532" i="53" s="1"/>
  <c r="B287" i="53"/>
  <c r="A287" i="53" s="1"/>
  <c r="B1822" i="53"/>
  <c r="A1822" i="53" s="1"/>
  <c r="B1823" i="53"/>
  <c r="A1823" i="53" s="1"/>
  <c r="B1452" i="53"/>
  <c r="A1452" i="53" s="1"/>
  <c r="B1794" i="53"/>
  <c r="A1794" i="53" s="1"/>
  <c r="B643" i="53"/>
  <c r="A643" i="53" s="1"/>
  <c r="B218" i="53"/>
  <c r="A218" i="53" s="1"/>
  <c r="B223" i="53"/>
  <c r="A223" i="53" s="1"/>
  <c r="B654" i="53"/>
  <c r="A654" i="53" s="1"/>
  <c r="B252" i="53"/>
  <c r="A252" i="53" s="1"/>
  <c r="B1024" i="53"/>
  <c r="A1024" i="53" s="1"/>
  <c r="B1331" i="53"/>
  <c r="A1331" i="53" s="1"/>
  <c r="B405" i="53"/>
  <c r="A405" i="53" s="1"/>
  <c r="B1297" i="53"/>
  <c r="A1297" i="53" s="1"/>
  <c r="B1708" i="53"/>
  <c r="A1708" i="53" s="1"/>
  <c r="B6" i="53"/>
  <c r="A6" i="53" s="1"/>
  <c r="B790" i="53"/>
  <c r="A790" i="53" s="1"/>
  <c r="B1458" i="53"/>
  <c r="A1458" i="53" s="1"/>
  <c r="B979" i="53"/>
  <c r="A979" i="53" s="1"/>
  <c r="B1747" i="53"/>
  <c r="A1747" i="53" s="1"/>
  <c r="B222" i="53"/>
  <c r="A222" i="53" s="1"/>
  <c r="B190" i="53"/>
  <c r="A190" i="53" s="1"/>
  <c r="B1018" i="53"/>
  <c r="A1018" i="53" s="1"/>
  <c r="B1648" i="53"/>
  <c r="A1648" i="53" s="1"/>
  <c r="B718" i="53"/>
  <c r="A718" i="53" s="1"/>
  <c r="B90" i="53"/>
  <c r="A90" i="53" s="1"/>
  <c r="B994" i="53"/>
  <c r="A994" i="53" s="1"/>
  <c r="B1652" i="53"/>
  <c r="A1652" i="53" s="1"/>
  <c r="B1450" i="53"/>
  <c r="A1450" i="53" s="1"/>
  <c r="B1879" i="53"/>
  <c r="A1879" i="53" s="1"/>
  <c r="B319" i="53"/>
  <c r="A319" i="53" s="1"/>
  <c r="B93" i="53"/>
  <c r="A93" i="53" s="1"/>
  <c r="B96" i="53"/>
  <c r="A96" i="53" s="1"/>
  <c r="B136" i="53"/>
  <c r="A136" i="53" s="1"/>
  <c r="B523" i="53"/>
  <c r="A523" i="53" s="1"/>
  <c r="B645" i="53"/>
  <c r="A645" i="53" s="1"/>
  <c r="B720" i="53"/>
  <c r="A720" i="53" s="1"/>
  <c r="B202" i="53"/>
  <c r="A202" i="53" s="1"/>
  <c r="B215" i="53"/>
  <c r="A215" i="53" s="1"/>
  <c r="B362" i="53"/>
  <c r="A362" i="53" s="1"/>
  <c r="B364" i="53"/>
  <c r="A364" i="53" s="1"/>
  <c r="B1748" i="53"/>
  <c r="A1748" i="53" s="1"/>
  <c r="B452" i="53"/>
  <c r="A452" i="53" s="1"/>
  <c r="B455" i="53"/>
  <c r="A455" i="53" s="1"/>
  <c r="B651" i="53"/>
  <c r="A651" i="53" s="1"/>
  <c r="B990" i="53"/>
  <c r="A990" i="53" s="1"/>
  <c r="B992" i="53"/>
  <c r="A992" i="53" s="1"/>
  <c r="B460" i="53"/>
  <c r="A460" i="53" s="1"/>
  <c r="B884" i="53"/>
  <c r="A884" i="53" s="1"/>
  <c r="B1650" i="53"/>
  <c r="A1650" i="53" s="1"/>
  <c r="B1888" i="53"/>
  <c r="A1888" i="53" s="1"/>
  <c r="B1653" i="53"/>
  <c r="A1653" i="53" s="1"/>
  <c r="B189" i="53"/>
  <c r="A189" i="53" s="1"/>
  <c r="B143" i="53"/>
  <c r="A143" i="53" s="1"/>
  <c r="B288" i="53"/>
  <c r="A288" i="53" s="1"/>
  <c r="B293" i="53"/>
  <c r="A293" i="53" s="1"/>
  <c r="B301" i="53"/>
  <c r="A301" i="53" s="1"/>
  <c r="B302" i="53"/>
  <c r="A302" i="53" s="1"/>
  <c r="B484" i="53"/>
  <c r="A484" i="53" s="1"/>
  <c r="B486" i="53"/>
  <c r="A486" i="53" s="1"/>
  <c r="B314" i="53"/>
  <c r="A314" i="53" s="1"/>
  <c r="B342" i="53"/>
  <c r="A342" i="53" s="1"/>
  <c r="B400" i="53"/>
  <c r="A400" i="53" s="1"/>
  <c r="B1744" i="53"/>
  <c r="A1744" i="53" s="1"/>
  <c r="B812" i="53"/>
  <c r="A812" i="53" s="1"/>
  <c r="B3" i="53"/>
  <c r="A3" i="53" s="1"/>
  <c r="B1890" i="53"/>
  <c r="A1890" i="53" s="1"/>
  <c r="B335" i="53"/>
  <c r="A335" i="53" s="1"/>
  <c r="B1884" i="53"/>
  <c r="A1884" i="53" s="1"/>
  <c r="B184" i="53"/>
  <c r="A184" i="53" s="1"/>
  <c r="B972" i="53"/>
  <c r="A972" i="53" s="1"/>
  <c r="B649" i="53"/>
  <c r="A649" i="53" s="1"/>
  <c r="B238" i="53"/>
  <c r="A238" i="53" s="1"/>
  <c r="B1338" i="53"/>
  <c r="A1338" i="53" s="1"/>
  <c r="B191" i="53"/>
  <c r="A191" i="53" s="1"/>
  <c r="B1324" i="53"/>
  <c r="A1324" i="53" s="1"/>
  <c r="B1643" i="53"/>
  <c r="A1643" i="53" s="1"/>
  <c r="B967" i="53"/>
  <c r="A967" i="53" s="1"/>
  <c r="B525" i="53"/>
  <c r="A525" i="53" s="1"/>
  <c r="B204" i="53"/>
  <c r="A204" i="53" s="1"/>
  <c r="B1339" i="53"/>
  <c r="A1339" i="53" s="1"/>
  <c r="B137" i="53"/>
  <c r="A137" i="53" s="1"/>
  <c r="B1819" i="53"/>
  <c r="A1819" i="53" s="1"/>
  <c r="B1019" i="53"/>
  <c r="A1019" i="53" s="1"/>
  <c r="B849" i="53"/>
  <c r="A849" i="53" s="1"/>
  <c r="B361" i="53"/>
  <c r="A361" i="53" s="1"/>
  <c r="B986" i="53"/>
  <c r="A986" i="53" s="1"/>
  <c r="B811" i="53"/>
  <c r="A811" i="53" s="1"/>
  <c r="B229" i="53"/>
  <c r="A229" i="53" s="1"/>
  <c r="B296" i="53"/>
  <c r="A296" i="53" s="1"/>
  <c r="B1821" i="53"/>
  <c r="A1821" i="53" s="1"/>
  <c r="B1332" i="53"/>
  <c r="A1332" i="53" s="1"/>
  <c r="B850" i="53"/>
  <c r="A850" i="53" s="1"/>
  <c r="B647" i="53"/>
  <c r="A647" i="53" s="1"/>
  <c r="B722" i="53"/>
  <c r="A722" i="53" s="1"/>
  <c r="B363" i="53"/>
  <c r="A363" i="53" s="1"/>
  <c r="B89" i="53"/>
  <c r="A89" i="53" s="1"/>
  <c r="B1335" i="53"/>
  <c r="A1335" i="53" s="1"/>
  <c r="B965" i="53"/>
  <c r="A965" i="53" s="1"/>
  <c r="B1370" i="53"/>
  <c r="A1370" i="53" s="1"/>
  <c r="B716" i="53"/>
  <c r="A716" i="53" s="1"/>
  <c r="B969" i="53"/>
  <c r="A969" i="53" s="1"/>
  <c r="B322" i="53"/>
  <c r="A322" i="53" s="1"/>
  <c r="B1692" i="53"/>
  <c r="A1692" i="53" s="1"/>
  <c r="B399" i="53"/>
  <c r="A399" i="53" s="1"/>
  <c r="B982" i="53"/>
  <c r="A982" i="53" s="1"/>
  <c r="B984" i="53"/>
  <c r="A984" i="53" s="1"/>
  <c r="B451" i="53"/>
  <c r="A451" i="53" s="1"/>
  <c r="B1705" i="53"/>
  <c r="A1705" i="53" s="1"/>
  <c r="B1709" i="53"/>
  <c r="A1709" i="53" s="1"/>
  <c r="B989" i="53"/>
  <c r="A989" i="53" s="1"/>
  <c r="B459" i="53"/>
  <c r="A459" i="53" s="1"/>
  <c r="B2" i="53"/>
  <c r="A2" i="53" s="1"/>
  <c r="B5" i="53"/>
  <c r="A5" i="53" s="1"/>
  <c r="B881" i="53"/>
  <c r="A881" i="53" s="1"/>
  <c r="B1886" i="53"/>
  <c r="A1886" i="53" s="1"/>
  <c r="B1654" i="53"/>
  <c r="A1654" i="53" s="1"/>
  <c r="B1005" i="53"/>
  <c r="A1005" i="53" s="1"/>
  <c r="B294" i="53"/>
  <c r="A294" i="53" s="1"/>
  <c r="B785" i="53"/>
  <c r="A785" i="53" s="1"/>
  <c r="B297" i="53"/>
  <c r="A297" i="53" s="1"/>
  <c r="B300" i="53"/>
  <c r="A300" i="53" s="1"/>
  <c r="B138" i="53"/>
  <c r="A138" i="53" s="1"/>
  <c r="B1012" i="53"/>
  <c r="A1012" i="53" s="1"/>
  <c r="B483" i="53"/>
  <c r="A483" i="53" s="1"/>
  <c r="B1459" i="53"/>
  <c r="A1459" i="53" s="1"/>
  <c r="B1039" i="53"/>
  <c r="A1039" i="53" s="1"/>
  <c r="B233" i="53"/>
  <c r="A233" i="53" s="1"/>
  <c r="B1825" i="53"/>
  <c r="A1825" i="53" s="1"/>
  <c r="B855" i="53"/>
  <c r="A855" i="53" s="1"/>
  <c r="B1523" i="53"/>
  <c r="A1523" i="53" s="1"/>
  <c r="B1035" i="53"/>
  <c r="A1035" i="53" s="1"/>
  <c r="B285" i="53"/>
  <c r="A285" i="53" s="1"/>
  <c r="B353" i="53"/>
  <c r="A353" i="53" s="1"/>
  <c r="B1955" i="53"/>
  <c r="A1955" i="53" s="1"/>
  <c r="B426" i="53"/>
  <c r="A426" i="53" s="1"/>
  <c r="B429" i="53"/>
  <c r="A429" i="53" s="1"/>
  <c r="B1580" i="53"/>
  <c r="A1580" i="53" s="1"/>
  <c r="B583" i="53"/>
  <c r="A583" i="53" s="1"/>
  <c r="B1353" i="53"/>
  <c r="A1353" i="53" s="1"/>
  <c r="B551" i="53"/>
  <c r="A551" i="53" s="1"/>
  <c r="B373" i="53"/>
  <c r="A373" i="53" s="1"/>
  <c r="B1585" i="53"/>
  <c r="A1585" i="53" s="1"/>
  <c r="B1065" i="53"/>
  <c r="A1065" i="53" s="1"/>
  <c r="B149" i="53"/>
  <c r="A149" i="53" s="1"/>
  <c r="B241" i="53"/>
  <c r="A241" i="53" s="1"/>
  <c r="B787" i="53"/>
  <c r="A787" i="53" s="1"/>
  <c r="B1320" i="53"/>
  <c r="A1320" i="53" s="1"/>
  <c r="B313" i="53"/>
  <c r="A313" i="53" s="1"/>
  <c r="B1491" i="53"/>
  <c r="A1491" i="53" s="1"/>
  <c r="B318" i="53"/>
  <c r="A318" i="53" s="1"/>
  <c r="B1795" i="53"/>
  <c r="A1795" i="53" s="1"/>
  <c r="B334" i="53"/>
  <c r="A334" i="53" s="1"/>
  <c r="B1037" i="53"/>
  <c r="A1037" i="53" s="1"/>
  <c r="B1762" i="53"/>
  <c r="A1762" i="53" s="1"/>
  <c r="B1766" i="53"/>
  <c r="A1766" i="53" s="1"/>
  <c r="B352" i="53"/>
  <c r="A352" i="53" s="1"/>
  <c r="B1387" i="53"/>
  <c r="A1387" i="53" s="1"/>
  <c r="B1755" i="53"/>
  <c r="A1755" i="53" s="1"/>
  <c r="B1756" i="53"/>
  <c r="A1756" i="53" s="1"/>
  <c r="B1956" i="53"/>
  <c r="A1956" i="53" s="1"/>
  <c r="B1663" i="53"/>
  <c r="A1663" i="53" s="1"/>
  <c r="B1345" i="53"/>
  <c r="A1345" i="53" s="1"/>
  <c r="B478" i="53"/>
  <c r="A478" i="53" s="1"/>
  <c r="B497" i="53"/>
  <c r="A497" i="53" s="1"/>
  <c r="B535" i="53"/>
  <c r="A535" i="53" s="1"/>
  <c r="B1062" i="53"/>
  <c r="A1062" i="53" s="1"/>
  <c r="B540" i="53"/>
  <c r="A540" i="53" s="1"/>
  <c r="B1079" i="53"/>
  <c r="A1079" i="53" s="1"/>
  <c r="B1530" i="53"/>
  <c r="A1530" i="53" s="1"/>
  <c r="B1790" i="53"/>
  <c r="A1790" i="53" s="1"/>
  <c r="B1833" i="53"/>
  <c r="A1833" i="53" s="1"/>
  <c r="B501" i="53"/>
  <c r="A501" i="53" s="1"/>
  <c r="B863" i="53"/>
  <c r="A863" i="53" s="1"/>
  <c r="B1004" i="53"/>
  <c r="A1004" i="53" s="1"/>
  <c r="B289" i="53"/>
  <c r="A289" i="53" s="1"/>
  <c r="B1020" i="53"/>
  <c r="A1020" i="53" s="1"/>
  <c r="B312" i="53"/>
  <c r="A312" i="53" s="1"/>
  <c r="B1034" i="53"/>
  <c r="A1034" i="53" s="1"/>
  <c r="B1758" i="53"/>
  <c r="A1758" i="53" s="1"/>
  <c r="B283" i="53"/>
  <c r="A283" i="53" s="1"/>
  <c r="B1328" i="53"/>
  <c r="A1328" i="53" s="1"/>
  <c r="B1750" i="53"/>
  <c r="A1750" i="53" s="1"/>
  <c r="B358" i="53"/>
  <c r="A358" i="53" s="1"/>
  <c r="B609" i="53"/>
  <c r="A609" i="53" s="1"/>
  <c r="B1831" i="53"/>
  <c r="A1831" i="53" s="1"/>
  <c r="B427" i="53"/>
  <c r="A427" i="53" s="1"/>
  <c r="B1283" i="53"/>
  <c r="A1283" i="53" s="1"/>
  <c r="B1662" i="53"/>
  <c r="A1662" i="53" s="1"/>
  <c r="B1895" i="53"/>
  <c r="A1895" i="53" s="1"/>
  <c r="B1897" i="53"/>
  <c r="A1897" i="53" s="1"/>
  <c r="B416" i="53"/>
  <c r="A416" i="53" s="1"/>
  <c r="B1066" i="53"/>
  <c r="A1066" i="53" s="1"/>
  <c r="B146" i="53"/>
  <c r="A146" i="53" s="1"/>
  <c r="B1685" i="53"/>
  <c r="A1685" i="53" s="1"/>
  <c r="B866" i="53"/>
  <c r="A866" i="53" s="1"/>
  <c r="B1871" i="53"/>
  <c r="A1871" i="53" s="1"/>
  <c r="B620" i="53"/>
  <c r="A620" i="53" s="1"/>
  <c r="B1095" i="53"/>
  <c r="A1095" i="53" s="1"/>
  <c r="B1905" i="53"/>
  <c r="A1905" i="53" s="1"/>
  <c r="B1008" i="53"/>
  <c r="A1008" i="53" s="1"/>
  <c r="B282" i="53"/>
  <c r="A282" i="53" s="1"/>
  <c r="B774" i="53"/>
  <c r="A774" i="53" s="1"/>
  <c r="B1682" i="53"/>
  <c r="A1682" i="53" s="1"/>
  <c r="B1760" i="53"/>
  <c r="A1760" i="53" s="1"/>
  <c r="B341" i="53"/>
  <c r="A341" i="53" s="1"/>
  <c r="B1045" i="53"/>
  <c r="A1045" i="53" s="1"/>
  <c r="B343" i="53"/>
  <c r="A343" i="53" s="1"/>
  <c r="B1753" i="53"/>
  <c r="A1753" i="53" s="1"/>
  <c r="B928" i="53"/>
  <c r="A928" i="53" s="1"/>
  <c r="B851" i="53"/>
  <c r="A851" i="53" s="1"/>
  <c r="B1344" i="53"/>
  <c r="A1344" i="53" s="1"/>
  <c r="B412" i="53"/>
  <c r="A412" i="53" s="1"/>
  <c r="B508" i="53"/>
  <c r="A508" i="53" s="1"/>
  <c r="B1063" i="53"/>
  <c r="A1063" i="53" s="1"/>
  <c r="B1072" i="53"/>
  <c r="A1072" i="53" s="1"/>
  <c r="B244" i="53"/>
  <c r="A244" i="53" s="1"/>
  <c r="B796" i="53"/>
  <c r="A796" i="53" s="1"/>
  <c r="B730" i="53"/>
  <c r="A730" i="53" s="1"/>
  <c r="B1047" i="53"/>
  <c r="A1047" i="53" s="1"/>
  <c r="B1053" i="53"/>
  <c r="A1053" i="53" s="1"/>
  <c r="B481" i="53"/>
  <c r="A481" i="53" s="1"/>
  <c r="B102" i="53"/>
  <c r="A102" i="53" s="1"/>
  <c r="B7" i="53"/>
  <c r="A7" i="53" s="1"/>
  <c r="B14" i="53"/>
  <c r="A14" i="53" s="1"/>
  <c r="B142" i="53"/>
  <c r="A142" i="53" s="1"/>
  <c r="B291" i="53"/>
  <c r="A291" i="53" s="1"/>
  <c r="B656" i="53"/>
  <c r="A656" i="53" s="1"/>
  <c r="B1765" i="53"/>
  <c r="A1765" i="53" s="1"/>
  <c r="B1827" i="53"/>
  <c r="A1827" i="53" s="1"/>
  <c r="B344" i="53"/>
  <c r="A344" i="53" s="1"/>
  <c r="B366" i="53"/>
  <c r="A366" i="53" s="1"/>
  <c r="B355" i="53"/>
  <c r="A355" i="53" s="1"/>
  <c r="B371" i="53"/>
  <c r="A371" i="53" s="1"/>
  <c r="B929" i="53"/>
  <c r="A929" i="53" s="1"/>
  <c r="B1281" i="53"/>
  <c r="A1281" i="53" s="1"/>
  <c r="B1894" i="53"/>
  <c r="A1894" i="53" s="1"/>
  <c r="B1896" i="53"/>
  <c r="A1896" i="53" s="1"/>
  <c r="B415" i="53"/>
  <c r="A415" i="53" s="1"/>
  <c r="B728" i="53"/>
  <c r="A728" i="53" s="1"/>
  <c r="B581" i="53"/>
  <c r="A581" i="53" s="1"/>
  <c r="B1669" i="53"/>
  <c r="A1669" i="53" s="1"/>
  <c r="B1017" i="53"/>
  <c r="A1017" i="53" s="1"/>
  <c r="B659" i="53"/>
  <c r="A659" i="53" s="1"/>
  <c r="B305" i="53"/>
  <c r="A305" i="53" s="1"/>
  <c r="B311" i="53"/>
  <c r="A311" i="53" s="1"/>
  <c r="B337" i="53"/>
  <c r="A337" i="53" s="1"/>
  <c r="B1764" i="53"/>
  <c r="A1764" i="53" s="1"/>
  <c r="B369" i="53"/>
  <c r="A369" i="53" s="1"/>
  <c r="B1943" i="53"/>
  <c r="A1943" i="53" s="1"/>
  <c r="B610" i="53"/>
  <c r="A610" i="53" s="1"/>
  <c r="B1830" i="53"/>
  <c r="A1830" i="53" s="1"/>
  <c r="B425" i="53"/>
  <c r="A425" i="53" s="1"/>
  <c r="B1891" i="53"/>
  <c r="A1891" i="53" s="1"/>
  <c r="B1892" i="53"/>
  <c r="A1892" i="53" s="1"/>
  <c r="B772" i="53"/>
  <c r="A772" i="53" s="1"/>
  <c r="B775" i="53"/>
  <c r="A775" i="53" s="1"/>
  <c r="B477" i="53"/>
  <c r="A477" i="53" s="1"/>
  <c r="B504" i="53"/>
  <c r="A504" i="53" s="1"/>
  <c r="B538" i="53"/>
  <c r="A538" i="53" s="1"/>
  <c r="B1064" i="53"/>
  <c r="A1064" i="53" s="1"/>
  <c r="B147" i="53"/>
  <c r="A147" i="53" s="1"/>
  <c r="B1907" i="53"/>
  <c r="A1907" i="53" s="1"/>
  <c r="B611" i="53"/>
  <c r="A611" i="53" s="1"/>
  <c r="B1030" i="53"/>
  <c r="A1030" i="53" s="1"/>
  <c r="B882" i="53"/>
  <c r="A882" i="53" s="1"/>
  <c r="B528" i="53"/>
  <c r="A528" i="53" s="1"/>
  <c r="B534" i="53"/>
  <c r="A534" i="53" s="1"/>
  <c r="B1731" i="53"/>
  <c r="A1731" i="53" s="1"/>
  <c r="B833" i="53"/>
  <c r="A833" i="53" s="1"/>
  <c r="B1048" i="53"/>
  <c r="A1048" i="53" s="1"/>
  <c r="B1390" i="53"/>
  <c r="A1390" i="53" s="1"/>
  <c r="B428" i="53"/>
  <c r="A428" i="53" s="1"/>
  <c r="B856" i="53"/>
  <c r="A856" i="53" s="1"/>
  <c r="B1667" i="53"/>
  <c r="A1667" i="53" s="1"/>
  <c r="B580" i="53"/>
  <c r="A580" i="53" s="1"/>
  <c r="B1069" i="53"/>
  <c r="A1069" i="53" s="1"/>
  <c r="B1683" i="53"/>
  <c r="A1683" i="53" s="1"/>
  <c r="B1385" i="53"/>
  <c r="A1385" i="53" s="1"/>
  <c r="B1547" i="53"/>
  <c r="A1547" i="53" s="1"/>
  <c r="B1893" i="53"/>
  <c r="A1893" i="53" s="1"/>
  <c r="B1059" i="53"/>
  <c r="A1059" i="53" s="1"/>
  <c r="B496" i="53"/>
  <c r="A496" i="53" s="1"/>
  <c r="B723" i="53"/>
  <c r="A723" i="53" s="1"/>
  <c r="B667" i="53"/>
  <c r="A667" i="53" s="1"/>
  <c r="B145" i="53"/>
  <c r="A145" i="53" s="1"/>
  <c r="B1520" i="53"/>
  <c r="A1520" i="53" s="1"/>
  <c r="B1265" i="53"/>
  <c r="A1265" i="53" s="1"/>
  <c r="B1904" i="53"/>
  <c r="A1904" i="53" s="1"/>
  <c r="B1588" i="53"/>
  <c r="A1588" i="53" s="1"/>
  <c r="B1091" i="53"/>
  <c r="A1091" i="53" s="1"/>
  <c r="B1909" i="53"/>
  <c r="A1909" i="53" s="1"/>
  <c r="B328" i="53"/>
  <c r="A328" i="53" s="1"/>
  <c r="B617" i="53"/>
  <c r="A617" i="53" s="1"/>
  <c r="B210" i="53"/>
  <c r="A210" i="53" s="1"/>
  <c r="B332" i="53"/>
  <c r="A332" i="53" s="1"/>
  <c r="B1326" i="53"/>
  <c r="A1326" i="53" s="1"/>
  <c r="B347" i="53"/>
  <c r="A347" i="53" s="1"/>
  <c r="B1386" i="53"/>
  <c r="A1386" i="53" s="1"/>
  <c r="B1832" i="53"/>
  <c r="A1832" i="53" s="1"/>
  <c r="B1836" i="53"/>
  <c r="A1836" i="53" s="1"/>
  <c r="B854" i="53"/>
  <c r="A854" i="53" s="1"/>
  <c r="B1348" i="53"/>
  <c r="A1348" i="53" s="1"/>
  <c r="B503" i="53"/>
  <c r="A503" i="53" s="1"/>
  <c r="B1060" i="53"/>
  <c r="A1060" i="53" s="1"/>
  <c r="B727" i="53"/>
  <c r="A727" i="53" s="1"/>
  <c r="B582" i="53"/>
  <c r="A582" i="53" s="1"/>
  <c r="B1855" i="53"/>
  <c r="A1855" i="53" s="1"/>
  <c r="B1858" i="53"/>
  <c r="A1858" i="53" s="1"/>
  <c r="B1688" i="53"/>
  <c r="A1688" i="53" s="1"/>
  <c r="B1349" i="53"/>
  <c r="A1349" i="53" s="1"/>
  <c r="B859" i="53"/>
  <c r="A859" i="53" s="1"/>
  <c r="B1900" i="53"/>
  <c r="A1900" i="53" s="1"/>
  <c r="B1671" i="53"/>
  <c r="A1671" i="53" s="1"/>
  <c r="B1903" i="53"/>
  <c r="A1903" i="53" s="1"/>
  <c r="B1082" i="53"/>
  <c r="A1082" i="53" s="1"/>
  <c r="B1866" i="53"/>
  <c r="A1866" i="53" s="1"/>
  <c r="B1096" i="53"/>
  <c r="A1096" i="53" s="1"/>
  <c r="B1677" i="53"/>
  <c r="A1677" i="53" s="1"/>
  <c r="B393" i="53"/>
  <c r="A393" i="53" s="1"/>
  <c r="B616" i="53"/>
  <c r="A616" i="53" s="1"/>
  <c r="B246" i="53"/>
  <c r="A246" i="53" s="1"/>
  <c r="B542" i="53"/>
  <c r="A542" i="53" s="1"/>
  <c r="B1940" i="53"/>
  <c r="A1940" i="53" s="1"/>
  <c r="B927" i="53"/>
  <c r="A927" i="53" s="1"/>
  <c r="B1052" i="53"/>
  <c r="A1052" i="53" s="1"/>
  <c r="B853" i="53"/>
  <c r="A853" i="53" s="1"/>
  <c r="B1058" i="53"/>
  <c r="A1058" i="53" s="1"/>
  <c r="B1582" i="53"/>
  <c r="A1582" i="53" s="1"/>
  <c r="B479" i="53"/>
  <c r="A479" i="53" s="1"/>
  <c r="B502" i="53"/>
  <c r="A502" i="53" s="1"/>
  <c r="B666" i="53"/>
  <c r="A666" i="53" s="1"/>
  <c r="B1067" i="53"/>
  <c r="A1067" i="53" s="1"/>
  <c r="B585" i="53"/>
  <c r="A585" i="53" s="1"/>
  <c r="B1522" i="53"/>
  <c r="A1522" i="53" s="1"/>
  <c r="B465" i="53"/>
  <c r="A465" i="53" s="1"/>
  <c r="B466" i="53"/>
  <c r="A466" i="53" s="1"/>
  <c r="B563" i="53"/>
  <c r="A563" i="53" s="1"/>
  <c r="B1354" i="53"/>
  <c r="A1354" i="53" s="1"/>
  <c r="B865" i="53"/>
  <c r="A865" i="53" s="1"/>
  <c r="B100" i="53"/>
  <c r="A100" i="53" s="1"/>
  <c r="B1936" i="53"/>
  <c r="A1936" i="53" s="1"/>
  <c r="B1867" i="53"/>
  <c r="A1867" i="53" s="1"/>
  <c r="B618" i="53"/>
  <c r="A618" i="53" s="1"/>
  <c r="B795" i="53"/>
  <c r="A795" i="53" s="1"/>
  <c r="B545" i="53"/>
  <c r="A545" i="53" s="1"/>
  <c r="B1501" i="53"/>
  <c r="A1501" i="53" s="1"/>
  <c r="B1124" i="53"/>
  <c r="A1124" i="53" s="1"/>
  <c r="B1835" i="53"/>
  <c r="A1835" i="53" s="1"/>
  <c r="B1347" i="53"/>
  <c r="A1347" i="53" s="1"/>
  <c r="B413" i="53"/>
  <c r="A413" i="53" s="1"/>
  <c r="B480" i="53"/>
  <c r="A480" i="53" s="1"/>
  <c r="B509" i="53"/>
  <c r="A509" i="53" s="1"/>
  <c r="B726" i="53"/>
  <c r="A726" i="53" s="1"/>
  <c r="B144" i="53"/>
  <c r="A144" i="53" s="1"/>
  <c r="B1073" i="53"/>
  <c r="A1073" i="53" s="1"/>
  <c r="B1519" i="53"/>
  <c r="A1519" i="53" s="1"/>
  <c r="B1857" i="53"/>
  <c r="A1857" i="53" s="1"/>
  <c r="B1363" i="53"/>
  <c r="A1363" i="53" s="1"/>
  <c r="B1266" i="53"/>
  <c r="A1266" i="53" s="1"/>
  <c r="B1268" i="53"/>
  <c r="A1268" i="53" s="1"/>
  <c r="B1269" i="53"/>
  <c r="A1269" i="53" s="1"/>
  <c r="B1365" i="53"/>
  <c r="A1365" i="53" s="1"/>
  <c r="B1901" i="53"/>
  <c r="A1901" i="53" s="1"/>
  <c r="B871" i="53"/>
  <c r="A871" i="53" s="1"/>
  <c r="B97" i="53"/>
  <c r="A97" i="53" s="1"/>
  <c r="B1933" i="53"/>
  <c r="A1933" i="53" s="1"/>
  <c r="B1939" i="53"/>
  <c r="A1939" i="53" s="1"/>
  <c r="B385" i="53"/>
  <c r="A385" i="53" s="1"/>
  <c r="B1590" i="53"/>
  <c r="A1590" i="53" s="1"/>
  <c r="B621" i="53"/>
  <c r="A621" i="53" s="1"/>
  <c r="B687" i="53"/>
  <c r="A687" i="53" s="1"/>
  <c r="B242" i="53"/>
  <c r="A242" i="53" s="1"/>
  <c r="B1113" i="53"/>
  <c r="A1113" i="53" s="1"/>
  <c r="B1114" i="53"/>
  <c r="A1114" i="53" s="1"/>
  <c r="B409" i="53"/>
  <c r="A409" i="53" s="1"/>
  <c r="B1389" i="53"/>
  <c r="A1389" i="53" s="1"/>
  <c r="B1051" i="53"/>
  <c r="A1051" i="53" s="1"/>
  <c r="B1346" i="53"/>
  <c r="A1346" i="53" s="1"/>
  <c r="B773" i="53"/>
  <c r="A773" i="53" s="1"/>
  <c r="B1586" i="53"/>
  <c r="A1586" i="53" s="1"/>
  <c r="B500" i="53"/>
  <c r="A500" i="53" s="1"/>
  <c r="B665" i="53"/>
  <c r="A665" i="53" s="1"/>
  <c r="B669" i="53"/>
  <c r="A669" i="53" s="1"/>
  <c r="B148" i="53"/>
  <c r="A148" i="53" s="1"/>
  <c r="B1854" i="53"/>
  <c r="A1854" i="53" s="1"/>
  <c r="B469" i="53"/>
  <c r="A469" i="53" s="1"/>
  <c r="B1350" i="53"/>
  <c r="A1350" i="53" s="1"/>
  <c r="B1357" i="53"/>
  <c r="A1357" i="53" s="1"/>
  <c r="B1681" i="53"/>
  <c r="A1681" i="53" s="1"/>
  <c r="B1475" i="53"/>
  <c r="A1475" i="53" s="1"/>
  <c r="B692" i="53"/>
  <c r="A692" i="53" s="1"/>
  <c r="B28" i="53"/>
  <c r="A28" i="53" s="1"/>
  <c r="B339" i="53"/>
  <c r="A339" i="53" s="1"/>
  <c r="B372" i="53"/>
  <c r="A372" i="53" s="1"/>
  <c r="B1049" i="53"/>
  <c r="A1049" i="53" s="1"/>
  <c r="B1834" i="53"/>
  <c r="A1834" i="53" s="1"/>
  <c r="B1343" i="53"/>
  <c r="A1343" i="53" s="1"/>
  <c r="B1666" i="53"/>
  <c r="A1666" i="53" s="1"/>
  <c r="B1581" i="53"/>
  <c r="A1581" i="53" s="1"/>
  <c r="B476" i="53"/>
  <c r="A476" i="53" s="1"/>
  <c r="B507" i="53"/>
  <c r="A507" i="53" s="1"/>
  <c r="B725" i="53"/>
  <c r="A725" i="53" s="1"/>
  <c r="B729" i="53"/>
  <c r="A729" i="53" s="1"/>
  <c r="B584" i="53"/>
  <c r="A584" i="53" s="1"/>
  <c r="B561" i="53"/>
  <c r="A561" i="53" s="1"/>
  <c r="B1684" i="53"/>
  <c r="A1684" i="53" s="1"/>
  <c r="B1267" i="53"/>
  <c r="A1267" i="53" s="1"/>
  <c r="B566" i="53"/>
  <c r="A566" i="53" s="1"/>
  <c r="B1689" i="53"/>
  <c r="A1689" i="53" s="1"/>
  <c r="B1674" i="53"/>
  <c r="A1674" i="53" s="1"/>
  <c r="B870" i="53"/>
  <c r="A870" i="53" s="1"/>
  <c r="B98" i="53"/>
  <c r="A98" i="53" s="1"/>
  <c r="B101" i="53"/>
  <c r="A101" i="53" s="1"/>
  <c r="B387" i="53"/>
  <c r="A387" i="53" s="1"/>
  <c r="B1592" i="53"/>
  <c r="A1592" i="53" s="1"/>
  <c r="B1675" i="53"/>
  <c r="A1675" i="53" s="1"/>
  <c r="B1908" i="53"/>
  <c r="A1908" i="53" s="1"/>
  <c r="B1361" i="53"/>
  <c r="A1361" i="53" s="1"/>
  <c r="B754" i="53"/>
  <c r="A754" i="53" s="1"/>
  <c r="B1112" i="53"/>
  <c r="A1112" i="53" s="1"/>
  <c r="B208" i="53"/>
  <c r="A208" i="53" s="1"/>
  <c r="B1478" i="53"/>
  <c r="A1478" i="53" s="1"/>
  <c r="B32" i="53"/>
  <c r="A32" i="53" s="1"/>
  <c r="B550" i="53"/>
  <c r="A550" i="53" s="1"/>
  <c r="B368" i="53"/>
  <c r="A368" i="53" s="1"/>
  <c r="B374" i="53"/>
  <c r="A374" i="53" s="1"/>
  <c r="B1548" i="53"/>
  <c r="A1548" i="53" s="1"/>
  <c r="B1342" i="53"/>
  <c r="A1342" i="53" s="1"/>
  <c r="B1665" i="53"/>
  <c r="A1665" i="53" s="1"/>
  <c r="B410" i="53"/>
  <c r="A410" i="53" s="1"/>
  <c r="B777" i="53"/>
  <c r="A777" i="53" s="1"/>
  <c r="B668" i="53"/>
  <c r="A668" i="53" s="1"/>
  <c r="B1687" i="53"/>
  <c r="A1687" i="53" s="1"/>
  <c r="B567" i="53"/>
  <c r="A567" i="53" s="1"/>
  <c r="B860" i="53"/>
  <c r="A860" i="53" s="1"/>
  <c r="B1352" i="53"/>
  <c r="A1352" i="53" s="1"/>
  <c r="B1587" i="53"/>
  <c r="A1587" i="53" s="1"/>
  <c r="B1090" i="53"/>
  <c r="A1090" i="53" s="1"/>
  <c r="B619" i="53"/>
  <c r="A619" i="53" s="1"/>
  <c r="B1676" i="53"/>
  <c r="A1676" i="53" s="1"/>
  <c r="B750" i="53"/>
  <c r="A750" i="53" s="1"/>
  <c r="B329" i="53"/>
  <c r="A329" i="53" s="1"/>
  <c r="B330" i="53"/>
  <c r="A330" i="53" s="1"/>
  <c r="B689" i="53"/>
  <c r="A689" i="53" s="1"/>
  <c r="B1524" i="53"/>
  <c r="A1524" i="53" s="1"/>
  <c r="B1527" i="53"/>
  <c r="A1527" i="53" s="1"/>
  <c r="B673" i="53"/>
  <c r="A673" i="53" s="1"/>
  <c r="B195" i="53"/>
  <c r="A195" i="53" s="1"/>
  <c r="B1906" i="53"/>
  <c r="A1906" i="53" s="1"/>
  <c r="B1499" i="53"/>
  <c r="A1499" i="53" s="1"/>
  <c r="B676" i="53"/>
  <c r="A676" i="53" s="1"/>
  <c r="B406" i="53"/>
  <c r="A406" i="53" s="1"/>
  <c r="B209" i="53"/>
  <c r="A209" i="53" s="1"/>
  <c r="B1479" i="53"/>
  <c r="A1479" i="53" s="1"/>
  <c r="B702" i="53"/>
  <c r="A702" i="53" s="1"/>
  <c r="B29" i="53"/>
  <c r="A29" i="53" s="1"/>
  <c r="B1776" i="53"/>
  <c r="A1776" i="53" s="1"/>
  <c r="B740" i="53"/>
  <c r="A740" i="53" s="1"/>
  <c r="B742" i="53"/>
  <c r="A742" i="53" s="1"/>
  <c r="B196" i="53"/>
  <c r="A196" i="53" s="1"/>
  <c r="B758" i="53"/>
  <c r="A758" i="53" s="1"/>
  <c r="B762" i="53"/>
  <c r="A762" i="53" s="1"/>
  <c r="B1127" i="53"/>
  <c r="A1127" i="53" s="1"/>
  <c r="B446" i="53"/>
  <c r="A446" i="53" s="1"/>
  <c r="B449" i="53"/>
  <c r="A449" i="53" s="1"/>
  <c r="B1135" i="53"/>
  <c r="A1135" i="53" s="1"/>
  <c r="B42" i="53"/>
  <c r="A42" i="53" s="1"/>
  <c r="B106" i="53"/>
  <c r="A106" i="53" s="1"/>
  <c r="B592" i="53"/>
  <c r="A592" i="53" s="1"/>
  <c r="B624" i="53"/>
  <c r="A624" i="53" s="1"/>
  <c r="B952" i="53"/>
  <c r="A952" i="53" s="1"/>
  <c r="B564" i="53"/>
  <c r="A564" i="53" s="1"/>
  <c r="B862" i="53"/>
  <c r="A862" i="53" s="1"/>
  <c r="B103" i="53"/>
  <c r="A103" i="53" s="1"/>
  <c r="B390" i="53"/>
  <c r="A390" i="53" s="1"/>
  <c r="B622" i="53"/>
  <c r="A622" i="53" s="1"/>
  <c r="B1360" i="53"/>
  <c r="A1360" i="53" s="1"/>
  <c r="B327" i="53"/>
  <c r="A327" i="53" s="1"/>
  <c r="B1102" i="53"/>
  <c r="A1102" i="53" s="1"/>
  <c r="B793" i="53"/>
  <c r="A793" i="53" s="1"/>
  <c r="B736" i="53"/>
  <c r="A736" i="53" s="1"/>
  <c r="B547" i="53"/>
  <c r="A547" i="53" s="1"/>
  <c r="B703" i="53"/>
  <c r="A703" i="53" s="1"/>
  <c r="B1778" i="53"/>
  <c r="A1778" i="53" s="1"/>
  <c r="B1780" i="53"/>
  <c r="A1780" i="53" s="1"/>
  <c r="B737" i="53"/>
  <c r="A737" i="53" s="1"/>
  <c r="B767" i="53"/>
  <c r="A767" i="53" s="1"/>
  <c r="B444" i="53"/>
  <c r="A444" i="53" s="1"/>
  <c r="B1130" i="53"/>
  <c r="A1130" i="53" s="1"/>
  <c r="B1131" i="53"/>
  <c r="A1131" i="53" s="1"/>
  <c r="B153" i="53"/>
  <c r="A153" i="53" s="1"/>
  <c r="B1712" i="53"/>
  <c r="A1712" i="53" s="1"/>
  <c r="B1715" i="53"/>
  <c r="A1715" i="53" s="1"/>
  <c r="B1155" i="53"/>
  <c r="A1155" i="53" s="1"/>
  <c r="B1960" i="53"/>
  <c r="A1960" i="53" s="1"/>
  <c r="B945" i="53"/>
  <c r="A945" i="53" s="1"/>
  <c r="B958" i="53"/>
  <c r="A958" i="53" s="1"/>
  <c r="B1408" i="53"/>
  <c r="A1408" i="53" s="1"/>
  <c r="B1358" i="53"/>
  <c r="A1358" i="53" s="1"/>
  <c r="B751" i="53"/>
  <c r="A751" i="53" s="1"/>
  <c r="B1103" i="53"/>
  <c r="A1103" i="53" s="1"/>
  <c r="B794" i="53"/>
  <c r="A794" i="53" s="1"/>
  <c r="B733" i="53"/>
  <c r="A733" i="53" s="1"/>
  <c r="B1115" i="53"/>
  <c r="A1115" i="53" s="1"/>
  <c r="B1502" i="53"/>
  <c r="A1502" i="53" s="1"/>
  <c r="B1125" i="53"/>
  <c r="A1125" i="53" s="1"/>
  <c r="B30" i="53"/>
  <c r="A30" i="53" s="1"/>
  <c r="B1772" i="53"/>
  <c r="A1772" i="53" s="1"/>
  <c r="B708" i="53"/>
  <c r="A708" i="53" s="1"/>
  <c r="B1784" i="53"/>
  <c r="A1784" i="53" s="1"/>
  <c r="B1639" i="53"/>
  <c r="A1639" i="53" s="1"/>
  <c r="B738" i="53"/>
  <c r="A738" i="53" s="1"/>
  <c r="B1134" i="53"/>
  <c r="A1134" i="53" s="1"/>
  <c r="B1435" i="53"/>
  <c r="A1435" i="53" s="1"/>
  <c r="B37" i="53"/>
  <c r="A37" i="53" s="1"/>
  <c r="B104" i="53"/>
  <c r="A104" i="53" s="1"/>
  <c r="B590" i="53"/>
  <c r="A590" i="53" s="1"/>
  <c r="B807" i="53"/>
  <c r="A807" i="53" s="1"/>
  <c r="B818" i="53"/>
  <c r="A818" i="53" s="1"/>
  <c r="B1961" i="53"/>
  <c r="A1961" i="53" s="1"/>
  <c r="B947" i="53"/>
  <c r="A947" i="53" s="1"/>
  <c r="B351" i="53"/>
  <c r="A351" i="53" s="1"/>
  <c r="B1167" i="53"/>
  <c r="A1167" i="53" s="1"/>
  <c r="B1270" i="53"/>
  <c r="A1270" i="53" s="1"/>
  <c r="B1899" i="53"/>
  <c r="A1899" i="53" s="1"/>
  <c r="B864" i="53"/>
  <c r="A864" i="53" s="1"/>
  <c r="B1086" i="53"/>
  <c r="A1086" i="53" s="1"/>
  <c r="B384" i="53"/>
  <c r="A384" i="53" s="1"/>
  <c r="B1869" i="53"/>
  <c r="A1869" i="53" s="1"/>
  <c r="B1356" i="53"/>
  <c r="A1356" i="53" s="1"/>
  <c r="B1678" i="53"/>
  <c r="A1678" i="53" s="1"/>
  <c r="B1680" i="53"/>
  <c r="A1680" i="53" s="1"/>
  <c r="B1911" i="53"/>
  <c r="A1911" i="53" s="1"/>
  <c r="B394" i="53"/>
  <c r="A394" i="53" s="1"/>
  <c r="B331" i="53"/>
  <c r="A331" i="53" s="1"/>
  <c r="B615" i="53"/>
  <c r="A615" i="53" s="1"/>
  <c r="B691" i="53"/>
  <c r="A691" i="53" s="1"/>
  <c r="B791" i="53"/>
  <c r="A791" i="53" s="1"/>
  <c r="B248" i="53"/>
  <c r="A248" i="53" s="1"/>
  <c r="B1528" i="53"/>
  <c r="A1528" i="53" s="1"/>
  <c r="B25" i="53"/>
  <c r="A25" i="53" s="1"/>
  <c r="B700" i="53"/>
  <c r="A700" i="53" s="1"/>
  <c r="B407" i="53"/>
  <c r="A407" i="53" s="1"/>
  <c r="B1480" i="53"/>
  <c r="A1480" i="53" s="1"/>
  <c r="A31" i="53"/>
  <c r="B197" i="53"/>
  <c r="A197" i="53" s="1"/>
  <c r="B760" i="53"/>
  <c r="A760" i="53" s="1"/>
  <c r="B763" i="53"/>
  <c r="A763" i="53" s="1"/>
  <c r="B553" i="53"/>
  <c r="A553" i="53" s="1"/>
  <c r="B1132" i="53"/>
  <c r="A1132" i="53" s="1"/>
  <c r="B1136" i="53"/>
  <c r="A1136" i="53" s="1"/>
  <c r="B1441" i="53"/>
  <c r="A1441" i="53" s="1"/>
  <c r="B38" i="53"/>
  <c r="A38" i="53" s="1"/>
  <c r="B150" i="53"/>
  <c r="A150" i="53" s="1"/>
  <c r="B110" i="53"/>
  <c r="A110" i="53" s="1"/>
  <c r="B935" i="53"/>
  <c r="A935" i="53" s="1"/>
  <c r="B1576" i="53"/>
  <c r="A1576" i="53" s="1"/>
  <c r="B963" i="53"/>
  <c r="A963" i="53" s="1"/>
  <c r="B1412" i="53"/>
  <c r="A1412" i="53" s="1"/>
  <c r="B1273" i="53"/>
  <c r="A1273" i="53" s="1"/>
  <c r="B675" i="53"/>
  <c r="A675" i="53" s="1"/>
  <c r="B1123" i="53"/>
  <c r="A1123" i="53" s="1"/>
  <c r="B1783" i="53"/>
  <c r="A1783" i="53" s="1"/>
  <c r="B1637" i="53"/>
  <c r="A1637" i="53" s="1"/>
  <c r="B1640" i="53"/>
  <c r="A1640" i="53" s="1"/>
  <c r="B192" i="53"/>
  <c r="A192" i="53" s="1"/>
  <c r="B198" i="53"/>
  <c r="A198" i="53" s="1"/>
  <c r="B677" i="53"/>
  <c r="A677" i="53" s="1"/>
  <c r="B234" i="53"/>
  <c r="A234" i="53" s="1"/>
  <c r="B634" i="53"/>
  <c r="A634" i="53" s="1"/>
  <c r="B1285" i="53"/>
  <c r="A1285" i="53" s="1"/>
  <c r="B41" i="53"/>
  <c r="A41" i="53" s="1"/>
  <c r="B151" i="53"/>
  <c r="A151" i="53" s="1"/>
  <c r="B588" i="53"/>
  <c r="A588" i="53" s="1"/>
  <c r="B805" i="53"/>
  <c r="A805" i="53" s="1"/>
  <c r="B46" i="53"/>
  <c r="A46" i="53" s="1"/>
  <c r="B569" i="53"/>
  <c r="A569" i="53" s="1"/>
  <c r="B858" i="53"/>
  <c r="A858" i="53" s="1"/>
  <c r="B386" i="53"/>
  <c r="A386" i="53" s="1"/>
  <c r="B1910" i="53"/>
  <c r="A1910" i="53" s="1"/>
  <c r="B753" i="53"/>
  <c r="A753" i="53" s="1"/>
  <c r="B1476" i="53"/>
  <c r="A1476" i="53" s="1"/>
  <c r="B797" i="53"/>
  <c r="A797" i="53" s="1"/>
  <c r="B735" i="53"/>
  <c r="A735" i="53" s="1"/>
  <c r="B670" i="53"/>
  <c r="A670" i="53" s="1"/>
  <c r="B701" i="53"/>
  <c r="A701" i="53" s="1"/>
  <c r="B1771" i="53"/>
  <c r="A1771" i="53" s="1"/>
  <c r="B1641" i="53"/>
  <c r="A1641" i="53" s="1"/>
  <c r="B739" i="53"/>
  <c r="A739" i="53" s="1"/>
  <c r="B1505" i="53"/>
  <c r="A1505" i="53" s="1"/>
  <c r="B1508" i="53"/>
  <c r="A1508" i="53" s="1"/>
  <c r="B35" i="53"/>
  <c r="A35" i="53" s="1"/>
  <c r="B44" i="53"/>
  <c r="A44" i="53" s="1"/>
  <c r="B107" i="53"/>
  <c r="A107" i="53" s="1"/>
  <c r="B1595" i="53"/>
  <c r="A1595" i="53" s="1"/>
  <c r="B934" i="53"/>
  <c r="A934" i="53" s="1"/>
  <c r="B1711" i="53"/>
  <c r="A1711" i="53" s="1"/>
  <c r="B568" i="53"/>
  <c r="A568" i="53" s="1"/>
  <c r="B1162" i="53"/>
  <c r="A1162" i="53" s="1"/>
  <c r="B1362" i="53"/>
  <c r="A1362" i="53" s="1"/>
  <c r="B395" i="53"/>
  <c r="A395" i="53" s="1"/>
  <c r="B1107" i="53"/>
  <c r="A1107" i="53" s="1"/>
  <c r="B1477" i="53"/>
  <c r="A1477" i="53" s="1"/>
  <c r="B1529" i="53"/>
  <c r="A1529" i="53" s="1"/>
  <c r="B548" i="53"/>
  <c r="A548" i="53" s="1"/>
  <c r="B1799" i="53"/>
  <c r="A1799" i="53" s="1"/>
  <c r="B1481" i="53"/>
  <c r="A1481" i="53" s="1"/>
  <c r="B1773" i="53"/>
  <c r="A1773" i="53" s="1"/>
  <c r="B1774" i="53"/>
  <c r="A1774" i="53" s="1"/>
  <c r="B1779" i="53"/>
  <c r="A1779" i="53" s="1"/>
  <c r="B1781" i="53"/>
  <c r="A1781" i="53" s="1"/>
  <c r="B397" i="53"/>
  <c r="A397" i="53" s="1"/>
  <c r="B769" i="53"/>
  <c r="A769" i="53" s="1"/>
  <c r="B333" i="53"/>
  <c r="A333" i="53" s="1"/>
  <c r="B1503" i="53"/>
  <c r="A1503" i="53" s="1"/>
  <c r="B447" i="53"/>
  <c r="A447" i="53" s="1"/>
  <c r="B1440" i="53"/>
  <c r="A1440" i="53" s="1"/>
  <c r="B804" i="53"/>
  <c r="A804" i="53" s="1"/>
  <c r="B36" i="53"/>
  <c r="A36" i="53" s="1"/>
  <c r="B39" i="53"/>
  <c r="A39" i="53" s="1"/>
  <c r="B108" i="53"/>
  <c r="A108" i="53" s="1"/>
  <c r="B155" i="53"/>
  <c r="A155" i="53" s="1"/>
  <c r="B626" i="53"/>
  <c r="A626" i="53" s="1"/>
  <c r="B1566" i="53"/>
  <c r="A1566" i="53" s="1"/>
  <c r="B1569" i="53"/>
  <c r="A1569" i="53" s="1"/>
  <c r="B1159" i="53"/>
  <c r="A1159" i="53" s="1"/>
  <c r="B1160" i="53"/>
  <c r="A1160" i="53" s="1"/>
  <c r="B946" i="53"/>
  <c r="A946" i="53" s="1"/>
  <c r="B1406" i="53"/>
  <c r="A1406" i="53" s="1"/>
  <c r="B761" i="53"/>
  <c r="A761" i="53" s="1"/>
  <c r="B398" i="53"/>
  <c r="A398" i="53" s="1"/>
  <c r="B678" i="53"/>
  <c r="A678" i="53" s="1"/>
  <c r="B448" i="53"/>
  <c r="A448" i="53" s="1"/>
  <c r="B1436" i="53"/>
  <c r="A1436" i="53" s="1"/>
  <c r="B33" i="53"/>
  <c r="A33" i="53" s="1"/>
  <c r="B586" i="53"/>
  <c r="A586" i="53" s="1"/>
  <c r="B591" i="53"/>
  <c r="A591" i="53" s="1"/>
  <c r="B819" i="53"/>
  <c r="A819" i="53" s="1"/>
  <c r="B1568" i="53"/>
  <c r="A1568" i="53" s="1"/>
  <c r="B941" i="53"/>
  <c r="A941" i="53" s="1"/>
  <c r="B943" i="53"/>
  <c r="A943" i="53" s="1"/>
  <c r="B948" i="53"/>
  <c r="A948" i="53" s="1"/>
  <c r="B951" i="53"/>
  <c r="A951" i="53" s="1"/>
  <c r="B1407" i="53"/>
  <c r="A1407" i="53" s="1"/>
  <c r="B886" i="53"/>
  <c r="A886" i="53" s="1"/>
  <c r="B820" i="53"/>
  <c r="A820" i="53" s="1"/>
  <c r="B348" i="53"/>
  <c r="A348" i="53" s="1"/>
  <c r="B957" i="53"/>
  <c r="A957" i="53" s="1"/>
  <c r="B111" i="53"/>
  <c r="A111" i="53" s="1"/>
  <c r="B114" i="53"/>
  <c r="A114" i="53" s="1"/>
  <c r="B117" i="53"/>
  <c r="A117" i="53" s="1"/>
  <c r="B266" i="53"/>
  <c r="A266" i="53" s="1"/>
  <c r="B699" i="53"/>
  <c r="A699" i="53" s="1"/>
  <c r="B942" i="53"/>
  <c r="A942" i="53" s="1"/>
  <c r="B1578" i="53"/>
  <c r="A1578" i="53" s="1"/>
  <c r="B1262" i="53"/>
  <c r="A1262" i="53" s="1"/>
  <c r="B1275" i="53"/>
  <c r="A1275" i="53" s="1"/>
  <c r="B1302" i="53"/>
  <c r="A1302" i="53" s="1"/>
  <c r="B1180" i="53"/>
  <c r="A1180" i="53" s="1"/>
  <c r="B917" i="53"/>
  <c r="A917" i="53" s="1"/>
  <c r="B748" i="53"/>
  <c r="A748" i="53" s="1"/>
  <c r="B1193" i="53"/>
  <c r="A1193" i="53" s="1"/>
  <c r="B471" i="53"/>
  <c r="A471" i="53" s="1"/>
  <c r="B1196" i="53"/>
  <c r="A1196" i="53" s="1"/>
  <c r="B757" i="53"/>
  <c r="A757" i="53" s="1"/>
  <c r="B816" i="53"/>
  <c r="A816" i="53" s="1"/>
  <c r="B817" i="53"/>
  <c r="A817" i="53" s="1"/>
  <c r="B1156" i="53"/>
  <c r="A1156" i="53" s="1"/>
  <c r="B1158" i="53"/>
  <c r="A1158" i="53" s="1"/>
  <c r="B1163" i="53"/>
  <c r="A1163" i="53" s="1"/>
  <c r="B906" i="53"/>
  <c r="A906" i="53" s="1"/>
  <c r="B891" i="53"/>
  <c r="A891" i="53" s="1"/>
  <c r="B116" i="53"/>
  <c r="A116" i="53" s="1"/>
  <c r="B697" i="53"/>
  <c r="A697" i="53" s="1"/>
  <c r="B893" i="53"/>
  <c r="A893" i="53" s="1"/>
  <c r="B1786" i="53"/>
  <c r="A1786" i="53" s="1"/>
  <c r="B1788" i="53"/>
  <c r="A1788" i="53" s="1"/>
  <c r="B49" i="53"/>
  <c r="A49" i="53" s="1"/>
  <c r="B938" i="53"/>
  <c r="A938" i="53" s="1"/>
  <c r="B571" i="53"/>
  <c r="A571" i="53" s="1"/>
  <c r="B1962" i="53"/>
  <c r="A1962" i="53" s="1"/>
  <c r="B1573" i="53"/>
  <c r="A1573" i="53" s="1"/>
  <c r="B909" i="53"/>
  <c r="A909" i="53" s="1"/>
  <c r="B1261" i="53"/>
  <c r="A1261" i="53" s="1"/>
  <c r="B892" i="53"/>
  <c r="A892" i="53" s="1"/>
  <c r="B157" i="53"/>
  <c r="A157" i="53" s="1"/>
  <c r="B113" i="53"/>
  <c r="A113" i="53" s="1"/>
  <c r="B163" i="53"/>
  <c r="A163" i="53" s="1"/>
  <c r="B1606" i="53"/>
  <c r="A1606" i="53" s="1"/>
  <c r="B1484" i="53"/>
  <c r="A1484" i="53" s="1"/>
  <c r="B1188" i="53"/>
  <c r="A1188" i="53" s="1"/>
  <c r="B1194" i="53"/>
  <c r="A1194" i="53" s="1"/>
  <c r="B1198" i="53"/>
  <c r="A1198" i="53" s="1"/>
  <c r="B1716" i="53"/>
  <c r="A1716" i="53" s="1"/>
  <c r="B1166" i="53"/>
  <c r="A1166" i="53" s="1"/>
  <c r="B1276" i="53"/>
  <c r="A1276" i="53" s="1"/>
  <c r="B695" i="53"/>
  <c r="A695" i="53" s="1"/>
  <c r="B1187" i="53"/>
  <c r="A1187" i="53" s="1"/>
  <c r="B921" i="53"/>
  <c r="A921" i="53" s="1"/>
  <c r="B744" i="53"/>
  <c r="A744" i="53" s="1"/>
  <c r="B636" i="53"/>
  <c r="A636" i="53" s="1"/>
  <c r="B1164" i="53"/>
  <c r="A1164" i="53" s="1"/>
  <c r="B199" i="53"/>
  <c r="A199" i="53" s="1"/>
  <c r="B1304" i="53"/>
  <c r="A1304" i="53" s="1"/>
  <c r="B112" i="53"/>
  <c r="A112" i="53" s="1"/>
  <c r="B1179" i="53"/>
  <c r="A1179" i="53" s="1"/>
  <c r="B263" i="53"/>
  <c r="A263" i="53" s="1"/>
  <c r="B268" i="53"/>
  <c r="A268" i="53" s="1"/>
  <c r="B1486" i="53"/>
  <c r="A1486" i="53" s="1"/>
  <c r="B1403" i="53"/>
  <c r="A1403" i="53" s="1"/>
  <c r="B1189" i="53"/>
  <c r="A1189" i="53" s="1"/>
  <c r="B1418" i="53"/>
  <c r="A1418" i="53" s="1"/>
  <c r="B1696" i="53"/>
  <c r="A1696" i="53" s="1"/>
  <c r="B1782" i="53"/>
  <c r="A1782" i="53" s="1"/>
  <c r="B764" i="53"/>
  <c r="A764" i="53" s="1"/>
  <c r="B1506" i="53"/>
  <c r="A1506" i="53" s="1"/>
  <c r="B641" i="53"/>
  <c r="A641" i="53" s="1"/>
  <c r="B1149" i="53"/>
  <c r="A1149" i="53" s="1"/>
  <c r="B939" i="53"/>
  <c r="A939" i="53" s="1"/>
  <c r="B1170" i="53"/>
  <c r="A1170" i="53" s="1"/>
  <c r="B259" i="53"/>
  <c r="A259" i="53" s="1"/>
  <c r="B159" i="53"/>
  <c r="A159" i="53" s="1"/>
  <c r="B1175" i="53"/>
  <c r="A1175" i="53" s="1"/>
  <c r="B1183" i="53"/>
  <c r="A1183" i="53" s="1"/>
  <c r="B910" i="53"/>
  <c r="A910" i="53" s="1"/>
  <c r="B896" i="53"/>
  <c r="A896" i="53" s="1"/>
  <c r="B1396" i="53"/>
  <c r="A1396" i="53" s="1"/>
  <c r="B637" i="53"/>
  <c r="A637" i="53" s="1"/>
  <c r="B949" i="53"/>
  <c r="A949" i="53" s="1"/>
  <c r="B1411" i="53"/>
  <c r="A1411" i="53" s="1"/>
  <c r="B1260" i="53"/>
  <c r="A1260" i="53" s="1"/>
  <c r="B843" i="53"/>
  <c r="A843" i="53" s="1"/>
  <c r="B1608" i="53"/>
  <c r="A1608" i="53" s="1"/>
  <c r="B1488" i="53"/>
  <c r="A1488" i="53" s="1"/>
  <c r="B1192" i="53"/>
  <c r="A1192" i="53" s="1"/>
  <c r="B474" i="53"/>
  <c r="A474" i="53" s="1"/>
  <c r="B897" i="53"/>
  <c r="A897" i="53" s="1"/>
  <c r="B1398" i="53"/>
  <c r="A1398" i="53" s="1"/>
  <c r="B1400" i="53"/>
  <c r="A1400" i="53" s="1"/>
  <c r="B1604" i="53"/>
  <c r="A1604" i="53" s="1"/>
  <c r="B1199" i="53"/>
  <c r="A1199" i="53" s="1"/>
  <c r="B1717" i="53"/>
  <c r="A1717" i="53" s="1"/>
  <c r="B1374" i="53"/>
  <c r="A1374" i="53" s="1"/>
  <c r="B1719" i="53"/>
  <c r="A1719" i="53" s="1"/>
  <c r="B1378" i="53"/>
  <c r="A1378" i="53" s="1"/>
  <c r="B823" i="53"/>
  <c r="A823" i="53" s="1"/>
  <c r="B53" i="53"/>
  <c r="A53" i="53" s="1"/>
  <c r="B67" i="53"/>
  <c r="A67" i="53" s="1"/>
  <c r="B907" i="53"/>
  <c r="A907" i="53" s="1"/>
  <c r="B1277" i="53"/>
  <c r="A1277" i="53" s="1"/>
  <c r="B1610" i="53"/>
  <c r="A1610" i="53" s="1"/>
  <c r="B1787" i="53"/>
  <c r="A1787" i="53" s="1"/>
  <c r="B743" i="53"/>
  <c r="A743" i="53" s="1"/>
  <c r="B1401" i="53"/>
  <c r="A1401" i="53" s="1"/>
  <c r="B1626" i="53"/>
  <c r="A1626" i="53" s="1"/>
  <c r="B1699" i="53"/>
  <c r="A1699" i="53" s="1"/>
  <c r="B1421" i="53"/>
  <c r="A1421" i="53" s="1"/>
  <c r="B1425" i="53"/>
  <c r="A1425" i="53" s="1"/>
  <c r="B1726" i="53"/>
  <c r="A1726" i="53" s="1"/>
  <c r="B826" i="53"/>
  <c r="A826" i="53" s="1"/>
  <c r="B59" i="53"/>
  <c r="A59" i="53" s="1"/>
  <c r="B556" i="53"/>
  <c r="A556" i="53" s="1"/>
  <c r="B557" i="53"/>
  <c r="A557" i="53" s="1"/>
  <c r="B1535" i="53"/>
  <c r="A1535" i="53" s="1"/>
  <c r="B1809" i="53"/>
  <c r="A1809" i="53" s="1"/>
  <c r="B1614" i="53"/>
  <c r="A1614" i="53" s="1"/>
  <c r="B1543" i="53"/>
  <c r="A1543" i="53" s="1"/>
  <c r="B1213" i="53"/>
  <c r="A1213" i="53" s="1"/>
  <c r="B1812" i="53"/>
  <c r="A1812" i="53" s="1"/>
  <c r="B914" i="53"/>
  <c r="A914" i="53" s="1"/>
  <c r="B923" i="53"/>
  <c r="A923" i="53" s="1"/>
  <c r="B1487" i="53"/>
  <c r="A1487" i="53" s="1"/>
  <c r="B1603" i="53"/>
  <c r="A1603" i="53" s="1"/>
  <c r="B1197" i="53"/>
  <c r="A1197" i="53" s="1"/>
  <c r="B68" i="53"/>
  <c r="A68" i="53" s="1"/>
  <c r="B555" i="53"/>
  <c r="A555" i="53" s="1"/>
  <c r="B79" i="53"/>
  <c r="A79" i="53" s="1"/>
  <c r="B1181" i="53"/>
  <c r="A1181" i="53" s="1"/>
  <c r="B1186" i="53"/>
  <c r="A1186" i="53" s="1"/>
  <c r="B1607" i="53"/>
  <c r="A1607" i="53" s="1"/>
  <c r="B1611" i="53"/>
  <c r="A1611" i="53" s="1"/>
  <c r="B1395" i="53"/>
  <c r="A1395" i="53" s="1"/>
  <c r="B749" i="53"/>
  <c r="A749" i="53" s="1"/>
  <c r="B1621" i="53"/>
  <c r="A1621" i="53" s="1"/>
  <c r="B1625" i="53"/>
  <c r="A1625" i="53" s="1"/>
  <c r="B1697" i="53"/>
  <c r="A1697" i="53" s="1"/>
  <c r="B1379" i="53"/>
  <c r="A1379" i="53" s="1"/>
  <c r="B62" i="53"/>
  <c r="A62" i="53" s="1"/>
  <c r="B69" i="53"/>
  <c r="A69" i="53" s="1"/>
  <c r="B679" i="53"/>
  <c r="A679" i="53" s="1"/>
  <c r="B682" i="53"/>
  <c r="A682" i="53" s="1"/>
  <c r="B685" i="53"/>
  <c r="A685" i="53" s="1"/>
  <c r="B1536" i="53"/>
  <c r="A1536" i="53" s="1"/>
  <c r="B1613" i="53"/>
  <c r="A1613" i="53" s="1"/>
  <c r="B1847" i="53"/>
  <c r="A1847" i="53" s="1"/>
  <c r="B1544" i="53"/>
  <c r="A1544" i="53" s="1"/>
  <c r="B1456" i="53"/>
  <c r="A1456" i="53" s="1"/>
  <c r="B513" i="53"/>
  <c r="A513" i="53" s="1"/>
  <c r="B1633" i="53"/>
  <c r="A1633" i="53" s="1"/>
  <c r="B911" i="53"/>
  <c r="A911" i="53" s="1"/>
  <c r="B915" i="53"/>
  <c r="A915" i="53" s="1"/>
  <c r="B1485" i="53"/>
  <c r="A1485" i="53" s="1"/>
  <c r="B1598" i="53"/>
  <c r="A1598" i="53" s="1"/>
  <c r="B1602" i="53"/>
  <c r="A1602" i="53" s="1"/>
  <c r="B1195" i="53"/>
  <c r="A1195" i="53" s="1"/>
  <c r="B1200" i="53"/>
  <c r="A1200" i="53" s="1"/>
  <c r="B1373" i="53"/>
  <c r="A1373" i="53" s="1"/>
  <c r="B1718" i="53"/>
  <c r="A1718" i="53" s="1"/>
  <c r="B1375" i="53"/>
  <c r="A1375" i="53" s="1"/>
  <c r="B1722" i="53"/>
  <c r="A1722" i="53" s="1"/>
  <c r="B824" i="53"/>
  <c r="A824" i="53" s="1"/>
  <c r="B60" i="53"/>
  <c r="A60" i="53" s="1"/>
  <c r="B65" i="53"/>
  <c r="A65" i="53" s="1"/>
  <c r="B72" i="53"/>
  <c r="A72" i="53" s="1"/>
  <c r="B680" i="53"/>
  <c r="A680" i="53" s="1"/>
  <c r="B1204" i="53"/>
  <c r="A1204" i="53" s="1"/>
  <c r="B1206" i="53"/>
  <c r="A1206" i="53" s="1"/>
  <c r="B1537" i="53"/>
  <c r="A1537" i="53" s="1"/>
  <c r="B1844" i="53"/>
  <c r="A1844" i="53" s="1"/>
  <c r="B1769" i="53"/>
  <c r="A1769" i="53" s="1"/>
  <c r="B1770" i="53"/>
  <c r="A1770" i="53" s="1"/>
  <c r="B73" i="53"/>
  <c r="A73" i="53" s="1"/>
  <c r="B160" i="53"/>
  <c r="A160" i="53" s="1"/>
  <c r="B696" i="53"/>
  <c r="A696" i="53" s="1"/>
  <c r="B269" i="53"/>
  <c r="A269" i="53" s="1"/>
  <c r="B920" i="53"/>
  <c r="A920" i="53" s="1"/>
  <c r="B747" i="53"/>
  <c r="A747" i="53" s="1"/>
  <c r="B1620" i="53"/>
  <c r="A1620" i="53" s="1"/>
  <c r="B1624" i="53"/>
  <c r="A1624" i="53" s="1"/>
  <c r="B1695" i="53"/>
  <c r="A1695" i="53" s="1"/>
  <c r="B1420" i="53"/>
  <c r="A1420" i="53" s="1"/>
  <c r="B1422" i="53"/>
  <c r="A1422" i="53" s="1"/>
  <c r="B821" i="53"/>
  <c r="A821" i="53" s="1"/>
  <c r="B827" i="53"/>
  <c r="A827" i="53" s="1"/>
  <c r="B681" i="53"/>
  <c r="A681" i="53" s="1"/>
  <c r="B1207" i="53"/>
  <c r="A1207" i="53" s="1"/>
  <c r="B1701" i="53"/>
  <c r="A1701" i="53" s="1"/>
  <c r="B1702" i="53"/>
  <c r="A1702" i="53" s="1"/>
  <c r="B1845" i="53"/>
  <c r="A1845" i="53" s="1"/>
  <c r="B383" i="53"/>
  <c r="A383" i="53" s="1"/>
  <c r="B1538" i="53"/>
  <c r="A1538" i="53" s="1"/>
  <c r="B1541" i="53"/>
  <c r="A1541" i="53" s="1"/>
  <c r="B872" i="53"/>
  <c r="A872" i="53" s="1"/>
  <c r="B878" i="53"/>
  <c r="A878" i="53" s="1"/>
  <c r="B420" i="53"/>
  <c r="A420" i="53" s="1"/>
  <c r="B164" i="53"/>
  <c r="A164" i="53" s="1"/>
  <c r="B1570" i="53"/>
  <c r="A1570" i="53" s="1"/>
  <c r="B1404" i="53"/>
  <c r="A1404" i="53" s="1"/>
  <c r="B472" i="53"/>
  <c r="A472" i="53" s="1"/>
  <c r="B1426" i="53"/>
  <c r="A1426" i="53" s="1"/>
  <c r="B66" i="53"/>
  <c r="A66" i="53" s="1"/>
  <c r="B1201" i="53"/>
  <c r="A1201" i="53" s="1"/>
  <c r="B1817" i="53"/>
  <c r="A1817" i="53" s="1"/>
  <c r="B631" i="53"/>
  <c r="A631" i="53" s="1"/>
  <c r="B1174" i="53"/>
  <c r="A1174" i="53" s="1"/>
  <c r="B693" i="53"/>
  <c r="A693" i="53" s="1"/>
  <c r="B745" i="53"/>
  <c r="A745" i="53" s="1"/>
  <c r="B1405" i="53"/>
  <c r="A1405" i="53" s="1"/>
  <c r="B473" i="53"/>
  <c r="A473" i="53" s="1"/>
  <c r="B1723" i="53"/>
  <c r="A1723" i="53" s="1"/>
  <c r="B1727" i="53"/>
  <c r="A1727" i="53" s="1"/>
  <c r="B1203" i="53"/>
  <c r="A1203" i="53" s="1"/>
  <c r="B560" i="53"/>
  <c r="A560" i="53" s="1"/>
  <c r="B1534" i="53"/>
  <c r="A1534" i="53" s="1"/>
  <c r="B381" i="53"/>
  <c r="A381" i="53" s="1"/>
  <c r="B382" i="53"/>
  <c r="A382" i="53" s="1"/>
  <c r="B1811" i="53"/>
  <c r="A1811" i="53" s="1"/>
  <c r="B1542" i="53"/>
  <c r="A1542" i="53" s="1"/>
  <c r="B1208" i="53"/>
  <c r="A1208" i="53" s="1"/>
  <c r="B627" i="53"/>
  <c r="A627" i="53" s="1"/>
  <c r="B1453" i="53"/>
  <c r="A1453" i="53" s="1"/>
  <c r="B1455" i="53"/>
  <c r="A1455" i="53" s="1"/>
  <c r="B1457" i="53"/>
  <c r="A1457" i="53" s="1"/>
  <c r="B780" i="53"/>
  <c r="A780" i="53" s="1"/>
  <c r="B63" i="53"/>
  <c r="A63" i="53" s="1"/>
  <c r="B1531" i="53"/>
  <c r="A1531" i="53" s="1"/>
  <c r="B1539" i="53"/>
  <c r="A1539" i="53" s="1"/>
  <c r="B417" i="53"/>
  <c r="A417" i="53" s="1"/>
  <c r="B418" i="53"/>
  <c r="A418" i="53" s="1"/>
  <c r="B1217" i="53"/>
  <c r="A1217" i="53" s="1"/>
  <c r="B1220" i="53"/>
  <c r="A1220" i="53" s="1"/>
  <c r="B75" i="53"/>
  <c r="A75" i="53" s="1"/>
  <c r="B1561" i="53"/>
  <c r="A1561" i="53" s="1"/>
  <c r="B1228" i="53"/>
  <c r="A1228" i="53" s="1"/>
  <c r="B1848" i="53"/>
  <c r="A1848" i="53" s="1"/>
  <c r="B175" i="53"/>
  <c r="A175" i="53" s="1"/>
  <c r="B873" i="53"/>
  <c r="A873" i="53" s="1"/>
  <c r="B78" i="53"/>
  <c r="A78" i="53" s="1"/>
  <c r="B1226" i="53"/>
  <c r="A1226" i="53" s="1"/>
  <c r="B1628" i="53"/>
  <c r="A1628" i="53" s="1"/>
  <c r="B1230" i="53"/>
  <c r="A1230" i="53" s="1"/>
  <c r="B165" i="53"/>
  <c r="A165" i="53" s="1"/>
  <c r="B80" i="53"/>
  <c r="A80" i="53" s="1"/>
  <c r="B125" i="53"/>
  <c r="A125" i="53" s="1"/>
  <c r="B1953" i="53"/>
  <c r="A1953" i="53" s="1"/>
  <c r="B1612" i="53"/>
  <c r="A1612" i="53" s="1"/>
  <c r="B1810" i="53"/>
  <c r="A1810" i="53" s="1"/>
  <c r="B1214" i="53"/>
  <c r="A1214" i="53" s="1"/>
  <c r="B419" i="53"/>
  <c r="A419" i="53" s="1"/>
  <c r="B422" i="53"/>
  <c r="A422" i="53" s="1"/>
  <c r="B1223" i="53"/>
  <c r="A1223" i="53" s="1"/>
  <c r="B594" i="53"/>
  <c r="A594" i="53" s="1"/>
  <c r="B166" i="53"/>
  <c r="A166" i="53" s="1"/>
  <c r="B123" i="53"/>
  <c r="A123" i="53" s="1"/>
  <c r="B170" i="53"/>
  <c r="A170" i="53" s="1"/>
  <c r="B171" i="53"/>
  <c r="A171" i="53" s="1"/>
  <c r="B1818" i="53"/>
  <c r="A1818" i="53" s="1"/>
  <c r="B1875" i="53"/>
  <c r="A1875" i="53" s="1"/>
  <c r="B1219" i="53"/>
  <c r="A1219" i="53" s="1"/>
  <c r="B74" i="53"/>
  <c r="A74" i="53" s="1"/>
  <c r="B783" i="53"/>
  <c r="A783" i="53" s="1"/>
  <c r="B800" i="53"/>
  <c r="A800" i="53" s="1"/>
  <c r="B605" i="53"/>
  <c r="A605" i="53" s="1"/>
  <c r="B1306" i="53"/>
  <c r="A1306" i="53" s="1"/>
  <c r="B1768" i="53"/>
  <c r="A1768" i="53" s="1"/>
  <c r="B1873" i="53"/>
  <c r="A1873" i="53" s="1"/>
  <c r="B1876" i="53"/>
  <c r="A1876" i="53" s="1"/>
  <c r="B515" i="53"/>
  <c r="A515" i="53" s="1"/>
  <c r="B1627" i="53"/>
  <c r="A1627" i="53" s="1"/>
  <c r="B1636" i="53"/>
  <c r="A1636" i="53" s="1"/>
  <c r="B593" i="53"/>
  <c r="A593" i="53" s="1"/>
  <c r="B169" i="53"/>
  <c r="A169" i="53" s="1"/>
  <c r="B803" i="53"/>
  <c r="A803" i="53" s="1"/>
  <c r="B1877" i="53"/>
  <c r="A1877" i="53" s="1"/>
  <c r="B1229" i="53"/>
  <c r="A1229" i="53" s="1"/>
  <c r="B81" i="53"/>
  <c r="A81" i="53" s="1"/>
  <c r="B70" i="53"/>
  <c r="A70" i="53" s="1"/>
  <c r="B380" i="53"/>
  <c r="A380" i="53" s="1"/>
  <c r="B1846" i="53"/>
  <c r="A1846" i="53" s="1"/>
  <c r="B1215" i="53"/>
  <c r="A1215" i="53" s="1"/>
  <c r="B1218" i="53"/>
  <c r="A1218" i="53" s="1"/>
  <c r="B77" i="53"/>
  <c r="A77" i="53" s="1"/>
  <c r="B510" i="53"/>
  <c r="A510" i="53" s="1"/>
  <c r="B1227" i="53"/>
  <c r="A1227" i="53" s="1"/>
  <c r="B781" i="53"/>
  <c r="A781" i="53" s="1"/>
  <c r="B1635" i="53"/>
  <c r="A1635" i="53" s="1"/>
  <c r="B598" i="53"/>
  <c r="A598" i="53" s="1"/>
  <c r="B801" i="53"/>
  <c r="A801" i="53" s="1"/>
  <c r="B1516" i="53"/>
  <c r="A1516" i="53" s="1"/>
  <c r="B877" i="53"/>
  <c r="A877" i="53" s="1"/>
  <c r="B1813" i="53"/>
  <c r="A1813" i="53" s="1"/>
  <c r="B1874" i="53"/>
  <c r="A1874" i="53" s="1"/>
  <c r="B630" i="53"/>
  <c r="A630" i="53" s="1"/>
  <c r="B1878" i="53"/>
  <c r="A1878" i="53" s="1"/>
  <c r="B1225" i="53"/>
  <c r="A1225" i="53" s="1"/>
  <c r="B511" i="53"/>
  <c r="A511" i="53" s="1"/>
  <c r="B514" i="53"/>
  <c r="A514" i="53" s="1"/>
  <c r="B1565" i="53"/>
  <c r="A1565" i="53" s="1"/>
  <c r="B118" i="53"/>
  <c r="A118" i="53" s="1"/>
  <c r="B765" i="53"/>
  <c r="A765" i="53" s="1"/>
  <c r="B799" i="53"/>
  <c r="A799" i="53" s="1"/>
  <c r="B127" i="53"/>
  <c r="A127" i="53" s="1"/>
  <c r="B128" i="53"/>
  <c r="A128" i="53" s="1"/>
  <c r="B275" i="53"/>
  <c r="A275" i="53" s="1"/>
  <c r="B601" i="53"/>
  <c r="A601" i="53" s="1"/>
  <c r="B1860" i="53"/>
  <c r="A1860" i="53" s="1"/>
  <c r="B1737" i="53"/>
  <c r="A1737" i="53" s="1"/>
  <c r="B494" i="53"/>
  <c r="A494" i="53" s="1"/>
  <c r="B1305" i="53"/>
  <c r="A1305" i="53" s="1"/>
  <c r="B903" i="53"/>
  <c r="A903" i="53" s="1"/>
  <c r="B1807" i="53"/>
  <c r="A1807" i="53" s="1"/>
  <c r="B174" i="53"/>
  <c r="A174" i="53" s="1"/>
  <c r="B130" i="53"/>
  <c r="A130" i="53" s="1"/>
  <c r="B272" i="53"/>
  <c r="A272" i="53" s="1"/>
  <c r="B274" i="53"/>
  <c r="A274" i="53" s="1"/>
  <c r="B1515" i="53"/>
  <c r="A1515" i="53" s="1"/>
  <c r="B493" i="53"/>
  <c r="A493" i="53" s="1"/>
  <c r="B1308" i="53"/>
  <c r="A1308" i="53" s="1"/>
  <c r="B276" i="53"/>
  <c r="A276" i="53" s="1"/>
  <c r="B1863" i="53"/>
  <c r="A1863" i="53" s="1"/>
  <c r="B900" i="53"/>
  <c r="A900" i="53" s="1"/>
  <c r="B1288" i="53"/>
  <c r="A1288" i="53" s="1"/>
  <c r="B168" i="53"/>
  <c r="A168" i="53" s="1"/>
  <c r="B1851" i="53"/>
  <c r="A1851" i="53" s="1"/>
  <c r="B172" i="53"/>
  <c r="A172" i="53" s="1"/>
  <c r="B603" i="53"/>
  <c r="A603" i="53" s="1"/>
  <c r="B1864" i="53"/>
  <c r="A1864" i="53" s="1"/>
  <c r="B1468" i="53"/>
  <c r="A1468" i="53" s="1"/>
  <c r="B1803" i="53"/>
  <c r="A1803" i="53" s="1"/>
  <c r="B1849" i="53"/>
  <c r="A1849" i="53" s="1"/>
  <c r="B176" i="53"/>
  <c r="A176" i="53" s="1"/>
  <c r="B1235" i="53"/>
  <c r="A1235" i="53" s="1"/>
  <c r="B1237" i="53"/>
  <c r="A1237" i="53" s="1"/>
  <c r="B901" i="53"/>
  <c r="A901" i="53" s="1"/>
  <c r="B904" i="53"/>
  <c r="A904" i="53" s="1"/>
  <c r="B600" i="53"/>
  <c r="A600" i="53" s="1"/>
  <c r="B131" i="53"/>
  <c r="A131" i="53" s="1"/>
  <c r="B1513" i="53"/>
  <c r="A1513" i="53" s="1"/>
  <c r="B1859" i="53"/>
  <c r="A1859" i="53" s="1"/>
  <c r="B798" i="53"/>
  <c r="A798" i="53" s="1"/>
  <c r="B802" i="53"/>
  <c r="A802" i="53" s="1"/>
  <c r="B1510" i="53"/>
  <c r="A1510" i="53" s="1"/>
  <c r="B1862" i="53"/>
  <c r="A1862" i="53" s="1"/>
  <c r="B1865" i="53"/>
  <c r="A1865" i="53" s="1"/>
  <c r="B1465" i="53"/>
  <c r="A1465" i="53" s="1"/>
  <c r="B1292" i="53"/>
  <c r="A1292" i="53" s="1"/>
  <c r="B173" i="53"/>
  <c r="A173" i="53" s="1"/>
  <c r="B604" i="53"/>
  <c r="A604" i="53" s="1"/>
  <c r="B177" i="53"/>
  <c r="A177" i="53" s="1"/>
  <c r="B1512" i="53"/>
  <c r="A1512" i="53" s="1"/>
  <c r="B1514" i="53"/>
  <c r="A1514" i="53" s="1"/>
  <c r="B1553" i="53"/>
  <c r="A1553" i="53" s="1"/>
  <c r="B1841" i="53"/>
  <c r="A1841" i="53" s="1"/>
  <c r="B840" i="53"/>
  <c r="A840" i="53" s="1"/>
  <c r="B1240" i="53"/>
  <c r="A1240" i="53" s="1"/>
  <c r="B221" i="53"/>
  <c r="A221" i="53" s="1"/>
  <c r="B1381" i="53"/>
  <c r="A1381" i="53" s="1"/>
  <c r="B1315" i="53"/>
  <c r="A1315" i="53" s="1"/>
  <c r="B1318" i="53"/>
  <c r="A1318" i="53" s="1"/>
  <c r="B1248" i="53"/>
  <c r="A1248" i="53" s="1"/>
  <c r="B1923" i="53"/>
  <c r="A1923" i="53" s="1"/>
  <c r="B1552" i="53"/>
  <c r="A1552" i="53" s="1"/>
  <c r="B1838" i="53"/>
  <c r="A1838" i="53" s="1"/>
  <c r="B1291" i="53"/>
  <c r="A1291" i="53" s="1"/>
  <c r="B1558" i="53"/>
  <c r="A1558" i="53" s="1"/>
  <c r="B1806" i="53"/>
  <c r="A1806" i="53" s="1"/>
  <c r="B1391" i="53"/>
  <c r="A1391" i="53" s="1"/>
  <c r="B1392" i="53"/>
  <c r="A1392" i="53" s="1"/>
  <c r="B1382" i="53"/>
  <c r="A1382" i="53" s="1"/>
  <c r="B86" i="53"/>
  <c r="A86" i="53" s="1"/>
  <c r="B1258" i="53"/>
  <c r="A1258" i="53" s="1"/>
  <c r="B1555" i="53"/>
  <c r="A1555" i="53" s="1"/>
  <c r="B1843" i="53"/>
  <c r="A1843" i="53" s="1"/>
  <c r="B924" i="53"/>
  <c r="A924" i="53" s="1"/>
  <c r="B926" i="53"/>
  <c r="A926" i="53" s="1"/>
  <c r="B1912" i="53"/>
  <c r="A1912" i="53" s="1"/>
  <c r="B1313" i="53"/>
  <c r="A1313" i="53" s="1"/>
  <c r="B1242" i="53"/>
  <c r="A1242" i="53" s="1"/>
  <c r="B1250" i="53"/>
  <c r="A1250" i="53" s="1"/>
  <c r="B905" i="53"/>
  <c r="A905" i="53" s="1"/>
  <c r="B1837" i="53"/>
  <c r="A1837" i="53" s="1"/>
  <c r="B1840" i="53"/>
  <c r="A1840" i="53" s="1"/>
  <c r="B1801" i="53"/>
  <c r="A1801" i="53" s="1"/>
  <c r="B838" i="53"/>
  <c r="A838" i="53" s="1"/>
  <c r="B1239" i="53"/>
  <c r="A1239" i="53" s="1"/>
  <c r="B1930" i="53"/>
  <c r="A1930" i="53" s="1"/>
  <c r="B1241" i="53"/>
  <c r="A1241" i="53" s="1"/>
  <c r="B1932" i="53"/>
  <c r="A1932" i="53" s="1"/>
  <c r="B1393" i="53"/>
  <c r="A1393" i="53" s="1"/>
  <c r="B1924" i="53"/>
  <c r="A1924" i="53" s="1"/>
  <c r="B1969" i="53"/>
  <c r="A1969" i="53" s="1"/>
  <c r="B1557" i="53"/>
  <c r="A1557" i="53" s="1"/>
  <c r="B1804" i="53"/>
  <c r="A1804" i="53" s="1"/>
  <c r="B520" i="53"/>
  <c r="A520" i="53" s="1"/>
  <c r="B1394" i="53"/>
  <c r="A1394" i="53" s="1"/>
  <c r="B1915" i="53"/>
  <c r="A1915" i="53" s="1"/>
  <c r="B1616" i="53"/>
  <c r="A1616" i="53" s="1"/>
  <c r="B1922" i="53"/>
  <c r="A1922" i="53" s="1"/>
  <c r="B1252" i="53"/>
  <c r="A1252" i="53" s="1"/>
  <c r="B1257" i="53"/>
  <c r="A1257" i="53" s="1"/>
  <c r="B1554" i="53"/>
  <c r="A1554" i="53" s="1"/>
  <c r="B1842" i="53"/>
  <c r="A1842" i="53" s="1"/>
  <c r="B1805" i="53"/>
  <c r="A1805" i="53" s="1"/>
  <c r="B1926" i="53"/>
  <c r="A1926" i="53" s="1"/>
  <c r="B517" i="53"/>
  <c r="A517" i="53" s="1"/>
  <c r="B1968" i="53"/>
  <c r="A1968" i="53" s="1"/>
  <c r="B1839" i="53"/>
  <c r="A1839" i="53" s="1"/>
  <c r="B1927" i="53"/>
  <c r="A1927" i="53" s="1"/>
  <c r="B1380" i="53"/>
  <c r="A1380" i="53" s="1"/>
  <c r="B518" i="53"/>
  <c r="A518" i="53" s="1"/>
  <c r="B82" i="53"/>
  <c r="A82" i="53" s="1"/>
  <c r="B1314" i="53"/>
  <c r="A1314" i="53" s="1"/>
  <c r="B1243" i="53"/>
  <c r="A1243" i="53" s="1"/>
  <c r="B1249" i="53"/>
  <c r="A1249" i="53" s="1"/>
  <c r="B1289" i="53"/>
  <c r="A1289" i="53" s="1"/>
  <c r="B1556" i="53"/>
  <c r="A1556" i="53" s="1"/>
  <c r="B219" i="53"/>
  <c r="A219" i="53" s="1"/>
  <c r="B925" i="53"/>
  <c r="A925" i="53" s="1"/>
  <c r="B1383" i="53"/>
  <c r="A1383" i="53" s="1"/>
  <c r="B83" i="53"/>
  <c r="A83" i="53" s="1"/>
  <c r="B85" i="53"/>
  <c r="A85" i="53" s="1"/>
  <c r="B1617" i="53"/>
  <c r="A1617" i="53" s="1"/>
  <c r="B1316" i="53"/>
  <c r="A1316" i="53" s="1"/>
  <c r="B1244" i="53"/>
  <c r="A1244" i="53" s="1"/>
  <c r="B1251" i="53"/>
  <c r="A1251" i="53" s="1"/>
  <c r="B200" i="53"/>
  <c r="A200" i="53" s="1"/>
  <c r="B1925" i="53"/>
  <c r="A1925" i="53" s="1"/>
  <c r="E11" i="64" l="1"/>
  <c r="F11" i="64"/>
  <c r="G11" i="64"/>
  <c r="H11" i="64"/>
  <c r="M11" i="64"/>
  <c r="E12" i="64"/>
  <c r="F12" i="64"/>
  <c r="G12" i="64"/>
  <c r="H12" i="64"/>
  <c r="M12" i="64"/>
  <c r="B14" i="64"/>
  <c r="C13" i="64"/>
  <c r="E2" i="64"/>
  <c r="H13" i="64" l="1"/>
  <c r="M13" i="64"/>
  <c r="E13" i="64"/>
  <c r="F13" i="64"/>
  <c r="G13" i="64"/>
  <c r="D12" i="64"/>
  <c r="K12" i="64" s="1"/>
  <c r="D11" i="64"/>
  <c r="I11" i="64" s="1"/>
  <c r="B15" i="64"/>
  <c r="C14" i="64"/>
  <c r="U31" i="52"/>
  <c r="U32" i="52"/>
  <c r="U33" i="52"/>
  <c r="U34" i="52"/>
  <c r="U35" i="52"/>
  <c r="U30" i="52"/>
  <c r="U22" i="52"/>
  <c r="U23" i="52"/>
  <c r="U24" i="52"/>
  <c r="U25" i="52"/>
  <c r="U21" i="52"/>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AA66" i="51"/>
  <c r="AA67" i="51"/>
  <c r="AA68" i="51"/>
  <c r="AA69" i="51"/>
  <c r="AA70" i="51"/>
  <c r="AA71" i="51"/>
  <c r="AA72" i="51"/>
  <c r="AA73" i="51"/>
  <c r="AA74" i="51"/>
  <c r="AA75" i="51"/>
  <c r="AA76" i="51"/>
  <c r="AA77" i="51"/>
  <c r="AA78" i="51"/>
  <c r="AA79" i="51"/>
  <c r="AA80" i="51"/>
  <c r="AA81" i="51"/>
  <c r="AA82" i="51"/>
  <c r="AA83" i="51"/>
  <c r="AA84" i="51"/>
  <c r="AA85" i="51"/>
  <c r="AA86" i="51"/>
  <c r="AA87" i="51"/>
  <c r="AA88" i="51"/>
  <c r="AA89" i="51"/>
  <c r="AA90" i="51"/>
  <c r="AA91" i="51"/>
  <c r="AA92" i="51"/>
  <c r="AA93" i="51"/>
  <c r="AA94" i="51"/>
  <c r="AA95" i="51"/>
  <c r="AA96" i="51"/>
  <c r="AA97" i="51"/>
  <c r="AA98" i="51"/>
  <c r="AA99" i="51"/>
  <c r="AA100" i="51"/>
  <c r="AA101" i="51"/>
  <c r="AA102" i="51"/>
  <c r="AA103" i="51"/>
  <c r="AA104" i="51"/>
  <c r="AA105" i="51"/>
  <c r="AA106" i="51"/>
  <c r="AA107" i="51"/>
  <c r="AA108" i="51"/>
  <c r="AA109" i="51"/>
  <c r="AA110" i="51"/>
  <c r="AA111" i="51"/>
  <c r="AA112" i="51"/>
  <c r="AA113" i="51"/>
  <c r="AA114" i="51"/>
  <c r="AA115" i="51"/>
  <c r="AA116" i="51"/>
  <c r="AA117" i="51"/>
  <c r="AA118" i="51"/>
  <c r="AA119" i="51"/>
  <c r="AA120" i="51"/>
  <c r="AA121" i="51"/>
  <c r="AA123" i="51"/>
  <c r="AA124" i="51"/>
  <c r="AA125" i="51"/>
  <c r="AA126" i="51"/>
  <c r="AA127" i="51"/>
  <c r="AA128" i="51"/>
  <c r="AA129" i="51"/>
  <c r="AA130" i="51"/>
  <c r="AA131" i="51"/>
  <c r="AA132" i="51"/>
  <c r="AA133" i="51"/>
  <c r="AA134" i="51"/>
  <c r="AA135" i="51"/>
  <c r="AA136" i="51"/>
  <c r="AA137" i="51"/>
  <c r="AA138" i="51"/>
  <c r="AA139" i="51"/>
  <c r="AA140" i="51"/>
  <c r="AA141" i="51"/>
  <c r="AA142" i="51"/>
  <c r="AA143" i="51"/>
  <c r="AA144" i="51"/>
  <c r="AA145" i="51"/>
  <c r="AA146" i="51"/>
  <c r="AA147" i="51"/>
  <c r="AA148" i="51"/>
  <c r="AA149" i="51"/>
  <c r="AA150" i="51"/>
  <c r="AA151" i="51"/>
  <c r="AA152" i="51"/>
  <c r="AA153" i="51"/>
  <c r="AA154" i="51"/>
  <c r="AA155" i="51"/>
  <c r="AA156" i="51"/>
  <c r="AA33" i="51"/>
  <c r="AA32" i="51"/>
  <c r="L16" i="61"/>
  <c r="N16" i="61" s="1"/>
  <c r="O15" i="51"/>
  <c r="M12" i="51"/>
  <c r="M13" i="51"/>
  <c r="N15" i="51"/>
  <c r="M15" i="51"/>
  <c r="L15" i="51"/>
  <c r="K15" i="51"/>
  <c r="O14" i="51"/>
  <c r="N14" i="51"/>
  <c r="M14" i="51"/>
  <c r="L14" i="51"/>
  <c r="K14" i="51"/>
  <c r="O13" i="51"/>
  <c r="N13" i="51"/>
  <c r="L13" i="51"/>
  <c r="K13" i="51"/>
  <c r="O12" i="51"/>
  <c r="N12" i="51"/>
  <c r="L12" i="51"/>
  <c r="K12" i="51"/>
  <c r="I12" i="64" l="1"/>
  <c r="E14" i="64"/>
  <c r="F14" i="64"/>
  <c r="G14" i="64"/>
  <c r="H14" i="64"/>
  <c r="M14" i="64"/>
  <c r="D13" i="64"/>
  <c r="I13" i="64" s="1"/>
  <c r="K11" i="64"/>
  <c r="B16" i="64"/>
  <c r="C15" i="64"/>
  <c r="T33" i="52"/>
  <c r="T34" i="52"/>
  <c r="T35" i="52"/>
  <c r="T19" i="52"/>
  <c r="U19" i="52"/>
  <c r="T20" i="52"/>
  <c r="U20" i="52"/>
  <c r="T21" i="52"/>
  <c r="T22" i="52"/>
  <c r="T23" i="52"/>
  <c r="T24" i="52"/>
  <c r="T25" i="52"/>
  <c r="T30" i="52"/>
  <c r="T31" i="52"/>
  <c r="T32" i="52"/>
  <c r="T29" i="52"/>
  <c r="U29" i="52"/>
  <c r="Z23" i="51"/>
  <c r="Z24" i="51"/>
  <c r="Z25" i="51"/>
  <c r="Z26" i="51"/>
  <c r="K11" i="52"/>
  <c r="L11" i="52"/>
  <c r="M11" i="52"/>
  <c r="N11" i="52"/>
  <c r="B3" i="56"/>
  <c r="A3" i="56" s="1"/>
  <c r="B4" i="56"/>
  <c r="A4" i="56" s="1"/>
  <c r="B5" i="56"/>
  <c r="A5" i="56" s="1"/>
  <c r="B6" i="56"/>
  <c r="A6" i="56" s="1"/>
  <c r="B7" i="56"/>
  <c r="A7" i="56" s="1"/>
  <c r="B8" i="56"/>
  <c r="A8" i="56" s="1"/>
  <c r="B9" i="56"/>
  <c r="A9" i="56" s="1"/>
  <c r="B10" i="56"/>
  <c r="A10" i="56" s="1"/>
  <c r="B11" i="56"/>
  <c r="A11" i="56" s="1"/>
  <c r="B12" i="56"/>
  <c r="A12" i="56" s="1"/>
  <c r="B13" i="56"/>
  <c r="A13" i="56" s="1"/>
  <c r="B14" i="56"/>
  <c r="A14" i="56" s="1"/>
  <c r="B15" i="56"/>
  <c r="A15" i="56" s="1"/>
  <c r="B16" i="56"/>
  <c r="A16" i="56" s="1"/>
  <c r="B17" i="56"/>
  <c r="A17" i="56" s="1"/>
  <c r="B18" i="56"/>
  <c r="A18" i="56" s="1"/>
  <c r="B19" i="56"/>
  <c r="A19" i="56" s="1"/>
  <c r="B20" i="56"/>
  <c r="A20" i="56" s="1"/>
  <c r="B21" i="56"/>
  <c r="A21" i="56" s="1"/>
  <c r="B22" i="56"/>
  <c r="A22" i="56" s="1"/>
  <c r="B23" i="56"/>
  <c r="A23" i="56" s="1"/>
  <c r="B24" i="56"/>
  <c r="A24" i="56" s="1"/>
  <c r="B25" i="56"/>
  <c r="A25" i="56" s="1"/>
  <c r="B26" i="56"/>
  <c r="A26" i="56" s="1"/>
  <c r="B27" i="56"/>
  <c r="A27" i="56" s="1"/>
  <c r="B28" i="56"/>
  <c r="A28" i="56" s="1"/>
  <c r="B29" i="56"/>
  <c r="A29" i="56" s="1"/>
  <c r="B30" i="56"/>
  <c r="A30" i="56" s="1"/>
  <c r="B31" i="56"/>
  <c r="A31" i="56" s="1"/>
  <c r="B32" i="56"/>
  <c r="A32" i="56" s="1"/>
  <c r="B33" i="56"/>
  <c r="A33" i="56" s="1"/>
  <c r="B34" i="56"/>
  <c r="A34" i="56" s="1"/>
  <c r="B35" i="56"/>
  <c r="A35" i="56" s="1"/>
  <c r="B36" i="56"/>
  <c r="A36" i="56" s="1"/>
  <c r="B37" i="56"/>
  <c r="A37" i="56" s="1"/>
  <c r="B38" i="56"/>
  <c r="A38" i="56" s="1"/>
  <c r="B39" i="56"/>
  <c r="A39" i="56" s="1"/>
  <c r="B40" i="56"/>
  <c r="A40" i="56" s="1"/>
  <c r="B41" i="56"/>
  <c r="A41" i="56" s="1"/>
  <c r="B42" i="56"/>
  <c r="A42" i="56" s="1"/>
  <c r="B43" i="56"/>
  <c r="A43" i="56" s="1"/>
  <c r="B44" i="56"/>
  <c r="A44" i="56" s="1"/>
  <c r="B45" i="56"/>
  <c r="A45" i="56" s="1"/>
  <c r="B46" i="56"/>
  <c r="A46" i="56" s="1"/>
  <c r="B47" i="56"/>
  <c r="A47" i="56" s="1"/>
  <c r="B48" i="56"/>
  <c r="A48" i="56" s="1"/>
  <c r="B49" i="56"/>
  <c r="A49" i="56" s="1"/>
  <c r="A50" i="56"/>
  <c r="B50" i="56"/>
  <c r="B51" i="56"/>
  <c r="A51" i="56" s="1"/>
  <c r="B52" i="56"/>
  <c r="A52" i="56" s="1"/>
  <c r="B53" i="56"/>
  <c r="A53" i="56" s="1"/>
  <c r="B54" i="56"/>
  <c r="A54" i="56" s="1"/>
  <c r="B55" i="56"/>
  <c r="A55" i="56" s="1"/>
  <c r="B56" i="56"/>
  <c r="A56" i="56" s="1"/>
  <c r="B57" i="56"/>
  <c r="A57" i="56" s="1"/>
  <c r="B58" i="56"/>
  <c r="A58" i="56" s="1"/>
  <c r="B59" i="56"/>
  <c r="A59" i="56" s="1"/>
  <c r="B60" i="56"/>
  <c r="A60" i="56" s="1"/>
  <c r="B61" i="56"/>
  <c r="A61" i="56" s="1"/>
  <c r="B62" i="56"/>
  <c r="A62" i="56" s="1"/>
  <c r="B63" i="56"/>
  <c r="A63" i="56" s="1"/>
  <c r="B64" i="56"/>
  <c r="A64" i="56" s="1"/>
  <c r="B65" i="56"/>
  <c r="A65" i="56" s="1"/>
  <c r="B66" i="56"/>
  <c r="A66" i="56" s="1"/>
  <c r="B67" i="56"/>
  <c r="A67" i="56" s="1"/>
  <c r="B68" i="56"/>
  <c r="A68" i="56" s="1"/>
  <c r="B69" i="56"/>
  <c r="A69" i="56" s="1"/>
  <c r="B70" i="56"/>
  <c r="A70" i="56" s="1"/>
  <c r="B71" i="56"/>
  <c r="A71" i="56" s="1"/>
  <c r="B72" i="56"/>
  <c r="A72" i="56" s="1"/>
  <c r="B73" i="56"/>
  <c r="A73" i="56" s="1"/>
  <c r="B74" i="56"/>
  <c r="A74" i="56" s="1"/>
  <c r="B75" i="56"/>
  <c r="A75" i="56" s="1"/>
  <c r="B76" i="56"/>
  <c r="A76" i="56" s="1"/>
  <c r="B77" i="56"/>
  <c r="A77" i="56" s="1"/>
  <c r="B78" i="56"/>
  <c r="A78" i="56" s="1"/>
  <c r="B79" i="56"/>
  <c r="A79" i="56" s="1"/>
  <c r="B80" i="56"/>
  <c r="A80" i="56" s="1"/>
  <c r="B81" i="56"/>
  <c r="A81" i="56" s="1"/>
  <c r="B82" i="56"/>
  <c r="A82" i="56" s="1"/>
  <c r="B83" i="56"/>
  <c r="A83" i="56" s="1"/>
  <c r="B84" i="56"/>
  <c r="A84" i="56" s="1"/>
  <c r="B85" i="56"/>
  <c r="A85" i="56" s="1"/>
  <c r="B86" i="56"/>
  <c r="A86" i="56" s="1"/>
  <c r="B87" i="56"/>
  <c r="A87" i="56" s="1"/>
  <c r="B88" i="56"/>
  <c r="A88" i="56" s="1"/>
  <c r="B89" i="56"/>
  <c r="A89" i="56" s="1"/>
  <c r="B90" i="56"/>
  <c r="A90" i="56" s="1"/>
  <c r="B91" i="56"/>
  <c r="A91" i="56" s="1"/>
  <c r="B92" i="56"/>
  <c r="A92" i="56" s="1"/>
  <c r="B93" i="56"/>
  <c r="A93" i="56" s="1"/>
  <c r="B94" i="56"/>
  <c r="A94" i="56" s="1"/>
  <c r="B95" i="56"/>
  <c r="A95" i="56" s="1"/>
  <c r="B96" i="56"/>
  <c r="A96" i="56" s="1"/>
  <c r="B97" i="56"/>
  <c r="A97" i="56" s="1"/>
  <c r="B98" i="56"/>
  <c r="A98" i="56" s="1"/>
  <c r="B99" i="56"/>
  <c r="A99" i="56" s="1"/>
  <c r="B100" i="56"/>
  <c r="A100" i="56" s="1"/>
  <c r="B101" i="56"/>
  <c r="A101" i="56" s="1"/>
  <c r="B102" i="56"/>
  <c r="A102" i="56" s="1"/>
  <c r="B103" i="56"/>
  <c r="A103" i="56" s="1"/>
  <c r="B104" i="56"/>
  <c r="A104" i="56" s="1"/>
  <c r="B105" i="56"/>
  <c r="A105" i="56" s="1"/>
  <c r="B106" i="56"/>
  <c r="A106" i="56" s="1"/>
  <c r="B107" i="56"/>
  <c r="A107" i="56" s="1"/>
  <c r="B108" i="56"/>
  <c r="A108" i="56" s="1"/>
  <c r="B109" i="56"/>
  <c r="A109" i="56" s="1"/>
  <c r="B110" i="56"/>
  <c r="A110" i="56" s="1"/>
  <c r="B111" i="56"/>
  <c r="A111" i="56" s="1"/>
  <c r="B112" i="56"/>
  <c r="A112" i="56" s="1"/>
  <c r="B113" i="56"/>
  <c r="A113" i="56" s="1"/>
  <c r="B114" i="56"/>
  <c r="A114" i="56" s="1"/>
  <c r="B115" i="56"/>
  <c r="A115" i="56" s="1"/>
  <c r="B116" i="56"/>
  <c r="A116" i="56" s="1"/>
  <c r="B117" i="56"/>
  <c r="A117" i="56" s="1"/>
  <c r="B118" i="56"/>
  <c r="A118" i="56" s="1"/>
  <c r="B119" i="56"/>
  <c r="A119" i="56" s="1"/>
  <c r="B120" i="56"/>
  <c r="A120" i="56" s="1"/>
  <c r="B121" i="56"/>
  <c r="A121" i="56" s="1"/>
  <c r="B122" i="56"/>
  <c r="A122" i="56" s="1"/>
  <c r="B123" i="56"/>
  <c r="A123" i="56" s="1"/>
  <c r="B124" i="56"/>
  <c r="A124" i="56" s="1"/>
  <c r="B125" i="56"/>
  <c r="A125" i="56" s="1"/>
  <c r="B126" i="56"/>
  <c r="A126" i="56" s="1"/>
  <c r="B127" i="56"/>
  <c r="A127" i="56" s="1"/>
  <c r="B128" i="56"/>
  <c r="A128" i="56" s="1"/>
  <c r="B129" i="56"/>
  <c r="A129" i="56" s="1"/>
  <c r="B130" i="56"/>
  <c r="A130" i="56" s="1"/>
  <c r="B131" i="56"/>
  <c r="A131" i="56" s="1"/>
  <c r="B132" i="56"/>
  <c r="A132" i="56" s="1"/>
  <c r="B133" i="56"/>
  <c r="A133" i="56" s="1"/>
  <c r="B134" i="56"/>
  <c r="A134" i="56" s="1"/>
  <c r="B135" i="56"/>
  <c r="A135" i="56" s="1"/>
  <c r="B136" i="56"/>
  <c r="A136" i="56" s="1"/>
  <c r="B137" i="56"/>
  <c r="A137" i="56" s="1"/>
  <c r="B138" i="56"/>
  <c r="A138" i="56" s="1"/>
  <c r="B139" i="56"/>
  <c r="A139" i="56" s="1"/>
  <c r="B140" i="56"/>
  <c r="A140" i="56" s="1"/>
  <c r="B141" i="56"/>
  <c r="A141" i="56" s="1"/>
  <c r="B142" i="56"/>
  <c r="A142" i="56" s="1"/>
  <c r="B143" i="56"/>
  <c r="A143" i="56" s="1"/>
  <c r="B144" i="56"/>
  <c r="A144" i="56" s="1"/>
  <c r="B145" i="56"/>
  <c r="A145" i="56" s="1"/>
  <c r="B146" i="56"/>
  <c r="A146" i="56" s="1"/>
  <c r="B147" i="56"/>
  <c r="A147" i="56" s="1"/>
  <c r="B148" i="56"/>
  <c r="A148" i="56" s="1"/>
  <c r="B149" i="56"/>
  <c r="A149" i="56" s="1"/>
  <c r="B150" i="56"/>
  <c r="A150" i="56" s="1"/>
  <c r="B151" i="56"/>
  <c r="A151" i="56" s="1"/>
  <c r="B152" i="56"/>
  <c r="A152" i="56" s="1"/>
  <c r="B153" i="56"/>
  <c r="A153" i="56" s="1"/>
  <c r="B154" i="56"/>
  <c r="A154" i="56" s="1"/>
  <c r="B155" i="56"/>
  <c r="A155" i="56" s="1"/>
  <c r="B156" i="56"/>
  <c r="A156" i="56" s="1"/>
  <c r="B157" i="56"/>
  <c r="A157" i="56" s="1"/>
  <c r="B158" i="56"/>
  <c r="A158" i="56" s="1"/>
  <c r="B159" i="56"/>
  <c r="A159" i="56" s="1"/>
  <c r="B160" i="56"/>
  <c r="A160" i="56" s="1"/>
  <c r="B161" i="56"/>
  <c r="A161" i="56" s="1"/>
  <c r="B162" i="56"/>
  <c r="A162" i="56" s="1"/>
  <c r="B163" i="56"/>
  <c r="A163" i="56" s="1"/>
  <c r="B164" i="56"/>
  <c r="A164" i="56" s="1"/>
  <c r="B165" i="56"/>
  <c r="A165" i="56" s="1"/>
  <c r="B166" i="56"/>
  <c r="A166" i="56" s="1"/>
  <c r="B167" i="56"/>
  <c r="A167" i="56" s="1"/>
  <c r="B168" i="56"/>
  <c r="A168" i="56" s="1"/>
  <c r="B169" i="56"/>
  <c r="A169" i="56" s="1"/>
  <c r="A170" i="56"/>
  <c r="B170" i="56"/>
  <c r="B171" i="56"/>
  <c r="A171" i="56" s="1"/>
  <c r="B172" i="56"/>
  <c r="A172" i="56" s="1"/>
  <c r="B173" i="56"/>
  <c r="A173" i="56" s="1"/>
  <c r="B174" i="56"/>
  <c r="A174" i="56" s="1"/>
  <c r="B175" i="56"/>
  <c r="A175" i="56" s="1"/>
  <c r="B176" i="56"/>
  <c r="A176" i="56" s="1"/>
  <c r="B177" i="56"/>
  <c r="A177" i="56" s="1"/>
  <c r="B178" i="56"/>
  <c r="A178" i="56" s="1"/>
  <c r="B179" i="56"/>
  <c r="A179" i="56" s="1"/>
  <c r="B180" i="56"/>
  <c r="A180" i="56" s="1"/>
  <c r="B181" i="56"/>
  <c r="A181" i="56" s="1"/>
  <c r="B182" i="56"/>
  <c r="A182" i="56" s="1"/>
  <c r="B183" i="56"/>
  <c r="A183" i="56" s="1"/>
  <c r="B184" i="56"/>
  <c r="A184" i="56" s="1"/>
  <c r="B185" i="56"/>
  <c r="A185" i="56" s="1"/>
  <c r="B186" i="56"/>
  <c r="A186" i="56" s="1"/>
  <c r="B187" i="56"/>
  <c r="A187" i="56" s="1"/>
  <c r="B188" i="56"/>
  <c r="A188" i="56" s="1"/>
  <c r="B189" i="56"/>
  <c r="A189" i="56" s="1"/>
  <c r="B190" i="56"/>
  <c r="A190" i="56" s="1"/>
  <c r="B191" i="56"/>
  <c r="A191" i="56" s="1"/>
  <c r="B192" i="56"/>
  <c r="A192" i="56" s="1"/>
  <c r="B193" i="56"/>
  <c r="A193" i="56" s="1"/>
  <c r="B194" i="56"/>
  <c r="A194" i="56" s="1"/>
  <c r="B195" i="56"/>
  <c r="A195" i="56" s="1"/>
  <c r="B196" i="56"/>
  <c r="A196" i="56" s="1"/>
  <c r="B197" i="56"/>
  <c r="A197" i="56" s="1"/>
  <c r="B198" i="56"/>
  <c r="A198" i="56" s="1"/>
  <c r="B199" i="56"/>
  <c r="A199" i="56" s="1"/>
  <c r="B200" i="56"/>
  <c r="A200" i="56" s="1"/>
  <c r="B201" i="56"/>
  <c r="A201" i="56" s="1"/>
  <c r="B202" i="56"/>
  <c r="A202" i="56" s="1"/>
  <c r="B203" i="56"/>
  <c r="A203" i="56" s="1"/>
  <c r="B204" i="56"/>
  <c r="A204" i="56" s="1"/>
  <c r="B205" i="56"/>
  <c r="A205" i="56" s="1"/>
  <c r="B206" i="56"/>
  <c r="A206" i="56" s="1"/>
  <c r="B207" i="56"/>
  <c r="A207" i="56" s="1"/>
  <c r="B208" i="56"/>
  <c r="A208" i="56" s="1"/>
  <c r="B209" i="56"/>
  <c r="A209" i="56" s="1"/>
  <c r="B210" i="56"/>
  <c r="A210" i="56" s="1"/>
  <c r="B211" i="56"/>
  <c r="A211" i="56" s="1"/>
  <c r="B212" i="56"/>
  <c r="A212" i="56" s="1"/>
  <c r="B213" i="56"/>
  <c r="A213" i="56" s="1"/>
  <c r="B214" i="56"/>
  <c r="A214" i="56" s="1"/>
  <c r="B215" i="56"/>
  <c r="A215" i="56" s="1"/>
  <c r="B216" i="56"/>
  <c r="A216" i="56" s="1"/>
  <c r="B217" i="56"/>
  <c r="A217" i="56" s="1"/>
  <c r="B218" i="56"/>
  <c r="A218" i="56" s="1"/>
  <c r="B219" i="56"/>
  <c r="A219" i="56" s="1"/>
  <c r="B220" i="56"/>
  <c r="A220" i="56" s="1"/>
  <c r="B221" i="56"/>
  <c r="A221" i="56" s="1"/>
  <c r="B222" i="56"/>
  <c r="A222" i="56" s="1"/>
  <c r="B223" i="56"/>
  <c r="A223" i="56" s="1"/>
  <c r="B224" i="56"/>
  <c r="A224" i="56" s="1"/>
  <c r="B225" i="56"/>
  <c r="A225" i="56" s="1"/>
  <c r="B226" i="56"/>
  <c r="A226" i="56" s="1"/>
  <c r="B227" i="56"/>
  <c r="A227" i="56" s="1"/>
  <c r="B228" i="56"/>
  <c r="A228" i="56" s="1"/>
  <c r="B229" i="56"/>
  <c r="A229" i="56" s="1"/>
  <c r="B230" i="56"/>
  <c r="A230" i="56" s="1"/>
  <c r="B231" i="56"/>
  <c r="A231" i="56" s="1"/>
  <c r="B232" i="56"/>
  <c r="A232" i="56" s="1"/>
  <c r="B233" i="56"/>
  <c r="A233" i="56" s="1"/>
  <c r="B234" i="56"/>
  <c r="A234" i="56" s="1"/>
  <c r="B235" i="56"/>
  <c r="A235" i="56" s="1"/>
  <c r="B236" i="56"/>
  <c r="A236" i="56" s="1"/>
  <c r="B237" i="56"/>
  <c r="A237" i="56" s="1"/>
  <c r="B238" i="56"/>
  <c r="A238" i="56" s="1"/>
  <c r="B239" i="56"/>
  <c r="A239" i="56" s="1"/>
  <c r="B240" i="56"/>
  <c r="A240" i="56" s="1"/>
  <c r="B241" i="56"/>
  <c r="A241" i="56" s="1"/>
  <c r="B242" i="56"/>
  <c r="A242" i="56" s="1"/>
  <c r="B243" i="56"/>
  <c r="A243" i="56" s="1"/>
  <c r="B244" i="56"/>
  <c r="A244" i="56" s="1"/>
  <c r="B245" i="56"/>
  <c r="A245" i="56" s="1"/>
  <c r="B246" i="56"/>
  <c r="A246" i="56" s="1"/>
  <c r="B247" i="56"/>
  <c r="A247" i="56" s="1"/>
  <c r="B248" i="56"/>
  <c r="A248" i="56" s="1"/>
  <c r="B249" i="56"/>
  <c r="A249" i="56" s="1"/>
  <c r="B250" i="56"/>
  <c r="A250" i="56" s="1"/>
  <c r="B251" i="56"/>
  <c r="A251" i="56" s="1"/>
  <c r="B252" i="56"/>
  <c r="A252" i="56" s="1"/>
  <c r="B253" i="56"/>
  <c r="A253" i="56" s="1"/>
  <c r="B254" i="56"/>
  <c r="A254" i="56" s="1"/>
  <c r="B255" i="56"/>
  <c r="A255" i="56" s="1"/>
  <c r="B256" i="56"/>
  <c r="A256" i="56" s="1"/>
  <c r="B257" i="56"/>
  <c r="A257" i="56" s="1"/>
  <c r="B258" i="56"/>
  <c r="A258" i="56" s="1"/>
  <c r="B259" i="56"/>
  <c r="A259" i="56" s="1"/>
  <c r="B260" i="56"/>
  <c r="A260" i="56" s="1"/>
  <c r="B261" i="56"/>
  <c r="A261" i="56" s="1"/>
  <c r="B262" i="56"/>
  <c r="A262" i="56" s="1"/>
  <c r="B263" i="56"/>
  <c r="A263" i="56" s="1"/>
  <c r="B264" i="56"/>
  <c r="A264" i="56" s="1"/>
  <c r="B265" i="56"/>
  <c r="A265" i="56" s="1"/>
  <c r="B266" i="56"/>
  <c r="A266" i="56" s="1"/>
  <c r="B267" i="56"/>
  <c r="A267" i="56" s="1"/>
  <c r="B268" i="56"/>
  <c r="A268" i="56" s="1"/>
  <c r="B269" i="56"/>
  <c r="A269" i="56" s="1"/>
  <c r="B270" i="56"/>
  <c r="A270" i="56" s="1"/>
  <c r="B271" i="56"/>
  <c r="A271" i="56" s="1"/>
  <c r="B272" i="56"/>
  <c r="A272" i="56" s="1"/>
  <c r="B273" i="56"/>
  <c r="A273" i="56" s="1"/>
  <c r="B274" i="56"/>
  <c r="A274" i="56" s="1"/>
  <c r="B275" i="56"/>
  <c r="A275" i="56" s="1"/>
  <c r="B276" i="56"/>
  <c r="A276" i="56" s="1"/>
  <c r="B277" i="56"/>
  <c r="A277" i="56" s="1"/>
  <c r="B278" i="56"/>
  <c r="A278" i="56" s="1"/>
  <c r="B279" i="56"/>
  <c r="A279" i="56" s="1"/>
  <c r="B280" i="56"/>
  <c r="A280" i="56" s="1"/>
  <c r="B281" i="56"/>
  <c r="A281" i="56" s="1"/>
  <c r="B282" i="56"/>
  <c r="A282" i="56" s="1"/>
  <c r="B283" i="56"/>
  <c r="A283" i="56" s="1"/>
  <c r="B284" i="56"/>
  <c r="A284" i="56" s="1"/>
  <c r="B285" i="56"/>
  <c r="A285" i="56" s="1"/>
  <c r="B286" i="56"/>
  <c r="A286" i="56" s="1"/>
  <c r="B287" i="56"/>
  <c r="A287" i="56" s="1"/>
  <c r="B288" i="56"/>
  <c r="A288" i="56" s="1"/>
  <c r="B289" i="56"/>
  <c r="A289" i="56" s="1"/>
  <c r="B290" i="56"/>
  <c r="A290" i="56" s="1"/>
  <c r="B291" i="56"/>
  <c r="A291" i="56" s="1"/>
  <c r="B292" i="56"/>
  <c r="A292" i="56" s="1"/>
  <c r="B293" i="56"/>
  <c r="A293" i="56" s="1"/>
  <c r="B294" i="56"/>
  <c r="A294" i="56" s="1"/>
  <c r="B295" i="56"/>
  <c r="A295" i="56" s="1"/>
  <c r="B296" i="56"/>
  <c r="A296" i="56" s="1"/>
  <c r="B297" i="56"/>
  <c r="A297" i="56" s="1"/>
  <c r="B298" i="56"/>
  <c r="A298" i="56" s="1"/>
  <c r="B299" i="56"/>
  <c r="A299" i="56" s="1"/>
  <c r="B300" i="56"/>
  <c r="A300" i="56" s="1"/>
  <c r="B301" i="56"/>
  <c r="A301" i="56" s="1"/>
  <c r="B302" i="56"/>
  <c r="A302" i="56" s="1"/>
  <c r="B303" i="56"/>
  <c r="A303" i="56" s="1"/>
  <c r="B304" i="56"/>
  <c r="A304" i="56" s="1"/>
  <c r="B305" i="56"/>
  <c r="A305" i="56" s="1"/>
  <c r="B306" i="56"/>
  <c r="A306" i="56" s="1"/>
  <c r="B307" i="56"/>
  <c r="A307" i="56" s="1"/>
  <c r="B308" i="56"/>
  <c r="A308" i="56" s="1"/>
  <c r="B309" i="56"/>
  <c r="A309" i="56" s="1"/>
  <c r="B310" i="56"/>
  <c r="A310" i="56" s="1"/>
  <c r="B311" i="56"/>
  <c r="A311" i="56" s="1"/>
  <c r="B312" i="56"/>
  <c r="A312" i="56" s="1"/>
  <c r="B313" i="56"/>
  <c r="A313" i="56" s="1"/>
  <c r="A314" i="56"/>
  <c r="B314" i="56"/>
  <c r="B315" i="56"/>
  <c r="A315" i="56" s="1"/>
  <c r="B316" i="56"/>
  <c r="A316" i="56" s="1"/>
  <c r="B317" i="56"/>
  <c r="A317" i="56" s="1"/>
  <c r="B318" i="56"/>
  <c r="A318" i="56" s="1"/>
  <c r="B319" i="56"/>
  <c r="A319" i="56" s="1"/>
  <c r="B320" i="56"/>
  <c r="A320" i="56" s="1"/>
  <c r="B321" i="56"/>
  <c r="A321" i="56" s="1"/>
  <c r="B322" i="56"/>
  <c r="A322" i="56" s="1"/>
  <c r="B323" i="56"/>
  <c r="A323" i="56" s="1"/>
  <c r="B324" i="56"/>
  <c r="A324" i="56" s="1"/>
  <c r="B325" i="56"/>
  <c r="A325" i="56" s="1"/>
  <c r="B326" i="56"/>
  <c r="A326" i="56" s="1"/>
  <c r="B327" i="56"/>
  <c r="A327" i="56" s="1"/>
  <c r="B328" i="56"/>
  <c r="A328" i="56" s="1"/>
  <c r="B329" i="56"/>
  <c r="A329" i="56" s="1"/>
  <c r="B330" i="56"/>
  <c r="A330" i="56" s="1"/>
  <c r="B331" i="56"/>
  <c r="A331" i="56" s="1"/>
  <c r="B332" i="56"/>
  <c r="A332" i="56" s="1"/>
  <c r="B333" i="56"/>
  <c r="A333" i="56" s="1"/>
  <c r="B334" i="56"/>
  <c r="A334" i="56" s="1"/>
  <c r="A335" i="56"/>
  <c r="B335" i="56"/>
  <c r="B336" i="56"/>
  <c r="A336" i="56" s="1"/>
  <c r="B337" i="56"/>
  <c r="A337" i="56" s="1"/>
  <c r="B338" i="56"/>
  <c r="A338" i="56" s="1"/>
  <c r="B339" i="56"/>
  <c r="A339" i="56" s="1"/>
  <c r="B340" i="56"/>
  <c r="A340" i="56" s="1"/>
  <c r="B341" i="56"/>
  <c r="A341" i="56" s="1"/>
  <c r="B342" i="56"/>
  <c r="A342" i="56" s="1"/>
  <c r="B343" i="56"/>
  <c r="A343" i="56" s="1"/>
  <c r="B344" i="56"/>
  <c r="A344" i="56" s="1"/>
  <c r="B345" i="56"/>
  <c r="A345" i="56" s="1"/>
  <c r="B346" i="56"/>
  <c r="A346" i="56" s="1"/>
  <c r="B347" i="56"/>
  <c r="A347" i="56" s="1"/>
  <c r="B348" i="56"/>
  <c r="A348" i="56" s="1"/>
  <c r="A349" i="56"/>
  <c r="B349" i="56"/>
  <c r="B350" i="56"/>
  <c r="A350" i="56" s="1"/>
  <c r="B351" i="56"/>
  <c r="A351" i="56" s="1"/>
  <c r="B352" i="56"/>
  <c r="A352" i="56" s="1"/>
  <c r="B353" i="56"/>
  <c r="A353" i="56" s="1"/>
  <c r="B354" i="56"/>
  <c r="A354" i="56" s="1"/>
  <c r="B355" i="56"/>
  <c r="A355" i="56" s="1"/>
  <c r="B356" i="56"/>
  <c r="A356" i="56" s="1"/>
  <c r="B357" i="56"/>
  <c r="A357" i="56" s="1"/>
  <c r="B358" i="56"/>
  <c r="A358" i="56" s="1"/>
  <c r="B359" i="56"/>
  <c r="A359" i="56" s="1"/>
  <c r="B360" i="56"/>
  <c r="A360" i="56" s="1"/>
  <c r="B361" i="56"/>
  <c r="A361" i="56" s="1"/>
  <c r="A362" i="56"/>
  <c r="B362" i="56"/>
  <c r="B363" i="56"/>
  <c r="A363" i="56" s="1"/>
  <c r="B364" i="56"/>
  <c r="A364" i="56" s="1"/>
  <c r="B365" i="56"/>
  <c r="A365" i="56" s="1"/>
  <c r="B366" i="56"/>
  <c r="A366" i="56" s="1"/>
  <c r="B367" i="56"/>
  <c r="A367" i="56" s="1"/>
  <c r="B368" i="56"/>
  <c r="A368" i="56" s="1"/>
  <c r="B369" i="56"/>
  <c r="A369" i="56" s="1"/>
  <c r="B370" i="56"/>
  <c r="A370" i="56" s="1"/>
  <c r="B371" i="56"/>
  <c r="A371" i="56" s="1"/>
  <c r="B372" i="56"/>
  <c r="A372" i="56" s="1"/>
  <c r="B373" i="56"/>
  <c r="A373" i="56" s="1"/>
  <c r="B374" i="56"/>
  <c r="A374" i="56" s="1"/>
  <c r="B375" i="56"/>
  <c r="A375" i="56" s="1"/>
  <c r="B376" i="56"/>
  <c r="A376" i="56" s="1"/>
  <c r="B377" i="56"/>
  <c r="A377" i="56" s="1"/>
  <c r="A378" i="56"/>
  <c r="B378" i="56"/>
  <c r="B379" i="56"/>
  <c r="A379" i="56" s="1"/>
  <c r="B380" i="56"/>
  <c r="A380" i="56" s="1"/>
  <c r="B381" i="56"/>
  <c r="A381" i="56" s="1"/>
  <c r="B382" i="56"/>
  <c r="A382" i="56" s="1"/>
  <c r="B383" i="56"/>
  <c r="A383" i="56" s="1"/>
  <c r="B384" i="56"/>
  <c r="A384" i="56" s="1"/>
  <c r="B385" i="56"/>
  <c r="A385" i="56" s="1"/>
  <c r="B386" i="56"/>
  <c r="A386" i="56" s="1"/>
  <c r="B387" i="56"/>
  <c r="A387" i="56" s="1"/>
  <c r="B388" i="56"/>
  <c r="A388" i="56" s="1"/>
  <c r="B389" i="56"/>
  <c r="A389" i="56" s="1"/>
  <c r="B390" i="56"/>
  <c r="A390" i="56" s="1"/>
  <c r="B391" i="56"/>
  <c r="A391" i="56" s="1"/>
  <c r="B392" i="56"/>
  <c r="A392" i="56" s="1"/>
  <c r="B393" i="56"/>
  <c r="A393" i="56" s="1"/>
  <c r="B394" i="56"/>
  <c r="A394" i="56" s="1"/>
  <c r="B395" i="56"/>
  <c r="A395" i="56" s="1"/>
  <c r="B396" i="56"/>
  <c r="A396" i="56" s="1"/>
  <c r="B397" i="56"/>
  <c r="A397" i="56" s="1"/>
  <c r="B398" i="56"/>
  <c r="A398" i="56" s="1"/>
  <c r="B399" i="56"/>
  <c r="A399" i="56" s="1"/>
  <c r="B400" i="56"/>
  <c r="A400" i="56" s="1"/>
  <c r="B401" i="56"/>
  <c r="A401" i="56" s="1"/>
  <c r="B402" i="56"/>
  <c r="A402" i="56" s="1"/>
  <c r="B403" i="56"/>
  <c r="A403" i="56" s="1"/>
  <c r="B404" i="56"/>
  <c r="A404" i="56" s="1"/>
  <c r="A405" i="56"/>
  <c r="B405" i="56"/>
  <c r="B406" i="56"/>
  <c r="A406" i="56" s="1"/>
  <c r="B407" i="56"/>
  <c r="A407" i="56" s="1"/>
  <c r="B408" i="56"/>
  <c r="A408" i="56" s="1"/>
  <c r="B409" i="56"/>
  <c r="A409" i="56" s="1"/>
  <c r="A410" i="56"/>
  <c r="B410" i="56"/>
  <c r="B411" i="56"/>
  <c r="A411" i="56" s="1"/>
  <c r="B412" i="56"/>
  <c r="A412" i="56" s="1"/>
  <c r="B413" i="56"/>
  <c r="A413" i="56" s="1"/>
  <c r="B414" i="56"/>
  <c r="A414" i="56" s="1"/>
  <c r="B415" i="56"/>
  <c r="A415" i="56" s="1"/>
  <c r="B416" i="56"/>
  <c r="A416" i="56" s="1"/>
  <c r="B417" i="56"/>
  <c r="A417" i="56" s="1"/>
  <c r="A418" i="56"/>
  <c r="B418" i="56"/>
  <c r="B419" i="56"/>
  <c r="A419" i="56" s="1"/>
  <c r="B420" i="56"/>
  <c r="A420" i="56" s="1"/>
  <c r="B421" i="56"/>
  <c r="A421" i="56" s="1"/>
  <c r="B422" i="56"/>
  <c r="A422" i="56" s="1"/>
  <c r="B423" i="56"/>
  <c r="A423" i="56" s="1"/>
  <c r="B424" i="56"/>
  <c r="A424" i="56" s="1"/>
  <c r="B425" i="56"/>
  <c r="A425" i="56" s="1"/>
  <c r="B426" i="56"/>
  <c r="A426" i="56" s="1"/>
  <c r="B427" i="56"/>
  <c r="A427" i="56" s="1"/>
  <c r="B428" i="56"/>
  <c r="A428" i="56" s="1"/>
  <c r="A429" i="56"/>
  <c r="B429" i="56"/>
  <c r="B430" i="56"/>
  <c r="A430" i="56" s="1"/>
  <c r="B431" i="56"/>
  <c r="A431" i="56" s="1"/>
  <c r="B432" i="56"/>
  <c r="A432" i="56" s="1"/>
  <c r="B433" i="56"/>
  <c r="A433" i="56" s="1"/>
  <c r="B434" i="56"/>
  <c r="A434" i="56" s="1"/>
  <c r="B435" i="56"/>
  <c r="A435" i="56" s="1"/>
  <c r="B436" i="56"/>
  <c r="A436" i="56" s="1"/>
  <c r="A437" i="56"/>
  <c r="B437" i="56"/>
  <c r="B438" i="56"/>
  <c r="A438" i="56" s="1"/>
  <c r="B439" i="56"/>
  <c r="A439" i="56" s="1"/>
  <c r="B440" i="56"/>
  <c r="A440" i="56" s="1"/>
  <c r="B441" i="56"/>
  <c r="A441" i="56" s="1"/>
  <c r="B442" i="56"/>
  <c r="A442" i="56" s="1"/>
  <c r="B443" i="56"/>
  <c r="A443" i="56" s="1"/>
  <c r="B444" i="56"/>
  <c r="A444" i="56" s="1"/>
  <c r="A445" i="56"/>
  <c r="B445" i="56"/>
  <c r="B446" i="56"/>
  <c r="A446" i="56" s="1"/>
  <c r="B447" i="56"/>
  <c r="A447" i="56" s="1"/>
  <c r="B448" i="56"/>
  <c r="A448" i="56" s="1"/>
  <c r="B449" i="56"/>
  <c r="A449" i="56" s="1"/>
  <c r="A450" i="56"/>
  <c r="B450" i="56"/>
  <c r="B451" i="56"/>
  <c r="A451" i="56" s="1"/>
  <c r="B452" i="56"/>
  <c r="A452" i="56" s="1"/>
  <c r="B453" i="56"/>
  <c r="A453" i="56" s="1"/>
  <c r="B454" i="56"/>
  <c r="A454" i="56" s="1"/>
  <c r="B455" i="56"/>
  <c r="A455" i="56" s="1"/>
  <c r="B456" i="56"/>
  <c r="A456" i="56" s="1"/>
  <c r="B457" i="56"/>
  <c r="A457" i="56" s="1"/>
  <c r="B458" i="56"/>
  <c r="A458" i="56" s="1"/>
  <c r="B459" i="56"/>
  <c r="A459" i="56" s="1"/>
  <c r="B460" i="56"/>
  <c r="A460" i="56" s="1"/>
  <c r="B461" i="56"/>
  <c r="A461" i="56" s="1"/>
  <c r="B462" i="56"/>
  <c r="A462" i="56" s="1"/>
  <c r="B463" i="56"/>
  <c r="A463" i="56" s="1"/>
  <c r="B464" i="56"/>
  <c r="A464" i="56" s="1"/>
  <c r="B465" i="56"/>
  <c r="A465" i="56" s="1"/>
  <c r="B466" i="56"/>
  <c r="A466" i="56" s="1"/>
  <c r="B467" i="56"/>
  <c r="A467" i="56" s="1"/>
  <c r="B468" i="56"/>
  <c r="A468" i="56" s="1"/>
  <c r="B469" i="56"/>
  <c r="A469" i="56" s="1"/>
  <c r="B470" i="56"/>
  <c r="A470" i="56" s="1"/>
  <c r="B471" i="56"/>
  <c r="A471" i="56" s="1"/>
  <c r="B472" i="56"/>
  <c r="A472" i="56" s="1"/>
  <c r="B473" i="56"/>
  <c r="A473" i="56" s="1"/>
  <c r="B474" i="56"/>
  <c r="A474" i="56" s="1"/>
  <c r="B475" i="56"/>
  <c r="A475" i="56" s="1"/>
  <c r="B476" i="56"/>
  <c r="A476" i="56" s="1"/>
  <c r="B477" i="56"/>
  <c r="A477" i="56" s="1"/>
  <c r="B478" i="56"/>
  <c r="A478" i="56" s="1"/>
  <c r="B479" i="56"/>
  <c r="A479" i="56" s="1"/>
  <c r="B480" i="56"/>
  <c r="A480" i="56" s="1"/>
  <c r="B481" i="56"/>
  <c r="A481" i="56" s="1"/>
  <c r="B482" i="56"/>
  <c r="A482" i="56" s="1"/>
  <c r="B483" i="56"/>
  <c r="A483" i="56" s="1"/>
  <c r="B484" i="56"/>
  <c r="A484" i="56" s="1"/>
  <c r="B485" i="56"/>
  <c r="A485" i="56" s="1"/>
  <c r="B486" i="56"/>
  <c r="A486" i="56" s="1"/>
  <c r="B487" i="56"/>
  <c r="A487" i="56" s="1"/>
  <c r="B488" i="56"/>
  <c r="A488" i="56" s="1"/>
  <c r="B489" i="56"/>
  <c r="A489" i="56" s="1"/>
  <c r="B490" i="56"/>
  <c r="A490" i="56" s="1"/>
  <c r="B491" i="56"/>
  <c r="A491" i="56" s="1"/>
  <c r="B492" i="56"/>
  <c r="A492" i="56" s="1"/>
  <c r="B493" i="56"/>
  <c r="A493" i="56" s="1"/>
  <c r="B494" i="56"/>
  <c r="A494" i="56" s="1"/>
  <c r="B495" i="56"/>
  <c r="A495" i="56" s="1"/>
  <c r="B496" i="56"/>
  <c r="A496" i="56" s="1"/>
  <c r="B497" i="56"/>
  <c r="A497" i="56" s="1"/>
  <c r="B498" i="56"/>
  <c r="A498" i="56" s="1"/>
  <c r="B499" i="56"/>
  <c r="A499" i="56" s="1"/>
  <c r="B500" i="56"/>
  <c r="A500" i="56" s="1"/>
  <c r="B501" i="56"/>
  <c r="A501" i="56" s="1"/>
  <c r="B502" i="56"/>
  <c r="A502" i="56" s="1"/>
  <c r="B503" i="56"/>
  <c r="A503" i="56" s="1"/>
  <c r="B504" i="56"/>
  <c r="A504" i="56" s="1"/>
  <c r="B505" i="56"/>
  <c r="A505" i="56" s="1"/>
  <c r="B506" i="56"/>
  <c r="A506" i="56" s="1"/>
  <c r="B507" i="56"/>
  <c r="A507" i="56" s="1"/>
  <c r="B508" i="56"/>
  <c r="A508" i="56" s="1"/>
  <c r="B509" i="56"/>
  <c r="A509" i="56" s="1"/>
  <c r="B510" i="56"/>
  <c r="A510" i="56" s="1"/>
  <c r="B511" i="56"/>
  <c r="A511" i="56" s="1"/>
  <c r="B512" i="56"/>
  <c r="A512" i="56" s="1"/>
  <c r="B513" i="56"/>
  <c r="A513" i="56" s="1"/>
  <c r="B514" i="56"/>
  <c r="A514" i="56" s="1"/>
  <c r="B515" i="56"/>
  <c r="A515" i="56" s="1"/>
  <c r="B516" i="56"/>
  <c r="A516" i="56" s="1"/>
  <c r="B517" i="56"/>
  <c r="A517" i="56" s="1"/>
  <c r="B518" i="56"/>
  <c r="A518" i="56" s="1"/>
  <c r="B519" i="56"/>
  <c r="A519" i="56" s="1"/>
  <c r="B520" i="56"/>
  <c r="A520" i="56" s="1"/>
  <c r="B521" i="56"/>
  <c r="A521" i="56" s="1"/>
  <c r="B522" i="56"/>
  <c r="A522" i="56" s="1"/>
  <c r="B523" i="56"/>
  <c r="A523" i="56" s="1"/>
  <c r="B524" i="56"/>
  <c r="A524" i="56" s="1"/>
  <c r="B525" i="56"/>
  <c r="A525" i="56" s="1"/>
  <c r="B526" i="56"/>
  <c r="A526" i="56" s="1"/>
  <c r="B527" i="56"/>
  <c r="A527" i="56" s="1"/>
  <c r="B528" i="56"/>
  <c r="A528" i="56" s="1"/>
  <c r="B529" i="56"/>
  <c r="A529" i="56" s="1"/>
  <c r="A530" i="56"/>
  <c r="B530" i="56"/>
  <c r="B531" i="56"/>
  <c r="A531" i="56" s="1"/>
  <c r="B532" i="56"/>
  <c r="A532" i="56" s="1"/>
  <c r="B533" i="56"/>
  <c r="A533" i="56" s="1"/>
  <c r="B534" i="56"/>
  <c r="A534" i="56" s="1"/>
  <c r="B535" i="56"/>
  <c r="A535" i="56" s="1"/>
  <c r="B536" i="56"/>
  <c r="A536" i="56" s="1"/>
  <c r="A537" i="56"/>
  <c r="B537" i="56"/>
  <c r="B538" i="56"/>
  <c r="A538" i="56" s="1"/>
  <c r="B539" i="56"/>
  <c r="A539" i="56" s="1"/>
  <c r="B540" i="56"/>
  <c r="A540" i="56" s="1"/>
  <c r="B541" i="56"/>
  <c r="A541" i="56" s="1"/>
  <c r="B542" i="56"/>
  <c r="A542" i="56" s="1"/>
  <c r="B543" i="56"/>
  <c r="A543" i="56" s="1"/>
  <c r="B544" i="56"/>
  <c r="A544" i="56" s="1"/>
  <c r="B545" i="56"/>
  <c r="A545" i="56" s="1"/>
  <c r="B546" i="56"/>
  <c r="A546" i="56" s="1"/>
  <c r="B547" i="56"/>
  <c r="A547" i="56" s="1"/>
  <c r="B548" i="56"/>
  <c r="A548" i="56" s="1"/>
  <c r="B549" i="56"/>
  <c r="A549" i="56" s="1"/>
  <c r="A550" i="56"/>
  <c r="B550" i="56"/>
  <c r="A551" i="56"/>
  <c r="B551" i="56"/>
  <c r="B552" i="56"/>
  <c r="A552" i="56" s="1"/>
  <c r="B553" i="56"/>
  <c r="A553" i="56" s="1"/>
  <c r="A554" i="56"/>
  <c r="B554" i="56"/>
  <c r="B555" i="56"/>
  <c r="A555" i="56" s="1"/>
  <c r="B556" i="56"/>
  <c r="A556" i="56" s="1"/>
  <c r="B557" i="56"/>
  <c r="A557" i="56" s="1"/>
  <c r="B558" i="56"/>
  <c r="A558" i="56" s="1"/>
  <c r="B559" i="56"/>
  <c r="A559" i="56" s="1"/>
  <c r="A560" i="56"/>
  <c r="B560" i="56"/>
  <c r="B561" i="56"/>
  <c r="A561" i="56" s="1"/>
  <c r="B562" i="56"/>
  <c r="A562" i="56" s="1"/>
  <c r="B563" i="56"/>
  <c r="A563" i="56" s="1"/>
  <c r="B564" i="56"/>
  <c r="A564" i="56" s="1"/>
  <c r="B565" i="56"/>
  <c r="A565" i="56" s="1"/>
  <c r="A566" i="56"/>
  <c r="B566" i="56"/>
  <c r="B567" i="56"/>
  <c r="A567" i="56" s="1"/>
  <c r="B568" i="56"/>
  <c r="A568" i="56" s="1"/>
  <c r="B569" i="56"/>
  <c r="A569" i="56" s="1"/>
  <c r="B570" i="56"/>
  <c r="A570" i="56" s="1"/>
  <c r="A571" i="56"/>
  <c r="B571" i="56"/>
  <c r="B572" i="56"/>
  <c r="A572" i="56" s="1"/>
  <c r="B573" i="56"/>
  <c r="A573" i="56" s="1"/>
  <c r="B574" i="56"/>
  <c r="A574" i="56" s="1"/>
  <c r="B575" i="56"/>
  <c r="A575" i="56" s="1"/>
  <c r="B576" i="56"/>
  <c r="A576" i="56" s="1"/>
  <c r="B577" i="56"/>
  <c r="A577" i="56" s="1"/>
  <c r="B578" i="56"/>
  <c r="A578" i="56" s="1"/>
  <c r="B579" i="56"/>
  <c r="A579" i="56" s="1"/>
  <c r="B580" i="56"/>
  <c r="A580" i="56" s="1"/>
  <c r="B581" i="56"/>
  <c r="A581" i="56" s="1"/>
  <c r="A582" i="56"/>
  <c r="B582" i="56"/>
  <c r="B583" i="56"/>
  <c r="A583" i="56" s="1"/>
  <c r="B584" i="56"/>
  <c r="A584" i="56" s="1"/>
  <c r="B585" i="56"/>
  <c r="A585" i="56" s="1"/>
  <c r="B586" i="56"/>
  <c r="A586" i="56" s="1"/>
  <c r="B587" i="56"/>
  <c r="A587" i="56" s="1"/>
  <c r="B588" i="56"/>
  <c r="A588" i="56" s="1"/>
  <c r="B589" i="56"/>
  <c r="A589" i="56" s="1"/>
  <c r="B590" i="56"/>
  <c r="A590" i="56" s="1"/>
  <c r="B591" i="56"/>
  <c r="A591" i="56" s="1"/>
  <c r="B592" i="56"/>
  <c r="A592" i="56" s="1"/>
  <c r="B593" i="56"/>
  <c r="A593" i="56" s="1"/>
  <c r="B594" i="56"/>
  <c r="A594" i="56" s="1"/>
  <c r="B595" i="56"/>
  <c r="A595" i="56" s="1"/>
  <c r="B596" i="56"/>
  <c r="A596" i="56" s="1"/>
  <c r="B597" i="56"/>
  <c r="A597" i="56" s="1"/>
  <c r="A598" i="56"/>
  <c r="B598" i="56"/>
  <c r="B599" i="56"/>
  <c r="A599" i="56" s="1"/>
  <c r="A600" i="56"/>
  <c r="B600" i="56"/>
  <c r="B601" i="56"/>
  <c r="A601" i="56" s="1"/>
  <c r="B602" i="56"/>
  <c r="A602" i="56" s="1"/>
  <c r="B603" i="56"/>
  <c r="A603" i="56" s="1"/>
  <c r="A604" i="56"/>
  <c r="B604" i="56"/>
  <c r="B605" i="56"/>
  <c r="A605" i="56" s="1"/>
  <c r="B606" i="56"/>
  <c r="A606" i="56" s="1"/>
  <c r="B607" i="56"/>
  <c r="A607" i="56" s="1"/>
  <c r="B608" i="56"/>
  <c r="A608" i="56" s="1"/>
  <c r="B609" i="56"/>
  <c r="A609" i="56" s="1"/>
  <c r="B610" i="56"/>
  <c r="A610" i="56" s="1"/>
  <c r="B611" i="56"/>
  <c r="A611" i="56" s="1"/>
  <c r="B612" i="56"/>
  <c r="A612" i="56" s="1"/>
  <c r="B613" i="56"/>
  <c r="A613" i="56" s="1"/>
  <c r="B614" i="56"/>
  <c r="A614" i="56" s="1"/>
  <c r="A615" i="56"/>
  <c r="B615" i="56"/>
  <c r="A616" i="56"/>
  <c r="B616" i="56"/>
  <c r="B617" i="56"/>
  <c r="A617" i="56" s="1"/>
  <c r="B618" i="56"/>
  <c r="A618" i="56" s="1"/>
  <c r="B619" i="56"/>
  <c r="A619" i="56" s="1"/>
  <c r="B620" i="56"/>
  <c r="A620" i="56" s="1"/>
  <c r="B621" i="56"/>
  <c r="A621" i="56" s="1"/>
  <c r="B622" i="56"/>
  <c r="A622" i="56" s="1"/>
  <c r="B623" i="56"/>
  <c r="A623" i="56" s="1"/>
  <c r="B624" i="56"/>
  <c r="A624" i="56" s="1"/>
  <c r="B625" i="56"/>
  <c r="A625" i="56" s="1"/>
  <c r="B626" i="56"/>
  <c r="A626" i="56" s="1"/>
  <c r="A627" i="56"/>
  <c r="B627" i="56"/>
  <c r="B628" i="56"/>
  <c r="A628" i="56" s="1"/>
  <c r="B629" i="56"/>
  <c r="A629" i="56" s="1"/>
  <c r="B630" i="56"/>
  <c r="A630" i="56" s="1"/>
  <c r="B631" i="56"/>
  <c r="A631" i="56" s="1"/>
  <c r="B632" i="56"/>
  <c r="A632" i="56" s="1"/>
  <c r="B633" i="56"/>
  <c r="A633" i="56" s="1"/>
  <c r="B634" i="56"/>
  <c r="A634" i="56" s="1"/>
  <c r="B635" i="56"/>
  <c r="A635" i="56" s="1"/>
  <c r="B636" i="56"/>
  <c r="A636" i="56" s="1"/>
  <c r="B637" i="56"/>
  <c r="A637" i="56" s="1"/>
  <c r="B638" i="56"/>
  <c r="A638" i="56" s="1"/>
  <c r="A639" i="56"/>
  <c r="B639" i="56"/>
  <c r="B640" i="56"/>
  <c r="A640" i="56" s="1"/>
  <c r="B641" i="56"/>
  <c r="A641" i="56" s="1"/>
  <c r="B642" i="56"/>
  <c r="A642" i="56" s="1"/>
  <c r="B643" i="56"/>
  <c r="A643" i="56" s="1"/>
  <c r="B644" i="56"/>
  <c r="A644" i="56" s="1"/>
  <c r="B645" i="56"/>
  <c r="A645" i="56" s="1"/>
  <c r="B646" i="56"/>
  <c r="A646" i="56" s="1"/>
  <c r="B647" i="56"/>
  <c r="A647" i="56" s="1"/>
  <c r="B648" i="56"/>
  <c r="A648" i="56" s="1"/>
  <c r="B649" i="56"/>
  <c r="A649" i="56" s="1"/>
  <c r="B650" i="56"/>
  <c r="A650" i="56" s="1"/>
  <c r="A651" i="56"/>
  <c r="B651" i="56"/>
  <c r="B652" i="56"/>
  <c r="A652" i="56" s="1"/>
  <c r="B653" i="56"/>
  <c r="A653" i="56" s="1"/>
  <c r="B654" i="56"/>
  <c r="A654" i="56" s="1"/>
  <c r="B655" i="56"/>
  <c r="A655" i="56" s="1"/>
  <c r="B656" i="56"/>
  <c r="A656" i="56" s="1"/>
  <c r="B657" i="56"/>
  <c r="A657" i="56" s="1"/>
  <c r="A658" i="56"/>
  <c r="B658" i="56"/>
  <c r="A659" i="56"/>
  <c r="B659" i="56"/>
  <c r="B660" i="56"/>
  <c r="A660" i="56" s="1"/>
  <c r="B661" i="56"/>
  <c r="A661" i="56" s="1"/>
  <c r="B662" i="56"/>
  <c r="A662" i="56" s="1"/>
  <c r="A663" i="56"/>
  <c r="B663" i="56"/>
  <c r="B664" i="56"/>
  <c r="A664" i="56" s="1"/>
  <c r="B665" i="56"/>
  <c r="A665" i="56" s="1"/>
  <c r="B666" i="56"/>
  <c r="A666" i="56" s="1"/>
  <c r="B667" i="56"/>
  <c r="A667" i="56" s="1"/>
  <c r="B668" i="56"/>
  <c r="A668" i="56" s="1"/>
  <c r="B669" i="56"/>
  <c r="A669" i="56" s="1"/>
  <c r="B670" i="56"/>
  <c r="A670" i="56" s="1"/>
  <c r="B671" i="56"/>
  <c r="A671" i="56" s="1"/>
  <c r="B672" i="56"/>
  <c r="A672" i="56" s="1"/>
  <c r="B673" i="56"/>
  <c r="A673" i="56" s="1"/>
  <c r="B674" i="56"/>
  <c r="A674" i="56" s="1"/>
  <c r="B675" i="56"/>
  <c r="A675" i="56" s="1"/>
  <c r="B676" i="56"/>
  <c r="A676" i="56" s="1"/>
  <c r="B677" i="56"/>
  <c r="A677" i="56" s="1"/>
  <c r="B678" i="56"/>
  <c r="A678" i="56" s="1"/>
  <c r="B679" i="56"/>
  <c r="A679" i="56" s="1"/>
  <c r="B680" i="56"/>
  <c r="A680" i="56" s="1"/>
  <c r="B681" i="56"/>
  <c r="A681" i="56" s="1"/>
  <c r="B682" i="56"/>
  <c r="A682" i="56" s="1"/>
  <c r="B683" i="56"/>
  <c r="A683" i="56" s="1"/>
  <c r="B684" i="56"/>
  <c r="A684" i="56" s="1"/>
  <c r="B685" i="56"/>
  <c r="A685" i="56" s="1"/>
  <c r="B686" i="56"/>
  <c r="A686" i="56" s="1"/>
  <c r="B687" i="56"/>
  <c r="A687" i="56" s="1"/>
  <c r="B688" i="56"/>
  <c r="A688" i="56" s="1"/>
  <c r="B689" i="56"/>
  <c r="A689" i="56" s="1"/>
  <c r="B690" i="56"/>
  <c r="A690" i="56" s="1"/>
  <c r="B691" i="56"/>
  <c r="A691" i="56" s="1"/>
  <c r="B692" i="56"/>
  <c r="A692" i="56" s="1"/>
  <c r="B693" i="56"/>
  <c r="A693" i="56" s="1"/>
  <c r="B694" i="56"/>
  <c r="A694" i="56" s="1"/>
  <c r="B695" i="56"/>
  <c r="A695" i="56" s="1"/>
  <c r="B696" i="56"/>
  <c r="A696" i="56" s="1"/>
  <c r="B697" i="56"/>
  <c r="A697" i="56" s="1"/>
  <c r="B698" i="56"/>
  <c r="A698" i="56" s="1"/>
  <c r="B699" i="56"/>
  <c r="A699" i="56" s="1"/>
  <c r="B700" i="56"/>
  <c r="A700" i="56" s="1"/>
  <c r="B701" i="56"/>
  <c r="A701" i="56" s="1"/>
  <c r="B702" i="56"/>
  <c r="A702" i="56" s="1"/>
  <c r="B703" i="56"/>
  <c r="A703" i="56" s="1"/>
  <c r="B704" i="56"/>
  <c r="A704" i="56" s="1"/>
  <c r="B705" i="56"/>
  <c r="A705" i="56" s="1"/>
  <c r="B706" i="56"/>
  <c r="A706" i="56" s="1"/>
  <c r="B707" i="56"/>
  <c r="A707" i="56" s="1"/>
  <c r="B708" i="56"/>
  <c r="A708" i="56" s="1"/>
  <c r="B709" i="56"/>
  <c r="A709" i="56" s="1"/>
  <c r="B710" i="56"/>
  <c r="A710" i="56" s="1"/>
  <c r="A711" i="56"/>
  <c r="B711" i="56"/>
  <c r="B712" i="56"/>
  <c r="A712" i="56" s="1"/>
  <c r="B713" i="56"/>
  <c r="A713" i="56" s="1"/>
  <c r="B714" i="56"/>
  <c r="A714" i="56" s="1"/>
  <c r="B715" i="56"/>
  <c r="A715" i="56" s="1"/>
  <c r="B716" i="56"/>
  <c r="A716" i="56" s="1"/>
  <c r="B717" i="56"/>
  <c r="A717" i="56" s="1"/>
  <c r="B718" i="56"/>
  <c r="A718" i="56" s="1"/>
  <c r="B719" i="56"/>
  <c r="A719" i="56" s="1"/>
  <c r="B720" i="56"/>
  <c r="A720" i="56" s="1"/>
  <c r="B721" i="56"/>
  <c r="A721" i="56" s="1"/>
  <c r="B722" i="56"/>
  <c r="A722" i="56" s="1"/>
  <c r="B723" i="56"/>
  <c r="A723" i="56" s="1"/>
  <c r="B724" i="56"/>
  <c r="A724" i="56" s="1"/>
  <c r="B725" i="56"/>
  <c r="A725" i="56" s="1"/>
  <c r="B726" i="56"/>
  <c r="A726" i="56" s="1"/>
  <c r="B727" i="56"/>
  <c r="A727" i="56" s="1"/>
  <c r="B728" i="56"/>
  <c r="A728" i="56" s="1"/>
  <c r="B729" i="56"/>
  <c r="A729" i="56" s="1"/>
  <c r="B730" i="56"/>
  <c r="A730" i="56" s="1"/>
  <c r="B731" i="56"/>
  <c r="A731" i="56" s="1"/>
  <c r="B732" i="56"/>
  <c r="A732" i="56" s="1"/>
  <c r="B733" i="56"/>
  <c r="A733" i="56" s="1"/>
  <c r="B734" i="56"/>
  <c r="A734" i="56" s="1"/>
  <c r="B735" i="56"/>
  <c r="A735" i="56" s="1"/>
  <c r="B736" i="56"/>
  <c r="A736" i="56" s="1"/>
  <c r="B737" i="56"/>
  <c r="A737" i="56" s="1"/>
  <c r="B738" i="56"/>
  <c r="A738" i="56" s="1"/>
  <c r="B739" i="56"/>
  <c r="A739" i="56" s="1"/>
  <c r="B740" i="56"/>
  <c r="A740" i="56" s="1"/>
  <c r="B741" i="56"/>
  <c r="A741" i="56" s="1"/>
  <c r="B742" i="56"/>
  <c r="A742" i="56" s="1"/>
  <c r="B743" i="56"/>
  <c r="A743" i="56" s="1"/>
  <c r="B744" i="56"/>
  <c r="A744" i="56" s="1"/>
  <c r="B745" i="56"/>
  <c r="A745" i="56" s="1"/>
  <c r="B746" i="56"/>
  <c r="A746" i="56" s="1"/>
  <c r="B747" i="56"/>
  <c r="A747" i="56" s="1"/>
  <c r="B748" i="56"/>
  <c r="A748" i="56" s="1"/>
  <c r="B749" i="56"/>
  <c r="A749" i="56" s="1"/>
  <c r="B750" i="56"/>
  <c r="A750" i="56" s="1"/>
  <c r="B751" i="56"/>
  <c r="A751" i="56" s="1"/>
  <c r="B752" i="56"/>
  <c r="A752" i="56" s="1"/>
  <c r="B753" i="56"/>
  <c r="A753" i="56" s="1"/>
  <c r="B754" i="56"/>
  <c r="A754" i="56" s="1"/>
  <c r="B755" i="56"/>
  <c r="A755" i="56" s="1"/>
  <c r="B756" i="56"/>
  <c r="A756" i="56" s="1"/>
  <c r="B757" i="56"/>
  <c r="A757" i="56" s="1"/>
  <c r="B758" i="56"/>
  <c r="A758" i="56" s="1"/>
  <c r="A759" i="56"/>
  <c r="B759" i="56"/>
  <c r="B760" i="56"/>
  <c r="A760" i="56" s="1"/>
  <c r="B761" i="56"/>
  <c r="A761" i="56" s="1"/>
  <c r="B762" i="56"/>
  <c r="A762" i="56" s="1"/>
  <c r="B763" i="56"/>
  <c r="A763" i="56" s="1"/>
  <c r="B764" i="56"/>
  <c r="A764" i="56" s="1"/>
  <c r="B765" i="56"/>
  <c r="A765" i="56" s="1"/>
  <c r="B766" i="56"/>
  <c r="A766" i="56" s="1"/>
  <c r="B767" i="56"/>
  <c r="A767" i="56" s="1"/>
  <c r="B768" i="56"/>
  <c r="A768" i="56" s="1"/>
  <c r="B769" i="56"/>
  <c r="A769" i="56" s="1"/>
  <c r="B770" i="56"/>
  <c r="A770" i="56" s="1"/>
  <c r="B771" i="56"/>
  <c r="A771" i="56" s="1"/>
  <c r="B772" i="56"/>
  <c r="A772" i="56" s="1"/>
  <c r="B773" i="56"/>
  <c r="A773" i="56" s="1"/>
  <c r="B774" i="56"/>
  <c r="A774" i="56" s="1"/>
  <c r="B775" i="56"/>
  <c r="A775" i="56" s="1"/>
  <c r="B776" i="56"/>
  <c r="A776" i="56" s="1"/>
  <c r="B777" i="56"/>
  <c r="A777" i="56" s="1"/>
  <c r="B778" i="56"/>
  <c r="A778" i="56" s="1"/>
  <c r="B779" i="56"/>
  <c r="A779" i="56" s="1"/>
  <c r="B780" i="56"/>
  <c r="A780" i="56" s="1"/>
  <c r="B781" i="56"/>
  <c r="A781" i="56" s="1"/>
  <c r="B782" i="56"/>
  <c r="A782" i="56" s="1"/>
  <c r="B783" i="56"/>
  <c r="A783" i="56" s="1"/>
  <c r="B784" i="56"/>
  <c r="A784" i="56" s="1"/>
  <c r="B785" i="56"/>
  <c r="A785" i="56" s="1"/>
  <c r="B786" i="56"/>
  <c r="A786" i="56" s="1"/>
  <c r="B787" i="56"/>
  <c r="A787" i="56" s="1"/>
  <c r="B788" i="56"/>
  <c r="A788" i="56" s="1"/>
  <c r="B789" i="56"/>
  <c r="A789" i="56" s="1"/>
  <c r="B790" i="56"/>
  <c r="A790" i="56" s="1"/>
  <c r="B791" i="56"/>
  <c r="A791" i="56" s="1"/>
  <c r="B792" i="56"/>
  <c r="A792" i="56" s="1"/>
  <c r="B793" i="56"/>
  <c r="A793" i="56" s="1"/>
  <c r="B794" i="56"/>
  <c r="A794" i="56" s="1"/>
  <c r="B795" i="56"/>
  <c r="A795" i="56" s="1"/>
  <c r="B796" i="56"/>
  <c r="A796" i="56" s="1"/>
  <c r="B797" i="56"/>
  <c r="A797" i="56" s="1"/>
  <c r="B798" i="56"/>
  <c r="A798" i="56" s="1"/>
  <c r="B799" i="56"/>
  <c r="A799" i="56" s="1"/>
  <c r="B800" i="56"/>
  <c r="A800" i="56" s="1"/>
  <c r="B801" i="56"/>
  <c r="A801" i="56" s="1"/>
  <c r="B802" i="56"/>
  <c r="A802" i="56" s="1"/>
  <c r="B803" i="56"/>
  <c r="A803" i="56" s="1"/>
  <c r="B804" i="56"/>
  <c r="A804" i="56" s="1"/>
  <c r="B805" i="56"/>
  <c r="A805" i="56" s="1"/>
  <c r="B806" i="56"/>
  <c r="A806" i="56" s="1"/>
  <c r="B807" i="56"/>
  <c r="A807" i="56" s="1"/>
  <c r="B808" i="56"/>
  <c r="A808" i="56" s="1"/>
  <c r="B809" i="56"/>
  <c r="A809" i="56" s="1"/>
  <c r="B810" i="56"/>
  <c r="A810" i="56" s="1"/>
  <c r="B811" i="56"/>
  <c r="A811" i="56" s="1"/>
  <c r="B812" i="56"/>
  <c r="A812" i="56" s="1"/>
  <c r="B813" i="56"/>
  <c r="A813" i="56" s="1"/>
  <c r="B814" i="56"/>
  <c r="A814" i="56" s="1"/>
  <c r="B815" i="56"/>
  <c r="A815" i="56" s="1"/>
  <c r="B816" i="56"/>
  <c r="A816" i="56" s="1"/>
  <c r="B817" i="56"/>
  <c r="A817" i="56" s="1"/>
  <c r="B818" i="56"/>
  <c r="A818" i="56" s="1"/>
  <c r="B819" i="56"/>
  <c r="A819" i="56" s="1"/>
  <c r="B820" i="56"/>
  <c r="A820" i="56" s="1"/>
  <c r="B821" i="56"/>
  <c r="A821" i="56" s="1"/>
  <c r="B822" i="56"/>
  <c r="A822" i="56" s="1"/>
  <c r="B823" i="56"/>
  <c r="A823" i="56" s="1"/>
  <c r="B824" i="56"/>
  <c r="A824" i="56" s="1"/>
  <c r="B825" i="56"/>
  <c r="A825" i="56" s="1"/>
  <c r="B826" i="56"/>
  <c r="A826" i="56" s="1"/>
  <c r="B827" i="56"/>
  <c r="A827" i="56" s="1"/>
  <c r="B828" i="56"/>
  <c r="A828" i="56" s="1"/>
  <c r="B829" i="56"/>
  <c r="A829" i="56" s="1"/>
  <c r="B830" i="56"/>
  <c r="A830" i="56" s="1"/>
  <c r="B831" i="56"/>
  <c r="A831" i="56" s="1"/>
  <c r="B832" i="56"/>
  <c r="A832" i="56" s="1"/>
  <c r="B833" i="56"/>
  <c r="A833" i="56" s="1"/>
  <c r="B834" i="56"/>
  <c r="A834" i="56" s="1"/>
  <c r="B835" i="56"/>
  <c r="A835" i="56" s="1"/>
  <c r="B836" i="56"/>
  <c r="A836" i="56" s="1"/>
  <c r="B837" i="56"/>
  <c r="A837" i="56" s="1"/>
  <c r="B838" i="56"/>
  <c r="A838" i="56" s="1"/>
  <c r="B839" i="56"/>
  <c r="A839" i="56" s="1"/>
  <c r="B840" i="56"/>
  <c r="A840" i="56" s="1"/>
  <c r="B841" i="56"/>
  <c r="A841" i="56" s="1"/>
  <c r="B842" i="56"/>
  <c r="A842" i="56" s="1"/>
  <c r="B843" i="56"/>
  <c r="A843" i="56" s="1"/>
  <c r="B844" i="56"/>
  <c r="A844" i="56" s="1"/>
  <c r="B845" i="56"/>
  <c r="A845" i="56" s="1"/>
  <c r="B846" i="56"/>
  <c r="A846" i="56" s="1"/>
  <c r="B847" i="56"/>
  <c r="A847" i="56" s="1"/>
  <c r="B848" i="56"/>
  <c r="A848" i="56" s="1"/>
  <c r="B849" i="56"/>
  <c r="A849" i="56" s="1"/>
  <c r="B850" i="56"/>
  <c r="A850" i="56" s="1"/>
  <c r="B851" i="56"/>
  <c r="A851" i="56" s="1"/>
  <c r="B852" i="56"/>
  <c r="A852" i="56" s="1"/>
  <c r="B853" i="56"/>
  <c r="A853" i="56" s="1"/>
  <c r="B854" i="56"/>
  <c r="A854" i="56" s="1"/>
  <c r="B855" i="56"/>
  <c r="A855" i="56" s="1"/>
  <c r="B856" i="56"/>
  <c r="A856" i="56" s="1"/>
  <c r="B857" i="56"/>
  <c r="A857" i="56" s="1"/>
  <c r="B858" i="56"/>
  <c r="A858" i="56" s="1"/>
  <c r="B859" i="56"/>
  <c r="A859" i="56" s="1"/>
  <c r="B860" i="56"/>
  <c r="A860" i="56" s="1"/>
  <c r="B861" i="56"/>
  <c r="A861" i="56" s="1"/>
  <c r="B862" i="56"/>
  <c r="A862" i="56" s="1"/>
  <c r="B863" i="56"/>
  <c r="A863" i="56" s="1"/>
  <c r="B864" i="56"/>
  <c r="A864" i="56" s="1"/>
  <c r="B865" i="56"/>
  <c r="A865" i="56" s="1"/>
  <c r="B866" i="56"/>
  <c r="A866" i="56" s="1"/>
  <c r="B867" i="56"/>
  <c r="A867" i="56" s="1"/>
  <c r="B868" i="56"/>
  <c r="A868" i="56" s="1"/>
  <c r="B869" i="56"/>
  <c r="A869" i="56" s="1"/>
  <c r="B870" i="56"/>
  <c r="A870" i="56" s="1"/>
  <c r="B871" i="56"/>
  <c r="A871" i="56" s="1"/>
  <c r="B872" i="56"/>
  <c r="A872" i="56" s="1"/>
  <c r="B873" i="56"/>
  <c r="A873" i="56" s="1"/>
  <c r="B874" i="56"/>
  <c r="A874" i="56" s="1"/>
  <c r="B875" i="56"/>
  <c r="A875" i="56" s="1"/>
  <c r="B876" i="56"/>
  <c r="A876" i="56" s="1"/>
  <c r="B877" i="56"/>
  <c r="A877" i="56" s="1"/>
  <c r="B878" i="56"/>
  <c r="A878" i="56" s="1"/>
  <c r="B879" i="56"/>
  <c r="A879" i="56" s="1"/>
  <c r="B880" i="56"/>
  <c r="A880" i="56" s="1"/>
  <c r="B881" i="56"/>
  <c r="A881" i="56" s="1"/>
  <c r="B882" i="56"/>
  <c r="A882" i="56" s="1"/>
  <c r="B883" i="56"/>
  <c r="A883" i="56" s="1"/>
  <c r="B884" i="56"/>
  <c r="A884" i="56" s="1"/>
  <c r="B885" i="56"/>
  <c r="A885" i="56" s="1"/>
  <c r="B886" i="56"/>
  <c r="A886" i="56" s="1"/>
  <c r="B887" i="56"/>
  <c r="A887" i="56" s="1"/>
  <c r="B888" i="56"/>
  <c r="A888" i="56" s="1"/>
  <c r="B889" i="56"/>
  <c r="A889" i="56" s="1"/>
  <c r="B890" i="56"/>
  <c r="A890" i="56" s="1"/>
  <c r="B891" i="56"/>
  <c r="A891" i="56" s="1"/>
  <c r="B892" i="56"/>
  <c r="A892" i="56" s="1"/>
  <c r="B893" i="56"/>
  <c r="A893" i="56" s="1"/>
  <c r="B894" i="56"/>
  <c r="A894" i="56" s="1"/>
  <c r="B895" i="56"/>
  <c r="A895" i="56" s="1"/>
  <c r="B896" i="56"/>
  <c r="A896" i="56" s="1"/>
  <c r="B897" i="56"/>
  <c r="A897" i="56" s="1"/>
  <c r="B898" i="56"/>
  <c r="A898" i="56" s="1"/>
  <c r="B899" i="56"/>
  <c r="A899" i="56" s="1"/>
  <c r="B900" i="56"/>
  <c r="A900" i="56" s="1"/>
  <c r="B901" i="56"/>
  <c r="A901" i="56" s="1"/>
  <c r="B902" i="56"/>
  <c r="A902" i="56" s="1"/>
  <c r="B903" i="56"/>
  <c r="A903" i="56" s="1"/>
  <c r="B904" i="56"/>
  <c r="A904" i="56" s="1"/>
  <c r="B905" i="56"/>
  <c r="A905" i="56" s="1"/>
  <c r="B906" i="56"/>
  <c r="A906" i="56" s="1"/>
  <c r="B907" i="56"/>
  <c r="A907" i="56" s="1"/>
  <c r="B908" i="56"/>
  <c r="A908" i="56" s="1"/>
  <c r="B909" i="56"/>
  <c r="A909" i="56" s="1"/>
  <c r="B910" i="56"/>
  <c r="A910" i="56" s="1"/>
  <c r="B911" i="56"/>
  <c r="A911" i="56" s="1"/>
  <c r="B912" i="56"/>
  <c r="A912" i="56" s="1"/>
  <c r="B913" i="56"/>
  <c r="A913" i="56" s="1"/>
  <c r="B914" i="56"/>
  <c r="A914" i="56" s="1"/>
  <c r="B915" i="56"/>
  <c r="A915" i="56" s="1"/>
  <c r="B916" i="56"/>
  <c r="A916" i="56" s="1"/>
  <c r="B917" i="56"/>
  <c r="A917" i="56" s="1"/>
  <c r="B918" i="56"/>
  <c r="A918" i="56" s="1"/>
  <c r="B919" i="56"/>
  <c r="A919" i="56" s="1"/>
  <c r="B920" i="56"/>
  <c r="A920" i="56" s="1"/>
  <c r="B921" i="56"/>
  <c r="A921" i="56" s="1"/>
  <c r="B922" i="56"/>
  <c r="A922" i="56" s="1"/>
  <c r="B923" i="56"/>
  <c r="A923" i="56" s="1"/>
  <c r="B924" i="56"/>
  <c r="A924" i="56" s="1"/>
  <c r="B925" i="56"/>
  <c r="A925" i="56" s="1"/>
  <c r="B926" i="56"/>
  <c r="A926" i="56" s="1"/>
  <c r="B927" i="56"/>
  <c r="A927" i="56" s="1"/>
  <c r="B928" i="56"/>
  <c r="A928" i="56" s="1"/>
  <c r="B929" i="56"/>
  <c r="A929" i="56" s="1"/>
  <c r="B930" i="56"/>
  <c r="A930" i="56" s="1"/>
  <c r="B931" i="56"/>
  <c r="A931" i="56" s="1"/>
  <c r="B932" i="56"/>
  <c r="A932" i="56" s="1"/>
  <c r="B933" i="56"/>
  <c r="A933" i="56" s="1"/>
  <c r="B934" i="56"/>
  <c r="A934" i="56" s="1"/>
  <c r="B935" i="56"/>
  <c r="A935" i="56" s="1"/>
  <c r="B936" i="56"/>
  <c r="A936" i="56" s="1"/>
  <c r="B937" i="56"/>
  <c r="A937" i="56" s="1"/>
  <c r="B938" i="56"/>
  <c r="A938" i="56" s="1"/>
  <c r="B939" i="56"/>
  <c r="A939" i="56" s="1"/>
  <c r="B940" i="56"/>
  <c r="A940" i="56" s="1"/>
  <c r="B941" i="56"/>
  <c r="A941" i="56" s="1"/>
  <c r="B942" i="56"/>
  <c r="A942" i="56" s="1"/>
  <c r="B943" i="56"/>
  <c r="A943" i="56" s="1"/>
  <c r="B944" i="56"/>
  <c r="A944" i="56" s="1"/>
  <c r="B945" i="56"/>
  <c r="A945" i="56" s="1"/>
  <c r="B946" i="56"/>
  <c r="A946" i="56" s="1"/>
  <c r="B947" i="56"/>
  <c r="A947" i="56" s="1"/>
  <c r="B948" i="56"/>
  <c r="A948" i="56" s="1"/>
  <c r="B949" i="56"/>
  <c r="A949" i="56" s="1"/>
  <c r="B950" i="56"/>
  <c r="A950" i="56" s="1"/>
  <c r="B951" i="56"/>
  <c r="A951" i="56" s="1"/>
  <c r="B952" i="56"/>
  <c r="A952" i="56" s="1"/>
  <c r="B953" i="56"/>
  <c r="A953" i="56" s="1"/>
  <c r="B954" i="56"/>
  <c r="A954" i="56" s="1"/>
  <c r="B955" i="56"/>
  <c r="A955" i="56" s="1"/>
  <c r="B956" i="56"/>
  <c r="A956" i="56" s="1"/>
  <c r="B957" i="56"/>
  <c r="A957" i="56" s="1"/>
  <c r="B958" i="56"/>
  <c r="A958" i="56" s="1"/>
  <c r="B959" i="56"/>
  <c r="A959" i="56" s="1"/>
  <c r="B960" i="56"/>
  <c r="A960" i="56" s="1"/>
  <c r="B961" i="56"/>
  <c r="A961" i="56" s="1"/>
  <c r="A962" i="56"/>
  <c r="B962" i="56"/>
  <c r="B963" i="56"/>
  <c r="A963" i="56" s="1"/>
  <c r="B964" i="56"/>
  <c r="A964" i="56" s="1"/>
  <c r="B965" i="56"/>
  <c r="A965" i="56" s="1"/>
  <c r="B966" i="56"/>
  <c r="A966" i="56" s="1"/>
  <c r="B967" i="56"/>
  <c r="A967" i="56" s="1"/>
  <c r="B968" i="56"/>
  <c r="A968" i="56" s="1"/>
  <c r="B969" i="56"/>
  <c r="A969" i="56" s="1"/>
  <c r="B970" i="56"/>
  <c r="A970" i="56" s="1"/>
  <c r="B971" i="56"/>
  <c r="A971" i="56" s="1"/>
  <c r="A972" i="56"/>
  <c r="B972" i="56"/>
  <c r="B973" i="56"/>
  <c r="A973" i="56" s="1"/>
  <c r="B974" i="56"/>
  <c r="A974" i="56" s="1"/>
  <c r="B975" i="56"/>
  <c r="A975" i="56" s="1"/>
  <c r="B976" i="56"/>
  <c r="A976" i="56" s="1"/>
  <c r="B977" i="56"/>
  <c r="A977" i="56" s="1"/>
  <c r="B978" i="56"/>
  <c r="A978" i="56" s="1"/>
  <c r="A979" i="56"/>
  <c r="B979" i="56"/>
  <c r="B980" i="56"/>
  <c r="A980" i="56" s="1"/>
  <c r="B981" i="56"/>
  <c r="A981" i="56" s="1"/>
  <c r="B982" i="56"/>
  <c r="A982" i="56" s="1"/>
  <c r="B983" i="56"/>
  <c r="A983" i="56" s="1"/>
  <c r="B984" i="56"/>
  <c r="A984" i="56" s="1"/>
  <c r="B985" i="56"/>
  <c r="A985" i="56" s="1"/>
  <c r="B986" i="56"/>
  <c r="A986" i="56" s="1"/>
  <c r="A987" i="56"/>
  <c r="B987" i="56"/>
  <c r="A988" i="56"/>
  <c r="B988" i="56"/>
  <c r="B989" i="56"/>
  <c r="A989" i="56" s="1"/>
  <c r="B990" i="56"/>
  <c r="A990" i="56" s="1"/>
  <c r="B991" i="56"/>
  <c r="A991" i="56" s="1"/>
  <c r="B992" i="56"/>
  <c r="A992" i="56" s="1"/>
  <c r="B993" i="56"/>
  <c r="A993" i="56" s="1"/>
  <c r="B994" i="56"/>
  <c r="A994" i="56" s="1"/>
  <c r="B995" i="56"/>
  <c r="A995" i="56" s="1"/>
  <c r="B996" i="56"/>
  <c r="A996" i="56" s="1"/>
  <c r="B997" i="56"/>
  <c r="A997" i="56" s="1"/>
  <c r="B998" i="56"/>
  <c r="A998" i="56" s="1"/>
  <c r="B999" i="56"/>
  <c r="A999" i="56" s="1"/>
  <c r="B1000" i="56"/>
  <c r="A1000" i="56" s="1"/>
  <c r="B1001" i="56"/>
  <c r="A1001" i="56" s="1"/>
  <c r="A1002" i="56"/>
  <c r="B1002" i="56"/>
  <c r="B1003" i="56"/>
  <c r="A1003" i="56" s="1"/>
  <c r="B1004" i="56"/>
  <c r="A1004" i="56" s="1"/>
  <c r="B1005" i="56"/>
  <c r="A1005" i="56" s="1"/>
  <c r="B1006" i="56"/>
  <c r="A1006" i="56" s="1"/>
  <c r="B1007" i="56"/>
  <c r="A1007" i="56" s="1"/>
  <c r="B1008" i="56"/>
  <c r="A1008" i="56" s="1"/>
  <c r="B1009" i="56"/>
  <c r="A1009" i="56" s="1"/>
  <c r="B3" i="57"/>
  <c r="A3" i="57" s="1"/>
  <c r="B4" i="57"/>
  <c r="A4" i="57" s="1"/>
  <c r="B5" i="57"/>
  <c r="A5" i="57" s="1"/>
  <c r="B6" i="57"/>
  <c r="A6" i="57" s="1"/>
  <c r="B7" i="57"/>
  <c r="A7" i="57" s="1"/>
  <c r="B8" i="57"/>
  <c r="A8" i="57" s="1"/>
  <c r="B9" i="57"/>
  <c r="A9" i="57" s="1"/>
  <c r="B10" i="57"/>
  <c r="A10" i="57" s="1"/>
  <c r="B11" i="57"/>
  <c r="A11" i="57" s="1"/>
  <c r="B12" i="57"/>
  <c r="A12" i="57" s="1"/>
  <c r="B13" i="57"/>
  <c r="A13" i="57" s="1"/>
  <c r="B14" i="57"/>
  <c r="A14" i="57" s="1"/>
  <c r="B15" i="57"/>
  <c r="A15" i="57" s="1"/>
  <c r="B16" i="57"/>
  <c r="A16" i="57" s="1"/>
  <c r="B17" i="57"/>
  <c r="A17" i="57" s="1"/>
  <c r="B18" i="57"/>
  <c r="A18" i="57" s="1"/>
  <c r="B19" i="57"/>
  <c r="A19" i="57" s="1"/>
  <c r="B20" i="57"/>
  <c r="A20" i="57" s="1"/>
  <c r="B21" i="57"/>
  <c r="A21" i="57" s="1"/>
  <c r="B22" i="57"/>
  <c r="A22" i="57" s="1"/>
  <c r="B23" i="57"/>
  <c r="A23" i="57" s="1"/>
  <c r="B24" i="57"/>
  <c r="A24" i="57" s="1"/>
  <c r="B25" i="57"/>
  <c r="A25" i="57" s="1"/>
  <c r="B26" i="57"/>
  <c r="A26" i="57" s="1"/>
  <c r="B27" i="57"/>
  <c r="A27" i="57" s="1"/>
  <c r="B28" i="57"/>
  <c r="A28" i="57" s="1"/>
  <c r="B29" i="57"/>
  <c r="A29" i="57" s="1"/>
  <c r="B30" i="57"/>
  <c r="A30" i="57" s="1"/>
  <c r="B31" i="57"/>
  <c r="A31" i="57" s="1"/>
  <c r="B32" i="57"/>
  <c r="A32" i="57" s="1"/>
  <c r="B33" i="57"/>
  <c r="A33" i="57" s="1"/>
  <c r="B34" i="57"/>
  <c r="A34" i="57" s="1"/>
  <c r="B35" i="57"/>
  <c r="A35" i="57" s="1"/>
  <c r="B36" i="57"/>
  <c r="A36" i="57" s="1"/>
  <c r="B37" i="57"/>
  <c r="A37" i="57" s="1"/>
  <c r="B38" i="57"/>
  <c r="A38" i="57" s="1"/>
  <c r="B39" i="57"/>
  <c r="A39" i="57" s="1"/>
  <c r="B40" i="57"/>
  <c r="A40" i="57" s="1"/>
  <c r="B41" i="57"/>
  <c r="A41" i="57" s="1"/>
  <c r="B42" i="57"/>
  <c r="A42" i="57" s="1"/>
  <c r="B43" i="57"/>
  <c r="A43" i="57" s="1"/>
  <c r="B44" i="57"/>
  <c r="A44" i="57" s="1"/>
  <c r="B45" i="57"/>
  <c r="A45" i="57" s="1"/>
  <c r="B46" i="57"/>
  <c r="A46" i="57" s="1"/>
  <c r="B47" i="57"/>
  <c r="A47" i="57" s="1"/>
  <c r="B48" i="57"/>
  <c r="A48" i="57" s="1"/>
  <c r="B49" i="57"/>
  <c r="A49" i="57" s="1"/>
  <c r="B50" i="57"/>
  <c r="A50" i="57" s="1"/>
  <c r="B51" i="57"/>
  <c r="A51" i="57" s="1"/>
  <c r="B52" i="57"/>
  <c r="A52" i="57" s="1"/>
  <c r="B53" i="57"/>
  <c r="A53" i="57" s="1"/>
  <c r="B54" i="57"/>
  <c r="A54" i="57" s="1"/>
  <c r="B55" i="57"/>
  <c r="A55" i="57" s="1"/>
  <c r="B56" i="57"/>
  <c r="A56" i="57" s="1"/>
  <c r="B57" i="57"/>
  <c r="A57" i="57" s="1"/>
  <c r="B58" i="57"/>
  <c r="A58" i="57" s="1"/>
  <c r="B59" i="57"/>
  <c r="A59" i="57" s="1"/>
  <c r="B60" i="57"/>
  <c r="A60" i="57" s="1"/>
  <c r="B61" i="57"/>
  <c r="A61" i="57" s="1"/>
  <c r="B62" i="57"/>
  <c r="A62" i="57" s="1"/>
  <c r="B63" i="57"/>
  <c r="A63" i="57" s="1"/>
  <c r="B64" i="57"/>
  <c r="A64" i="57" s="1"/>
  <c r="B65" i="57"/>
  <c r="A65" i="57" s="1"/>
  <c r="B66" i="57"/>
  <c r="A66" i="57" s="1"/>
  <c r="B67" i="57"/>
  <c r="A67" i="57" s="1"/>
  <c r="B68" i="57"/>
  <c r="A68" i="57" s="1"/>
  <c r="B69" i="57"/>
  <c r="A69" i="57" s="1"/>
  <c r="B70" i="57"/>
  <c r="A70" i="57" s="1"/>
  <c r="B71" i="57"/>
  <c r="A71" i="57" s="1"/>
  <c r="B72" i="57"/>
  <c r="A72" i="57" s="1"/>
  <c r="B73" i="57"/>
  <c r="A73" i="57" s="1"/>
  <c r="B74" i="57"/>
  <c r="A74" i="57" s="1"/>
  <c r="B75" i="57"/>
  <c r="A75" i="57" s="1"/>
  <c r="B76" i="57"/>
  <c r="A76" i="57" s="1"/>
  <c r="B77" i="57"/>
  <c r="A77" i="57" s="1"/>
  <c r="B78" i="57"/>
  <c r="A78" i="57" s="1"/>
  <c r="B79" i="57"/>
  <c r="A79" i="57" s="1"/>
  <c r="B80" i="57"/>
  <c r="A80" i="57" s="1"/>
  <c r="B81" i="57"/>
  <c r="A81" i="57" s="1"/>
  <c r="B82" i="57"/>
  <c r="A82" i="57" s="1"/>
  <c r="B83" i="57"/>
  <c r="A83" i="57" s="1"/>
  <c r="B84" i="57"/>
  <c r="A84" i="57" s="1"/>
  <c r="B85" i="57"/>
  <c r="A85" i="57" s="1"/>
  <c r="B86" i="57"/>
  <c r="A86" i="57" s="1"/>
  <c r="B87" i="57"/>
  <c r="A87" i="57" s="1"/>
  <c r="B88" i="57"/>
  <c r="A88" i="57" s="1"/>
  <c r="B89" i="57"/>
  <c r="A89" i="57" s="1"/>
  <c r="B90" i="57"/>
  <c r="A90" i="57" s="1"/>
  <c r="B91" i="57"/>
  <c r="A91" i="57" s="1"/>
  <c r="B92" i="57"/>
  <c r="A92" i="57" s="1"/>
  <c r="B93" i="57"/>
  <c r="A93" i="57" s="1"/>
  <c r="B94" i="57"/>
  <c r="A94" i="57" s="1"/>
  <c r="B95" i="57"/>
  <c r="A95" i="57" s="1"/>
  <c r="B96" i="57"/>
  <c r="A96" i="57" s="1"/>
  <c r="B97" i="57"/>
  <c r="A97" i="57" s="1"/>
  <c r="B98" i="57"/>
  <c r="A98" i="57" s="1"/>
  <c r="B99" i="57"/>
  <c r="A99" i="57" s="1"/>
  <c r="B100" i="57"/>
  <c r="A100" i="57" s="1"/>
  <c r="B101" i="57"/>
  <c r="A101" i="57" s="1"/>
  <c r="B102" i="57"/>
  <c r="A102" i="57" s="1"/>
  <c r="B103" i="57"/>
  <c r="A103" i="57" s="1"/>
  <c r="B104" i="57"/>
  <c r="A104" i="57" s="1"/>
  <c r="B105" i="57"/>
  <c r="A105" i="57" s="1"/>
  <c r="B106" i="57"/>
  <c r="A106" i="57" s="1"/>
  <c r="B107" i="57"/>
  <c r="A107" i="57" s="1"/>
  <c r="B108" i="57"/>
  <c r="A108" i="57" s="1"/>
  <c r="B109" i="57"/>
  <c r="A109" i="57" s="1"/>
  <c r="B110" i="57"/>
  <c r="A110" i="57" s="1"/>
  <c r="B111" i="57"/>
  <c r="A111" i="57" s="1"/>
  <c r="B112" i="57"/>
  <c r="A112" i="57" s="1"/>
  <c r="B113" i="57"/>
  <c r="A113" i="57" s="1"/>
  <c r="B114" i="57"/>
  <c r="A114" i="57" s="1"/>
  <c r="B115" i="57"/>
  <c r="A115" i="57" s="1"/>
  <c r="B116" i="57"/>
  <c r="A116" i="57" s="1"/>
  <c r="B117" i="57"/>
  <c r="A117" i="57" s="1"/>
  <c r="B118" i="57"/>
  <c r="A118" i="57" s="1"/>
  <c r="B119" i="57"/>
  <c r="A119" i="57" s="1"/>
  <c r="B120" i="57"/>
  <c r="A120" i="57" s="1"/>
  <c r="B121" i="57"/>
  <c r="A121" i="57" s="1"/>
  <c r="B122" i="57"/>
  <c r="A122" i="57" s="1"/>
  <c r="B123" i="57"/>
  <c r="A123" i="57" s="1"/>
  <c r="B124" i="57"/>
  <c r="A124" i="57" s="1"/>
  <c r="B125" i="57"/>
  <c r="A125" i="57" s="1"/>
  <c r="B126" i="57"/>
  <c r="A126" i="57" s="1"/>
  <c r="B127" i="57"/>
  <c r="A127" i="57" s="1"/>
  <c r="B128" i="57"/>
  <c r="A128" i="57" s="1"/>
  <c r="B129" i="57"/>
  <c r="A129" i="57" s="1"/>
  <c r="B130" i="57"/>
  <c r="A130" i="57" s="1"/>
  <c r="B131" i="57"/>
  <c r="A131" i="57" s="1"/>
  <c r="B132" i="57"/>
  <c r="A132" i="57" s="1"/>
  <c r="B133" i="57"/>
  <c r="A133" i="57" s="1"/>
  <c r="B134" i="57"/>
  <c r="A134" i="57" s="1"/>
  <c r="B135" i="57"/>
  <c r="A135" i="57" s="1"/>
  <c r="B136" i="57"/>
  <c r="A136" i="57" s="1"/>
  <c r="B137" i="57"/>
  <c r="A137" i="57" s="1"/>
  <c r="B138" i="57"/>
  <c r="A138" i="57" s="1"/>
  <c r="B139" i="57"/>
  <c r="A139" i="57" s="1"/>
  <c r="B140" i="57"/>
  <c r="A140" i="57" s="1"/>
  <c r="B141" i="57"/>
  <c r="A141" i="57" s="1"/>
  <c r="B142" i="57"/>
  <c r="A142" i="57" s="1"/>
  <c r="B143" i="57"/>
  <c r="A143" i="57" s="1"/>
  <c r="B144" i="57"/>
  <c r="A144" i="57" s="1"/>
  <c r="B145" i="57"/>
  <c r="A145" i="57" s="1"/>
  <c r="B146" i="57"/>
  <c r="A146" i="57" s="1"/>
  <c r="B147" i="57"/>
  <c r="A147" i="57" s="1"/>
  <c r="B148" i="57"/>
  <c r="A148" i="57" s="1"/>
  <c r="B149" i="57"/>
  <c r="A149" i="57" s="1"/>
  <c r="B150" i="57"/>
  <c r="A150" i="57" s="1"/>
  <c r="B151" i="57"/>
  <c r="A151" i="57" s="1"/>
  <c r="B152" i="57"/>
  <c r="A152" i="57" s="1"/>
  <c r="B153" i="57"/>
  <c r="A153" i="57" s="1"/>
  <c r="B154" i="57"/>
  <c r="A154" i="57" s="1"/>
  <c r="B155" i="57"/>
  <c r="A155" i="57" s="1"/>
  <c r="B156" i="57"/>
  <c r="A156" i="57" s="1"/>
  <c r="B157" i="57"/>
  <c r="A157" i="57" s="1"/>
  <c r="B158" i="57"/>
  <c r="A158" i="57" s="1"/>
  <c r="B159" i="57"/>
  <c r="A159" i="57" s="1"/>
  <c r="B160" i="57"/>
  <c r="A160" i="57" s="1"/>
  <c r="B161" i="57"/>
  <c r="A161" i="57" s="1"/>
  <c r="B162" i="57"/>
  <c r="A162" i="57" s="1"/>
  <c r="B163" i="57"/>
  <c r="A163" i="57" s="1"/>
  <c r="B164" i="57"/>
  <c r="A164" i="57" s="1"/>
  <c r="B165" i="57"/>
  <c r="A165" i="57" s="1"/>
  <c r="B166" i="57"/>
  <c r="A166" i="57" s="1"/>
  <c r="B167" i="57"/>
  <c r="A167" i="57" s="1"/>
  <c r="B168" i="57"/>
  <c r="A168" i="57" s="1"/>
  <c r="B169" i="57"/>
  <c r="A169" i="57" s="1"/>
  <c r="B170" i="57"/>
  <c r="A170" i="57" s="1"/>
  <c r="B171" i="57"/>
  <c r="A171" i="57" s="1"/>
  <c r="B172" i="57"/>
  <c r="A172" i="57" s="1"/>
  <c r="B173" i="57"/>
  <c r="A173" i="57" s="1"/>
  <c r="B174" i="57"/>
  <c r="A174" i="57" s="1"/>
  <c r="B175" i="57"/>
  <c r="A175" i="57" s="1"/>
  <c r="B176" i="57"/>
  <c r="A176" i="57" s="1"/>
  <c r="B177" i="57"/>
  <c r="A177" i="57" s="1"/>
  <c r="B178" i="57"/>
  <c r="A178" i="57" s="1"/>
  <c r="B179" i="57"/>
  <c r="A179" i="57" s="1"/>
  <c r="B180" i="57"/>
  <c r="A180" i="57" s="1"/>
  <c r="B181" i="57"/>
  <c r="A181" i="57" s="1"/>
  <c r="B182" i="57"/>
  <c r="A182" i="57" s="1"/>
  <c r="B183" i="57"/>
  <c r="A183" i="57" s="1"/>
  <c r="B184" i="57"/>
  <c r="A184" i="57" s="1"/>
  <c r="B185" i="57"/>
  <c r="A185" i="57" s="1"/>
  <c r="B186" i="57"/>
  <c r="A186" i="57" s="1"/>
  <c r="B187" i="57"/>
  <c r="A187" i="57" s="1"/>
  <c r="B188" i="57"/>
  <c r="A188" i="57" s="1"/>
  <c r="B189" i="57"/>
  <c r="A189" i="57" s="1"/>
  <c r="B190" i="57"/>
  <c r="A190" i="57" s="1"/>
  <c r="B191" i="57"/>
  <c r="A191" i="57" s="1"/>
  <c r="B192" i="57"/>
  <c r="A192" i="57" s="1"/>
  <c r="B193" i="57"/>
  <c r="A193" i="57" s="1"/>
  <c r="B194" i="57"/>
  <c r="A194" i="57" s="1"/>
  <c r="B195" i="57"/>
  <c r="A195" i="57" s="1"/>
  <c r="B196" i="57"/>
  <c r="A196" i="57" s="1"/>
  <c r="B197" i="57"/>
  <c r="A197" i="57" s="1"/>
  <c r="B198" i="57"/>
  <c r="A198" i="57" s="1"/>
  <c r="B199" i="57"/>
  <c r="A199" i="57" s="1"/>
  <c r="B200" i="57"/>
  <c r="A200" i="57" s="1"/>
  <c r="B201" i="57"/>
  <c r="A201" i="57" s="1"/>
  <c r="B202" i="57"/>
  <c r="A202" i="57" s="1"/>
  <c r="B203" i="57"/>
  <c r="A203" i="57" s="1"/>
  <c r="B204" i="57"/>
  <c r="A204" i="57" s="1"/>
  <c r="B205" i="57"/>
  <c r="A205" i="57" s="1"/>
  <c r="B206" i="57"/>
  <c r="A206" i="57" s="1"/>
  <c r="B207" i="57"/>
  <c r="A207" i="57" s="1"/>
  <c r="B208" i="57"/>
  <c r="A208" i="57" s="1"/>
  <c r="B209" i="57"/>
  <c r="A209" i="57" s="1"/>
  <c r="B210" i="57"/>
  <c r="A210" i="57" s="1"/>
  <c r="B211" i="57"/>
  <c r="A211" i="57" s="1"/>
  <c r="B212" i="57"/>
  <c r="A212" i="57" s="1"/>
  <c r="B213" i="57"/>
  <c r="A213" i="57" s="1"/>
  <c r="B214" i="57"/>
  <c r="A214" i="57" s="1"/>
  <c r="B215" i="57"/>
  <c r="A215" i="57" s="1"/>
  <c r="B216" i="57"/>
  <c r="A216" i="57" s="1"/>
  <c r="B217" i="57"/>
  <c r="A217" i="57" s="1"/>
  <c r="B218" i="57"/>
  <c r="A218" i="57" s="1"/>
  <c r="B219" i="57"/>
  <c r="A219" i="57" s="1"/>
  <c r="B220" i="57"/>
  <c r="A220" i="57" s="1"/>
  <c r="B221" i="57"/>
  <c r="A221" i="57" s="1"/>
  <c r="B222" i="57"/>
  <c r="A222" i="57" s="1"/>
  <c r="B223" i="57"/>
  <c r="A223" i="57" s="1"/>
  <c r="B224" i="57"/>
  <c r="A224" i="57" s="1"/>
  <c r="B225" i="57"/>
  <c r="A225" i="57" s="1"/>
  <c r="B226" i="57"/>
  <c r="A226" i="57" s="1"/>
  <c r="B227" i="57"/>
  <c r="A227" i="57" s="1"/>
  <c r="B228" i="57"/>
  <c r="A228" i="57" s="1"/>
  <c r="B229" i="57"/>
  <c r="A229" i="57" s="1"/>
  <c r="B230" i="57"/>
  <c r="A230" i="57" s="1"/>
  <c r="B231" i="57"/>
  <c r="A231" i="57" s="1"/>
  <c r="B232" i="57"/>
  <c r="A232" i="57" s="1"/>
  <c r="B233" i="57"/>
  <c r="A233" i="57" s="1"/>
  <c r="B234" i="57"/>
  <c r="A234" i="57" s="1"/>
  <c r="B235" i="57"/>
  <c r="A235" i="57" s="1"/>
  <c r="B236" i="57"/>
  <c r="A236" i="57" s="1"/>
  <c r="B237" i="57"/>
  <c r="A237" i="57" s="1"/>
  <c r="B238" i="57"/>
  <c r="A238" i="57" s="1"/>
  <c r="B239" i="57"/>
  <c r="A239" i="57" s="1"/>
  <c r="B240" i="57"/>
  <c r="A240" i="57" s="1"/>
  <c r="B241" i="57"/>
  <c r="A241" i="57" s="1"/>
  <c r="B242" i="57"/>
  <c r="A242" i="57" s="1"/>
  <c r="B243" i="57"/>
  <c r="A243" i="57" s="1"/>
  <c r="B244" i="57"/>
  <c r="A244" i="57" s="1"/>
  <c r="B245" i="57"/>
  <c r="A245" i="57" s="1"/>
  <c r="B246" i="57"/>
  <c r="A246" i="57" s="1"/>
  <c r="B247" i="57"/>
  <c r="A247" i="57" s="1"/>
  <c r="B248" i="57"/>
  <c r="A248" i="57" s="1"/>
  <c r="B249" i="57"/>
  <c r="A249" i="57" s="1"/>
  <c r="B250" i="57"/>
  <c r="A250" i="57" s="1"/>
  <c r="B251" i="57"/>
  <c r="A251" i="57" s="1"/>
  <c r="B252" i="57"/>
  <c r="A252" i="57" s="1"/>
  <c r="B253" i="57"/>
  <c r="A253" i="57" s="1"/>
  <c r="B254" i="57"/>
  <c r="A254" i="57" s="1"/>
  <c r="B255" i="57"/>
  <c r="A255" i="57" s="1"/>
  <c r="B256" i="57"/>
  <c r="A256" i="57" s="1"/>
  <c r="B257" i="57"/>
  <c r="A257" i="57" s="1"/>
  <c r="B258" i="57"/>
  <c r="A258" i="57" s="1"/>
  <c r="B259" i="57"/>
  <c r="A259" i="57" s="1"/>
  <c r="B260" i="57"/>
  <c r="A260" i="57" s="1"/>
  <c r="B261" i="57"/>
  <c r="A261" i="57" s="1"/>
  <c r="B262" i="57"/>
  <c r="A262" i="57" s="1"/>
  <c r="B263" i="57"/>
  <c r="A263" i="57" s="1"/>
  <c r="B264" i="57"/>
  <c r="A264" i="57" s="1"/>
  <c r="B265" i="57"/>
  <c r="A265" i="57" s="1"/>
  <c r="B266" i="57"/>
  <c r="A266" i="57" s="1"/>
  <c r="B267" i="57"/>
  <c r="A267" i="57" s="1"/>
  <c r="B268" i="57"/>
  <c r="A268" i="57" s="1"/>
  <c r="B269" i="57"/>
  <c r="A269" i="57" s="1"/>
  <c r="B270" i="57"/>
  <c r="A270" i="57" s="1"/>
  <c r="B271" i="57"/>
  <c r="A271" i="57" s="1"/>
  <c r="B272" i="57"/>
  <c r="A272" i="57" s="1"/>
  <c r="B273" i="57"/>
  <c r="A273" i="57" s="1"/>
  <c r="B274" i="57"/>
  <c r="A274" i="57" s="1"/>
  <c r="B275" i="57"/>
  <c r="A275" i="57" s="1"/>
  <c r="B276" i="57"/>
  <c r="A276" i="57" s="1"/>
  <c r="B277" i="57"/>
  <c r="A277" i="57" s="1"/>
  <c r="B278" i="57"/>
  <c r="A278" i="57" s="1"/>
  <c r="B279" i="57"/>
  <c r="A279" i="57" s="1"/>
  <c r="B280" i="57"/>
  <c r="A280" i="57" s="1"/>
  <c r="B281" i="57"/>
  <c r="A281" i="57" s="1"/>
  <c r="B282" i="57"/>
  <c r="A282" i="57" s="1"/>
  <c r="B283" i="57"/>
  <c r="A283" i="57" s="1"/>
  <c r="I23" i="52" s="1"/>
  <c r="B284" i="57"/>
  <c r="A284" i="57" s="1"/>
  <c r="B285" i="57"/>
  <c r="A285" i="57" s="1"/>
  <c r="B286" i="57"/>
  <c r="A286" i="57" s="1"/>
  <c r="B287" i="57"/>
  <c r="A287" i="57" s="1"/>
  <c r="B288" i="57"/>
  <c r="A288" i="57" s="1"/>
  <c r="B289" i="57"/>
  <c r="A289" i="57" s="1"/>
  <c r="B290" i="57"/>
  <c r="A290" i="57" s="1"/>
  <c r="B291" i="57"/>
  <c r="A291" i="57" s="1"/>
  <c r="B292" i="57"/>
  <c r="A292" i="57" s="1"/>
  <c r="B293" i="57"/>
  <c r="A293" i="57" s="1"/>
  <c r="B294" i="57"/>
  <c r="A294" i="57" s="1"/>
  <c r="B295" i="57"/>
  <c r="A295" i="57" s="1"/>
  <c r="B296" i="57"/>
  <c r="A296" i="57" s="1"/>
  <c r="B297" i="57"/>
  <c r="A297" i="57" s="1"/>
  <c r="B298" i="57"/>
  <c r="A298" i="57" s="1"/>
  <c r="B299" i="57"/>
  <c r="A299" i="57" s="1"/>
  <c r="B300" i="57"/>
  <c r="A300" i="57" s="1"/>
  <c r="B301" i="57"/>
  <c r="A301" i="57" s="1"/>
  <c r="B302" i="57"/>
  <c r="A302" i="57" s="1"/>
  <c r="B303" i="57"/>
  <c r="A303" i="57" s="1"/>
  <c r="B304" i="57"/>
  <c r="A304" i="57" s="1"/>
  <c r="B305" i="57"/>
  <c r="A305" i="57" s="1"/>
  <c r="B306" i="57"/>
  <c r="A306" i="57" s="1"/>
  <c r="B307" i="57"/>
  <c r="A307" i="57" s="1"/>
  <c r="B308" i="57"/>
  <c r="A308" i="57" s="1"/>
  <c r="B309" i="57"/>
  <c r="A309" i="57" s="1"/>
  <c r="B310" i="57"/>
  <c r="A310" i="57" s="1"/>
  <c r="B311" i="57"/>
  <c r="A311" i="57" s="1"/>
  <c r="B312" i="57"/>
  <c r="A312" i="57" s="1"/>
  <c r="B313" i="57"/>
  <c r="A313" i="57" s="1"/>
  <c r="B314" i="57"/>
  <c r="A314" i="57" s="1"/>
  <c r="B315" i="57"/>
  <c r="A315" i="57" s="1"/>
  <c r="B316" i="57"/>
  <c r="A316" i="57" s="1"/>
  <c r="B317" i="57"/>
  <c r="A317" i="57" s="1"/>
  <c r="B318" i="57"/>
  <c r="A318" i="57" s="1"/>
  <c r="B319" i="57"/>
  <c r="A319" i="57" s="1"/>
  <c r="B320" i="57"/>
  <c r="A320" i="57" s="1"/>
  <c r="B321" i="57"/>
  <c r="A321" i="57" s="1"/>
  <c r="B322" i="57"/>
  <c r="A322" i="57" s="1"/>
  <c r="B323" i="57"/>
  <c r="A323" i="57" s="1"/>
  <c r="B324" i="57"/>
  <c r="A324" i="57" s="1"/>
  <c r="B325" i="57"/>
  <c r="A325" i="57" s="1"/>
  <c r="B326" i="57"/>
  <c r="A326" i="57" s="1"/>
  <c r="B327" i="57"/>
  <c r="A327" i="57" s="1"/>
  <c r="B328" i="57"/>
  <c r="A328" i="57" s="1"/>
  <c r="B329" i="57"/>
  <c r="A329" i="57" s="1"/>
  <c r="B330" i="57"/>
  <c r="A330" i="57" s="1"/>
  <c r="B331" i="57"/>
  <c r="A331" i="57" s="1"/>
  <c r="B332" i="57"/>
  <c r="A332" i="57" s="1"/>
  <c r="B333" i="57"/>
  <c r="A333" i="57" s="1"/>
  <c r="B334" i="57"/>
  <c r="A334" i="57" s="1"/>
  <c r="A335" i="57"/>
  <c r="B335" i="57"/>
  <c r="B336" i="57"/>
  <c r="A336" i="57" s="1"/>
  <c r="B337" i="57"/>
  <c r="A337" i="57" s="1"/>
  <c r="B338" i="57"/>
  <c r="A338" i="57" s="1"/>
  <c r="B339" i="57"/>
  <c r="A339" i="57" s="1"/>
  <c r="B340" i="57"/>
  <c r="A340" i="57" s="1"/>
  <c r="B341" i="57"/>
  <c r="A341" i="57" s="1"/>
  <c r="B342" i="57"/>
  <c r="A342" i="57" s="1"/>
  <c r="B343" i="57"/>
  <c r="A343" i="57" s="1"/>
  <c r="B344" i="57"/>
  <c r="A344" i="57" s="1"/>
  <c r="B345" i="57"/>
  <c r="A345" i="57" s="1"/>
  <c r="B346" i="57"/>
  <c r="A346" i="57" s="1"/>
  <c r="B347" i="57"/>
  <c r="A347" i="57" s="1"/>
  <c r="B348" i="57"/>
  <c r="A348" i="57" s="1"/>
  <c r="B349" i="57"/>
  <c r="A349" i="57" s="1"/>
  <c r="B350" i="57"/>
  <c r="A350" i="57" s="1"/>
  <c r="B351" i="57"/>
  <c r="A351" i="57" s="1"/>
  <c r="A352" i="57"/>
  <c r="B352" i="57"/>
  <c r="B353" i="57"/>
  <c r="A353" i="57" s="1"/>
  <c r="B354" i="57"/>
  <c r="A354" i="57" s="1"/>
  <c r="B355" i="57"/>
  <c r="A355" i="57" s="1"/>
  <c r="B356" i="57"/>
  <c r="A356" i="57" s="1"/>
  <c r="A357" i="57"/>
  <c r="B357" i="57"/>
  <c r="B358" i="57"/>
  <c r="A358" i="57" s="1"/>
  <c r="B359" i="57"/>
  <c r="A359" i="57" s="1"/>
  <c r="A360" i="57"/>
  <c r="B360" i="57"/>
  <c r="B361" i="57"/>
  <c r="A361" i="57" s="1"/>
  <c r="B362" i="57"/>
  <c r="A362" i="57" s="1"/>
  <c r="B363" i="57"/>
  <c r="A363" i="57" s="1"/>
  <c r="B364" i="57"/>
  <c r="A364" i="57" s="1"/>
  <c r="A365" i="57"/>
  <c r="B365" i="57"/>
  <c r="B366" i="57"/>
  <c r="A366" i="57" s="1"/>
  <c r="B367" i="57"/>
  <c r="A367" i="57" s="1"/>
  <c r="B368" i="57"/>
  <c r="A368" i="57" s="1"/>
  <c r="B369" i="57"/>
  <c r="A369" i="57" s="1"/>
  <c r="B370" i="57"/>
  <c r="A370" i="57" s="1"/>
  <c r="B371" i="57"/>
  <c r="A371" i="57" s="1"/>
  <c r="A372" i="57"/>
  <c r="B372" i="57"/>
  <c r="B373" i="57"/>
  <c r="A373" i="57" s="1"/>
  <c r="B374" i="57"/>
  <c r="A374" i="57" s="1"/>
  <c r="B375" i="57"/>
  <c r="A375" i="57" s="1"/>
  <c r="A376" i="57"/>
  <c r="B376" i="57"/>
  <c r="A377" i="57"/>
  <c r="B377" i="57"/>
  <c r="B378" i="57"/>
  <c r="A378" i="57" s="1"/>
  <c r="B379" i="57"/>
  <c r="A379" i="57" s="1"/>
  <c r="B380" i="57"/>
  <c r="A380" i="57" s="1"/>
  <c r="A381" i="57"/>
  <c r="B381" i="57"/>
  <c r="B382" i="57"/>
  <c r="A382" i="57" s="1"/>
  <c r="B383" i="57"/>
  <c r="A383" i="57" s="1"/>
  <c r="B384" i="57"/>
  <c r="A384" i="57" s="1"/>
  <c r="B385" i="57"/>
  <c r="A385" i="57" s="1"/>
  <c r="B386" i="57"/>
  <c r="A386" i="57" s="1"/>
  <c r="B387" i="57"/>
  <c r="A387" i="57" s="1"/>
  <c r="A388" i="57"/>
  <c r="B388" i="57"/>
  <c r="B389" i="57"/>
  <c r="A389" i="57" s="1"/>
  <c r="B390" i="57"/>
  <c r="A390" i="57" s="1"/>
  <c r="B391" i="57"/>
  <c r="A391" i="57" s="1"/>
  <c r="B392" i="57"/>
  <c r="A392" i="57" s="1"/>
  <c r="B393" i="57"/>
  <c r="A393" i="57" s="1"/>
  <c r="B394" i="57"/>
  <c r="A394" i="57" s="1"/>
  <c r="B395" i="57"/>
  <c r="A395" i="57" s="1"/>
  <c r="B396" i="57"/>
  <c r="A396" i="57" s="1"/>
  <c r="A397" i="57"/>
  <c r="B397" i="57"/>
  <c r="B398" i="57"/>
  <c r="A398" i="57" s="1"/>
  <c r="B399" i="57"/>
  <c r="A399" i="57" s="1"/>
  <c r="B400" i="57"/>
  <c r="A400" i="57" s="1"/>
  <c r="B401" i="57"/>
  <c r="A401" i="57" s="1"/>
  <c r="B402" i="57"/>
  <c r="A402" i="57" s="1"/>
  <c r="B403" i="57"/>
  <c r="A403" i="57" s="1"/>
  <c r="B404" i="57"/>
  <c r="A404" i="57" s="1"/>
  <c r="B405" i="57"/>
  <c r="A405" i="57" s="1"/>
  <c r="B406" i="57"/>
  <c r="A406" i="57" s="1"/>
  <c r="B407" i="57"/>
  <c r="A407" i="57" s="1"/>
  <c r="B408" i="57"/>
  <c r="A408" i="57" s="1"/>
  <c r="B409" i="57"/>
  <c r="A409" i="57" s="1"/>
  <c r="B410" i="57"/>
  <c r="A410" i="57" s="1"/>
  <c r="B411" i="57"/>
  <c r="A411" i="57" s="1"/>
  <c r="A412" i="57"/>
  <c r="B412" i="57"/>
  <c r="B413" i="57"/>
  <c r="A413" i="57" s="1"/>
  <c r="B414" i="57"/>
  <c r="A414" i="57" s="1"/>
  <c r="B415" i="57"/>
  <c r="A415" i="57" s="1"/>
  <c r="B416" i="57"/>
  <c r="A416" i="57" s="1"/>
  <c r="B417" i="57"/>
  <c r="A417" i="57" s="1"/>
  <c r="B418" i="57"/>
  <c r="A418" i="57" s="1"/>
  <c r="B419" i="57"/>
  <c r="A419" i="57" s="1"/>
  <c r="B420" i="57"/>
  <c r="A420" i="57" s="1"/>
  <c r="B421" i="57"/>
  <c r="A421" i="57" s="1"/>
  <c r="B422" i="57"/>
  <c r="A422" i="57" s="1"/>
  <c r="B423" i="57"/>
  <c r="A423" i="57" s="1"/>
  <c r="B424" i="57"/>
  <c r="A424" i="57" s="1"/>
  <c r="B425" i="57"/>
  <c r="A425" i="57" s="1"/>
  <c r="B426" i="57"/>
  <c r="A426" i="57" s="1"/>
  <c r="B427" i="57"/>
  <c r="A427" i="57" s="1"/>
  <c r="B428" i="57"/>
  <c r="A428" i="57" s="1"/>
  <c r="B429" i="57"/>
  <c r="A429" i="57" s="1"/>
  <c r="B430" i="57"/>
  <c r="A430" i="57" s="1"/>
  <c r="B431" i="57"/>
  <c r="A431" i="57" s="1"/>
  <c r="B432" i="57"/>
  <c r="A432" i="57" s="1"/>
  <c r="A433" i="57"/>
  <c r="B433" i="57"/>
  <c r="B434" i="57"/>
  <c r="A434" i="57" s="1"/>
  <c r="B435" i="57"/>
  <c r="A435" i="57" s="1"/>
  <c r="B436" i="57"/>
  <c r="A436" i="57" s="1"/>
  <c r="B437" i="57"/>
  <c r="A437" i="57" s="1"/>
  <c r="B438" i="57"/>
  <c r="A438" i="57" s="1"/>
  <c r="B439" i="57"/>
  <c r="A439" i="57" s="1"/>
  <c r="B440" i="57"/>
  <c r="A440" i="57" s="1"/>
  <c r="B441" i="57"/>
  <c r="A441" i="57" s="1"/>
  <c r="B442" i="57"/>
  <c r="A442" i="57" s="1"/>
  <c r="B443" i="57"/>
  <c r="A443" i="57" s="1"/>
  <c r="B444" i="57"/>
  <c r="A444" i="57" s="1"/>
  <c r="B445" i="57"/>
  <c r="A445" i="57" s="1"/>
  <c r="B446" i="57"/>
  <c r="A446" i="57" s="1"/>
  <c r="B447" i="57"/>
  <c r="A447" i="57" s="1"/>
  <c r="B448" i="57"/>
  <c r="A448" i="57" s="1"/>
  <c r="B449" i="57"/>
  <c r="A449" i="57" s="1"/>
  <c r="B450" i="57"/>
  <c r="A450" i="57" s="1"/>
  <c r="B451" i="57"/>
  <c r="A451" i="57" s="1"/>
  <c r="B452" i="57"/>
  <c r="A452" i="57" s="1"/>
  <c r="B453" i="57"/>
  <c r="A453" i="57" s="1"/>
  <c r="B454" i="57"/>
  <c r="A454" i="57" s="1"/>
  <c r="B455" i="57"/>
  <c r="A455" i="57" s="1"/>
  <c r="B456" i="57"/>
  <c r="A456" i="57" s="1"/>
  <c r="B457" i="57"/>
  <c r="A457" i="57" s="1"/>
  <c r="B458" i="57"/>
  <c r="A458" i="57" s="1"/>
  <c r="A459" i="57"/>
  <c r="B459" i="57"/>
  <c r="B460" i="57"/>
  <c r="A460" i="57" s="1"/>
  <c r="B461" i="57"/>
  <c r="A461" i="57" s="1"/>
  <c r="B462" i="57"/>
  <c r="A462" i="57" s="1"/>
  <c r="B463" i="57"/>
  <c r="A463" i="57" s="1"/>
  <c r="B464" i="57"/>
  <c r="A464" i="57" s="1"/>
  <c r="B465" i="57"/>
  <c r="A465" i="57" s="1"/>
  <c r="B466" i="57"/>
  <c r="A466" i="57" s="1"/>
  <c r="B467" i="57"/>
  <c r="A467" i="57" s="1"/>
  <c r="B468" i="57"/>
  <c r="A468" i="57" s="1"/>
  <c r="B469" i="57"/>
  <c r="A469" i="57" s="1"/>
  <c r="B470" i="57"/>
  <c r="A470" i="57" s="1"/>
  <c r="B471" i="57"/>
  <c r="A471" i="57" s="1"/>
  <c r="B472" i="57"/>
  <c r="A472" i="57" s="1"/>
  <c r="B473" i="57"/>
  <c r="A473" i="57" s="1"/>
  <c r="B474" i="57"/>
  <c r="A474" i="57" s="1"/>
  <c r="B475" i="57"/>
  <c r="A475" i="57" s="1"/>
  <c r="B476" i="57"/>
  <c r="A476" i="57" s="1"/>
  <c r="B477" i="57"/>
  <c r="A477" i="57" s="1"/>
  <c r="B478" i="57"/>
  <c r="A478" i="57" s="1"/>
  <c r="B479" i="57"/>
  <c r="A479" i="57" s="1"/>
  <c r="B480" i="57"/>
  <c r="A480" i="57" s="1"/>
  <c r="B481" i="57"/>
  <c r="A481" i="57" s="1"/>
  <c r="B482" i="57"/>
  <c r="A482" i="57" s="1"/>
  <c r="B483" i="57"/>
  <c r="A483" i="57" s="1"/>
  <c r="B484" i="57"/>
  <c r="A484" i="57" s="1"/>
  <c r="B485" i="57"/>
  <c r="A485" i="57" s="1"/>
  <c r="B486" i="57"/>
  <c r="A486" i="57" s="1"/>
  <c r="A487" i="57"/>
  <c r="B487" i="57"/>
  <c r="B488" i="57"/>
  <c r="A488" i="57" s="1"/>
  <c r="B489" i="57"/>
  <c r="A489" i="57" s="1"/>
  <c r="B490" i="57"/>
  <c r="A490" i="57" s="1"/>
  <c r="B491" i="57"/>
  <c r="A491" i="57" s="1"/>
  <c r="B492" i="57"/>
  <c r="A492" i="57" s="1"/>
  <c r="B493" i="57"/>
  <c r="A493" i="57" s="1"/>
  <c r="B494" i="57"/>
  <c r="A494" i="57" s="1"/>
  <c r="B495" i="57"/>
  <c r="A495" i="57" s="1"/>
  <c r="B496" i="57"/>
  <c r="A496" i="57" s="1"/>
  <c r="B497" i="57"/>
  <c r="A497" i="57" s="1"/>
  <c r="B498" i="57"/>
  <c r="A498" i="57" s="1"/>
  <c r="B499" i="57"/>
  <c r="A499" i="57" s="1"/>
  <c r="B500" i="57"/>
  <c r="A500" i="57" s="1"/>
  <c r="B501" i="57"/>
  <c r="A501" i="57" s="1"/>
  <c r="B502" i="57"/>
  <c r="A502" i="57" s="1"/>
  <c r="A503" i="57"/>
  <c r="B503" i="57"/>
  <c r="B504" i="57"/>
  <c r="A504" i="57" s="1"/>
  <c r="B505" i="57"/>
  <c r="A505" i="57" s="1"/>
  <c r="B506" i="57"/>
  <c r="A506" i="57" s="1"/>
  <c r="B507" i="57"/>
  <c r="A507" i="57" s="1"/>
  <c r="B508" i="57"/>
  <c r="A508" i="57" s="1"/>
  <c r="B509" i="57"/>
  <c r="A509" i="57" s="1"/>
  <c r="B510" i="57"/>
  <c r="A510" i="57" s="1"/>
  <c r="B511" i="57"/>
  <c r="A511" i="57" s="1"/>
  <c r="B512" i="57"/>
  <c r="A512" i="57" s="1"/>
  <c r="A513" i="57"/>
  <c r="B513" i="57"/>
  <c r="B514" i="57"/>
  <c r="A514" i="57" s="1"/>
  <c r="B515" i="57"/>
  <c r="A515" i="57" s="1"/>
  <c r="B516" i="57"/>
  <c r="A516" i="57" s="1"/>
  <c r="B517" i="57"/>
  <c r="A517" i="57" s="1"/>
  <c r="B518" i="57"/>
  <c r="A518" i="57" s="1"/>
  <c r="B519" i="57"/>
  <c r="A519" i="57" s="1"/>
  <c r="A520" i="57"/>
  <c r="B520" i="57"/>
  <c r="B521" i="57"/>
  <c r="A521" i="57" s="1"/>
  <c r="B522" i="57"/>
  <c r="A522" i="57" s="1"/>
  <c r="B523" i="57"/>
  <c r="A523" i="57" s="1"/>
  <c r="B524" i="57"/>
  <c r="A524" i="57" s="1"/>
  <c r="B525" i="57"/>
  <c r="A525" i="57" s="1"/>
  <c r="B526" i="57"/>
  <c r="A526" i="57" s="1"/>
  <c r="B527" i="57"/>
  <c r="A527" i="57" s="1"/>
  <c r="B528" i="57"/>
  <c r="A528" i="57" s="1"/>
  <c r="B529" i="57"/>
  <c r="A529" i="57" s="1"/>
  <c r="B530" i="57"/>
  <c r="A530" i="57" s="1"/>
  <c r="B531" i="57"/>
  <c r="A531" i="57" s="1"/>
  <c r="A532" i="57"/>
  <c r="B532" i="57"/>
  <c r="B533" i="57"/>
  <c r="A533" i="57" s="1"/>
  <c r="B534" i="57"/>
  <c r="A534" i="57" s="1"/>
  <c r="B535" i="57"/>
  <c r="A535" i="57" s="1"/>
  <c r="B536" i="57"/>
  <c r="A536" i="57" s="1"/>
  <c r="A537" i="57"/>
  <c r="B537" i="57"/>
  <c r="B538" i="57"/>
  <c r="A538" i="57" s="1"/>
  <c r="B539" i="57"/>
  <c r="A539" i="57" s="1"/>
  <c r="B540" i="57"/>
  <c r="A540" i="57" s="1"/>
  <c r="B541" i="57"/>
  <c r="A541" i="57" s="1"/>
  <c r="B542" i="57"/>
  <c r="A542" i="57" s="1"/>
  <c r="A543" i="57"/>
  <c r="B543" i="57"/>
  <c r="B544" i="57"/>
  <c r="A544" i="57" s="1"/>
  <c r="B545" i="57"/>
  <c r="A545" i="57" s="1"/>
  <c r="B546" i="57"/>
  <c r="A546" i="57" s="1"/>
  <c r="B547" i="57"/>
  <c r="A547" i="57" s="1"/>
  <c r="B548" i="57"/>
  <c r="A548" i="57" s="1"/>
  <c r="B549" i="57"/>
  <c r="A549" i="57" s="1"/>
  <c r="B550" i="57"/>
  <c r="A550" i="57" s="1"/>
  <c r="A551" i="57"/>
  <c r="B551" i="57"/>
  <c r="B552" i="57"/>
  <c r="A552" i="57" s="1"/>
  <c r="B553" i="57"/>
  <c r="A553" i="57" s="1"/>
  <c r="B554" i="57"/>
  <c r="A554" i="57" s="1"/>
  <c r="B555" i="57"/>
  <c r="A555" i="57" s="1"/>
  <c r="B556" i="57"/>
  <c r="A556" i="57" s="1"/>
  <c r="B557" i="57"/>
  <c r="A557" i="57" s="1"/>
  <c r="B558" i="57"/>
  <c r="A558" i="57" s="1"/>
  <c r="B559" i="57"/>
  <c r="A559" i="57" s="1"/>
  <c r="B560" i="57"/>
  <c r="A560" i="57" s="1"/>
  <c r="A561" i="57"/>
  <c r="B561" i="57"/>
  <c r="B562" i="57"/>
  <c r="A562" i="57" s="1"/>
  <c r="B563" i="57"/>
  <c r="A563" i="57" s="1"/>
  <c r="B564" i="57"/>
  <c r="A564" i="57" s="1"/>
  <c r="B565" i="57"/>
  <c r="A565" i="57" s="1"/>
  <c r="B566" i="57"/>
  <c r="A566" i="57" s="1"/>
  <c r="A567" i="57"/>
  <c r="B567" i="57"/>
  <c r="B568" i="57"/>
  <c r="A568" i="57" s="1"/>
  <c r="B569" i="57"/>
  <c r="A569" i="57" s="1"/>
  <c r="B570" i="57"/>
  <c r="A570" i="57" s="1"/>
  <c r="B571" i="57"/>
  <c r="A571" i="57" s="1"/>
  <c r="B572" i="57"/>
  <c r="A572" i="57" s="1"/>
  <c r="B573" i="57"/>
  <c r="A573" i="57" s="1"/>
  <c r="B574" i="57"/>
  <c r="A574" i="57" s="1"/>
  <c r="B575" i="57"/>
  <c r="A575" i="57" s="1"/>
  <c r="B576" i="57"/>
  <c r="A576" i="57" s="1"/>
  <c r="B577" i="57"/>
  <c r="A577" i="57" s="1"/>
  <c r="B578" i="57"/>
  <c r="A578" i="57" s="1"/>
  <c r="B579" i="57"/>
  <c r="A579" i="57" s="1"/>
  <c r="B580" i="57"/>
  <c r="A580" i="57" s="1"/>
  <c r="B581" i="57"/>
  <c r="A581" i="57" s="1"/>
  <c r="B582" i="57"/>
  <c r="A582" i="57" s="1"/>
  <c r="B583" i="57"/>
  <c r="A583" i="57" s="1"/>
  <c r="B584" i="57"/>
  <c r="A584" i="57" s="1"/>
  <c r="A585" i="57"/>
  <c r="B585" i="57"/>
  <c r="B586" i="57"/>
  <c r="A586" i="57" s="1"/>
  <c r="B587" i="57"/>
  <c r="A587" i="57" s="1"/>
  <c r="B588" i="57"/>
  <c r="A588" i="57" s="1"/>
  <c r="B589" i="57"/>
  <c r="A589" i="57" s="1"/>
  <c r="B590" i="57"/>
  <c r="A590" i="57" s="1"/>
  <c r="B591" i="57"/>
  <c r="A591" i="57" s="1"/>
  <c r="A592" i="57"/>
  <c r="B592" i="57"/>
  <c r="B593" i="57"/>
  <c r="A593" i="57" s="1"/>
  <c r="B594" i="57"/>
  <c r="A594" i="57" s="1"/>
  <c r="B595" i="57"/>
  <c r="A595" i="57" s="1"/>
  <c r="B596" i="57"/>
  <c r="A596" i="57" s="1"/>
  <c r="B597" i="57"/>
  <c r="A597" i="57" s="1"/>
  <c r="B598" i="57"/>
  <c r="A598" i="57" s="1"/>
  <c r="B599" i="57"/>
  <c r="A599" i="57" s="1"/>
  <c r="B600" i="57"/>
  <c r="A600" i="57" s="1"/>
  <c r="A601" i="57"/>
  <c r="B601" i="57"/>
  <c r="B602" i="57"/>
  <c r="A602" i="57" s="1"/>
  <c r="B603" i="57"/>
  <c r="A603" i="57" s="1"/>
  <c r="B604" i="57"/>
  <c r="A604" i="57" s="1"/>
  <c r="A605" i="57"/>
  <c r="B605" i="57"/>
  <c r="B606" i="57"/>
  <c r="A606" i="57" s="1"/>
  <c r="A607" i="57"/>
  <c r="B607" i="57"/>
  <c r="B608" i="57"/>
  <c r="A608" i="57" s="1"/>
  <c r="B609" i="57"/>
  <c r="A609" i="57" s="1"/>
  <c r="B610" i="57"/>
  <c r="A610" i="57" s="1"/>
  <c r="B611" i="57"/>
  <c r="A611" i="57" s="1"/>
  <c r="B612" i="57"/>
  <c r="A612" i="57" s="1"/>
  <c r="B613" i="57"/>
  <c r="A613" i="57" s="1"/>
  <c r="B614" i="57"/>
  <c r="A614" i="57" s="1"/>
  <c r="B615" i="57"/>
  <c r="A615" i="57" s="1"/>
  <c r="B616" i="57"/>
  <c r="A616" i="57" s="1"/>
  <c r="A617" i="57"/>
  <c r="B617" i="57"/>
  <c r="B618" i="57"/>
  <c r="A618" i="57" s="1"/>
  <c r="A619" i="57"/>
  <c r="B619" i="57"/>
  <c r="B620" i="57"/>
  <c r="A620" i="57" s="1"/>
  <c r="B621" i="57"/>
  <c r="A621" i="57" s="1"/>
  <c r="B622" i="57"/>
  <c r="A622" i="57" s="1"/>
  <c r="A623" i="57"/>
  <c r="B623" i="57"/>
  <c r="B624" i="57"/>
  <c r="A624" i="57" s="1"/>
  <c r="B625" i="57"/>
  <c r="A625" i="57" s="1"/>
  <c r="B626" i="57"/>
  <c r="A626" i="57" s="1"/>
  <c r="B627" i="57"/>
  <c r="A627" i="57" s="1"/>
  <c r="B628" i="57"/>
  <c r="A628" i="57" s="1"/>
  <c r="B629" i="57"/>
  <c r="A629" i="57" s="1"/>
  <c r="B630" i="57"/>
  <c r="A630" i="57" s="1"/>
  <c r="B631" i="57"/>
  <c r="A631" i="57" s="1"/>
  <c r="A632" i="57"/>
  <c r="B632" i="57"/>
  <c r="B633" i="57"/>
  <c r="A633" i="57" s="1"/>
  <c r="B634" i="57"/>
  <c r="A634" i="57" s="1"/>
  <c r="B635" i="57"/>
  <c r="A635" i="57" s="1"/>
  <c r="B636" i="57"/>
  <c r="A636" i="57" s="1"/>
  <c r="B637" i="57"/>
  <c r="A637" i="57" s="1"/>
  <c r="B638" i="57"/>
  <c r="A638" i="57" s="1"/>
  <c r="B639" i="57"/>
  <c r="A639" i="57" s="1"/>
  <c r="B640" i="57"/>
  <c r="A640" i="57" s="1"/>
  <c r="B641" i="57"/>
  <c r="A641" i="57" s="1"/>
  <c r="B642" i="57"/>
  <c r="A642" i="57" s="1"/>
  <c r="B643" i="57"/>
  <c r="A643" i="57" s="1"/>
  <c r="B644" i="57"/>
  <c r="A644" i="57" s="1"/>
  <c r="B645" i="57"/>
  <c r="A645" i="57" s="1"/>
  <c r="B646" i="57"/>
  <c r="A646" i="57" s="1"/>
  <c r="B647" i="57"/>
  <c r="A647" i="57" s="1"/>
  <c r="B648" i="57"/>
  <c r="A648" i="57" s="1"/>
  <c r="B649" i="57"/>
  <c r="A649" i="57" s="1"/>
  <c r="B650" i="57"/>
  <c r="A650" i="57" s="1"/>
  <c r="B651" i="57"/>
  <c r="A651" i="57" s="1"/>
  <c r="B652" i="57"/>
  <c r="A652" i="57" s="1"/>
  <c r="B653" i="57"/>
  <c r="A653" i="57" s="1"/>
  <c r="B654" i="57"/>
  <c r="A654" i="57" s="1"/>
  <c r="B655" i="57"/>
  <c r="A655" i="57" s="1"/>
  <c r="A656" i="57"/>
  <c r="B656" i="57"/>
  <c r="B657" i="57"/>
  <c r="A657" i="57" s="1"/>
  <c r="B658" i="57"/>
  <c r="A658" i="57" s="1"/>
  <c r="B659" i="57"/>
  <c r="A659" i="57" s="1"/>
  <c r="B660" i="57"/>
  <c r="A660" i="57" s="1"/>
  <c r="B661" i="57"/>
  <c r="A661" i="57" s="1"/>
  <c r="B662" i="57"/>
  <c r="A662" i="57" s="1"/>
  <c r="A663" i="57"/>
  <c r="B663" i="57"/>
  <c r="B664" i="57"/>
  <c r="A664" i="57" s="1"/>
  <c r="B665" i="57"/>
  <c r="A665" i="57" s="1"/>
  <c r="B666" i="57"/>
  <c r="A666" i="57" s="1"/>
  <c r="B667" i="57"/>
  <c r="A667" i="57" s="1"/>
  <c r="B668" i="57"/>
  <c r="A668" i="57" s="1"/>
  <c r="B669" i="57"/>
  <c r="A669" i="57" s="1"/>
  <c r="B670" i="57"/>
  <c r="A670" i="57" s="1"/>
  <c r="B671" i="57"/>
  <c r="A671" i="57" s="1"/>
  <c r="A672" i="57"/>
  <c r="B672" i="57"/>
  <c r="B673" i="57"/>
  <c r="A673" i="57" s="1"/>
  <c r="B674" i="57"/>
  <c r="A674" i="57" s="1"/>
  <c r="B675" i="57"/>
  <c r="A675" i="57" s="1"/>
  <c r="A676" i="57"/>
  <c r="B676" i="57"/>
  <c r="A677" i="57"/>
  <c r="B677" i="57"/>
  <c r="B678" i="57"/>
  <c r="A678" i="57" s="1"/>
  <c r="B679" i="57"/>
  <c r="A679" i="57" s="1"/>
  <c r="B680" i="57"/>
  <c r="A680" i="57" s="1"/>
  <c r="A681" i="57"/>
  <c r="B681" i="57"/>
  <c r="B682" i="57"/>
  <c r="A682" i="57" s="1"/>
  <c r="B683" i="57"/>
  <c r="A683" i="57" s="1"/>
  <c r="B684" i="57"/>
  <c r="A684" i="57" s="1"/>
  <c r="B685" i="57"/>
  <c r="A685" i="57" s="1"/>
  <c r="B686" i="57"/>
  <c r="A686" i="57" s="1"/>
  <c r="B687" i="57"/>
  <c r="A687" i="57" s="1"/>
  <c r="A688" i="57"/>
  <c r="B688" i="57"/>
  <c r="B689" i="57"/>
  <c r="A689" i="57" s="1"/>
  <c r="B690" i="57"/>
  <c r="A690" i="57" s="1"/>
  <c r="B691" i="57"/>
  <c r="A691" i="57" s="1"/>
  <c r="A692" i="57"/>
  <c r="B692" i="57"/>
  <c r="B693" i="57"/>
  <c r="A693" i="57" s="1"/>
  <c r="B694" i="57"/>
  <c r="A694" i="57" s="1"/>
  <c r="B695" i="57"/>
  <c r="A695" i="57" s="1"/>
  <c r="B696" i="57"/>
  <c r="A696" i="57" s="1"/>
  <c r="B697" i="57"/>
  <c r="A697" i="57" s="1"/>
  <c r="B698" i="57"/>
  <c r="A698" i="57" s="1"/>
  <c r="B699" i="57"/>
  <c r="A699" i="57" s="1"/>
  <c r="B700" i="57"/>
  <c r="A700" i="57" s="1"/>
  <c r="B701" i="57"/>
  <c r="A701" i="57" s="1"/>
  <c r="B702" i="57"/>
  <c r="A702" i="57" s="1"/>
  <c r="B703" i="57"/>
  <c r="A703" i="57" s="1"/>
  <c r="B704" i="57"/>
  <c r="A704" i="57" s="1"/>
  <c r="B705" i="57"/>
  <c r="A705" i="57" s="1"/>
  <c r="B706" i="57"/>
  <c r="A706" i="57" s="1"/>
  <c r="B707" i="57"/>
  <c r="A707" i="57" s="1"/>
  <c r="B708" i="57"/>
  <c r="A708" i="57" s="1"/>
  <c r="B709" i="57"/>
  <c r="A709" i="57" s="1"/>
  <c r="B710" i="57"/>
  <c r="A710" i="57" s="1"/>
  <c r="B711" i="57"/>
  <c r="A711" i="57" s="1"/>
  <c r="B712" i="57"/>
  <c r="A712" i="57" s="1"/>
  <c r="B713" i="57"/>
  <c r="A713" i="57" s="1"/>
  <c r="B714" i="57"/>
  <c r="A714" i="57" s="1"/>
  <c r="B715" i="57"/>
  <c r="A715" i="57" s="1"/>
  <c r="B716" i="57"/>
  <c r="A716" i="57" s="1"/>
  <c r="B717" i="57"/>
  <c r="A717" i="57" s="1"/>
  <c r="B718" i="57"/>
  <c r="A718" i="57" s="1"/>
  <c r="B719" i="57"/>
  <c r="A719" i="57" s="1"/>
  <c r="B720" i="57"/>
  <c r="A720" i="57" s="1"/>
  <c r="B721" i="57"/>
  <c r="A721" i="57" s="1"/>
  <c r="B722" i="57"/>
  <c r="A722" i="57" s="1"/>
  <c r="B723" i="57"/>
  <c r="A723" i="57" s="1"/>
  <c r="B724" i="57"/>
  <c r="A724" i="57" s="1"/>
  <c r="B725" i="57"/>
  <c r="A725" i="57" s="1"/>
  <c r="B726" i="57"/>
  <c r="A726" i="57" s="1"/>
  <c r="B727" i="57"/>
  <c r="A727" i="57" s="1"/>
  <c r="B728" i="57"/>
  <c r="A728" i="57" s="1"/>
  <c r="B729" i="57"/>
  <c r="A729" i="57" s="1"/>
  <c r="B730" i="57"/>
  <c r="A730" i="57" s="1"/>
  <c r="B731" i="57"/>
  <c r="A731" i="57" s="1"/>
  <c r="B732" i="57"/>
  <c r="A732" i="57" s="1"/>
  <c r="B733" i="57"/>
  <c r="A733" i="57" s="1"/>
  <c r="B734" i="57"/>
  <c r="A734" i="57" s="1"/>
  <c r="B735" i="57"/>
  <c r="A735" i="57" s="1"/>
  <c r="B736" i="57"/>
  <c r="A736" i="57" s="1"/>
  <c r="B737" i="57"/>
  <c r="A737" i="57" s="1"/>
  <c r="B738" i="57"/>
  <c r="A738" i="57" s="1"/>
  <c r="B739" i="57"/>
  <c r="A739" i="57" s="1"/>
  <c r="A740" i="57"/>
  <c r="B740" i="57"/>
  <c r="A741" i="57"/>
  <c r="B741" i="57"/>
  <c r="B742" i="57"/>
  <c r="A742" i="57" s="1"/>
  <c r="B743" i="57"/>
  <c r="A743" i="57" s="1"/>
  <c r="B744" i="57"/>
  <c r="A744" i="57" s="1"/>
  <c r="B745" i="57"/>
  <c r="A745" i="57" s="1"/>
  <c r="B746" i="57"/>
  <c r="A746" i="57" s="1"/>
  <c r="B747" i="57"/>
  <c r="A747" i="57" s="1"/>
  <c r="B748" i="57"/>
  <c r="A748" i="57" s="1"/>
  <c r="B749" i="57"/>
  <c r="A749" i="57" s="1"/>
  <c r="B750" i="57"/>
  <c r="A750" i="57" s="1"/>
  <c r="B751" i="57"/>
  <c r="A751" i="57" s="1"/>
  <c r="B752" i="57"/>
  <c r="A752" i="57" s="1"/>
  <c r="B753" i="57"/>
  <c r="A753" i="57" s="1"/>
  <c r="B754" i="57"/>
  <c r="A754" i="57" s="1"/>
  <c r="B755" i="57"/>
  <c r="A755" i="57" s="1"/>
  <c r="B756" i="57"/>
  <c r="A756" i="57" s="1"/>
  <c r="A757" i="57"/>
  <c r="B757" i="57"/>
  <c r="A758" i="57"/>
  <c r="B758" i="57"/>
  <c r="B759" i="57"/>
  <c r="A759" i="57" s="1"/>
  <c r="B760" i="57"/>
  <c r="A760" i="57" s="1"/>
  <c r="B761" i="57"/>
  <c r="A761" i="57" s="1"/>
  <c r="B762" i="57"/>
  <c r="A762" i="57" s="1"/>
  <c r="B763" i="57"/>
  <c r="A763" i="57" s="1"/>
  <c r="B764" i="57"/>
  <c r="A764" i="57" s="1"/>
  <c r="B765" i="57"/>
  <c r="A765" i="57" s="1"/>
  <c r="B766" i="57"/>
  <c r="A766" i="57" s="1"/>
  <c r="B767" i="57"/>
  <c r="A767" i="57" s="1"/>
  <c r="B768" i="57"/>
  <c r="A768" i="57" s="1"/>
  <c r="B769" i="57"/>
  <c r="A769" i="57" s="1"/>
  <c r="B770" i="57"/>
  <c r="A770" i="57" s="1"/>
  <c r="B771" i="57"/>
  <c r="A771" i="57" s="1"/>
  <c r="A772" i="57"/>
  <c r="B772" i="57"/>
  <c r="B773" i="57"/>
  <c r="A773" i="57" s="1"/>
  <c r="B774" i="57"/>
  <c r="A774" i="57" s="1"/>
  <c r="B775" i="57"/>
  <c r="A775" i="57" s="1"/>
  <c r="B776" i="57"/>
  <c r="A776" i="57" s="1"/>
  <c r="B777" i="57"/>
  <c r="A777" i="57" s="1"/>
  <c r="B778" i="57"/>
  <c r="A778" i="57" s="1"/>
  <c r="B779" i="57"/>
  <c r="A779" i="57" s="1"/>
  <c r="B780" i="57"/>
  <c r="A780" i="57" s="1"/>
  <c r="B781" i="57"/>
  <c r="A781" i="57" s="1"/>
  <c r="B782" i="57"/>
  <c r="A782" i="57" s="1"/>
  <c r="B783" i="57"/>
  <c r="A783" i="57" s="1"/>
  <c r="B784" i="57"/>
  <c r="A784" i="57" s="1"/>
  <c r="B785" i="57"/>
  <c r="A785" i="57" s="1"/>
  <c r="B786" i="57"/>
  <c r="A786" i="57" s="1"/>
  <c r="B787" i="57"/>
  <c r="A787" i="57" s="1"/>
  <c r="A788" i="57"/>
  <c r="B788" i="57"/>
  <c r="B789" i="57"/>
  <c r="A789" i="57" s="1"/>
  <c r="B790" i="57"/>
  <c r="A790" i="57" s="1"/>
  <c r="B791" i="57"/>
  <c r="A791" i="57" s="1"/>
  <c r="B792" i="57"/>
  <c r="A792" i="57" s="1"/>
  <c r="A793" i="57"/>
  <c r="B793" i="57"/>
  <c r="B794" i="57"/>
  <c r="A794" i="57" s="1"/>
  <c r="B795" i="57"/>
  <c r="A795" i="57" s="1"/>
  <c r="B796" i="57"/>
  <c r="A796" i="57" s="1"/>
  <c r="B797" i="57"/>
  <c r="A797" i="57" s="1"/>
  <c r="B798" i="57"/>
  <c r="A798" i="57" s="1"/>
  <c r="B799" i="57"/>
  <c r="A799" i="57" s="1"/>
  <c r="A800" i="57"/>
  <c r="B800" i="57"/>
  <c r="B801" i="57"/>
  <c r="A801" i="57" s="1"/>
  <c r="B802" i="57"/>
  <c r="A802" i="57" s="1"/>
  <c r="B803" i="57"/>
  <c r="A803" i="57" s="1"/>
  <c r="A804" i="57"/>
  <c r="B804" i="57"/>
  <c r="A805" i="57"/>
  <c r="B805" i="57"/>
  <c r="B806" i="57"/>
  <c r="A806" i="57" s="1"/>
  <c r="B807" i="57"/>
  <c r="A807" i="57" s="1"/>
  <c r="B808" i="57"/>
  <c r="A808" i="57" s="1"/>
  <c r="B809" i="57"/>
  <c r="A809" i="57" s="1"/>
  <c r="B810" i="57"/>
  <c r="A810" i="57" s="1"/>
  <c r="B811" i="57"/>
  <c r="A811" i="57" s="1"/>
  <c r="B812" i="57"/>
  <c r="A812" i="57" s="1"/>
  <c r="B813" i="57"/>
  <c r="A813" i="57" s="1"/>
  <c r="B814" i="57"/>
  <c r="A814" i="57" s="1"/>
  <c r="B815" i="57"/>
  <c r="A815" i="57" s="1"/>
  <c r="A816" i="57"/>
  <c r="B816" i="57"/>
  <c r="A817" i="57"/>
  <c r="B817" i="57"/>
  <c r="B818" i="57"/>
  <c r="A818" i="57" s="1"/>
  <c r="B819" i="57"/>
  <c r="A819" i="57" s="1"/>
  <c r="B820" i="57"/>
  <c r="A820" i="57" s="1"/>
  <c r="A821" i="57"/>
  <c r="B821" i="57"/>
  <c r="B822" i="57"/>
  <c r="A822" i="57" s="1"/>
  <c r="B823" i="57"/>
  <c r="A823" i="57" s="1"/>
  <c r="B824" i="57"/>
  <c r="A824" i="57" s="1"/>
  <c r="B825" i="57"/>
  <c r="A825" i="57" s="1"/>
  <c r="B826" i="57"/>
  <c r="A826" i="57" s="1"/>
  <c r="B827" i="57"/>
  <c r="A827" i="57" s="1"/>
  <c r="A828" i="57"/>
  <c r="B828" i="57"/>
  <c r="B829" i="57"/>
  <c r="A829" i="57" s="1"/>
  <c r="B830" i="57"/>
  <c r="A830" i="57" s="1"/>
  <c r="B831" i="57"/>
  <c r="A831" i="57" s="1"/>
  <c r="B832" i="57"/>
  <c r="A832" i="57" s="1"/>
  <c r="A833" i="57"/>
  <c r="B833" i="57"/>
  <c r="B834" i="57"/>
  <c r="A834" i="57" s="1"/>
  <c r="B835" i="57"/>
  <c r="A835" i="57" s="1"/>
  <c r="A836" i="57"/>
  <c r="B836" i="57"/>
  <c r="B837" i="57"/>
  <c r="A837" i="57" s="1"/>
  <c r="B838" i="57"/>
  <c r="A838" i="57" s="1"/>
  <c r="B839" i="57"/>
  <c r="A839" i="57" s="1"/>
  <c r="B840" i="57"/>
  <c r="A840" i="57" s="1"/>
  <c r="B841" i="57"/>
  <c r="A841" i="57" s="1"/>
  <c r="B842" i="57"/>
  <c r="A842" i="57" s="1"/>
  <c r="B843" i="57"/>
  <c r="A843" i="57" s="1"/>
  <c r="B844" i="57"/>
  <c r="A844" i="57" s="1"/>
  <c r="B845" i="57"/>
  <c r="A845" i="57" s="1"/>
  <c r="B846" i="57"/>
  <c r="A846" i="57" s="1"/>
  <c r="B847" i="57"/>
  <c r="A847" i="57" s="1"/>
  <c r="A848" i="57"/>
  <c r="B848" i="57"/>
  <c r="B849" i="57"/>
  <c r="A849" i="57" s="1"/>
  <c r="B850" i="57"/>
  <c r="A850" i="57" s="1"/>
  <c r="B851" i="57"/>
  <c r="A851" i="57" s="1"/>
  <c r="A852" i="57"/>
  <c r="B852" i="57"/>
  <c r="A853" i="57"/>
  <c r="B853" i="57"/>
  <c r="B854" i="57"/>
  <c r="A854" i="57" s="1"/>
  <c r="B855" i="57"/>
  <c r="A855" i="57" s="1"/>
  <c r="B856" i="57"/>
  <c r="A856" i="57" s="1"/>
  <c r="A857" i="57"/>
  <c r="B857" i="57"/>
  <c r="B858" i="57"/>
  <c r="A858" i="57" s="1"/>
  <c r="B859" i="57"/>
  <c r="A859" i="57" s="1"/>
  <c r="B860" i="57"/>
  <c r="A860" i="57" s="1"/>
  <c r="B861" i="57"/>
  <c r="A861" i="57" s="1"/>
  <c r="B862" i="57"/>
  <c r="A862" i="57" s="1"/>
  <c r="B863" i="57"/>
  <c r="A863" i="57" s="1"/>
  <c r="A864" i="57"/>
  <c r="B864" i="57"/>
  <c r="A865" i="57"/>
  <c r="B865" i="57"/>
  <c r="B866" i="57"/>
  <c r="A866" i="57" s="1"/>
  <c r="B867" i="57"/>
  <c r="A867" i="57" s="1"/>
  <c r="A868" i="57"/>
  <c r="B868" i="57"/>
  <c r="A869" i="57"/>
  <c r="B869" i="57"/>
  <c r="B870" i="57"/>
  <c r="A870" i="57" s="1"/>
  <c r="B871" i="57"/>
  <c r="A871" i="57" s="1"/>
  <c r="B872" i="57"/>
  <c r="A872" i="57" s="1"/>
  <c r="B873" i="57"/>
  <c r="A873" i="57" s="1"/>
  <c r="B874" i="57"/>
  <c r="A874" i="57" s="1"/>
  <c r="B875" i="57"/>
  <c r="A875" i="57" s="1"/>
  <c r="B876" i="57"/>
  <c r="A876" i="57" s="1"/>
  <c r="B877" i="57"/>
  <c r="A877" i="57" s="1"/>
  <c r="B878" i="57"/>
  <c r="A878" i="57" s="1"/>
  <c r="B879" i="57"/>
  <c r="A879" i="57" s="1"/>
  <c r="A880" i="57"/>
  <c r="B880" i="57"/>
  <c r="A881" i="57"/>
  <c r="B881" i="57"/>
  <c r="B882" i="57"/>
  <c r="A882" i="57" s="1"/>
  <c r="B883" i="57"/>
  <c r="A883" i="57" s="1"/>
  <c r="B884" i="57"/>
  <c r="A884" i="57" s="1"/>
  <c r="A885" i="57"/>
  <c r="B885" i="57"/>
  <c r="B886" i="57"/>
  <c r="A886" i="57" s="1"/>
  <c r="B887" i="57"/>
  <c r="A887" i="57" s="1"/>
  <c r="B888" i="57"/>
  <c r="A888" i="57" s="1"/>
  <c r="B889" i="57"/>
  <c r="A889" i="57" s="1"/>
  <c r="B890" i="57"/>
  <c r="A890" i="57" s="1"/>
  <c r="B891" i="57"/>
  <c r="A891" i="57" s="1"/>
  <c r="B892" i="57"/>
  <c r="A892" i="57" s="1"/>
  <c r="B893" i="57"/>
  <c r="A893" i="57" s="1"/>
  <c r="B894" i="57"/>
  <c r="A894" i="57" s="1"/>
  <c r="B895" i="57"/>
  <c r="A895" i="57" s="1"/>
  <c r="B896" i="57"/>
  <c r="A896" i="57" s="1"/>
  <c r="B897" i="57"/>
  <c r="A897" i="57" s="1"/>
  <c r="B898" i="57"/>
  <c r="A898" i="57" s="1"/>
  <c r="B899" i="57"/>
  <c r="A899" i="57" s="1"/>
  <c r="A900" i="57"/>
  <c r="B900" i="57"/>
  <c r="A901" i="57"/>
  <c r="B901" i="57"/>
  <c r="B902" i="57"/>
  <c r="A902" i="57" s="1"/>
  <c r="B903" i="57"/>
  <c r="A903" i="57" s="1"/>
  <c r="B904" i="57"/>
  <c r="A904" i="57" s="1"/>
  <c r="A905" i="57"/>
  <c r="B905" i="57"/>
  <c r="B906" i="57"/>
  <c r="A906" i="57" s="1"/>
  <c r="B907" i="57"/>
  <c r="A907" i="57" s="1"/>
  <c r="B908" i="57"/>
  <c r="A908" i="57" s="1"/>
  <c r="B909" i="57"/>
  <c r="A909" i="57" s="1"/>
  <c r="B910" i="57"/>
  <c r="A910" i="57" s="1"/>
  <c r="B911" i="57"/>
  <c r="A911" i="57" s="1"/>
  <c r="A912" i="57"/>
  <c r="B912" i="57"/>
  <c r="B913" i="57"/>
  <c r="A913" i="57" s="1"/>
  <c r="B914" i="57"/>
  <c r="A914" i="57" s="1"/>
  <c r="B915" i="57"/>
  <c r="A915" i="57" s="1"/>
  <c r="B916" i="57"/>
  <c r="A916" i="57" s="1"/>
  <c r="A917" i="57"/>
  <c r="B917" i="57"/>
  <c r="B918" i="57"/>
  <c r="A918" i="57" s="1"/>
  <c r="B919" i="57"/>
  <c r="A919" i="57" s="1"/>
  <c r="B920" i="57"/>
  <c r="A920" i="57" s="1"/>
  <c r="B921" i="57"/>
  <c r="A921" i="57" s="1"/>
  <c r="B922" i="57"/>
  <c r="A922" i="57" s="1"/>
  <c r="B923" i="57"/>
  <c r="A923" i="57" s="1"/>
  <c r="B924" i="57"/>
  <c r="A924" i="57" s="1"/>
  <c r="B925" i="57"/>
  <c r="A925" i="57" s="1"/>
  <c r="B926" i="57"/>
  <c r="A926" i="57" s="1"/>
  <c r="B927" i="57"/>
  <c r="A927" i="57" s="1"/>
  <c r="B928" i="57"/>
  <c r="A928" i="57" s="1"/>
  <c r="B929" i="57"/>
  <c r="A929" i="57" s="1"/>
  <c r="B930" i="57"/>
  <c r="A930" i="57" s="1"/>
  <c r="B931" i="57"/>
  <c r="A931" i="57" s="1"/>
  <c r="A932" i="57"/>
  <c r="B932" i="57"/>
  <c r="A933" i="57"/>
  <c r="B933" i="57"/>
  <c r="B934" i="57"/>
  <c r="A934" i="57" s="1"/>
  <c r="B935" i="57"/>
  <c r="A935" i="57" s="1"/>
  <c r="B936" i="57"/>
  <c r="A936" i="57" s="1"/>
  <c r="A937" i="57"/>
  <c r="B937" i="57"/>
  <c r="B938" i="57"/>
  <c r="A938" i="57" s="1"/>
  <c r="B939" i="57"/>
  <c r="A939" i="57" s="1"/>
  <c r="B940" i="57"/>
  <c r="A940" i="57" s="1"/>
  <c r="B941" i="57"/>
  <c r="A941" i="57" s="1"/>
  <c r="B942" i="57"/>
  <c r="A942" i="57" s="1"/>
  <c r="B943" i="57"/>
  <c r="A943" i="57" s="1"/>
  <c r="B944" i="57"/>
  <c r="A944" i="57" s="1"/>
  <c r="B945" i="57"/>
  <c r="A945" i="57" s="1"/>
  <c r="B946" i="57"/>
  <c r="A946" i="57" s="1"/>
  <c r="B947" i="57"/>
  <c r="A947" i="57" s="1"/>
  <c r="B948" i="57"/>
  <c r="A948" i="57" s="1"/>
  <c r="A949" i="57"/>
  <c r="B949" i="57"/>
  <c r="B950" i="57"/>
  <c r="A950" i="57" s="1"/>
  <c r="B951" i="57"/>
  <c r="A951" i="57" s="1"/>
  <c r="B952" i="57"/>
  <c r="A952" i="57" s="1"/>
  <c r="B953" i="57"/>
  <c r="A953" i="57" s="1"/>
  <c r="B954" i="57"/>
  <c r="A954" i="57" s="1"/>
  <c r="B955" i="57"/>
  <c r="A955" i="57" s="1"/>
  <c r="B956" i="57"/>
  <c r="A956" i="57" s="1"/>
  <c r="B957" i="57"/>
  <c r="A957" i="57" s="1"/>
  <c r="B958" i="57"/>
  <c r="A958" i="57" s="1"/>
  <c r="B959" i="57"/>
  <c r="A959" i="57" s="1"/>
  <c r="B960" i="57"/>
  <c r="A960" i="57" s="1"/>
  <c r="B961" i="57"/>
  <c r="A961" i="57" s="1"/>
  <c r="B962" i="57"/>
  <c r="A962" i="57" s="1"/>
  <c r="B963" i="57"/>
  <c r="A963" i="57" s="1"/>
  <c r="A964" i="57"/>
  <c r="B964" i="57"/>
  <c r="A965" i="57"/>
  <c r="B965" i="57"/>
  <c r="B966" i="57"/>
  <c r="A966" i="57" s="1"/>
  <c r="B967" i="57"/>
  <c r="A967" i="57" s="1"/>
  <c r="B968" i="57"/>
  <c r="A968" i="57" s="1"/>
  <c r="B969" i="57"/>
  <c r="A969" i="57" s="1"/>
  <c r="B970" i="57"/>
  <c r="A970" i="57" s="1"/>
  <c r="B971" i="57"/>
  <c r="A971" i="57" s="1"/>
  <c r="B972" i="57"/>
  <c r="A972" i="57" s="1"/>
  <c r="B973" i="57"/>
  <c r="A973" i="57" s="1"/>
  <c r="B974" i="57"/>
  <c r="A974" i="57" s="1"/>
  <c r="B975" i="57"/>
  <c r="A975" i="57" s="1"/>
  <c r="B976" i="57"/>
  <c r="A976" i="57" s="1"/>
  <c r="B977" i="57"/>
  <c r="A977" i="57" s="1"/>
  <c r="B978" i="57"/>
  <c r="A978" i="57" s="1"/>
  <c r="B979" i="57"/>
  <c r="A979" i="57" s="1"/>
  <c r="B980" i="57"/>
  <c r="A980" i="57" s="1"/>
  <c r="A981" i="57"/>
  <c r="B981" i="57"/>
  <c r="B982" i="57"/>
  <c r="A982" i="57" s="1"/>
  <c r="B983" i="57"/>
  <c r="A983" i="57" s="1"/>
  <c r="B984" i="57"/>
  <c r="A984" i="57" s="1"/>
  <c r="B985" i="57"/>
  <c r="A985" i="57" s="1"/>
  <c r="B986" i="57"/>
  <c r="A986" i="57" s="1"/>
  <c r="B987" i="57"/>
  <c r="A987" i="57" s="1"/>
  <c r="B988" i="57"/>
  <c r="A988" i="57" s="1"/>
  <c r="B989" i="57"/>
  <c r="A989" i="57" s="1"/>
  <c r="B990" i="57"/>
  <c r="A990" i="57" s="1"/>
  <c r="B991" i="57"/>
  <c r="A991" i="57" s="1"/>
  <c r="B992" i="57"/>
  <c r="A992" i="57" s="1"/>
  <c r="B993" i="57"/>
  <c r="A993" i="57" s="1"/>
  <c r="B994" i="57"/>
  <c r="A994" i="57" s="1"/>
  <c r="B995" i="57"/>
  <c r="A995" i="57" s="1"/>
  <c r="B996" i="57"/>
  <c r="A996" i="57" s="1"/>
  <c r="B997" i="57"/>
  <c r="A997" i="57" s="1"/>
  <c r="B998" i="57"/>
  <c r="A998" i="57" s="1"/>
  <c r="B999" i="57"/>
  <c r="A999" i="57" s="1"/>
  <c r="B1000" i="57"/>
  <c r="A1000" i="57" s="1"/>
  <c r="B1001" i="57"/>
  <c r="A1001" i="57" s="1"/>
  <c r="B1002" i="57"/>
  <c r="A1002" i="57" s="1"/>
  <c r="B1003" i="57"/>
  <c r="A1003" i="57" s="1"/>
  <c r="B1004" i="57"/>
  <c r="A1004" i="57" s="1"/>
  <c r="B1005" i="57"/>
  <c r="A1005" i="57" s="1"/>
  <c r="B1006" i="57"/>
  <c r="A1006" i="57" s="1"/>
  <c r="B1007" i="57"/>
  <c r="A1007" i="57" s="1"/>
  <c r="B1008" i="57"/>
  <c r="A1008" i="57" s="1"/>
  <c r="B1009" i="57"/>
  <c r="A1009" i="57" s="1"/>
  <c r="B2" i="57"/>
  <c r="A2" i="57" s="1"/>
  <c r="B2" i="56"/>
  <c r="A2" i="56" s="1"/>
  <c r="B3" i="54"/>
  <c r="A3" i="54" s="1"/>
  <c r="B4" i="54"/>
  <c r="A4" i="54" s="1"/>
  <c r="B5" i="54"/>
  <c r="A5" i="54" s="1"/>
  <c r="B6" i="54"/>
  <c r="A6" i="54" s="1"/>
  <c r="B7" i="54"/>
  <c r="A7" i="54" s="1"/>
  <c r="B8" i="54"/>
  <c r="A8" i="54" s="1"/>
  <c r="B9" i="54"/>
  <c r="A9" i="54" s="1"/>
  <c r="B10" i="54"/>
  <c r="A10" i="54" s="1"/>
  <c r="B11" i="54"/>
  <c r="A11" i="54" s="1"/>
  <c r="B12" i="54"/>
  <c r="A12" i="54" s="1"/>
  <c r="B13" i="54"/>
  <c r="A13" i="54" s="1"/>
  <c r="B14" i="54"/>
  <c r="A14" i="54" s="1"/>
  <c r="B15" i="54"/>
  <c r="A15" i="54" s="1"/>
  <c r="B16" i="54"/>
  <c r="A16" i="54" s="1"/>
  <c r="B17" i="54"/>
  <c r="A17" i="54" s="1"/>
  <c r="B18" i="54"/>
  <c r="A18" i="54" s="1"/>
  <c r="B19" i="54"/>
  <c r="A19" i="54" s="1"/>
  <c r="B20" i="54"/>
  <c r="A20" i="54" s="1"/>
  <c r="B21" i="54"/>
  <c r="A21" i="54" s="1"/>
  <c r="B22" i="54"/>
  <c r="A22" i="54" s="1"/>
  <c r="B23" i="54"/>
  <c r="A23" i="54" s="1"/>
  <c r="B24" i="54"/>
  <c r="A24" i="54" s="1"/>
  <c r="B25" i="54"/>
  <c r="A25" i="54" s="1"/>
  <c r="B26" i="54"/>
  <c r="A26" i="54" s="1"/>
  <c r="B27" i="54"/>
  <c r="A27" i="54" s="1"/>
  <c r="B28" i="54"/>
  <c r="A28" i="54" s="1"/>
  <c r="B29" i="54"/>
  <c r="A29" i="54" s="1"/>
  <c r="B30" i="54"/>
  <c r="A30" i="54" s="1"/>
  <c r="B31" i="54"/>
  <c r="A31" i="54" s="1"/>
  <c r="B32" i="54"/>
  <c r="A32" i="54" s="1"/>
  <c r="B33" i="54"/>
  <c r="A33" i="54" s="1"/>
  <c r="B34" i="54"/>
  <c r="A34" i="54" s="1"/>
  <c r="B35" i="54"/>
  <c r="A35" i="54" s="1"/>
  <c r="B36" i="54"/>
  <c r="A36" i="54" s="1"/>
  <c r="B37" i="54"/>
  <c r="A37" i="54" s="1"/>
  <c r="B38" i="54"/>
  <c r="A38" i="54" s="1"/>
  <c r="B39" i="54"/>
  <c r="A39" i="54" s="1"/>
  <c r="B40" i="54"/>
  <c r="A40" i="54" s="1"/>
  <c r="B41" i="54"/>
  <c r="A41" i="54" s="1"/>
  <c r="B42" i="54"/>
  <c r="A42" i="54" s="1"/>
  <c r="B43" i="54"/>
  <c r="A43" i="54" s="1"/>
  <c r="B44" i="54"/>
  <c r="A44" i="54" s="1"/>
  <c r="B45" i="54"/>
  <c r="A45" i="54" s="1"/>
  <c r="B46" i="54"/>
  <c r="A46" i="54" s="1"/>
  <c r="B47" i="54"/>
  <c r="A47" i="54" s="1"/>
  <c r="B48" i="54"/>
  <c r="A48" i="54" s="1"/>
  <c r="B49" i="54"/>
  <c r="A49" i="54" s="1"/>
  <c r="B50" i="54"/>
  <c r="A50" i="54" s="1"/>
  <c r="B51" i="54"/>
  <c r="A51" i="54" s="1"/>
  <c r="B52" i="54"/>
  <c r="A52" i="54" s="1"/>
  <c r="B53" i="54"/>
  <c r="A53" i="54" s="1"/>
  <c r="B54" i="54"/>
  <c r="A54" i="54" s="1"/>
  <c r="B55" i="54"/>
  <c r="A55" i="54" s="1"/>
  <c r="B56" i="54"/>
  <c r="A56" i="54" s="1"/>
  <c r="B57" i="54"/>
  <c r="A57" i="54" s="1"/>
  <c r="B58" i="54"/>
  <c r="A58" i="54" s="1"/>
  <c r="B59" i="54"/>
  <c r="A59" i="54" s="1"/>
  <c r="B60" i="54"/>
  <c r="A60" i="54" s="1"/>
  <c r="B61" i="54"/>
  <c r="A61" i="54" s="1"/>
  <c r="B62" i="54"/>
  <c r="A62" i="54" s="1"/>
  <c r="B63" i="54"/>
  <c r="A63" i="54" s="1"/>
  <c r="B64" i="54"/>
  <c r="A64" i="54" s="1"/>
  <c r="B65" i="54"/>
  <c r="A65" i="54" s="1"/>
  <c r="B66" i="54"/>
  <c r="A66" i="54" s="1"/>
  <c r="B67" i="54"/>
  <c r="A67" i="54" s="1"/>
  <c r="B68" i="54"/>
  <c r="A68" i="54" s="1"/>
  <c r="B69" i="54"/>
  <c r="A69" i="54" s="1"/>
  <c r="B70" i="54"/>
  <c r="A70" i="54" s="1"/>
  <c r="B71" i="54"/>
  <c r="A71" i="54" s="1"/>
  <c r="B72" i="54"/>
  <c r="A72" i="54" s="1"/>
  <c r="B73" i="54"/>
  <c r="A73" i="54" s="1"/>
  <c r="B74" i="54"/>
  <c r="A74" i="54" s="1"/>
  <c r="B75" i="54"/>
  <c r="A75" i="54" s="1"/>
  <c r="B76" i="54"/>
  <c r="A76" i="54" s="1"/>
  <c r="B77" i="54"/>
  <c r="A77" i="54" s="1"/>
  <c r="B78" i="54"/>
  <c r="A78" i="54" s="1"/>
  <c r="B79" i="54"/>
  <c r="A79" i="54" s="1"/>
  <c r="B80" i="54"/>
  <c r="A80" i="54" s="1"/>
  <c r="B81" i="54"/>
  <c r="A81" i="54" s="1"/>
  <c r="B82" i="54"/>
  <c r="A82" i="54" s="1"/>
  <c r="B83" i="54"/>
  <c r="A83" i="54" s="1"/>
  <c r="B84" i="54"/>
  <c r="A84" i="54" s="1"/>
  <c r="B85" i="54"/>
  <c r="A85" i="54" s="1"/>
  <c r="B86" i="54"/>
  <c r="A86" i="54" s="1"/>
  <c r="B87" i="54"/>
  <c r="A87" i="54" s="1"/>
  <c r="B88" i="54"/>
  <c r="A88" i="54" s="1"/>
  <c r="B89" i="54"/>
  <c r="A89" i="54" s="1"/>
  <c r="B90" i="54"/>
  <c r="A90" i="54" s="1"/>
  <c r="B91" i="54"/>
  <c r="A91" i="54" s="1"/>
  <c r="B92" i="54"/>
  <c r="A92" i="54" s="1"/>
  <c r="B93" i="54"/>
  <c r="A93" i="54" s="1"/>
  <c r="B94" i="54"/>
  <c r="A94" i="54" s="1"/>
  <c r="B95" i="54"/>
  <c r="A95" i="54" s="1"/>
  <c r="B96" i="54"/>
  <c r="A96" i="54" s="1"/>
  <c r="B97" i="54"/>
  <c r="A97" i="54" s="1"/>
  <c r="B98" i="54"/>
  <c r="A98" i="54" s="1"/>
  <c r="B99" i="54"/>
  <c r="A99" i="54" s="1"/>
  <c r="B100" i="54"/>
  <c r="A100" i="54" s="1"/>
  <c r="B101" i="54"/>
  <c r="A101" i="54" s="1"/>
  <c r="B102" i="54"/>
  <c r="A102" i="54" s="1"/>
  <c r="B103" i="54"/>
  <c r="A103" i="54" s="1"/>
  <c r="B104" i="54"/>
  <c r="A104" i="54" s="1"/>
  <c r="B105" i="54"/>
  <c r="A105" i="54" s="1"/>
  <c r="B106" i="54"/>
  <c r="A106" i="54" s="1"/>
  <c r="B107" i="54"/>
  <c r="A107" i="54" s="1"/>
  <c r="B108" i="54"/>
  <c r="A108" i="54" s="1"/>
  <c r="B109" i="54"/>
  <c r="A109" i="54" s="1"/>
  <c r="B110" i="54"/>
  <c r="A110" i="54" s="1"/>
  <c r="B111" i="54"/>
  <c r="A111" i="54" s="1"/>
  <c r="B112" i="54"/>
  <c r="A112" i="54" s="1"/>
  <c r="B113" i="54"/>
  <c r="A113" i="54" s="1"/>
  <c r="B114" i="54"/>
  <c r="A114" i="54" s="1"/>
  <c r="B115" i="54"/>
  <c r="A115" i="54" s="1"/>
  <c r="B116" i="54"/>
  <c r="A116" i="54" s="1"/>
  <c r="B117" i="54"/>
  <c r="A117" i="54" s="1"/>
  <c r="B118" i="54"/>
  <c r="A118" i="54" s="1"/>
  <c r="B119" i="54"/>
  <c r="A119" i="54" s="1"/>
  <c r="B120" i="54"/>
  <c r="A120" i="54" s="1"/>
  <c r="B121" i="54"/>
  <c r="A121" i="54" s="1"/>
  <c r="B122" i="54"/>
  <c r="A122" i="54" s="1"/>
  <c r="B123" i="54"/>
  <c r="A123" i="54" s="1"/>
  <c r="B124" i="54"/>
  <c r="A124" i="54" s="1"/>
  <c r="B125" i="54"/>
  <c r="A125" i="54" s="1"/>
  <c r="B126" i="54"/>
  <c r="A126" i="54" s="1"/>
  <c r="B127" i="54"/>
  <c r="A127" i="54" s="1"/>
  <c r="B128" i="54"/>
  <c r="A128" i="54" s="1"/>
  <c r="B129" i="54"/>
  <c r="A129" i="54" s="1"/>
  <c r="B130" i="54"/>
  <c r="A130" i="54" s="1"/>
  <c r="B131" i="54"/>
  <c r="A131" i="54" s="1"/>
  <c r="B132" i="54"/>
  <c r="A132" i="54" s="1"/>
  <c r="B133" i="54"/>
  <c r="A133" i="54" s="1"/>
  <c r="B134" i="54"/>
  <c r="A134" i="54" s="1"/>
  <c r="B135" i="54"/>
  <c r="A135" i="54" s="1"/>
  <c r="B136" i="54"/>
  <c r="A136" i="54" s="1"/>
  <c r="B137" i="54"/>
  <c r="A137" i="54" s="1"/>
  <c r="B138" i="54"/>
  <c r="A138" i="54" s="1"/>
  <c r="B139" i="54"/>
  <c r="A139" i="54" s="1"/>
  <c r="B140" i="54"/>
  <c r="A140" i="54" s="1"/>
  <c r="B141" i="54"/>
  <c r="A141" i="54" s="1"/>
  <c r="B142" i="54"/>
  <c r="A142" i="54" s="1"/>
  <c r="B143" i="54"/>
  <c r="A143" i="54" s="1"/>
  <c r="B144" i="54"/>
  <c r="A144" i="54" s="1"/>
  <c r="B145" i="54"/>
  <c r="A145" i="54" s="1"/>
  <c r="B146" i="54"/>
  <c r="A146" i="54" s="1"/>
  <c r="B147" i="54"/>
  <c r="A147" i="54" s="1"/>
  <c r="B148" i="54"/>
  <c r="A148" i="54" s="1"/>
  <c r="B149" i="54"/>
  <c r="A149" i="54" s="1"/>
  <c r="B150" i="54"/>
  <c r="A150" i="54" s="1"/>
  <c r="B151" i="54"/>
  <c r="A151" i="54" s="1"/>
  <c r="B152" i="54"/>
  <c r="A152" i="54" s="1"/>
  <c r="B153" i="54"/>
  <c r="A153" i="54" s="1"/>
  <c r="B154" i="54"/>
  <c r="A154" i="54" s="1"/>
  <c r="B155" i="54"/>
  <c r="A155" i="54" s="1"/>
  <c r="B156" i="54"/>
  <c r="A156" i="54" s="1"/>
  <c r="B157" i="54"/>
  <c r="A157" i="54" s="1"/>
  <c r="B158" i="54"/>
  <c r="A158" i="54" s="1"/>
  <c r="B159" i="54"/>
  <c r="A159" i="54" s="1"/>
  <c r="B160" i="54"/>
  <c r="A160" i="54" s="1"/>
  <c r="B161" i="54"/>
  <c r="A161" i="54" s="1"/>
  <c r="B162" i="54"/>
  <c r="A162" i="54" s="1"/>
  <c r="B163" i="54"/>
  <c r="A163" i="54" s="1"/>
  <c r="B164" i="54"/>
  <c r="A164" i="54" s="1"/>
  <c r="B165" i="54"/>
  <c r="A165" i="54" s="1"/>
  <c r="B166" i="54"/>
  <c r="A166" i="54" s="1"/>
  <c r="B167" i="54"/>
  <c r="A167" i="54" s="1"/>
  <c r="B168" i="54"/>
  <c r="A168" i="54" s="1"/>
  <c r="B169" i="54"/>
  <c r="A169" i="54" s="1"/>
  <c r="B170" i="54"/>
  <c r="A170" i="54" s="1"/>
  <c r="B171" i="54"/>
  <c r="A171" i="54" s="1"/>
  <c r="B172" i="54"/>
  <c r="A172" i="54" s="1"/>
  <c r="B173" i="54"/>
  <c r="A173" i="54" s="1"/>
  <c r="B174" i="54"/>
  <c r="A174" i="54" s="1"/>
  <c r="B175" i="54"/>
  <c r="A175" i="54" s="1"/>
  <c r="B176" i="54"/>
  <c r="A176" i="54" s="1"/>
  <c r="B177" i="54"/>
  <c r="A177" i="54" s="1"/>
  <c r="B178" i="54"/>
  <c r="A178" i="54" s="1"/>
  <c r="B179" i="54"/>
  <c r="A179" i="54" s="1"/>
  <c r="B180" i="54"/>
  <c r="A180" i="54" s="1"/>
  <c r="B181" i="54"/>
  <c r="A181" i="54" s="1"/>
  <c r="B182" i="54"/>
  <c r="A182" i="54" s="1"/>
  <c r="B183" i="54"/>
  <c r="A183" i="54" s="1"/>
  <c r="B184" i="54"/>
  <c r="A184" i="54" s="1"/>
  <c r="B185" i="54"/>
  <c r="A185" i="54" s="1"/>
  <c r="B186" i="54"/>
  <c r="A186" i="54" s="1"/>
  <c r="B187" i="54"/>
  <c r="A187" i="54" s="1"/>
  <c r="B188" i="54"/>
  <c r="A188" i="54" s="1"/>
  <c r="B189" i="54"/>
  <c r="A189" i="54" s="1"/>
  <c r="B190" i="54"/>
  <c r="A190" i="54" s="1"/>
  <c r="B191" i="54"/>
  <c r="A191" i="54" s="1"/>
  <c r="B192" i="54"/>
  <c r="A192" i="54" s="1"/>
  <c r="B193" i="54"/>
  <c r="A193" i="54" s="1"/>
  <c r="B194" i="54"/>
  <c r="A194" i="54" s="1"/>
  <c r="B195" i="54"/>
  <c r="A195" i="54" s="1"/>
  <c r="B196" i="54"/>
  <c r="A196" i="54" s="1"/>
  <c r="B197" i="54"/>
  <c r="A197" i="54" s="1"/>
  <c r="B198" i="54"/>
  <c r="A198" i="54" s="1"/>
  <c r="B199" i="54"/>
  <c r="A199" i="54" s="1"/>
  <c r="B200" i="54"/>
  <c r="A200" i="54" s="1"/>
  <c r="B201" i="54"/>
  <c r="A201" i="54" s="1"/>
  <c r="B202" i="54"/>
  <c r="A202" i="54" s="1"/>
  <c r="B203" i="54"/>
  <c r="A203" i="54" s="1"/>
  <c r="B204" i="54"/>
  <c r="A204" i="54" s="1"/>
  <c r="B205" i="54"/>
  <c r="A205" i="54" s="1"/>
  <c r="B206" i="54"/>
  <c r="A206" i="54" s="1"/>
  <c r="B207" i="54"/>
  <c r="A207" i="54" s="1"/>
  <c r="B208" i="54"/>
  <c r="A208" i="54" s="1"/>
  <c r="B209" i="54"/>
  <c r="A209" i="54" s="1"/>
  <c r="B210" i="54"/>
  <c r="A210" i="54" s="1"/>
  <c r="B211" i="54"/>
  <c r="A211" i="54" s="1"/>
  <c r="B212" i="54"/>
  <c r="A212" i="54" s="1"/>
  <c r="B213" i="54"/>
  <c r="A213" i="54" s="1"/>
  <c r="B214" i="54"/>
  <c r="A214" i="54" s="1"/>
  <c r="B215" i="54"/>
  <c r="A215" i="54" s="1"/>
  <c r="B216" i="54"/>
  <c r="A216" i="54" s="1"/>
  <c r="B217" i="54"/>
  <c r="A217" i="54" s="1"/>
  <c r="B218" i="54"/>
  <c r="A218" i="54" s="1"/>
  <c r="B219" i="54"/>
  <c r="A219" i="54" s="1"/>
  <c r="B220" i="54"/>
  <c r="A220" i="54" s="1"/>
  <c r="B221" i="54"/>
  <c r="A221" i="54" s="1"/>
  <c r="B222" i="54"/>
  <c r="A222" i="54" s="1"/>
  <c r="B223" i="54"/>
  <c r="A223" i="54" s="1"/>
  <c r="B224" i="54"/>
  <c r="A224" i="54" s="1"/>
  <c r="B225" i="54"/>
  <c r="A225" i="54" s="1"/>
  <c r="B226" i="54"/>
  <c r="A226" i="54" s="1"/>
  <c r="B227" i="54"/>
  <c r="A227" i="54" s="1"/>
  <c r="B228" i="54"/>
  <c r="A228" i="54" s="1"/>
  <c r="B229" i="54"/>
  <c r="A229" i="54" s="1"/>
  <c r="B230" i="54"/>
  <c r="A230" i="54" s="1"/>
  <c r="B231" i="54"/>
  <c r="A231" i="54" s="1"/>
  <c r="B232" i="54"/>
  <c r="A232" i="54" s="1"/>
  <c r="B233" i="54"/>
  <c r="A233" i="54" s="1"/>
  <c r="B234" i="54"/>
  <c r="A234" i="54" s="1"/>
  <c r="B235" i="54"/>
  <c r="A235" i="54" s="1"/>
  <c r="B236" i="54"/>
  <c r="A236" i="54" s="1"/>
  <c r="B237" i="54"/>
  <c r="A237" i="54" s="1"/>
  <c r="B238" i="54"/>
  <c r="A238" i="54" s="1"/>
  <c r="B239" i="54"/>
  <c r="A239" i="54" s="1"/>
  <c r="B240" i="54"/>
  <c r="A240" i="54" s="1"/>
  <c r="B241" i="54"/>
  <c r="A241" i="54" s="1"/>
  <c r="B242" i="54"/>
  <c r="A242" i="54" s="1"/>
  <c r="B243" i="54"/>
  <c r="A243" i="54" s="1"/>
  <c r="B244" i="54"/>
  <c r="A244" i="54" s="1"/>
  <c r="B245" i="54"/>
  <c r="A245" i="54" s="1"/>
  <c r="B246" i="54"/>
  <c r="A246" i="54" s="1"/>
  <c r="B247" i="54"/>
  <c r="A247" i="54" s="1"/>
  <c r="B248" i="54"/>
  <c r="A248" i="54" s="1"/>
  <c r="B249" i="54"/>
  <c r="A249" i="54" s="1"/>
  <c r="B250" i="54"/>
  <c r="A250" i="54" s="1"/>
  <c r="B251" i="54"/>
  <c r="A251" i="54" s="1"/>
  <c r="B252" i="54"/>
  <c r="A252" i="54" s="1"/>
  <c r="B253" i="54"/>
  <c r="A253" i="54" s="1"/>
  <c r="B254" i="54"/>
  <c r="A254" i="54" s="1"/>
  <c r="B255" i="54"/>
  <c r="A255" i="54" s="1"/>
  <c r="B256" i="54"/>
  <c r="A256" i="54" s="1"/>
  <c r="B257" i="54"/>
  <c r="A257" i="54" s="1"/>
  <c r="B258" i="54"/>
  <c r="A258" i="54" s="1"/>
  <c r="B259" i="54"/>
  <c r="A259" i="54" s="1"/>
  <c r="B260" i="54"/>
  <c r="A260" i="54" s="1"/>
  <c r="B261" i="54"/>
  <c r="A261" i="54" s="1"/>
  <c r="B262" i="54"/>
  <c r="A262" i="54" s="1"/>
  <c r="B263" i="54"/>
  <c r="A263" i="54" s="1"/>
  <c r="B264" i="54"/>
  <c r="A264" i="54" s="1"/>
  <c r="B265" i="54"/>
  <c r="A265" i="54" s="1"/>
  <c r="B266" i="54"/>
  <c r="A266" i="54" s="1"/>
  <c r="B267" i="54"/>
  <c r="A267" i="54" s="1"/>
  <c r="B268" i="54"/>
  <c r="A268" i="54" s="1"/>
  <c r="B269" i="54"/>
  <c r="A269" i="54" s="1"/>
  <c r="B270" i="54"/>
  <c r="A270" i="54" s="1"/>
  <c r="B271" i="54"/>
  <c r="A271" i="54" s="1"/>
  <c r="B272" i="54"/>
  <c r="A272" i="54" s="1"/>
  <c r="B273" i="54"/>
  <c r="A273" i="54" s="1"/>
  <c r="B274" i="54"/>
  <c r="A274" i="54" s="1"/>
  <c r="B275" i="54"/>
  <c r="A275" i="54" s="1"/>
  <c r="B276" i="54"/>
  <c r="A276" i="54" s="1"/>
  <c r="B277" i="54"/>
  <c r="A277" i="54" s="1"/>
  <c r="B278" i="54"/>
  <c r="A278" i="54" s="1"/>
  <c r="B279" i="54"/>
  <c r="A279" i="54" s="1"/>
  <c r="B280" i="54"/>
  <c r="A280" i="54" s="1"/>
  <c r="B281" i="54"/>
  <c r="A281" i="54" s="1"/>
  <c r="B282" i="54"/>
  <c r="A282" i="54" s="1"/>
  <c r="B283" i="54"/>
  <c r="A283" i="54" s="1"/>
  <c r="B284" i="54"/>
  <c r="A284" i="54" s="1"/>
  <c r="B285" i="54"/>
  <c r="A285" i="54" s="1"/>
  <c r="B286" i="54"/>
  <c r="A286" i="54" s="1"/>
  <c r="B287" i="54"/>
  <c r="A287" i="54" s="1"/>
  <c r="B288" i="54"/>
  <c r="A288" i="54" s="1"/>
  <c r="B289" i="54"/>
  <c r="A289" i="54" s="1"/>
  <c r="B290" i="54"/>
  <c r="A290" i="54" s="1"/>
  <c r="B291" i="54"/>
  <c r="A291" i="54" s="1"/>
  <c r="B292" i="54"/>
  <c r="A292" i="54" s="1"/>
  <c r="B293" i="54"/>
  <c r="A293" i="54" s="1"/>
  <c r="B294" i="54"/>
  <c r="A294" i="54" s="1"/>
  <c r="B295" i="54"/>
  <c r="A295" i="54" s="1"/>
  <c r="B296" i="54"/>
  <c r="A296" i="54" s="1"/>
  <c r="B297" i="54"/>
  <c r="A297" i="54" s="1"/>
  <c r="B298" i="54"/>
  <c r="A298" i="54" s="1"/>
  <c r="B299" i="54"/>
  <c r="A299" i="54" s="1"/>
  <c r="B300" i="54"/>
  <c r="A300" i="54" s="1"/>
  <c r="B301" i="54"/>
  <c r="A301" i="54" s="1"/>
  <c r="B302" i="54"/>
  <c r="A302" i="54" s="1"/>
  <c r="B303" i="54"/>
  <c r="A303" i="54" s="1"/>
  <c r="B304" i="54"/>
  <c r="A304" i="54" s="1"/>
  <c r="B305" i="54"/>
  <c r="A305" i="54" s="1"/>
  <c r="B306" i="54"/>
  <c r="A306" i="54" s="1"/>
  <c r="B307" i="54"/>
  <c r="A307" i="54" s="1"/>
  <c r="B308" i="54"/>
  <c r="A308" i="54" s="1"/>
  <c r="B309" i="54"/>
  <c r="A309" i="54" s="1"/>
  <c r="B310" i="54"/>
  <c r="A310" i="54" s="1"/>
  <c r="B311" i="54"/>
  <c r="A311" i="54" s="1"/>
  <c r="B312" i="54"/>
  <c r="A312" i="54" s="1"/>
  <c r="B313" i="54"/>
  <c r="A313" i="54" s="1"/>
  <c r="B314" i="54"/>
  <c r="A314" i="54" s="1"/>
  <c r="B315" i="54"/>
  <c r="A315" i="54" s="1"/>
  <c r="B316" i="54"/>
  <c r="A316" i="54" s="1"/>
  <c r="B317" i="54"/>
  <c r="A317" i="54" s="1"/>
  <c r="B318" i="54"/>
  <c r="A318" i="54" s="1"/>
  <c r="B319" i="54"/>
  <c r="A319" i="54" s="1"/>
  <c r="B320" i="54"/>
  <c r="A320" i="54" s="1"/>
  <c r="B321" i="54"/>
  <c r="A321" i="54" s="1"/>
  <c r="B322" i="54"/>
  <c r="A322" i="54" s="1"/>
  <c r="B323" i="54"/>
  <c r="A323" i="54" s="1"/>
  <c r="B324" i="54"/>
  <c r="A324" i="54" s="1"/>
  <c r="B325" i="54"/>
  <c r="A325" i="54" s="1"/>
  <c r="B326" i="54"/>
  <c r="A326" i="54" s="1"/>
  <c r="B327" i="54"/>
  <c r="A327" i="54" s="1"/>
  <c r="B328" i="54"/>
  <c r="A328" i="54" s="1"/>
  <c r="B329" i="54"/>
  <c r="A329" i="54" s="1"/>
  <c r="B330" i="54"/>
  <c r="A330" i="54" s="1"/>
  <c r="B331" i="54"/>
  <c r="A331" i="54" s="1"/>
  <c r="B332" i="54"/>
  <c r="A332" i="54" s="1"/>
  <c r="B333" i="54"/>
  <c r="A333" i="54" s="1"/>
  <c r="B334" i="54"/>
  <c r="A334" i="54" s="1"/>
  <c r="B335" i="54"/>
  <c r="A335" i="54" s="1"/>
  <c r="B336" i="54"/>
  <c r="A336" i="54" s="1"/>
  <c r="B337" i="54"/>
  <c r="A337" i="54" s="1"/>
  <c r="B338" i="54"/>
  <c r="A338" i="54" s="1"/>
  <c r="B339" i="54"/>
  <c r="A339" i="54" s="1"/>
  <c r="B340" i="54"/>
  <c r="A340" i="54" s="1"/>
  <c r="B341" i="54"/>
  <c r="A341" i="54" s="1"/>
  <c r="B342" i="54"/>
  <c r="A342" i="54" s="1"/>
  <c r="B343" i="54"/>
  <c r="A343" i="54" s="1"/>
  <c r="B344" i="54"/>
  <c r="A344" i="54" s="1"/>
  <c r="B345" i="54"/>
  <c r="A345" i="54" s="1"/>
  <c r="B346" i="54"/>
  <c r="A346" i="54" s="1"/>
  <c r="B347" i="54"/>
  <c r="A347" i="54" s="1"/>
  <c r="B348" i="54"/>
  <c r="A348" i="54" s="1"/>
  <c r="B349" i="54"/>
  <c r="A349" i="54" s="1"/>
  <c r="B350" i="54"/>
  <c r="A350" i="54" s="1"/>
  <c r="B351" i="54"/>
  <c r="A351" i="54" s="1"/>
  <c r="B352" i="54"/>
  <c r="A352" i="54" s="1"/>
  <c r="B353" i="54"/>
  <c r="A353" i="54" s="1"/>
  <c r="B354" i="54"/>
  <c r="A354" i="54" s="1"/>
  <c r="B355" i="54"/>
  <c r="A355" i="54" s="1"/>
  <c r="B356" i="54"/>
  <c r="A356" i="54" s="1"/>
  <c r="B357" i="54"/>
  <c r="A357" i="54" s="1"/>
  <c r="B358" i="54"/>
  <c r="A358" i="54" s="1"/>
  <c r="B359" i="54"/>
  <c r="A359" i="54" s="1"/>
  <c r="B360" i="54"/>
  <c r="A360" i="54" s="1"/>
  <c r="B361" i="54"/>
  <c r="A361" i="54" s="1"/>
  <c r="B362" i="54"/>
  <c r="A362" i="54" s="1"/>
  <c r="B363" i="54"/>
  <c r="A363" i="54" s="1"/>
  <c r="B364" i="54"/>
  <c r="A364" i="54" s="1"/>
  <c r="B365" i="54"/>
  <c r="A365" i="54" s="1"/>
  <c r="B366" i="54"/>
  <c r="A366" i="54" s="1"/>
  <c r="B367" i="54"/>
  <c r="A367" i="54" s="1"/>
  <c r="B368" i="54"/>
  <c r="A368" i="54" s="1"/>
  <c r="B369" i="54"/>
  <c r="A369" i="54" s="1"/>
  <c r="B370" i="54"/>
  <c r="A370" i="54" s="1"/>
  <c r="B371" i="54"/>
  <c r="A371" i="54" s="1"/>
  <c r="B372" i="54"/>
  <c r="A372" i="54" s="1"/>
  <c r="B373" i="54"/>
  <c r="A373" i="54" s="1"/>
  <c r="B374" i="54"/>
  <c r="A374" i="54" s="1"/>
  <c r="B375" i="54"/>
  <c r="A375" i="54" s="1"/>
  <c r="B376" i="54"/>
  <c r="A376" i="54" s="1"/>
  <c r="B377" i="54"/>
  <c r="A377" i="54" s="1"/>
  <c r="B378" i="54"/>
  <c r="A378" i="54" s="1"/>
  <c r="B379" i="54"/>
  <c r="A379" i="54" s="1"/>
  <c r="B380" i="54"/>
  <c r="A380" i="54" s="1"/>
  <c r="B381" i="54"/>
  <c r="A381" i="54" s="1"/>
  <c r="B382" i="54"/>
  <c r="A382" i="54" s="1"/>
  <c r="B383" i="54"/>
  <c r="A383" i="54" s="1"/>
  <c r="B384" i="54"/>
  <c r="A384" i="54" s="1"/>
  <c r="B385" i="54"/>
  <c r="A385" i="54" s="1"/>
  <c r="B386" i="54"/>
  <c r="A386" i="54" s="1"/>
  <c r="B387" i="54"/>
  <c r="A387" i="54" s="1"/>
  <c r="B388" i="54"/>
  <c r="A388" i="54" s="1"/>
  <c r="B389" i="54"/>
  <c r="A389" i="54" s="1"/>
  <c r="B390" i="54"/>
  <c r="A390" i="54" s="1"/>
  <c r="B391" i="54"/>
  <c r="A391" i="54" s="1"/>
  <c r="B392" i="54"/>
  <c r="A392" i="54" s="1"/>
  <c r="B393" i="54"/>
  <c r="A393" i="54" s="1"/>
  <c r="B394" i="54"/>
  <c r="A394" i="54" s="1"/>
  <c r="B395" i="54"/>
  <c r="A395" i="54" s="1"/>
  <c r="B396" i="54"/>
  <c r="A396" i="54" s="1"/>
  <c r="B397" i="54"/>
  <c r="A397" i="54" s="1"/>
  <c r="B398" i="54"/>
  <c r="A398" i="54" s="1"/>
  <c r="B399" i="54"/>
  <c r="A399" i="54" s="1"/>
  <c r="B400" i="54"/>
  <c r="A400" i="54" s="1"/>
  <c r="B401" i="54"/>
  <c r="A401" i="54" s="1"/>
  <c r="B402" i="54"/>
  <c r="A402" i="54" s="1"/>
  <c r="B403" i="54"/>
  <c r="A403" i="54" s="1"/>
  <c r="B404" i="54"/>
  <c r="A404" i="54" s="1"/>
  <c r="B405" i="54"/>
  <c r="A405" i="54" s="1"/>
  <c r="B406" i="54"/>
  <c r="A406" i="54" s="1"/>
  <c r="B407" i="54"/>
  <c r="A407" i="54" s="1"/>
  <c r="B408" i="54"/>
  <c r="A408" i="54" s="1"/>
  <c r="B409" i="54"/>
  <c r="A409" i="54" s="1"/>
  <c r="B410" i="54"/>
  <c r="A410" i="54" s="1"/>
  <c r="B411" i="54"/>
  <c r="A411" i="54" s="1"/>
  <c r="B412" i="54"/>
  <c r="A412" i="54" s="1"/>
  <c r="B413" i="54"/>
  <c r="A413" i="54" s="1"/>
  <c r="B414" i="54"/>
  <c r="A414" i="54" s="1"/>
  <c r="B415" i="54"/>
  <c r="A415" i="54" s="1"/>
  <c r="B416" i="54"/>
  <c r="A416" i="54" s="1"/>
  <c r="B417" i="54"/>
  <c r="A417" i="54" s="1"/>
  <c r="B418" i="54"/>
  <c r="A418" i="54" s="1"/>
  <c r="B419" i="54"/>
  <c r="A419" i="54" s="1"/>
  <c r="B420" i="54"/>
  <c r="A420" i="54" s="1"/>
  <c r="B421" i="54"/>
  <c r="A421" i="54" s="1"/>
  <c r="B422" i="54"/>
  <c r="A422" i="54" s="1"/>
  <c r="B423" i="54"/>
  <c r="A423" i="54" s="1"/>
  <c r="B424" i="54"/>
  <c r="A424" i="54" s="1"/>
  <c r="B425" i="54"/>
  <c r="A425" i="54" s="1"/>
  <c r="B426" i="54"/>
  <c r="A426" i="54" s="1"/>
  <c r="B427" i="54"/>
  <c r="A427" i="54" s="1"/>
  <c r="B428" i="54"/>
  <c r="A428" i="54" s="1"/>
  <c r="B429" i="54"/>
  <c r="A429" i="54" s="1"/>
  <c r="B430" i="54"/>
  <c r="A430" i="54" s="1"/>
  <c r="B431" i="54"/>
  <c r="A431" i="54" s="1"/>
  <c r="B432" i="54"/>
  <c r="A432" i="54" s="1"/>
  <c r="B433" i="54"/>
  <c r="A433" i="54" s="1"/>
  <c r="B434" i="54"/>
  <c r="A434" i="54" s="1"/>
  <c r="B435" i="54"/>
  <c r="A435" i="54" s="1"/>
  <c r="B436" i="54"/>
  <c r="A436" i="54" s="1"/>
  <c r="B437" i="54"/>
  <c r="A437" i="54" s="1"/>
  <c r="B438" i="54"/>
  <c r="A438" i="54" s="1"/>
  <c r="B439" i="54"/>
  <c r="A439" i="54" s="1"/>
  <c r="B440" i="54"/>
  <c r="A440" i="54" s="1"/>
  <c r="B441" i="54"/>
  <c r="A441" i="54" s="1"/>
  <c r="B442" i="54"/>
  <c r="A442" i="54" s="1"/>
  <c r="B443" i="54"/>
  <c r="A443" i="54" s="1"/>
  <c r="B444" i="54"/>
  <c r="A444" i="54" s="1"/>
  <c r="B445" i="54"/>
  <c r="A445" i="54" s="1"/>
  <c r="B446" i="54"/>
  <c r="A446" i="54" s="1"/>
  <c r="B447" i="54"/>
  <c r="A447" i="54" s="1"/>
  <c r="B448" i="54"/>
  <c r="A448" i="54" s="1"/>
  <c r="B449" i="54"/>
  <c r="A449" i="54" s="1"/>
  <c r="B450" i="54"/>
  <c r="A450" i="54" s="1"/>
  <c r="B451" i="54"/>
  <c r="A451" i="54" s="1"/>
  <c r="B452" i="54"/>
  <c r="A452" i="54" s="1"/>
  <c r="B453" i="54"/>
  <c r="A453" i="54" s="1"/>
  <c r="B454" i="54"/>
  <c r="A454" i="54" s="1"/>
  <c r="B455" i="54"/>
  <c r="A455" i="54" s="1"/>
  <c r="B456" i="54"/>
  <c r="A456" i="54" s="1"/>
  <c r="B457" i="54"/>
  <c r="A457" i="54" s="1"/>
  <c r="B458" i="54"/>
  <c r="A458" i="54" s="1"/>
  <c r="B459" i="54"/>
  <c r="A459" i="54" s="1"/>
  <c r="B460" i="54"/>
  <c r="A460" i="54" s="1"/>
  <c r="B461" i="54"/>
  <c r="A461" i="54" s="1"/>
  <c r="B462" i="54"/>
  <c r="A462" i="54" s="1"/>
  <c r="B463" i="54"/>
  <c r="A463" i="54" s="1"/>
  <c r="B464" i="54"/>
  <c r="A464" i="54" s="1"/>
  <c r="B465" i="54"/>
  <c r="A465" i="54" s="1"/>
  <c r="B466" i="54"/>
  <c r="A466" i="54" s="1"/>
  <c r="B467" i="54"/>
  <c r="A467" i="54" s="1"/>
  <c r="B468" i="54"/>
  <c r="A468" i="54" s="1"/>
  <c r="B469" i="54"/>
  <c r="A469" i="54" s="1"/>
  <c r="B470" i="54"/>
  <c r="A470" i="54" s="1"/>
  <c r="B471" i="54"/>
  <c r="A471" i="54" s="1"/>
  <c r="B472" i="54"/>
  <c r="A472" i="54" s="1"/>
  <c r="B473" i="54"/>
  <c r="A473" i="54" s="1"/>
  <c r="B474" i="54"/>
  <c r="A474" i="54" s="1"/>
  <c r="B475" i="54"/>
  <c r="A475" i="54" s="1"/>
  <c r="B476" i="54"/>
  <c r="A476" i="54" s="1"/>
  <c r="B477" i="54"/>
  <c r="A477" i="54" s="1"/>
  <c r="B478" i="54"/>
  <c r="A478" i="54" s="1"/>
  <c r="B479" i="54"/>
  <c r="A479" i="54" s="1"/>
  <c r="B480" i="54"/>
  <c r="A480" i="54" s="1"/>
  <c r="B481" i="54"/>
  <c r="A481" i="54" s="1"/>
  <c r="B482" i="54"/>
  <c r="A482" i="54" s="1"/>
  <c r="B483" i="54"/>
  <c r="A483" i="54" s="1"/>
  <c r="B484" i="54"/>
  <c r="A484" i="54" s="1"/>
  <c r="B485" i="54"/>
  <c r="A485" i="54" s="1"/>
  <c r="B486" i="54"/>
  <c r="A486" i="54" s="1"/>
  <c r="B487" i="54"/>
  <c r="A487" i="54" s="1"/>
  <c r="B488" i="54"/>
  <c r="A488" i="54" s="1"/>
  <c r="B489" i="54"/>
  <c r="A489" i="54" s="1"/>
  <c r="B490" i="54"/>
  <c r="A490" i="54" s="1"/>
  <c r="B491" i="54"/>
  <c r="A491" i="54" s="1"/>
  <c r="B492" i="54"/>
  <c r="A492" i="54" s="1"/>
  <c r="B493" i="54"/>
  <c r="A493" i="54" s="1"/>
  <c r="B494" i="54"/>
  <c r="A494" i="54" s="1"/>
  <c r="B495" i="54"/>
  <c r="A495" i="54" s="1"/>
  <c r="B496" i="54"/>
  <c r="A496" i="54" s="1"/>
  <c r="B497" i="54"/>
  <c r="A497" i="54" s="1"/>
  <c r="B498" i="54"/>
  <c r="A498" i="54" s="1"/>
  <c r="B499" i="54"/>
  <c r="A499" i="54" s="1"/>
  <c r="B500" i="54"/>
  <c r="A500" i="54" s="1"/>
  <c r="B501" i="54"/>
  <c r="A501" i="54" s="1"/>
  <c r="B502" i="54"/>
  <c r="A502" i="54" s="1"/>
  <c r="B503" i="54"/>
  <c r="A503" i="54" s="1"/>
  <c r="B504" i="54"/>
  <c r="A504" i="54" s="1"/>
  <c r="B505" i="54"/>
  <c r="A505" i="54" s="1"/>
  <c r="B506" i="54"/>
  <c r="A506" i="54" s="1"/>
  <c r="B507" i="54"/>
  <c r="A507" i="54" s="1"/>
  <c r="B508" i="54"/>
  <c r="A508" i="54" s="1"/>
  <c r="B509" i="54"/>
  <c r="A509" i="54" s="1"/>
  <c r="B510" i="54"/>
  <c r="A510" i="54" s="1"/>
  <c r="B511" i="54"/>
  <c r="A511" i="54" s="1"/>
  <c r="B512" i="54"/>
  <c r="A512" i="54" s="1"/>
  <c r="B513" i="54"/>
  <c r="A513" i="54" s="1"/>
  <c r="B514" i="54"/>
  <c r="A514" i="54" s="1"/>
  <c r="B515" i="54"/>
  <c r="A515" i="54" s="1"/>
  <c r="B516" i="54"/>
  <c r="A516" i="54" s="1"/>
  <c r="B517" i="54"/>
  <c r="A517" i="54" s="1"/>
  <c r="B518" i="54"/>
  <c r="A518" i="54" s="1"/>
  <c r="B519" i="54"/>
  <c r="A519" i="54" s="1"/>
  <c r="B520" i="54"/>
  <c r="A520" i="54" s="1"/>
  <c r="B521" i="54"/>
  <c r="A521" i="54" s="1"/>
  <c r="B522" i="54"/>
  <c r="A522" i="54" s="1"/>
  <c r="B523" i="54"/>
  <c r="A523" i="54" s="1"/>
  <c r="B524" i="54"/>
  <c r="A524" i="54" s="1"/>
  <c r="B525" i="54"/>
  <c r="A525" i="54" s="1"/>
  <c r="B526" i="54"/>
  <c r="A526" i="54" s="1"/>
  <c r="B527" i="54"/>
  <c r="A527" i="54" s="1"/>
  <c r="B528" i="54"/>
  <c r="A528" i="54" s="1"/>
  <c r="B529" i="54"/>
  <c r="A529" i="54" s="1"/>
  <c r="B530" i="54"/>
  <c r="A530" i="54" s="1"/>
  <c r="B531" i="54"/>
  <c r="A531" i="54" s="1"/>
  <c r="B532" i="54"/>
  <c r="A532" i="54" s="1"/>
  <c r="B533" i="54"/>
  <c r="A533" i="54" s="1"/>
  <c r="B534" i="54"/>
  <c r="A534" i="54" s="1"/>
  <c r="B535" i="54"/>
  <c r="A535" i="54" s="1"/>
  <c r="B536" i="54"/>
  <c r="A536" i="54" s="1"/>
  <c r="B537" i="54"/>
  <c r="A537" i="54" s="1"/>
  <c r="B538" i="54"/>
  <c r="A538" i="54" s="1"/>
  <c r="B539" i="54"/>
  <c r="A539" i="54" s="1"/>
  <c r="B540" i="54"/>
  <c r="A540" i="54" s="1"/>
  <c r="B541" i="54"/>
  <c r="A541" i="54" s="1"/>
  <c r="B542" i="54"/>
  <c r="A542" i="54" s="1"/>
  <c r="B543" i="54"/>
  <c r="A543" i="54" s="1"/>
  <c r="B544" i="54"/>
  <c r="A544" i="54" s="1"/>
  <c r="B545" i="54"/>
  <c r="A545" i="54" s="1"/>
  <c r="B546" i="54"/>
  <c r="A546" i="54" s="1"/>
  <c r="B547" i="54"/>
  <c r="A547" i="54" s="1"/>
  <c r="B548" i="54"/>
  <c r="A548" i="54" s="1"/>
  <c r="B549" i="54"/>
  <c r="A549" i="54" s="1"/>
  <c r="B550" i="54"/>
  <c r="A550" i="54" s="1"/>
  <c r="B551" i="54"/>
  <c r="A551" i="54" s="1"/>
  <c r="B552" i="54"/>
  <c r="A552" i="54" s="1"/>
  <c r="B553" i="54"/>
  <c r="A553" i="54" s="1"/>
  <c r="B554" i="54"/>
  <c r="A554" i="54" s="1"/>
  <c r="B555" i="54"/>
  <c r="A555" i="54" s="1"/>
  <c r="B556" i="54"/>
  <c r="A556" i="54" s="1"/>
  <c r="B557" i="54"/>
  <c r="A557" i="54" s="1"/>
  <c r="B558" i="54"/>
  <c r="A558" i="54" s="1"/>
  <c r="B559" i="54"/>
  <c r="A559" i="54" s="1"/>
  <c r="B560" i="54"/>
  <c r="A560" i="54" s="1"/>
  <c r="B561" i="54"/>
  <c r="A561" i="54" s="1"/>
  <c r="B562" i="54"/>
  <c r="A562" i="54" s="1"/>
  <c r="B563" i="54"/>
  <c r="A563" i="54" s="1"/>
  <c r="B564" i="54"/>
  <c r="A564" i="54" s="1"/>
  <c r="B565" i="54"/>
  <c r="A565" i="54" s="1"/>
  <c r="B566" i="54"/>
  <c r="A566" i="54" s="1"/>
  <c r="B567" i="54"/>
  <c r="A567" i="54" s="1"/>
  <c r="B568" i="54"/>
  <c r="A568" i="54" s="1"/>
  <c r="B569" i="54"/>
  <c r="A569" i="54" s="1"/>
  <c r="B570" i="54"/>
  <c r="A570" i="54" s="1"/>
  <c r="B571" i="54"/>
  <c r="A571" i="54" s="1"/>
  <c r="B572" i="54"/>
  <c r="A572" i="54" s="1"/>
  <c r="B573" i="54"/>
  <c r="A573" i="54" s="1"/>
  <c r="B574" i="54"/>
  <c r="A574" i="54" s="1"/>
  <c r="B575" i="54"/>
  <c r="A575" i="54" s="1"/>
  <c r="B576" i="54"/>
  <c r="A576" i="54" s="1"/>
  <c r="B577" i="54"/>
  <c r="A577" i="54" s="1"/>
  <c r="B578" i="54"/>
  <c r="A578" i="54" s="1"/>
  <c r="B579" i="54"/>
  <c r="A579" i="54" s="1"/>
  <c r="B580" i="54"/>
  <c r="A580" i="54" s="1"/>
  <c r="B581" i="54"/>
  <c r="A581" i="54" s="1"/>
  <c r="B582" i="54"/>
  <c r="A582" i="54" s="1"/>
  <c r="B583" i="54"/>
  <c r="A583" i="54" s="1"/>
  <c r="B584" i="54"/>
  <c r="A584" i="54" s="1"/>
  <c r="B585" i="54"/>
  <c r="A585" i="54" s="1"/>
  <c r="B586" i="54"/>
  <c r="A586" i="54" s="1"/>
  <c r="B587" i="54"/>
  <c r="A587" i="54" s="1"/>
  <c r="B588" i="54"/>
  <c r="A588" i="54" s="1"/>
  <c r="B589" i="54"/>
  <c r="A589" i="54" s="1"/>
  <c r="B590" i="54"/>
  <c r="A590" i="54" s="1"/>
  <c r="B591" i="54"/>
  <c r="A591" i="54" s="1"/>
  <c r="B592" i="54"/>
  <c r="A592" i="54" s="1"/>
  <c r="B593" i="54"/>
  <c r="A593" i="54" s="1"/>
  <c r="B594" i="54"/>
  <c r="A594" i="54" s="1"/>
  <c r="B595" i="54"/>
  <c r="A595" i="54" s="1"/>
  <c r="B596" i="54"/>
  <c r="A596" i="54" s="1"/>
  <c r="B597" i="54"/>
  <c r="A597" i="54" s="1"/>
  <c r="B598" i="54"/>
  <c r="A598" i="54" s="1"/>
  <c r="B599" i="54"/>
  <c r="A599" i="54" s="1"/>
  <c r="B600" i="54"/>
  <c r="A600" i="54" s="1"/>
  <c r="B601" i="54"/>
  <c r="A601" i="54" s="1"/>
  <c r="B602" i="54"/>
  <c r="A602" i="54" s="1"/>
  <c r="B603" i="54"/>
  <c r="A603" i="54" s="1"/>
  <c r="B604" i="54"/>
  <c r="A604" i="54" s="1"/>
  <c r="B605" i="54"/>
  <c r="A605" i="54" s="1"/>
  <c r="B606" i="54"/>
  <c r="A606" i="54" s="1"/>
  <c r="B607" i="54"/>
  <c r="A607" i="54" s="1"/>
  <c r="B608" i="54"/>
  <c r="A608" i="54" s="1"/>
  <c r="B609" i="54"/>
  <c r="A609" i="54" s="1"/>
  <c r="B610" i="54"/>
  <c r="A610" i="54" s="1"/>
  <c r="B611" i="54"/>
  <c r="A611" i="54" s="1"/>
  <c r="B612" i="54"/>
  <c r="A612" i="54" s="1"/>
  <c r="B613" i="54"/>
  <c r="A613" i="54" s="1"/>
  <c r="B614" i="54"/>
  <c r="A614" i="54" s="1"/>
  <c r="B615" i="54"/>
  <c r="A615" i="54" s="1"/>
  <c r="B616" i="54"/>
  <c r="A616" i="54" s="1"/>
  <c r="B617" i="54"/>
  <c r="A617" i="54" s="1"/>
  <c r="B618" i="54"/>
  <c r="A618" i="54" s="1"/>
  <c r="B619" i="54"/>
  <c r="A619" i="54" s="1"/>
  <c r="B620" i="54"/>
  <c r="A620" i="54" s="1"/>
  <c r="B621" i="54"/>
  <c r="A621" i="54" s="1"/>
  <c r="B622" i="54"/>
  <c r="A622" i="54" s="1"/>
  <c r="B623" i="54"/>
  <c r="A623" i="54" s="1"/>
  <c r="B624" i="54"/>
  <c r="A624" i="54" s="1"/>
  <c r="B625" i="54"/>
  <c r="A625" i="54" s="1"/>
  <c r="B626" i="54"/>
  <c r="A626" i="54" s="1"/>
  <c r="B627" i="54"/>
  <c r="A627" i="54" s="1"/>
  <c r="B628" i="54"/>
  <c r="A628" i="54" s="1"/>
  <c r="B629" i="54"/>
  <c r="A629" i="54" s="1"/>
  <c r="B630" i="54"/>
  <c r="A630" i="54" s="1"/>
  <c r="B631" i="54"/>
  <c r="A631" i="54" s="1"/>
  <c r="B632" i="54"/>
  <c r="A632" i="54" s="1"/>
  <c r="B633" i="54"/>
  <c r="A633" i="54" s="1"/>
  <c r="B634" i="54"/>
  <c r="A634" i="54" s="1"/>
  <c r="B635" i="54"/>
  <c r="A635" i="54" s="1"/>
  <c r="B636" i="54"/>
  <c r="A636" i="54" s="1"/>
  <c r="B637" i="54"/>
  <c r="A637" i="54" s="1"/>
  <c r="B638" i="54"/>
  <c r="A638" i="54" s="1"/>
  <c r="B639" i="54"/>
  <c r="A639" i="54" s="1"/>
  <c r="B640" i="54"/>
  <c r="A640" i="54" s="1"/>
  <c r="B641" i="54"/>
  <c r="A641" i="54" s="1"/>
  <c r="B642" i="54"/>
  <c r="A642" i="54" s="1"/>
  <c r="B643" i="54"/>
  <c r="A643" i="54" s="1"/>
  <c r="B644" i="54"/>
  <c r="A644" i="54" s="1"/>
  <c r="B645" i="54"/>
  <c r="A645" i="54" s="1"/>
  <c r="B646" i="54"/>
  <c r="A646" i="54" s="1"/>
  <c r="B647" i="54"/>
  <c r="A647" i="54" s="1"/>
  <c r="B648" i="54"/>
  <c r="A648" i="54" s="1"/>
  <c r="B649" i="54"/>
  <c r="A649" i="54" s="1"/>
  <c r="B650" i="54"/>
  <c r="A650" i="54" s="1"/>
  <c r="B651" i="54"/>
  <c r="A651" i="54" s="1"/>
  <c r="B652" i="54"/>
  <c r="A652" i="54" s="1"/>
  <c r="B653" i="54"/>
  <c r="A653" i="54" s="1"/>
  <c r="B654" i="54"/>
  <c r="A654" i="54" s="1"/>
  <c r="B655" i="54"/>
  <c r="A655" i="54" s="1"/>
  <c r="B656" i="54"/>
  <c r="A656" i="54" s="1"/>
  <c r="B657" i="54"/>
  <c r="A657" i="54" s="1"/>
  <c r="B658" i="54"/>
  <c r="A658" i="54" s="1"/>
  <c r="B659" i="54"/>
  <c r="A659" i="54" s="1"/>
  <c r="B660" i="54"/>
  <c r="A660" i="54" s="1"/>
  <c r="B661" i="54"/>
  <c r="A661" i="54" s="1"/>
  <c r="B662" i="54"/>
  <c r="A662" i="54" s="1"/>
  <c r="B663" i="54"/>
  <c r="A663" i="54" s="1"/>
  <c r="B664" i="54"/>
  <c r="A664" i="54" s="1"/>
  <c r="B665" i="54"/>
  <c r="A665" i="54" s="1"/>
  <c r="B666" i="54"/>
  <c r="A666" i="54" s="1"/>
  <c r="B667" i="54"/>
  <c r="A667" i="54" s="1"/>
  <c r="B668" i="54"/>
  <c r="A668" i="54" s="1"/>
  <c r="B669" i="54"/>
  <c r="A669" i="54" s="1"/>
  <c r="B670" i="54"/>
  <c r="A670" i="54" s="1"/>
  <c r="B671" i="54"/>
  <c r="A671" i="54" s="1"/>
  <c r="B672" i="54"/>
  <c r="A672" i="54" s="1"/>
  <c r="B673" i="54"/>
  <c r="A673" i="54" s="1"/>
  <c r="B674" i="54"/>
  <c r="A674" i="54" s="1"/>
  <c r="B675" i="54"/>
  <c r="A675" i="54" s="1"/>
  <c r="B676" i="54"/>
  <c r="A676" i="54" s="1"/>
  <c r="B677" i="54"/>
  <c r="A677" i="54" s="1"/>
  <c r="B678" i="54"/>
  <c r="A678" i="54" s="1"/>
  <c r="B679" i="54"/>
  <c r="A679" i="54" s="1"/>
  <c r="B680" i="54"/>
  <c r="A680" i="54" s="1"/>
  <c r="B681" i="54"/>
  <c r="A681" i="54" s="1"/>
  <c r="B682" i="54"/>
  <c r="A682" i="54" s="1"/>
  <c r="B683" i="54"/>
  <c r="A683" i="54" s="1"/>
  <c r="B684" i="54"/>
  <c r="A684" i="54" s="1"/>
  <c r="B685" i="54"/>
  <c r="A685" i="54" s="1"/>
  <c r="B686" i="54"/>
  <c r="A686" i="54" s="1"/>
  <c r="B687" i="54"/>
  <c r="A687" i="54" s="1"/>
  <c r="B688" i="54"/>
  <c r="A688" i="54" s="1"/>
  <c r="B689" i="54"/>
  <c r="A689" i="54" s="1"/>
  <c r="B690" i="54"/>
  <c r="A690" i="54" s="1"/>
  <c r="B691" i="54"/>
  <c r="A691" i="54" s="1"/>
  <c r="B692" i="54"/>
  <c r="A692" i="54" s="1"/>
  <c r="B693" i="54"/>
  <c r="A693" i="54" s="1"/>
  <c r="B694" i="54"/>
  <c r="A694" i="54" s="1"/>
  <c r="B695" i="54"/>
  <c r="A695" i="54" s="1"/>
  <c r="B696" i="54"/>
  <c r="A696" i="54" s="1"/>
  <c r="B697" i="54"/>
  <c r="A697" i="54" s="1"/>
  <c r="B698" i="54"/>
  <c r="A698" i="54" s="1"/>
  <c r="B699" i="54"/>
  <c r="A699" i="54" s="1"/>
  <c r="B700" i="54"/>
  <c r="A700" i="54" s="1"/>
  <c r="B701" i="54"/>
  <c r="A701" i="54" s="1"/>
  <c r="B702" i="54"/>
  <c r="A702" i="54" s="1"/>
  <c r="B703" i="54"/>
  <c r="A703" i="54" s="1"/>
  <c r="B704" i="54"/>
  <c r="A704" i="54" s="1"/>
  <c r="B705" i="54"/>
  <c r="A705" i="54" s="1"/>
  <c r="B706" i="54"/>
  <c r="A706" i="54" s="1"/>
  <c r="B707" i="54"/>
  <c r="A707" i="54" s="1"/>
  <c r="B708" i="54"/>
  <c r="A708" i="54" s="1"/>
  <c r="B709" i="54"/>
  <c r="A709" i="54" s="1"/>
  <c r="B710" i="54"/>
  <c r="A710" i="54" s="1"/>
  <c r="B711" i="54"/>
  <c r="A711" i="54" s="1"/>
  <c r="B712" i="54"/>
  <c r="A712" i="54" s="1"/>
  <c r="B713" i="54"/>
  <c r="A713" i="54" s="1"/>
  <c r="B714" i="54"/>
  <c r="A714" i="54" s="1"/>
  <c r="B715" i="54"/>
  <c r="A715" i="54" s="1"/>
  <c r="B716" i="54"/>
  <c r="A716" i="54" s="1"/>
  <c r="B717" i="54"/>
  <c r="A717" i="54" s="1"/>
  <c r="B718" i="54"/>
  <c r="A718" i="54" s="1"/>
  <c r="B719" i="54"/>
  <c r="A719" i="54" s="1"/>
  <c r="B720" i="54"/>
  <c r="A720" i="54" s="1"/>
  <c r="B721" i="54"/>
  <c r="A721" i="54" s="1"/>
  <c r="B722" i="54"/>
  <c r="A722" i="54" s="1"/>
  <c r="B723" i="54"/>
  <c r="A723" i="54" s="1"/>
  <c r="B724" i="54"/>
  <c r="A724" i="54" s="1"/>
  <c r="B725" i="54"/>
  <c r="A725" i="54" s="1"/>
  <c r="B726" i="54"/>
  <c r="A726" i="54" s="1"/>
  <c r="B727" i="54"/>
  <c r="A727" i="54" s="1"/>
  <c r="B728" i="54"/>
  <c r="A728" i="54" s="1"/>
  <c r="B729" i="54"/>
  <c r="A729" i="54" s="1"/>
  <c r="B730" i="54"/>
  <c r="A730" i="54" s="1"/>
  <c r="B731" i="54"/>
  <c r="A731" i="54" s="1"/>
  <c r="B732" i="54"/>
  <c r="A732" i="54" s="1"/>
  <c r="B733" i="54"/>
  <c r="A733" i="54" s="1"/>
  <c r="B734" i="54"/>
  <c r="A734" i="54" s="1"/>
  <c r="B735" i="54"/>
  <c r="A735" i="54" s="1"/>
  <c r="B736" i="54"/>
  <c r="A736" i="54" s="1"/>
  <c r="B737" i="54"/>
  <c r="A737" i="54" s="1"/>
  <c r="B738" i="54"/>
  <c r="A738" i="54" s="1"/>
  <c r="B739" i="54"/>
  <c r="A739" i="54" s="1"/>
  <c r="B740" i="54"/>
  <c r="A740" i="54" s="1"/>
  <c r="B741" i="54"/>
  <c r="A741" i="54" s="1"/>
  <c r="B742" i="54"/>
  <c r="A742" i="54" s="1"/>
  <c r="B743" i="54"/>
  <c r="A743" i="54" s="1"/>
  <c r="B744" i="54"/>
  <c r="A744" i="54" s="1"/>
  <c r="B745" i="54"/>
  <c r="A745" i="54" s="1"/>
  <c r="B746" i="54"/>
  <c r="A746" i="54" s="1"/>
  <c r="B747" i="54"/>
  <c r="A747" i="54" s="1"/>
  <c r="B748" i="54"/>
  <c r="A748" i="54" s="1"/>
  <c r="B749" i="54"/>
  <c r="A749" i="54" s="1"/>
  <c r="B750" i="54"/>
  <c r="A750" i="54" s="1"/>
  <c r="B751" i="54"/>
  <c r="A751" i="54" s="1"/>
  <c r="B752" i="54"/>
  <c r="A752" i="54" s="1"/>
  <c r="B753" i="54"/>
  <c r="A753" i="54" s="1"/>
  <c r="B754" i="54"/>
  <c r="A754" i="54" s="1"/>
  <c r="B755" i="54"/>
  <c r="A755" i="54" s="1"/>
  <c r="B756" i="54"/>
  <c r="A756" i="54" s="1"/>
  <c r="B757" i="54"/>
  <c r="A757" i="54" s="1"/>
  <c r="B758" i="54"/>
  <c r="A758" i="54" s="1"/>
  <c r="B759" i="54"/>
  <c r="A759" i="54" s="1"/>
  <c r="B760" i="54"/>
  <c r="A760" i="54" s="1"/>
  <c r="B761" i="54"/>
  <c r="A761" i="54" s="1"/>
  <c r="B762" i="54"/>
  <c r="A762" i="54" s="1"/>
  <c r="B763" i="54"/>
  <c r="A763" i="54" s="1"/>
  <c r="B764" i="54"/>
  <c r="A764" i="54" s="1"/>
  <c r="B765" i="54"/>
  <c r="A765" i="54" s="1"/>
  <c r="B766" i="54"/>
  <c r="A766" i="54" s="1"/>
  <c r="B767" i="54"/>
  <c r="A767" i="54" s="1"/>
  <c r="B768" i="54"/>
  <c r="A768" i="54" s="1"/>
  <c r="B769" i="54"/>
  <c r="A769" i="54" s="1"/>
  <c r="B770" i="54"/>
  <c r="A770" i="54" s="1"/>
  <c r="B771" i="54"/>
  <c r="A771" i="54" s="1"/>
  <c r="B772" i="54"/>
  <c r="A772" i="54" s="1"/>
  <c r="B773" i="54"/>
  <c r="A773" i="54" s="1"/>
  <c r="B774" i="54"/>
  <c r="A774" i="54" s="1"/>
  <c r="B775" i="54"/>
  <c r="A775" i="54" s="1"/>
  <c r="B776" i="54"/>
  <c r="A776" i="54" s="1"/>
  <c r="B777" i="54"/>
  <c r="A777" i="54" s="1"/>
  <c r="B778" i="54"/>
  <c r="A778" i="54" s="1"/>
  <c r="B779" i="54"/>
  <c r="A779" i="54" s="1"/>
  <c r="B780" i="54"/>
  <c r="A780" i="54" s="1"/>
  <c r="B781" i="54"/>
  <c r="A781" i="54" s="1"/>
  <c r="B782" i="54"/>
  <c r="A782" i="54" s="1"/>
  <c r="B783" i="54"/>
  <c r="A783" i="54" s="1"/>
  <c r="B784" i="54"/>
  <c r="A784" i="54" s="1"/>
  <c r="B785" i="54"/>
  <c r="A785" i="54" s="1"/>
  <c r="B786" i="54"/>
  <c r="A786" i="54" s="1"/>
  <c r="B787" i="54"/>
  <c r="A787" i="54" s="1"/>
  <c r="B788" i="54"/>
  <c r="A788" i="54" s="1"/>
  <c r="B789" i="54"/>
  <c r="A789" i="54" s="1"/>
  <c r="B790" i="54"/>
  <c r="A790" i="54" s="1"/>
  <c r="B791" i="54"/>
  <c r="A791" i="54" s="1"/>
  <c r="B792" i="54"/>
  <c r="A792" i="54" s="1"/>
  <c r="B793" i="54"/>
  <c r="A793" i="54" s="1"/>
  <c r="B794" i="54"/>
  <c r="A794" i="54" s="1"/>
  <c r="B795" i="54"/>
  <c r="A795" i="54" s="1"/>
  <c r="B796" i="54"/>
  <c r="A796" i="54" s="1"/>
  <c r="B797" i="54"/>
  <c r="A797" i="54" s="1"/>
  <c r="B798" i="54"/>
  <c r="A798" i="54" s="1"/>
  <c r="B799" i="54"/>
  <c r="A799" i="54" s="1"/>
  <c r="B800" i="54"/>
  <c r="A800" i="54" s="1"/>
  <c r="B801" i="54"/>
  <c r="A801" i="54" s="1"/>
  <c r="B802" i="54"/>
  <c r="A802" i="54" s="1"/>
  <c r="B803" i="54"/>
  <c r="A803" i="54" s="1"/>
  <c r="B804" i="54"/>
  <c r="A804" i="54" s="1"/>
  <c r="B805" i="54"/>
  <c r="A805" i="54" s="1"/>
  <c r="B806" i="54"/>
  <c r="A806" i="54" s="1"/>
  <c r="B807" i="54"/>
  <c r="A807" i="54" s="1"/>
  <c r="B808" i="54"/>
  <c r="A808" i="54" s="1"/>
  <c r="B809" i="54"/>
  <c r="A809" i="54" s="1"/>
  <c r="B810" i="54"/>
  <c r="A810" i="54" s="1"/>
  <c r="B811" i="54"/>
  <c r="A811" i="54" s="1"/>
  <c r="B812" i="54"/>
  <c r="A812" i="54" s="1"/>
  <c r="B813" i="54"/>
  <c r="A813" i="54" s="1"/>
  <c r="B814" i="54"/>
  <c r="A814" i="54" s="1"/>
  <c r="B815" i="54"/>
  <c r="A815" i="54" s="1"/>
  <c r="B816" i="54"/>
  <c r="A816" i="54" s="1"/>
  <c r="B817" i="54"/>
  <c r="A817" i="54" s="1"/>
  <c r="B818" i="54"/>
  <c r="A818" i="54" s="1"/>
  <c r="B819" i="54"/>
  <c r="A819" i="54" s="1"/>
  <c r="B820" i="54"/>
  <c r="A820" i="54" s="1"/>
  <c r="B821" i="54"/>
  <c r="A821" i="54" s="1"/>
  <c r="B822" i="54"/>
  <c r="A822" i="54" s="1"/>
  <c r="B823" i="54"/>
  <c r="A823" i="54" s="1"/>
  <c r="B824" i="54"/>
  <c r="A824" i="54" s="1"/>
  <c r="B825" i="54"/>
  <c r="A825" i="54" s="1"/>
  <c r="B826" i="54"/>
  <c r="A826" i="54" s="1"/>
  <c r="B827" i="54"/>
  <c r="A827" i="54" s="1"/>
  <c r="B828" i="54"/>
  <c r="A828" i="54" s="1"/>
  <c r="B829" i="54"/>
  <c r="A829" i="54" s="1"/>
  <c r="B830" i="54"/>
  <c r="A830" i="54" s="1"/>
  <c r="B831" i="54"/>
  <c r="A831" i="54" s="1"/>
  <c r="B832" i="54"/>
  <c r="A832" i="54" s="1"/>
  <c r="B833" i="54"/>
  <c r="A833" i="54" s="1"/>
  <c r="B834" i="54"/>
  <c r="A834" i="54" s="1"/>
  <c r="B835" i="54"/>
  <c r="A835" i="54" s="1"/>
  <c r="B836" i="54"/>
  <c r="A836" i="54" s="1"/>
  <c r="B837" i="54"/>
  <c r="A837" i="54" s="1"/>
  <c r="B838" i="54"/>
  <c r="A838" i="54" s="1"/>
  <c r="B839" i="54"/>
  <c r="A839" i="54" s="1"/>
  <c r="B840" i="54"/>
  <c r="A840" i="54" s="1"/>
  <c r="B841" i="54"/>
  <c r="A841" i="54" s="1"/>
  <c r="B842" i="54"/>
  <c r="A842" i="54" s="1"/>
  <c r="B843" i="54"/>
  <c r="A843" i="54" s="1"/>
  <c r="B844" i="54"/>
  <c r="A844" i="54" s="1"/>
  <c r="B845" i="54"/>
  <c r="A845" i="54" s="1"/>
  <c r="B846" i="54"/>
  <c r="A846" i="54" s="1"/>
  <c r="B847" i="54"/>
  <c r="A847" i="54" s="1"/>
  <c r="B848" i="54"/>
  <c r="A848" i="54" s="1"/>
  <c r="B849" i="54"/>
  <c r="A849" i="54" s="1"/>
  <c r="B850" i="54"/>
  <c r="A850" i="54" s="1"/>
  <c r="B851" i="54"/>
  <c r="A851" i="54" s="1"/>
  <c r="B852" i="54"/>
  <c r="A852" i="54" s="1"/>
  <c r="B853" i="54"/>
  <c r="A853" i="54" s="1"/>
  <c r="B854" i="54"/>
  <c r="A854" i="54" s="1"/>
  <c r="B855" i="54"/>
  <c r="A855" i="54" s="1"/>
  <c r="B856" i="54"/>
  <c r="A856" i="54" s="1"/>
  <c r="B857" i="54"/>
  <c r="A857" i="54" s="1"/>
  <c r="B858" i="54"/>
  <c r="A858" i="54" s="1"/>
  <c r="B859" i="54"/>
  <c r="A859" i="54" s="1"/>
  <c r="B860" i="54"/>
  <c r="A860" i="54" s="1"/>
  <c r="B861" i="54"/>
  <c r="A861" i="54" s="1"/>
  <c r="B862" i="54"/>
  <c r="A862" i="54" s="1"/>
  <c r="B863" i="54"/>
  <c r="A863" i="54" s="1"/>
  <c r="B864" i="54"/>
  <c r="A864" i="54" s="1"/>
  <c r="B865" i="54"/>
  <c r="A865" i="54" s="1"/>
  <c r="B866" i="54"/>
  <c r="A866" i="54" s="1"/>
  <c r="B867" i="54"/>
  <c r="A867" i="54" s="1"/>
  <c r="B868" i="54"/>
  <c r="A868" i="54" s="1"/>
  <c r="B869" i="54"/>
  <c r="A869" i="54" s="1"/>
  <c r="B870" i="54"/>
  <c r="A870" i="54" s="1"/>
  <c r="B871" i="54"/>
  <c r="A871" i="54" s="1"/>
  <c r="B872" i="54"/>
  <c r="A872" i="54" s="1"/>
  <c r="B873" i="54"/>
  <c r="A873" i="54" s="1"/>
  <c r="B874" i="54"/>
  <c r="A874" i="54" s="1"/>
  <c r="B875" i="54"/>
  <c r="A875" i="54" s="1"/>
  <c r="B876" i="54"/>
  <c r="A876" i="54" s="1"/>
  <c r="B877" i="54"/>
  <c r="A877" i="54" s="1"/>
  <c r="B878" i="54"/>
  <c r="A878" i="54" s="1"/>
  <c r="B879" i="54"/>
  <c r="A879" i="54" s="1"/>
  <c r="B880" i="54"/>
  <c r="A880" i="54" s="1"/>
  <c r="B881" i="54"/>
  <c r="A881" i="54" s="1"/>
  <c r="B882" i="54"/>
  <c r="A882" i="54" s="1"/>
  <c r="B883" i="54"/>
  <c r="A883" i="54" s="1"/>
  <c r="B884" i="54"/>
  <c r="A884" i="54" s="1"/>
  <c r="B885" i="54"/>
  <c r="A885" i="54" s="1"/>
  <c r="B886" i="54"/>
  <c r="A886" i="54" s="1"/>
  <c r="B887" i="54"/>
  <c r="A887" i="54" s="1"/>
  <c r="B888" i="54"/>
  <c r="A888" i="54" s="1"/>
  <c r="B889" i="54"/>
  <c r="A889" i="54" s="1"/>
  <c r="B890" i="54"/>
  <c r="A890" i="54" s="1"/>
  <c r="B891" i="54"/>
  <c r="A891" i="54" s="1"/>
  <c r="B892" i="54"/>
  <c r="A892" i="54" s="1"/>
  <c r="B893" i="54"/>
  <c r="A893" i="54" s="1"/>
  <c r="B894" i="54"/>
  <c r="A894" i="54" s="1"/>
  <c r="B895" i="54"/>
  <c r="A895" i="54" s="1"/>
  <c r="B896" i="54"/>
  <c r="A896" i="54" s="1"/>
  <c r="B897" i="54"/>
  <c r="A897" i="54" s="1"/>
  <c r="B898" i="54"/>
  <c r="A898" i="54" s="1"/>
  <c r="B899" i="54"/>
  <c r="A899" i="54" s="1"/>
  <c r="B900" i="54"/>
  <c r="A900" i="54" s="1"/>
  <c r="B901" i="54"/>
  <c r="A901" i="54" s="1"/>
  <c r="B902" i="54"/>
  <c r="A902" i="54" s="1"/>
  <c r="B903" i="54"/>
  <c r="A903" i="54" s="1"/>
  <c r="B904" i="54"/>
  <c r="A904" i="54" s="1"/>
  <c r="B905" i="54"/>
  <c r="A905" i="54" s="1"/>
  <c r="B906" i="54"/>
  <c r="A906" i="54" s="1"/>
  <c r="B907" i="54"/>
  <c r="A907" i="54" s="1"/>
  <c r="B908" i="54"/>
  <c r="A908" i="54" s="1"/>
  <c r="B909" i="54"/>
  <c r="A909" i="54" s="1"/>
  <c r="B910" i="54"/>
  <c r="A910" i="54" s="1"/>
  <c r="B911" i="54"/>
  <c r="A911" i="54" s="1"/>
  <c r="B912" i="54"/>
  <c r="A912" i="54" s="1"/>
  <c r="B913" i="54"/>
  <c r="A913" i="54" s="1"/>
  <c r="B914" i="54"/>
  <c r="A914" i="54" s="1"/>
  <c r="B915" i="54"/>
  <c r="A915" i="54" s="1"/>
  <c r="B916" i="54"/>
  <c r="A916" i="54" s="1"/>
  <c r="B917" i="54"/>
  <c r="A917" i="54" s="1"/>
  <c r="B918" i="54"/>
  <c r="A918" i="54" s="1"/>
  <c r="B919" i="54"/>
  <c r="A919" i="54" s="1"/>
  <c r="B920" i="54"/>
  <c r="A920" i="54" s="1"/>
  <c r="B921" i="54"/>
  <c r="A921" i="54" s="1"/>
  <c r="B922" i="54"/>
  <c r="A922" i="54" s="1"/>
  <c r="B923" i="54"/>
  <c r="A923" i="54" s="1"/>
  <c r="B924" i="54"/>
  <c r="A924" i="54" s="1"/>
  <c r="B925" i="54"/>
  <c r="A925" i="54" s="1"/>
  <c r="B926" i="54"/>
  <c r="A926" i="54" s="1"/>
  <c r="B927" i="54"/>
  <c r="A927" i="54" s="1"/>
  <c r="B928" i="54"/>
  <c r="A928" i="54" s="1"/>
  <c r="B929" i="54"/>
  <c r="A929" i="54" s="1"/>
  <c r="B930" i="54"/>
  <c r="A930" i="54" s="1"/>
  <c r="B931" i="54"/>
  <c r="A931" i="54" s="1"/>
  <c r="B932" i="54"/>
  <c r="A932" i="54" s="1"/>
  <c r="B933" i="54"/>
  <c r="A933" i="54" s="1"/>
  <c r="B934" i="54"/>
  <c r="A934" i="54" s="1"/>
  <c r="B935" i="54"/>
  <c r="A935" i="54" s="1"/>
  <c r="B936" i="54"/>
  <c r="A936" i="54" s="1"/>
  <c r="B937" i="54"/>
  <c r="A937" i="54" s="1"/>
  <c r="B938" i="54"/>
  <c r="A938" i="54" s="1"/>
  <c r="B939" i="54"/>
  <c r="A939" i="54" s="1"/>
  <c r="B940" i="54"/>
  <c r="A940" i="54" s="1"/>
  <c r="B941" i="54"/>
  <c r="A941" i="54" s="1"/>
  <c r="B942" i="54"/>
  <c r="A942" i="54" s="1"/>
  <c r="B943" i="54"/>
  <c r="A943" i="54" s="1"/>
  <c r="B944" i="54"/>
  <c r="A944" i="54" s="1"/>
  <c r="B945" i="54"/>
  <c r="A945" i="54" s="1"/>
  <c r="B946" i="54"/>
  <c r="A946" i="54" s="1"/>
  <c r="B947" i="54"/>
  <c r="A947" i="54" s="1"/>
  <c r="B948" i="54"/>
  <c r="A948" i="54" s="1"/>
  <c r="B949" i="54"/>
  <c r="A949" i="54" s="1"/>
  <c r="B950" i="54"/>
  <c r="A950" i="54" s="1"/>
  <c r="B951" i="54"/>
  <c r="A951" i="54" s="1"/>
  <c r="B952" i="54"/>
  <c r="A952" i="54" s="1"/>
  <c r="B953" i="54"/>
  <c r="A953" i="54" s="1"/>
  <c r="B954" i="54"/>
  <c r="A954" i="54" s="1"/>
  <c r="B955" i="54"/>
  <c r="A955" i="54" s="1"/>
  <c r="B956" i="54"/>
  <c r="A956" i="54" s="1"/>
  <c r="B957" i="54"/>
  <c r="A957" i="54" s="1"/>
  <c r="B958" i="54"/>
  <c r="A958" i="54" s="1"/>
  <c r="B959" i="54"/>
  <c r="A959" i="54" s="1"/>
  <c r="B960" i="54"/>
  <c r="A960" i="54" s="1"/>
  <c r="B961" i="54"/>
  <c r="A961" i="54" s="1"/>
  <c r="B962" i="54"/>
  <c r="A962" i="54" s="1"/>
  <c r="B963" i="54"/>
  <c r="A963" i="54" s="1"/>
  <c r="B964" i="54"/>
  <c r="A964" i="54" s="1"/>
  <c r="B965" i="54"/>
  <c r="A965" i="54" s="1"/>
  <c r="B966" i="54"/>
  <c r="A966" i="54" s="1"/>
  <c r="B967" i="54"/>
  <c r="A967" i="54" s="1"/>
  <c r="B968" i="54"/>
  <c r="A968" i="54" s="1"/>
  <c r="B969" i="54"/>
  <c r="A969" i="54" s="1"/>
  <c r="B970" i="54"/>
  <c r="A970" i="54" s="1"/>
  <c r="B971" i="54"/>
  <c r="A971" i="54" s="1"/>
  <c r="B972" i="54"/>
  <c r="A972" i="54" s="1"/>
  <c r="B973" i="54"/>
  <c r="A973" i="54" s="1"/>
  <c r="B974" i="54"/>
  <c r="A974" i="54" s="1"/>
  <c r="B975" i="54"/>
  <c r="A975" i="54" s="1"/>
  <c r="B976" i="54"/>
  <c r="A976" i="54" s="1"/>
  <c r="B977" i="54"/>
  <c r="A977" i="54" s="1"/>
  <c r="B978" i="54"/>
  <c r="A978" i="54" s="1"/>
  <c r="B979" i="54"/>
  <c r="A979" i="54" s="1"/>
  <c r="B980" i="54"/>
  <c r="A980" i="54" s="1"/>
  <c r="B981" i="54"/>
  <c r="A981" i="54" s="1"/>
  <c r="B982" i="54"/>
  <c r="A982" i="54" s="1"/>
  <c r="B983" i="54"/>
  <c r="A983" i="54" s="1"/>
  <c r="B984" i="54"/>
  <c r="A984" i="54" s="1"/>
  <c r="B985" i="54"/>
  <c r="A985" i="54" s="1"/>
  <c r="B986" i="54"/>
  <c r="A986" i="54" s="1"/>
  <c r="B987" i="54"/>
  <c r="A987" i="54" s="1"/>
  <c r="B988" i="54"/>
  <c r="A988" i="54" s="1"/>
  <c r="B989" i="54"/>
  <c r="A989" i="54" s="1"/>
  <c r="B990" i="54"/>
  <c r="A990" i="54" s="1"/>
  <c r="B991" i="54"/>
  <c r="A991" i="54" s="1"/>
  <c r="B992" i="54"/>
  <c r="A992" i="54" s="1"/>
  <c r="B993" i="54"/>
  <c r="A993" i="54" s="1"/>
  <c r="B994" i="54"/>
  <c r="A994" i="54" s="1"/>
  <c r="B995" i="54"/>
  <c r="A995" i="54" s="1"/>
  <c r="B996" i="54"/>
  <c r="A996" i="54" s="1"/>
  <c r="B997" i="54"/>
  <c r="A997" i="54" s="1"/>
  <c r="B998" i="54"/>
  <c r="A998" i="54" s="1"/>
  <c r="B999" i="54"/>
  <c r="A999" i="54" s="1"/>
  <c r="B1000" i="54"/>
  <c r="A1000" i="54" s="1"/>
  <c r="B1001" i="54"/>
  <c r="A1001" i="54" s="1"/>
  <c r="B1002" i="54"/>
  <c r="A1002" i="54" s="1"/>
  <c r="B1003" i="54"/>
  <c r="A1003" i="54" s="1"/>
  <c r="B1004" i="54"/>
  <c r="A1004" i="54" s="1"/>
  <c r="B1005" i="54"/>
  <c r="A1005" i="54" s="1"/>
  <c r="B1006" i="54"/>
  <c r="A1006" i="54" s="1"/>
  <c r="B1007" i="54"/>
  <c r="A1007" i="54" s="1"/>
  <c r="B1008" i="54"/>
  <c r="A1008" i="54" s="1"/>
  <c r="B1009" i="54"/>
  <c r="A1009" i="54" s="1"/>
  <c r="B2" i="54"/>
  <c r="A2" i="54" s="1"/>
  <c r="E57" i="51"/>
  <c r="Z57" i="51" s="1"/>
  <c r="E82" i="51"/>
  <c r="Z82" i="51" s="1"/>
  <c r="E107" i="51"/>
  <c r="Z107" i="51" s="1"/>
  <c r="E132" i="51"/>
  <c r="Z132" i="51" s="1"/>
  <c r="E32" i="51"/>
  <c r="Z32" i="51" s="1"/>
  <c r="C134" i="51"/>
  <c r="C109" i="51"/>
  <c r="C110" i="51" s="1"/>
  <c r="C111" i="51" s="1"/>
  <c r="C84" i="51"/>
  <c r="C59" i="51"/>
  <c r="C60" i="51" s="1"/>
  <c r="C34" i="51"/>
  <c r="C35" i="51" s="1"/>
  <c r="D5" i="61" a="1"/>
  <c r="D5" i="61" s="1"/>
  <c r="E5" i="51" a="1"/>
  <c r="E5" i="51" s="1"/>
  <c r="L22" i="61"/>
  <c r="N22" i="61" s="1"/>
  <c r="L20" i="61"/>
  <c r="N20" i="61" s="1"/>
  <c r="L18" i="61"/>
  <c r="N18" i="61" s="1"/>
  <c r="L14" i="61"/>
  <c r="N14" i="61" s="1"/>
  <c r="L11" i="61"/>
  <c r="N11" i="61" s="1"/>
  <c r="N25" i="61" l="1"/>
  <c r="L184" i="2" s="1"/>
  <c r="E60" i="51"/>
  <c r="E61" i="51"/>
  <c r="J22" i="51"/>
  <c r="H22" i="51"/>
  <c r="G22" i="51"/>
  <c r="I22" i="51"/>
  <c r="F22" i="51"/>
  <c r="E34" i="51"/>
  <c r="K13" i="64"/>
  <c r="F15" i="64"/>
  <c r="G15" i="64"/>
  <c r="H15" i="64"/>
  <c r="M15" i="64"/>
  <c r="E15" i="64"/>
  <c r="D14" i="64"/>
  <c r="I14" i="64" s="1"/>
  <c r="C16" i="64"/>
  <c r="B17" i="64"/>
  <c r="W132" i="51"/>
  <c r="Y132" i="51" s="1"/>
  <c r="W24" i="51"/>
  <c r="Y24" i="51" s="1"/>
  <c r="W82" i="51"/>
  <c r="Y82" i="51" s="1"/>
  <c r="W107" i="51"/>
  <c r="Y107" i="51" s="1"/>
  <c r="W23" i="51"/>
  <c r="Q22" i="52"/>
  <c r="S22" i="52" s="1"/>
  <c r="Q33" i="52"/>
  <c r="S33" i="52" s="1"/>
  <c r="Q25" i="52"/>
  <c r="S25" i="52" s="1"/>
  <c r="Q32" i="52"/>
  <c r="S32" i="52" s="1"/>
  <c r="Q23" i="52"/>
  <c r="S23" i="52" s="1"/>
  <c r="Q30" i="52"/>
  <c r="S30" i="52" s="1"/>
  <c r="Q21" i="52"/>
  <c r="S21" i="52" s="1"/>
  <c r="Q24" i="52"/>
  <c r="S24" i="52" s="1"/>
  <c r="Q31" i="52"/>
  <c r="S31" i="52" s="1"/>
  <c r="Q34" i="52"/>
  <c r="S34" i="52" s="1"/>
  <c r="W25" i="51"/>
  <c r="Y25" i="51" s="1"/>
  <c r="W26" i="51"/>
  <c r="Y26" i="51" s="1"/>
  <c r="W57" i="51"/>
  <c r="Y57" i="51" s="1"/>
  <c r="G32" i="52"/>
  <c r="F32" i="52"/>
  <c r="E31" i="52"/>
  <c r="I25" i="52"/>
  <c r="G24" i="52"/>
  <c r="F30" i="52"/>
  <c r="F24" i="52"/>
  <c r="I33" i="52"/>
  <c r="E30" i="52"/>
  <c r="I22" i="52"/>
  <c r="I34" i="52"/>
  <c r="G33" i="52"/>
  <c r="E32" i="52"/>
  <c r="G25" i="52"/>
  <c r="E24" i="52"/>
  <c r="H22" i="52"/>
  <c r="H34" i="52"/>
  <c r="F33" i="52"/>
  <c r="I21" i="52"/>
  <c r="F25" i="52"/>
  <c r="G22" i="52"/>
  <c r="G34" i="52"/>
  <c r="E33" i="52"/>
  <c r="I31" i="52"/>
  <c r="H21" i="52"/>
  <c r="E25" i="52"/>
  <c r="H23" i="52"/>
  <c r="F22" i="52"/>
  <c r="I30" i="52"/>
  <c r="F34" i="52"/>
  <c r="H31" i="52"/>
  <c r="G21" i="52"/>
  <c r="G23" i="52"/>
  <c r="G13" i="52" s="1"/>
  <c r="E22" i="52"/>
  <c r="E12" i="52" s="1"/>
  <c r="H33" i="52"/>
  <c r="H25" i="52"/>
  <c r="H30" i="52"/>
  <c r="E34" i="52"/>
  <c r="I32" i="52"/>
  <c r="I13" i="52" s="1"/>
  <c r="G31" i="52"/>
  <c r="F21" i="52"/>
  <c r="I24" i="52"/>
  <c r="I14" i="52" s="1"/>
  <c r="F23" i="52"/>
  <c r="G30" i="52"/>
  <c r="H32" i="52"/>
  <c r="F31" i="52"/>
  <c r="E21" i="52"/>
  <c r="H24" i="52"/>
  <c r="E23" i="52"/>
  <c r="E108" i="51"/>
  <c r="Z108" i="51" s="1"/>
  <c r="W108" i="51" s="1"/>
  <c r="Y108" i="51" s="1"/>
  <c r="G24" i="51"/>
  <c r="I25" i="51"/>
  <c r="F23" i="51"/>
  <c r="H24" i="51"/>
  <c r="J25" i="51"/>
  <c r="I23" i="51"/>
  <c r="G26" i="51"/>
  <c r="J23" i="51"/>
  <c r="F25" i="51"/>
  <c r="H26" i="51"/>
  <c r="G23" i="51"/>
  <c r="H23" i="51"/>
  <c r="F26" i="51"/>
  <c r="I26" i="51"/>
  <c r="F24" i="51"/>
  <c r="J26" i="51"/>
  <c r="I24" i="51"/>
  <c r="G25" i="51"/>
  <c r="J24" i="51"/>
  <c r="H25" i="51"/>
  <c r="E133" i="51"/>
  <c r="Z133" i="51" s="1"/>
  <c r="W133" i="51" s="1"/>
  <c r="Y133" i="51" s="1"/>
  <c r="E134" i="51"/>
  <c r="Z134" i="51" s="1"/>
  <c r="W134" i="51" s="1"/>
  <c r="Y134" i="51" s="1"/>
  <c r="E59" i="51"/>
  <c r="Z59" i="51" s="1"/>
  <c r="W59" i="51" s="1"/>
  <c r="Y59" i="51" s="1"/>
  <c r="C36" i="51"/>
  <c r="E35" i="51"/>
  <c r="Z35" i="51" s="1"/>
  <c r="W35" i="51" s="1"/>
  <c r="Y35" i="51" s="1"/>
  <c r="E33" i="51"/>
  <c r="E58" i="51"/>
  <c r="Z58" i="51" s="1"/>
  <c r="W58" i="51" s="1"/>
  <c r="Y58" i="51" s="1"/>
  <c r="C61" i="51"/>
  <c r="Z60" i="51"/>
  <c r="W60" i="51" s="1"/>
  <c r="Y60" i="51" s="1"/>
  <c r="C85" i="51"/>
  <c r="E84" i="51"/>
  <c r="Z84" i="51" s="1"/>
  <c r="W84" i="51" s="1"/>
  <c r="Y84" i="51" s="1"/>
  <c r="E83" i="51"/>
  <c r="Z83" i="51" s="1"/>
  <c r="W83" i="51" s="1"/>
  <c r="Y83" i="51" s="1"/>
  <c r="E109" i="51"/>
  <c r="Z109" i="51" s="1"/>
  <c r="W109" i="51" s="1"/>
  <c r="Y109" i="51" s="1"/>
  <c r="C112" i="51"/>
  <c r="E111" i="51"/>
  <c r="Z111" i="51" s="1"/>
  <c r="W111" i="51" s="1"/>
  <c r="Y111" i="51" s="1"/>
  <c r="C135" i="51"/>
  <c r="E110" i="51"/>
  <c r="Z110" i="51" s="1"/>
  <c r="W110" i="51" s="1"/>
  <c r="Y110" i="51" s="1"/>
  <c r="V184" i="61"/>
  <c r="V35" i="61"/>
  <c r="F13" i="52" l="1"/>
  <c r="E13" i="52"/>
  <c r="F15" i="52"/>
  <c r="H12" i="52"/>
  <c r="E11" i="52"/>
  <c r="F12" i="52"/>
  <c r="I15" i="52"/>
  <c r="H14" i="52"/>
  <c r="G15" i="52"/>
  <c r="G12" i="52"/>
  <c r="G14" i="52"/>
  <c r="H15" i="52"/>
  <c r="H13" i="52"/>
  <c r="E15" i="52"/>
  <c r="I12" i="52"/>
  <c r="E14" i="52"/>
  <c r="F14" i="52"/>
  <c r="S35" i="52"/>
  <c r="L186" i="2" s="1"/>
  <c r="Y23" i="51"/>
  <c r="M16" i="64"/>
  <c r="E16" i="64"/>
  <c r="F16" i="64"/>
  <c r="G16" i="64"/>
  <c r="H16" i="64"/>
  <c r="K14" i="64"/>
  <c r="D15" i="64"/>
  <c r="I15" i="64" s="1"/>
  <c r="C17" i="64"/>
  <c r="B18" i="64"/>
  <c r="Z34" i="51"/>
  <c r="W34" i="51" s="1"/>
  <c r="Y34" i="51" s="1"/>
  <c r="F34" i="51"/>
  <c r="Z33" i="51"/>
  <c r="W33" i="51" s="1"/>
  <c r="Y33" i="51" s="1"/>
  <c r="F33" i="51"/>
  <c r="G11" i="52"/>
  <c r="H11" i="52"/>
  <c r="I11" i="52"/>
  <c r="F11" i="52"/>
  <c r="G34" i="51"/>
  <c r="H34" i="51"/>
  <c r="I34" i="51"/>
  <c r="J34" i="51"/>
  <c r="I35" i="51"/>
  <c r="F35" i="51"/>
  <c r="H35" i="51"/>
  <c r="G35" i="51"/>
  <c r="J35" i="51"/>
  <c r="H111" i="51"/>
  <c r="J111" i="51"/>
  <c r="G111" i="51"/>
  <c r="F111" i="51"/>
  <c r="I111" i="51"/>
  <c r="I60" i="51"/>
  <c r="F60" i="51"/>
  <c r="G60" i="51"/>
  <c r="H60" i="51"/>
  <c r="J60" i="51"/>
  <c r="I133" i="51"/>
  <c r="F133" i="51"/>
  <c r="H133" i="51"/>
  <c r="J133" i="51"/>
  <c r="G133" i="51"/>
  <c r="F58" i="51"/>
  <c r="J58" i="51"/>
  <c r="G58" i="51"/>
  <c r="H58" i="51"/>
  <c r="I58" i="51"/>
  <c r="G109" i="51"/>
  <c r="I109" i="51"/>
  <c r="F109" i="51"/>
  <c r="H109" i="51"/>
  <c r="J109" i="51"/>
  <c r="G33" i="51"/>
  <c r="H33" i="51"/>
  <c r="I33" i="51"/>
  <c r="J33" i="51"/>
  <c r="F83" i="51"/>
  <c r="H83" i="51"/>
  <c r="I83" i="51"/>
  <c r="J83" i="51"/>
  <c r="G83" i="51"/>
  <c r="G84" i="51"/>
  <c r="F84" i="51"/>
  <c r="H84" i="51"/>
  <c r="I84" i="51"/>
  <c r="J84" i="51"/>
  <c r="G59" i="51"/>
  <c r="F59" i="51"/>
  <c r="I59" i="51"/>
  <c r="H59" i="51"/>
  <c r="J59" i="51"/>
  <c r="I110" i="51"/>
  <c r="F110" i="51"/>
  <c r="G110" i="51"/>
  <c r="H110" i="51"/>
  <c r="J110" i="51"/>
  <c r="H134" i="51"/>
  <c r="F134" i="51"/>
  <c r="J134" i="51"/>
  <c r="G134" i="51"/>
  <c r="I134" i="51"/>
  <c r="F108" i="51"/>
  <c r="G108" i="51"/>
  <c r="H108" i="51"/>
  <c r="J108" i="51"/>
  <c r="I108" i="51"/>
  <c r="C113" i="51"/>
  <c r="E112" i="51"/>
  <c r="Z112" i="51" s="1"/>
  <c r="W112" i="51" s="1"/>
  <c r="Y112" i="51" s="1"/>
  <c r="C136" i="51"/>
  <c r="E135" i="51"/>
  <c r="Z135" i="51" s="1"/>
  <c r="W135" i="51" s="1"/>
  <c r="Y135" i="51" s="1"/>
  <c r="C37" i="51"/>
  <c r="E36" i="51"/>
  <c r="Z36" i="51" s="1"/>
  <c r="W36" i="51" s="1"/>
  <c r="Y36" i="51" s="1"/>
  <c r="C62" i="51"/>
  <c r="Z61" i="51"/>
  <c r="W61" i="51" s="1"/>
  <c r="Y61" i="51" s="1"/>
  <c r="C86" i="51"/>
  <c r="E85" i="51"/>
  <c r="Z85" i="51" s="1"/>
  <c r="W85" i="51" s="1"/>
  <c r="Y85" i="51" s="1"/>
  <c r="K15" i="64" l="1"/>
  <c r="E17" i="64"/>
  <c r="F17" i="64"/>
  <c r="G17" i="64"/>
  <c r="H17" i="64"/>
  <c r="M17" i="64"/>
  <c r="D16" i="64"/>
  <c r="I16" i="64" s="1"/>
  <c r="C18" i="64"/>
  <c r="B19" i="64"/>
  <c r="F135" i="51"/>
  <c r="H135" i="51"/>
  <c r="I135" i="51"/>
  <c r="J135" i="51"/>
  <c r="G135" i="51"/>
  <c r="I85" i="51"/>
  <c r="F85" i="51"/>
  <c r="H85" i="51"/>
  <c r="G85" i="51"/>
  <c r="J85" i="51"/>
  <c r="J112" i="51"/>
  <c r="F112" i="51"/>
  <c r="G112" i="51"/>
  <c r="H112" i="51"/>
  <c r="I112" i="51"/>
  <c r="H36" i="51"/>
  <c r="F36" i="51"/>
  <c r="G36" i="51"/>
  <c r="I36" i="51"/>
  <c r="J36" i="51"/>
  <c r="H61" i="51"/>
  <c r="J61" i="51"/>
  <c r="G61" i="51"/>
  <c r="F61" i="51"/>
  <c r="I61" i="51"/>
  <c r="C38" i="51"/>
  <c r="E37" i="51"/>
  <c r="Z37" i="51" s="1"/>
  <c r="W37" i="51" s="1"/>
  <c r="Y37" i="51" s="1"/>
  <c r="C63" i="51"/>
  <c r="E62" i="51"/>
  <c r="Z62" i="51" s="1"/>
  <c r="W62" i="51" s="1"/>
  <c r="Y62" i="51" s="1"/>
  <c r="C87" i="51"/>
  <c r="E86" i="51"/>
  <c r="Z86" i="51" s="1"/>
  <c r="W86" i="51" s="1"/>
  <c r="Y86" i="51" s="1"/>
  <c r="C137" i="51"/>
  <c r="E136" i="51"/>
  <c r="Z136" i="51" s="1"/>
  <c r="W136" i="51" s="1"/>
  <c r="Y136" i="51" s="1"/>
  <c r="C114" i="51"/>
  <c r="E113" i="51"/>
  <c r="Z113" i="51" s="1"/>
  <c r="W113" i="51" s="1"/>
  <c r="Y113" i="51" s="1"/>
  <c r="V16" i="52"/>
  <c r="K16" i="64" l="1"/>
  <c r="D17" i="64"/>
  <c r="K17" i="64" s="1"/>
  <c r="G18" i="64"/>
  <c r="H18" i="64"/>
  <c r="M18" i="64"/>
  <c r="E18" i="64"/>
  <c r="F18" i="64"/>
  <c r="B20" i="64"/>
  <c r="C19" i="64"/>
  <c r="G113" i="51"/>
  <c r="I113" i="51"/>
  <c r="J113" i="51"/>
  <c r="F113" i="51"/>
  <c r="H113" i="51"/>
  <c r="G136" i="51"/>
  <c r="H136" i="51"/>
  <c r="I136" i="51"/>
  <c r="J136" i="51"/>
  <c r="F136" i="51"/>
  <c r="J37" i="51"/>
  <c r="I37" i="51"/>
  <c r="F37" i="51"/>
  <c r="G37" i="51"/>
  <c r="H37" i="51"/>
  <c r="J62" i="51"/>
  <c r="F62" i="51"/>
  <c r="G62" i="51"/>
  <c r="H62" i="51"/>
  <c r="I62" i="51"/>
  <c r="H86" i="51"/>
  <c r="F86" i="51"/>
  <c r="G86" i="51"/>
  <c r="I86" i="51"/>
  <c r="J86" i="51"/>
  <c r="C115" i="51"/>
  <c r="E114" i="51"/>
  <c r="Z114" i="51" s="1"/>
  <c r="W114" i="51" s="1"/>
  <c r="Y114" i="51" s="1"/>
  <c r="C64" i="51"/>
  <c r="E63" i="51"/>
  <c r="Z63" i="51" s="1"/>
  <c r="W63" i="51" s="1"/>
  <c r="Y63" i="51" s="1"/>
  <c r="C138" i="51"/>
  <c r="E137" i="51"/>
  <c r="Z137" i="51" s="1"/>
  <c r="W137" i="51" s="1"/>
  <c r="Y137" i="51" s="1"/>
  <c r="C88" i="51"/>
  <c r="E87" i="51"/>
  <c r="Z87" i="51" s="1"/>
  <c r="W87" i="51" s="1"/>
  <c r="Y87" i="51" s="1"/>
  <c r="C39" i="51"/>
  <c r="E38" i="51"/>
  <c r="Z38" i="51" s="1"/>
  <c r="W38" i="51" s="1"/>
  <c r="Y38" i="51" s="1"/>
  <c r="Q17" i="29"/>
  <c r="R17" i="29"/>
  <c r="S17" i="29"/>
  <c r="N17" i="29" l="1"/>
  <c r="I17" i="64"/>
  <c r="D18" i="64"/>
  <c r="I18" i="64" s="1"/>
  <c r="E19" i="64"/>
  <c r="F19" i="64"/>
  <c r="G19" i="64"/>
  <c r="H19" i="64"/>
  <c r="M19" i="64"/>
  <c r="C20" i="64"/>
  <c r="B21" i="64"/>
  <c r="J87" i="51"/>
  <c r="I87" i="51"/>
  <c r="G87" i="51"/>
  <c r="F87" i="51"/>
  <c r="H87" i="51"/>
  <c r="G38" i="51"/>
  <c r="F38" i="51"/>
  <c r="H38" i="51"/>
  <c r="I38" i="51"/>
  <c r="J38" i="51"/>
  <c r="I137" i="51"/>
  <c r="J137" i="51"/>
  <c r="F137" i="51"/>
  <c r="G137" i="51"/>
  <c r="H137" i="51"/>
  <c r="I114" i="51"/>
  <c r="F114" i="51"/>
  <c r="G114" i="51"/>
  <c r="H114" i="51"/>
  <c r="J114" i="51"/>
  <c r="G63" i="51"/>
  <c r="I63" i="51"/>
  <c r="J63" i="51"/>
  <c r="F63" i="51"/>
  <c r="H63" i="51"/>
  <c r="C139" i="51"/>
  <c r="E138" i="51"/>
  <c r="Z138" i="51" s="1"/>
  <c r="W138" i="51" s="1"/>
  <c r="Y138" i="51" s="1"/>
  <c r="C65" i="51"/>
  <c r="E64" i="51"/>
  <c r="Z64" i="51" s="1"/>
  <c r="W64" i="51" s="1"/>
  <c r="Y64" i="51" s="1"/>
  <c r="C89" i="51"/>
  <c r="E88" i="51"/>
  <c r="Z88" i="51" s="1"/>
  <c r="W88" i="51" s="1"/>
  <c r="Y88" i="51" s="1"/>
  <c r="C40" i="51"/>
  <c r="E39" i="51"/>
  <c r="Z39" i="51" s="1"/>
  <c r="W39" i="51" s="1"/>
  <c r="Y39" i="51" s="1"/>
  <c r="C116" i="51"/>
  <c r="E115" i="51"/>
  <c r="Z115" i="51" s="1"/>
  <c r="W115" i="51" s="1"/>
  <c r="Y115" i="51" s="1"/>
  <c r="D19" i="64" l="1"/>
  <c r="I19" i="64" s="1"/>
  <c r="K18" i="64"/>
  <c r="E20" i="64"/>
  <c r="F20" i="64"/>
  <c r="G20" i="64"/>
  <c r="H20" i="64"/>
  <c r="M20" i="64"/>
  <c r="C21" i="64"/>
  <c r="B22" i="64"/>
  <c r="H115" i="51"/>
  <c r="G115" i="51"/>
  <c r="I115" i="51"/>
  <c r="J115" i="51"/>
  <c r="F115" i="51"/>
  <c r="I39" i="51"/>
  <c r="F39" i="51"/>
  <c r="H39" i="51"/>
  <c r="J39" i="51"/>
  <c r="G39" i="51"/>
  <c r="G138" i="51"/>
  <c r="H138" i="51"/>
  <c r="F138" i="51"/>
  <c r="I138" i="51"/>
  <c r="J138" i="51"/>
  <c r="I64" i="51"/>
  <c r="F64" i="51"/>
  <c r="G64" i="51"/>
  <c r="H64" i="51"/>
  <c r="J64" i="51"/>
  <c r="G88" i="51"/>
  <c r="F88" i="51"/>
  <c r="H88" i="51"/>
  <c r="I88" i="51"/>
  <c r="J88" i="51"/>
  <c r="C41" i="51"/>
  <c r="E40" i="51"/>
  <c r="Z40" i="51" s="1"/>
  <c r="W40" i="51" s="1"/>
  <c r="Y40" i="51" s="1"/>
  <c r="C140" i="51"/>
  <c r="E139" i="51"/>
  <c r="Z139" i="51" s="1"/>
  <c r="W139" i="51" s="1"/>
  <c r="Y139" i="51" s="1"/>
  <c r="C117" i="51"/>
  <c r="E116" i="51"/>
  <c r="Z116" i="51" s="1"/>
  <c r="W116" i="51" s="1"/>
  <c r="Y116" i="51" s="1"/>
  <c r="C66" i="51"/>
  <c r="E65" i="51"/>
  <c r="Z65" i="51" s="1"/>
  <c r="W65" i="51" s="1"/>
  <c r="Y65" i="51" s="1"/>
  <c r="C90" i="51"/>
  <c r="E89" i="51"/>
  <c r="Z89" i="51" s="1"/>
  <c r="W89" i="51" s="1"/>
  <c r="Y89" i="51" s="1"/>
  <c r="A31" i="50"/>
  <c r="A32" i="50"/>
  <c r="A33" i="50"/>
  <c r="A34" i="50"/>
  <c r="A35" i="50"/>
  <c r="A36" i="50"/>
  <c r="A37" i="50"/>
  <c r="A38" i="50"/>
  <c r="A39" i="50"/>
  <c r="E121" i="48"/>
  <c r="T96" i="48"/>
  <c r="D20" i="64" l="1"/>
  <c r="I20" i="64" s="1"/>
  <c r="K19" i="64"/>
  <c r="H21" i="64"/>
  <c r="M21" i="64"/>
  <c r="E21" i="64"/>
  <c r="F21" i="64"/>
  <c r="G21" i="64"/>
  <c r="C22" i="64"/>
  <c r="B23" i="64"/>
  <c r="H40" i="51"/>
  <c r="F40" i="51"/>
  <c r="G40" i="51"/>
  <c r="I40" i="51"/>
  <c r="J40" i="51"/>
  <c r="H65" i="51"/>
  <c r="G65" i="51"/>
  <c r="I65" i="51"/>
  <c r="J65" i="51"/>
  <c r="F65" i="51"/>
  <c r="I89" i="51"/>
  <c r="F89" i="51"/>
  <c r="H89" i="51"/>
  <c r="J89" i="51"/>
  <c r="G89" i="51"/>
  <c r="F139" i="51"/>
  <c r="I139" i="51"/>
  <c r="J139" i="51"/>
  <c r="G139" i="51"/>
  <c r="H139" i="51"/>
  <c r="J116" i="51"/>
  <c r="I116" i="51"/>
  <c r="F116" i="51"/>
  <c r="G116" i="51"/>
  <c r="H116" i="51"/>
  <c r="C67" i="51"/>
  <c r="E66" i="51"/>
  <c r="Z66" i="51" s="1"/>
  <c r="W66" i="51" s="1"/>
  <c r="Y66" i="51" s="1"/>
  <c r="C141" i="51"/>
  <c r="E140" i="51"/>
  <c r="Z140" i="51" s="1"/>
  <c r="W140" i="51" s="1"/>
  <c r="Y140" i="51" s="1"/>
  <c r="C118" i="51"/>
  <c r="E117" i="51"/>
  <c r="Z117" i="51" s="1"/>
  <c r="W117" i="51" s="1"/>
  <c r="Y117" i="51" s="1"/>
  <c r="C91" i="51"/>
  <c r="E90" i="51"/>
  <c r="Z90" i="51" s="1"/>
  <c r="W90" i="51" s="1"/>
  <c r="Y90" i="51" s="1"/>
  <c r="C42" i="51"/>
  <c r="E41" i="51"/>
  <c r="Z41" i="51" s="1"/>
  <c r="W41" i="51" s="1"/>
  <c r="Y41" i="51" s="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2" i="50"/>
  <c r="A1671" i="49"/>
  <c r="A1672" i="49"/>
  <c r="A1673" i="49"/>
  <c r="A1674" i="49"/>
  <c r="A1675" i="49"/>
  <c r="A1676" i="49"/>
  <c r="A1677" i="49"/>
  <c r="A1678" i="49"/>
  <c r="A1679" i="49"/>
  <c r="A1680" i="49"/>
  <c r="A1681" i="49"/>
  <c r="A1682" i="49"/>
  <c r="A1683" i="49"/>
  <c r="A1684" i="49"/>
  <c r="A1685" i="49"/>
  <c r="A1686" i="49"/>
  <c r="A1687" i="49"/>
  <c r="A1688" i="49"/>
  <c r="A1689" i="49"/>
  <c r="A1690" i="49"/>
  <c r="A1691" i="49"/>
  <c r="A1692" i="49"/>
  <c r="A1693" i="49"/>
  <c r="A1694" i="49"/>
  <c r="A1695" i="49"/>
  <c r="A1696" i="49"/>
  <c r="A1697" i="49"/>
  <c r="A1698" i="49"/>
  <c r="A1699" i="49"/>
  <c r="A1700" i="49"/>
  <c r="A1701" i="49"/>
  <c r="A1702" i="49"/>
  <c r="A1703" i="49"/>
  <c r="A1704" i="49"/>
  <c r="A1705" i="49"/>
  <c r="A1706" i="49"/>
  <c r="A1707" i="49"/>
  <c r="A1708" i="49"/>
  <c r="A1709" i="49"/>
  <c r="A1710" i="49"/>
  <c r="A1711" i="49"/>
  <c r="A1712" i="49"/>
  <c r="A1713" i="49"/>
  <c r="A1714" i="49"/>
  <c r="A1715" i="49"/>
  <c r="A1716" i="49"/>
  <c r="A1717" i="49"/>
  <c r="A1718" i="49"/>
  <c r="A1719" i="49"/>
  <c r="A1720" i="49"/>
  <c r="A1721" i="49"/>
  <c r="A1722" i="49"/>
  <c r="A1723" i="49"/>
  <c r="A1724" i="49"/>
  <c r="A1725" i="49"/>
  <c r="A1726" i="49"/>
  <c r="A1727" i="49"/>
  <c r="A1728" i="49"/>
  <c r="A1729" i="49"/>
  <c r="A1730" i="49"/>
  <c r="A1731" i="49"/>
  <c r="A1732" i="49"/>
  <c r="A1733" i="49"/>
  <c r="A1734" i="49"/>
  <c r="A1735" i="49"/>
  <c r="A1736" i="49"/>
  <c r="A1737" i="49"/>
  <c r="A1738" i="49"/>
  <c r="A1739" i="49"/>
  <c r="A1740" i="49"/>
  <c r="A1741" i="49"/>
  <c r="A1742" i="49"/>
  <c r="A1743" i="49"/>
  <c r="A1744" i="49"/>
  <c r="A1745" i="49"/>
  <c r="A1746" i="49"/>
  <c r="A1747" i="49"/>
  <c r="A1748" i="49"/>
  <c r="A1749" i="49"/>
  <c r="A1750" i="49"/>
  <c r="A1751" i="49"/>
  <c r="A1752" i="49"/>
  <c r="A1753" i="49"/>
  <c r="A1754" i="49"/>
  <c r="A1755" i="49"/>
  <c r="A1756" i="49"/>
  <c r="A1757" i="49"/>
  <c r="A1758" i="49"/>
  <c r="A1759" i="49"/>
  <c r="A1760" i="49"/>
  <c r="A1761" i="49"/>
  <c r="A1762" i="49"/>
  <c r="A1763" i="49"/>
  <c r="A1764" i="49"/>
  <c r="A1765" i="49"/>
  <c r="A1766" i="49"/>
  <c r="A1767" i="49"/>
  <c r="A1768" i="49"/>
  <c r="A1769" i="49"/>
  <c r="A1770" i="49"/>
  <c r="A1771" i="49"/>
  <c r="A1772" i="49"/>
  <c r="A1773" i="49"/>
  <c r="A1774" i="49"/>
  <c r="A1775" i="49"/>
  <c r="A1776" i="49"/>
  <c r="A1777" i="49"/>
  <c r="A1778" i="49"/>
  <c r="A1779" i="49"/>
  <c r="A1780" i="49"/>
  <c r="A1781" i="49"/>
  <c r="A1782" i="49"/>
  <c r="A1783" i="49"/>
  <c r="A1784" i="49"/>
  <c r="A1785" i="49"/>
  <c r="A1786" i="49"/>
  <c r="A1787" i="49"/>
  <c r="A1788" i="49"/>
  <c r="A1789" i="49"/>
  <c r="A1790" i="49"/>
  <c r="A1791" i="49"/>
  <c r="A1792" i="49"/>
  <c r="A1793" i="49"/>
  <c r="A1794" i="49"/>
  <c r="A1795" i="49"/>
  <c r="A1796" i="49"/>
  <c r="A1797" i="49"/>
  <c r="A1798" i="49"/>
  <c r="A1799" i="49"/>
  <c r="A1800" i="49"/>
  <c r="A1801" i="49"/>
  <c r="A1802" i="49"/>
  <c r="A1803" i="49"/>
  <c r="A1804" i="49"/>
  <c r="A1805" i="49"/>
  <c r="A1806" i="49"/>
  <c r="A1807" i="49"/>
  <c r="A1808" i="49"/>
  <c r="A1809" i="49"/>
  <c r="A1810" i="49"/>
  <c r="A1811" i="49"/>
  <c r="A1812" i="49"/>
  <c r="A1813" i="49"/>
  <c r="A1814" i="49"/>
  <c r="A1815" i="49"/>
  <c r="A1816" i="49"/>
  <c r="A1817" i="49"/>
  <c r="A1818" i="49"/>
  <c r="A1819" i="49"/>
  <c r="A1820" i="49"/>
  <c r="A1821" i="49"/>
  <c r="A1822" i="49"/>
  <c r="A1823" i="49"/>
  <c r="A1824" i="49"/>
  <c r="A1825" i="49"/>
  <c r="A1826" i="49"/>
  <c r="A1827" i="49"/>
  <c r="A1828" i="49"/>
  <c r="A1829" i="49"/>
  <c r="A1830" i="49"/>
  <c r="A1831" i="49"/>
  <c r="A1832" i="49"/>
  <c r="A1833" i="49"/>
  <c r="A1834" i="49"/>
  <c r="A1835" i="49"/>
  <c r="A1836" i="49"/>
  <c r="A1837" i="49"/>
  <c r="A1838" i="49"/>
  <c r="A1839" i="49"/>
  <c r="A1840" i="49"/>
  <c r="A1841" i="49"/>
  <c r="A1842" i="49"/>
  <c r="A1843" i="49"/>
  <c r="A1844" i="49"/>
  <c r="A1845" i="49"/>
  <c r="A1846" i="49"/>
  <c r="A1847" i="49"/>
  <c r="A1848" i="49"/>
  <c r="A1849" i="49"/>
  <c r="A1850" i="49"/>
  <c r="A1851" i="49"/>
  <c r="A1852" i="49"/>
  <c r="A1853" i="49"/>
  <c r="A1854" i="49"/>
  <c r="A1855" i="49"/>
  <c r="A1856" i="49"/>
  <c r="A1857" i="49"/>
  <c r="A1858" i="49"/>
  <c r="A1859" i="49"/>
  <c r="A1860" i="49"/>
  <c r="A1861" i="49"/>
  <c r="A1862" i="49"/>
  <c r="A1863" i="49"/>
  <c r="A1864" i="49"/>
  <c r="A1865" i="49"/>
  <c r="A1866" i="49"/>
  <c r="A1867" i="49"/>
  <c r="A1868" i="49"/>
  <c r="A1869" i="49"/>
  <c r="A1870" i="49"/>
  <c r="A1871" i="49"/>
  <c r="A1872" i="49"/>
  <c r="A1873" i="49"/>
  <c r="A1874" i="49"/>
  <c r="A1875" i="49"/>
  <c r="A1876" i="49"/>
  <c r="A1877" i="49"/>
  <c r="A1878" i="49"/>
  <c r="A1879" i="49"/>
  <c r="A1880" i="49"/>
  <c r="A1881" i="49"/>
  <c r="A1882" i="49"/>
  <c r="A1883" i="49"/>
  <c r="A1884" i="49"/>
  <c r="A1885" i="49"/>
  <c r="A1886" i="49"/>
  <c r="A1887" i="49"/>
  <c r="A1888" i="49"/>
  <c r="A1889" i="49"/>
  <c r="A1890" i="49"/>
  <c r="A1891" i="49"/>
  <c r="A1892" i="49"/>
  <c r="A1893" i="49"/>
  <c r="A1894" i="49"/>
  <c r="A1895" i="49"/>
  <c r="A1896" i="49"/>
  <c r="A1897" i="49"/>
  <c r="A1898" i="49"/>
  <c r="A1899" i="49"/>
  <c r="A1900" i="49"/>
  <c r="A1901" i="49"/>
  <c r="A1902" i="49"/>
  <c r="A1903" i="49"/>
  <c r="A1904" i="49"/>
  <c r="A1905" i="49"/>
  <c r="A1906" i="49"/>
  <c r="A1907" i="49"/>
  <c r="A1908" i="49"/>
  <c r="A1909" i="49"/>
  <c r="A1910" i="49"/>
  <c r="A1911" i="49"/>
  <c r="A1912" i="49"/>
  <c r="A1913" i="49"/>
  <c r="A1914" i="49"/>
  <c r="A1915" i="49"/>
  <c r="A1916" i="49"/>
  <c r="A1917" i="49"/>
  <c r="A1918" i="49"/>
  <c r="A1919" i="49"/>
  <c r="A1920" i="49"/>
  <c r="A1921" i="49"/>
  <c r="A1922" i="49"/>
  <c r="A1923" i="49"/>
  <c r="A1924" i="49"/>
  <c r="A1925" i="49"/>
  <c r="A1926" i="49"/>
  <c r="A1927" i="49"/>
  <c r="A1928" i="49"/>
  <c r="A1929" i="49"/>
  <c r="A1930" i="49"/>
  <c r="A1931" i="49"/>
  <c r="A1932" i="49"/>
  <c r="A1933" i="49"/>
  <c r="A1934" i="49"/>
  <c r="A1935" i="49"/>
  <c r="A1936" i="49"/>
  <c r="A1937" i="49"/>
  <c r="A1938" i="49"/>
  <c r="A1939" i="49"/>
  <c r="A1940" i="49"/>
  <c r="A1941" i="49"/>
  <c r="A1942" i="49"/>
  <c r="A1943" i="49"/>
  <c r="A1944" i="49"/>
  <c r="A1945" i="49"/>
  <c r="A1946" i="49"/>
  <c r="A1947" i="49"/>
  <c r="A1948" i="49"/>
  <c r="A1949" i="49"/>
  <c r="A1950" i="49"/>
  <c r="A1951" i="49"/>
  <c r="A1952" i="49"/>
  <c r="A1953" i="49"/>
  <c r="A1954" i="49"/>
  <c r="A1955" i="49"/>
  <c r="A1956" i="49"/>
  <c r="A1957" i="49"/>
  <c r="A1958" i="49"/>
  <c r="A1959" i="49"/>
  <c r="A1960" i="49"/>
  <c r="A1961" i="49"/>
  <c r="A1962" i="49"/>
  <c r="A1963" i="49"/>
  <c r="A1964" i="49"/>
  <c r="A1965" i="49"/>
  <c r="A1966" i="49"/>
  <c r="A1967" i="49"/>
  <c r="A1968" i="49"/>
  <c r="A1969" i="49"/>
  <c r="A1970" i="49"/>
  <c r="A1971" i="49"/>
  <c r="A1972" i="49"/>
  <c r="A1973" i="49"/>
  <c r="A1974" i="49"/>
  <c r="A1975" i="49"/>
  <c r="A1976" i="49"/>
  <c r="A1977" i="49"/>
  <c r="A1978" i="49"/>
  <c r="A1979" i="49"/>
  <c r="A1980" i="49"/>
  <c r="A1981" i="49"/>
  <c r="A1982" i="49"/>
  <c r="A1983" i="49"/>
  <c r="A1984" i="49"/>
  <c r="A1985" i="49"/>
  <c r="A1986" i="49"/>
  <c r="A1987" i="49"/>
  <c r="A1988" i="49"/>
  <c r="A1989" i="49"/>
  <c r="A1990" i="49"/>
  <c r="A1991" i="49"/>
  <c r="A1992" i="49"/>
  <c r="A1993" i="49"/>
  <c r="A1994" i="49"/>
  <c r="A1995" i="49"/>
  <c r="A1996" i="49"/>
  <c r="A1997" i="49"/>
  <c r="A1998" i="49"/>
  <c r="A1999" i="49"/>
  <c r="A2000" i="49"/>
  <c r="A2001" i="49"/>
  <c r="A2002" i="49"/>
  <c r="A2003" i="49"/>
  <c r="A2004" i="49"/>
  <c r="A2005" i="49"/>
  <c r="A2006" i="49"/>
  <c r="A2007" i="49"/>
  <c r="A2008" i="49"/>
  <c r="A2009" i="49"/>
  <c r="A2010" i="49"/>
  <c r="A2011" i="49"/>
  <c r="A2012" i="49"/>
  <c r="A2013" i="49"/>
  <c r="A2014" i="49"/>
  <c r="A2015" i="49"/>
  <c r="A2016" i="49"/>
  <c r="A2017" i="49"/>
  <c r="A2018" i="49"/>
  <c r="A2019" i="49"/>
  <c r="A2020" i="49"/>
  <c r="A2021" i="49"/>
  <c r="A2022" i="49"/>
  <c r="A2023" i="49"/>
  <c r="A2024" i="49"/>
  <c r="A2025" i="49"/>
  <c r="A2026" i="49"/>
  <c r="A2027" i="49"/>
  <c r="A2028" i="49"/>
  <c r="A2029" i="49"/>
  <c r="A2030" i="49"/>
  <c r="A2031" i="49"/>
  <c r="A2032" i="49"/>
  <c r="A2033" i="49"/>
  <c r="A2034" i="49"/>
  <c r="A2035" i="49"/>
  <c r="A2036" i="49"/>
  <c r="A2037" i="49"/>
  <c r="A2038" i="49"/>
  <c r="A2039" i="49"/>
  <c r="A2040" i="49"/>
  <c r="A2041" i="49"/>
  <c r="A2042" i="49"/>
  <c r="A2043" i="49"/>
  <c r="A2044" i="49"/>
  <c r="A2045" i="49"/>
  <c r="A2046" i="49"/>
  <c r="A2047" i="49"/>
  <c r="A2048" i="49"/>
  <c r="A2049" i="49"/>
  <c r="A2050" i="49"/>
  <c r="A2051" i="49"/>
  <c r="A2052" i="49"/>
  <c r="A2053" i="49"/>
  <c r="A2054" i="49"/>
  <c r="A2055" i="49"/>
  <c r="A2056" i="49"/>
  <c r="A2057" i="49"/>
  <c r="A2058" i="49"/>
  <c r="A2059" i="49"/>
  <c r="A2060" i="49"/>
  <c r="A2061" i="49"/>
  <c r="A2062" i="49"/>
  <c r="A2063" i="49"/>
  <c r="A2064" i="49"/>
  <c r="A2065" i="49"/>
  <c r="A2066" i="49"/>
  <c r="A2067" i="49"/>
  <c r="A2068" i="49"/>
  <c r="A2069" i="49"/>
  <c r="A2070" i="49"/>
  <c r="A2071" i="49"/>
  <c r="A2072" i="49"/>
  <c r="A2073" i="49"/>
  <c r="A2074" i="49"/>
  <c r="A2075" i="49"/>
  <c r="A2076" i="49"/>
  <c r="A2077" i="49"/>
  <c r="A2078" i="49"/>
  <c r="A2079" i="49"/>
  <c r="A2080" i="49"/>
  <c r="A2081" i="49"/>
  <c r="A2082" i="49"/>
  <c r="A2083" i="49"/>
  <c r="A2084" i="49"/>
  <c r="A2085" i="49"/>
  <c r="A2086" i="49"/>
  <c r="A2087" i="49"/>
  <c r="A2088" i="49"/>
  <c r="A2089" i="49"/>
  <c r="A2090" i="49"/>
  <c r="A2091" i="49"/>
  <c r="A2092" i="49"/>
  <c r="A2093" i="49"/>
  <c r="A2094" i="49"/>
  <c r="A2095" i="49"/>
  <c r="A2096" i="49"/>
  <c r="A2097" i="49"/>
  <c r="A2098" i="49"/>
  <c r="A2099" i="49"/>
  <c r="A2100" i="49"/>
  <c r="A2101" i="49"/>
  <c r="A2102" i="49"/>
  <c r="A2103" i="49"/>
  <c r="A2104" i="49"/>
  <c r="A2105" i="49"/>
  <c r="A2106" i="49"/>
  <c r="A2107" i="49"/>
  <c r="A2108" i="49"/>
  <c r="A2109" i="49"/>
  <c r="A2110" i="49"/>
  <c r="A2111" i="49"/>
  <c r="A2112" i="49"/>
  <c r="A2113" i="49"/>
  <c r="A2114" i="49"/>
  <c r="A2115" i="49"/>
  <c r="A2116" i="49"/>
  <c r="A2117" i="49"/>
  <c r="A2118" i="49"/>
  <c r="A2119" i="49"/>
  <c r="A2120" i="49"/>
  <c r="A2121" i="49"/>
  <c r="A2122" i="49"/>
  <c r="A2123" i="49"/>
  <c r="A2124" i="49"/>
  <c r="A2125" i="49"/>
  <c r="A2126" i="49"/>
  <c r="A2127" i="49"/>
  <c r="A2128" i="49"/>
  <c r="A2129" i="49"/>
  <c r="A2130" i="49"/>
  <c r="A2131" i="49"/>
  <c r="A2132" i="49"/>
  <c r="A2133" i="49"/>
  <c r="A2134" i="49"/>
  <c r="A2135" i="49"/>
  <c r="A2136" i="49"/>
  <c r="A2137" i="49"/>
  <c r="A2138" i="49"/>
  <c r="A2139" i="49"/>
  <c r="A2140" i="49"/>
  <c r="A2141" i="49"/>
  <c r="A2142" i="49"/>
  <c r="A2143" i="49"/>
  <c r="A2144" i="49"/>
  <c r="A2145" i="49"/>
  <c r="A2146" i="49"/>
  <c r="A2147" i="49"/>
  <c r="A2148" i="49"/>
  <c r="A2149" i="49"/>
  <c r="A2150" i="49"/>
  <c r="A2151" i="49"/>
  <c r="A2152" i="49"/>
  <c r="A2153" i="49"/>
  <c r="A2154" i="49"/>
  <c r="A2155" i="49"/>
  <c r="A2156" i="49"/>
  <c r="A2157" i="49"/>
  <c r="A2158" i="49"/>
  <c r="A2159" i="49"/>
  <c r="A2160" i="49"/>
  <c r="A2161" i="49"/>
  <c r="A2162" i="49"/>
  <c r="A2163" i="49"/>
  <c r="A2164" i="49"/>
  <c r="A2165" i="49"/>
  <c r="A2166" i="49"/>
  <c r="A2167" i="49"/>
  <c r="A2168" i="49"/>
  <c r="A2169" i="49"/>
  <c r="A2170" i="49"/>
  <c r="A2171" i="49"/>
  <c r="A2172" i="49"/>
  <c r="A2173" i="49"/>
  <c r="A2174" i="49"/>
  <c r="A2175" i="49"/>
  <c r="A2176" i="49"/>
  <c r="A2177" i="49"/>
  <c r="A2178" i="49"/>
  <c r="A2179" i="49"/>
  <c r="A2180" i="49"/>
  <c r="A2181" i="49"/>
  <c r="A2182" i="49"/>
  <c r="A2183" i="49"/>
  <c r="A2184" i="49"/>
  <c r="A2185" i="49"/>
  <c r="A2186" i="49"/>
  <c r="A2187" i="49"/>
  <c r="A2188" i="49"/>
  <c r="A2189" i="49"/>
  <c r="A2190" i="49"/>
  <c r="A2191" i="49"/>
  <c r="A2192" i="49"/>
  <c r="A2193" i="49"/>
  <c r="A2194" i="49"/>
  <c r="A2195" i="49"/>
  <c r="A2196" i="49"/>
  <c r="A2197" i="49"/>
  <c r="A2198" i="49"/>
  <c r="A2199" i="49"/>
  <c r="A2200" i="49"/>
  <c r="A2201" i="49"/>
  <c r="A2202" i="49"/>
  <c r="A2203" i="49"/>
  <c r="A2204" i="49"/>
  <c r="A2205" i="49"/>
  <c r="A2206" i="49"/>
  <c r="A2207" i="49"/>
  <c r="A2208" i="49"/>
  <c r="A2209" i="49"/>
  <c r="A2210" i="49"/>
  <c r="A2211" i="49"/>
  <c r="A2212" i="49"/>
  <c r="A2213" i="49"/>
  <c r="A2214" i="49"/>
  <c r="A2215" i="49"/>
  <c r="A2216" i="49"/>
  <c r="A2217" i="49"/>
  <c r="A2218" i="49"/>
  <c r="A2219" i="49"/>
  <c r="A2220" i="49"/>
  <c r="A2221" i="49"/>
  <c r="A2222" i="49"/>
  <c r="A2223" i="49"/>
  <c r="A2224" i="49"/>
  <c r="A2225" i="49"/>
  <c r="A2226" i="49"/>
  <c r="A2227" i="49"/>
  <c r="A2228" i="49"/>
  <c r="A2229" i="49"/>
  <c r="A2230" i="49"/>
  <c r="A2231" i="49"/>
  <c r="A2232" i="49"/>
  <c r="A2233" i="49"/>
  <c r="A2234" i="49"/>
  <c r="A2235" i="49"/>
  <c r="A2236" i="49"/>
  <c r="A2237" i="49"/>
  <c r="A2238" i="49"/>
  <c r="A2239" i="49"/>
  <c r="A2240" i="49"/>
  <c r="A2241" i="49"/>
  <c r="A2242" i="49"/>
  <c r="A2243" i="49"/>
  <c r="A2244" i="49"/>
  <c r="A2245" i="49"/>
  <c r="A2246" i="49"/>
  <c r="A2247" i="49"/>
  <c r="A2248" i="49"/>
  <c r="A2249" i="49"/>
  <c r="A2250" i="49"/>
  <c r="A2251" i="49"/>
  <c r="A2252" i="49"/>
  <c r="A2253" i="49"/>
  <c r="A2254" i="49"/>
  <c r="A2255" i="49"/>
  <c r="A2256" i="49"/>
  <c r="A2257" i="49"/>
  <c r="A2258" i="49"/>
  <c r="A2259" i="49"/>
  <c r="A2260" i="49"/>
  <c r="A2261" i="49"/>
  <c r="A2262" i="49"/>
  <c r="A2263" i="49"/>
  <c r="A2264" i="49"/>
  <c r="A2265" i="49"/>
  <c r="A2266" i="49"/>
  <c r="A2267" i="49"/>
  <c r="A2268" i="49"/>
  <c r="A2269" i="49"/>
  <c r="A2270" i="49"/>
  <c r="A2271" i="49"/>
  <c r="A2272" i="49"/>
  <c r="A2273" i="49"/>
  <c r="A2274" i="49"/>
  <c r="A2275" i="49"/>
  <c r="A2276" i="49"/>
  <c r="A2277" i="49"/>
  <c r="A2278" i="49"/>
  <c r="A2279" i="49"/>
  <c r="A2280" i="49"/>
  <c r="A2281" i="49"/>
  <c r="A2282" i="49"/>
  <c r="A2283" i="49"/>
  <c r="A2284" i="49"/>
  <c r="A2285" i="49"/>
  <c r="A2286" i="49"/>
  <c r="A2287" i="49"/>
  <c r="A2288" i="49"/>
  <c r="A2289" i="49"/>
  <c r="A2290" i="49"/>
  <c r="A2291" i="49"/>
  <c r="A2292" i="49"/>
  <c r="A2293" i="49"/>
  <c r="A2294" i="49"/>
  <c r="A2295" i="49"/>
  <c r="A2296" i="49"/>
  <c r="A2297" i="49"/>
  <c r="A2298" i="49"/>
  <c r="A2299" i="49"/>
  <c r="A2300" i="49"/>
  <c r="A2301" i="49"/>
  <c r="A2302" i="49"/>
  <c r="A2303" i="49"/>
  <c r="A2304" i="49"/>
  <c r="A2305" i="49"/>
  <c r="A2306" i="49"/>
  <c r="A2307" i="49"/>
  <c r="A2308" i="49"/>
  <c r="A2309" i="49"/>
  <c r="A2310" i="49"/>
  <c r="A2311" i="49"/>
  <c r="A2312" i="49"/>
  <c r="A2313" i="49"/>
  <c r="A2314" i="49"/>
  <c r="A2315" i="49"/>
  <c r="A2316" i="49"/>
  <c r="A2317" i="49"/>
  <c r="A2318" i="49"/>
  <c r="A2319" i="49"/>
  <c r="A2320" i="49"/>
  <c r="A2321" i="49"/>
  <c r="A2322" i="49"/>
  <c r="A2323" i="49"/>
  <c r="A2324" i="49"/>
  <c r="A2325" i="49"/>
  <c r="A2326" i="49"/>
  <c r="A2327" i="49"/>
  <c r="A2328" i="49"/>
  <c r="A2329" i="49"/>
  <c r="A2330" i="49"/>
  <c r="A2331" i="49"/>
  <c r="A2332" i="49"/>
  <c r="A2333" i="49"/>
  <c r="A2334" i="49"/>
  <c r="A2335" i="49"/>
  <c r="A2336" i="49"/>
  <c r="A2337" i="49"/>
  <c r="A2338" i="49"/>
  <c r="A2339" i="49"/>
  <c r="A2340" i="49"/>
  <c r="A2341" i="49"/>
  <c r="A2342" i="49"/>
  <c r="A2343" i="49"/>
  <c r="A2344" i="49"/>
  <c r="A2345" i="49"/>
  <c r="A2346" i="49"/>
  <c r="A2347" i="49"/>
  <c r="A2348" i="49"/>
  <c r="A2349" i="49"/>
  <c r="A2350" i="49"/>
  <c r="A2351" i="49"/>
  <c r="A2352" i="49"/>
  <c r="A2353" i="49"/>
  <c r="A2354" i="49"/>
  <c r="A2355" i="49"/>
  <c r="A2356" i="49"/>
  <c r="A2357" i="49"/>
  <c r="A2358" i="49"/>
  <c r="A2359" i="49"/>
  <c r="A2360" i="49"/>
  <c r="A2361" i="49"/>
  <c r="A2362" i="49"/>
  <c r="A2363" i="49"/>
  <c r="A2364" i="49"/>
  <c r="A2365" i="49"/>
  <c r="A2366" i="49"/>
  <c r="A2367" i="49"/>
  <c r="A2368" i="49"/>
  <c r="A2369" i="49"/>
  <c r="A2370" i="49"/>
  <c r="A2371" i="49"/>
  <c r="A2372" i="49"/>
  <c r="A2373" i="49"/>
  <c r="A2374" i="49"/>
  <c r="A2375" i="49"/>
  <c r="A2376" i="49"/>
  <c r="A2377" i="49"/>
  <c r="A2378" i="49"/>
  <c r="A2379" i="49"/>
  <c r="A2380" i="49"/>
  <c r="A2381" i="49"/>
  <c r="A2382" i="49"/>
  <c r="A2383" i="49"/>
  <c r="A2384" i="49"/>
  <c r="A2385" i="49"/>
  <c r="A2386" i="49"/>
  <c r="A2387" i="49"/>
  <c r="A2388" i="49"/>
  <c r="A2389" i="49"/>
  <c r="A2390" i="49"/>
  <c r="A2391" i="49"/>
  <c r="A2392" i="49"/>
  <c r="A2393" i="49"/>
  <c r="A2394" i="49"/>
  <c r="A2395" i="49"/>
  <c r="A2396" i="49"/>
  <c r="A2397" i="49"/>
  <c r="A2398" i="49"/>
  <c r="A2399" i="49"/>
  <c r="A2400" i="49"/>
  <c r="A2401" i="49"/>
  <c r="A2402" i="49"/>
  <c r="A2403" i="49"/>
  <c r="A2404" i="49"/>
  <c r="A2405" i="49"/>
  <c r="A2406" i="49"/>
  <c r="A2407" i="49"/>
  <c r="A2408" i="49"/>
  <c r="A2409" i="49"/>
  <c r="A2410" i="49"/>
  <c r="A2411" i="49"/>
  <c r="A2412" i="49"/>
  <c r="A2413" i="49"/>
  <c r="A2414" i="49"/>
  <c r="A2415" i="49"/>
  <c r="A2416" i="49"/>
  <c r="A2417" i="49"/>
  <c r="A2418" i="49"/>
  <c r="A2419" i="49"/>
  <c r="A2420" i="49"/>
  <c r="A2421" i="49"/>
  <c r="A2422" i="49"/>
  <c r="A2423" i="49"/>
  <c r="A2424" i="49"/>
  <c r="A2425" i="49"/>
  <c r="A2426" i="49"/>
  <c r="A2427" i="49"/>
  <c r="A2428" i="49"/>
  <c r="A2429" i="49"/>
  <c r="A2430" i="49"/>
  <c r="A2431" i="49"/>
  <c r="A2432" i="49"/>
  <c r="A2433" i="49"/>
  <c r="A2434" i="49"/>
  <c r="A2435" i="49"/>
  <c r="A2436" i="49"/>
  <c r="A2437" i="49"/>
  <c r="A2438" i="49"/>
  <c r="A2439" i="49"/>
  <c r="A2440" i="49"/>
  <c r="A2441" i="49"/>
  <c r="A2442" i="49"/>
  <c r="A2443" i="49"/>
  <c r="A2444" i="49"/>
  <c r="A2445" i="49"/>
  <c r="A2446" i="49"/>
  <c r="A2447" i="49"/>
  <c r="A2448" i="49"/>
  <c r="A2449" i="49"/>
  <c r="A2450" i="49"/>
  <c r="A2451" i="49"/>
  <c r="A2452" i="49"/>
  <c r="A2453" i="49"/>
  <c r="A2454" i="49"/>
  <c r="A2455" i="49"/>
  <c r="A2456" i="49"/>
  <c r="A2457" i="49"/>
  <c r="A2458" i="49"/>
  <c r="A2459" i="49"/>
  <c r="A2460" i="49"/>
  <c r="A2461" i="49"/>
  <c r="A2462" i="49"/>
  <c r="A2463" i="49"/>
  <c r="A2464" i="49"/>
  <c r="A2465" i="49"/>
  <c r="A2466" i="49"/>
  <c r="A2467" i="49"/>
  <c r="A2468" i="49"/>
  <c r="A2469" i="49"/>
  <c r="A2470" i="49"/>
  <c r="A2471" i="49"/>
  <c r="A2472" i="49"/>
  <c r="A2473" i="49"/>
  <c r="A2474" i="49"/>
  <c r="A2475" i="49"/>
  <c r="A2476" i="49"/>
  <c r="A2477" i="49"/>
  <c r="A2478" i="49"/>
  <c r="A2479" i="49"/>
  <c r="A2480" i="49"/>
  <c r="A2481" i="49"/>
  <c r="A2482" i="49"/>
  <c r="A2483" i="49"/>
  <c r="A2484" i="49"/>
  <c r="A2485" i="49"/>
  <c r="A2486" i="49"/>
  <c r="A2487" i="49"/>
  <c r="A2488" i="49"/>
  <c r="A2489" i="49"/>
  <c r="A2490" i="49"/>
  <c r="A2491" i="49"/>
  <c r="A2492" i="49"/>
  <c r="A2493" i="49"/>
  <c r="A2494" i="49"/>
  <c r="A2495" i="49"/>
  <c r="A2496" i="49"/>
  <c r="A2497" i="49"/>
  <c r="A2498" i="49"/>
  <c r="A2499" i="49"/>
  <c r="A2500" i="49"/>
  <c r="A2501" i="49"/>
  <c r="A2502" i="49"/>
  <c r="A2503" i="49"/>
  <c r="A2504" i="49"/>
  <c r="A2505" i="49"/>
  <c r="A2506" i="49"/>
  <c r="A2507" i="49"/>
  <c r="A2508" i="49"/>
  <c r="A2509" i="49"/>
  <c r="A2510" i="49"/>
  <c r="A2511" i="49"/>
  <c r="A2512" i="49"/>
  <c r="A2513" i="49"/>
  <c r="A2514" i="49"/>
  <c r="A2515" i="49"/>
  <c r="A2516" i="49"/>
  <c r="A2517" i="49"/>
  <c r="A2518" i="49"/>
  <c r="A2519" i="49"/>
  <c r="A2520" i="49"/>
  <c r="A2521" i="49"/>
  <c r="A2522" i="49"/>
  <c r="A2523" i="49"/>
  <c r="A2524" i="49"/>
  <c r="A2525" i="49"/>
  <c r="A2526" i="49"/>
  <c r="A2527" i="49"/>
  <c r="A2528" i="49"/>
  <c r="A2529" i="49"/>
  <c r="A2530" i="49"/>
  <c r="A2531" i="49"/>
  <c r="A2532" i="49"/>
  <c r="A2533" i="49"/>
  <c r="A2534" i="49"/>
  <c r="A2535" i="49"/>
  <c r="A2536" i="49"/>
  <c r="A2537" i="49"/>
  <c r="A2538" i="49"/>
  <c r="A2539" i="49"/>
  <c r="A2540" i="49"/>
  <c r="A2541" i="49"/>
  <c r="A2542" i="49"/>
  <c r="A2543" i="49"/>
  <c r="A2544" i="49"/>
  <c r="A2545" i="49"/>
  <c r="A2546" i="49"/>
  <c r="A2547" i="49"/>
  <c r="A2548" i="49"/>
  <c r="A2549" i="49"/>
  <c r="A2550" i="49"/>
  <c r="A2551" i="49"/>
  <c r="A2552" i="49"/>
  <c r="A2553" i="49"/>
  <c r="A2554" i="49"/>
  <c r="A2555" i="49"/>
  <c r="A2556" i="49"/>
  <c r="A2557" i="49"/>
  <c r="A2558" i="49"/>
  <c r="A2559" i="49"/>
  <c r="A2560" i="49"/>
  <c r="A2561" i="49"/>
  <c r="A2562" i="49"/>
  <c r="A2563" i="49"/>
  <c r="A2564" i="49"/>
  <c r="A2565" i="49"/>
  <c r="A2566" i="49"/>
  <c r="A2567" i="49"/>
  <c r="A2568" i="49"/>
  <c r="A2569" i="49"/>
  <c r="A2570" i="49"/>
  <c r="D21" i="64" l="1"/>
  <c r="I21" i="64" s="1"/>
  <c r="K20" i="64"/>
  <c r="E22" i="64"/>
  <c r="F22" i="64"/>
  <c r="G22" i="64"/>
  <c r="H22" i="64"/>
  <c r="M22" i="64"/>
  <c r="C23" i="64"/>
  <c r="B24" i="64"/>
  <c r="J66" i="51"/>
  <c r="F66" i="51"/>
  <c r="G66" i="51"/>
  <c r="I66" i="51"/>
  <c r="H66" i="51"/>
  <c r="J41" i="51"/>
  <c r="G41" i="51"/>
  <c r="H41" i="51"/>
  <c r="I41" i="51"/>
  <c r="F41" i="51"/>
  <c r="H90" i="51"/>
  <c r="J90" i="51"/>
  <c r="F90" i="51"/>
  <c r="G90" i="51"/>
  <c r="I90" i="51"/>
  <c r="G117" i="51"/>
  <c r="F117" i="51"/>
  <c r="H117" i="51"/>
  <c r="I117" i="51"/>
  <c r="J117" i="51"/>
  <c r="G140" i="51"/>
  <c r="H140" i="51"/>
  <c r="F140" i="51"/>
  <c r="I140" i="51"/>
  <c r="J140" i="51"/>
  <c r="C43" i="51"/>
  <c r="E42" i="51"/>
  <c r="Z42" i="51" s="1"/>
  <c r="W42" i="51" s="1"/>
  <c r="Y42" i="51" s="1"/>
  <c r="C92" i="51"/>
  <c r="E91" i="51"/>
  <c r="Z91" i="51" s="1"/>
  <c r="W91" i="51" s="1"/>
  <c r="Y91" i="51" s="1"/>
  <c r="C119" i="51"/>
  <c r="E118" i="51"/>
  <c r="Z118" i="51" s="1"/>
  <c r="W118" i="51" s="1"/>
  <c r="Y118" i="51" s="1"/>
  <c r="C142" i="51"/>
  <c r="E141" i="51"/>
  <c r="Z141" i="51" s="1"/>
  <c r="W141" i="51" s="1"/>
  <c r="Y141" i="51" s="1"/>
  <c r="C68" i="51"/>
  <c r="E67" i="51"/>
  <c r="Z67" i="51" s="1"/>
  <c r="W67" i="51" s="1"/>
  <c r="Y67" i="51" s="1"/>
  <c r="A1670" i="49"/>
  <c r="A1669" i="49"/>
  <c r="A1668" i="49"/>
  <c r="A1667" i="49"/>
  <c r="A1666" i="49"/>
  <c r="A1665" i="49"/>
  <c r="A1664" i="49"/>
  <c r="A1663" i="49"/>
  <c r="A1662" i="49"/>
  <c r="A1661" i="49"/>
  <c r="A1660" i="49"/>
  <c r="A1659" i="49"/>
  <c r="A1658" i="49"/>
  <c r="A1657" i="49"/>
  <c r="A1656" i="49"/>
  <c r="A1655" i="49"/>
  <c r="A1654" i="49"/>
  <c r="A1653" i="49"/>
  <c r="A1652" i="49"/>
  <c r="A1651" i="49"/>
  <c r="A1650" i="49"/>
  <c r="A1649" i="49"/>
  <c r="A1648" i="49"/>
  <c r="A1647" i="49"/>
  <c r="A1646" i="49"/>
  <c r="A1645" i="49"/>
  <c r="A1644" i="49"/>
  <c r="A1643" i="49"/>
  <c r="A1642" i="49"/>
  <c r="A1641" i="49"/>
  <c r="A1640" i="49"/>
  <c r="A1639" i="49"/>
  <c r="A1638" i="49"/>
  <c r="A1637" i="49"/>
  <c r="A1636" i="49"/>
  <c r="A1635" i="49"/>
  <c r="A1634" i="49"/>
  <c r="A1633" i="49"/>
  <c r="A1632" i="49"/>
  <c r="A1631" i="49"/>
  <c r="A1630" i="49"/>
  <c r="A1629" i="49"/>
  <c r="A1628" i="49"/>
  <c r="A1627" i="49"/>
  <c r="A1626" i="49"/>
  <c r="A1625" i="49"/>
  <c r="A1624" i="49"/>
  <c r="A1623" i="49"/>
  <c r="A1622" i="49"/>
  <c r="A1621" i="49"/>
  <c r="A1620" i="49"/>
  <c r="A1619" i="49"/>
  <c r="A1618" i="49"/>
  <c r="A1617" i="49"/>
  <c r="A1616" i="49"/>
  <c r="A1615" i="49"/>
  <c r="A1614" i="49"/>
  <c r="A1613" i="49"/>
  <c r="A1612" i="49"/>
  <c r="A1611" i="49"/>
  <c r="A1610" i="49"/>
  <c r="A1609" i="49"/>
  <c r="A1608" i="49"/>
  <c r="A1607" i="49"/>
  <c r="A1606" i="49"/>
  <c r="A1605" i="49"/>
  <c r="A1604" i="49"/>
  <c r="A1603" i="49"/>
  <c r="A1602" i="49"/>
  <c r="A1601" i="49"/>
  <c r="A1600" i="49"/>
  <c r="A1599" i="49"/>
  <c r="A1598" i="49"/>
  <c r="A1597" i="49"/>
  <c r="A1596" i="49"/>
  <c r="A1595" i="49"/>
  <c r="A1594" i="49"/>
  <c r="A1593" i="49"/>
  <c r="A1592" i="49"/>
  <c r="A1591" i="49"/>
  <c r="A1590" i="49"/>
  <c r="A1589" i="49"/>
  <c r="A1588" i="49"/>
  <c r="A1587" i="49"/>
  <c r="A1586" i="49"/>
  <c r="A1585" i="49"/>
  <c r="A1584" i="49"/>
  <c r="A1583" i="49"/>
  <c r="A1582" i="49"/>
  <c r="A1581" i="49"/>
  <c r="A1580" i="49"/>
  <c r="A1579" i="49"/>
  <c r="A1578" i="49"/>
  <c r="A1577" i="49"/>
  <c r="A1576" i="49"/>
  <c r="A1575" i="49"/>
  <c r="A1574" i="49"/>
  <c r="A1573" i="49"/>
  <c r="A1572" i="49"/>
  <c r="A1571" i="49"/>
  <c r="A1570" i="49"/>
  <c r="A1569" i="49"/>
  <c r="A1568" i="49"/>
  <c r="A1567" i="49"/>
  <c r="A1566" i="49"/>
  <c r="A1565" i="49"/>
  <c r="A1564" i="49"/>
  <c r="A1563" i="49"/>
  <c r="A1562" i="49"/>
  <c r="A1561" i="49"/>
  <c r="A1560" i="49"/>
  <c r="A1559" i="49"/>
  <c r="A1558" i="49"/>
  <c r="A1557" i="49"/>
  <c r="A1556" i="49"/>
  <c r="A1555" i="49"/>
  <c r="A1554" i="49"/>
  <c r="A1553" i="49"/>
  <c r="A1552" i="49"/>
  <c r="A1551" i="49"/>
  <c r="A1550" i="49"/>
  <c r="A1549" i="49"/>
  <c r="A1548" i="49"/>
  <c r="A1547" i="49"/>
  <c r="A1546" i="49"/>
  <c r="A1545" i="49"/>
  <c r="A1544" i="49"/>
  <c r="A1543" i="49"/>
  <c r="A1542" i="49"/>
  <c r="A1541" i="49"/>
  <c r="A1540" i="49"/>
  <c r="A1539" i="49"/>
  <c r="A1538" i="49"/>
  <c r="A1537" i="49"/>
  <c r="A1536" i="49"/>
  <c r="A1535" i="49"/>
  <c r="A1534" i="49"/>
  <c r="A1533" i="49"/>
  <c r="A1532" i="49"/>
  <c r="A1531" i="49"/>
  <c r="A1530" i="49"/>
  <c r="A1529" i="49"/>
  <c r="A1528" i="49"/>
  <c r="A1527" i="49"/>
  <c r="A1526" i="49"/>
  <c r="A1525" i="49"/>
  <c r="A1524" i="49"/>
  <c r="A1523" i="49"/>
  <c r="A1522" i="49"/>
  <c r="A1521" i="49"/>
  <c r="A1520" i="49"/>
  <c r="A1519" i="49"/>
  <c r="A1518" i="49"/>
  <c r="A1517" i="49"/>
  <c r="A1516" i="49"/>
  <c r="A1515" i="49"/>
  <c r="A1514" i="49"/>
  <c r="A1513" i="49"/>
  <c r="A1512" i="49"/>
  <c r="A1511" i="49"/>
  <c r="A1510" i="49"/>
  <c r="A1509" i="49"/>
  <c r="A1508" i="49"/>
  <c r="A1507" i="49"/>
  <c r="A1506" i="49"/>
  <c r="A1505" i="49"/>
  <c r="A1504" i="49"/>
  <c r="A1503" i="49"/>
  <c r="A1502" i="49"/>
  <c r="A1501" i="49"/>
  <c r="A1500" i="49"/>
  <c r="A1499" i="49"/>
  <c r="A1498" i="49"/>
  <c r="A1497" i="49"/>
  <c r="A1496" i="49"/>
  <c r="A1495" i="49"/>
  <c r="A1494" i="49"/>
  <c r="A1493" i="49"/>
  <c r="A1492" i="49"/>
  <c r="A1491" i="49"/>
  <c r="A1490" i="49"/>
  <c r="A1489" i="49"/>
  <c r="A1488" i="49"/>
  <c r="A1487" i="49"/>
  <c r="A1486" i="49"/>
  <c r="A1485" i="49"/>
  <c r="A1484" i="49"/>
  <c r="A1483" i="49"/>
  <c r="A1482" i="49"/>
  <c r="A1481" i="49"/>
  <c r="A1480" i="49"/>
  <c r="A1479" i="49"/>
  <c r="A1478" i="49"/>
  <c r="A1477" i="49"/>
  <c r="A1476" i="49"/>
  <c r="A1475" i="49"/>
  <c r="A1474" i="49"/>
  <c r="A1473" i="49"/>
  <c r="A1472" i="49"/>
  <c r="A1471" i="49"/>
  <c r="A1470" i="49"/>
  <c r="A1469" i="49"/>
  <c r="A1468" i="49"/>
  <c r="A1467" i="49"/>
  <c r="A1466" i="49"/>
  <c r="A1465" i="49"/>
  <c r="A1464" i="49"/>
  <c r="A1463" i="49"/>
  <c r="A1462" i="49"/>
  <c r="A1461" i="49"/>
  <c r="A1460" i="49"/>
  <c r="A1459" i="49"/>
  <c r="A1458" i="49"/>
  <c r="A1457" i="49"/>
  <c r="A1456" i="49"/>
  <c r="A1455" i="49"/>
  <c r="A1454" i="49"/>
  <c r="A1453" i="49"/>
  <c r="A1452" i="49"/>
  <c r="A1451" i="49"/>
  <c r="A1450" i="49"/>
  <c r="A1449" i="49"/>
  <c r="A1448" i="49"/>
  <c r="A1447" i="49"/>
  <c r="A1446" i="49"/>
  <c r="A1445" i="49"/>
  <c r="A1444" i="49"/>
  <c r="A1443" i="49"/>
  <c r="A1442" i="49"/>
  <c r="A1441" i="49"/>
  <c r="A1440" i="49"/>
  <c r="A1439" i="49"/>
  <c r="A1438" i="49"/>
  <c r="A1437" i="49"/>
  <c r="A1436" i="49"/>
  <c r="A1435" i="49"/>
  <c r="A1434" i="49"/>
  <c r="A1433" i="49"/>
  <c r="A1432" i="49"/>
  <c r="A1431" i="49"/>
  <c r="A1430" i="49"/>
  <c r="A1429" i="49"/>
  <c r="A1428" i="49"/>
  <c r="A1427" i="49"/>
  <c r="A1426" i="49"/>
  <c r="A1425" i="49"/>
  <c r="A1424" i="49"/>
  <c r="A1423" i="49"/>
  <c r="A1422" i="49"/>
  <c r="A1421" i="49"/>
  <c r="A1420" i="49"/>
  <c r="A1419" i="49"/>
  <c r="A1418" i="49"/>
  <c r="A1417" i="49"/>
  <c r="A1416" i="49"/>
  <c r="A1415" i="49"/>
  <c r="A1414" i="49"/>
  <c r="A1413" i="49"/>
  <c r="A1412" i="49"/>
  <c r="A1411" i="49"/>
  <c r="A1410" i="49"/>
  <c r="A1409" i="49"/>
  <c r="A1408" i="49"/>
  <c r="A1407" i="49"/>
  <c r="A1406" i="49"/>
  <c r="A1405" i="49"/>
  <c r="A1404" i="49"/>
  <c r="A1403" i="49"/>
  <c r="A1402" i="49"/>
  <c r="A1401" i="49"/>
  <c r="A1400" i="49"/>
  <c r="A1399" i="49"/>
  <c r="A1398" i="49"/>
  <c r="A1397" i="49"/>
  <c r="A1396" i="49"/>
  <c r="A1395" i="49"/>
  <c r="A1394" i="49"/>
  <c r="A1393" i="49"/>
  <c r="A1392" i="49"/>
  <c r="A1391" i="49"/>
  <c r="A1390" i="49"/>
  <c r="A1389" i="49"/>
  <c r="A1388" i="49"/>
  <c r="A1387" i="49"/>
  <c r="A1386" i="49"/>
  <c r="A1385" i="49"/>
  <c r="A1384" i="49"/>
  <c r="A1383" i="49"/>
  <c r="A1382" i="49"/>
  <c r="A1381" i="49"/>
  <c r="A1380" i="49"/>
  <c r="A1379" i="49"/>
  <c r="A1378" i="49"/>
  <c r="A1377" i="49"/>
  <c r="A1376" i="49"/>
  <c r="A1375" i="49"/>
  <c r="A1374" i="49"/>
  <c r="A1373" i="49"/>
  <c r="A1372" i="49"/>
  <c r="A1371" i="49"/>
  <c r="A1370" i="49"/>
  <c r="A1369" i="49"/>
  <c r="A1368" i="49"/>
  <c r="A1367" i="49"/>
  <c r="A1366" i="49"/>
  <c r="A1365" i="49"/>
  <c r="A1364" i="49"/>
  <c r="A1363" i="49"/>
  <c r="A1362" i="49"/>
  <c r="A1361" i="49"/>
  <c r="A1360" i="49"/>
  <c r="A1359" i="49"/>
  <c r="A1358" i="49"/>
  <c r="A1357" i="49"/>
  <c r="A1356" i="49"/>
  <c r="A1355" i="49"/>
  <c r="A1354" i="49"/>
  <c r="A1352" i="49"/>
  <c r="A1353" i="49"/>
  <c r="A1351" i="49"/>
  <c r="A1350" i="49"/>
  <c r="A1349" i="49"/>
  <c r="A1348" i="49"/>
  <c r="A1347" i="49"/>
  <c r="A1346" i="49"/>
  <c r="A1345" i="49"/>
  <c r="A1344" i="49"/>
  <c r="A1343" i="49"/>
  <c r="A1342" i="49"/>
  <c r="A1341" i="49"/>
  <c r="A1340" i="49"/>
  <c r="A1339" i="49"/>
  <c r="A1338" i="49"/>
  <c r="A1337" i="49"/>
  <c r="A1336" i="49"/>
  <c r="A1335" i="49"/>
  <c r="A1334" i="49"/>
  <c r="A1333" i="49"/>
  <c r="A1332" i="49"/>
  <c r="A1331" i="49"/>
  <c r="A1330" i="49"/>
  <c r="A1329" i="49"/>
  <c r="A1328" i="49"/>
  <c r="A1327" i="49"/>
  <c r="A1326" i="49"/>
  <c r="A1325" i="49"/>
  <c r="A1324" i="49"/>
  <c r="A1323" i="49"/>
  <c r="A1322" i="49"/>
  <c r="A1321" i="49"/>
  <c r="A1320" i="49"/>
  <c r="A1319" i="49"/>
  <c r="A1318" i="49"/>
  <c r="A1317" i="49"/>
  <c r="A1316" i="49"/>
  <c r="A1315" i="49"/>
  <c r="A1314" i="49"/>
  <c r="A1313" i="49"/>
  <c r="A1312" i="49"/>
  <c r="A1311" i="49"/>
  <c r="A1310" i="49"/>
  <c r="A1309" i="49"/>
  <c r="A1308" i="49"/>
  <c r="A1307" i="49"/>
  <c r="A1306" i="49"/>
  <c r="A1305" i="49"/>
  <c r="A1304" i="49"/>
  <c r="A1303" i="49"/>
  <c r="A1302" i="49"/>
  <c r="A1301" i="49"/>
  <c r="A1300" i="49"/>
  <c r="A1299" i="49"/>
  <c r="A1298" i="49"/>
  <c r="A1297" i="49"/>
  <c r="A1296" i="49"/>
  <c r="A1295" i="49"/>
  <c r="A1294" i="49"/>
  <c r="A1293" i="49"/>
  <c r="A1292" i="49"/>
  <c r="A1291" i="49"/>
  <c r="A1290" i="49"/>
  <c r="A1289" i="49"/>
  <c r="A1288" i="49"/>
  <c r="A1287" i="49"/>
  <c r="A1286" i="49"/>
  <c r="A1285" i="49"/>
  <c r="A1284" i="49"/>
  <c r="A1283" i="49"/>
  <c r="A1282" i="49"/>
  <c r="A1281" i="49"/>
  <c r="A1280" i="49"/>
  <c r="A1279" i="49"/>
  <c r="A1278" i="49"/>
  <c r="A1277" i="49"/>
  <c r="A1276" i="49"/>
  <c r="A1275" i="49"/>
  <c r="A1274" i="49"/>
  <c r="A1273" i="49"/>
  <c r="A1272" i="49"/>
  <c r="A1271" i="49"/>
  <c r="A1270" i="49"/>
  <c r="A1269" i="49"/>
  <c r="A1268" i="49"/>
  <c r="A1267" i="49"/>
  <c r="A1266" i="49"/>
  <c r="A1265" i="49"/>
  <c r="A1264" i="49"/>
  <c r="A1263" i="49"/>
  <c r="A1262" i="49"/>
  <c r="A1261" i="49"/>
  <c r="A1260" i="49"/>
  <c r="A1259" i="49"/>
  <c r="A1258" i="49"/>
  <c r="A1257" i="49"/>
  <c r="A1256" i="49"/>
  <c r="A1255" i="49"/>
  <c r="A1254" i="49"/>
  <c r="A1253" i="49"/>
  <c r="A1252" i="49"/>
  <c r="A1251" i="49"/>
  <c r="A1250" i="49"/>
  <c r="A1249" i="49"/>
  <c r="A1248" i="49"/>
  <c r="A1247" i="49"/>
  <c r="A1246" i="49"/>
  <c r="A1245" i="49"/>
  <c r="A1244" i="49"/>
  <c r="A1243" i="49"/>
  <c r="A1242" i="49"/>
  <c r="A1241" i="49"/>
  <c r="A1240" i="49"/>
  <c r="A1239" i="49"/>
  <c r="A1238" i="49"/>
  <c r="A1237" i="49"/>
  <c r="A1236" i="49"/>
  <c r="A1235" i="49"/>
  <c r="A1234" i="49"/>
  <c r="A1233" i="49"/>
  <c r="A1232" i="49"/>
  <c r="A1231" i="49"/>
  <c r="A1230" i="49"/>
  <c r="A1229" i="49"/>
  <c r="A1228" i="49"/>
  <c r="A1227" i="49"/>
  <c r="A1226" i="49"/>
  <c r="A1225" i="49"/>
  <c r="A1224" i="49"/>
  <c r="A1223" i="49"/>
  <c r="A1222" i="49"/>
  <c r="A1221" i="49"/>
  <c r="A1220" i="49"/>
  <c r="A1219" i="49"/>
  <c r="A1218" i="49"/>
  <c r="A1217" i="49"/>
  <c r="A1216" i="49"/>
  <c r="A1215" i="49"/>
  <c r="A1214" i="49"/>
  <c r="A1213" i="49"/>
  <c r="A1212" i="49"/>
  <c r="A1211" i="49"/>
  <c r="A1210" i="49"/>
  <c r="A1209" i="49"/>
  <c r="A1208" i="49"/>
  <c r="A1207" i="49"/>
  <c r="A1206" i="49"/>
  <c r="A1205" i="49"/>
  <c r="A1204" i="49"/>
  <c r="A1203" i="49"/>
  <c r="A1202" i="49"/>
  <c r="A1201" i="49"/>
  <c r="A1200" i="49"/>
  <c r="A1199" i="49"/>
  <c r="A1198" i="49"/>
  <c r="A1197" i="49"/>
  <c r="A1196" i="49"/>
  <c r="A1195" i="49"/>
  <c r="A1194" i="49"/>
  <c r="A1193" i="49"/>
  <c r="A1192" i="49"/>
  <c r="A1191" i="49"/>
  <c r="A1190" i="49"/>
  <c r="A1189" i="49"/>
  <c r="A1188" i="49"/>
  <c r="A1187" i="49"/>
  <c r="A1186" i="49"/>
  <c r="A1185" i="49"/>
  <c r="A1184" i="49"/>
  <c r="A1183" i="49"/>
  <c r="A1182" i="49"/>
  <c r="A1181" i="49"/>
  <c r="A1180" i="49"/>
  <c r="A1179" i="49"/>
  <c r="A1178" i="49"/>
  <c r="A1177" i="49"/>
  <c r="A1176" i="49"/>
  <c r="A1175" i="49"/>
  <c r="A1174" i="49"/>
  <c r="A1173" i="49"/>
  <c r="A1172" i="49"/>
  <c r="A1171" i="49"/>
  <c r="A1170" i="49"/>
  <c r="A1169" i="49"/>
  <c r="A1168" i="49"/>
  <c r="A1167" i="49"/>
  <c r="A1166" i="49"/>
  <c r="A1165" i="49"/>
  <c r="A1164" i="49"/>
  <c r="A1163" i="49"/>
  <c r="A1162" i="49"/>
  <c r="A1161" i="49"/>
  <c r="A1160" i="49"/>
  <c r="A1159" i="49"/>
  <c r="A1158" i="49"/>
  <c r="A1157" i="49"/>
  <c r="A1156" i="49"/>
  <c r="A1155" i="49"/>
  <c r="A1154" i="49"/>
  <c r="A1153" i="49"/>
  <c r="A1152" i="49"/>
  <c r="A1151" i="49"/>
  <c r="A1150" i="49"/>
  <c r="A1149" i="49"/>
  <c r="A1148" i="49"/>
  <c r="A1147" i="49"/>
  <c r="A1146" i="49"/>
  <c r="A1145" i="49"/>
  <c r="A1144" i="49"/>
  <c r="A1143" i="49"/>
  <c r="A1142" i="49"/>
  <c r="A1141" i="49"/>
  <c r="A1140" i="49"/>
  <c r="A1139" i="49"/>
  <c r="A1138" i="49"/>
  <c r="A1137" i="49"/>
  <c r="A1136" i="49"/>
  <c r="A1135" i="49"/>
  <c r="A1134" i="49"/>
  <c r="A1133" i="49"/>
  <c r="A1132" i="49"/>
  <c r="A1131" i="49"/>
  <c r="A1130" i="49"/>
  <c r="A1129" i="49"/>
  <c r="A1128" i="49"/>
  <c r="A1127" i="49"/>
  <c r="A1126" i="49"/>
  <c r="A1125" i="49"/>
  <c r="A1124" i="49"/>
  <c r="A1123" i="49"/>
  <c r="A1122" i="49"/>
  <c r="A1121" i="49"/>
  <c r="A1120" i="49"/>
  <c r="A1119" i="49"/>
  <c r="A1118" i="49"/>
  <c r="A1117" i="49"/>
  <c r="A1116" i="49"/>
  <c r="A1115" i="49"/>
  <c r="A1114" i="49"/>
  <c r="A1113" i="49"/>
  <c r="A1112" i="49"/>
  <c r="A1111" i="49"/>
  <c r="A1110" i="49"/>
  <c r="A1109" i="49"/>
  <c r="A1108" i="49"/>
  <c r="A1107" i="49"/>
  <c r="A1106" i="49"/>
  <c r="A1105" i="49"/>
  <c r="A1104" i="49"/>
  <c r="A1103" i="49"/>
  <c r="A1102" i="49"/>
  <c r="A1101" i="49"/>
  <c r="A1100" i="49"/>
  <c r="A1099" i="49"/>
  <c r="A1098" i="49"/>
  <c r="A1097" i="49"/>
  <c r="A1096" i="49"/>
  <c r="A1095" i="49"/>
  <c r="A1094" i="49"/>
  <c r="A1093" i="49"/>
  <c r="A1092" i="49"/>
  <c r="A1091" i="49"/>
  <c r="A1090" i="49"/>
  <c r="A1089" i="49"/>
  <c r="A1088" i="49"/>
  <c r="A1087" i="49"/>
  <c r="A1086" i="49"/>
  <c r="A1085" i="49"/>
  <c r="A1084" i="49"/>
  <c r="A1083" i="49"/>
  <c r="A1082" i="49"/>
  <c r="A1081" i="49"/>
  <c r="A1080" i="49"/>
  <c r="A1079" i="49"/>
  <c r="A1078" i="49"/>
  <c r="A1077" i="49"/>
  <c r="A1076" i="49"/>
  <c r="A1075" i="49"/>
  <c r="A1074" i="49"/>
  <c r="A1073" i="49"/>
  <c r="A1072" i="49"/>
  <c r="A1071" i="49"/>
  <c r="A1070" i="49"/>
  <c r="A1069" i="49"/>
  <c r="A1068" i="49"/>
  <c r="A1067" i="49"/>
  <c r="A1066" i="49"/>
  <c r="A1065" i="49"/>
  <c r="A1064" i="49"/>
  <c r="A1063" i="49"/>
  <c r="A1062" i="49"/>
  <c r="A1061" i="49"/>
  <c r="A1060" i="49"/>
  <c r="A1059" i="49"/>
  <c r="A1058" i="49"/>
  <c r="A1057" i="49"/>
  <c r="A1056" i="49"/>
  <c r="A1055" i="49"/>
  <c r="A1054" i="49"/>
  <c r="A1053" i="49"/>
  <c r="A1052" i="49"/>
  <c r="A1051" i="49"/>
  <c r="A1050" i="49"/>
  <c r="A1049" i="49"/>
  <c r="A1048" i="49"/>
  <c r="A1047" i="49"/>
  <c r="A1046" i="49"/>
  <c r="A1045" i="49"/>
  <c r="A1044" i="49"/>
  <c r="A1043" i="49"/>
  <c r="A1042" i="49"/>
  <c r="A1041" i="49"/>
  <c r="A1040" i="49"/>
  <c r="A1039" i="49"/>
  <c r="A1038" i="49"/>
  <c r="A1037" i="49"/>
  <c r="A1036" i="49"/>
  <c r="A1035" i="49"/>
  <c r="A1034" i="49"/>
  <c r="A1033" i="49"/>
  <c r="A1032" i="49"/>
  <c r="A1031" i="49"/>
  <c r="A1030" i="49"/>
  <c r="A1029" i="49"/>
  <c r="A1028" i="49"/>
  <c r="A1027" i="49"/>
  <c r="A1026" i="49"/>
  <c r="A1025" i="49"/>
  <c r="A1024" i="49"/>
  <c r="A1023" i="49"/>
  <c r="A1022" i="49"/>
  <c r="A1021" i="49"/>
  <c r="A1020" i="49"/>
  <c r="A1019" i="49"/>
  <c r="A1018" i="49"/>
  <c r="A1017" i="49"/>
  <c r="A1016" i="49"/>
  <c r="A1015" i="49"/>
  <c r="A1014" i="49"/>
  <c r="A1013" i="49"/>
  <c r="A1012" i="49"/>
  <c r="A1011" i="49"/>
  <c r="A1010" i="49"/>
  <c r="A1009" i="49"/>
  <c r="A1008" i="49"/>
  <c r="A1007" i="49"/>
  <c r="A1006" i="49"/>
  <c r="A1005" i="49"/>
  <c r="A1004" i="49"/>
  <c r="A1003" i="49"/>
  <c r="A1002" i="49"/>
  <c r="A1001" i="49"/>
  <c r="A1000" i="49"/>
  <c r="A999" i="49"/>
  <c r="A998" i="49"/>
  <c r="A997" i="49"/>
  <c r="A996" i="49"/>
  <c r="A995" i="49"/>
  <c r="A994" i="49"/>
  <c r="A993" i="49"/>
  <c r="A992" i="49"/>
  <c r="A991" i="49"/>
  <c r="A990" i="49"/>
  <c r="A989" i="49"/>
  <c r="A988" i="49"/>
  <c r="A987" i="49"/>
  <c r="A986" i="49"/>
  <c r="A985" i="49"/>
  <c r="A984" i="49"/>
  <c r="A983" i="49"/>
  <c r="A982" i="49"/>
  <c r="A981" i="49"/>
  <c r="A980" i="49"/>
  <c r="A979" i="49"/>
  <c r="A978" i="49"/>
  <c r="A977" i="49"/>
  <c r="A976" i="49"/>
  <c r="A975" i="49"/>
  <c r="A974" i="49"/>
  <c r="A973" i="49"/>
  <c r="A972" i="49"/>
  <c r="A971" i="49"/>
  <c r="A970" i="49"/>
  <c r="A969" i="49"/>
  <c r="A968" i="49"/>
  <c r="A967" i="49"/>
  <c r="A966" i="49"/>
  <c r="A965" i="49"/>
  <c r="A964" i="49"/>
  <c r="A963" i="49"/>
  <c r="A962" i="49"/>
  <c r="A961" i="49"/>
  <c r="A960" i="49"/>
  <c r="A959" i="49"/>
  <c r="A958" i="49"/>
  <c r="A957" i="49"/>
  <c r="A956" i="49"/>
  <c r="A955" i="49"/>
  <c r="A954" i="49"/>
  <c r="A953" i="49"/>
  <c r="A952" i="49"/>
  <c r="A951" i="49"/>
  <c r="A950" i="49"/>
  <c r="A949" i="49"/>
  <c r="A948" i="49"/>
  <c r="A947" i="49"/>
  <c r="A946" i="49"/>
  <c r="A945" i="49"/>
  <c r="A944" i="49"/>
  <c r="A943" i="49"/>
  <c r="A942" i="49"/>
  <c r="A941" i="49"/>
  <c r="A940" i="49"/>
  <c r="A939" i="49"/>
  <c r="A938" i="49"/>
  <c r="A937" i="49"/>
  <c r="A936" i="49"/>
  <c r="A935" i="49"/>
  <c r="A934" i="49"/>
  <c r="A933" i="49"/>
  <c r="A932" i="49"/>
  <c r="A931" i="49"/>
  <c r="A930" i="49"/>
  <c r="A929" i="49"/>
  <c r="A928" i="49"/>
  <c r="A927" i="49"/>
  <c r="A926" i="49"/>
  <c r="A925" i="49"/>
  <c r="A924" i="49"/>
  <c r="A923" i="49"/>
  <c r="A922" i="49"/>
  <c r="A921" i="49"/>
  <c r="A920" i="49"/>
  <c r="A919" i="49"/>
  <c r="A918" i="49"/>
  <c r="A917" i="49"/>
  <c r="A916" i="49"/>
  <c r="A915" i="49"/>
  <c r="A914" i="49"/>
  <c r="A913" i="49"/>
  <c r="A912" i="49"/>
  <c r="A911" i="49"/>
  <c r="A910" i="49"/>
  <c r="A909" i="49"/>
  <c r="A908" i="49"/>
  <c r="A907" i="49"/>
  <c r="A906" i="49"/>
  <c r="A905" i="49"/>
  <c r="A904" i="49"/>
  <c r="A903" i="49"/>
  <c r="A902" i="49"/>
  <c r="A901" i="49"/>
  <c r="A900" i="49"/>
  <c r="A899" i="49"/>
  <c r="A898" i="49"/>
  <c r="A897" i="49"/>
  <c r="A896" i="49"/>
  <c r="A895" i="49"/>
  <c r="A894" i="49"/>
  <c r="A893" i="49"/>
  <c r="A892" i="49"/>
  <c r="A891" i="49"/>
  <c r="A890" i="49"/>
  <c r="A889" i="49"/>
  <c r="A888" i="49"/>
  <c r="A887" i="49"/>
  <c r="A886" i="49"/>
  <c r="A885" i="49"/>
  <c r="A884" i="49"/>
  <c r="A883" i="49"/>
  <c r="A882" i="49"/>
  <c r="A881" i="49"/>
  <c r="A880" i="49"/>
  <c r="A879" i="49"/>
  <c r="A878" i="49"/>
  <c r="A877" i="49"/>
  <c r="A876" i="49"/>
  <c r="A875" i="49"/>
  <c r="A874" i="49"/>
  <c r="A873" i="49"/>
  <c r="A872" i="49"/>
  <c r="A871" i="49"/>
  <c r="A870" i="49"/>
  <c r="A869" i="49"/>
  <c r="A868" i="49"/>
  <c r="A867" i="49"/>
  <c r="A866" i="49"/>
  <c r="A865" i="49"/>
  <c r="A864" i="49"/>
  <c r="A863" i="49"/>
  <c r="A862" i="49"/>
  <c r="A861" i="49"/>
  <c r="A860" i="49"/>
  <c r="A859" i="49"/>
  <c r="A858" i="49"/>
  <c r="A857" i="49"/>
  <c r="A856" i="49"/>
  <c r="A855" i="49"/>
  <c r="A854" i="49"/>
  <c r="A853" i="49"/>
  <c r="A852" i="49"/>
  <c r="A851" i="49"/>
  <c r="A850" i="49"/>
  <c r="A849" i="49"/>
  <c r="A848" i="49"/>
  <c r="A847" i="49"/>
  <c r="A846" i="49"/>
  <c r="A845" i="49"/>
  <c r="A844" i="49"/>
  <c r="A843" i="49"/>
  <c r="A842" i="49"/>
  <c r="A841" i="49"/>
  <c r="A840" i="49"/>
  <c r="A839" i="49"/>
  <c r="A838" i="49"/>
  <c r="A837" i="49"/>
  <c r="A836" i="49"/>
  <c r="A835" i="49"/>
  <c r="A834" i="49"/>
  <c r="A833" i="49"/>
  <c r="A832" i="49"/>
  <c r="A831" i="49"/>
  <c r="A830" i="49"/>
  <c r="A829" i="49"/>
  <c r="A828" i="49"/>
  <c r="A827" i="49"/>
  <c r="A826" i="49"/>
  <c r="A825" i="49"/>
  <c r="A824" i="49"/>
  <c r="A823" i="49"/>
  <c r="A822" i="49"/>
  <c r="A821" i="49"/>
  <c r="A820" i="49"/>
  <c r="A819" i="49"/>
  <c r="A818" i="49"/>
  <c r="A817" i="49"/>
  <c r="A816" i="49"/>
  <c r="A815" i="49"/>
  <c r="A814" i="49"/>
  <c r="A813" i="49"/>
  <c r="A812" i="49"/>
  <c r="A811" i="49"/>
  <c r="A810" i="49"/>
  <c r="A809" i="49"/>
  <c r="A808" i="49"/>
  <c r="A807" i="49"/>
  <c r="A806" i="49"/>
  <c r="A805" i="49"/>
  <c r="A804" i="49"/>
  <c r="A803" i="49"/>
  <c r="A802" i="49"/>
  <c r="A801" i="49"/>
  <c r="A800" i="49"/>
  <c r="A799" i="49"/>
  <c r="A798" i="49"/>
  <c r="A797" i="49"/>
  <c r="A796" i="49"/>
  <c r="A795" i="49"/>
  <c r="A794" i="49"/>
  <c r="A793" i="49"/>
  <c r="A792" i="49"/>
  <c r="A791" i="49"/>
  <c r="A790" i="49"/>
  <c r="A789" i="49"/>
  <c r="A788" i="49"/>
  <c r="A787" i="49"/>
  <c r="A786" i="49"/>
  <c r="A785" i="49"/>
  <c r="A784" i="49"/>
  <c r="A783" i="49"/>
  <c r="A782" i="49"/>
  <c r="A781" i="49"/>
  <c r="A780" i="49"/>
  <c r="A779" i="49"/>
  <c r="A778" i="49"/>
  <c r="A777" i="49"/>
  <c r="A776" i="49"/>
  <c r="A775" i="49"/>
  <c r="A774" i="49"/>
  <c r="A773" i="49"/>
  <c r="A772" i="49"/>
  <c r="A771" i="49"/>
  <c r="A770" i="49"/>
  <c r="A769" i="49"/>
  <c r="A768" i="49"/>
  <c r="A767" i="49"/>
  <c r="A766" i="49"/>
  <c r="A765" i="49"/>
  <c r="A764" i="49"/>
  <c r="A763" i="49"/>
  <c r="A762" i="49"/>
  <c r="A761" i="49"/>
  <c r="A760" i="49"/>
  <c r="A759" i="49"/>
  <c r="A758" i="49"/>
  <c r="A757" i="49"/>
  <c r="A756" i="49"/>
  <c r="A755" i="49"/>
  <c r="A754" i="49"/>
  <c r="A753" i="49"/>
  <c r="A752" i="49"/>
  <c r="A751" i="49"/>
  <c r="A750" i="49"/>
  <c r="A749" i="49"/>
  <c r="A748" i="49"/>
  <c r="A747" i="49"/>
  <c r="A746" i="49"/>
  <c r="A745" i="49"/>
  <c r="A744" i="49"/>
  <c r="A743" i="49"/>
  <c r="A742" i="49"/>
  <c r="A741" i="49"/>
  <c r="A740" i="49"/>
  <c r="A739" i="49"/>
  <c r="A738" i="49"/>
  <c r="A737" i="49"/>
  <c r="A736" i="49"/>
  <c r="A735" i="49"/>
  <c r="A734" i="49"/>
  <c r="A733" i="49"/>
  <c r="A732" i="49"/>
  <c r="A731" i="49"/>
  <c r="A730" i="49"/>
  <c r="A729" i="49"/>
  <c r="A728" i="49"/>
  <c r="A727" i="49"/>
  <c r="A726" i="49"/>
  <c r="A725" i="49"/>
  <c r="A724" i="49"/>
  <c r="A723" i="49"/>
  <c r="A722" i="49"/>
  <c r="A721" i="49"/>
  <c r="A720" i="49"/>
  <c r="A719" i="49"/>
  <c r="A718" i="49"/>
  <c r="A717" i="49"/>
  <c r="A716" i="49"/>
  <c r="A715" i="49"/>
  <c r="A714" i="49"/>
  <c r="A713" i="49"/>
  <c r="A712" i="49"/>
  <c r="A711" i="49"/>
  <c r="A710" i="49"/>
  <c r="A709" i="49"/>
  <c r="A708" i="49"/>
  <c r="A707" i="49"/>
  <c r="A706" i="49"/>
  <c r="A705" i="49"/>
  <c r="A704" i="49"/>
  <c r="A703" i="49"/>
  <c r="A702" i="49"/>
  <c r="A701" i="49"/>
  <c r="A700" i="49"/>
  <c r="A699" i="49"/>
  <c r="A698" i="49"/>
  <c r="A697" i="49"/>
  <c r="A696" i="49"/>
  <c r="A695" i="49"/>
  <c r="A694" i="49"/>
  <c r="A693" i="49"/>
  <c r="A692" i="49"/>
  <c r="A691" i="49"/>
  <c r="A690" i="49"/>
  <c r="A689" i="49"/>
  <c r="A688" i="49"/>
  <c r="A687" i="49"/>
  <c r="A686" i="49"/>
  <c r="A685" i="49"/>
  <c r="A684" i="49"/>
  <c r="A683" i="49"/>
  <c r="A682" i="49"/>
  <c r="A681" i="49"/>
  <c r="A680" i="49"/>
  <c r="A679" i="49"/>
  <c r="A678" i="49"/>
  <c r="A677" i="49"/>
  <c r="A676" i="49"/>
  <c r="A675" i="49"/>
  <c r="A674" i="49"/>
  <c r="A673" i="49"/>
  <c r="A672" i="49"/>
  <c r="A671" i="49"/>
  <c r="A670" i="49"/>
  <c r="A669" i="49"/>
  <c r="A668" i="49"/>
  <c r="A667" i="49"/>
  <c r="A666" i="49"/>
  <c r="A665" i="49"/>
  <c r="A664" i="49"/>
  <c r="A663" i="49"/>
  <c r="A662" i="49"/>
  <c r="A661" i="49"/>
  <c r="A660" i="49"/>
  <c r="A659" i="49"/>
  <c r="A658" i="49"/>
  <c r="A657" i="49"/>
  <c r="A656" i="49"/>
  <c r="A655" i="49"/>
  <c r="A654" i="49"/>
  <c r="A653" i="49"/>
  <c r="A652" i="49"/>
  <c r="A651" i="49"/>
  <c r="A650" i="49"/>
  <c r="A649" i="49"/>
  <c r="A648" i="49"/>
  <c r="A647" i="49"/>
  <c r="A646" i="49"/>
  <c r="A645" i="49"/>
  <c r="A644" i="49"/>
  <c r="A643" i="49"/>
  <c r="A642" i="49"/>
  <c r="A641" i="49"/>
  <c r="A640" i="49"/>
  <c r="A639" i="49"/>
  <c r="A638" i="49"/>
  <c r="A637" i="49"/>
  <c r="A636" i="49"/>
  <c r="A635" i="49"/>
  <c r="A634" i="49"/>
  <c r="A633" i="49"/>
  <c r="A632" i="49"/>
  <c r="A631" i="49"/>
  <c r="A630" i="49"/>
  <c r="A629" i="49"/>
  <c r="A628" i="49"/>
  <c r="A627" i="49"/>
  <c r="A626" i="49"/>
  <c r="A625" i="49"/>
  <c r="A624" i="49"/>
  <c r="A623" i="49"/>
  <c r="A622" i="49"/>
  <c r="A621" i="49"/>
  <c r="A620" i="49"/>
  <c r="A619" i="49"/>
  <c r="A618" i="49"/>
  <c r="A617" i="49"/>
  <c r="A616" i="49"/>
  <c r="A615" i="49"/>
  <c r="A614" i="49"/>
  <c r="A613" i="49"/>
  <c r="A612" i="49"/>
  <c r="A611" i="49"/>
  <c r="A610" i="49"/>
  <c r="A609" i="49"/>
  <c r="A608" i="49"/>
  <c r="A607" i="49"/>
  <c r="A606" i="49"/>
  <c r="A605" i="49"/>
  <c r="A604" i="49"/>
  <c r="A603" i="49"/>
  <c r="A602" i="49"/>
  <c r="A601" i="49"/>
  <c r="A600" i="49"/>
  <c r="A599" i="49"/>
  <c r="A598" i="49"/>
  <c r="A597" i="49"/>
  <c r="A596" i="49"/>
  <c r="A595" i="49"/>
  <c r="A594" i="49"/>
  <c r="A593" i="49"/>
  <c r="A592" i="49"/>
  <c r="A591" i="49"/>
  <c r="A590" i="49"/>
  <c r="A589" i="49"/>
  <c r="A588" i="49"/>
  <c r="A587" i="49"/>
  <c r="A586" i="49"/>
  <c r="A585" i="49"/>
  <c r="A584" i="49"/>
  <c r="A583" i="49"/>
  <c r="A582" i="49"/>
  <c r="A581" i="49"/>
  <c r="A580" i="49"/>
  <c r="A579" i="49"/>
  <c r="A578" i="49"/>
  <c r="A577" i="49"/>
  <c r="A576" i="49"/>
  <c r="A575" i="49"/>
  <c r="A574" i="49"/>
  <c r="A573" i="49"/>
  <c r="A572" i="49"/>
  <c r="A571" i="49"/>
  <c r="A570" i="49"/>
  <c r="A569" i="49"/>
  <c r="A568" i="49"/>
  <c r="A567" i="49"/>
  <c r="A566" i="49"/>
  <c r="A565" i="49"/>
  <c r="A564" i="49"/>
  <c r="A563" i="49"/>
  <c r="A562" i="49"/>
  <c r="A561" i="49"/>
  <c r="A560" i="49"/>
  <c r="A559" i="49"/>
  <c r="A558" i="49"/>
  <c r="A557" i="49"/>
  <c r="A556" i="49"/>
  <c r="A555" i="49"/>
  <c r="A554" i="49"/>
  <c r="A553" i="49"/>
  <c r="A552" i="49"/>
  <c r="A551" i="49"/>
  <c r="A550" i="49"/>
  <c r="A549" i="49"/>
  <c r="A548" i="49"/>
  <c r="A547" i="49"/>
  <c r="A546" i="49"/>
  <c r="A545" i="49"/>
  <c r="A544" i="49"/>
  <c r="A543" i="49"/>
  <c r="A542" i="49"/>
  <c r="A541" i="49"/>
  <c r="A540" i="49"/>
  <c r="A539" i="49"/>
  <c r="A538" i="49"/>
  <c r="A537" i="49"/>
  <c r="A536" i="49"/>
  <c r="A535" i="49"/>
  <c r="A534" i="49"/>
  <c r="A533" i="49"/>
  <c r="A532" i="49"/>
  <c r="A531" i="49"/>
  <c r="A530" i="49"/>
  <c r="A529" i="49"/>
  <c r="A528" i="49"/>
  <c r="A527" i="49"/>
  <c r="A526" i="49"/>
  <c r="A525" i="49"/>
  <c r="A524" i="49"/>
  <c r="A523" i="49"/>
  <c r="A522" i="49"/>
  <c r="A521" i="49"/>
  <c r="A520" i="49"/>
  <c r="A519" i="49"/>
  <c r="A518" i="49"/>
  <c r="A517" i="49"/>
  <c r="A516" i="49"/>
  <c r="A515" i="49"/>
  <c r="A514" i="49"/>
  <c r="A513" i="49"/>
  <c r="A512" i="49"/>
  <c r="A511" i="49"/>
  <c r="A510" i="49"/>
  <c r="A509" i="49"/>
  <c r="A508" i="49"/>
  <c r="A507" i="49"/>
  <c r="A506" i="49"/>
  <c r="A505" i="49"/>
  <c r="A504" i="49"/>
  <c r="A503" i="49"/>
  <c r="A502" i="49"/>
  <c r="A501" i="49"/>
  <c r="A500" i="49"/>
  <c r="A499" i="49"/>
  <c r="A498" i="49"/>
  <c r="A497" i="49"/>
  <c r="A496" i="49"/>
  <c r="A495" i="49"/>
  <c r="A494" i="49"/>
  <c r="A493" i="49"/>
  <c r="A492" i="49"/>
  <c r="A491" i="49"/>
  <c r="A490" i="49"/>
  <c r="A489" i="49"/>
  <c r="A488" i="49"/>
  <c r="A487" i="49"/>
  <c r="A486" i="49"/>
  <c r="A485" i="49"/>
  <c r="A484" i="49"/>
  <c r="A483" i="49"/>
  <c r="A482" i="49"/>
  <c r="A481" i="49"/>
  <c r="A480" i="49"/>
  <c r="A479" i="49"/>
  <c r="A478" i="49"/>
  <c r="A477" i="49"/>
  <c r="A476" i="49"/>
  <c r="A475" i="49"/>
  <c r="A474" i="49"/>
  <c r="A473" i="49"/>
  <c r="A472" i="49"/>
  <c r="A471" i="49"/>
  <c r="A470" i="49"/>
  <c r="A469" i="49"/>
  <c r="A468" i="49"/>
  <c r="A467" i="49"/>
  <c r="A466" i="49"/>
  <c r="A465" i="49"/>
  <c r="A464" i="49"/>
  <c r="A463" i="49"/>
  <c r="A462" i="49"/>
  <c r="A461" i="49"/>
  <c r="A460" i="49"/>
  <c r="A459" i="49"/>
  <c r="A458" i="49"/>
  <c r="A457" i="49"/>
  <c r="A456" i="49"/>
  <c r="A455" i="49"/>
  <c r="A454" i="49"/>
  <c r="A453" i="49"/>
  <c r="A452" i="49"/>
  <c r="A451" i="49"/>
  <c r="A450" i="49"/>
  <c r="A449" i="49"/>
  <c r="A448" i="49"/>
  <c r="A447" i="49"/>
  <c r="A446" i="49"/>
  <c r="A445" i="49"/>
  <c r="A444" i="49"/>
  <c r="A443" i="49"/>
  <c r="A442" i="49"/>
  <c r="A441" i="49"/>
  <c r="A440" i="49"/>
  <c r="A439" i="49"/>
  <c r="A438" i="49"/>
  <c r="A437" i="49"/>
  <c r="A436" i="49"/>
  <c r="A435" i="49"/>
  <c r="A434" i="49"/>
  <c r="A433" i="49"/>
  <c r="A432" i="49"/>
  <c r="A431" i="49"/>
  <c r="A430" i="49"/>
  <c r="A429" i="49"/>
  <c r="A428" i="49"/>
  <c r="A427" i="49"/>
  <c r="A426" i="49"/>
  <c r="A425" i="49"/>
  <c r="A424" i="49"/>
  <c r="A423" i="49"/>
  <c r="A422" i="49"/>
  <c r="A421" i="49"/>
  <c r="A420" i="49"/>
  <c r="A419" i="49"/>
  <c r="A418" i="49"/>
  <c r="A417" i="49"/>
  <c r="A416" i="49"/>
  <c r="A415" i="49"/>
  <c r="A414" i="49"/>
  <c r="A413" i="49"/>
  <c r="A412" i="49"/>
  <c r="A411" i="49"/>
  <c r="A410" i="49"/>
  <c r="A409" i="49"/>
  <c r="A408" i="49"/>
  <c r="A407" i="49"/>
  <c r="A406" i="49"/>
  <c r="A405" i="49"/>
  <c r="A404" i="49"/>
  <c r="A403" i="49"/>
  <c r="A402" i="49"/>
  <c r="A401" i="49"/>
  <c r="A400" i="49"/>
  <c r="A399" i="49"/>
  <c r="A398" i="49"/>
  <c r="A397" i="49"/>
  <c r="A396" i="49"/>
  <c r="A395" i="49"/>
  <c r="A394" i="49"/>
  <c r="A393" i="49"/>
  <c r="A392" i="49"/>
  <c r="A391" i="49"/>
  <c r="A390" i="49"/>
  <c r="A389" i="49"/>
  <c r="A388" i="49"/>
  <c r="A387" i="49"/>
  <c r="A386" i="49"/>
  <c r="A385" i="49"/>
  <c r="A384" i="49"/>
  <c r="A383" i="49"/>
  <c r="A382" i="49"/>
  <c r="A381" i="49"/>
  <c r="A380" i="49"/>
  <c r="A379" i="49"/>
  <c r="A378" i="49"/>
  <c r="A377" i="49"/>
  <c r="A376" i="49"/>
  <c r="A375" i="49"/>
  <c r="A374" i="49"/>
  <c r="A373" i="49"/>
  <c r="A372" i="49"/>
  <c r="A371" i="49"/>
  <c r="A370" i="49"/>
  <c r="A369" i="49"/>
  <c r="A368" i="49"/>
  <c r="A367" i="49"/>
  <c r="A366" i="49"/>
  <c r="A365" i="49"/>
  <c r="A364" i="49"/>
  <c r="A363" i="49"/>
  <c r="A362" i="49"/>
  <c r="A361" i="49"/>
  <c r="A360" i="49"/>
  <c r="A359" i="49"/>
  <c r="A358" i="49"/>
  <c r="A357" i="49"/>
  <c r="A356" i="49"/>
  <c r="A355" i="49"/>
  <c r="A354" i="49"/>
  <c r="A353" i="49"/>
  <c r="A352" i="49"/>
  <c r="A351" i="49"/>
  <c r="A350" i="49"/>
  <c r="A349" i="49"/>
  <c r="A348" i="49"/>
  <c r="A347" i="49"/>
  <c r="A346" i="49"/>
  <c r="A345" i="49"/>
  <c r="A344" i="49"/>
  <c r="A343" i="49"/>
  <c r="A342" i="49"/>
  <c r="A341" i="49"/>
  <c r="A340" i="49"/>
  <c r="A339" i="49"/>
  <c r="A338" i="49"/>
  <c r="A337" i="49"/>
  <c r="A336" i="49"/>
  <c r="A335" i="49"/>
  <c r="A334" i="49"/>
  <c r="A333" i="49"/>
  <c r="A332" i="49"/>
  <c r="A331" i="49"/>
  <c r="A330" i="49"/>
  <c r="A329" i="49"/>
  <c r="A328" i="49"/>
  <c r="A327" i="49"/>
  <c r="A326" i="49"/>
  <c r="A325" i="49"/>
  <c r="A324" i="49"/>
  <c r="A323" i="49"/>
  <c r="A322" i="49"/>
  <c r="A321" i="49"/>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7" i="49"/>
  <c r="A228"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A3" i="49"/>
  <c r="A2" i="49"/>
  <c r="K21" i="64" l="1"/>
  <c r="F23" i="64"/>
  <c r="G23" i="64"/>
  <c r="H23" i="64"/>
  <c r="M23" i="64"/>
  <c r="E23" i="64"/>
  <c r="D22" i="64"/>
  <c r="I22" i="64" s="1"/>
  <c r="C24" i="64"/>
  <c r="B25" i="64"/>
  <c r="G42" i="51"/>
  <c r="F42" i="51"/>
  <c r="H42" i="51"/>
  <c r="I42" i="51"/>
  <c r="J42" i="51"/>
  <c r="I141" i="51"/>
  <c r="J141" i="51"/>
  <c r="F141" i="51"/>
  <c r="G141" i="51"/>
  <c r="H141" i="51"/>
  <c r="G67" i="51"/>
  <c r="F67" i="51"/>
  <c r="H67" i="51"/>
  <c r="I67" i="51"/>
  <c r="J67" i="51"/>
  <c r="J91" i="51"/>
  <c r="G91" i="51"/>
  <c r="H91" i="51"/>
  <c r="I91" i="51"/>
  <c r="F91" i="51"/>
  <c r="I118" i="51"/>
  <c r="F118" i="51"/>
  <c r="H118" i="51"/>
  <c r="G118" i="51"/>
  <c r="J118" i="51"/>
  <c r="C69" i="51"/>
  <c r="E68" i="51"/>
  <c r="Z68" i="51" s="1"/>
  <c r="W68" i="51" s="1"/>
  <c r="Y68" i="51" s="1"/>
  <c r="C143" i="51"/>
  <c r="E142" i="51"/>
  <c r="Z142" i="51" s="1"/>
  <c r="W142" i="51" s="1"/>
  <c r="Y142" i="51" s="1"/>
  <c r="C93" i="51"/>
  <c r="E92" i="51"/>
  <c r="Z92" i="51" s="1"/>
  <c r="W92" i="51" s="1"/>
  <c r="Y92" i="51" s="1"/>
  <c r="C120" i="51"/>
  <c r="E119" i="51"/>
  <c r="Z119" i="51" s="1"/>
  <c r="W119" i="51" s="1"/>
  <c r="Y119" i="51" s="1"/>
  <c r="C44" i="51"/>
  <c r="E43" i="51"/>
  <c r="Z43" i="51" s="1"/>
  <c r="W43" i="51" s="1"/>
  <c r="Y43" i="51" s="1"/>
  <c r="AR9" i="1"/>
  <c r="AQ9" i="1"/>
  <c r="AM9" i="1"/>
  <c r="AL9" i="1"/>
  <c r="AK9" i="1"/>
  <c r="AJ9" i="1"/>
  <c r="B15" i="48"/>
  <c r="D2" i="48"/>
  <c r="D23" i="64" l="1"/>
  <c r="K23" i="64" s="1"/>
  <c r="M24" i="64"/>
  <c r="E24" i="64"/>
  <c r="F24" i="64"/>
  <c r="G24" i="64"/>
  <c r="H24" i="64"/>
  <c r="K22" i="64"/>
  <c r="C25" i="64"/>
  <c r="B26" i="64"/>
  <c r="I68" i="51"/>
  <c r="F68" i="51"/>
  <c r="H68" i="51"/>
  <c r="G68" i="51"/>
  <c r="J68" i="51"/>
  <c r="H119" i="51"/>
  <c r="F119" i="51"/>
  <c r="G119" i="51"/>
  <c r="I119" i="51"/>
  <c r="J119" i="51"/>
  <c r="I43" i="51"/>
  <c r="F43" i="51"/>
  <c r="G43" i="51"/>
  <c r="H43" i="51"/>
  <c r="J43" i="51"/>
  <c r="G92" i="51"/>
  <c r="I92" i="51"/>
  <c r="F92" i="51"/>
  <c r="H92" i="51"/>
  <c r="J92" i="51"/>
  <c r="G142" i="51"/>
  <c r="H142" i="51"/>
  <c r="F142" i="51"/>
  <c r="I142" i="51"/>
  <c r="J142" i="51"/>
  <c r="C70" i="51"/>
  <c r="E69" i="51"/>
  <c r="Z69" i="51" s="1"/>
  <c r="W69" i="51" s="1"/>
  <c r="Y69" i="51" s="1"/>
  <c r="C121" i="51"/>
  <c r="E120" i="51"/>
  <c r="Z120" i="51" s="1"/>
  <c r="W120" i="51" s="1"/>
  <c r="Y120" i="51" s="1"/>
  <c r="C45" i="51"/>
  <c r="E44" i="51"/>
  <c r="Z44" i="51" s="1"/>
  <c r="W44" i="51" s="1"/>
  <c r="Y44" i="51" s="1"/>
  <c r="C94" i="51"/>
  <c r="E93" i="51"/>
  <c r="Z93" i="51" s="1"/>
  <c r="W93" i="51" s="1"/>
  <c r="Y93" i="51" s="1"/>
  <c r="C144" i="51"/>
  <c r="E143" i="51"/>
  <c r="Z143" i="51" s="1"/>
  <c r="W143" i="51" s="1"/>
  <c r="Y143" i="51" s="1"/>
  <c r="B16" i="48"/>
  <c r="I23" i="64" l="1"/>
  <c r="D24" i="64"/>
  <c r="I24" i="64" s="1"/>
  <c r="E25" i="64"/>
  <c r="F25" i="64"/>
  <c r="G25" i="64"/>
  <c r="H25" i="64"/>
  <c r="M25" i="64"/>
  <c r="C26" i="64"/>
  <c r="B27" i="64"/>
  <c r="H69" i="51"/>
  <c r="F69" i="51"/>
  <c r="G69" i="51"/>
  <c r="I69" i="51"/>
  <c r="J69" i="51"/>
  <c r="F143" i="51"/>
  <c r="I143" i="51"/>
  <c r="J143" i="51"/>
  <c r="G143" i="51"/>
  <c r="H143" i="51"/>
  <c r="I93" i="51"/>
  <c r="F93" i="51"/>
  <c r="G93" i="51"/>
  <c r="H93" i="51"/>
  <c r="J93" i="51"/>
  <c r="H44" i="51"/>
  <c r="J44" i="51"/>
  <c r="F44" i="51"/>
  <c r="G44" i="51"/>
  <c r="I44" i="51"/>
  <c r="J120" i="51"/>
  <c r="I120" i="51"/>
  <c r="G120" i="51"/>
  <c r="F120" i="51"/>
  <c r="H120" i="51"/>
  <c r="C145" i="51"/>
  <c r="E144" i="51"/>
  <c r="Z144" i="51" s="1"/>
  <c r="W144" i="51" s="1"/>
  <c r="Y144" i="51" s="1"/>
  <c r="C71" i="51"/>
  <c r="E70" i="51"/>
  <c r="Z70" i="51" s="1"/>
  <c r="W70" i="51" s="1"/>
  <c r="Y70" i="51" s="1"/>
  <c r="C46" i="51"/>
  <c r="E45" i="51"/>
  <c r="Z45" i="51" s="1"/>
  <c r="W45" i="51" s="1"/>
  <c r="Y45" i="51" s="1"/>
  <c r="C95" i="51"/>
  <c r="E94" i="51"/>
  <c r="Z94" i="51" s="1"/>
  <c r="W94" i="51" s="1"/>
  <c r="Y94" i="51" s="1"/>
  <c r="C122" i="51"/>
  <c r="E121" i="51"/>
  <c r="Z121" i="51" s="1"/>
  <c r="W121" i="51" s="1"/>
  <c r="Y121" i="51" s="1"/>
  <c r="B17" i="48"/>
  <c r="C123" i="51" l="1"/>
  <c r="E122" i="51"/>
  <c r="G26" i="64"/>
  <c r="H26" i="64"/>
  <c r="M26" i="64"/>
  <c r="E26" i="64"/>
  <c r="F26" i="64"/>
  <c r="D25" i="64"/>
  <c r="K25" i="64" s="1"/>
  <c r="K24" i="64"/>
  <c r="C27" i="64"/>
  <c r="B28" i="64"/>
  <c r="G144" i="51"/>
  <c r="H144" i="51"/>
  <c r="I144" i="51"/>
  <c r="J144" i="51"/>
  <c r="F144" i="51"/>
  <c r="G121" i="51"/>
  <c r="F121" i="51"/>
  <c r="H121" i="51"/>
  <c r="I121" i="51"/>
  <c r="J121" i="51"/>
  <c r="H94" i="51"/>
  <c r="J94" i="51"/>
  <c r="G94" i="51"/>
  <c r="F94" i="51"/>
  <c r="I94" i="51"/>
  <c r="J70" i="51"/>
  <c r="I70" i="51"/>
  <c r="G70" i="51"/>
  <c r="F70" i="51"/>
  <c r="H70" i="51"/>
  <c r="J45" i="51"/>
  <c r="F45" i="51"/>
  <c r="G45" i="51"/>
  <c r="H45" i="51"/>
  <c r="I45" i="51"/>
  <c r="C146" i="51"/>
  <c r="E145" i="51"/>
  <c r="Z145" i="51" s="1"/>
  <c r="W145" i="51" s="1"/>
  <c r="Y145" i="51" s="1"/>
  <c r="C96" i="51"/>
  <c r="E95" i="51"/>
  <c r="Z95" i="51" s="1"/>
  <c r="W95" i="51" s="1"/>
  <c r="Y95" i="51" s="1"/>
  <c r="C47" i="51"/>
  <c r="E46" i="51"/>
  <c r="Z46" i="51" s="1"/>
  <c r="W46" i="51" s="1"/>
  <c r="Y46" i="51" s="1"/>
  <c r="C72" i="51"/>
  <c r="E71" i="51"/>
  <c r="Z71" i="51" s="1"/>
  <c r="W71" i="51" s="1"/>
  <c r="Y71" i="51" s="1"/>
  <c r="B18" i="48"/>
  <c r="BN9" i="1"/>
  <c r="BM9" i="1"/>
  <c r="BL9" i="1"/>
  <c r="BK9" i="1"/>
  <c r="BJ9" i="1"/>
  <c r="BI9" i="1"/>
  <c r="BH9" i="1"/>
  <c r="Z122" i="51" l="1"/>
  <c r="W122" i="51" s="1"/>
  <c r="Y122" i="51" s="1"/>
  <c r="F122" i="51"/>
  <c r="G122" i="51"/>
  <c r="I122" i="51"/>
  <c r="J122" i="51"/>
  <c r="H122" i="51"/>
  <c r="I25" i="64"/>
  <c r="D26" i="64"/>
  <c r="K26" i="64" s="1"/>
  <c r="E27" i="64"/>
  <c r="F27" i="64"/>
  <c r="G27" i="64"/>
  <c r="H27" i="64"/>
  <c r="M27" i="64"/>
  <c r="B29" i="64"/>
  <c r="C28" i="64"/>
  <c r="H46" i="51"/>
  <c r="I46" i="51"/>
  <c r="J46" i="51"/>
  <c r="F46" i="51"/>
  <c r="G46" i="51"/>
  <c r="J95" i="51"/>
  <c r="F95" i="51"/>
  <c r="G95" i="51"/>
  <c r="H95" i="51"/>
  <c r="I95" i="51"/>
  <c r="I145" i="51"/>
  <c r="J145" i="51"/>
  <c r="F145" i="51"/>
  <c r="G145" i="51"/>
  <c r="H145" i="51"/>
  <c r="G71" i="51"/>
  <c r="F71" i="51"/>
  <c r="H71" i="51"/>
  <c r="I71" i="51"/>
  <c r="J71" i="51"/>
  <c r="C73" i="51"/>
  <c r="E72" i="51"/>
  <c r="Z72" i="51" s="1"/>
  <c r="W72" i="51" s="1"/>
  <c r="Y72" i="51" s="1"/>
  <c r="C147" i="51"/>
  <c r="C148" i="51" s="1"/>
  <c r="E146" i="51"/>
  <c r="Z146" i="51" s="1"/>
  <c r="W146" i="51" s="1"/>
  <c r="Y146" i="51" s="1"/>
  <c r="C48" i="51"/>
  <c r="E47" i="51"/>
  <c r="Z47" i="51" s="1"/>
  <c r="W47" i="51" s="1"/>
  <c r="Y47" i="51" s="1"/>
  <c r="C97" i="51"/>
  <c r="E96" i="51"/>
  <c r="Z96" i="51" s="1"/>
  <c r="W96" i="51" s="1"/>
  <c r="Y96" i="51" s="1"/>
  <c r="B19" i="48"/>
  <c r="I26" i="64" l="1"/>
  <c r="D27" i="64"/>
  <c r="K27" i="64" s="1"/>
  <c r="E28" i="64"/>
  <c r="F28" i="64"/>
  <c r="G28" i="64"/>
  <c r="H28" i="64"/>
  <c r="M28" i="64"/>
  <c r="B30" i="64"/>
  <c r="C29" i="64"/>
  <c r="I72" i="51"/>
  <c r="F72" i="51"/>
  <c r="H72" i="51"/>
  <c r="J72" i="51"/>
  <c r="G72" i="51"/>
  <c r="G146" i="51"/>
  <c r="H146" i="51"/>
  <c r="I146" i="51"/>
  <c r="F146" i="51"/>
  <c r="J146" i="51"/>
  <c r="G96" i="51"/>
  <c r="I96" i="51"/>
  <c r="J96" i="51"/>
  <c r="F96" i="51"/>
  <c r="H96" i="51"/>
  <c r="J47" i="51"/>
  <c r="F47" i="51"/>
  <c r="G47" i="51"/>
  <c r="H47" i="51"/>
  <c r="I47" i="51"/>
  <c r="C74" i="51"/>
  <c r="E73" i="51"/>
  <c r="Z73" i="51" s="1"/>
  <c r="W73" i="51" s="1"/>
  <c r="Y73" i="51" s="1"/>
  <c r="C98" i="51"/>
  <c r="E97" i="51"/>
  <c r="Z97" i="51" s="1"/>
  <c r="W97" i="51" s="1"/>
  <c r="Y97" i="51" s="1"/>
  <c r="C49" i="51"/>
  <c r="E48" i="51"/>
  <c r="Z48" i="51" s="1"/>
  <c r="W48" i="51" s="1"/>
  <c r="Y48" i="51" s="1"/>
  <c r="E147" i="51"/>
  <c r="Z147" i="51" s="1"/>
  <c r="W147" i="51" s="1"/>
  <c r="Y147" i="51" s="1"/>
  <c r="B20" i="48"/>
  <c r="L170" i="2"/>
  <c r="I27" i="64" l="1"/>
  <c r="D28" i="64"/>
  <c r="K28" i="64" s="1"/>
  <c r="H29" i="64"/>
  <c r="M29" i="64"/>
  <c r="E29" i="64"/>
  <c r="F29" i="64"/>
  <c r="G29" i="64"/>
  <c r="B31" i="64"/>
  <c r="C30" i="64"/>
  <c r="F147" i="51"/>
  <c r="I147" i="51"/>
  <c r="J147" i="51"/>
  <c r="G147" i="51"/>
  <c r="H147" i="51"/>
  <c r="I97" i="51"/>
  <c r="F97" i="51"/>
  <c r="G97" i="51"/>
  <c r="H97" i="51"/>
  <c r="J97" i="51"/>
  <c r="H73" i="51"/>
  <c r="F73" i="51"/>
  <c r="G73" i="51"/>
  <c r="J73" i="51"/>
  <c r="I73" i="51"/>
  <c r="F48" i="51"/>
  <c r="G48" i="51"/>
  <c r="H48" i="51"/>
  <c r="I48" i="51"/>
  <c r="J48" i="51"/>
  <c r="C149" i="51"/>
  <c r="E148" i="51"/>
  <c r="Z148" i="51" s="1"/>
  <c r="W148" i="51" s="1"/>
  <c r="Y148" i="51" s="1"/>
  <c r="C99" i="51"/>
  <c r="E98" i="51"/>
  <c r="Z98" i="51" s="1"/>
  <c r="W98" i="51" s="1"/>
  <c r="Y98" i="51" s="1"/>
  <c r="C75" i="51"/>
  <c r="E74" i="51"/>
  <c r="Z74" i="51" s="1"/>
  <c r="W74" i="51" s="1"/>
  <c r="Y74" i="51" s="1"/>
  <c r="C50" i="51"/>
  <c r="E49" i="51"/>
  <c r="Z49" i="51" s="1"/>
  <c r="W49" i="51" s="1"/>
  <c r="Y49" i="51" s="1"/>
  <c r="B21" i="48"/>
  <c r="AE9" i="1"/>
  <c r="AD9" i="1"/>
  <c r="AC9" i="1"/>
  <c r="AB9" i="1"/>
  <c r="AA9" i="1"/>
  <c r="Z9" i="1"/>
  <c r="Y9" i="1"/>
  <c r="X9" i="1"/>
  <c r="W9" i="1"/>
  <c r="V9" i="1"/>
  <c r="U9" i="1"/>
  <c r="T9" i="1"/>
  <c r="I28" i="64" l="1"/>
  <c r="D29" i="64"/>
  <c r="I29" i="64" s="1"/>
  <c r="E30" i="64"/>
  <c r="F30" i="64"/>
  <c r="G30" i="64"/>
  <c r="H30" i="64"/>
  <c r="M30" i="64"/>
  <c r="B32" i="64"/>
  <c r="C31" i="64"/>
  <c r="G148" i="51"/>
  <c r="H148" i="51"/>
  <c r="F148" i="51"/>
  <c r="I148" i="51"/>
  <c r="J148" i="51"/>
  <c r="H98" i="51"/>
  <c r="G98" i="51"/>
  <c r="I98" i="51"/>
  <c r="J98" i="51"/>
  <c r="F98" i="51"/>
  <c r="F49" i="51"/>
  <c r="G49" i="51"/>
  <c r="H49" i="51"/>
  <c r="I49" i="51"/>
  <c r="J49" i="51"/>
  <c r="J74" i="51"/>
  <c r="G74" i="51"/>
  <c r="H74" i="51"/>
  <c r="I74" i="51"/>
  <c r="F74" i="51"/>
  <c r="C51" i="51"/>
  <c r="E50" i="51"/>
  <c r="Z50" i="51" s="1"/>
  <c r="W50" i="51" s="1"/>
  <c r="Y50" i="51" s="1"/>
  <c r="C150" i="51"/>
  <c r="E149" i="51"/>
  <c r="Z149" i="51" s="1"/>
  <c r="W149" i="51" s="1"/>
  <c r="Y149" i="51" s="1"/>
  <c r="C76" i="51"/>
  <c r="E75" i="51"/>
  <c r="Z75" i="51" s="1"/>
  <c r="W75" i="51" s="1"/>
  <c r="Y75" i="51" s="1"/>
  <c r="C100" i="51"/>
  <c r="E99" i="51"/>
  <c r="Z99" i="51" s="1"/>
  <c r="W99" i="51" s="1"/>
  <c r="Y99" i="51" s="1"/>
  <c r="B22" i="48"/>
  <c r="S9" i="1"/>
  <c r="K29" i="64" l="1"/>
  <c r="D30" i="64"/>
  <c r="I30" i="64" s="1"/>
  <c r="F31" i="64"/>
  <c r="G31" i="64"/>
  <c r="H31" i="64"/>
  <c r="M31" i="64"/>
  <c r="E31" i="64"/>
  <c r="B33" i="64"/>
  <c r="C32" i="64"/>
  <c r="H50" i="51"/>
  <c r="I50" i="51"/>
  <c r="J50" i="51"/>
  <c r="F50" i="51"/>
  <c r="G50" i="51"/>
  <c r="J99" i="51"/>
  <c r="I99" i="51"/>
  <c r="F99" i="51"/>
  <c r="G99" i="51"/>
  <c r="H99" i="51"/>
  <c r="G75" i="51"/>
  <c r="I75" i="51"/>
  <c r="F75" i="51"/>
  <c r="H75" i="51"/>
  <c r="J75" i="51"/>
  <c r="I149" i="51"/>
  <c r="J149" i="51"/>
  <c r="F149" i="51"/>
  <c r="G149" i="51"/>
  <c r="H149" i="51"/>
  <c r="C101" i="51"/>
  <c r="E100" i="51"/>
  <c r="Z100" i="51" s="1"/>
  <c r="W100" i="51" s="1"/>
  <c r="Y100" i="51" s="1"/>
  <c r="C77" i="51"/>
  <c r="E76" i="51"/>
  <c r="Z76" i="51" s="1"/>
  <c r="W76" i="51" s="1"/>
  <c r="Y76" i="51" s="1"/>
  <c r="C151" i="51"/>
  <c r="E150" i="51"/>
  <c r="Z150" i="51" s="1"/>
  <c r="W150" i="51" s="1"/>
  <c r="Y150" i="51" s="1"/>
  <c r="C52" i="51"/>
  <c r="E51" i="51"/>
  <c r="Z51" i="51" s="1"/>
  <c r="W51" i="51" s="1"/>
  <c r="Y51" i="51" s="1"/>
  <c r="B23" i="48"/>
  <c r="H9" i="1"/>
  <c r="I9" i="1"/>
  <c r="K30" i="64" l="1"/>
  <c r="D31" i="64"/>
  <c r="K31" i="64" s="1"/>
  <c r="E32" i="64"/>
  <c r="F32" i="64"/>
  <c r="G32" i="64"/>
  <c r="H32" i="64"/>
  <c r="M32" i="64"/>
  <c r="B34" i="64"/>
  <c r="C33" i="64"/>
  <c r="G100" i="51"/>
  <c r="F100" i="51"/>
  <c r="H100" i="51"/>
  <c r="I100" i="51"/>
  <c r="J100" i="51"/>
  <c r="I76" i="51"/>
  <c r="F76" i="51"/>
  <c r="G76" i="51"/>
  <c r="H76" i="51"/>
  <c r="J76" i="51"/>
  <c r="J51" i="51"/>
  <c r="F51" i="51"/>
  <c r="G51" i="51"/>
  <c r="H51" i="51"/>
  <c r="I51" i="51"/>
  <c r="G150" i="51"/>
  <c r="H150" i="51"/>
  <c r="F150" i="51"/>
  <c r="I150" i="51"/>
  <c r="J150" i="51"/>
  <c r="C53" i="51"/>
  <c r="E52" i="51"/>
  <c r="Z52" i="51" s="1"/>
  <c r="W52" i="51" s="1"/>
  <c r="Y52" i="51" s="1"/>
  <c r="C152" i="51"/>
  <c r="E151" i="51"/>
  <c r="Z151" i="51" s="1"/>
  <c r="W151" i="51" s="1"/>
  <c r="Y151" i="51" s="1"/>
  <c r="C102" i="51"/>
  <c r="E101" i="51"/>
  <c r="Z101" i="51" s="1"/>
  <c r="W101" i="51" s="1"/>
  <c r="Y101" i="51" s="1"/>
  <c r="C78" i="51"/>
  <c r="E77" i="51"/>
  <c r="Z77" i="51" s="1"/>
  <c r="W77" i="51" s="1"/>
  <c r="Y77" i="51" s="1"/>
  <c r="B24" i="48"/>
  <c r="I170" i="2"/>
  <c r="E170" i="2"/>
  <c r="I31" i="64" l="1"/>
  <c r="D32" i="64"/>
  <c r="I32" i="64" s="1"/>
  <c r="H33" i="64"/>
  <c r="M33" i="64"/>
  <c r="E33" i="64"/>
  <c r="F33" i="64"/>
  <c r="G33" i="64"/>
  <c r="B35" i="64"/>
  <c r="C34" i="64"/>
  <c r="F52" i="51"/>
  <c r="G52" i="51"/>
  <c r="H52" i="51"/>
  <c r="I52" i="51"/>
  <c r="J52" i="51"/>
  <c r="F151" i="51"/>
  <c r="J151" i="51"/>
  <c r="G151" i="51"/>
  <c r="I151" i="51"/>
  <c r="H151" i="51"/>
  <c r="H77" i="51"/>
  <c r="J77" i="51"/>
  <c r="G77" i="51"/>
  <c r="F77" i="51"/>
  <c r="I77" i="51"/>
  <c r="I101" i="51"/>
  <c r="F101" i="51"/>
  <c r="H101" i="51"/>
  <c r="G101" i="51"/>
  <c r="J101" i="51"/>
  <c r="C54" i="51"/>
  <c r="E53" i="51"/>
  <c r="Z53" i="51" s="1"/>
  <c r="W53" i="51" s="1"/>
  <c r="Y53" i="51" s="1"/>
  <c r="C153" i="51"/>
  <c r="E152" i="51"/>
  <c r="Z152" i="51" s="1"/>
  <c r="W152" i="51" s="1"/>
  <c r="Y152" i="51" s="1"/>
  <c r="C79" i="51"/>
  <c r="E78" i="51"/>
  <c r="Z78" i="51" s="1"/>
  <c r="W78" i="51" s="1"/>
  <c r="Y78" i="51" s="1"/>
  <c r="C103" i="51"/>
  <c r="E102" i="51"/>
  <c r="Z102" i="51" s="1"/>
  <c r="W102" i="51" s="1"/>
  <c r="Y102" i="51" s="1"/>
  <c r="B25" i="48"/>
  <c r="L166" i="2"/>
  <c r="L167" i="2"/>
  <c r="L168" i="2"/>
  <c r="L169" i="2"/>
  <c r="B183" i="2"/>
  <c r="K32" i="64" l="1"/>
  <c r="D33" i="64"/>
  <c r="I33" i="64" s="1"/>
  <c r="E34" i="64"/>
  <c r="F34" i="64"/>
  <c r="G34" i="64"/>
  <c r="H34" i="64"/>
  <c r="M34" i="64"/>
  <c r="C35" i="64"/>
  <c r="B36" i="64"/>
  <c r="F53" i="51"/>
  <c r="G53" i="51"/>
  <c r="H53" i="51"/>
  <c r="I53" i="51"/>
  <c r="J53" i="51"/>
  <c r="J78" i="51"/>
  <c r="F78" i="51"/>
  <c r="G78" i="51"/>
  <c r="H78" i="51"/>
  <c r="I78" i="51"/>
  <c r="G152" i="51"/>
  <c r="F152" i="51"/>
  <c r="H152" i="51"/>
  <c r="I152" i="51"/>
  <c r="J152" i="51"/>
  <c r="H102" i="51"/>
  <c r="F102" i="51"/>
  <c r="G102" i="51"/>
  <c r="I102" i="51"/>
  <c r="J102" i="51"/>
  <c r="C55" i="51"/>
  <c r="E54" i="51"/>
  <c r="Z54" i="51" s="1"/>
  <c r="W54" i="51" s="1"/>
  <c r="Y54" i="51" s="1"/>
  <c r="C104" i="51"/>
  <c r="E103" i="51"/>
  <c r="Z103" i="51" s="1"/>
  <c r="W103" i="51" s="1"/>
  <c r="Y103" i="51" s="1"/>
  <c r="C80" i="51"/>
  <c r="E79" i="51"/>
  <c r="Z79" i="51" s="1"/>
  <c r="W79" i="51" s="1"/>
  <c r="Y79" i="51" s="1"/>
  <c r="C154" i="51"/>
  <c r="E153" i="51"/>
  <c r="Z153" i="51" s="1"/>
  <c r="W153" i="51" s="1"/>
  <c r="Y153" i="51" s="1"/>
  <c r="B26" i="48"/>
  <c r="S19" i="29"/>
  <c r="R19" i="29"/>
  <c r="Q19" i="29"/>
  <c r="S18" i="29"/>
  <c r="R18" i="29"/>
  <c r="Q18" i="29"/>
  <c r="S16" i="29"/>
  <c r="R16" i="29"/>
  <c r="Q16" i="29"/>
  <c r="K33" i="64" l="1"/>
  <c r="D34" i="64"/>
  <c r="I34" i="64" s="1"/>
  <c r="F35" i="64"/>
  <c r="G35" i="64"/>
  <c r="H35" i="64"/>
  <c r="M35" i="64"/>
  <c r="E35" i="64"/>
  <c r="C36" i="64"/>
  <c r="B37" i="64"/>
  <c r="H54" i="51"/>
  <c r="I54" i="51"/>
  <c r="J54" i="51"/>
  <c r="F54" i="51"/>
  <c r="G54" i="51"/>
  <c r="I153" i="51"/>
  <c r="F153" i="51"/>
  <c r="H153" i="51"/>
  <c r="G153" i="51"/>
  <c r="J153" i="51"/>
  <c r="G79" i="51"/>
  <c r="I79" i="51"/>
  <c r="J79" i="51"/>
  <c r="F79" i="51"/>
  <c r="H79" i="51"/>
  <c r="J103" i="51"/>
  <c r="I103" i="51"/>
  <c r="G103" i="51"/>
  <c r="F103" i="51"/>
  <c r="H103" i="51"/>
  <c r="C81" i="51"/>
  <c r="E81" i="51" s="1"/>
  <c r="Z81" i="51" s="1"/>
  <c r="W81" i="51" s="1"/>
  <c r="Y81" i="51" s="1"/>
  <c r="E80" i="51"/>
  <c r="Z80" i="51" s="1"/>
  <c r="W80" i="51" s="1"/>
  <c r="Y80" i="51" s="1"/>
  <c r="C105" i="51"/>
  <c r="E104" i="51"/>
  <c r="Z104" i="51" s="1"/>
  <c r="W104" i="51" s="1"/>
  <c r="Y104" i="51" s="1"/>
  <c r="C56" i="51"/>
  <c r="E56" i="51" s="1"/>
  <c r="Z56" i="51" s="1"/>
  <c r="W56" i="51" s="1"/>
  <c r="Y56" i="51" s="1"/>
  <c r="E55" i="51"/>
  <c r="Z55" i="51" s="1"/>
  <c r="W55" i="51" s="1"/>
  <c r="Y55" i="51" s="1"/>
  <c r="C155" i="51"/>
  <c r="E154" i="51"/>
  <c r="Z154" i="51" s="1"/>
  <c r="W154" i="51" s="1"/>
  <c r="Y154" i="51" s="1"/>
  <c r="B27" i="48"/>
  <c r="N19" i="29"/>
  <c r="N18" i="29"/>
  <c r="N16" i="29"/>
  <c r="K34" i="64" l="1"/>
  <c r="D35" i="64"/>
  <c r="I35" i="64" s="1"/>
  <c r="G36" i="64"/>
  <c r="H36" i="64"/>
  <c r="M36" i="64"/>
  <c r="E36" i="64"/>
  <c r="F36" i="64"/>
  <c r="B38" i="64"/>
  <c r="C37" i="64"/>
  <c r="I80" i="51"/>
  <c r="F80" i="51"/>
  <c r="G80" i="51"/>
  <c r="H80" i="51"/>
  <c r="J80" i="51"/>
  <c r="H81" i="51"/>
  <c r="G81" i="51"/>
  <c r="I81" i="51"/>
  <c r="J81" i="51"/>
  <c r="F81" i="51"/>
  <c r="F57" i="51" s="1"/>
  <c r="F56" i="51"/>
  <c r="G56" i="51"/>
  <c r="H56" i="51"/>
  <c r="I56" i="51"/>
  <c r="J56" i="51"/>
  <c r="G104" i="51"/>
  <c r="F104" i="51"/>
  <c r="H104" i="51"/>
  <c r="I104" i="51"/>
  <c r="J104" i="51"/>
  <c r="H154" i="51"/>
  <c r="F154" i="51"/>
  <c r="G154" i="51"/>
  <c r="I154" i="51"/>
  <c r="J154" i="51"/>
  <c r="J55" i="51"/>
  <c r="F55" i="51"/>
  <c r="G55" i="51"/>
  <c r="H55" i="51"/>
  <c r="I55" i="51"/>
  <c r="C106" i="51"/>
  <c r="E106" i="51" s="1"/>
  <c r="Z106" i="51" s="1"/>
  <c r="W106" i="51" s="1"/>
  <c r="Y106" i="51" s="1"/>
  <c r="E105" i="51"/>
  <c r="Z105" i="51" s="1"/>
  <c r="W105" i="51" s="1"/>
  <c r="Y105" i="51" s="1"/>
  <c r="C156" i="51"/>
  <c r="E156" i="51" s="1"/>
  <c r="Z156" i="51" s="1"/>
  <c r="W156" i="51" s="1"/>
  <c r="Y156" i="51" s="1"/>
  <c r="E155" i="51"/>
  <c r="Z155" i="51" s="1"/>
  <c r="W155" i="51" s="1"/>
  <c r="Y155" i="51" s="1"/>
  <c r="B28" i="48"/>
  <c r="B2" i="29"/>
  <c r="S15" i="29"/>
  <c r="R15" i="29"/>
  <c r="Q15" i="29"/>
  <c r="K35" i="64" l="1"/>
  <c r="D36" i="64"/>
  <c r="I36" i="64" s="1"/>
  <c r="H37" i="64"/>
  <c r="M37" i="64"/>
  <c r="E37" i="64"/>
  <c r="F37" i="64"/>
  <c r="G37" i="64"/>
  <c r="B39" i="64"/>
  <c r="C38" i="64"/>
  <c r="F32" i="51"/>
  <c r="F11" i="51" s="1"/>
  <c r="I57" i="51"/>
  <c r="I12" i="51" s="1"/>
  <c r="H106" i="51"/>
  <c r="J106" i="51"/>
  <c r="F106" i="51"/>
  <c r="G106" i="51"/>
  <c r="I106" i="51"/>
  <c r="G156" i="51"/>
  <c r="F156" i="51"/>
  <c r="H156" i="51"/>
  <c r="I156" i="51"/>
  <c r="J156" i="51"/>
  <c r="J155" i="51"/>
  <c r="I155" i="51"/>
  <c r="G155" i="51"/>
  <c r="F155" i="51"/>
  <c r="H155" i="51"/>
  <c r="I105" i="51"/>
  <c r="F105" i="51"/>
  <c r="H105" i="51"/>
  <c r="J105" i="51"/>
  <c r="G105" i="51"/>
  <c r="J57" i="51"/>
  <c r="J12" i="51" s="1"/>
  <c r="I32" i="51"/>
  <c r="I11" i="51" s="1"/>
  <c r="G32" i="51"/>
  <c r="G11" i="51" s="1"/>
  <c r="H57" i="51"/>
  <c r="H12" i="51" s="1"/>
  <c r="F12" i="51"/>
  <c r="J32" i="51"/>
  <c r="J11" i="51" s="1"/>
  <c r="H32" i="51"/>
  <c r="H11" i="51" s="1"/>
  <c r="G57" i="51"/>
  <c r="G12" i="51" s="1"/>
  <c r="B29" i="48"/>
  <c r="N15" i="29"/>
  <c r="Q21" i="29"/>
  <c r="R21" i="29"/>
  <c r="K36" i="64" l="1"/>
  <c r="M38" i="64"/>
  <c r="E38" i="64"/>
  <c r="F38" i="64"/>
  <c r="G38" i="64"/>
  <c r="H38" i="64"/>
  <c r="D37" i="64"/>
  <c r="K37" i="64" s="1"/>
  <c r="B40" i="64"/>
  <c r="C39" i="64"/>
  <c r="H82" i="51"/>
  <c r="H13" i="51" s="1"/>
  <c r="I132" i="51"/>
  <c r="I15" i="51" s="1"/>
  <c r="F132" i="51"/>
  <c r="F15" i="51" s="1"/>
  <c r="I82" i="51"/>
  <c r="I13" i="51" s="1"/>
  <c r="J132" i="51"/>
  <c r="J15" i="51" s="1"/>
  <c r="F82" i="51"/>
  <c r="F13" i="51" s="1"/>
  <c r="H132" i="51"/>
  <c r="H15" i="51" s="1"/>
  <c r="G82" i="51"/>
  <c r="G13" i="51" s="1"/>
  <c r="G132" i="51"/>
  <c r="G15" i="51" s="1"/>
  <c r="J82" i="51"/>
  <c r="J13" i="51" s="1"/>
  <c r="B30" i="48"/>
  <c r="S21" i="29"/>
  <c r="L183" i="2" s="1"/>
  <c r="I37" i="64" l="1"/>
  <c r="D38" i="64"/>
  <c r="I38" i="64" s="1"/>
  <c r="M39" i="64"/>
  <c r="E39" i="64"/>
  <c r="F39" i="64"/>
  <c r="G39" i="64"/>
  <c r="H39" i="64"/>
  <c r="B41" i="64"/>
  <c r="C40" i="64"/>
  <c r="B31" i="48"/>
  <c r="BG9" i="1"/>
  <c r="BF9" i="1"/>
  <c r="BE9" i="1"/>
  <c r="BD9" i="1"/>
  <c r="BC9" i="1"/>
  <c r="BB9" i="1"/>
  <c r="BA9" i="1"/>
  <c r="AZ9" i="1"/>
  <c r="AY9" i="1"/>
  <c r="AX9" i="1"/>
  <c r="AW9" i="1"/>
  <c r="AV9" i="1"/>
  <c r="AU9" i="1"/>
  <c r="AT9" i="1"/>
  <c r="AS9" i="1"/>
  <c r="AP9" i="1"/>
  <c r="AO9" i="1"/>
  <c r="AN9" i="1"/>
  <c r="AI9" i="1"/>
  <c r="AH9" i="1"/>
  <c r="AG9" i="1"/>
  <c r="AF9" i="1"/>
  <c r="K38" i="64" l="1"/>
  <c r="E40" i="64"/>
  <c r="F40" i="64"/>
  <c r="G40" i="64"/>
  <c r="H40" i="64"/>
  <c r="M40" i="64"/>
  <c r="D39" i="64"/>
  <c r="I39" i="64" s="1"/>
  <c r="C41" i="64"/>
  <c r="B42" i="64"/>
  <c r="B32" i="48"/>
  <c r="R9" i="1"/>
  <c r="Q9" i="1"/>
  <c r="P9" i="1"/>
  <c r="O9" i="1"/>
  <c r="N9" i="1"/>
  <c r="M9" i="1"/>
  <c r="L9" i="1"/>
  <c r="K39" i="64" l="1"/>
  <c r="G41" i="64"/>
  <c r="H41" i="64"/>
  <c r="M41" i="64"/>
  <c r="E41" i="64"/>
  <c r="F41" i="64"/>
  <c r="D40" i="64"/>
  <c r="I40" i="64" s="1"/>
  <c r="B43" i="64"/>
  <c r="C42" i="64"/>
  <c r="B33" i="48"/>
  <c r="B182" i="2"/>
  <c r="B181" i="2"/>
  <c r="K40" i="64" l="1"/>
  <c r="D41" i="64"/>
  <c r="I41" i="64" s="1"/>
  <c r="E42" i="64"/>
  <c r="F42" i="64"/>
  <c r="G42" i="64"/>
  <c r="H42" i="64"/>
  <c r="M42" i="64"/>
  <c r="B44" i="64"/>
  <c r="C43" i="64"/>
  <c r="B34" i="48"/>
  <c r="I173" i="2"/>
  <c r="I172" i="2"/>
  <c r="I169" i="2"/>
  <c r="K41" i="64" l="1"/>
  <c r="I42" i="64"/>
  <c r="D42" i="64"/>
  <c r="K42" i="64" s="1"/>
  <c r="E43" i="64"/>
  <c r="F43" i="64"/>
  <c r="G43" i="64"/>
  <c r="H43" i="64"/>
  <c r="M43" i="64"/>
  <c r="B45" i="64"/>
  <c r="C44" i="64"/>
  <c r="B35" i="48"/>
  <c r="F44" i="64" l="1"/>
  <c r="G44" i="64"/>
  <c r="H44" i="64"/>
  <c r="M44" i="64"/>
  <c r="E44" i="64"/>
  <c r="I43" i="64"/>
  <c r="D43" i="64"/>
  <c r="K43" i="64" s="1"/>
  <c r="B46" i="64"/>
  <c r="C45" i="64"/>
  <c r="B36" i="48"/>
  <c r="G45" i="64" l="1"/>
  <c r="H45" i="64"/>
  <c r="M45" i="64"/>
  <c r="E45" i="64"/>
  <c r="F45" i="64"/>
  <c r="D44" i="64"/>
  <c r="I44" i="64" s="1"/>
  <c r="B47" i="64"/>
  <c r="C46" i="64"/>
  <c r="B37" i="48"/>
  <c r="K44" i="64" l="1"/>
  <c r="H46" i="64"/>
  <c r="M46" i="64"/>
  <c r="E46" i="64"/>
  <c r="F46" i="64"/>
  <c r="G46" i="64"/>
  <c r="D45" i="64"/>
  <c r="I45" i="64" s="1"/>
  <c r="B48" i="64"/>
  <c r="C47" i="64"/>
  <c r="B38" i="48"/>
  <c r="K45" i="64" l="1"/>
  <c r="D46" i="64"/>
  <c r="I46" i="64" s="1"/>
  <c r="M47" i="64"/>
  <c r="E47" i="64"/>
  <c r="F47" i="64"/>
  <c r="G47" i="64"/>
  <c r="H47" i="64"/>
  <c r="B49" i="64"/>
  <c r="C48" i="64"/>
  <c r="B39" i="48"/>
  <c r="K46" i="64" l="1"/>
  <c r="E48" i="64"/>
  <c r="F48" i="64"/>
  <c r="G48" i="64"/>
  <c r="H48" i="64"/>
  <c r="M48" i="64"/>
  <c r="D47" i="64"/>
  <c r="I47" i="64" s="1"/>
  <c r="C49" i="64"/>
  <c r="B50" i="64"/>
  <c r="B40" i="48"/>
  <c r="K47" i="64" l="1"/>
  <c r="D48" i="64"/>
  <c r="I48" i="64" s="1"/>
  <c r="K48" i="64"/>
  <c r="E49" i="64"/>
  <c r="F49" i="64"/>
  <c r="G49" i="64"/>
  <c r="H49" i="64"/>
  <c r="M49" i="64"/>
  <c r="B51" i="64"/>
  <c r="C50" i="64"/>
  <c r="B41" i="48"/>
  <c r="C184" i="2"/>
  <c r="B2" i="21"/>
  <c r="K14" i="21"/>
  <c r="J14" i="21"/>
  <c r="K13" i="21"/>
  <c r="J13" i="21"/>
  <c r="K12" i="21"/>
  <c r="J12" i="21"/>
  <c r="K11" i="21"/>
  <c r="J11" i="21"/>
  <c r="H50" i="64" l="1"/>
  <c r="M50" i="64"/>
  <c r="E50" i="64"/>
  <c r="F50" i="64"/>
  <c r="G50" i="64"/>
  <c r="D49" i="64"/>
  <c r="I49" i="64" s="1"/>
  <c r="C51" i="64"/>
  <c r="B52" i="64"/>
  <c r="B42" i="48"/>
  <c r="G11" i="21"/>
  <c r="G13" i="21"/>
  <c r="G14" i="21"/>
  <c r="G12" i="21"/>
  <c r="K16" i="21"/>
  <c r="J16" i="21"/>
  <c r="K49" i="64" l="1"/>
  <c r="D50" i="64"/>
  <c r="I50" i="64" s="1"/>
  <c r="K50" i="64"/>
  <c r="M51" i="64"/>
  <c r="E51" i="64"/>
  <c r="F51" i="64"/>
  <c r="G51" i="64"/>
  <c r="H51" i="64"/>
  <c r="B53" i="64"/>
  <c r="C52" i="64"/>
  <c r="B43" i="48"/>
  <c r="L16" i="21"/>
  <c r="L182" i="2" s="1"/>
  <c r="E52" i="64" l="1"/>
  <c r="F52" i="64"/>
  <c r="G52" i="64"/>
  <c r="H52" i="64"/>
  <c r="M52" i="64"/>
  <c r="D51" i="64"/>
  <c r="K51" i="64" s="1"/>
  <c r="C53" i="64"/>
  <c r="B54" i="64"/>
  <c r="B44" i="48"/>
  <c r="C182" i="2"/>
  <c r="I51" i="64" l="1"/>
  <c r="D52" i="64"/>
  <c r="I52" i="64" s="1"/>
  <c r="E53" i="64"/>
  <c r="F53" i="64"/>
  <c r="G53" i="64"/>
  <c r="H53" i="64"/>
  <c r="M53" i="64"/>
  <c r="C54" i="64"/>
  <c r="B55" i="64"/>
  <c r="B45" i="48"/>
  <c r="L165" i="2"/>
  <c r="K52" i="64" l="1"/>
  <c r="F54" i="64"/>
  <c r="G54" i="64"/>
  <c r="H54" i="64"/>
  <c r="M54" i="64"/>
  <c r="E54" i="64"/>
  <c r="D53" i="64"/>
  <c r="I53" i="64" s="1"/>
  <c r="C55" i="64"/>
  <c r="B56" i="64"/>
  <c r="B46" i="48"/>
  <c r="L162" i="2"/>
  <c r="L161" i="2"/>
  <c r="I168" i="2"/>
  <c r="I167" i="2"/>
  <c r="I166" i="2"/>
  <c r="I165" i="2"/>
  <c r="K53" i="64" l="1"/>
  <c r="G55" i="64"/>
  <c r="H55" i="64"/>
  <c r="M55" i="64"/>
  <c r="E55" i="64"/>
  <c r="F55" i="64"/>
  <c r="D54" i="64"/>
  <c r="I54" i="64" s="1"/>
  <c r="C56" i="64"/>
  <c r="B57" i="64"/>
  <c r="B47" i="48"/>
  <c r="K9" i="1"/>
  <c r="J9" i="1"/>
  <c r="K54" i="64" l="1"/>
  <c r="H56" i="64"/>
  <c r="M56" i="64"/>
  <c r="E56" i="64"/>
  <c r="F56" i="64"/>
  <c r="G56" i="64"/>
  <c r="D55" i="64"/>
  <c r="I55" i="64" s="1"/>
  <c r="B58" i="64"/>
  <c r="C57" i="64"/>
  <c r="B48" i="48"/>
  <c r="G9" i="1"/>
  <c r="F9" i="1"/>
  <c r="K55" i="64" l="1"/>
  <c r="E57" i="64"/>
  <c r="F57" i="64"/>
  <c r="G57" i="64"/>
  <c r="H57" i="64"/>
  <c r="M57" i="64"/>
  <c r="D56" i="64"/>
  <c r="K56" i="64" s="1"/>
  <c r="C58" i="64"/>
  <c r="B59" i="64"/>
  <c r="B49" i="48"/>
  <c r="L160" i="2"/>
  <c r="L181" i="2" s="1"/>
  <c r="I56" i="64" l="1"/>
  <c r="D57" i="64"/>
  <c r="I57" i="64"/>
  <c r="K57" i="64"/>
  <c r="E58" i="64"/>
  <c r="F58" i="64"/>
  <c r="G58" i="64"/>
  <c r="H58" i="64"/>
  <c r="M58" i="64"/>
  <c r="B60" i="64"/>
  <c r="C59" i="64"/>
  <c r="B50" i="48"/>
  <c r="C183" i="2"/>
  <c r="F59" i="64" l="1"/>
  <c r="G59" i="64"/>
  <c r="H59" i="64"/>
  <c r="M59" i="64"/>
  <c r="E59" i="64"/>
  <c r="D58" i="64"/>
  <c r="I58" i="64" s="1"/>
  <c r="B61" i="64"/>
  <c r="C60" i="64"/>
  <c r="B51" i="48"/>
  <c r="BO9" i="1"/>
  <c r="K58" i="64" l="1"/>
  <c r="G60" i="64"/>
  <c r="H60" i="64"/>
  <c r="M60" i="64"/>
  <c r="E60" i="64"/>
  <c r="F60" i="64"/>
  <c r="I59" i="64"/>
  <c r="D59" i="64"/>
  <c r="K59" i="64" s="1"/>
  <c r="C61" i="64"/>
  <c r="B62" i="64"/>
  <c r="B52" i="48"/>
  <c r="D9" i="1"/>
  <c r="F5" i="48" s="1"/>
  <c r="E9" i="1"/>
  <c r="E61" i="64" l="1"/>
  <c r="F61" i="64"/>
  <c r="G61" i="64"/>
  <c r="H61" i="64"/>
  <c r="M61" i="64"/>
  <c r="D60" i="64"/>
  <c r="K60" i="64" s="1"/>
  <c r="I60" i="64"/>
  <c r="C62" i="64"/>
  <c r="B63" i="64"/>
  <c r="F93" i="48"/>
  <c r="F85" i="48"/>
  <c r="F77" i="48"/>
  <c r="F69" i="48"/>
  <c r="F61" i="48"/>
  <c r="F53" i="48"/>
  <c r="F29" i="48"/>
  <c r="F76" i="48"/>
  <c r="F52" i="48"/>
  <c r="F36" i="48"/>
  <c r="F66" i="48"/>
  <c r="F26" i="48"/>
  <c r="F91" i="48"/>
  <c r="F83" i="48"/>
  <c r="F75" i="48"/>
  <c r="F67" i="48"/>
  <c r="F59" i="48"/>
  <c r="F51" i="48"/>
  <c r="F43" i="48"/>
  <c r="F35" i="48"/>
  <c r="F27" i="48"/>
  <c r="F19" i="48"/>
  <c r="F90" i="48"/>
  <c r="F82" i="48"/>
  <c r="F74" i="48"/>
  <c r="F50" i="48"/>
  <c r="F18" i="48"/>
  <c r="F89" i="48"/>
  <c r="F81" i="48"/>
  <c r="F73" i="48"/>
  <c r="F65" i="48"/>
  <c r="F57" i="48"/>
  <c r="F49" i="48"/>
  <c r="F41" i="48"/>
  <c r="F33" i="48"/>
  <c r="F25" i="48"/>
  <c r="F17" i="48"/>
  <c r="F79" i="48"/>
  <c r="F63" i="48"/>
  <c r="F47" i="48"/>
  <c r="F31" i="48"/>
  <c r="F15" i="48"/>
  <c r="F78" i="48"/>
  <c r="F62" i="48"/>
  <c r="F46" i="48"/>
  <c r="F30" i="48"/>
  <c r="F14" i="48"/>
  <c r="F37" i="48"/>
  <c r="F21" i="48"/>
  <c r="F84" i="48"/>
  <c r="F68" i="48"/>
  <c r="F44" i="48"/>
  <c r="F20" i="48"/>
  <c r="F42" i="48"/>
  <c r="F88" i="48"/>
  <c r="F80" i="48"/>
  <c r="F72" i="48"/>
  <c r="F64" i="48"/>
  <c r="F56" i="48"/>
  <c r="F48" i="48"/>
  <c r="F40" i="48"/>
  <c r="F32" i="48"/>
  <c r="F24" i="48"/>
  <c r="F16" i="48"/>
  <c r="F87" i="48"/>
  <c r="F71" i="48"/>
  <c r="F55" i="48"/>
  <c r="F39" i="48"/>
  <c r="F23" i="48"/>
  <c r="F86" i="48"/>
  <c r="F70" i="48"/>
  <c r="F54" i="48"/>
  <c r="F38" i="48"/>
  <c r="F22" i="48"/>
  <c r="F45" i="48"/>
  <c r="F92" i="48"/>
  <c r="F60" i="48"/>
  <c r="F28" i="48"/>
  <c r="F58" i="48"/>
  <c r="F34" i="48"/>
  <c r="E14" i="48"/>
  <c r="G14" i="48"/>
  <c r="D14" i="48"/>
  <c r="E15" i="48"/>
  <c r="D15" i="48"/>
  <c r="G15" i="48"/>
  <c r="G16" i="48"/>
  <c r="D16" i="48"/>
  <c r="E16" i="48"/>
  <c r="D17" i="48"/>
  <c r="E17" i="48"/>
  <c r="G17" i="48"/>
  <c r="G18" i="48"/>
  <c r="E18" i="48"/>
  <c r="D18" i="48"/>
  <c r="G19" i="48"/>
  <c r="E19" i="48"/>
  <c r="D19" i="48"/>
  <c r="G20" i="48"/>
  <c r="E20" i="48"/>
  <c r="D20" i="48"/>
  <c r="E21" i="48"/>
  <c r="G21" i="48"/>
  <c r="D21" i="48"/>
  <c r="G22" i="48"/>
  <c r="D22" i="48"/>
  <c r="E22" i="48"/>
  <c r="E23" i="48"/>
  <c r="G23" i="48"/>
  <c r="D23" i="48"/>
  <c r="G24" i="48"/>
  <c r="E24" i="48"/>
  <c r="D24" i="48"/>
  <c r="D25" i="48"/>
  <c r="G25" i="48"/>
  <c r="E25" i="48"/>
  <c r="G26" i="48"/>
  <c r="D26" i="48"/>
  <c r="E26" i="48"/>
  <c r="D27" i="48"/>
  <c r="E27" i="48"/>
  <c r="G27" i="48"/>
  <c r="G28" i="48"/>
  <c r="D28" i="48"/>
  <c r="E28" i="48"/>
  <c r="E29" i="48"/>
  <c r="G29" i="48"/>
  <c r="D29" i="48"/>
  <c r="G30" i="48"/>
  <c r="E30" i="48"/>
  <c r="D30" i="48"/>
  <c r="D31" i="48"/>
  <c r="G31" i="48"/>
  <c r="E31" i="48"/>
  <c r="G32" i="48"/>
  <c r="E32" i="48"/>
  <c r="D32" i="48"/>
  <c r="G33" i="48"/>
  <c r="D33" i="48"/>
  <c r="E33" i="48"/>
  <c r="G34" i="48"/>
  <c r="D34" i="48"/>
  <c r="E34" i="48"/>
  <c r="D35" i="48"/>
  <c r="G35" i="48"/>
  <c r="E35" i="48"/>
  <c r="G36" i="48"/>
  <c r="E36" i="48"/>
  <c r="D36" i="48"/>
  <c r="E37" i="48"/>
  <c r="G37" i="48"/>
  <c r="D37" i="48"/>
  <c r="E38" i="48"/>
  <c r="G38" i="48"/>
  <c r="D38" i="48"/>
  <c r="D39" i="48"/>
  <c r="G39" i="48"/>
  <c r="E39" i="48"/>
  <c r="G40" i="48"/>
  <c r="E40" i="48"/>
  <c r="D40" i="48"/>
  <c r="D41" i="48"/>
  <c r="E41" i="48"/>
  <c r="G41" i="48"/>
  <c r="G42" i="48"/>
  <c r="E42" i="48"/>
  <c r="D42" i="48"/>
  <c r="D43" i="48"/>
  <c r="E43" i="48"/>
  <c r="G43" i="48"/>
  <c r="G44" i="48"/>
  <c r="E44" i="48"/>
  <c r="D44" i="48"/>
  <c r="D45" i="48"/>
  <c r="G45" i="48"/>
  <c r="E45" i="48"/>
  <c r="G46" i="48"/>
  <c r="D46" i="48"/>
  <c r="E46" i="48"/>
  <c r="E47" i="48"/>
  <c r="D47" i="48"/>
  <c r="G47" i="48"/>
  <c r="D48" i="48"/>
  <c r="G48" i="48"/>
  <c r="E48" i="48"/>
  <c r="D49" i="48"/>
  <c r="E49" i="48"/>
  <c r="G49" i="48"/>
  <c r="G50" i="48"/>
  <c r="E50" i="48"/>
  <c r="D50" i="48"/>
  <c r="D51" i="48"/>
  <c r="G52" i="48"/>
  <c r="B53" i="48"/>
  <c r="E52" i="48"/>
  <c r="D52" i="48"/>
  <c r="E51" i="48"/>
  <c r="G51" i="48"/>
  <c r="I5" i="48"/>
  <c r="D5" i="29"/>
  <c r="C5" i="21"/>
  <c r="C9" i="1"/>
  <c r="H17" i="29" l="1"/>
  <c r="H16" i="29"/>
  <c r="H15" i="29"/>
  <c r="E62" i="64"/>
  <c r="F62" i="64"/>
  <c r="G62" i="64"/>
  <c r="H62" i="64"/>
  <c r="M62" i="64"/>
  <c r="D61" i="64"/>
  <c r="K61" i="64" s="1"/>
  <c r="C63" i="64"/>
  <c r="B64" i="64"/>
  <c r="D17" i="29"/>
  <c r="D15" i="29"/>
  <c r="G16" i="29"/>
  <c r="D19" i="29"/>
  <c r="F16" i="29"/>
  <c r="E16" i="29"/>
  <c r="D18" i="29"/>
  <c r="D16" i="29"/>
  <c r="G15" i="29"/>
  <c r="F15" i="29"/>
  <c r="E15" i="29"/>
  <c r="C16" i="48"/>
  <c r="J16" i="48" s="1"/>
  <c r="C48" i="48"/>
  <c r="J48" i="48" s="1"/>
  <c r="C34" i="48"/>
  <c r="J34" i="48" s="1"/>
  <c r="C28" i="48"/>
  <c r="J28" i="48" s="1"/>
  <c r="C26" i="48"/>
  <c r="J26" i="48" s="1"/>
  <c r="C22" i="48"/>
  <c r="J22" i="48" s="1"/>
  <c r="C46" i="48"/>
  <c r="J46" i="48" s="1"/>
  <c r="C49" i="48"/>
  <c r="J49" i="48" s="1"/>
  <c r="C19" i="48"/>
  <c r="J19" i="48" s="1"/>
  <c r="C39" i="48"/>
  <c r="J39" i="48" s="1"/>
  <c r="C23" i="48"/>
  <c r="J23" i="48" s="1"/>
  <c r="C14" i="48"/>
  <c r="J14" i="48" s="1"/>
  <c r="C52" i="48"/>
  <c r="J52" i="48" s="1"/>
  <c r="C45" i="48"/>
  <c r="J45" i="48" s="1"/>
  <c r="C33" i="48"/>
  <c r="J33" i="48" s="1"/>
  <c r="C36" i="48"/>
  <c r="J36" i="48" s="1"/>
  <c r="C15" i="48"/>
  <c r="J15" i="48" s="1"/>
  <c r="C27" i="48"/>
  <c r="J27" i="48" s="1"/>
  <c r="C40" i="48"/>
  <c r="J40" i="48" s="1"/>
  <c r="C32" i="48"/>
  <c r="J32" i="48" s="1"/>
  <c r="C30" i="48"/>
  <c r="J30" i="48" s="1"/>
  <c r="C24" i="48"/>
  <c r="J24" i="48" s="1"/>
  <c r="C20" i="48"/>
  <c r="J20" i="48" s="1"/>
  <c r="C47" i="48"/>
  <c r="J47" i="48" s="1"/>
  <c r="C51" i="48"/>
  <c r="J51" i="48" s="1"/>
  <c r="C50" i="48"/>
  <c r="J50" i="48" s="1"/>
  <c r="C44" i="48"/>
  <c r="J44" i="48" s="1"/>
  <c r="C42" i="48"/>
  <c r="J42" i="48" s="1"/>
  <c r="C18" i="48"/>
  <c r="J18" i="48" s="1"/>
  <c r="C38" i="48"/>
  <c r="J38" i="48" s="1"/>
  <c r="C35" i="48"/>
  <c r="J35" i="48" s="1"/>
  <c r="C31" i="48"/>
  <c r="J31" i="48" s="1"/>
  <c r="C25" i="48"/>
  <c r="J25" i="48" s="1"/>
  <c r="C43" i="48"/>
  <c r="J43" i="48" s="1"/>
  <c r="C41" i="48"/>
  <c r="J41" i="48" s="1"/>
  <c r="C37" i="48"/>
  <c r="J37" i="48" s="1"/>
  <c r="C29" i="48"/>
  <c r="J29" i="48" s="1"/>
  <c r="C21" i="48"/>
  <c r="J21" i="48" s="1"/>
  <c r="C17" i="48"/>
  <c r="J17" i="48" s="1"/>
  <c r="D53" i="48"/>
  <c r="B54" i="48"/>
  <c r="E53" i="48"/>
  <c r="G53" i="48"/>
  <c r="I61" i="64" l="1"/>
  <c r="H63" i="64"/>
  <c r="M63" i="64"/>
  <c r="E63" i="64"/>
  <c r="F63" i="64"/>
  <c r="G63" i="64"/>
  <c r="D62" i="64"/>
  <c r="K62" i="64" s="1"/>
  <c r="B65" i="64"/>
  <c r="C64" i="64"/>
  <c r="C53" i="48"/>
  <c r="J53" i="48" s="1"/>
  <c r="B55" i="48"/>
  <c r="G54" i="48"/>
  <c r="E54" i="48"/>
  <c r="D54" i="48"/>
  <c r="J54" i="48" l="1"/>
  <c r="I62" i="64"/>
  <c r="M64" i="64"/>
  <c r="E64" i="64"/>
  <c r="F64" i="64"/>
  <c r="G64" i="64"/>
  <c r="H64" i="64"/>
  <c r="D63" i="64"/>
  <c r="K63" i="64" s="1"/>
  <c r="B66" i="64"/>
  <c r="C65" i="64"/>
  <c r="C54" i="48"/>
  <c r="B56" i="48"/>
  <c r="D55" i="48"/>
  <c r="G55" i="48"/>
  <c r="E55" i="48"/>
  <c r="I63" i="64" l="1"/>
  <c r="J55" i="48"/>
  <c r="E65" i="64"/>
  <c r="F65" i="64"/>
  <c r="G65" i="64"/>
  <c r="H65" i="64"/>
  <c r="M65" i="64"/>
  <c r="D64" i="64"/>
  <c r="K64" i="64" s="1"/>
  <c r="C66" i="64"/>
  <c r="B67" i="64"/>
  <c r="C55" i="48"/>
  <c r="B57" i="48"/>
  <c r="G56" i="48"/>
  <c r="E56" i="48"/>
  <c r="D56" i="48"/>
  <c r="C186" i="2"/>
  <c r="C181" i="2"/>
  <c r="J56" i="48" l="1"/>
  <c r="I64" i="64"/>
  <c r="D65" i="64"/>
  <c r="I65" i="64" s="1"/>
  <c r="F66" i="64"/>
  <c r="G66" i="64"/>
  <c r="H66" i="64"/>
  <c r="M66" i="64"/>
  <c r="E66" i="64"/>
  <c r="C67" i="64"/>
  <c r="B68" i="64"/>
  <c r="C56" i="48"/>
  <c r="B58" i="48"/>
  <c r="D57" i="48"/>
  <c r="G57" i="48"/>
  <c r="E57" i="48"/>
  <c r="J57" i="48" l="1"/>
  <c r="K65" i="64"/>
  <c r="I66" i="64"/>
  <c r="D66" i="64"/>
  <c r="K66" i="64" s="1"/>
  <c r="G67" i="64"/>
  <c r="H67" i="64"/>
  <c r="M67" i="64"/>
  <c r="E67" i="64"/>
  <c r="F67" i="64"/>
  <c r="C68" i="64"/>
  <c r="B69" i="64"/>
  <c r="C57" i="48"/>
  <c r="B59" i="48"/>
  <c r="G58" i="48"/>
  <c r="E58" i="48"/>
  <c r="D58" i="48"/>
  <c r="I67" i="64" l="1"/>
  <c r="D67" i="64"/>
  <c r="K67" i="64" s="1"/>
  <c r="H68" i="64"/>
  <c r="M68" i="64"/>
  <c r="E68" i="64"/>
  <c r="F68" i="64"/>
  <c r="G68" i="64"/>
  <c r="B70" i="64"/>
  <c r="C69" i="64"/>
  <c r="C58" i="48"/>
  <c r="J58" i="48" s="1"/>
  <c r="B60" i="48"/>
  <c r="D59" i="48"/>
  <c r="E59" i="48"/>
  <c r="G59" i="48"/>
  <c r="D68" i="64" l="1"/>
  <c r="E69" i="64"/>
  <c r="F69" i="64"/>
  <c r="G69" i="64"/>
  <c r="H69" i="64"/>
  <c r="M69" i="64"/>
  <c r="I68" i="64"/>
  <c r="K68" i="64"/>
  <c r="C70" i="64"/>
  <c r="B71" i="64"/>
  <c r="C59" i="48"/>
  <c r="J59" i="48" s="1"/>
  <c r="B61" i="48"/>
  <c r="G60" i="48"/>
  <c r="E60" i="48"/>
  <c r="D60" i="48"/>
  <c r="J60" i="48" s="1"/>
  <c r="K69" i="64" l="1"/>
  <c r="D69" i="64"/>
  <c r="I69" i="64"/>
  <c r="F70" i="64"/>
  <c r="G70" i="64"/>
  <c r="H70" i="64"/>
  <c r="M70" i="64"/>
  <c r="E70" i="64"/>
  <c r="C71" i="64"/>
  <c r="B72" i="64"/>
  <c r="C60" i="48"/>
  <c r="B62" i="48"/>
  <c r="D61" i="48"/>
  <c r="J61" i="48" s="1"/>
  <c r="G61" i="48"/>
  <c r="E61" i="48"/>
  <c r="I70" i="64" l="1"/>
  <c r="K70" i="64"/>
  <c r="D70" i="64"/>
  <c r="M71" i="64"/>
  <c r="E71" i="64"/>
  <c r="F71" i="64"/>
  <c r="G71" i="64"/>
  <c r="H71" i="64"/>
  <c r="C72" i="64"/>
  <c r="B73" i="64"/>
  <c r="C61" i="48"/>
  <c r="B63" i="48"/>
  <c r="G62" i="48"/>
  <c r="E62" i="48"/>
  <c r="D62" i="48"/>
  <c r="J62" i="48" s="1"/>
  <c r="E72" i="64" l="1"/>
  <c r="F72" i="64"/>
  <c r="G72" i="64"/>
  <c r="H72" i="64"/>
  <c r="M72" i="64"/>
  <c r="D71" i="64"/>
  <c r="I71" i="64"/>
  <c r="K71" i="64"/>
  <c r="B74" i="64"/>
  <c r="C73" i="64"/>
  <c r="C62" i="48"/>
  <c r="B64" i="48"/>
  <c r="D63" i="48"/>
  <c r="J63" i="48" s="1"/>
  <c r="G63" i="48"/>
  <c r="E63" i="48"/>
  <c r="D72" i="64" l="1"/>
  <c r="E73" i="64"/>
  <c r="F73" i="64"/>
  <c r="G73" i="64"/>
  <c r="H73" i="64"/>
  <c r="M73" i="64"/>
  <c r="K72" i="64"/>
  <c r="I72" i="64"/>
  <c r="B75" i="64"/>
  <c r="C74" i="64"/>
  <c r="C63" i="48"/>
  <c r="B65" i="48"/>
  <c r="G64" i="48"/>
  <c r="E64" i="48"/>
  <c r="D64" i="48"/>
  <c r="J64" i="48" s="1"/>
  <c r="D73" i="64" l="1"/>
  <c r="I73" i="64"/>
  <c r="K73" i="64"/>
  <c r="G74" i="64"/>
  <c r="H74" i="64"/>
  <c r="M74" i="64"/>
  <c r="E74" i="64"/>
  <c r="F74" i="64"/>
  <c r="C75" i="64"/>
  <c r="B76" i="64"/>
  <c r="C64" i="48"/>
  <c r="B66" i="48"/>
  <c r="D65" i="48"/>
  <c r="J65" i="48" s="1"/>
  <c r="E65" i="48"/>
  <c r="G65" i="48"/>
  <c r="I74" i="64" l="1"/>
  <c r="K74" i="64"/>
  <c r="D74" i="64"/>
  <c r="H75" i="64"/>
  <c r="M75" i="64"/>
  <c r="E75" i="64"/>
  <c r="F75" i="64"/>
  <c r="G75" i="64"/>
  <c r="C76" i="64"/>
  <c r="B77" i="64"/>
  <c r="C65" i="48"/>
  <c r="B67" i="48"/>
  <c r="G66" i="48"/>
  <c r="E66" i="48"/>
  <c r="D66" i="48"/>
  <c r="J66" i="48" s="1"/>
  <c r="M76" i="64" l="1"/>
  <c r="E76" i="64"/>
  <c r="F76" i="64"/>
  <c r="G76" i="64"/>
  <c r="H76" i="64"/>
  <c r="I75" i="64"/>
  <c r="K75" i="64"/>
  <c r="D75" i="64"/>
  <c r="B78" i="64"/>
  <c r="C77" i="64"/>
  <c r="C66" i="48"/>
  <c r="B68" i="48"/>
  <c r="D67" i="48"/>
  <c r="J67" i="48" s="1"/>
  <c r="G67" i="48"/>
  <c r="E67" i="48"/>
  <c r="E77" i="64" l="1"/>
  <c r="F77" i="64"/>
  <c r="G77" i="64"/>
  <c r="H77" i="64"/>
  <c r="M77" i="64"/>
  <c r="D76" i="64"/>
  <c r="I76" i="64"/>
  <c r="K76" i="64"/>
  <c r="C78" i="64"/>
  <c r="B79" i="64"/>
  <c r="C67" i="48"/>
  <c r="B69" i="48"/>
  <c r="G68" i="48"/>
  <c r="E68" i="48"/>
  <c r="D68" i="48"/>
  <c r="J68" i="48" s="1"/>
  <c r="K77" i="64" l="1"/>
  <c r="I77" i="64"/>
  <c r="D77" i="64"/>
  <c r="G78" i="64"/>
  <c r="H78" i="64"/>
  <c r="M78" i="64"/>
  <c r="E78" i="64"/>
  <c r="F78" i="64"/>
  <c r="C79" i="64"/>
  <c r="B80" i="64"/>
  <c r="C68" i="48"/>
  <c r="B70" i="48"/>
  <c r="D69" i="48"/>
  <c r="J69" i="48" s="1"/>
  <c r="E69" i="48"/>
  <c r="G69" i="48"/>
  <c r="I78" i="64" l="1"/>
  <c r="K78" i="64"/>
  <c r="D78" i="64"/>
  <c r="M79" i="64"/>
  <c r="E79" i="64"/>
  <c r="F79" i="64"/>
  <c r="G79" i="64"/>
  <c r="H79" i="64"/>
  <c r="B81" i="64"/>
  <c r="C80" i="64"/>
  <c r="C69" i="48"/>
  <c r="B71" i="48"/>
  <c r="G70" i="48"/>
  <c r="E70" i="48"/>
  <c r="D70" i="48"/>
  <c r="J70" i="48" s="1"/>
  <c r="D79" i="64" l="1"/>
  <c r="I79" i="64"/>
  <c r="K79" i="64"/>
  <c r="E80" i="64"/>
  <c r="F80" i="64"/>
  <c r="G80" i="64"/>
  <c r="H80" i="64"/>
  <c r="M80" i="64"/>
  <c r="C81" i="64"/>
  <c r="B82" i="64"/>
  <c r="C70" i="48"/>
  <c r="B72" i="48"/>
  <c r="D71" i="48"/>
  <c r="J71" i="48" s="1"/>
  <c r="G71" i="48"/>
  <c r="E71" i="48"/>
  <c r="F81" i="64" l="1"/>
  <c r="G81" i="64"/>
  <c r="H81" i="64"/>
  <c r="M81" i="64"/>
  <c r="E81" i="64"/>
  <c r="D80" i="64"/>
  <c r="K80" i="64"/>
  <c r="I80" i="64"/>
  <c r="C82" i="64"/>
  <c r="B83" i="64"/>
  <c r="C71" i="48"/>
  <c r="B73" i="48"/>
  <c r="G72" i="48"/>
  <c r="E72" i="48"/>
  <c r="D72" i="48"/>
  <c r="J72" i="48" s="1"/>
  <c r="H82" i="64" l="1"/>
  <c r="M82" i="64"/>
  <c r="E82" i="64"/>
  <c r="F82" i="64"/>
  <c r="G82" i="64"/>
  <c r="D81" i="64"/>
  <c r="I81" i="64"/>
  <c r="K81" i="64"/>
  <c r="C83" i="64"/>
  <c r="B84" i="64"/>
  <c r="C72" i="48"/>
  <c r="B74" i="48"/>
  <c r="G73" i="48"/>
  <c r="E73" i="48"/>
  <c r="D73" i="48"/>
  <c r="J73" i="48" s="1"/>
  <c r="M83" i="64" l="1"/>
  <c r="E83" i="64"/>
  <c r="F83" i="64"/>
  <c r="G83" i="64"/>
  <c r="H83" i="64"/>
  <c r="I82" i="64"/>
  <c r="K82" i="64"/>
  <c r="D82" i="64"/>
  <c r="B85" i="64"/>
  <c r="C84" i="64"/>
  <c r="C73" i="48"/>
  <c r="B75" i="48"/>
  <c r="G74" i="48"/>
  <c r="E74" i="48"/>
  <c r="D74" i="48"/>
  <c r="J74" i="48" s="1"/>
  <c r="E84" i="64" l="1"/>
  <c r="F84" i="64"/>
  <c r="G84" i="64"/>
  <c r="H84" i="64"/>
  <c r="M84" i="64"/>
  <c r="I83" i="64"/>
  <c r="K83" i="64"/>
  <c r="D83" i="64"/>
  <c r="C85" i="64"/>
  <c r="B86" i="64"/>
  <c r="C74" i="48"/>
  <c r="B76" i="48"/>
  <c r="D75" i="48"/>
  <c r="J75" i="48" s="1"/>
  <c r="E75" i="48"/>
  <c r="G75" i="48"/>
  <c r="E85" i="64" l="1"/>
  <c r="F85" i="64"/>
  <c r="G85" i="64"/>
  <c r="H85" i="64"/>
  <c r="M85" i="64"/>
  <c r="D84" i="64"/>
  <c r="I84" i="64"/>
  <c r="K84" i="64"/>
  <c r="C86" i="64"/>
  <c r="B87" i="64"/>
  <c r="C75" i="48"/>
  <c r="B77" i="48"/>
  <c r="G76" i="48"/>
  <c r="E76" i="48"/>
  <c r="D76" i="48"/>
  <c r="J76" i="48" s="1"/>
  <c r="K85" i="64" l="1"/>
  <c r="I85" i="64"/>
  <c r="D85" i="64"/>
  <c r="H86" i="64"/>
  <c r="M86" i="64"/>
  <c r="E86" i="64"/>
  <c r="F86" i="64"/>
  <c r="G86" i="64"/>
  <c r="B88" i="64"/>
  <c r="C87" i="64"/>
  <c r="C76" i="48"/>
  <c r="B78" i="48"/>
  <c r="G77" i="48"/>
  <c r="E77" i="48"/>
  <c r="D77" i="48"/>
  <c r="J77" i="48" s="1"/>
  <c r="I86" i="64" l="1"/>
  <c r="D86" i="64"/>
  <c r="K86" i="64"/>
  <c r="E87" i="64"/>
  <c r="F87" i="64"/>
  <c r="G87" i="64"/>
  <c r="H87" i="64"/>
  <c r="M87" i="64"/>
  <c r="B89" i="64"/>
  <c r="C88" i="64"/>
  <c r="C77" i="48"/>
  <c r="B79" i="48"/>
  <c r="G78" i="48"/>
  <c r="E78" i="48"/>
  <c r="D78" i="48"/>
  <c r="J78" i="48" s="1"/>
  <c r="D87" i="64" l="1"/>
  <c r="I87" i="64"/>
  <c r="K87" i="64"/>
  <c r="E88" i="64"/>
  <c r="F88" i="64"/>
  <c r="G88" i="64"/>
  <c r="H88" i="64"/>
  <c r="M88" i="64"/>
  <c r="C89" i="64"/>
  <c r="B90" i="64"/>
  <c r="C78" i="48"/>
  <c r="B80" i="48"/>
  <c r="D79" i="48"/>
  <c r="J79" i="48" s="1"/>
  <c r="G79" i="48"/>
  <c r="E79" i="48"/>
  <c r="D88" i="64" l="1"/>
  <c r="K88" i="64"/>
  <c r="I88" i="64"/>
  <c r="G89" i="64"/>
  <c r="H89" i="64"/>
  <c r="M89" i="64"/>
  <c r="E89" i="64"/>
  <c r="F89" i="64"/>
  <c r="C90" i="64"/>
  <c r="B91" i="64"/>
  <c r="C79" i="48"/>
  <c r="B81" i="48"/>
  <c r="G80" i="48"/>
  <c r="E80" i="48"/>
  <c r="D80" i="48"/>
  <c r="J80" i="48" s="1"/>
  <c r="M90" i="64" l="1"/>
  <c r="E90" i="64"/>
  <c r="F90" i="64"/>
  <c r="G90" i="64"/>
  <c r="H90" i="64"/>
  <c r="D89" i="64"/>
  <c r="I89" i="64"/>
  <c r="K89" i="64"/>
  <c r="B92" i="64"/>
  <c r="C91" i="64"/>
  <c r="C80" i="48"/>
  <c r="B82" i="48"/>
  <c r="D81" i="48"/>
  <c r="J81" i="48" s="1"/>
  <c r="E81" i="48"/>
  <c r="G81" i="48"/>
  <c r="M91" i="64" l="1"/>
  <c r="E91" i="64"/>
  <c r="F91" i="64"/>
  <c r="G91" i="64"/>
  <c r="H91" i="64"/>
  <c r="I90" i="64"/>
  <c r="K90" i="64"/>
  <c r="D90" i="64"/>
  <c r="C92" i="64"/>
  <c r="B93" i="64"/>
  <c r="C81" i="48"/>
  <c r="B83" i="48"/>
  <c r="G82" i="48"/>
  <c r="E82" i="48"/>
  <c r="D82" i="48"/>
  <c r="J82" i="48" s="1"/>
  <c r="K91" i="64" l="1"/>
  <c r="I91" i="64"/>
  <c r="D91" i="64"/>
  <c r="E92" i="64"/>
  <c r="F92" i="64"/>
  <c r="G92" i="64"/>
  <c r="H92" i="64"/>
  <c r="M92" i="64"/>
  <c r="B94" i="64"/>
  <c r="C93" i="64"/>
  <c r="C82" i="48"/>
  <c r="B84" i="48"/>
  <c r="D83" i="48"/>
  <c r="J83" i="48" s="1"/>
  <c r="G83" i="48"/>
  <c r="E83" i="48"/>
  <c r="D92" i="64" l="1"/>
  <c r="I92" i="64"/>
  <c r="K92" i="64"/>
  <c r="F93" i="64"/>
  <c r="G93" i="64"/>
  <c r="H93" i="64"/>
  <c r="M93" i="64"/>
  <c r="E93" i="64"/>
  <c r="B95" i="64"/>
  <c r="C94" i="64"/>
  <c r="C83" i="48"/>
  <c r="B85" i="48"/>
  <c r="G84" i="48"/>
  <c r="E84" i="48"/>
  <c r="D84" i="48"/>
  <c r="J84" i="48" s="1"/>
  <c r="K93" i="64" l="1"/>
  <c r="D93" i="64"/>
  <c r="I93" i="64"/>
  <c r="M94" i="64"/>
  <c r="E94" i="64"/>
  <c r="F94" i="64"/>
  <c r="G94" i="64"/>
  <c r="H94" i="64"/>
  <c r="B96" i="64"/>
  <c r="C95" i="64"/>
  <c r="C84" i="48"/>
  <c r="B86" i="48"/>
  <c r="D85" i="48"/>
  <c r="J85" i="48" s="1"/>
  <c r="E85" i="48"/>
  <c r="G85" i="48"/>
  <c r="I94" i="64" l="1"/>
  <c r="D94" i="64"/>
  <c r="K94" i="64"/>
  <c r="E95" i="64"/>
  <c r="F95" i="64"/>
  <c r="G95" i="64"/>
  <c r="H95" i="64"/>
  <c r="M95" i="64"/>
  <c r="B97" i="64"/>
  <c r="C96" i="64"/>
  <c r="C85" i="48"/>
  <c r="B87" i="48"/>
  <c r="G86" i="48"/>
  <c r="E86" i="48"/>
  <c r="D86" i="48"/>
  <c r="J86" i="48" s="1"/>
  <c r="D95" i="64" l="1"/>
  <c r="F96" i="64"/>
  <c r="G96" i="64"/>
  <c r="H96" i="64"/>
  <c r="M96" i="64"/>
  <c r="E96" i="64"/>
  <c r="I95" i="64"/>
  <c r="K95" i="64"/>
  <c r="C97" i="64"/>
  <c r="B98" i="64"/>
  <c r="C86" i="48"/>
  <c r="B88" i="48"/>
  <c r="D87" i="48"/>
  <c r="J87" i="48" s="1"/>
  <c r="G87" i="48"/>
  <c r="E87" i="48"/>
  <c r="K96" i="64" l="1"/>
  <c r="I96" i="64"/>
  <c r="D96" i="64"/>
  <c r="H97" i="64"/>
  <c r="M97" i="64"/>
  <c r="E97" i="64"/>
  <c r="F97" i="64"/>
  <c r="G97" i="64"/>
  <c r="C98" i="64"/>
  <c r="B99" i="64"/>
  <c r="C87" i="48"/>
  <c r="B89" i="48"/>
  <c r="G88" i="48"/>
  <c r="E88" i="48"/>
  <c r="D88" i="48"/>
  <c r="J88" i="48" s="1"/>
  <c r="D97" i="64" l="1"/>
  <c r="I97" i="64"/>
  <c r="K97" i="64"/>
  <c r="M98" i="64"/>
  <c r="E98" i="64"/>
  <c r="F98" i="64"/>
  <c r="G98" i="64"/>
  <c r="H98" i="64"/>
  <c r="C99" i="64"/>
  <c r="B100" i="64"/>
  <c r="C88" i="48"/>
  <c r="B90" i="48"/>
  <c r="D89" i="48"/>
  <c r="J89" i="48" s="1"/>
  <c r="E89" i="48"/>
  <c r="G89" i="48"/>
  <c r="K98" i="64" l="1"/>
  <c r="I98" i="64"/>
  <c r="D98" i="64"/>
  <c r="M99" i="64"/>
  <c r="E99" i="64"/>
  <c r="F99" i="64"/>
  <c r="G99" i="64"/>
  <c r="H99" i="64"/>
  <c r="B101" i="64"/>
  <c r="C100" i="64"/>
  <c r="C89" i="48"/>
  <c r="B91" i="48"/>
  <c r="G90" i="48"/>
  <c r="E90" i="48"/>
  <c r="D90" i="48"/>
  <c r="J90" i="48" s="1"/>
  <c r="I99" i="64" l="1"/>
  <c r="K99" i="64"/>
  <c r="D99" i="64"/>
  <c r="E100" i="64"/>
  <c r="F100" i="64"/>
  <c r="G100" i="64"/>
  <c r="H100" i="64"/>
  <c r="M100" i="64"/>
  <c r="B102" i="64"/>
  <c r="C101" i="64"/>
  <c r="C90" i="48"/>
  <c r="B92" i="48"/>
  <c r="D91" i="48"/>
  <c r="J91" i="48" s="1"/>
  <c r="G91" i="48"/>
  <c r="E91" i="48"/>
  <c r="D100" i="64" l="1"/>
  <c r="I100" i="64"/>
  <c r="K100" i="64"/>
  <c r="G101" i="64"/>
  <c r="H101" i="64"/>
  <c r="M101" i="64"/>
  <c r="E101" i="64"/>
  <c r="F101" i="64"/>
  <c r="B103" i="64"/>
  <c r="C102" i="64"/>
  <c r="C91" i="48"/>
  <c r="B93" i="48"/>
  <c r="G92" i="48"/>
  <c r="E92" i="48"/>
  <c r="D92" i="48"/>
  <c r="J92" i="48" s="1"/>
  <c r="K101" i="64" l="1"/>
  <c r="I101" i="64"/>
  <c r="D101" i="64"/>
  <c r="E102" i="64"/>
  <c r="F102" i="64"/>
  <c r="G102" i="64"/>
  <c r="H102" i="64"/>
  <c r="M102" i="64"/>
  <c r="B104" i="64"/>
  <c r="C103" i="64"/>
  <c r="C92" i="48"/>
  <c r="B96" i="48"/>
  <c r="D93" i="48"/>
  <c r="J93" i="48" s="1"/>
  <c r="E93" i="48"/>
  <c r="G93" i="48"/>
  <c r="E120" i="48" s="1"/>
  <c r="I102" i="64" l="1"/>
  <c r="K102" i="64"/>
  <c r="D102" i="64"/>
  <c r="E103" i="64"/>
  <c r="F103" i="64"/>
  <c r="G103" i="64"/>
  <c r="H103" i="64"/>
  <c r="M103" i="64"/>
  <c r="C104" i="64"/>
  <c r="B105" i="64"/>
  <c r="C93" i="48"/>
  <c r="B97" i="48"/>
  <c r="F97" i="48" s="1"/>
  <c r="G96" i="48"/>
  <c r="F96" i="48"/>
  <c r="D96" i="48"/>
  <c r="J96" i="48" s="1"/>
  <c r="D103" i="64" l="1"/>
  <c r="I103" i="64"/>
  <c r="K103" i="64"/>
  <c r="G104" i="64"/>
  <c r="H104" i="64"/>
  <c r="M104" i="64"/>
  <c r="E104" i="64"/>
  <c r="F104" i="64"/>
  <c r="B106" i="64"/>
  <c r="C105" i="64"/>
  <c r="C96" i="48"/>
  <c r="B98" i="48"/>
  <c r="D97" i="48"/>
  <c r="J97" i="48" s="1"/>
  <c r="G97" i="48"/>
  <c r="I104" i="64" l="1"/>
  <c r="K104" i="64"/>
  <c r="D104" i="64"/>
  <c r="H105" i="64"/>
  <c r="M105" i="64"/>
  <c r="E105" i="64"/>
  <c r="F105" i="64"/>
  <c r="G105" i="64"/>
  <c r="C106" i="64"/>
  <c r="B107" i="64"/>
  <c r="C97" i="48"/>
  <c r="B99" i="48"/>
  <c r="G98" i="48"/>
  <c r="F98" i="48"/>
  <c r="E98" i="48"/>
  <c r="D98" i="48"/>
  <c r="J98" i="48" s="1"/>
  <c r="D105" i="64" l="1"/>
  <c r="I105" i="64"/>
  <c r="K105" i="64"/>
  <c r="M106" i="64"/>
  <c r="E106" i="64"/>
  <c r="F106" i="64"/>
  <c r="G106" i="64"/>
  <c r="H106" i="64"/>
  <c r="C107" i="64"/>
  <c r="B108" i="64"/>
  <c r="C98" i="48"/>
  <c r="B100" i="48"/>
  <c r="D99" i="48"/>
  <c r="J99" i="48" s="1"/>
  <c r="E99" i="48"/>
  <c r="G99" i="48"/>
  <c r="F99" i="48"/>
  <c r="K106" i="64" l="1"/>
  <c r="I106" i="64"/>
  <c r="D106" i="64"/>
  <c r="M107" i="64"/>
  <c r="E107" i="64"/>
  <c r="F107" i="64"/>
  <c r="G107" i="64"/>
  <c r="H107" i="64"/>
  <c r="B109" i="64"/>
  <c r="C109" i="64" s="1"/>
  <c r="C108" i="64"/>
  <c r="C99" i="48"/>
  <c r="B101" i="48"/>
  <c r="G100" i="48"/>
  <c r="F100" i="48"/>
  <c r="E100" i="48"/>
  <c r="D100" i="48"/>
  <c r="J100" i="48" s="1"/>
  <c r="I107" i="64" l="1"/>
  <c r="K107" i="64"/>
  <c r="D107" i="64"/>
  <c r="E108" i="64"/>
  <c r="F108" i="64"/>
  <c r="G108" i="64"/>
  <c r="H108" i="64"/>
  <c r="M108" i="64"/>
  <c r="G109" i="64"/>
  <c r="H109" i="64"/>
  <c r="M109" i="64"/>
  <c r="E109" i="64"/>
  <c r="F109" i="64"/>
  <c r="C100" i="48"/>
  <c r="B102" i="48"/>
  <c r="D101" i="48"/>
  <c r="J101" i="48" s="1"/>
  <c r="E101" i="48"/>
  <c r="G101" i="48"/>
  <c r="F101" i="48"/>
  <c r="D108" i="64" l="1"/>
  <c r="I108" i="64"/>
  <c r="K108" i="64"/>
  <c r="K109" i="64"/>
  <c r="I109" i="64"/>
  <c r="D109" i="64"/>
  <c r="C101" i="48"/>
  <c r="B103" i="48"/>
  <c r="G102" i="48"/>
  <c r="F102" i="48"/>
  <c r="E102" i="48"/>
  <c r="D102" i="48"/>
  <c r="J102" i="48" s="1"/>
  <c r="C102" i="48" l="1"/>
  <c r="D103" i="48"/>
  <c r="J103" i="48" s="1"/>
  <c r="G103" i="48"/>
  <c r="E103" i="48"/>
  <c r="F103" i="48"/>
  <c r="B104" i="48"/>
  <c r="C103" i="48" l="1"/>
  <c r="B105" i="48"/>
  <c r="G104" i="48"/>
  <c r="F104" i="48"/>
  <c r="E104" i="48"/>
  <c r="D104" i="48"/>
  <c r="J104" i="48" s="1"/>
  <c r="C104" i="48" l="1"/>
  <c r="B106" i="48"/>
  <c r="G105" i="48"/>
  <c r="F105" i="48"/>
  <c r="D105" i="48"/>
  <c r="J105" i="48" s="1"/>
  <c r="E105" i="48"/>
  <c r="C105" i="48" l="1"/>
  <c r="F106" i="48"/>
  <c r="E106" i="48"/>
  <c r="B107" i="48"/>
  <c r="D106" i="48"/>
  <c r="J106" i="48" s="1"/>
  <c r="G106" i="48"/>
  <c r="C106" i="48" l="1"/>
  <c r="B108" i="48"/>
  <c r="F107" i="48"/>
  <c r="E107" i="48"/>
  <c r="G107" i="48"/>
  <c r="D107" i="48"/>
  <c r="J107" i="48" s="1"/>
  <c r="C107" i="48" l="1"/>
  <c r="G108" i="48"/>
  <c r="F108" i="48"/>
  <c r="E108" i="48"/>
  <c r="D108" i="48"/>
  <c r="J108" i="48" s="1"/>
  <c r="B109" i="48"/>
  <c r="C108" i="48" l="1"/>
  <c r="D109" i="48"/>
  <c r="J109" i="48" s="1"/>
  <c r="F109" i="48"/>
  <c r="E109" i="48"/>
  <c r="G109" i="48"/>
  <c r="B110" i="48"/>
  <c r="C109" i="48" l="1"/>
  <c r="G110" i="48"/>
  <c r="B111" i="48"/>
  <c r="D110" i="48"/>
  <c r="J110" i="48" s="1"/>
  <c r="F110" i="48"/>
  <c r="E110" i="48"/>
  <c r="C110" i="48" l="1"/>
  <c r="B112" i="48"/>
  <c r="F111" i="48"/>
  <c r="E111" i="48"/>
  <c r="D111" i="48"/>
  <c r="J111" i="48" s="1"/>
  <c r="G111" i="48"/>
  <c r="C111" i="48" l="1"/>
  <c r="B113" i="48"/>
  <c r="F112" i="48"/>
  <c r="E112" i="48"/>
  <c r="G112" i="48"/>
  <c r="D112" i="48"/>
  <c r="J112" i="48" s="1"/>
  <c r="C112" i="48" l="1"/>
  <c r="D113" i="48"/>
  <c r="J113" i="48" s="1"/>
  <c r="B114" i="48"/>
  <c r="G113" i="48"/>
  <c r="F113" i="48"/>
  <c r="E113" i="48"/>
  <c r="C113" i="48" l="1"/>
  <c r="F114" i="48"/>
  <c r="B115" i="48"/>
  <c r="G114" i="48"/>
  <c r="E114" i="48"/>
  <c r="D114" i="48"/>
  <c r="J114" i="48" s="1"/>
  <c r="C114" i="48" l="1"/>
  <c r="G115" i="48"/>
  <c r="F115" i="48"/>
  <c r="D115" i="48"/>
  <c r="J115" i="48" s="1"/>
  <c r="E115" i="48"/>
  <c r="C115" i="48" l="1"/>
  <c r="C124" i="51"/>
  <c r="C125" i="51" s="1"/>
  <c r="E123" i="51"/>
  <c r="G123" i="51" s="1"/>
  <c r="C126" i="51" l="1"/>
  <c r="E125" i="51"/>
  <c r="J123" i="51"/>
  <c r="Z123" i="51"/>
  <c r="W123" i="51" s="1"/>
  <c r="Y123" i="51" s="1"/>
  <c r="H123" i="51"/>
  <c r="I123" i="51"/>
  <c r="F123" i="51"/>
  <c r="E124" i="51"/>
  <c r="Z125" i="51" l="1"/>
  <c r="W125" i="51" s="1"/>
  <c r="Y125" i="51" s="1"/>
  <c r="G125" i="51"/>
  <c r="J125" i="51"/>
  <c r="H125" i="51"/>
  <c r="F125" i="51"/>
  <c r="I125" i="51"/>
  <c r="C127" i="51"/>
  <c r="E126" i="51"/>
  <c r="H124" i="51"/>
  <c r="J124" i="51"/>
  <c r="I124" i="51"/>
  <c r="F124" i="51"/>
  <c r="Z124" i="51"/>
  <c r="W124" i="51" s="1"/>
  <c r="Y124" i="51" s="1"/>
  <c r="G124" i="51"/>
  <c r="Z126" i="51" l="1"/>
  <c r="W126" i="51" s="1"/>
  <c r="Y126" i="51" s="1"/>
  <c r="I126" i="51"/>
  <c r="F126" i="51"/>
  <c r="J126" i="51"/>
  <c r="H126" i="51"/>
  <c r="G126" i="51"/>
  <c r="E127" i="51"/>
  <c r="C128" i="51"/>
  <c r="G127" i="51" l="1"/>
  <c r="J127" i="51"/>
  <c r="H127" i="51"/>
  <c r="I127" i="51"/>
  <c r="Z127" i="51"/>
  <c r="W127" i="51" s="1"/>
  <c r="Y127" i="51" s="1"/>
  <c r="F127" i="51"/>
  <c r="C129" i="51"/>
  <c r="E128" i="51"/>
  <c r="F128" i="51" l="1"/>
  <c r="J128" i="51"/>
  <c r="I128" i="51"/>
  <c r="Z128" i="51"/>
  <c r="W128" i="51" s="1"/>
  <c r="Y128" i="51" s="1"/>
  <c r="H128" i="51"/>
  <c r="G128" i="51"/>
  <c r="C130" i="51"/>
  <c r="E129" i="51"/>
  <c r="G129" i="51" l="1"/>
  <c r="Z129" i="51"/>
  <c r="W129" i="51" s="1"/>
  <c r="Y129" i="51" s="1"/>
  <c r="I129" i="51"/>
  <c r="J129" i="51"/>
  <c r="F129" i="51"/>
  <c r="H129" i="51"/>
  <c r="C131" i="51"/>
  <c r="E131" i="51" s="1"/>
  <c r="E130" i="51"/>
  <c r="J131" i="51" l="1"/>
  <c r="I131" i="51"/>
  <c r="G131" i="51"/>
  <c r="H131" i="51"/>
  <c r="Z131" i="51"/>
  <c r="W131" i="51" s="1"/>
  <c r="Y131" i="51" s="1"/>
  <c r="F131" i="51"/>
  <c r="Z130" i="51"/>
  <c r="W130" i="51" s="1"/>
  <c r="Y130" i="51" s="1"/>
  <c r="I130" i="51"/>
  <c r="F130" i="51"/>
  <c r="H130" i="51"/>
  <c r="G130" i="51"/>
  <c r="J130" i="51"/>
  <c r="H107" i="51" l="1"/>
  <c r="H14" i="51" s="1"/>
  <c r="F107" i="51"/>
  <c r="F14" i="51" s="1"/>
  <c r="Y157" i="51"/>
  <c r="L185" i="2" s="1"/>
  <c r="I107" i="51"/>
  <c r="I14" i="51" s="1"/>
  <c r="G107" i="51"/>
  <c r="G14" i="51" s="1"/>
  <c r="J107" i="51"/>
  <c r="J14" i="51" s="1"/>
  <c r="L189" i="2" l="1"/>
  <c r="B178" i="2" s="1"/>
  <c r="C185"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442738-0D3C-4BB6-91FC-8A6B30E3905F}" keepAlive="1" name="Query - Capacity Community frontsheet" description="Connection to the 'Capacity Community frontsheet' query in the workbook." type="5" refreshedVersion="8" background="1" saveData="1">
    <dbPr connection="Provider=Microsoft.Mashup.OleDb.1;Data Source=$Workbook$;Location=&quot;Capacity Community frontsheet&quot;;Extended Properties=&quot;&quot;" command="SELECT * FROM [Capacity Community frontsheet]"/>
  </connection>
  <connection id="2" xr16:uid="{BE4BDC2D-E8DA-427C-A58C-B25C459D7345}" keepAlive="1" name="Query - Capacity HD frontsheet" description="Connection to the 'Capacity HD frontsheet' query in the workbook." type="5" refreshedVersion="8" background="1" saveData="1">
    <dbPr connection="Provider=Microsoft.Mashup.OleDb.1;Data Source=$Workbook$;Location=&quot;Capacity HD frontsheet&quot;;Extended Properties=&quot;&quot;" command="SELECT * FROM [Capacity HD frontsheet]"/>
  </connection>
  <connection id="3" xr16:uid="{90FAE53A-4D46-40D6-B88C-4A0463AD9340}" keepAlive="1" name="Query - Demand - Community frontsheet" description="Connection to the 'Demand - Community frontsheet' query in the workbook." type="5" refreshedVersion="8" background="1" saveData="1">
    <dbPr connection="Provider=Microsoft.Mashup.OleDb.1;Data Source=$Workbook$;Location=&quot;Demand - Community frontsheet&quot;;Extended Properties=&quot;&quot;" command="SELECT * FROM [Demand - Community frontsheet]"/>
  </connection>
  <connection id="4" xr16:uid="{D3BC11F0-7427-4F3C-9BA6-D550D2BD21FA}" keepAlive="1" name="Query - Demand HD frontsheet" description="Connection to the 'Demand HD frontsheet' query in the workbook." type="5" refreshedVersion="8" background="1" saveData="1">
    <dbPr connection="Provider=Microsoft.Mashup.OleDb.1;Data Source=$Workbook$;Location=&quot;Demand HD frontsheet&quot;;Extended Properties=&quot;&quot;" command="SELECT * FROM [Demand HD frontsheet]"/>
  </connection>
  <connection id="5" xr16:uid="{B8BD1D75-DD35-4EC2-843E-17946A0C9F4A}" keepAlive="1" name="Query - Demand HD frontsheet (2)" description="Connection to the 'Demand HD frontsheet (2)' query in the workbook." type="5" refreshedVersion="8" background="1" saveData="1">
    <dbPr connection="Provider=Microsoft.Mashup.OleDb.1;Data Source=$Workbook$;Location=&quot;Demand HD frontsheet (2)&quot;;Extended Properties=&quot;&quot;" command="SELECT * FROM [Demand HD frontsheet (2)]"/>
  </connection>
  <connection id="6" xr16:uid="{5D4A7F63-8EF8-46D2-B724-CF5655DEB2ED}" keepAlive="1" name="Query - Demand HD frontsheet (3)" description="Connection to the 'Demand HD frontsheet (3)' query in the workbook." type="5" refreshedVersion="8" background="1" saveData="1">
    <dbPr connection="Provider=Microsoft.Mashup.OleDb.1;Data Source=$Workbook$;Location=&quot;Demand HD frontsheet (3)&quot;;Extended Properties=&quot;&quot;" command="SELECT * FROM [Demand HD frontsheet (3)]"/>
  </connection>
  <connection id="7" xr16:uid="{84A46916-211C-4756-84D8-61B959E2EED1}" keepAlive="1" name="Query - Demand HD frontsheet (4)" description="Connection to the 'Demand HD frontsheet (4)' query in the workbook." type="5" refreshedVersion="8" background="1" saveData="1">
    <dbPr connection="Provider=Microsoft.Mashup.OleDb.1;Data Source=$Workbook$;Location=&quot;Demand HD frontsheet (4)&quot;;Extended Properties=&quot;&quot;" command="SELECT * FROM [Demand HD frontsheet (4)]"/>
  </connection>
  <connection id="8" xr16:uid="{72691B2D-06A7-40F8-AF1B-29217E203950}" keepAlive="1" name="Query - REF" description="Connection to the 'REF' query in the workbook." type="5" refreshedVersion="0" background="1">
    <dbPr connection="Provider=Microsoft.Mashup.OleDb.1;Data Source=$Workbook$;Location=REF;Extended Properties=&quot;&quot;" command="SELECT * FROM [REF]"/>
  </connection>
  <connection id="9" xr16:uid="{582441E6-F1B8-424E-8EDF-9EEAA576135F}" keepAlive="1" name="Query - REF (2)" description="Connection to the 'REF (2)' query in the workbook." type="5" refreshedVersion="0" background="1">
    <dbPr connection="Provider=Microsoft.Mashup.OleDb.1;Data Source=$Workbook$;Location=&quot;REF (2)&quot;;Extended Properties=&quot;&quot;" command="SELECT * FROM [REF (2)]"/>
  </connection>
  <connection id="10" xr16:uid="{2D7D9032-A21A-41BD-8C01-B2E5C3DDF108}" keepAlive="1" name="Query - REF (3)" description="Connection to the 'REF (3)' query in the workbook." type="5" refreshedVersion="0" background="1">
    <dbPr connection="Provider=Microsoft.Mashup.OleDb.1;Data Source=$Workbook$;Location=&quot;REF (3)&quot;;Extended Properties=&quot;&quot;" command="SELECT * FROM [REF (3)]"/>
  </connection>
  <connection id="11" xr16:uid="{EF3C7C43-A415-4964-AEDA-6EBDBE9822C0}" keepAlive="1" name="Query - REF (4)" description="Connection to the 'REF (4)' query in the workbook." type="5" refreshedVersion="0" background="1">
    <dbPr connection="Provider=Microsoft.Mashup.OleDb.1;Data Source=$Workbook$;Location=&quot;REF (4)&quot;;Extended Properties=&quot;&quot;" command="SELECT * FROM [REF (4)]"/>
  </connection>
  <connection id="12" xr16:uid="{65E17AF2-F019-4C0B-A760-BD5A01D676FE}"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13" xr16:uid="{243428E6-61AF-40A6-8334-61B65EEF3094}"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4" xr16:uid="{2EFA999A-9C80-4ABC-8A71-41B67D818501}"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5" xr16:uid="{76F05999-093D-4F30-B1F4-8B74B33C70F2}"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6" xr16:uid="{9A69C340-F8ED-45F5-8CBA-A4A3F9179154}"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17" xr16:uid="{D4851844-7573-4500-BDF7-216A09DF5D2C}"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8" xr16:uid="{1D4FD4FD-441E-4274-8730-9404E8FFDDFC}"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9" xr16:uid="{CDF2FE0B-62E7-4BDC-A3D0-16A8A02CAFE0}"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<sst xmlns="http://schemas.openxmlformats.org/spreadsheetml/2006/main" count="81705" uniqueCount="9822">
  <si>
    <t>1. Guidance for Quarter 2</t>
  </si>
  <si>
    <t>Overview</t>
  </si>
  <si>
    <t>The Better Care Fund (BCF) reporting requirements are set out in the BCF Planning Requirements document for 2023-25, which supports the aims of the BCF Policy Framework and the BCF programme; jointly led and developed by the national partners Department of Health (DHSC), Department for Levelling Up, Housing and Communities (DLUHC), NHS England (NHSE), Local Government Association (LGA), working with the Association of Directors of Adult Social Services (ADASS).</t>
  </si>
  <si>
    <t>The key purposes of BCF reporting are:</t>
  </si>
  <si>
    <t>1) To confirm the status of continued compliance against the requirements of the fund (BCF)</t>
  </si>
  <si>
    <t xml:space="preserve">2) In Quarter 2 to refresh capacity and demand plans, and in Quarter 3 to confirm activity to date, where BCF funded schemes include output estimates, and at the End of Year actual income and expenditure in BCF plans </t>
  </si>
  <si>
    <t>3) To provide information from local areas on challenges, achievements and support needs in progressing the delivery of BCF plans, including performance metrics</t>
  </si>
  <si>
    <t>4) To enable the use of this information for national partners to inform future direction and for local areas to inform improvements</t>
  </si>
  <si>
    <t>BCF reporting is likely to be used by local areas, alongside any other information to help inform Health and Wellbeing Boards (HWBs) on progress on integration and the BCF.  It is also intended to inform BCF national partners as well as those responsible for delivering the BCF plans at a local level (including ICBs, local authorities and service providers) for the purposes noted above.</t>
  </si>
  <si>
    <t>BCF reports submitted by local areas are required to be signed off by HWBs, including through delegated arrangements as appropriate, as the accountable governance body for the BCF locally. Aggregated reporting information will be published on the NHS England website.</t>
  </si>
  <si>
    <t>Note on entering information into this template</t>
  </si>
  <si>
    <t>Throughout the template, cells which are open for input have a yellow background and those that are pre-populated have a blue background and those that are not for completion are in grey, as below:</t>
  </si>
  <si>
    <t>Data needs inputting in the cell</t>
  </si>
  <si>
    <t>Pre-populated cells</t>
  </si>
  <si>
    <t xml:space="preserve">Not applicable - cells where data cannot be added </t>
  </si>
  <si>
    <t>Note on viewing the sheets optimally</t>
  </si>
  <si>
    <t>To more optimally view each of the sheets and in particular the drop down lists clearly on screen, please change the zoom level to between 90% - 100%. Most drop downs are also available to view as lists within the relevant sheet or in the guidance tab for readability if required.</t>
  </si>
  <si>
    <t>The row heights and column widths can be adjusted to fit and view text more comfortably for the cells that require narrative information.</t>
  </si>
  <si>
    <t>Please DO NOT  directly copy/cut &amp; paste to populate the fields when completing the template as this can cause issues during the aggregation process. If you must 'copy &amp; paste', please use the 'Paste Special' operation and paste 'Values' only.</t>
  </si>
  <si>
    <t>The details of each sheet within the template are outlined below.</t>
  </si>
  <si>
    <t>Checklist ( 2. Cover )</t>
  </si>
  <si>
    <t>1. This section helps identify the sheets that have not been completed. All fields that appear as incomplete should be complete before sending to the BCF Team.</t>
  </si>
  <si>
    <t>2. The checker column, which can be found on the individual sheets, updates automatically as questions are completed. It will appear 'Red' and contain the word 'No' if the information has not been completed. Once completed the checker column will change to 'Green' and contain the word 'Yes'</t>
  </si>
  <si>
    <t>3. The 'sheet completed' cell will update when all 'checker' values for the sheet are green containing the word 'Yes'.</t>
  </si>
  <si>
    <t>4. Once the checker column contains all cells marked 'Yes' the 'Incomplete Template' cell (below the title) will change to 'Template Complete'.</t>
  </si>
  <si>
    <t>5. Please ensure that all boxes on the checklist are green before submitting to england.bettercarefundteam@nhs.net and copying in your 
Better Care Manager.</t>
  </si>
  <si>
    <t>2. Cover</t>
  </si>
  <si>
    <t>1. The cover sheet provides essential information on the area for which the template is being completed, contacts and sign off. Once you select your HWB from the drop down list, relevant data on metric ambitions and capacity and demand from your BCF plans for 2023-24 will prepopulate in the relevant worksheets.</t>
  </si>
  <si>
    <t>2. HWB sign off will be subject to your own governance arrangements which may include a delegated authority. </t>
  </si>
  <si>
    <t xml:space="preserve">4. Please note that in line with fair processing of personal data we request email addresses for individuals completing the reporting template in order to communicate with and resolve any issues arising during the reporting cycle. We remove these addresses from the supplied templates when they are collated and delete them when they are no longer needed. </t>
  </si>
  <si>
    <t>3. National Conditions</t>
  </si>
  <si>
    <t>This section requires the HWB to confirm whether the four national conditions detailed in the Better Care Fund planning requirements for 2023-25 (link below) continue to be met through the delivery of your plan. Please confirm as at the time of completion.</t>
  </si>
  <si>
    <t>https://www.england.nhs.uk/wp-content/uploads/2023/04/PRN00315-better-care-fund-planning-requirements-2023-25.pdf</t>
  </si>
  <si>
    <t>This sheet sets out the four conditions and requires the HWB to confirm 'Yes' or 'No' that these continue to be met. Should 'No' be selected, please provide an explanation as to why the condition was not met for the year and how this is being addressed. Please note that where a National Condition is not being met, the HWB is expected to contact their Better Care Manager in the first instance.</t>
  </si>
  <si>
    <t>In summary, the four national conditions are as below:</t>
  </si>
  <si>
    <t>National condition 1: Plans to be jointly agreed</t>
  </si>
  <si>
    <t>National condition 2: Implementing BCF Policy Objective 1: Enabling people to stay well, safe and independent at home for longer</t>
  </si>
  <si>
    <t>National condition 3: Implementing BCF Policy Objective 2: Providing the right care in the right place at the right time</t>
  </si>
  <si>
    <t>National condition 4: Maintaining NHS contribution to adult social care and investment in NHS commissioned out of hospital services</t>
  </si>
  <si>
    <t>4. Metrics</t>
  </si>
  <si>
    <t>The BCF plan includes the following metrics: 
- Unplanned hospitalisations for chronic ambulatory care sensitive conditions, 
- Proportion of hospital discharges to a person's usual place of residence, 
- Admissions to long term residential or nursing care for people over 65, 
- Reablement outcomes (people aged over 65 still at home 91 days after discharge from hospital to reablement or rehabilitation at home), and; 
- Emergency hospital admissions for people over 65 following a fall. 
Plans for these metrics were agreed as part of the BCF planning process.</t>
  </si>
  <si>
    <t>This section captures a confidence assessment on achieving the locally set ambitions for each of the BCF metrics.</t>
  </si>
  <si>
    <t>A brief commentary is requested for each metric outlining the challenges faced in achieving the metric plans, any support needs and successes in the first six months of the financial year.</t>
  </si>
  <si>
    <t>Data from the Secondary Uses Service (SUS) dataset on outcomes for the discharge to usual place of residence, falls, and avoidable admissions for the first quarter of 2023-24 has been pre populated, along with ambitions for quarters 1-4, to assist systems in understanding performance at HWB level.</t>
  </si>
  <si>
    <t>The metrics worksheet seeks a best estimate of confidence on progress against the achievement of BCF metric ambitions. The options are:
- on track to meet the ambition
- not on track to meet the ambition
- data not available to assess progress
You should also include narratives for each metric on challenges and support needs, as well as achievements.</t>
  </si>
  <si>
    <t>- In making the confidence assessment on progress, please utilise the available metric data along with any available proxy data.</t>
  </si>
  <si>
    <t>Please note that the metrics themselves will be referenced (and reported as required) as per the standard national published datasets.</t>
  </si>
  <si>
    <t>5. Capacity &amp; Demand Refresh</t>
  </si>
  <si>
    <t>Please use this section to update both capacity and demand (C&amp;D) estimates for the period November 2023 to March 2024.</t>
  </si>
  <si>
    <t>This section is split into 3 separate tabs:</t>
  </si>
  <si>
    <t>5.1 C&amp;D Guidance &amp; Assumptions</t>
  </si>
  <si>
    <t>Contains guidance notes including how to calculate demand/capacity as well as 6 questions seeking to address the assumptions used in the calculations, changes in the first 6 months of the year, and any support needs and ongoing data issues.</t>
  </si>
  <si>
    <t>5.2 C&amp;D Hospital Discharge</t>
  </si>
  <si>
    <t>Please use this section to enter updated demand and capacity related to Hospital Discharge in the bottom two tables. The table at the top then calculates the gap or surplus of capacity using the figures provided. expected  capacity and demand from your original planning template has been populated for reference. If estimates for demand and/or capacity have not changed since your original plan, please re enter these figures in the relevant fields (i.e. do not leave them blank).</t>
  </si>
  <si>
    <t>In Capacity and Demand plans for 2023-24, areas were advised not to include capacity you would expect to spot purchase. This is in line with guidance on intermediate care, including the new Intermediate Care Framework. However, for this exercise we are collecting the number of packages of intermediate/short term care that you expect to spot purchase to meet demand for facilitated hospital discharge. This is being collected in a separate set of fields. You should therefore:
- record revised demand for hospital discharge by the type of support needed from row 30 onwards
- record current commissioned capacity by service type (not including spot purchasing) in cells K22 to O26
- record the amount of capacity you expect to spot purchase to meet demand in cells P22 to T26.
Spot purchased capacity should be capacity that is additional to the main estimate of commissioned/contracted capacity (i.e. the spot purchased figure should not be included in the commissioned capacity figure). This figure should represent capacity that your local area is confident it can spot-purchase and is affordable, recognising that it is unlikely to be best value for money and local areas will be working to reduce this area of spend in the longer term.</t>
  </si>
  <si>
    <t>5.3 C&amp;D Community</t>
  </si>
  <si>
    <t>Please use this section to enter updated demand and capacity related to referrals from community sources in the bottom two tables. The table at the top then calculates the gap or surplus of capacity using the figures provided. The same period's figures has been extracted from your planning template for reference.</t>
  </si>
  <si>
    <t xml:space="preserve"> If estimates for demand and/or capacity have not changed since your original plan, please re enter these figures in the relevant fields (i.e. do not leave them blank).</t>
  </si>
  <si>
    <t>Data from assured BCF plans has been pre-populated in tabs 5.2 and 5.3. If these do not match with your final plan, please let your BCM and the national team know so that we can update out records and note the discrepancy in your response to question 1 on tab 5.1. Enter your current expected demand and capacity as normal in tabs 5.2 and 5.3.</t>
  </si>
  <si>
    <t>7. ASC fee rates</t>
  </si>
  <si>
    <t xml:space="preserve">This section collects data on average fees paid by the local authority for social care. </t>
  </si>
  <si>
    <t>Specific guidance on individual questions can be found on the relevant tab.</t>
  </si>
  <si>
    <t>A1</t>
  </si>
  <si>
    <t>&lt;Please select a Health and Wellbeing Board&gt;</t>
  </si>
  <si>
    <t>E09000002</t>
  </si>
  <si>
    <t>Barking and Dagenham</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</si>
  <si>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</si>
  <si>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</si>
  <si>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</si>
  <si>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</si>
  <si>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</si>
  <si>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</si>
  <si>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</si>
  <si>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</si>
  <si>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</si>
  <si>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</si>
  <si>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</si>
  <si>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</si>
  <si>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</si>
  <si>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</si>
  <si>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</si>
  <si>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</si>
  <si>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</si>
  <si>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</si>
  <si>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</si>
  <si>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</si>
  <si>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</si>
  <si>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</si>
  <si>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</si>
  <si>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</si>
  <si>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</si>
  <si>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</si>
  <si>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</si>
  <si>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</si>
  <si>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</si>
  <si>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 City of</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</si>
  <si>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</si>
  <si>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</si>
  <si>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</si>
  <si>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</si>
  <si>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</si>
  <si>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</si>
  <si>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</si>
  <si>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</si>
  <si>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</si>
  <si>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</si>
  <si>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</si>
  <si>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</si>
  <si>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</si>
  <si>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</si>
  <si>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</si>
  <si>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</si>
  <si>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</si>
  <si>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</si>
  <si>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</si>
  <si>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</si>
  <si>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</si>
  <si>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 &amp; Scilly</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</si>
  <si>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</si>
  <si>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</si>
  <si>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</si>
  <si>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</si>
  <si>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</si>
  <si>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</si>
  <si>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</si>
  <si>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</si>
  <si>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</si>
  <si>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</si>
  <si>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</si>
  <si>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</si>
  <si>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</si>
  <si>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</si>
  <si>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</si>
  <si>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</si>
  <si>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</si>
  <si>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</si>
  <si>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</si>
  <si>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</si>
  <si>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</si>
  <si>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</si>
  <si>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</si>
  <si>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</si>
  <si>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</si>
  <si>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</si>
  <si>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</si>
  <si>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</si>
  <si>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</si>
  <si>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</si>
  <si>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</si>
  <si>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</si>
  <si>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</si>
  <si>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</si>
  <si>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</si>
  <si>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</si>
  <si>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</si>
  <si>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</si>
  <si>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</si>
  <si>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</si>
  <si>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</si>
  <si>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</si>
  <si>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</si>
  <si>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</si>
  <si>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</si>
  <si>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</si>
  <si>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</si>
  <si>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</si>
  <si>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</si>
  <si>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</si>
  <si>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</si>
  <si>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</si>
  <si>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</si>
  <si>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</si>
  <si>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</si>
  <si>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</si>
  <si>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</si>
  <si>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</si>
  <si>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</si>
  <si>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</si>
  <si>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</si>
  <si>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</si>
  <si>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</si>
  <si>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</si>
  <si>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</si>
  <si>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</si>
  <si>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</si>
  <si>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</si>
  <si>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</si>
  <si>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</si>
  <si>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</si>
  <si>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 City of</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</si>
  <si>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</si>
  <si>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</si>
  <si>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</si>
  <si>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</si>
  <si>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</si>
  <si>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</si>
  <si>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</si>
  <si>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</si>
  <si>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</si>
  <si>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</si>
  <si>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</si>
  <si>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</si>
  <si>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</si>
  <si>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</si>
  <si>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</si>
  <si>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</si>
  <si>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</si>
  <si>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</si>
  <si>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</si>
  <si>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</si>
  <si>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</si>
  <si>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</si>
  <si>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</si>
  <si>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</si>
  <si>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</si>
  <si>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</si>
  <si>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</si>
  <si>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</si>
  <si>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</si>
  <si>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</si>
  <si>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</si>
  <si>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</si>
  <si>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</si>
  <si>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</si>
  <si>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</si>
  <si>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</si>
  <si>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</si>
  <si>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</si>
  <si>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</si>
  <si>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</si>
  <si>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</si>
  <si>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</si>
  <si>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</si>
  <si>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</si>
  <si>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</si>
  <si>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</si>
  <si>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</si>
  <si>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</si>
  <si>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</si>
  <si>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</si>
  <si>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E10000023</t>
  </si>
  <si>
    <t>North Yorkshire</t>
  </si>
  <si>
    <t>E06000057</t>
  </si>
  <si>
    <t>Northumberland</t>
  </si>
  <si>
    <t>E06000018</t>
  </si>
  <si>
    <t>Nottingham</t>
  </si>
  <si>
    <t>E10000024</t>
  </si>
  <si>
    <t>Nottinghamshire</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</si>
  <si>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</si>
  <si>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</si>
  <si>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</si>
  <si>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</si>
  <si>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</si>
  <si>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</si>
  <si>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</si>
  <si>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</si>
  <si>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</si>
  <si>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</si>
  <si>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</si>
  <si>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</si>
  <si>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</si>
  <si>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</si>
  <si>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</si>
  <si>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</si>
  <si>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</si>
  <si>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</si>
  <si>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</si>
  <si>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</si>
  <si>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</si>
  <si>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</si>
  <si>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</si>
  <si>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</si>
  <si>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</si>
  <si>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</si>
  <si>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</si>
  <si>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</si>
  <si>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</si>
  <si>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</si>
  <si>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</si>
  <si>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</si>
  <si>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</si>
  <si>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</si>
  <si>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</si>
  <si>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</si>
  <si>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</si>
  <si>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</si>
  <si>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E10000027</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</si>
  <si>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</si>
  <si>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</si>
  <si>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</si>
  <si>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</si>
  <si>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</si>
  <si>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</si>
  <si>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</si>
  <si>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</si>
  <si>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</si>
  <si>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</si>
  <si>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</si>
  <si>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</si>
  <si>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</si>
  <si>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</si>
  <si>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</si>
  <si>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</si>
  <si>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</si>
  <si>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</si>
  <si>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</si>
  <si>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</si>
  <si>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</si>
  <si>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</si>
  <si>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</si>
  <si>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</si>
  <si>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</si>
  <si>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</si>
  <si>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</si>
  <si>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</si>
  <si>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</si>
  <si>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</si>
  <si>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</si>
  <si>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</si>
  <si>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</si>
  <si>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</si>
  <si>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</si>
  <si>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</si>
  <si>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</si>
  <si>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</si>
  <si>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</si>
  <si>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</si>
  <si>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</si>
  <si>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</si>
  <si>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</si>
  <si>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</si>
  <si>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</si>
  <si>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</si>
  <si>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</si>
  <si>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</si>
  <si>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</si>
  <si>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</si>
  <si>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</si>
  <si>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</si>
  <si>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</si>
  <si>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</si>
  <si>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</si>
  <si>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</si>
  <si>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</si>
  <si>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</si>
  <si>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</si>
  <si>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</si>
  <si>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</si>
  <si>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</si>
  <si>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</si>
  <si>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</si>
  <si>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</si>
  <si>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</si>
  <si>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</si>
  <si>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</si>
  <si>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</si>
  <si>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</si>
  <si>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</si>
  <si>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</si>
  <si>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</si>
  <si>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</si>
  <si>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</si>
  <si>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</si>
  <si>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</si>
  <si>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</si>
  <si>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</si>
  <si>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Better Care Fund 2023-25 Quarter 2 Quarterly Reporting Template</t>
  </si>
  <si>
    <t>E06000014</t>
  </si>
  <si>
    <t>York</t>
  </si>
  <si>
    <t>&lt;Please Select&gt;</t>
  </si>
  <si>
    <t>&lt;Please select response&gt;</t>
  </si>
  <si>
    <t>Version 3.0</t>
  </si>
  <si>
    <t>Yes</t>
  </si>
  <si>
    <t>No</t>
  </si>
  <si>
    <t>Please Note:</t>
  </si>
  <si>
    <t>- The BCF quarterly reports are categorised as 'Management Information' and data from them will published in an aggregated form on the NHSE website. This will include any narrative section. Also a reminder that as is usually the case with public body information, all BCF information collected here is subject to Freedom of Information requests.</t>
  </si>
  <si>
    <t>- At a local level it is for the HWB to decide what information it needs to publish as part of wider local government reporting and transparency requirements. Until BCF information is published, recipients of BCF reporting information (including recipients who access any information placed on the Better Care Exchange) are prohibited from making this information available on any public domain or providing this information for the purposes of journalism or research without prior consent from the HWB (where it concerns a single HWB) or the BCF national partners for the aggregated information.</t>
  </si>
  <si>
    <t>- All information will be supplied to BCF partners to inform policy development.</t>
  </si>
  <si>
    <t>- This template is password protected to ensure data integrity and accurate aggregation of collected information. A resubmission may be required if this is breached.</t>
  </si>
  <si>
    <t>Checklist</t>
  </si>
  <si>
    <t>Complete:</t>
  </si>
  <si>
    <t>Health and Wellbeing Board:</t>
  </si>
  <si>
    <t>Completed by:</t>
  </si>
  <si>
    <t>E-mail:</t>
  </si>
  <si>
    <t>Contact number:</t>
  </si>
  <si>
    <t>Has this report been signed off by (or on behalf of) the HWB at the time of submission?</t>
  </si>
  <si>
    <t>If no, please indicate when the report is expected to be signed off:</t>
  </si>
  <si>
    <t>&lt;&lt; Please enter using the format, DD/MM/YYYY</t>
  </si>
  <si>
    <t>Please indicate who is signing off the report for submission on behalf of the HWB (delegated authority is also accepted):</t>
  </si>
  <si>
    <t>Job Title:</t>
  </si>
  <si>
    <t>Name:</t>
  </si>
  <si>
    <r>
      <t xml:space="preserve">Question Completion - when all questions have been answered and the validation boxes below have turned green you should send the template to </t>
    </r>
    <r>
      <rPr>
        <b/>
        <u/>
        <sz val="11"/>
        <color theme="1"/>
        <rFont val="Calibri"/>
        <family val="2"/>
        <scheme val="minor"/>
      </rPr>
      <t>england.bettercarefundteam@nhs.net</t>
    </r>
    <r>
      <rPr>
        <b/>
        <sz val="11"/>
        <color theme="1"/>
        <rFont val="Calibri"/>
        <family val="2"/>
        <scheme val="minor"/>
      </rPr>
      <t xml:space="preserve"> saving the file as 'Name HWB' for example 'County Durham HWB'. This does not apply to the ASC Discharge Fund tab.</t>
    </r>
  </si>
  <si>
    <t>&lt;&lt; Link to the Guidance sheet</t>
  </si>
  <si>
    <t>Total</t>
  </si>
  <si>
    <t>^^ Link back to top</t>
  </si>
  <si>
    <t>Please select</t>
  </si>
  <si>
    <t>Selected Health and Wellbeing Board:</t>
  </si>
  <si>
    <t>Has the section 75 agreement for your BCF plan been finalised and signed off?</t>
  </si>
  <si>
    <t>If it has not been signed off, please provide the date the section 75 agreement is expected to be signed off</t>
  </si>
  <si>
    <t>Confirmation of National Conditions</t>
  </si>
  <si>
    <t>National Conditions</t>
  </si>
  <si>
    <t>Confirmation</t>
  </si>
  <si>
    <t>If the answer is "No" please provide an explanation as to why the condition was not met in the quarter:</t>
  </si>
  <si>
    <t xml:space="preserve">1) Jointly agreed plan
</t>
  </si>
  <si>
    <t>2) Implementing BCF Policy Objective 1: Enabling people to stay well, safe and independent at home for longer</t>
  </si>
  <si>
    <t>3) Implementing BCF Policy Objective 2: Providing the right care in the right place at the right time</t>
  </si>
  <si>
    <t>4) Maintaining NHS's contribution to adult social care and investment in NHS commissioned out of hospital services</t>
  </si>
  <si>
    <t>On track to meet target</t>
  </si>
  <si>
    <t>Not on track to meet target</t>
  </si>
  <si>
    <t>Data not available to assess progress</t>
  </si>
  <si>
    <t>National data may be unavailable at the time of reporting. As such, please use data that may only be available system-wide and other local intelligence.</t>
  </si>
  <si>
    <t>Challenges and Support Needs</t>
  </si>
  <si>
    <t>Please describe any challenges faced in meeting the planned target, and please highlight any support that may facilitate or ease the achievements of metric plans</t>
  </si>
  <si>
    <t>Achievements</t>
  </si>
  <si>
    <t>Please describe any achievements, impact observed or lessons learnt when considering improvements being pursued for the respective metrics</t>
  </si>
  <si>
    <t>Metric</t>
  </si>
  <si>
    <t>Definition</t>
  </si>
  <si>
    <t>For information - Your planned performance as reported in 2023-24 planning</t>
  </si>
  <si>
    <t>For information - actual performance for Q1</t>
  </si>
  <si>
    <t>Assessment of progress against the metric plan for the reporting period</t>
  </si>
  <si>
    <t>Challenges and any Support Needs</t>
  </si>
  <si>
    <t>Achievements - including where BCF funding is supporting improvements.</t>
  </si>
  <si>
    <t>Q1</t>
  </si>
  <si>
    <t>Q2</t>
  </si>
  <si>
    <t>Q3</t>
  </si>
  <si>
    <t>Q4</t>
  </si>
  <si>
    <t>Avoidable admissions</t>
  </si>
  <si>
    <t>Unplanned hospitalisation for chronic ambulatory care sensitive conditions
(NHS Outcome Framework indicator  2.3i)</t>
  </si>
  <si>
    <t>Discharge to normal place of residence</t>
  </si>
  <si>
    <t>Percentage of people who are discharged from acute hospital to their normal place of residence</t>
  </si>
  <si>
    <t>Falls</t>
  </si>
  <si>
    <t>Emergency hospital admissions due to falls in people aged 65 and over directly age standardised rate per 100,000.</t>
  </si>
  <si>
    <t>Residential Admissions</t>
  </si>
  <si>
    <t xml:space="preserve">Rate of permanent admissions to residential care per 100,000 population (65+) </t>
  </si>
  <si>
    <t>Reablement</t>
  </si>
  <si>
    <t>Proportion of older people (65 and over) who were still at home 91 days after discharge from hospital into reablement / rehabilitation services</t>
  </si>
  <si>
    <t>HWB name</t>
  </si>
  <si>
    <t>AA Q1</t>
  </si>
  <si>
    <t>DUPR Q1</t>
  </si>
  <si>
    <t>Falls Q1</t>
  </si>
  <si>
    <t>Indicator value (23-24)</t>
  </si>
  <si>
    <t>23-24 Rate (%)</t>
  </si>
  <si>
    <t>Code</t>
  </si>
  <si>
    <t>Name</t>
  </si>
  <si>
    <t>65+ Population*</t>
  </si>
  <si>
    <t>23/24 Rate per 100k population</t>
  </si>
  <si>
    <t>Numerator</t>
  </si>
  <si>
    <t>Denominator</t>
  </si>
  <si>
    <t>(Please select Trust/s…...)</t>
  </si>
  <si>
    <t>AIREDALE NHS FOUNDATION TRUST</t>
  </si>
  <si>
    <t>ALDER HEY CHILDREN'S NHS FOUNDATION TRUST</t>
  </si>
  <si>
    <t>ASHFORD AND ST PETER'S HOSPITALS NHS FOUNDATION TRUST</t>
  </si>
  <si>
    <t>AVON AND WILTSHIRE MENTAL HEALTH PARTNERSHIP NHS TRUST</t>
  </si>
  <si>
    <t>BARKING, HAVERING AND REDBRIDGE UNIVERSITY HOSPITALS NHS TRUST</t>
  </si>
  <si>
    <t>BARNET, ENFIELD AND HARINGEY MENTAL HEALTH NHS TRUST</t>
  </si>
  <si>
    <t>BARNSLEY HOSPITAL NHS FOUNDATION TRUST</t>
  </si>
  <si>
    <t>BARTS HEALTH NHS TRUST</t>
  </si>
  <si>
    <t>BEDFORDSHIRE HOSPITALS NHS FOUNDATION TRUST</t>
  </si>
  <si>
    <t>BERKSHIRE HEALTHCARE NHS FOUNDATION TRUST</t>
  </si>
  <si>
    <t>BIRMINGHAM AND SOLIHULL MENTAL HEALTH NHS FOUNDATION TRUST</t>
  </si>
  <si>
    <t>BIRMINGHAM COMMUNITY HEALTHCARE NHS FOUNDATION TRUST</t>
  </si>
  <si>
    <t>BIRMINGHAM WOMEN'S AND CHILDREN'S NHS FOUNDATION TRUST</t>
  </si>
  <si>
    <t>BLACK COUNTRY HEALTHCARE NHS FOUNDATION TRUST</t>
  </si>
  <si>
    <t>BLACKPOOL TEACHING HOSPITALS NHS FOUNDATION TRUST</t>
  </si>
  <si>
    <t>BOLTON NHS FOUNDATION TRUST</t>
  </si>
  <si>
    <t>BRADFORD DISTRICT CARE NHS FOUNDATION TRUST</t>
  </si>
  <si>
    <t>BRADFORD TEACHING HOSPITALS NHS FOUNDATION TRUST</t>
  </si>
  <si>
    <t>BRIDGEWATER COMMUNITY HEALTHCARE NHS FOUNDATION TRUST</t>
  </si>
  <si>
    <t>BUCKINGHAMSHIRE HEALTHCARE NHS TRUST</t>
  </si>
  <si>
    <t>CALDERDALE AND HUDDERSFIELD NHS FOUNDATION TRUST</t>
  </si>
  <si>
    <t>CAMBRIDGE UNIVERSITY HOSPITALS NHS FOUNDATION TRUST</t>
  </si>
  <si>
    <t>CAMBRIDGESHIRE AND PETERBOROUGH NHS FOUNDATION TRUST</t>
  </si>
  <si>
    <t>CAMBRIDGESHIRE COMMUNITY SERVICES NHS TRUST</t>
  </si>
  <si>
    <t>CAMDEN AND ISLINGTON NHS FOUNDATION TRUST</t>
  </si>
  <si>
    <t>CENTRAL AND NORTH WEST LONDON NHS FOUNDATION TRUST</t>
  </si>
  <si>
    <t>CENTRAL LONDON COMMUNITY HEALTHCARE NHS TRUST</t>
  </si>
  <si>
    <t>CHELSEA AND WESTMINSTER HOSPITAL NHS FOUNDATION TRUST</t>
  </si>
  <si>
    <t>CHESHIRE AND WIRRAL PARTNERSHIP NHS FOUNDATION TRUST</t>
  </si>
  <si>
    <t>CHESTERFIELD ROYAL HOSPITAL NHS FOUNDATION TRUST</t>
  </si>
  <si>
    <t>CORNWALL PARTNERSHIP NHS FOUNDATION TRUST</t>
  </si>
  <si>
    <t>COUNTESS OF CHESTER HOSPITAL NHS FOUNDATION TRUST</t>
  </si>
  <si>
    <t>COUNTY DURHAM AND DARLINGTON NHS FOUNDATION TRUST</t>
  </si>
  <si>
    <t>COVENTRY AND WARWICKSHIRE PARTNERSHIP NHS TRUST</t>
  </si>
  <si>
    <t>CROYDON HEALTH SERVICES NHS TRUST</t>
  </si>
  <si>
    <t>CUMBRIA, NORTHUMBERLAND, TYNE AND WEAR NHS FOUNDATION TRUST</t>
  </si>
  <si>
    <t>DARTFORD AND GRAVESHAM NHS TRUST</t>
  </si>
  <si>
    <t>DERBYSHIRE COMMUNITY HEALTH SERVICES NHS FOUNDATION TRUST</t>
  </si>
  <si>
    <t>DERBYSHIRE HEALTHCARE NHS FOUNDATION TRUST</t>
  </si>
  <si>
    <t>DEVON PARTNERSHIP NHS TRUST</t>
  </si>
  <si>
    <t>DONCASTER AND BASSETLAW TEACHING HOSPITALS NHS FOUNDATION TRUST</t>
  </si>
  <si>
    <t>DORSET COUNTY HOSPITAL NHS FOUNDATION TRUST</t>
  </si>
  <si>
    <t>DORSET HEALTHCARE UNIVERSITY NHS FOUNDATION TRUST</t>
  </si>
  <si>
    <t>DUDLEY INTEGRATED HEALTH AND CARE NHS TRUST</t>
  </si>
  <si>
    <t>EAST AND NORTH HERTFORDSHIRE NHS TRUST</t>
  </si>
  <si>
    <t>EAST CHESHIRE NHS TRUST</t>
  </si>
  <si>
    <t>EAST KENT HOSPITALS UNIVERSITY NHS FOUNDATION TRUST</t>
  </si>
  <si>
    <t>EAST LANCASHIRE HOSPITALS NHS TRUST</t>
  </si>
  <si>
    <t>EAST LONDON NHS FOUNDATION TRUST</t>
  </si>
  <si>
    <t>EAST SUFFOLK AND NORTH ESSEX NHS FOUNDATION TRUST</t>
  </si>
  <si>
    <t>EAST SUSSEX HEALTHCARE NHS TRUST</t>
  </si>
  <si>
    <t>EPSOM AND ST HELIER UNIVERSITY HOSPITALS NHS TRUST</t>
  </si>
  <si>
    <t>ESSEX PARTNERSHIP UNIVERSITY NHS FOUNDATION TRUST</t>
  </si>
  <si>
    <t>FRIMLEY HEALTH NHS FOUNDATION TRUST</t>
  </si>
  <si>
    <t>GATESHEAD HEALTH NHS FOUNDATION TRUST</t>
  </si>
  <si>
    <t>GEORGE ELIOT HOSPITAL NHS TRUST</t>
  </si>
  <si>
    <t>GLOUCESTERSHIRE HEALTH AND CARE NHS FOUNDATION TRUST</t>
  </si>
  <si>
    <t>GLOUCESTERSHIRE HOSPITALS NHS FOUNDATION TRUST</t>
  </si>
  <si>
    <t>GREAT ORMOND STREET HOSPITAL FOR CHILDREN NHS FOUNDATION TRUST</t>
  </si>
  <si>
    <t>GREAT WESTERN HOSPITALS NHS FOUNDATION TRUST</t>
  </si>
  <si>
    <t>GREATER MANCHESTER MENTAL HEALTH NHS FOUNDATION TRUST</t>
  </si>
  <si>
    <t>GUY'S AND ST THOMAS' NHS FOUNDATION TRUST</t>
  </si>
  <si>
    <t>HAMPSHIRE HOSPITALS NHS FOUNDATION TRUST</t>
  </si>
  <si>
    <t>HARROGATE AND DISTRICT NHS FOUNDATION TRUST</t>
  </si>
  <si>
    <t>HEREFORDSHIRE AND WORCESTERSHIRE HEALTH AND CARE NHS TRUST</t>
  </si>
  <si>
    <t>HERTFORDSHIRE COMMUNITY NHS TRUST</t>
  </si>
  <si>
    <t>HERTFORDSHIRE PARTNERSHIP UNIVERSITY NHS FOUNDATION TRUST</t>
  </si>
  <si>
    <t>HOMERTON HEALTHCARE NHS FOUNDATION TRUST</t>
  </si>
  <si>
    <t>HOUNSLOW AND RICHMOND COMMUNITY HEALTHCARE NHS TRUST</t>
  </si>
  <si>
    <t>HULL UNIVERSITY TEACHING HOSPITALS NHS TRUST</t>
  </si>
  <si>
    <t>HUMBER TEACHING NHS FOUNDATION TRUST</t>
  </si>
  <si>
    <t>IMPERIAL COLLEGE HEALTHCARE NHS TRUST</t>
  </si>
  <si>
    <t>ISLE OF WIGHT NHS TRUST</t>
  </si>
  <si>
    <t>JAMES PAGET UNIVERSITY HOSPITALS NHS FOUNDATION TRUST</t>
  </si>
  <si>
    <t>KENT AND MEDWAY NHS AND SOCIAL CARE PARTNERSHIP TRUST</t>
  </si>
  <si>
    <t>KENT COMMUNITY HEALTH NHS FOUNDATION TRUST</t>
  </si>
  <si>
    <t>KETTERING GENERAL HOSPITAL NHS FOUNDATION TRUST</t>
  </si>
  <si>
    <t>KING'S COLLEGE HOSPITAL NHS FOUNDATION TRUST</t>
  </si>
  <si>
    <t>KINGSTON HOSPITAL NHS FOUNDATION TRUST</t>
  </si>
  <si>
    <t>LANCASHIRE &amp; SOUTH CUMBRIA NHS FOUNDATION TRUST</t>
  </si>
  <si>
    <t>LANCASHIRE TEACHING HOSPITALS NHS FOUNDATION TRUST</t>
  </si>
  <si>
    <t>LEEDS AND YORK PARTNERSHIP NHS FOUNDATION TRUST</t>
  </si>
  <si>
    <t>LEEDS COMMUNITY HEALTHCARE NHS TRUST</t>
  </si>
  <si>
    <t>LEEDS TEACHING HOSPITALS NHS TRUST</t>
  </si>
  <si>
    <t>LEICESTERSHIRE PARTNERSHIP NHS TRUST</t>
  </si>
  <si>
    <t>LEWISHAM AND GREENWICH NHS TRUST</t>
  </si>
  <si>
    <t>LINCOLNSHIRE COMMUNITY HEALTH SERVICES NHS TRUST</t>
  </si>
  <si>
    <t>LINCOLNSHIRE PARTNERSHIP NHS FOUNDATION TRUST</t>
  </si>
  <si>
    <t>LIVERPOOL HEART AND CHEST HOSPITAL NHS FOUNDATION TRUST</t>
  </si>
  <si>
    <t>LIVERPOOL UNIVERSITY HOSPITALS NHS FOUNDATION TRUST</t>
  </si>
  <si>
    <t>LIVERPOOL WOMEN'S NHS FOUNDATION TRUST</t>
  </si>
  <si>
    <t>LONDON NORTH WEST UNIVERSITY HEALTHCARE NHS TRUST</t>
  </si>
  <si>
    <t>MAIDSTONE AND TUNBRIDGE WELLS NHS TRUST</t>
  </si>
  <si>
    <t>MANCHESTER UNIVERSITY NHS FOUNDATION TRUST</t>
  </si>
  <si>
    <t>MEDWAY NHS FOUNDATION TRUST</t>
  </si>
  <si>
    <t>MERSEY CARE NHS FOUNDATION TRUST</t>
  </si>
  <si>
    <t>MID AND SOUTH ESSEX NHS FOUNDATION TRUST</t>
  </si>
  <si>
    <t>MID CHESHIRE HOSPITALS NHS FOUNDATION TRUST</t>
  </si>
  <si>
    <t>MID YORKSHIRE HOSPITALS NHS TRUST</t>
  </si>
  <si>
    <t>MIDLANDS PARTNERSHIP NHS FOUNDATION TRUST</t>
  </si>
  <si>
    <t>MILTON KEYNES UNIVERSITY HOSPITAL NHS FOUNDATION TRUST</t>
  </si>
  <si>
    <t>MOORFIELDS EYE HOSPITAL NHS FOUNDATION TRUST</t>
  </si>
  <si>
    <t>NORFOLK AND NORWICH UNIVERSITY HOSPITALS NHS FOUNDATION TRUST</t>
  </si>
  <si>
    <t>NORFOLK AND SUFFOLK NHS FOUNDATION TRUST</t>
  </si>
  <si>
    <t>NORFOLK COMMUNITY HEALTH AND CARE NHS TRUST</t>
  </si>
  <si>
    <t>NORTH BRISTOL NHS TRUST</t>
  </si>
  <si>
    <t>NORTH CUMBRIA INTEGRATED CARE NHS FOUNDATION TRUST</t>
  </si>
  <si>
    <t>NORTH EAST LONDON NHS FOUNDATION TRUST</t>
  </si>
  <si>
    <t>NORTH MIDDLESEX UNIVERSITY HOSPITAL NHS TRUST</t>
  </si>
  <si>
    <t>NORTH STAFFORDSHIRE COMBINED HEALTHCARE NHS TRUST</t>
  </si>
  <si>
    <t>NORTH TEES AND HARTLEPOOL NHS FOUNDATION TRUST</t>
  </si>
  <si>
    <t>NORTH WEST ANGLIA NHS FOUNDATION TRUST</t>
  </si>
  <si>
    <t>NORTHAMPTON GENERAL HOSPITAL NHS TRUST</t>
  </si>
  <si>
    <t>NORTHAMPTONSHIRE HEALTHCARE NHS FOUNDATION TRUST</t>
  </si>
  <si>
    <t>NORTHERN CARE ALLIANCE NHS FOUNDATION TRUST</t>
  </si>
  <si>
    <t>NORTHERN LINCOLNSHIRE AND GOOLE NHS FOUNDATION TRUST</t>
  </si>
  <si>
    <t>NORTHUMBRIA HEALTHCARE NHS FOUNDATION TRUST</t>
  </si>
  <si>
    <t>NOTTINGHAM UNIVERSITY HOSPITALS NHS TRUST</t>
  </si>
  <si>
    <t>NOTTINGHAMSHIRE HEALTHCARE NHS FOUNDATION TRUST</t>
  </si>
  <si>
    <t>OXFORD HEALTH NHS FOUNDATION TRUST</t>
  </si>
  <si>
    <t>OXFORD UNIVERSITY HOSPITALS NHS FOUNDATION TRUST</t>
  </si>
  <si>
    <t>OXLEAS NHS FOUNDATION TRUST</t>
  </si>
  <si>
    <t>PENNINE CARE NHS FOUNDATION TRUST</t>
  </si>
  <si>
    <t>PORTSMOUTH HOSPITALS UNIVERSITY NATIONAL HEALTH SERVICE TRUST</t>
  </si>
  <si>
    <t>QUEEN VICTORIA HOSPITAL NHS FOUNDATION TRUST</t>
  </si>
  <si>
    <t>ROTHERHAM DONCASTER AND SOUTH HUMBER NHS FOUNDATION TRUST</t>
  </si>
  <si>
    <t>ROYAL BERKSHIRE NHS FOUNDATION TRUST</t>
  </si>
  <si>
    <t>ROYAL CORNWALL HOSPITALS NHS TRUST</t>
  </si>
  <si>
    <t>ROYAL DEVON UNIVERSITY HEALTHCARE NHS FOUNDATION TRUST</t>
  </si>
  <si>
    <t>ROYAL FREE LONDON NHS FOUNDATION TRUST</t>
  </si>
  <si>
    <t>ROYAL NATIONAL ORTHOPAEDIC HOSPITAL NHS TRUST</t>
  </si>
  <si>
    <t>ROYAL PAPWORTH HOSPITAL NHS FOUNDATION TRUST</t>
  </si>
  <si>
    <t>ROYAL SURREY COUNTY HOSPITAL NHS FOUNDATION TRUST</t>
  </si>
  <si>
    <t>ROYAL UNITED HOSPITALS BATH NHS FOUNDATION TRUST</t>
  </si>
  <si>
    <t>SALISBURY NHS FOUNDATION TRUST</t>
  </si>
  <si>
    <t>SANDWELL AND WEST BIRMINGHAM HOSPITALS NHS TRUST</t>
  </si>
  <si>
    <t>SHEFFIELD CHILDREN'S NHS FOUNDATION TRUST</t>
  </si>
  <si>
    <t>SHEFFIELD HEALTH &amp; SOCIAL CARE NHS FOUNDATION TRUST</t>
  </si>
  <si>
    <t>SHEFFIELD TEACHING HOSPITALS NHS FOUNDATION TRUST</t>
  </si>
  <si>
    <t>SHERWOOD FOREST HOSPITALS NHS FOUNDATION TRUST</t>
  </si>
  <si>
    <t>SHROPSHIRE COMMUNITY HEALTH NHS TRUST</t>
  </si>
  <si>
    <t>SOLENT NHS TRUST</t>
  </si>
  <si>
    <t>SOMERSET NHS FOUNDATION TRUST</t>
  </si>
  <si>
    <t>SOUTH LONDON AND MAUDSLEY NHS FOUNDATION TRUST</t>
  </si>
  <si>
    <t>SOUTH TEES HOSPITALS NHS FOUNDATION TRUST</t>
  </si>
  <si>
    <t>SOUTH TYNESIDE AND SUNDERLAND NHS FOUNDATION TRUST</t>
  </si>
  <si>
    <t>SOUTH WARWICKSHIRE UNIVERSITY NHS FOUNDATION TRUST</t>
  </si>
  <si>
    <t>SOUTH WEST LONDON AND ST GEORGE'S MENTAL HEALTH NHS TRUST</t>
  </si>
  <si>
    <t>SOUTH WEST YORKSHIRE PARTNERSHIP NHS FOUNDATION TRUST</t>
  </si>
  <si>
    <t>SOUTHERN HEALTH NHS FOUNDATION TRUST</t>
  </si>
  <si>
    <t>SOUTHPORT AND ORMSKIRK HOSPITAL NHS TRUST</t>
  </si>
  <si>
    <t>ST GEORGE'S UNIVERSITY HOSPITALS NHS FOUNDATION TRUST</t>
  </si>
  <si>
    <t>ST HELENS AND KNOWSLEY TEACHING HOSPITALS NHS TRUST</t>
  </si>
  <si>
    <t>STOCKPORT NHS FOUNDATION TRUST</t>
  </si>
  <si>
    <t>SURREY AND BORDERS PARTNERSHIP NHS FOUNDATION TRUST</t>
  </si>
  <si>
    <t>SURREY AND SUSSEX HEALTHCARE NHS TRUST</t>
  </si>
  <si>
    <t>SUSSEX COMMUNITY NHS FOUNDATION TRUST</t>
  </si>
  <si>
    <t>SUSSEX PARTNERSHIP NHS FOUNDATION TRUST</t>
  </si>
  <si>
    <t>TAMESIDE AND GLOSSOP INTEGRATED CARE NHS FOUNDATION TRUST</t>
  </si>
  <si>
    <t>TAVISTOCK AND PORTMAN NHS FOUNDATION TRUST</t>
  </si>
  <si>
    <t>TEES, ESK AND WEAR VALLEYS NHS FOUNDATION TRUST</t>
  </si>
  <si>
    <t>THE CHRISTIE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</si>
  <si>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</si>
  <si>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</si>
  <si>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</si>
  <si>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</si>
  <si>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</si>
  <si>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</si>
  <si>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</si>
  <si>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</si>
  <si>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MARSDEN NHS FOUNDATION TRUST</t>
  </si>
  <si>
    <t>THE ROYAL ORTHOPAEDIC HOSPITAL NHS FOUNDATION TRUST</t>
  </si>
  <si>
    <t>THE ROYAL WOLVERHAMPTON NHS TRUST</t>
  </si>
  <si>
    <t>THE SHREWSBURY AND TELFORD HOSPITAL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</si>
  <si>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</si>
  <si>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</si>
  <si>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</si>
  <si>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</si>
  <si>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</si>
  <si>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</si>
  <si>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AND WESTON NHS FOUNDATION TRUST</t>
  </si>
  <si>
    <t>UNIVERSITY HOSPITALS COVENTRY AND WARWICKSHIRE NHS TRUST</t>
  </si>
  <si>
    <t>UNIVERSITY HOSPITALS DORSET NHS FOUNDATION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</si>
  <si>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</si>
  <si>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</si>
  <si>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</si>
  <si>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</si>
  <si>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</si>
  <si>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UNIVERSITY HOSPITALS SUSSEX NHS FOUNDATION TRUST</t>
  </si>
  <si>
    <t>WALSALL HEALTHCARE NHS TRUST</t>
  </si>
  <si>
    <t>WARRINGTON AND HALTON TEACHING HOSPITALS NHS FOUNDATION TRUST</t>
  </si>
  <si>
    <t>WEST HERTFORDSHIRE TEACHING HOSPITALS NHS TRUST</t>
  </si>
  <si>
    <t>WEST LONDON NHS TRUST</t>
  </si>
  <si>
    <t>WEST SUFFOLK NHS FOUNDATION TRUST</t>
  </si>
  <si>
    <t>WHITTINGTON HEALTH NHS TRUST</t>
  </si>
  <si>
    <t>WIRRAL COMMUNITY HEALTH AND CARE NHS FOUNDATION TRUST</t>
  </si>
  <si>
    <t>WIRRAL UNIVERSITY TEACHING HOSPITAL NHS FOUNDATION TRUST</t>
  </si>
  <si>
    <t>WORCESTERSHIRE ACUTE HOSPITALS NHS TRUST</t>
  </si>
  <si>
    <t>WRIGHTINGTON, WIGAN AND LEIGH NHS FOUNDATION TRUST</t>
  </si>
  <si>
    <t>WYE VALLEY NHS TRUST</t>
  </si>
  <si>
    <t>YEOVIL DISTRICT HOSPITAL NHS FOUNDATION TRUST</t>
  </si>
  <si>
    <t>YORK AND SCARBOROUGH TEACHING HOSPITALS NHS FOUNDATION TRUST</t>
  </si>
  <si>
    <t>OTHER</t>
  </si>
  <si>
    <t>Better Care Fund 2023-24 Capacity &amp; Demand Refresh</t>
  </si>
  <si>
    <t>5. Capacity &amp; Demand</t>
  </si>
  <si>
    <t>5.1 Assumptions</t>
  </si>
  <si>
    <t>1. How have your estimates for capacity and demand changed since the plan submitted in June? Please include how learning from the last 6 months was used to arrive at refreshed projections?</t>
  </si>
  <si>
    <t>2. Please outline assumptions used to arrive at refreshed projections (including to optimise length of stay in intermediate care and to reduce overprescription of care). Please also set out your rationale for trends in demand for the next 6 months (e.g how have you accounted for demand over winter?)</t>
  </si>
  <si>
    <t>Demand:</t>
  </si>
  <si>
    <t>Capacity:</t>
  </si>
  <si>
    <t>3. What impact have your planned interventions to improve capacity and demand management for 2023-24 had on your refreshed figures? Has this impact been accounted for in your refreshed plan?</t>
  </si>
  <si>
    <t>4. Do you have any capacity concerns or specific support needs to raise for the winter ahead?</t>
  </si>
  <si>
    <t>5. Please outline any issues you encountered with data quality (including unavailable, missing, unreliable data).</t>
  </si>
  <si>
    <t>6. Where projected demand exceeds capacity for a service type, what is your approach to ensuring that people are supported to avoid admission to hospital or to enable discharge?</t>
  </si>
  <si>
    <t xml:space="preserve">Guidance on completing this sheet is set out below, but should be read in conjunction with the separate guidance and question &amp; answer document </t>
  </si>
  <si>
    <t>The assumptions box has been updated and is now a set of specific narrative questions. Please answer all questions in relation to both hospital discharge and community sections of the capacity and demand template.
You should reflect changes to understanding of demand and available capacity for admissions avoidance and hospital discharge since the completion of the original BCF plans, including 
- actual demand in the first 6/7 months of the year 
- modelling and agreed changes to services as part of Winter planning or following the Market Sustainability and Improvement Fund announcement
- Data from the Community Bed Audit
- Impact to date of new or revised intermediate care services or work to change the profile of discharge pathways.</t>
  </si>
  <si>
    <t>5.2 and 5.3 Summary Tables</t>
  </si>
  <si>
    <r>
      <t>The tables at the top of the next two tabs show a direct comparison of the demand and capacity for each area, by showing = (capacity) – (demand). These figures are pre-populated from the previous template as well as calculating new refreshed figures as you complete the template below.</t>
    </r>
    <r>
      <rPr>
        <b/>
        <sz val="11"/>
        <rFont val="Calibri"/>
        <family val="2"/>
        <scheme val="minor"/>
      </rPr>
      <t xml:space="preserve"> Negative figures show insufficient capacity and positive figures show that capacity exceeds demand.</t>
    </r>
  </si>
  <si>
    <t>5.2 Demand - Hospital Discharge</t>
  </si>
  <si>
    <r>
      <rPr>
        <sz val="11"/>
        <color rgb="FF000000"/>
        <rFont val="Calibri"/>
        <family val="2"/>
      </rPr>
      <t xml:space="preserve">This section requires the Health &amp; Wellbeing Board to record their refreshed expectations of monthly demand for supported discharge by discharge pathway.
Data from the previous capacity and demand plans will be auto-populated, split by trust referral source. You will be able to enter your refreshed number of expected discharges from each trust alongside these. The first table may include some extra rows to allow for areas who are recording demand from a larger number of referral sources. If this does not apply to your area, please ignore the extra lines. </t>
    </r>
    <r>
      <rPr>
        <b/>
        <sz val="11"/>
        <color rgb="FF000000"/>
        <rFont val="Calibri"/>
        <family val="2"/>
      </rPr>
      <t xml:space="preserve">  
</t>
    </r>
    <r>
      <rPr>
        <sz val="11"/>
        <color rgb="FF000000"/>
        <rFont val="Calibri"/>
        <family val="2"/>
      </rPr>
      <t xml:space="preserve">
This section in the previous template asked for expected demand for rehabilitation and reablement as two separate figures. It was found that, by and large, this did not work well for areas so the prepopulated figures for these service types have been combined into one row. Please enter your refreshed expectations for rehabilitation and reablement as one total figure as well.
Virtual wards should not be included in intermediate care capacity because they represent acute, rather than intermediate, care. Where recording a virtual ward as a referral source, please select the relevant trust from the list. 
From the capacity and demand plans collected in June 2023, it emerged that some areas had difficulty with estimating demand and capacity for Pathway 0 (social support). By social support, we are referring to lower level support provide outside of formal rehabilitation and reablement or domiciliary care. This is often provided by the voluntary and community sector. Demand estimates for this service type should only include discharges on Pathway 0 that require some level of commissioned low-level support and not all discharges on Pathway 0.  If it is not possible to estimate figures in relation to this please put 0 rather than defaulting to all Pathway 0 discharges.   </t>
    </r>
  </si>
  <si>
    <t>5.2 Capacity - Hospital Discharge</t>
  </si>
  <si>
    <t>This section collects refreshed expectations of capacity for services to support people being discharged from acute hospital. You should input the expected available capacity to support discharge across these different service types:
- Social support (including VCS) (pathway 0)
- Reablement &amp; Rehabilitation at home (pathway 1)
- Short term domiciliary care (pathway 1)
- Reablement &amp; Rehabilitation in a bedded setting (pathway 2)
- Short-term residential/nursing care for someone likely to require a longer-term care home placement (pathway 3)
The recently published Intermediate Care Framework sets out guidance on improving capacity, and use of this capacity. You should refer to this in developing your refreshed BCF Capacity and Demand plans. 
As with the 2023-24 template, please consider the below factors in determining the capacity calculation. Typically, this will be (Caseload*days in month*max occupancy percentage)/average duration of service or length of stay.
Caseload (No. of people who can be looked after at any given time).
Average stay (days) - The average length of time that a service is provided to people, or average length of stay in a bedded facility.
Please consider using median or mode for Length of Stay where there are significant outliers.
Peak Occupancy (percentage) - What was the highest levels of occupancy expressed as a percentage? This will usually apply to residential units, rather than care in a person's own home.  For services in a person's own home then this would need to take into account how many people, on average, that can be provided with services.
The template now asks for the amount of capacity you expect to secure through spot purchasing. This should be capacity that is additional to the main estimate of commissioned/contracted capacity (i.e. the spot purchased figure should not be included in the commissioned capacity figure). This figure should represent capacity that your local area is confident it can spot-purchase and is affordable, recognising that it may impact on people's outcomes and  is unlikely to be best value for money and local areas will be working to reduce this area of spend in the longer term.</t>
  </si>
  <si>
    <t>5.3 Demand - Community</t>
  </si>
  <si>
    <t>This section collects refreshed expectations of demand for intermediate care services from community sources, such as multi-disciplinary teams, single points of access or 111. As with the previous template, referrals are not collected by source, and you should input an overall estimate each month for the number of people requiring intermediate care or short term care (non-discharge) each month, split by different type of intermediate care.
Further detail on definitions is provided in Appendix 2 of the 2023-25 Planning Requirements.
The units can simply be the number of referrals.
As with all other sections, figures from the 2023-24 template will be auto-populated into this section.</t>
  </si>
  <si>
    <t xml:space="preserve">5.3 Capacity - Community </t>
  </si>
  <si>
    <t>This section collects refreshed expectations of capacity for community services. You should input the expected available capacity across health and social care for different service types. As with the hospital discharge sheet, data entered in the assured BCF plan template has been prepopulated for reference. You should include expected available capacity across these service types for eligible referrals from community sources. This should cover all service intermediate care services to
support recovery, including Urgent Community Response and VCS support. The template is split into these types of service:
Social support (including VCS)
Urgent Community Response
Reablement &amp; Rehabilitation at home
Reablement &amp; Rehabilitation in a bedded setting
Other short-term social care
Please see the guidance on ‘Demand – Hospital Discharge’ for information on why the capacity and demand estimates for rehabilitation and reablement services is now being collected as one combined figure. Please consider the below factors in determining the capacity calculation. Typically this will be (Caseload*days in month*max occupancy percentage)/average duration of service or length of stay.
Caseload (No. of people who can be looked after at any given time).
Average stay (days) - The average length of time that a service is provided to people, or average length of stay in a bedded facility.</t>
  </si>
  <si>
    <t xml:space="preserve">Please consider using median or mode for Length of Stay where there are significant outliers.
"Peak Occupancy (percentage) - What was the highest levels of occupancy expressed as a percentage? This will usually apply to residential units, rather than care in a person's own home.  For services in a person's own home then this would need to take into account how many people, on average, that can be provided with services."
</t>
  </si>
  <si>
    <t>Better Care Fund 2023-24 Capacity &amp; Demand Refrresh</t>
  </si>
  <si>
    <t>Hospital Discharge</t>
  </si>
  <si>
    <t>Previous plan</t>
  </si>
  <si>
    <t>Refreshed capacity surplus. Not including spot purchasing</t>
  </si>
  <si>
    <t>Refreshed capacity surplus (including spot puchasing)</t>
  </si>
  <si>
    <t>Capacity - Demand (positive is Surplus)</t>
  </si>
  <si>
    <t>Social support (including VCS) (pathway 0)</t>
  </si>
  <si>
    <t>Reablement &amp; Rehabilitation at home  (pathway 1)</t>
  </si>
  <si>
    <t>Short term domiciliary care (pathway 1)</t>
  </si>
  <si>
    <t>Reablement &amp; Rehabilitation in a bedded setting (pathway 2)</t>
  </si>
  <si>
    <t>Short-term residential/nursing care for someone likely to require a longer-term care home placement (pathway 3)</t>
  </si>
  <si>
    <t>Capacity - Hospital Discharge</t>
  </si>
  <si>
    <t>Prepopulated from plan:</t>
  </si>
  <si>
    <t xml:space="preserve">Refreshed planned capacity (not including spot purchased capacity </t>
  </si>
  <si>
    <t>Capacity that you expect to secure through spot purchasing</t>
  </si>
  <si>
    <t>Service Area</t>
  </si>
  <si>
    <t>Monthly capacity. Number of new clients.</t>
  </si>
  <si>
    <t>Demand - Hospital Discharge</t>
  </si>
  <si>
    <t>Please enter refreshed expected no. of referrals:</t>
  </si>
  <si>
    <t>Pathway</t>
  </si>
  <si>
    <t xml:space="preserve">Trust Referral Source                                      </t>
  </si>
  <si>
    <t>Check trust isn't blank</t>
  </si>
  <si>
    <t>Check all months aren't blank</t>
  </si>
  <si>
    <t>Overall Spend (BCF &amp; Non BCF)</t>
  </si>
  <si>
    <t>2023-24</t>
  </si>
  <si>
    <t>2024-25</t>
  </si>
  <si>
    <t>Community</t>
  </si>
  <si>
    <t>Refreshed capacity surplus:</t>
  </si>
  <si>
    <t>Social support (including VCS)</t>
  </si>
  <si>
    <t>Urgent Community Response</t>
  </si>
  <si>
    <t>Reablement &amp; Rehabilitation at home</t>
  </si>
  <si>
    <t>Reablement &amp; Rehabilitation in a bedded setting</t>
  </si>
  <si>
    <t>Other short-term social care</t>
  </si>
  <si>
    <t>Capacity - Community</t>
  </si>
  <si>
    <t>Please enter refreshed expected capacity:</t>
  </si>
  <si>
    <t>BCF related spend</t>
  </si>
  <si>
    <t>Demand - Community</t>
  </si>
  <si>
    <t>Service Type</t>
  </si>
  <si>
    <t>Old Hospital</t>
  </si>
  <si>
    <t>New Hospital</t>
  </si>
  <si>
    <t>Old Comunnity</t>
  </si>
  <si>
    <t>New Community</t>
  </si>
  <si>
    <t>Reablement at home  (pathway 1)</t>
  </si>
  <si>
    <t>Rehabilitation at home (pathway 1)</t>
  </si>
  <si>
    <t>Reablement at home</t>
  </si>
  <si>
    <t>Rehabilitation at home</t>
  </si>
  <si>
    <t>Reablement in a bedded setting (pathway 2)</t>
  </si>
  <si>
    <t>Reablement in a bedded setting</t>
  </si>
  <si>
    <t>Rehabilitation in a bedded setting (pathway 2)</t>
  </si>
  <si>
    <t xml:space="preserve">Rehabilitation in a bedded setting </t>
  </si>
  <si>
    <t>Social support (including VCS) </t>
  </si>
  <si>
    <t xml:space="preserve">Reablement at Home </t>
  </si>
  <si>
    <t>Reablement at Home </t>
  </si>
  <si>
    <t xml:space="preserve">Rehabilitation at home </t>
  </si>
  <si>
    <t>Short term domiciliary care</t>
  </si>
  <si>
    <t>Short-term residential/nursing care for someone likely to require a longer-term care home placement</t>
  </si>
  <si>
    <t>Lkp</t>
  </si>
  <si>
    <t>TrustCount</t>
  </si>
  <si>
    <t>HWBPathway</t>
  </si>
  <si>
    <t>PathwayAdjusted</t>
  </si>
  <si>
    <t>Trust Referral Source                                         (Select as many as you need)</t>
  </si>
  <si>
    <t>01/04/2023</t>
  </si>
  <si>
    <t>01/05/2023</t>
  </si>
  <si>
    <t>01/06/2023</t>
  </si>
  <si>
    <t>01/07/2023</t>
  </si>
  <si>
    <t>01/08/2023</t>
  </si>
  <si>
    <t>01/09/2023</t>
  </si>
  <si>
    <t>01/10/2023</t>
  </si>
  <si>
    <t>01/11/2023</t>
  </si>
  <si>
    <t>01/12/2023</t>
  </si>
  <si>
    <t>01/01/2024</t>
  </si>
  <si>
    <t>01/02/2024</t>
  </si>
  <si>
    <t>01/03/2024</t>
  </si>
  <si>
    <t>in filtered rows?</t>
  </si>
  <si>
    <t> </t>
  </si>
  <si>
    <t xml:space="preserve">OTHER </t>
  </si>
  <si>
    <t>6. Spend &amp; Activity</t>
  </si>
  <si>
    <t>Scheme ID</t>
  </si>
  <si>
    <t>Scheme Name</t>
  </si>
  <si>
    <t>Scheme Type</t>
  </si>
  <si>
    <t>Sub Types</t>
  </si>
  <si>
    <t>Planned Expenditure</t>
  </si>
  <si>
    <t xml:space="preserve">Actual Expenditure to date </t>
  </si>
  <si>
    <t>Planned outputs</t>
  </si>
  <si>
    <t>Outputs delivered to date (estimate if needed)</t>
  </si>
  <si>
    <t>Unit of Measure</t>
  </si>
  <si>
    <t>Have there been any implementation issues?</t>
  </si>
  <si>
    <t>If yes, please briefly describe</t>
  </si>
  <si>
    <t>Index</t>
  </si>
  <si>
    <t>Index2</t>
  </si>
  <si>
    <t>LKP</t>
  </si>
  <si>
    <t>HWB</t>
  </si>
  <si>
    <t>Units</t>
  </si>
  <si>
    <t>Expected outputs 2023-24</t>
  </si>
  <si>
    <t>Expected outputs 2024-25</t>
  </si>
  <si>
    <t>BCM region</t>
  </si>
  <si>
    <t>Brief Description of Scheme</t>
  </si>
  <si>
    <t>Please specify if 'Scheme Type' is 'Other'</t>
  </si>
  <si>
    <t>Area of Spend</t>
  </si>
  <si>
    <t>Please specify if 'Area of Spend' is 'other'</t>
  </si>
  <si>
    <t>Commissioner</t>
  </si>
  <si>
    <t>% NHS (if Joint Commissioner)</t>
  </si>
  <si>
    <t>% LA (if Joint Commissioner)</t>
  </si>
  <si>
    <t>Provider</t>
  </si>
  <si>
    <t>Source of Funding</t>
  </si>
  <si>
    <t>New/ Existing Scheme</t>
  </si>
  <si>
    <t>Expenditure 23/24 (£)</t>
  </si>
  <si>
    <t>Expenditure 24/25 (£)</t>
  </si>
  <si>
    <t>% of Overall Spend (Average)</t>
  </si>
  <si>
    <t xml:space="preserve">Barking and Dagenham3Targeted out of hospital careHome-based intermediate care servicesReablement at home (to support discharge) </t>
  </si>
  <si>
    <t>Targeted out of hospital care</t>
  </si>
  <si>
    <t>Home-based intermediate care services</t>
  </si>
  <si>
    <t xml:space="preserve">Reablement at home (to support discharge) </t>
  </si>
  <si>
    <t>Packages</t>
  </si>
  <si>
    <t>Greater London</t>
  </si>
  <si>
    <t>Crisis Intervention/ Reablement/Homecare</t>
  </si>
  <si>
    <t>Social Care</t>
  </si>
  <si>
    <t>LA</t>
  </si>
  <si>
    <t/>
  </si>
  <si>
    <t>Local Authority</t>
  </si>
  <si>
    <t>Minimum NHS Contribution</t>
  </si>
  <si>
    <t>Existing</t>
  </si>
  <si>
    <t>Barking and Dagenham11Community support and independenceAssistive Technologies and EquipmentCommunity Based Equipment</t>
  </si>
  <si>
    <t>Community support and independence</t>
  </si>
  <si>
    <t>Assistive Technologies and Equipment</t>
  </si>
  <si>
    <t>Community Based Equipment</t>
  </si>
  <si>
    <t xml:space="preserve">Number of beneficiaries </t>
  </si>
  <si>
    <t>Care technology, equipment and adaptations</t>
  </si>
  <si>
    <t>Private Sector</t>
  </si>
  <si>
    <t>Barking and Dagenham13Targeted out of hospital careResidential PlacementsCare home</t>
  </si>
  <si>
    <t>Residential Placements</t>
  </si>
  <si>
    <t>Care home</t>
  </si>
  <si>
    <t>Number of beds/Placements</t>
  </si>
  <si>
    <t>Developing joint commissioning to achieve the outcomes of the BCF for local residents</t>
  </si>
  <si>
    <t>Barking and Dagenham16Community support and independenceCarers ServicesOther</t>
  </si>
  <si>
    <t>Carers Services</t>
  </si>
  <si>
    <t>Other</t>
  </si>
  <si>
    <t>Beneficiaries</t>
  </si>
  <si>
    <t xml:space="preserve">Support for carer support organsitons. </t>
  </si>
  <si>
    <t>Barking and Dagenham17Community support and independenceCarers ServicesOther</t>
  </si>
  <si>
    <t>Strengthening User and Carer Voice</t>
  </si>
  <si>
    <t>Barking and Dagenham19Community support and independenceAssistive Technologies and EquipmentOther</t>
  </si>
  <si>
    <t>Care Planning, Assessment and Review</t>
  </si>
  <si>
    <t>Barking and Dagenham3Enable people to stay well, safe and independent at home for longerCarers ServicesOther</t>
  </si>
  <si>
    <t>Enable people to stay well, safe and independent at home for longer</t>
  </si>
  <si>
    <t>CCG Contribution to the local carers organisation</t>
  </si>
  <si>
    <t>Carer Advice and Support</t>
  </si>
  <si>
    <t>Community Health</t>
  </si>
  <si>
    <t>NHS</t>
  </si>
  <si>
    <t>Charity / Voluntary Sector</t>
  </si>
  <si>
    <t xml:space="preserve">Barking and Dagenham12Provide the right care in the right place at the right timeHome-based intermediate care servicesReablement at home (to support discharge) </t>
  </si>
  <si>
    <t>Provide the right care in the right place at the right time</t>
  </si>
  <si>
    <t>Barking and Dagenham3Enable people to stay well, safe and independent at home for longer - Targeted Out-of-Hospital CareCarers ServicesRespite services</t>
  </si>
  <si>
    <t>Enable people to stay well, safe and independent at home for longer - Targeted Out-of-Hospital Care</t>
  </si>
  <si>
    <t>Respite services</t>
  </si>
  <si>
    <t xml:space="preserve">Home First same &amp; next day discharge - AHPs. </t>
  </si>
  <si>
    <t>NHS Community Provider</t>
  </si>
  <si>
    <t>Barking and Dagenham33Community support and independenceDFG Related SchemesAdaptations, including statutory DFG grants</t>
  </si>
  <si>
    <t>DFG Related Schemes</t>
  </si>
  <si>
    <t>Adaptations, including statutory DFG grants</t>
  </si>
  <si>
    <t>Number of adaptations funded/people supported</t>
  </si>
  <si>
    <t xml:space="preserve">Voluntary sector </t>
  </si>
  <si>
    <t xml:space="preserve">Barking and Dagenham34Targeted out of hospital careHome-based intermediate care servicesReablement at home (to support discharge) </t>
  </si>
  <si>
    <t xml:space="preserve">Supporting people to remain in their homes through the provision of adaptations </t>
  </si>
  <si>
    <t>DFG</t>
  </si>
  <si>
    <t>Barking and Dagenham35Targeted out of hospital careHome Care or Domiciliary CareDomiciliary care packages</t>
  </si>
  <si>
    <t>Home Care or Domiciliary Care</t>
  </si>
  <si>
    <t>Domiciliary care packages</t>
  </si>
  <si>
    <t>Hours of care</t>
  </si>
  <si>
    <t>iBCF</t>
  </si>
  <si>
    <t>Barking and Dagenham37Market Stabilisation &amp; COVID RecoveryResidential PlacementsOther</t>
  </si>
  <si>
    <t>Market Stabilisation &amp; COVID Recovery</t>
  </si>
  <si>
    <t>Managing homecare and additonal demand over winter in particular within Homecare</t>
  </si>
  <si>
    <t>Barking and Dagenham38Community support and independenceAssistive Technologies and EquipmentAssistive technologies including telecare</t>
  </si>
  <si>
    <t>Assistive technologies including telecare</t>
  </si>
  <si>
    <t>Market Development/Fee increases</t>
  </si>
  <si>
    <t>Fee increase to stabilise the care provider market</t>
  </si>
  <si>
    <t>Barking and Dagenham44Community support and independenceResidential PlacementsLearning disability</t>
  </si>
  <si>
    <t>Learning disability</t>
  </si>
  <si>
    <t>Barking and Dagenham49Targeted out of hospital careHome Care or Domiciliary CareDomiciliary care to support hospital discharge (Discharge to Assess pathway 1)</t>
  </si>
  <si>
    <t>Domiciliary care to support hospital discharge (Discharge to Assess pathway 1)</t>
  </si>
  <si>
    <t>LD Demand growth and Transitions</t>
  </si>
  <si>
    <t>Barking and Dagenham50Targeted out of hospital careResidential PlacementsCare home</t>
  </si>
  <si>
    <t>Unfunded homecare and crisis intervention packages (single and double handed)</t>
  </si>
  <si>
    <t>ICB Discharge Funding</t>
  </si>
  <si>
    <t>New</t>
  </si>
  <si>
    <t xml:space="preserve">Barking and Dagenham51Targeted out of hospital careHome-based intermediate care servicesReablement at home (to support discharge) </t>
  </si>
  <si>
    <t xml:space="preserve">Unfunded residential, nursing and supported living placements </t>
  </si>
  <si>
    <t>Local Authority Discharge Funding</t>
  </si>
  <si>
    <t>Barking and Dagenham53Targeted out of hospital careResidential PlacementsCare home</t>
  </si>
  <si>
    <t>Unfunded reablement packages/reablement pilot</t>
  </si>
  <si>
    <t>Barking and Dagenham54Targeted out of hospital careResidential PlacementsCare home</t>
  </si>
  <si>
    <t>Unfunded packages and placements - to be determined for 24/25</t>
  </si>
  <si>
    <t>Barnet15Care Home provisionResidential PlacementsCare home</t>
  </si>
  <si>
    <t>Care Home provision</t>
  </si>
  <si>
    <t>Barnet16Supported LivingResidential PlacementsSupported housing</t>
  </si>
  <si>
    <t>Supported Living</t>
  </si>
  <si>
    <t>Supported housing</t>
  </si>
  <si>
    <t>24 hour accommodation and support for those residents unable to live independently</t>
  </si>
  <si>
    <t>Barnet18Winter resilienceBed based intermediate Care Services (Reablement, rehabilitation, wider short-term services supporting recovery)Bed-based intermediate care with reablement (to support discharge)</t>
  </si>
  <si>
    <t>Winter resilience</t>
  </si>
  <si>
    <t>Bed based intermediate Care Services (Reablement, rehabilitation, wider short-term services supporting recovery)</t>
  </si>
  <si>
    <t>Bed-based intermediate care with reablement (to support discharge)</t>
  </si>
  <si>
    <t>Number of Placements</t>
  </si>
  <si>
    <t>Accommodation with personalised support based on personalised level of support need</t>
  </si>
  <si>
    <t>Barnet19Home Care packages of supportHome Care or Domiciliary CareDomiciliary care packages</t>
  </si>
  <si>
    <t>Home Care packages of support</t>
  </si>
  <si>
    <t xml:space="preserve">Additional system capacity to support D2A pathways during peak periods </t>
  </si>
  <si>
    <t>Barnet20Reablement capacity Home-based intermediate care servicesReablement at home (to prevent admission to hospital or residential care)</t>
  </si>
  <si>
    <t xml:space="preserve">Reablement capacity </t>
  </si>
  <si>
    <t>Reablement at home (to prevent admission to hospital or residential care)</t>
  </si>
  <si>
    <t>Personalised support at home</t>
  </si>
  <si>
    <t>Barnet21Intermediate care /reablementHome-based intermediate care servicesReablement at home (to prevent admission to hospital or residential care)</t>
  </si>
  <si>
    <t>Intermediate care /reablement</t>
  </si>
  <si>
    <t>Barnet23Disabled Facilities GrantDFG Related SchemesAdaptations, including statutory DFG grants</t>
  </si>
  <si>
    <t>Disabled Facilities Grant</t>
  </si>
  <si>
    <t>Support to regain and retain independent living skills</t>
  </si>
  <si>
    <t>Barnet25Carers Support -Asessment &amp; AdviceCarers ServicesCarer advice and support related to Care Act duties</t>
  </si>
  <si>
    <t>Carers Support -Asessment &amp; Advice</t>
  </si>
  <si>
    <t>Carer advice and support related to Care Act duties</t>
  </si>
  <si>
    <t>Home adaptations &amp; equipment</t>
  </si>
  <si>
    <t>Barnet29Admissions avoidance Home-based intermediate care servicesJoint reablement and rehabilitation service (to prevent admission to hospital or residential care)</t>
  </si>
  <si>
    <t xml:space="preserve">Admissions avoidance </t>
  </si>
  <si>
    <t>Joint reablement and rehabilitation service (to prevent admission to hospital or residential care)</t>
  </si>
  <si>
    <t>Barnet Carers centre support for unpaid carers</t>
  </si>
  <si>
    <t>Barnet31Integrated Community EquipmentAssistive Technologies and EquipmentCommunity based equipment</t>
  </si>
  <si>
    <t>Integrated Community Equipment</t>
  </si>
  <si>
    <t>Community based equipment</t>
  </si>
  <si>
    <t>Support at home to prevent health deterioration</t>
  </si>
  <si>
    <t>Barnet32Digital inclusion- Assistive TechnologiesAssistive Technologies and EquipmentDigital participation services</t>
  </si>
  <si>
    <t>Digital inclusion- Assistive Technologies</t>
  </si>
  <si>
    <t>Digital participation services</t>
  </si>
  <si>
    <t>Provision of small equipment in the home to retain independent living skills</t>
  </si>
  <si>
    <t>Barnet35Community equipment (P1)Assistive Technologies and EquipmentCommunity based equipment</t>
  </si>
  <si>
    <t>Community equipment (P1)</t>
  </si>
  <si>
    <t>Technical support at home for self-management to prevent health deterioration</t>
  </si>
  <si>
    <t xml:space="preserve">Barnet36Reablement capacity  (P1)Home-based intermediate care servicesReablement at home (to support discharge) </t>
  </si>
  <si>
    <t>Reablement capacity  (P1)</t>
  </si>
  <si>
    <t>Supporting the continuing high level of expenditure beyond BCF and base budgets on care to enable effective discharge from hospital including enabling discharges at weekends</t>
  </si>
  <si>
    <t>Barnet37Residential and nursing care (P3)Residential PlacementsNursing home</t>
  </si>
  <si>
    <t>Residential and nursing care (P3)</t>
  </si>
  <si>
    <t>Nursing home</t>
  </si>
  <si>
    <t>Barnsley1Long Term Care ProvisionResidential PlacementsCare home</t>
  </si>
  <si>
    <t>Long Term Care Provision</t>
  </si>
  <si>
    <t>Barnsley2Short term and respite provisionCarers ServicesRespite services</t>
  </si>
  <si>
    <t>Short term and respite provision</t>
  </si>
  <si>
    <t>Yorkshire &amp; Humber</t>
  </si>
  <si>
    <t>Contribution towards adult social care provision costs i.e. residential / nursing care, domiciliary care and other community based support for Older People (aged 65+) and adults with Disabilities (aged 18-64</t>
  </si>
  <si>
    <t>NA</t>
  </si>
  <si>
    <t>Barnsley5Commissioned contracts Assistive Technologies and EquipmentCommunity based equipment</t>
  </si>
  <si>
    <t xml:space="preserve">Commissioned contracts </t>
  </si>
  <si>
    <t>Short term residential provision (including support to carers and reablement) for adults with Disabilities (aged 18-64)</t>
  </si>
  <si>
    <t>Barnsley6Reablement provisionHome-based intermediate care servicesReablement at home (accepting step up and step down users)</t>
  </si>
  <si>
    <t>Reablement provision</t>
  </si>
  <si>
    <t>Reablement at home (accepting step up and step down users)</t>
  </si>
  <si>
    <t>Includes the Equipment and Adaptions contract (SWYPFT) and other early intervention contracts with the voluntary / independent sector</t>
  </si>
  <si>
    <t>Barnsley7Extra Care Housing scheme provisionResidential PlacementsExtra care</t>
  </si>
  <si>
    <t>Extra Care Housing scheme provision</t>
  </si>
  <si>
    <t>Extra care</t>
  </si>
  <si>
    <t>Short-term provision to preserve the independence of people</t>
  </si>
  <si>
    <t>Barnsley8Community Reablement supportHome-based intermediate care servicesReablement at home (accepting step up and step down users)</t>
  </si>
  <si>
    <t>Community Reablement support</t>
  </si>
  <si>
    <t>wrap around care model within extra care schemes to improve the authority’s accommodation and support offer to older people and to contribute to the reduction in admissions to long term residential care</t>
  </si>
  <si>
    <t>Barnsley10Long term care provision (Older People)Residential PlacementsCare home</t>
  </si>
  <si>
    <t>Long term care provision (Older People)</t>
  </si>
  <si>
    <t>extend Reablement offer to all community-based referrals</t>
  </si>
  <si>
    <t>Barnsley11Long term care provision (Learning Disabilities) Residential PlacementsCare home</t>
  </si>
  <si>
    <t xml:space="preserve">Long term care provision (Learning Disabilities) </t>
  </si>
  <si>
    <t xml:space="preserve">contribution to core funding to cover demographic and national living wage pressures </t>
  </si>
  <si>
    <t>Barnsley12Long term care provision (Mental Health) Residential PlacementsCare home</t>
  </si>
  <si>
    <t xml:space="preserve">Long term care provision (Mental Health) </t>
  </si>
  <si>
    <t>Barnsley18Support for carers (incl care centre model)Carers ServicesOther</t>
  </si>
  <si>
    <t>Support for carers (incl care centre model)</t>
  </si>
  <si>
    <t>Barnsley22Homecare Bridging contractHome Care or Domiciliary CareDomiciliary care packages</t>
  </si>
  <si>
    <t>Homecare Bridging contract</t>
  </si>
  <si>
    <t>provision of personal budgets for carers and the development of a Care Centre Model</t>
  </si>
  <si>
    <t>Personalised budget and information, advice and access to support</t>
  </si>
  <si>
    <t>Barnsley27Short stay placementsResidential PlacementsShort term residential care (without rehabilitation or reablement input)</t>
  </si>
  <si>
    <t>Short stay placements</t>
  </si>
  <si>
    <t>Short term residential care (without rehabilitation or reablement input)</t>
  </si>
  <si>
    <t xml:space="preserve">To act as a provider of last resort in the event of increased demand </t>
  </si>
  <si>
    <t>Barnsley28Additional Homecare supportHome Care or Domiciliary CareDomiciliary care to support hospital discharge (Discharge to Assess pathway 1)</t>
  </si>
  <si>
    <t>Additional Homecare support</t>
  </si>
  <si>
    <t>Short stay resdential placements prior to agreeing long term support</t>
  </si>
  <si>
    <t>Barnsley29Additional care packages and capacityHome Care or Domiciliary CareDomiciliary care packages</t>
  </si>
  <si>
    <t>Additional care packages and capacity</t>
  </si>
  <si>
    <t xml:space="preserve">Rapid response to support hospital discharge cases </t>
  </si>
  <si>
    <t>Barnsley27Intermediate CareBed based intermediate Care Services (Reablement, rehabilitation, wider short-term services supporting recovery)Bed-based intermediate care with reablement (to support discharge)</t>
  </si>
  <si>
    <t>Intermediate Care</t>
  </si>
  <si>
    <t xml:space="preserve">To meet increased demand for residential / homecare care packages as well as incentivise providers to create additional capacity over the winter months
</t>
  </si>
  <si>
    <t>Barnsley36Step Down (spot purchase beds)Bed based intermediate Care Services (Reablement, rehabilitation, wider short-term services supporting recovery)Bed-based intermediate care with rehabilitation (to support discharge)</t>
  </si>
  <si>
    <t>Step Down (spot purchase beds)</t>
  </si>
  <si>
    <t>Bed-based intermediate care with rehabilitation (to support discharge)</t>
  </si>
  <si>
    <t>Intermediate Care Services</t>
  </si>
  <si>
    <t>Barnsley38CHC/Complex Cases - funded beds and complex care packages with 1:1/2:1 supportResidential PlacementsCare home</t>
  </si>
  <si>
    <t>CHC/Complex Cases - funded beds and complex care packages with 1:1/2:1 support</t>
  </si>
  <si>
    <t>Bath and North East Somerset14Disabled Facilities Grant inc Rails and Ceiling TracksDFG Related SchemesAdaptations, including statutory DFG grants</t>
  </si>
  <si>
    <t>Disabled Facilities Grant inc Rails and Ceiling Tracks</t>
  </si>
  <si>
    <t>Bath and North East Somerset8Protection of Social CareResidential PlacementsOther</t>
  </si>
  <si>
    <t>Protection of Social Care</t>
  </si>
  <si>
    <t>South West</t>
  </si>
  <si>
    <t>Provision of Adaptations, Rails and Hoists.</t>
  </si>
  <si>
    <t>Bath and North East Somerset8Protection of Social CareResidential PlacementsNursing home</t>
  </si>
  <si>
    <t xml:space="preserve">Support to Placements in PD&amp;SI </t>
  </si>
  <si>
    <t>Bath and North East Somerset8Protection of Social CareResidential PlacementsCare home</t>
  </si>
  <si>
    <t>Support to Placements in MH</t>
  </si>
  <si>
    <t>Bath and North East Somerset8Protection of Social CareResidential PlacementsLearning disability</t>
  </si>
  <si>
    <t>Resources for Placements and Packages</t>
  </si>
  <si>
    <t>Bath and North East Somerset22Extra Care Housing ServiceResidential PlacementsExtra care</t>
  </si>
  <si>
    <t>Extra Care Housing Service</t>
  </si>
  <si>
    <t>Support to Placements in Older people</t>
  </si>
  <si>
    <t>Bath and North East Somerset15Community ServicesHome-based intermediate care servicesReablement at home (to prevent admission to hospital or residential care)</t>
  </si>
  <si>
    <t>Community Services</t>
  </si>
  <si>
    <t>Support to Placements in Learning Disabilities</t>
  </si>
  <si>
    <t xml:space="preserve">Bath and North East Somerset15Community ServicesHome-based intermediate care servicesReablement at home (to support discharge) </t>
  </si>
  <si>
    <t>Support to Extra Care</t>
  </si>
  <si>
    <t>Bath and North East Somerset15Community ServicesHome-based intermediate care servicesReablement at home (accepting step up and step down users)</t>
  </si>
  <si>
    <t>YCYW Integrated Delivery Infrastructure</t>
  </si>
  <si>
    <t>Bath and North East Somerset15Community ServicesBed based intermediate Care Services (Reablement, rehabilitation, wider short-term services supporting recovery)Bed-based intermediate care with reablement (to support admissions avoidance)</t>
  </si>
  <si>
    <t>Bed-based intermediate care with reablement (to support admissions avoidance)</t>
  </si>
  <si>
    <t>YCYW Integrated Reablement</t>
  </si>
  <si>
    <t>Bath and North East Somerset15Community ServicesCarers ServicesCarer advice and support related to Care Act duties</t>
  </si>
  <si>
    <t>YCYW Home from Hospital Scheme</t>
  </si>
  <si>
    <t>Bath and North East Somerset17Fair Price of CareResidential PlacementsLearning disability</t>
  </si>
  <si>
    <t>Fair Price of Care</t>
  </si>
  <si>
    <t>Bath and North East Somerset17Protection of Social CareResidential PlacementsNursing home</t>
  </si>
  <si>
    <t>Expanded reablement</t>
  </si>
  <si>
    <t>Bath and North East Somerset76Extra Care Housing Scheme - Pemberley PlaceResidential PlacementsExtra care</t>
  </si>
  <si>
    <t>Extra Care Housing Scheme - Pemberley Place</t>
  </si>
  <si>
    <t>MH Reablement Beds</t>
  </si>
  <si>
    <t>Mental Health</t>
  </si>
  <si>
    <t>Bath and North East Somerset78Home from HospitalAssistive Technologies and EquipmentCommunity based equipment</t>
  </si>
  <si>
    <t>Home from Hospital</t>
  </si>
  <si>
    <t>Carers centre</t>
  </si>
  <si>
    <t>Bath and North East Somerset15Community ServicesHome-based intermediate care servicesRehabilitation at home (to prevent admission to hospital or residential care)</t>
  </si>
  <si>
    <t>Rehabilitation at home (to prevent admission to hospital or residential care)</t>
  </si>
  <si>
    <t>Support to Provider Market for Placements</t>
  </si>
  <si>
    <t>Bath and North East Somerset15Community ServicesAssistive Technologies and EquipmentCommunity based equipment</t>
  </si>
  <si>
    <t>Bath and North East Somerset15Community ServicesBed based intermediate Care Services (Reablement, rehabilitation, wider short-term services supporting recovery)Bed-based intermediate care with rehabilitation accepting step up and step down users</t>
  </si>
  <si>
    <t>Bed-based intermediate care with rehabilitation accepting step up and step down users</t>
  </si>
  <si>
    <t>Scheme support</t>
  </si>
  <si>
    <t>Bath and North East Somerset15Community ServicesBed based intermediate Care Services (Reablement, rehabilitation, wider short-term services supporting recovery)Bed-based intermediate care with rehabilitation (to support admission avoidance)</t>
  </si>
  <si>
    <t>Bed-based intermediate care with rehabilitation (to support admission avoidance)</t>
  </si>
  <si>
    <t>WE Care &amp; Repair Service</t>
  </si>
  <si>
    <t>Bedford1Disabled Facilities GrantDFG Related SchemesAdaptations, including statutory DFG grants</t>
  </si>
  <si>
    <t xml:space="preserve">Integrated Reablement Services </t>
  </si>
  <si>
    <t>Bedford3Out of Hospital CareBed based intermediate Care Services (Reablement, rehabilitation, wider short-term services supporting recovery)Bed-based intermediate care with reablement (to support discharge)</t>
  </si>
  <si>
    <t>Out of Hospital Care</t>
  </si>
  <si>
    <t>Integrated Delivery Infrastructure</t>
  </si>
  <si>
    <t>Bedford7Intermediate CareBed based intermediate Care Services (Reablement, rehabilitation, wider short-term services supporting recovery)Bed-based intermediate care with reablement (to support discharge)</t>
  </si>
  <si>
    <t>Bedford24Complex RehabBed based intermediate Care Services (Reablement, rehabilitation, wider short-term services supporting recovery)Bed-based intermediate care with reablement (to support discharge)</t>
  </si>
  <si>
    <t>Complex Rehab</t>
  </si>
  <si>
    <t>Home Response</t>
  </si>
  <si>
    <t>Additional LA Contribution</t>
  </si>
  <si>
    <t>Bedford25Complex RehabBed based intermediate Care Services (Reablement, rehabilitation, wider short-term services supporting recovery)Bed-based intermediate care with reablement (to support discharge)</t>
  </si>
  <si>
    <t>Community Based MH Reablement Team</t>
  </si>
  <si>
    <t>Bedford30Revenue contribution to DFG'sDFG Related SchemesAdaptations, including statutory DFG grants</t>
  </si>
  <si>
    <t>Revenue contribution to DFG's</t>
  </si>
  <si>
    <t>Equipment</t>
  </si>
  <si>
    <t>Bedford31Handy Person ServiceDFG Related SchemesAdaptations, including statutory DFG grants</t>
  </si>
  <si>
    <t>Handy Person Service</t>
  </si>
  <si>
    <t>Bedford32Telecare ServiceAssistive Technologies and EquipmentAssistive technologies including telecare</t>
  </si>
  <si>
    <t>Telecare Service</t>
  </si>
  <si>
    <t>Team Resource</t>
  </si>
  <si>
    <t>Bedford33Community Equipment StoreAssistive Technologies and EquipmentCommunity based equipment</t>
  </si>
  <si>
    <t>Community Equipment Store</t>
  </si>
  <si>
    <t>Additional NHS Contribution</t>
  </si>
  <si>
    <t>Bedford36Carers ServicesCarers ServicesRespite services</t>
  </si>
  <si>
    <t>Prevention services via Reablement</t>
  </si>
  <si>
    <t>Bedford37Mental Health RespiteCarers ServicesRespite services</t>
  </si>
  <si>
    <t>Mental Health Respite</t>
  </si>
  <si>
    <t>Contract Infrastructure</t>
  </si>
  <si>
    <t>Bedford45Carers Support (CiB)Carers ServicesCarer advice and support related to Care Act duties</t>
  </si>
  <si>
    <t>Carers Support (CiB)</t>
  </si>
  <si>
    <t>Bedford46Community EquipmentAssistive Technologies and EquipmentCommunity based equipment</t>
  </si>
  <si>
    <t>Community Equipment</t>
  </si>
  <si>
    <t>Bedford53Telecare - In Care HomesAssistive Technologies and EquipmentAssistive technologies including telecare</t>
  </si>
  <si>
    <t>Telecare - In Care Homes</t>
  </si>
  <si>
    <t>Bedford54Telecare - In CommunityAssistive Technologies and EquipmentAssistive technologies including telecare</t>
  </si>
  <si>
    <t>Telecare - In Community</t>
  </si>
  <si>
    <t>East of England</t>
  </si>
  <si>
    <t>Adaptations to support people to remain independent in own homes</t>
  </si>
  <si>
    <t>Bedford60Benefits Advice &amp; Welfare Rights ServiceCarers ServicesOther</t>
  </si>
  <si>
    <t>Benefits Advice &amp; Welfare Rights Service</t>
  </si>
  <si>
    <t>Community based support. Funds workforce</t>
  </si>
  <si>
    <t>Continuing Care</t>
  </si>
  <si>
    <t>Bedford66Destiny Step Down BedsBed based intermediate Care Services (Reablement, rehabilitation, wider short-term services supporting recovery)Bed-based intermediate care with rehabilitation (to support discharge)</t>
  </si>
  <si>
    <t>Destiny Step Down Beds</t>
  </si>
  <si>
    <t>reablement services</t>
  </si>
  <si>
    <t>Bedford70Enhanced Reablement bedsBed based intermediate Care Services (Reablement, rehabilitation, wider short-term services supporting recovery)Bed-based intermediate care with rehabilitation (to support discharge)</t>
  </si>
  <si>
    <t>Enhanced Reablement beds</t>
  </si>
  <si>
    <t>Step down beds for discharge pathways 2 and 3</t>
  </si>
  <si>
    <t>private provider</t>
  </si>
  <si>
    <t>Bedford71Increase bedded care capacityResidential PlacementsCare home</t>
  </si>
  <si>
    <t>Increase bedded care capacity</t>
  </si>
  <si>
    <t xml:space="preserve">Bedford74Reablement StaffHome-based intermediate care servicesReablement at home (to support discharge) </t>
  </si>
  <si>
    <t>Reablement Staff</t>
  </si>
  <si>
    <t>Grant for adaptations to homes to support people remaining independent</t>
  </si>
  <si>
    <t>Bedford77Step Down BedsBed based intermediate Care Services (Reablement, rehabilitation, wider short-term services supporting recovery)Bed-based intermediate care with rehabilitation (to support discharge)</t>
  </si>
  <si>
    <t>Step Down Beds</t>
  </si>
  <si>
    <t>Postholder for handy person</t>
  </si>
  <si>
    <t>Bedford80Transfer of Care Co-ordinationBed based intermediate Care Services (Reablement, rehabilitation, wider short-term services supporting recovery)Bed-based intermediate care with rehabilitation (to support discharge)</t>
  </si>
  <si>
    <t>Transfer of Care Co-ordination</t>
  </si>
  <si>
    <t>Support for assitive technology in clients home</t>
  </si>
  <si>
    <t>Bexley1Care Act - CarersCarers ServicesCarer advice and support related to Care Act duties</t>
  </si>
  <si>
    <t>Care Act - Carers</t>
  </si>
  <si>
    <t>Prescription and loan of standard and specilist equipment</t>
  </si>
  <si>
    <t>Bexley8Integrated Community Equipment ServiceAssistive Technologies and EquipmentCommunity based equipment</t>
  </si>
  <si>
    <t>Integrated Community Equipment Service</t>
  </si>
  <si>
    <t xml:space="preserve">Support service to carers of patients </t>
  </si>
  <si>
    <t>Bexley9Integrated Community Equipment ServiceAssistive Technologies and EquipmentCommunity based equipment</t>
  </si>
  <si>
    <t>Service to prevent carer breakdown. Supports cared for whilst carer has break</t>
  </si>
  <si>
    <t>Bexley10Community EquipmentAssistive Technologies and EquipmentAssistive technologies including telecare</t>
  </si>
  <si>
    <t>Carers in Bedfordshire support service</t>
  </si>
  <si>
    <t>CCG</t>
  </si>
  <si>
    <t>Bexley12EquipmentAssistive Technologies and EquipmentCommunity based equipment</t>
  </si>
  <si>
    <t>Provision of Equipment to support care and enable independence at home</t>
  </si>
  <si>
    <t>Bexley13Wheelchair ServiceAssistive Technologies and EquipmentCommunity based equipment</t>
  </si>
  <si>
    <t>Wheelchair Service</t>
  </si>
  <si>
    <t>Technology to support workforce and reduce staffing pressure</t>
  </si>
  <si>
    <t>Private Providers</t>
  </si>
  <si>
    <t>Bexley14Housing AdaptationsDFG Related SchemesAdaptations, including statutory DFG grants</t>
  </si>
  <si>
    <t>Housing Adaptations</t>
  </si>
  <si>
    <t>Technology in care process to support self management</t>
  </si>
  <si>
    <t>Bexley20Discharge Fund (LA contribution)Home Care or Domiciliary CareShort term domiciliary care (without reablement input)</t>
  </si>
  <si>
    <t>Discharge Fund (LA contribution)</t>
  </si>
  <si>
    <t>Short term domiciliary care (without reablement input)</t>
  </si>
  <si>
    <t>Citizens advice support funding</t>
  </si>
  <si>
    <t>Independent Advocacy</t>
  </si>
  <si>
    <t xml:space="preserve">Bexley21Discharge Fund (LA contribution)Home-based intermediate care servicesReablement at home (to support discharge) </t>
  </si>
  <si>
    <t>Bed Based Intermediate Care Services</t>
  </si>
  <si>
    <t>NHS Mental Health Provider</t>
  </si>
  <si>
    <t>Bexley26Discharge Fund (ICB contribution)Home Care or Domiciliary CareShort term domiciliary care (without reablement input)</t>
  </si>
  <si>
    <t>Discharge Fund (ICB contribution)</t>
  </si>
  <si>
    <t xml:space="preserve">Bexley27Discharge Fund (ICB contribution)Home-based intermediate care servicesReablement at home (to support discharge) </t>
  </si>
  <si>
    <t>Bexley36Plaster of ParisHome Care or Domiciliary CareDomiciliary care packages</t>
  </si>
  <si>
    <t>Plaster of Paris</t>
  </si>
  <si>
    <t>Reablement in a Person’s Own Home</t>
  </si>
  <si>
    <t>Bexley38Winter Care PackagesHome Care or Domiciliary CareDomiciliary care packages</t>
  </si>
  <si>
    <t>Winter Care Packages</t>
  </si>
  <si>
    <t>Bexley40Other preventative - ReablementHome-based intermediate care servicesReablement at home (to prevent admission to hospital or residential care)</t>
  </si>
  <si>
    <t>Other preventative - Reablement</t>
  </si>
  <si>
    <t>Acute</t>
  </si>
  <si>
    <t>NHS Acute Provider</t>
  </si>
  <si>
    <t>Bexley42Reablement funding to LB BexleyHome-based intermediate care servicesJoint reablement and rehabilitation service (to prevent admission to hospital or residential care)</t>
  </si>
  <si>
    <t>Reablement funding to LB Bexley</t>
  </si>
  <si>
    <t>This scheme contributes towards the provision of a range of direct support to unpaid carers:
• Information and advice.
• Carers’ Support Worker.
• Authority-commissioned support.
• Carers services from the third sector.
• Carers’ Counselling Service.
• Respite services offering flexible breaks and phased care.
• Personal budgets and direct payments.</t>
  </si>
  <si>
    <t xml:space="preserve">Bexley43Reablement additional contribution to care costsHome-based intermediate care servicesReablement at home (to support discharge) </t>
  </si>
  <si>
    <t>Reablement additional contribution to care costs</t>
  </si>
  <si>
    <t>ICB contribution to the Integrated Community Equipment Service, which provides a range of high quality, responsive, cost effective equipment to people with health and social care needs, who live in Bexley or have a Bexley GP. Please note that the estimated outputs reflect activity in 2022/23. Some people (approx. 922 people in 2022/23) received both a health item and a social care item of equipment and are therefore reflected in both Scheme 8 and 9. The total count of distinct beneficiaries across both schemes is approx. 4376 people.</t>
  </si>
  <si>
    <t>Bexley45Additional ASC packages of careHome Care or Domiciliary CareDomiciliary care packages</t>
  </si>
  <si>
    <t>Additional ASC packages of care</t>
  </si>
  <si>
    <t>LB Bexley contribution to the Integrated Community Equipment Service, which provides a range of high quality, responsive, cost effective equipment to people with health and social care needs, who live in Bexley or have a Bexley GP. Please note that the estimated outputs reflect activity in 2022/23. Some people (approx. 922 people in 2022/23) received both a health item and a social care item of equipment and are therefore reflected in both Scheme 8 and 9. The total count of distinct beneficiaries across both schemes is approx. 4376 people.</t>
  </si>
  <si>
    <t>Bexley46Additional contribution to care package costs funded from iBCFHome Care or Domiciliary CareDomiciliary care packages</t>
  </si>
  <si>
    <t>Additional contribution to care package costs funded from iBCF</t>
  </si>
  <si>
    <t>Provides the Bexley Emergency Link Line (BELL) alarm monitoring service.</t>
  </si>
  <si>
    <t>Bexley47Maintaining eligibility criteriaHome Care or Domiciliary CareDomiciliary care packages</t>
  </si>
  <si>
    <t>Maintaining eligibility criteria</t>
  </si>
  <si>
    <t>A pressure relieving equipment service that responds to local need and ensures that residents living with physical impairments are receiving the equipment that they need.</t>
  </si>
  <si>
    <t>Bexley48Develop Social Care MarketHome Care or Domiciliary CareDomiciliary care packages</t>
  </si>
  <si>
    <t>Develop Social Care Market</t>
  </si>
  <si>
    <t>We assess for, purchase and provide wheelchairs and associated mobility equipment in line with NHS criteria to meet the postural and independent mobility needs of the population served by NHS South East London ICB (Bexley). People can choose to purchase their own wheelchair using their Personal Health Budget.The Wheelchair service has a total number of 2,969 wheelchair users (2646 adults and 323 children). In terms of those seen in 2022/23, 394 adults and 37 children were given a wheelchair. We are forecasting an increase of circa 4% for each of the next two years.</t>
  </si>
  <si>
    <t>Bexley49Additional ASC Packages of Care funded from Minimum NHS ContributionHome Care or Domiciliary CareDomiciliary care packages</t>
  </si>
  <si>
    <t>Additional ASC Packages of Care funded from Minimum NHS Contribution</t>
  </si>
  <si>
    <t>The Disabled Facilities Grant allocation supports the delivery of major home adaptations for disabled people to enable them to live independently in their own homes for longer. LB Bexley provides a full support service to clients assisting with proofs, form filling, drawing plans, obtaining consent and quotations, overseeing the work and making payments.</t>
  </si>
  <si>
    <t>Birmingham1Pathway 1 - Home FirstAssistive Technologies and EquipmentCommunity based equipment</t>
  </si>
  <si>
    <t>Pathway 1 - Home First</t>
  </si>
  <si>
    <t>Discharge Fund</t>
  </si>
  <si>
    <t xml:space="preserve">Birmingham5Pathway 1 - Home FirstHome-based intermediate care servicesReablement at home (to support discharge) </t>
  </si>
  <si>
    <t>Birmingham18Pathway 1 - Home FirstDFG Related SchemesAdaptations, including statutory DFG grants</t>
  </si>
  <si>
    <t>Birmingham22Pathway 1 - Home FirstAssistive Technologies and EquipmentCommunity based equipment</t>
  </si>
  <si>
    <t>Birmingham24Pathway 2 - Intermediate Care BedBed based intermediate Care Services (Reablement, rehabilitation, wider short-term services supporting recovery)Other</t>
  </si>
  <si>
    <t>Pathway 2 - Intermediate Care Bed</t>
  </si>
  <si>
    <t>Joint funding arrangements for Plaster of Paris cases to help get people out of hospital with support. It offers a short term package of care until the plaster comes off or until the person concerned is transferred onto a long term package of care.</t>
  </si>
  <si>
    <t>Birmingham33Community ServicesCarers ServicesCarer advice and support related to Care Act duties</t>
  </si>
  <si>
    <t>Additional homecare hours that enable our integrated teams to provide responsive care packages, including D2A, reablement and long-term home care.</t>
  </si>
  <si>
    <t>Birmingham34Community ServicesCarers ServicesCarer advice and support related to Care Act duties</t>
  </si>
  <si>
    <t>Contribution towards reablement packages of care. This maintains current reablement capacity to help people regain their independence and reduce the need for ongoing care.</t>
  </si>
  <si>
    <t>Birmingham46Care Act DutiesResidential PlacementsOther</t>
  </si>
  <si>
    <t>Care Act Duties</t>
  </si>
  <si>
    <t>Staffing and reablement care packages. This maintains current reablement capacity to help people regain their independence and reduce the need for ongoing care.</t>
  </si>
  <si>
    <t>Birmingham48Care Act DutiesHome Care or Domiciliary CareDomiciliary care packages</t>
  </si>
  <si>
    <t>Additional contribution towards reablement care costs. This maintains current reablement capacity to help people regain their independence and reduce the need for ongoing care.</t>
  </si>
  <si>
    <t>Birmingham52Technology Enabled CareAssistive Technologies and EquipmentAssistive technologies including telecare</t>
  </si>
  <si>
    <t>Technology Enabled Care</t>
  </si>
  <si>
    <t>This enables the home care market to accommodate the increased volume of care resulting from less care home placements and earlier discharge from acute hospitals. These additional ASC packages of care support people to live in their homes for longer.</t>
  </si>
  <si>
    <t>Blackburn with Darwen2Integrated Offer for CarersCarers ServicesOther</t>
  </si>
  <si>
    <t>Integrated Offer for Carers</t>
  </si>
  <si>
    <t>Blackburn with Darwen3Integrated Locality TeamsAssistive Technologies and EquipmentCommunity based equipment</t>
  </si>
  <si>
    <t>Integrated Locality Teams</t>
  </si>
  <si>
    <t>Personal care packages (contribution) plus inflation</t>
  </si>
  <si>
    <t>Blackburn with Darwen3Integrated Locality TeamsBed based intermediate Care Services (Reablement, rehabilitation, wider short-term services supporting recovery)Bed-based intermediate care with rehabilitation (to support discharge)</t>
  </si>
  <si>
    <t>This pays for an uplift in provider fees and helps to address associated cost pressures, ensuring that we can continue to secure the supply of care. It supports the sustainability of the home care market and workforce, and enables us to work with providers to help them overcome barriers. This maintains provision of hours of care.</t>
  </si>
  <si>
    <t xml:space="preserve">Blackburn with Darwen3Integrated Locality TeamsHome-based intermediate care servicesReablement at home (to support discharge) </t>
  </si>
  <si>
    <t>Blackburn with Darwen4Integrated Intermediate CareBed based intermediate Care Services (Reablement, rehabilitation, wider short-term services supporting recovery)Bed-based intermediate care with rehabilitation (to support discharge)</t>
  </si>
  <si>
    <t>Integrated Intermediate Care</t>
  </si>
  <si>
    <t>West Midlands</t>
  </si>
  <si>
    <t>Birmingham Community Load Equipment Service</t>
  </si>
  <si>
    <t xml:space="preserve">Blackburn with Darwen4Integrated Intermediate CareHome-based intermediate care servicesReablement at home (to support discharge) </t>
  </si>
  <si>
    <t>Early Intervention - Home Care</t>
  </si>
  <si>
    <t>Blackburn with Darwen5Intensive Home Support - Reablement and Crisis Support ServiceBed based intermediate Care Services (Reablement, rehabilitation, wider short-term services supporting recovery)Bed-based intermediate care with rehabilitation (to support discharge)</t>
  </si>
  <si>
    <t>Intensive Home Support - Reablement and Crisis Support Service</t>
  </si>
  <si>
    <t>Staying Independent at Home Service</t>
  </si>
  <si>
    <t xml:space="preserve">Blackburn with Darwen5Intensive Home Support - Reablement and Crisis Support ServiceHome-based intermediate care servicesReablement at home (to support discharge) </t>
  </si>
  <si>
    <t>Wheelchair Services</t>
  </si>
  <si>
    <t>Blackburn with Darwen5Intensive Home Support - Aids and AdaptationsAssistive Technologies and EquipmentCommunity based equipment</t>
  </si>
  <si>
    <t>Intensive Home Support - Aids and Adaptations</t>
  </si>
  <si>
    <t>Intermediate Care Beds</t>
  </si>
  <si>
    <t>Intermediate care beds - all types</t>
  </si>
  <si>
    <t>Blackburn with Darwen5Intensive Home Support - Community EquipmentAssistive Technologies and EquipmentCommunity based equipment</t>
  </si>
  <si>
    <t>Intensive Home Support - Community Equipment</t>
  </si>
  <si>
    <t>Blackburn with Darwen5Intensive Home Support - Walking FrameAssistive Technologies and EquipmentCommunity based equipment</t>
  </si>
  <si>
    <t>Intensive Home Support - Walking Frame</t>
  </si>
  <si>
    <t>Blackburn with Darwen7DFG CapitalDFG Related SchemesAdaptations, including statutory DFG grants</t>
  </si>
  <si>
    <t>DFG Capital</t>
  </si>
  <si>
    <t xml:space="preserve">Residential, Nursing and Supported Living packages </t>
  </si>
  <si>
    <t>Residential placements - all types</t>
  </si>
  <si>
    <t>Blackburn with Darwen11Reducing Pressures in the NHSHome-based intermediate care servicesRehabilitation at home (to support discharge)</t>
  </si>
  <si>
    <t>Reducing Pressures in the NHS</t>
  </si>
  <si>
    <t>Rehabilitation at home (to support discharge)</t>
  </si>
  <si>
    <t>Home Care Packages</t>
  </si>
  <si>
    <t>Blackburn with Darwen11Winter Pressures Home-based intermediate care servicesRehabilitation at home (to support discharge)</t>
  </si>
  <si>
    <t xml:space="preserve">Winter Pressures </t>
  </si>
  <si>
    <t>Blackburn with Darwen12Block Commission care home  beds - EMDResidential PlacementsCare home</t>
  </si>
  <si>
    <t>Block Commission care home  beds - EMD</t>
  </si>
  <si>
    <t>North West</t>
  </si>
  <si>
    <t>Supporting carers through timely advice, guidance and practical support to improve health &amp; wellbeing for all citizens</t>
  </si>
  <si>
    <t>Blackburn with Darwen12Block Commission care home beds ResidentialResidential PlacementsCare home</t>
  </si>
  <si>
    <t>Block Commission care home beds Residential</t>
  </si>
  <si>
    <t>Increase capacity of community based services to deliver care closer to people’s home and provide genuine alternatives to hospital-based care where admission can be appropriately avoided</t>
  </si>
  <si>
    <t>Blackburn with Darwen12Block Commission care home beds - NursingResidential PlacementsNursing home</t>
  </si>
  <si>
    <t>Block Commission care home beds - Nursing</t>
  </si>
  <si>
    <t>Blackburn with Darwen12Additional  Standard Dom Care/Crisis Dom Care/Nights capacityHome Care or Domiciliary CareDomiciliary care to support hospital discharge (Discharge to Assess pathway 1)</t>
  </si>
  <si>
    <t>Additional  Standard Dom Care/Crisis Dom Care/Nights capacity</t>
  </si>
  <si>
    <t>Blackburn with Darwen12Crisis/Planned Night RunHome Care or Domiciliary CareDomiciliary care to support hospital discharge (Discharge to Assess pathway 1)</t>
  </si>
  <si>
    <t>Crisis/Planned Night Run</t>
  </si>
  <si>
    <t>Provide community integrated intermediate care services including step up</t>
  </si>
  <si>
    <t>Blackburn with Darwen12Agency Services at Intermediate Care FacilityBed based intermediate Care Services (Reablement, rehabilitation, wider short-term services supporting recovery)Bed-based intermediate care with rehabilitation (to support discharge)</t>
  </si>
  <si>
    <t>Agency Services at Intermediate Care Facility</t>
  </si>
  <si>
    <t>Blackburn with Darwen12Carers Support -   Emergency support to facilitate discharge eg funds to move a bedroom downstairs/storage facilities/Retainer fees for carers.Carers ServicesCarer advice and support related to Care Act duties</t>
  </si>
  <si>
    <t>Carers Support -   Emergency support to facilitate discharge eg funds to move a bedroom downstairs/storage facilities/Retainer fees for carers.</t>
  </si>
  <si>
    <t>Blackburn with Darwen12Albion Mill - contribution to additional costs of Albion Mill (D2A or opening of further beds)Bed based intermediate Care Services (Reablement, rehabilitation, wider short-term services supporting recovery)Bed-based intermediate care with rehabilitation (to support discharge)</t>
  </si>
  <si>
    <t>Albion Mill - contribution to additional costs of Albion Mill (D2A or opening of further beds)</t>
  </si>
  <si>
    <t>Blackburn with Darwen12D2A - Residential care bed base/care home packagesResidential PlacementsShort term residential care (without rehabilitation or reablement input)</t>
  </si>
  <si>
    <t>D2A - Residential care bed base/care home packages</t>
  </si>
  <si>
    <t>Blackpool1Disabled Facitilites Grant-CapitalDFG Related SchemesAdaptations, including statutory DFG grants</t>
  </si>
  <si>
    <t>Disabled Facitilites Grant-Capital</t>
  </si>
  <si>
    <t>Blackpool3ARC inc Support TeamBed based intermediate Care Services (Reablement, rehabilitation, wider short-term services supporting recovery)Bed-based intermediate care with rehabilitation (to support discharge)</t>
  </si>
  <si>
    <t>ARC inc Support Team</t>
  </si>
  <si>
    <t>Blackpool4Internal HomecareHome Care or Domiciliary CareDomiciliary care packages</t>
  </si>
  <si>
    <t>Internal Homecare</t>
  </si>
  <si>
    <t>Blackpool5VitalineAssistive Technologies and EquipmentAssistive technologies including telecare</t>
  </si>
  <si>
    <t>Vitaline</t>
  </si>
  <si>
    <t>Blackpool6KeatsCarers ServicesRespite services</t>
  </si>
  <si>
    <t>Keats</t>
  </si>
  <si>
    <t>Blackpool8Coopers WayCarers ServicesRespite services</t>
  </si>
  <si>
    <t>Coopers Way</t>
  </si>
  <si>
    <t>Community based service focusing on highest needs patients at risk of a hospital admission or requiring intensive support following a hospital admission</t>
  </si>
  <si>
    <t>Blackpool22Adults EquipmentAssistive Technologies and EquipmentCommunity based equipment</t>
  </si>
  <si>
    <t>Adults Equipment</t>
  </si>
  <si>
    <t>Blackpool35Intermediate Care modelBed based intermediate Care Services (Reablement, rehabilitation, wider short-term services supporting recovery)Bed-based intermediate care with rehabilitation accepting step up and step down users</t>
  </si>
  <si>
    <t>Intermediate Care model</t>
  </si>
  <si>
    <t>Blackpool36Carers support workers/grantsCarers ServicesCarer advice and support related to Care Act duties</t>
  </si>
  <si>
    <t>Carers support workers/grants</t>
  </si>
  <si>
    <t>Blackpool51Additional Homecare HoursHome Care or Domiciliary CareDomiciliary care packages</t>
  </si>
  <si>
    <t>Additional Homecare Hours</t>
  </si>
  <si>
    <t>Blackpool53ARC rehabilitation GP supportBed based intermediate Care Services (Reablement, rehabilitation, wider short-term services supporting recovery)Bed-based intermediate care with rehabilitation (to support discharge)</t>
  </si>
  <si>
    <t>ARC rehabilitation GP support</t>
  </si>
  <si>
    <t>Bolton1Intermediate CareAssistive Technologies and EquipmentAssistive technologies including telecare</t>
  </si>
  <si>
    <t>Bolton1Independent LivingAssistive Technologies and EquipmentCommunity based equipment</t>
  </si>
  <si>
    <t>Independent Living</t>
  </si>
  <si>
    <t>DFG Adaptations</t>
  </si>
  <si>
    <t>Bolton1Independent LivingAssistive Technologies and EquipmentAssistive technologies including telecare</t>
  </si>
  <si>
    <t>Bolton3CarersCarers ServicesRespite services</t>
  </si>
  <si>
    <t>Carers</t>
  </si>
  <si>
    <t>Reducing pressures in the NHS</t>
  </si>
  <si>
    <t>Home First Service</t>
  </si>
  <si>
    <t>Bolton3CarersCarers ServicesCarer advice and support related to Care Act duties</t>
  </si>
  <si>
    <t>Bolton5Independent LivingDFG Related SchemesAdaptations, including statutory DFG grants</t>
  </si>
  <si>
    <t>Bolton11Intermediate CareBed based intermediate Care Services (Reablement, rehabilitation, wider short-term services supporting recovery)Other</t>
  </si>
  <si>
    <t>Timely discharge of patients to improve patient outcomes, patient flow and for managing winter pressures</t>
  </si>
  <si>
    <t>Bolton11Managing Transfers of CareBed based intermediate Care Services (Reablement, rehabilitation, wider short-term services supporting recovery)Bed-based intermediate care with reablement accepting step up and step down users</t>
  </si>
  <si>
    <t>Managing Transfers of Care</t>
  </si>
  <si>
    <t>Bed-based intermediate care with reablement accepting step up and step down users</t>
  </si>
  <si>
    <t xml:space="preserve">Bolton12Intermediate CareHome-based intermediate care servicesReablement at home (to support discharge) </t>
  </si>
  <si>
    <t>Bolton17Stabilising market growth and fee increasesResidential PlacementsCare home</t>
  </si>
  <si>
    <t>Stabilising market growth and fee increases</t>
  </si>
  <si>
    <t>Bolton17Stabilising market growth and fee increasesResidential PlacementsSupported housing</t>
  </si>
  <si>
    <t>Bolton17Stabilising market growth and fee increasesResidential PlacementsLearning disability</t>
  </si>
  <si>
    <t>Bolton19Intermediate CareBed based intermediate Care Services (Reablement, rehabilitation, wider short-term services supporting recovery)Other</t>
  </si>
  <si>
    <t>Bolton17Stabilising Market growth and fee increasesHome Care or Domiciliary CareDomiciliary care packages</t>
  </si>
  <si>
    <t>Stabilising Market growth and fee increases</t>
  </si>
  <si>
    <t>Bolton3mentAl Health Crisis BreaksCarers ServicesRespite services</t>
  </si>
  <si>
    <t>mentAl Health Crisis Breaks</t>
  </si>
  <si>
    <t>Bolton19Intermediate CareBed based intermediate Care Services (Reablement, rehabilitation, wider short-term services supporting recovery)Bed-based intermediate care with rehabilitation (to support discharge)</t>
  </si>
  <si>
    <t>Adaptations to enable independent living</t>
  </si>
  <si>
    <t>Bolton11Dementia DTA BedsBed based intermediate Care Services (Reablement, rehabilitation, wider short-term services supporting recovery)Bed-based intermediate care with rehabilitation (to support discharge)</t>
  </si>
  <si>
    <t>Dementia DTA Beds</t>
  </si>
  <si>
    <t>Residential Reablement Service</t>
  </si>
  <si>
    <t>Bournemouth, Christchurch and Poole6Maintaining IndependenceResidential PlacementsLearning disability</t>
  </si>
  <si>
    <t>Maintaining Independence</t>
  </si>
  <si>
    <t>Domiciliary care to support admission avoidance and support</t>
  </si>
  <si>
    <t>Bournemouth, Christchurch and Poole7Maintaining IndependenceResidential PlacementsCare home</t>
  </si>
  <si>
    <t>Bournemouth, Christchurch and Poole8Maintaining IndependenceHome Care or Domiciliary CareDomiciliary care packages</t>
  </si>
  <si>
    <t>Assistive technology service, including falls response. NWAS triage non injury falls so instead of an ambulance being despatched the falls lifting service is despatched.</t>
  </si>
  <si>
    <t>Bournemouth, Christchurch and Poole11Early supported hospital dischargeResidential PlacementsCare home</t>
  </si>
  <si>
    <t>Early supported hospital discharge</t>
  </si>
  <si>
    <t>Bournemouth, Christchurch and Poole15Early supported hospital dischargeHome-based intermediate care servicesReablement at home (accepting step up and step down users)</t>
  </si>
  <si>
    <t>Day centre providing carer respite and support for people with advanced dementia.</t>
  </si>
  <si>
    <t>Bournemouth, Christchurch and Poole16Early supported hospital dischargeBed based intermediate Care Services (Reablement, rehabilitation, wider short-term services supporting recovery)Bed-based intermediate care with reablement accepting step up and step down users</t>
  </si>
  <si>
    <t>Residential respite service for adults with learning disability</t>
  </si>
  <si>
    <t>Bournemouth, Christchurch and Poole17Early supported hospital dischargeBed based intermediate Care Services (Reablement, rehabilitation, wider short-term services supporting recovery)Bed-based intermediate care with reablement accepting step up and step down users</t>
  </si>
  <si>
    <t>Bournemouth, Christchurch and Poole20CarersCarers ServicesOther</t>
  </si>
  <si>
    <t>Community equipment service to enable independent living</t>
  </si>
  <si>
    <t>Bournemouth, Christchurch and Poole21CarersCarers ServicesOther</t>
  </si>
  <si>
    <t>Step up / step down provision for intermediate care with clinically enhanced beds</t>
  </si>
  <si>
    <t>Bournemouth, Christchurch and Poole28Maintaining IndependenceDFG Related SchemesDiscretionary use of DFG</t>
  </si>
  <si>
    <t>Discretionary use of DFG</t>
  </si>
  <si>
    <t>Targeted support for patients who access primary care regularly</t>
  </si>
  <si>
    <t>Bournemouth, Christchurch and Poole32Maintaining IndependenceResidential PlacementsCare home</t>
  </si>
  <si>
    <t>Bournemouth, Christchurch and Poole33Maintaining IndependenceHome Care or Domiciliary CareDomiciliary care packages</t>
  </si>
  <si>
    <t>Bournemouth, Christchurch and Poole39Early supported hospital dischargeBed based intermediate Care Services (Reablement, rehabilitation, wider short-term services supporting recovery)Bed-based intermediate care with reablement (to support discharge)</t>
  </si>
  <si>
    <t xml:space="preserve">Bournemouth, Christchurch and Poole40Early supported hospital dischargeHome-based intermediate care servicesReablement at home (to support discharge) </t>
  </si>
  <si>
    <t>Bolton at Home</t>
  </si>
  <si>
    <t>Bournemouth, Christchurch and Poole41Early supported hospital dischargeBed based intermediate Care Services (Reablement, rehabilitation, wider short-term services supporting recovery)Bed-based intermediate care with reablement (to support discharge)</t>
  </si>
  <si>
    <t>Community Equipment, Adaptations, Supporting People</t>
  </si>
  <si>
    <t>Bournemouth, Christchurch and Poole47Early supported hospital dischargeBed based intermediate Care Services (Reablement, rehabilitation, wider short-term services supporting recovery)Other</t>
  </si>
  <si>
    <t xml:space="preserve">Bournemouth, Christchurch and Poole49Early supported hospital dischargeHome-based intermediate care servicesReablement at home (to support discharge) </t>
  </si>
  <si>
    <t>Bournemouth, Christchurch and Poole52Early supported hospital dischargeBed based intermediate Care Services (Reablement, rehabilitation, wider short-term services supporting recovery)Bed-based intermediate care with reablement (to support discharge)</t>
  </si>
  <si>
    <t>Bracknell Forest70Care Home Physiotherapy Bed based intermediate Care Services (Reablement, rehabilitation, wider short-term services supporting recovery)Bed-based intermediate care with rehabilitation (to support discharge)</t>
  </si>
  <si>
    <t xml:space="preserve">Care Home Physiotherapy </t>
  </si>
  <si>
    <t>Short term breaks / Respite</t>
  </si>
  <si>
    <t>Bracknell Forest72Assistive Technology grab bags Assistive Technologies and EquipmentAssistive technologies including telecare</t>
  </si>
  <si>
    <t xml:space="preserve">Assistive Technology grab bags </t>
  </si>
  <si>
    <t>Carers Breaks - Voluntary and Direct Payments</t>
  </si>
  <si>
    <t>Bracknell Forest73Complex HomecareHome Care or Domiciliary CareDomiciliary care to support hospital discharge (Discharge to Assess pathway 1)</t>
  </si>
  <si>
    <t>Complex Homecare</t>
  </si>
  <si>
    <t>Carers Breaks- Shared Lives</t>
  </si>
  <si>
    <t>Bracknell Forest75ICS Discharge AssessorBed based intermediate Care Services (Reablement, rehabilitation, wider short-term services supporting recovery)Bed-based intermediate care with reablement (to support discharge)</t>
  </si>
  <si>
    <t>ICS Discharge Assessor</t>
  </si>
  <si>
    <t>Carers Breaks- LD Respite Care</t>
  </si>
  <si>
    <t>Bracknell Forest8Community EquipmentAssistive Technologies and EquipmentCommunity based equipment</t>
  </si>
  <si>
    <t>Bracknell Forest15Farnham Rehab BedsBed based intermediate Care Services (Reablement, rehabilitation, wider short-term services supporting recovery)Bed-based intermediate care with reablement accepting step up and step down users</t>
  </si>
  <si>
    <t>Farnham Rehab Beds</t>
  </si>
  <si>
    <t>Carers Breaks- Voluntary and direct payments</t>
  </si>
  <si>
    <t>Bracknell Forest16St Marks Rehab BedsBed based intermediate Care Services (Reablement, rehabilitation, wider short-term services supporting recovery)Bed-based intermediate care with rehabilitation accepting step up and step down users</t>
  </si>
  <si>
    <t>St Marks Rehab Beds</t>
  </si>
  <si>
    <t>Bracknell Forest21Carers' supportCarers ServicesCarer advice and support related to Care Act duties</t>
  </si>
  <si>
    <t>Carers' support</t>
  </si>
  <si>
    <t>Intermediate Tier</t>
  </si>
  <si>
    <t>Rapid/ Crisis Response</t>
  </si>
  <si>
    <t>Bracknell Forest25Adult Social CareResidential PlacementsOther</t>
  </si>
  <si>
    <t>Adult Social Care</t>
  </si>
  <si>
    <t>Referral and Assessment</t>
  </si>
  <si>
    <t>Rapid / Crisis Response</t>
  </si>
  <si>
    <t>Bracknell Forest27Community EquipmentAssistive Technologies and EquipmentAssistive technologies including telecare</t>
  </si>
  <si>
    <t xml:space="preserve">Bracknell Forest28Intermediate careHome-based intermediate care servicesReablement at home (to support discharge) </t>
  </si>
  <si>
    <t>Intermediate care</t>
  </si>
  <si>
    <t>Community/ Hospital Admissions Avoidance</t>
  </si>
  <si>
    <t>Rapid Crisis Response</t>
  </si>
  <si>
    <t>Bracknell Forest29Increase capacity in domiciliary care markerHome Care or Domiciliary CareDomiciliary care packages</t>
  </si>
  <si>
    <t>Increase capacity in domiciliary care marker</t>
  </si>
  <si>
    <t>Bed Based Service</t>
  </si>
  <si>
    <t>Step up and Step Down</t>
  </si>
  <si>
    <t>Bracknell Forest50Disabled Facilities GrantsDFG Related SchemesAssistive technologies including telecare</t>
  </si>
  <si>
    <t>Disabled Facilities Grants</t>
  </si>
  <si>
    <t>Bed based service</t>
  </si>
  <si>
    <t>BradfordS1PS03Local SchemesAssistive Technologies and EquipmentCommunity based equipment</t>
  </si>
  <si>
    <t>S1PS03</t>
  </si>
  <si>
    <t>Local Schemes</t>
  </si>
  <si>
    <t>Bed based Service</t>
  </si>
  <si>
    <t>Step up and step down</t>
  </si>
  <si>
    <t>BradfordS1PS04Nursing support to care homesResidential PlacementsNursing home</t>
  </si>
  <si>
    <t>S1PS04</t>
  </si>
  <si>
    <t>Nursing support to care homes</t>
  </si>
  <si>
    <t>BradfordS3R02Re-ablement ServicesHome-based intermediate care servicesReablement at home (accepting step up and step down users)</t>
  </si>
  <si>
    <t>S3R02</t>
  </si>
  <si>
    <t>Re-ablement Services</t>
  </si>
  <si>
    <t>Contribution to Care Packages</t>
  </si>
  <si>
    <t>BradfordS3R05Intermediate Care BedsBed based intermediate Care Services (Reablement, rehabilitation, wider short-term services supporting recovery)Bed-based intermediate care with rehabilitation (to support admission avoidance)</t>
  </si>
  <si>
    <t>S3R05</t>
  </si>
  <si>
    <t>Additional Home Based Intermediate Care</t>
  </si>
  <si>
    <t>Bradford9Equipment (part a)Assistive Technologies and EquipmentCommunity based equipment</t>
  </si>
  <si>
    <t>Equipment (part a)</t>
  </si>
  <si>
    <t>Reablement service (Home Support)</t>
  </si>
  <si>
    <t>Bradford10Equipment (part b)Assistive Technologies and EquipmentCommunity based equipment</t>
  </si>
  <si>
    <t>Equipment (part b)</t>
  </si>
  <si>
    <t>Bradford13CarersCarers ServicesCarer advice and support related to Care Act duties</t>
  </si>
  <si>
    <t>Bradford13CarersCarers ServicesRespite services</t>
  </si>
  <si>
    <t>Bradford14Maintaining Social Services (part b)Residential PlacementsCare home</t>
  </si>
  <si>
    <t>Maintaining Social Services (part b)</t>
  </si>
  <si>
    <t>Bradford15Maintaining Social Services (part a)Residential PlacementsNursing home</t>
  </si>
  <si>
    <t>Maintaining Social Services (part a)</t>
  </si>
  <si>
    <t>Bradford16Enablement (part a)Bed based intermediate Care Services (Reablement, rehabilitation, wider short-term services supporting recovery)Bed-based intermediate care with rehabilitation (to support discharge)</t>
  </si>
  <si>
    <t>Enablement (part a)</t>
  </si>
  <si>
    <t xml:space="preserve">Bradford17Enablement (part b)Home-based intermediate care servicesReablement at home (to support discharge) </t>
  </si>
  <si>
    <t>Enablement (part b)</t>
  </si>
  <si>
    <t>Contribution to care packages</t>
  </si>
  <si>
    <t>Bradford18Disabled Facilities GrantDFG Related SchemesAdaptations, including statutory DFG grants</t>
  </si>
  <si>
    <t>Services to clients with complex needs- crisis and short term breaks</t>
  </si>
  <si>
    <t>Bradford15Maintaining Social Services (part a)Residential PlacementsLearning disability</t>
  </si>
  <si>
    <t>Bradford15Maintaining Social Services (part a)Home Care or Domiciliary CareDomiciliary care packages</t>
  </si>
  <si>
    <t>Bradford19Maintaining Social Services (part b)Residential PlacementsNursing home</t>
  </si>
  <si>
    <t>Bradford19Maintaining Social Services (part b)Home Care or Domiciliary CareDomiciliary care packages</t>
  </si>
  <si>
    <t>High cost placements</t>
  </si>
  <si>
    <t>Bradford20Home SupportHome Care or Domiciliary CareDomiciliary care packages</t>
  </si>
  <si>
    <t>Home Support</t>
  </si>
  <si>
    <t>Dementia  Placements</t>
  </si>
  <si>
    <t>Bradford21Pathway 3Bed based intermediate Care Services (Reablement, rehabilitation, wider short-term services supporting recovery)Bed-based intermediate care with reablement (to support discharge)</t>
  </si>
  <si>
    <t>Pathway 3</t>
  </si>
  <si>
    <t>Home care</t>
  </si>
  <si>
    <t xml:space="preserve">Bradford23Reablement ServicesHome-based intermediate care servicesReablement at home (to support discharge) </t>
  </si>
  <si>
    <t>Reablement Services</t>
  </si>
  <si>
    <t>Residential, dementia and mental health placements</t>
  </si>
  <si>
    <t>Brent1Residential and Nursing Care ProvisionResidential PlacementsCare home</t>
  </si>
  <si>
    <t>Residential and Nursing Care Provision</t>
  </si>
  <si>
    <t>Reablement and rehabilitation</t>
  </si>
  <si>
    <t>Brent2Step down bedsResidential PlacementsCare home</t>
  </si>
  <si>
    <t>Step down beds</t>
  </si>
  <si>
    <t xml:space="preserve">Brent3Reablement ServiceHome-based intermediate care servicesReablement at home (to support discharge) </t>
  </si>
  <si>
    <t>Reablement Service</t>
  </si>
  <si>
    <t xml:space="preserve">Brent4Reablement Home Care Packages Home-based intermediate care servicesReablement at home (to support discharge) </t>
  </si>
  <si>
    <t xml:space="preserve">Reablement Home Care Packages </t>
  </si>
  <si>
    <t>Carers support</t>
  </si>
  <si>
    <t>Brent5Additional social workers in the home first teamHigh Impact Change Model for Managing Transfer of CareMulti-Disciplinary/Multi-Agency Discharge Teams supporting discharge</t>
  </si>
  <si>
    <t>Additional social workers in the home first team</t>
  </si>
  <si>
    <t>High Impact Change Model for Managing Transfer of Care</t>
  </si>
  <si>
    <t>Multi-Disciplinary/Multi-Agency Discharge Teams supporting discharge</t>
  </si>
  <si>
    <t>Support to carers various schemes</t>
  </si>
  <si>
    <t>Various schemes including respite</t>
  </si>
  <si>
    <t xml:space="preserve">Brent9Reablement home care packagesHome-based intermediate care servicesReablement at home (to support discharge) </t>
  </si>
  <si>
    <t>Reablement home care packages</t>
  </si>
  <si>
    <t>Housing schemes</t>
  </si>
  <si>
    <t>Brent10Additional social worker and advanced care practitioner for pathway 1 High Impact Change Model for Managing Transfer of CareHome First/Discharge to Assess - process support/core costs</t>
  </si>
  <si>
    <t xml:space="preserve">Additional social worker and advanced care practitioner for pathway 1 </t>
  </si>
  <si>
    <t>Home First/Discharge to Assess - process support/core costs</t>
  </si>
  <si>
    <t>Care home placements</t>
  </si>
  <si>
    <t>Brent13additional wrap round services in persons own homeHome Care or Domiciliary CareDomiciliary care packages</t>
  </si>
  <si>
    <t>additional wrap round services in persons own home</t>
  </si>
  <si>
    <t>Packages of home care</t>
  </si>
  <si>
    <t>Brent14Bed and breakfast X 2  level access roomsHousing Related SchemesReablement to support discharge -step down (Discharge to Assess pathway 1)</t>
  </si>
  <si>
    <t>Bed and breakfast X 2  level access rooms</t>
  </si>
  <si>
    <t>Housing Related Schemes</t>
  </si>
  <si>
    <t>Reablement to support discharge -step down (Discharge to Assess pathway 1)</t>
  </si>
  <si>
    <t>Hospital to home</t>
  </si>
  <si>
    <t>Brent15Carers serviceCarers ServicesRespite services</t>
  </si>
  <si>
    <t>Carers service</t>
  </si>
  <si>
    <t>reablement</t>
  </si>
  <si>
    <t>Brent16Positive behavioural management in care homes.High Impact Change Model for Managing Transfer of CareMulti-Disciplinary/Multi-Agency Discharge Teams supporting discharge</t>
  </si>
  <si>
    <t>Positive behavioural management in care homes.</t>
  </si>
  <si>
    <t>Brent18Additional social worker for rehab beds.High Impact Change Model for Managing Transfer of CareMulti-Disciplinary/Multi-Agency Discharge Teams supporting discharge</t>
  </si>
  <si>
    <t>Additional social worker for rehab beds.</t>
  </si>
  <si>
    <t>residential beds</t>
  </si>
  <si>
    <t>Brent21Care home and home care recruitment and retention campaign - awards ceremonyEnablers for IntegrationWorkforce development</t>
  </si>
  <si>
    <t>Care home and home care recruitment and retention campaign - awards ceremony</t>
  </si>
  <si>
    <t>Enablers for Integration</t>
  </si>
  <si>
    <t>Workforce development</t>
  </si>
  <si>
    <t>Brent24x3 occupational therapist in access teamHigh Impact Change Model for Managing Transfer of CareMulti-Disciplinary/Multi-Agency Discharge Teams supporting discharge</t>
  </si>
  <si>
    <t>x3 occupational therapist in access team</t>
  </si>
  <si>
    <t>Brent26x1 social worker rapid response teamHigh Impact Change Model for Managing Transfer of CareHome First/Discharge to Assess - process support/core costs</t>
  </si>
  <si>
    <t>x1 social worker rapid response team</t>
  </si>
  <si>
    <t>South East</t>
  </si>
  <si>
    <t>To provide physiotherapy and reablement to people returning to a care home placement following hospital discharge.
To support activity leads in the care homes with appropriate exercise
Proposal to extend for 9 months, reviewing the pilot and then seeking recurrent funding through the BCF</t>
  </si>
  <si>
    <t>Brent281 housing officer inpt MH unitHigh Impact Change Model for Managing Transfer of CareEarly Discharge Planning</t>
  </si>
  <si>
    <t>1 housing officer inpt MH unit</t>
  </si>
  <si>
    <t>Early Discharge Planning</t>
  </si>
  <si>
    <t>To provide people with monitoring equipment at the point of hospital discharge
Improve patients’ confidence on discharge from hospital.
Supports with Bracknell Forest Council’s pursuit for an improved technology first approach.</t>
  </si>
  <si>
    <t>Brent38Spot purchasing of Nursing care bedsResidential PlacementsCare home</t>
  </si>
  <si>
    <t>Spot purchasing of Nursing care beds</t>
  </si>
  <si>
    <t>To provide complex packages of homecare to ensure and support hospital discharge
Supports swifter discharges from the acutes with a quick step up of complex packages of home care.
POCs have been sourced and started within 24hrs which helps to speed up discharge as they are not having to wait for a residential or nursing home assessment.</t>
  </si>
  <si>
    <t>Brent39Home CareHome Care or Domiciliary CareDomiciliary care packages</t>
  </si>
  <si>
    <t>Home Care</t>
  </si>
  <si>
    <t>To support discharge from bed-based intermediate care with reablement.
Supported the care home physiotherapy scheme to help people back to care homes</t>
  </si>
  <si>
    <t>Brent43Disability facilities grantDFG Related SchemesDiscretionary use of DFG</t>
  </si>
  <si>
    <t>Disability facilities grant</t>
  </si>
  <si>
    <t>CCG equipment - joint funded contract for community equipment (Wberks contract)</t>
  </si>
  <si>
    <t>Brent44Community Based SchemesCommunity Based SchemesMultidisciplinary teams that are supporting independence, such as anticipatory care</t>
  </si>
  <si>
    <t>Community Based Schemes</t>
  </si>
  <si>
    <t>Multidisciplinary teams that are supporting independence, such as anticipatory care</t>
  </si>
  <si>
    <t>Rehab beds at Farnham Hospital (BFC)</t>
  </si>
  <si>
    <t>Brent46Community Based SchemesCommunity Based SchemesMultidisciplinary teams that are supporting independence, such as anticipatory care</t>
  </si>
  <si>
    <t>Inpatient rehabilitation at St Marks and Upton hospitals - BHFT Contract</t>
  </si>
  <si>
    <t>Brent47ICCS - Integrated Care Co-Ordinators ServiceCommunity Based SchemesIntegrated neighbourhood services</t>
  </si>
  <si>
    <t>ICCS - Integrated Care Co-Ordinators Service</t>
  </si>
  <si>
    <t>Integrated neighbourhood services</t>
  </si>
  <si>
    <t>BF carers support contract; DP to carers</t>
  </si>
  <si>
    <t>Brent49Integrated Rehab and Reablement Community Based SchemesMultidisciplinary teams that are supporting independence, such as anticipatory care</t>
  </si>
  <si>
    <t xml:space="preserve">Integrated Rehab and Reablement </t>
  </si>
  <si>
    <t>Improved Better Care Fund</t>
  </si>
  <si>
    <t>General support for the Adult Social Care budget</t>
  </si>
  <si>
    <t>Brent50Tissue ViabilityCommunity Based SchemesMultidisciplinary teams that are supporting independence, such as anticipatory care</t>
  </si>
  <si>
    <t>Tissue Viability</t>
  </si>
  <si>
    <t>LA equipment - joint funded contract for community equipment; Sensory Needs equipment; OT / other adaptions</t>
  </si>
  <si>
    <t>Brent53Community EquipmentAssistive Technologies and EquipmentCommunity based equipment</t>
  </si>
  <si>
    <t>6 week reablement at home service</t>
  </si>
  <si>
    <t>Brent58Urgent Response Service (extending night-time care and support provision)Home Care or Domiciliary CareDomiciliary care packages</t>
  </si>
  <si>
    <t>Urgent Response Service (extending night-time care and support provision)</t>
  </si>
  <si>
    <t>EICS Band 4 posts</t>
  </si>
  <si>
    <t>Brent5924 Hours care packages for Complex Care PatientsHome Care or Domiciliary CareDomiciliary care packages</t>
  </si>
  <si>
    <t>24 Hours care packages for Complex Care Patients</t>
  </si>
  <si>
    <t>Home care packages</t>
  </si>
  <si>
    <t>Brent63Short-Term Step-Down Beds(6 Months)Bed based intermediate Care Services (Reablement, rehabilitation, wider short-term services supporting recovery)Bed-based intermediate care with reablement accepting step up and step down users</t>
  </si>
  <si>
    <t>Short-Term Step-Down Beds(6 Months)</t>
  </si>
  <si>
    <t>Adaptations</t>
  </si>
  <si>
    <t>Brent65Wrap Around Care Packages for patients with Dementia in community Home Care or Domiciliary CareDomiciliary care packages</t>
  </si>
  <si>
    <t xml:space="preserve">Wrap Around Care Packages for patients with Dementia in community </t>
  </si>
  <si>
    <t>Brent66Community EquipmentAssistive Technologies and EquipmentAssistive technologies including telecare</t>
  </si>
  <si>
    <t>Primary care and community based services</t>
  </si>
  <si>
    <t>Brent67Community Based SchemesResidential PlacementsSupported housing</t>
  </si>
  <si>
    <t xml:space="preserve">Brent71Intermediate Care ServicesHome-based intermediate care servicesReablement at home (to support discharge) </t>
  </si>
  <si>
    <t>Support to patients in own home to improve confidence and ability to live as independently as possible</t>
  </si>
  <si>
    <t>Brent72Step down bedsBed based intermediate Care Services (Reablement, rehabilitation, wider short-term services supporting recovery)Bed-based intermediate care with rehabilitation (to support discharge)</t>
  </si>
  <si>
    <t>Short-term intervention to preserve the independence of people who might otherwise face unnecessarily prolonged hospital stays or avoidable admission to hospital or residential care.</t>
  </si>
  <si>
    <t>Brent77Community EquipmentAssistive Technologies and EquipmentAssistive technologies including telecare</t>
  </si>
  <si>
    <t>Equipment to facilitate hospital discharge and maintain independence</t>
  </si>
  <si>
    <t>Brighton and Hove5Discharge to Assess CapacityBed based intermediate Care Services (Reablement, rehabilitation, wider short-term services supporting recovery)Bed-based intermediate care with rehabilitation (to support discharge)</t>
  </si>
  <si>
    <t>Discharge to Assess Capacity</t>
  </si>
  <si>
    <t>Brighton and Hove6Hospital DischargeBed based intermediate Care Services (Reablement, rehabilitation, wider short-term services supporting recovery)Other</t>
  </si>
  <si>
    <t>Support to Carers</t>
  </si>
  <si>
    <t>Brighton and Hove7Home First/Urgent Home Care Service (Coastal)Home Care or Domiciliary CareDomiciliary care packages</t>
  </si>
  <si>
    <t>Home First/Urgent Home Care Service (Coastal)</t>
  </si>
  <si>
    <t>Support to Carers - Time Out Service</t>
  </si>
  <si>
    <t>Brighton and Hove8Urgent Home Care Service (Coastal)Home Care or Domiciliary CareDomiciliary care packages</t>
  </si>
  <si>
    <t>Urgent Home Care Service (Coastal)</t>
  </si>
  <si>
    <t>Working in partnership with Local Authority to maintain and support social services</t>
  </si>
  <si>
    <t>Brighton and Hove10Lindridge beds - Medical CoverBed based intermediate Care Services (Reablement, rehabilitation, wider short-term services supporting recovery)Bed-based intermediate care with rehabilitation (to support discharge)</t>
  </si>
  <si>
    <t>Lindridge beds - Medical Cover</t>
  </si>
  <si>
    <t>Brighton and Hove14Protection for Social Care (Capital grants)DFG Related SchemesDiscretionary use of DFG</t>
  </si>
  <si>
    <t>Protection for Social Care (Capital grants)</t>
  </si>
  <si>
    <t>in-house enablement service delivering support in own home to improve confidence and ability to live as independently as possible</t>
  </si>
  <si>
    <t>Brighton and Hove15Disabled facilities grant (Capital grants)DFG Related SchemesAdaptations, including statutory DFG grants</t>
  </si>
  <si>
    <t>Disabled facilities grant (Capital grants)</t>
  </si>
  <si>
    <t>Brighton and Hove16Telecare and Telehealth (Capital grants)Assistive Technologies and EquipmentAssistive technologies including telecare</t>
  </si>
  <si>
    <t>Telecare and Telehealth (Capital grants)</t>
  </si>
  <si>
    <t>Brighton and Hove18Additional Telecare and Telehealth resourceAssistive Technologies and EquipmentAssistive technologies including telecare</t>
  </si>
  <si>
    <t>Additional Telecare and Telehealth resource</t>
  </si>
  <si>
    <t>Brighton and Hove21Community Equipment Service Assistive Technologies and EquipmentCommunity based equipment</t>
  </si>
  <si>
    <t xml:space="preserve">Community Equipment Service </t>
  </si>
  <si>
    <t>Adaptations via the Disabled Facilities Grant</t>
  </si>
  <si>
    <t>Brighton and Hove22Community Equipment Service Assistive Technologies and EquipmentCommunity based equipment</t>
  </si>
  <si>
    <t>Brighton and Hove24Amaze – Carers Card DevelopmentCarers ServicesOther</t>
  </si>
  <si>
    <t>Amaze – Carers Card Development</t>
  </si>
  <si>
    <t>Brighton and Hove25Crossroads – Carers Support Children and AdultsCarers ServicesCarer advice and support related to Care Act duties</t>
  </si>
  <si>
    <t>Crossroads – Carers Support Children and Adults</t>
  </si>
  <si>
    <t>Brighton and Hove26Hospital Carers Support – IPCT Carers Support ServiceCarers ServicesCarer advice and support related to Care Act duties</t>
  </si>
  <si>
    <t>Hospital Carers Support – IPCT Carers Support Service</t>
  </si>
  <si>
    <t>Brighton and Hove27Carers Support Service -  Integrated Primary Care Team (ASC Staff)Carers ServicesCarer advice and support related to Care Act duties</t>
  </si>
  <si>
    <t>Carers Support Service -  Integrated Primary Care Team (ASC Staff)</t>
  </si>
  <si>
    <t xml:space="preserve">Additional spend on Home Care services  to enable timely discharge from hospital </t>
  </si>
  <si>
    <t>Brighton and Hove28Carers (other)Carers ServicesOther</t>
  </si>
  <si>
    <t>Carers (other)</t>
  </si>
  <si>
    <t>To fund short term nursing beds for nursing care to enable hospital discharge and rebalement to home</t>
  </si>
  <si>
    <t>Brighton and Hove29Carers (other)Carers ServicesOther</t>
  </si>
  <si>
    <t>To support investment in the reablement service which supports with timely discharge</t>
  </si>
  <si>
    <t>Brighton and Hove30Carers HubCarers ServicesCarer advice and support related to Care Act duties</t>
  </si>
  <si>
    <t>Carers Hub</t>
  </si>
  <si>
    <t>Spot provision of residential and Nursing care placements</t>
  </si>
  <si>
    <t>Brighton and Hove31Carers HubCarers ServicesCarer advice and support related to Care Act duties</t>
  </si>
  <si>
    <t>Spot nursing and residential beds in care home</t>
  </si>
  <si>
    <t>Brighton and Hove43Discharge to Assess Capacity in Mental HealthBed based intermediate Care Services (Reablement, rehabilitation, wider short-term services supporting recovery)Bed-based intermediate care with rehabilitation (to support discharge)</t>
  </si>
  <si>
    <t>Discharge to Assess Capacity in Mental Health</t>
  </si>
  <si>
    <t>Funding for staff and reablement services</t>
  </si>
  <si>
    <t>Brighton and Hove46VNGBed based intermediate Care Services (Reablement, rehabilitation, wider short-term services supporting recovery)Bed-based intermediate care with rehabilitation (to support discharge)</t>
  </si>
  <si>
    <t>VNG</t>
  </si>
  <si>
    <t>Provision of Reablement Packages at home</t>
  </si>
  <si>
    <t>Brighton and Hove47Bariatric Bed ProvisionBed based intermediate Care Services (Reablement, rehabilitation, wider short-term services supporting recovery)Bed-based intermediate care with rehabilitation (to support discharge)</t>
  </si>
  <si>
    <t>Bariatric Bed Provision</t>
  </si>
  <si>
    <t>Additional capacity to manage increased flow into home first pathway</t>
  </si>
  <si>
    <t>Brighton and Hove48Additional beds Bed based intermediate Care Services (Reablement, rehabilitation, wider short-term services supporting recovery)Bed-based intermediate care with rehabilitation (to support discharge)</t>
  </si>
  <si>
    <t xml:space="preserve">Additional beds </t>
  </si>
  <si>
    <t>Brighton and Hove50Homecare / Spot PurchaseHome Care or Domiciliary CareDomiciliary care packages</t>
  </si>
  <si>
    <t>Homecare / Spot Purchase</t>
  </si>
  <si>
    <t>Ensuring flow of home first - non-complex patients.</t>
  </si>
  <si>
    <t xml:space="preserve">Bristol, City of4Intermediate Care Home-based intermediate care servicesJoint reablement and rehabilitation service (to support discharge) </t>
  </si>
  <si>
    <t xml:space="preserve">Intermediate Care </t>
  </si>
  <si>
    <t xml:space="preserve">Joint reablement and rehabilitation service (to support discharge) </t>
  </si>
  <si>
    <t>additonal support, including night care to support person in their own home</t>
  </si>
  <si>
    <t xml:space="preserve">Bristol, City of5Intermediate Care Home-based intermediate care servicesJoint reablement and rehabilitation service (to support discharge) </t>
  </si>
  <si>
    <t>Ensuring the flow of homeless patients with low level needs</t>
  </si>
  <si>
    <t>Bristol, City of9CarersCarers ServicesRespite services</t>
  </si>
  <si>
    <t>Brent gateway service to support carers</t>
  </si>
  <si>
    <t>Bristol, City of10CarersCarers ServicesRespite services</t>
  </si>
  <si>
    <t>Service to support people with dementia in care homes to reduce NEL and support discharges.</t>
  </si>
  <si>
    <t>Bristol, City of11Core investment in Tier 3 servicesHome Care or Domiciliary CareDomiciliary care packages</t>
  </si>
  <si>
    <t>Core investment in Tier 3 services</t>
  </si>
  <si>
    <t xml:space="preserve">Support with additional capacity to suport  patient flow in rehab beds and deliver 7 day working in line with NWL requirements </t>
  </si>
  <si>
    <t>Bristol, City of12Core investment in Tier 3 servicesHome Care or Domiciliary CareDomiciliary care packages</t>
  </si>
  <si>
    <t>Comms, publicity and awards spend</t>
  </si>
  <si>
    <t>16 categories, 130 applications, 270 people attended</t>
  </si>
  <si>
    <t>Bristol, City of17Community EquipmentAssistive Technologies and EquipmentCommunity based equipment</t>
  </si>
  <si>
    <t>Ensuring swift provision of community equipment, aids and adaptations, prevention in health decline and mobility admission avoidance and carer support</t>
  </si>
  <si>
    <t>Bristol, City of18Community EquipmentAssistive Technologies and EquipmentCommunity based equipment</t>
  </si>
  <si>
    <t>support RR team in admission avoidance</t>
  </si>
  <si>
    <t>Bristol, City of19DFGDFG Related SchemesAdaptations, including statutory DFG grants</t>
  </si>
  <si>
    <t>support patients in inpt MH unit to facilitate early discharge</t>
  </si>
  <si>
    <t>Bristol, City of20Brunel Care - Dementia Step up bedsBed based intermediate Care Services (Reablement, rehabilitation, wider short-term services supporting recovery)Bed-based intermediate care with rehabilitation (to support discharge)</t>
  </si>
  <si>
    <t>Brunel Care - Dementia Step up beds</t>
  </si>
  <si>
    <t>Nursing Home Placement</t>
  </si>
  <si>
    <t>Bristol, City of39Investment in Home Care/Capacity/System FlowHome Care or Domiciliary CareDomiciliary care packages</t>
  </si>
  <si>
    <t>Investment in Home Care/Capacity/System Flow</t>
  </si>
  <si>
    <t>Provision of home care packages</t>
  </si>
  <si>
    <t>Bristol, City of40Assistive TechnologyAssistive Technologies and EquipmentCommunity based equipment</t>
  </si>
  <si>
    <t>Assistive Technology</t>
  </si>
  <si>
    <t xml:space="preserve">Provision of an integrated universal access service to support home adaptations. Budget is pooled with other grants to provide this service. </t>
  </si>
  <si>
    <t>Bristol, City of43Increased investment in mobile workingAssistive Technologies and EquipmentAssistive technologies including telecare</t>
  </si>
  <si>
    <t>Increased investment in mobile working</t>
  </si>
  <si>
    <t xml:space="preserve">Community rapid response service and falls </t>
  </si>
  <si>
    <t>Bristol, City of44Improving Capacity in Care HomesResidential PlacementsCare home</t>
  </si>
  <si>
    <t>Improving Capacity in Care Homes</t>
  </si>
  <si>
    <t>Additional funding for Home care Packages</t>
  </si>
  <si>
    <t>Bristol, City of47Intermediate Care/Step DownBed based intermediate Care Services (Reablement, rehabilitation, wider short-term services supporting recovery)Bed-based intermediate care with reablement (to support discharge)</t>
  </si>
  <si>
    <t>Intermediate Care/Step Down</t>
  </si>
  <si>
    <t xml:space="preserve">Providing integrated care support with care coordinators </t>
  </si>
  <si>
    <t>Bristol, City of49Additional capacity in Residential or Nursing Care HomesResidential PlacementsCare home</t>
  </si>
  <si>
    <t>Additional capacity in Residential or Nursing Care Homes</t>
  </si>
  <si>
    <t>Supporting patient flow from discharge</t>
  </si>
  <si>
    <t>Bristol, City of50Dedicated discharge teams embedded in domiciliary providersHome Care or Domiciliary CareDomiciliary care workforce development</t>
  </si>
  <si>
    <t>Dedicated discharge teams embedded in domiciliary providers</t>
  </si>
  <si>
    <t>Domiciliary care workforce development</t>
  </si>
  <si>
    <t xml:space="preserve">Supporting patients with issua Viablity </t>
  </si>
  <si>
    <t>Bristol, City of51Additional domiciliary care packagesHome Care or Domiciliary CareDomiciliary care packages</t>
  </si>
  <si>
    <t>Additional domiciliary care packages</t>
  </si>
  <si>
    <t xml:space="preserve">Services supporting safe discharges and enabling residents live at home independently
</t>
  </si>
  <si>
    <t>Bristol, City of53Innovation grant to build homecare capacityHome Care or Domiciliary CareDomiciliary care workforce development</t>
  </si>
  <si>
    <t>Innovation grant to build homecare capacity</t>
  </si>
  <si>
    <t>Bristol, City of54Community EquipmentAssistive Technologies and EquipmentCommunity based equipment</t>
  </si>
  <si>
    <t>Bristol, City of59Discharge Fund Home-based intermediate care servicesReablement at home (to prevent admission to hospital or residential care)</t>
  </si>
  <si>
    <t xml:space="preserve">Discharge Fund </t>
  </si>
  <si>
    <t>The step down beds are used to support discharges from hospital for patients with delirium, NWB pathway, awaiting blitz clean etc</t>
  </si>
  <si>
    <t>Bristol, City of60Discharge Fund Home Care or Domiciliary CareDomiciliary care packages</t>
  </si>
  <si>
    <t>Bristol, City of64Discharge Bed Capacity - ReablementBed based intermediate Care Services (Reablement, rehabilitation, wider short-term services supporting recovery)Bed-based intermediate care with reablement (to support admissions avoidance)</t>
  </si>
  <si>
    <t>Discharge Bed Capacity - Reablement</t>
  </si>
  <si>
    <t>Bristol, City of65Discharge Bed Capacity - ReablementBed based intermediate Care Services (Reablement, rehabilitation, wider short-term services supporting recovery)Bed-based intermediate care with reablement (to support admissions avoidance)</t>
  </si>
  <si>
    <t>Bristol, City of67Therapy Bed supportBed based intermediate Care Services (Reablement, rehabilitation, wider short-term services supporting recovery)Bed-based intermediate care with reablement (to support discharge)</t>
  </si>
  <si>
    <t>Therapy Bed support</t>
  </si>
  <si>
    <t>Provision of reablement packages at home</t>
  </si>
  <si>
    <t>Bristol, City of69Discharge Bed Capacity - ReablementBed based intermediate Care Services (Reablement, rehabilitation, wider short-term services supporting recovery)Bed-based intermediate care with reablement (to support discharge)</t>
  </si>
  <si>
    <t>Bromley6EquipmentAssistive Technologies and EquipmentOther</t>
  </si>
  <si>
    <t xml:space="preserve">Brent Counselling </t>
  </si>
  <si>
    <t>Bromley9EquipmentAssistive Technologies and EquipmentCommunity based equipment</t>
  </si>
  <si>
    <t>D2A Beds</t>
  </si>
  <si>
    <t>Bromley10Dom CareHome Care or Domiciliary CareDomiciliary care packages</t>
  </si>
  <si>
    <t>Dom Care</t>
  </si>
  <si>
    <t>Facilitating discharge options to improve system flow</t>
  </si>
  <si>
    <t>Residential</t>
  </si>
  <si>
    <t>Bromley11PlacementsResidential PlacementsLearning disability</t>
  </si>
  <si>
    <t>Placements</t>
  </si>
  <si>
    <t>Discharge options</t>
  </si>
  <si>
    <t>Bromley12D2A PlacementsHome-based intermediate care servicesRehabilitation at home (to prevent admission to hospital or residential care)</t>
  </si>
  <si>
    <t>D2A Placements</t>
  </si>
  <si>
    <t>Bromley14DFGDFG Related SchemesAdaptations, including statutory DFG grants</t>
  </si>
  <si>
    <t>Facilitating discharge options to improve flow</t>
  </si>
  <si>
    <t>Bromley17Assistive TechnologyAssistive Technologies and EquipmentOther</t>
  </si>
  <si>
    <t>Range of ASC services which support health and care pathways</t>
  </si>
  <si>
    <t>Bromley20Assistive TechnologyAssistive Technologies and EquipmentCommunity based equipment</t>
  </si>
  <si>
    <t>Funding for adjustments to support independent living, discharges and reablement</t>
  </si>
  <si>
    <t>Bromley24Improving Healthcare service to Care Home Care or Domiciliary CareDomiciliary care packages</t>
  </si>
  <si>
    <t xml:space="preserve">Improving Healthcare service to Care </t>
  </si>
  <si>
    <t>Use of technology to support independent living, managing long term conditions and reablement</t>
  </si>
  <si>
    <t>Bromley29Support for carersCarers ServicesRespite services</t>
  </si>
  <si>
    <t>Support for carers</t>
  </si>
  <si>
    <t>Bromley30ReablementHome-based intermediate care servicesRehabilitation at home (to support discharge)</t>
  </si>
  <si>
    <t>Housing support services</t>
  </si>
  <si>
    <t xml:space="preserve">Bromley31ReablementHome-based intermediate care servicesReablement at home (to support discharge) </t>
  </si>
  <si>
    <t>Facilitating supported discharge to improve system flow</t>
  </si>
  <si>
    <t>Bromley44Enhanced Care Home Care or Domiciliary CareDomiciliary care to support hospital discharge (Discharge to Assess pathway 1)</t>
  </si>
  <si>
    <t xml:space="preserve">Enhanced Care </t>
  </si>
  <si>
    <t xml:space="preserve">Building community capacity </t>
  </si>
  <si>
    <t>Carers Support Card</t>
  </si>
  <si>
    <t>Bromley45Discharge to Assess BedsResidential PlacementsNursing home</t>
  </si>
  <si>
    <t>Discharge to Assess Beds</t>
  </si>
  <si>
    <t>Bromley46EquipmentAssistive Technologies and EquipmentOther</t>
  </si>
  <si>
    <t>Involvement of carers to facilitate supported discharge to improve system flow</t>
  </si>
  <si>
    <t>Bromley49ECHResidential PlacementsSupported housing</t>
  </si>
  <si>
    <t>ECH</t>
  </si>
  <si>
    <t>Buckinghamshire2Assistive TechnologyAssistive Technologies and EquipmentAssistive technologies including telecare</t>
  </si>
  <si>
    <t>Carers support budgets</t>
  </si>
  <si>
    <t>Buckinghamshire4Integrated Carers ServiceCarers ServicesCarer advice and support related to Care Act duties</t>
  </si>
  <si>
    <t>Integrated Carers Service</t>
  </si>
  <si>
    <t>Buckinghamshire6BC Home Independence TeamHome-based intermediate care servicesReablement at home (to prevent admission to hospital or residential care)</t>
  </si>
  <si>
    <t>BC Home Independence Team</t>
  </si>
  <si>
    <t>Buckinghamshire9LA Additional Placement Pressures Home Care or Domiciliary CareDomiciliary care packages</t>
  </si>
  <si>
    <t xml:space="preserve">LA Additional Placement Pressures </t>
  </si>
  <si>
    <t>Buckinghamshire10LA Additional Placement Pressures Residential PlacementsNursing home</t>
  </si>
  <si>
    <t>Buckinghamshire11NRS - Bucks Integrated Sensory Service EquipmentAssistive Technologies and EquipmentCommunity based equipment</t>
  </si>
  <si>
    <t>NRS - Bucks Integrated Sensory Service Equipment</t>
  </si>
  <si>
    <t>Intermeidiate care</t>
  </si>
  <si>
    <t>Buckinghamshire20Disabled Facilities GrantDFG Related SchemesAdaptations, including statutory DFG grants</t>
  </si>
  <si>
    <t>Buckinghamshire21Healthy Homes on PrescriptionDFG Related SchemesDiscretionary use of DFG</t>
  </si>
  <si>
    <t>Healthy Homes on Prescription</t>
  </si>
  <si>
    <t>Buckinghamshire23Residential PlacementsResidential PlacementsCare home</t>
  </si>
  <si>
    <t>Additional Homecare capcity</t>
  </si>
  <si>
    <t>Buckinghamshire24Home or domiciliary care and live in careHome Care or Domiciliary CareDomiciliary care packages</t>
  </si>
  <si>
    <t>Home or domiciliary care and live in care</t>
  </si>
  <si>
    <t>Intermediate care within Bristol includes a range of services that Bristol City Council's Health and Social Care Team provides in partnership with Sirona and includes rapid response, communit rehabilitation and reablement, residential centres and hospital based teams</t>
  </si>
  <si>
    <t xml:space="preserve">Metrics currently in development </t>
  </si>
  <si>
    <t>Buckinghamshire26RespiteCarers ServicesRespite services</t>
  </si>
  <si>
    <t>Respite</t>
  </si>
  <si>
    <t>Buckinghamshire27Admission Avoidance Beds Bed based intermediate Care Services (Reablement, rehabilitation, wider short-term services supporting recovery)Other</t>
  </si>
  <si>
    <t xml:space="preserve">Admission Avoidance Beds </t>
  </si>
  <si>
    <t xml:space="preserve">The Integrated Carers Team provides one off payments and on-going payments to carers in Bristol. The service aims to prevent those looking after vulnerable or sick people at home missing out on help and support to which they are entitled. Investment in Bristol currently supports some 1200+ carers together with a team.  </t>
  </si>
  <si>
    <t>Buckinghamshire28Nursing PlacementsResidential PlacementsNursing home</t>
  </si>
  <si>
    <t>Nursing Placements</t>
  </si>
  <si>
    <t>Buckinghamshire29Supported LivingResidential PlacementsSupported housing</t>
  </si>
  <si>
    <t>The aim for the new contractual arrangements for home care is that all service users will receive a quality home care service that is appropriate to their needs, wishes and preferences. This will support them to live the lifestyle they want thus preventing deterioration, maximising their independence and reducing the need for funded health and social care services</t>
  </si>
  <si>
    <t>Buckinghamshire37Care Home Discharge Hub -Intermediate Care BedsBed based intermediate Care Services (Reablement, rehabilitation, wider short-term services supporting recovery)Bed-based intermediate care with rehabilitation (to support discharge)</t>
  </si>
  <si>
    <t>Care Home Discharge Hub -Intermediate Care Beds</t>
  </si>
  <si>
    <t>Buckinghamshire39Home First - Home CareHome Care or Domiciliary CareDomiciliary care to support hospital discharge (Discharge to Assess pathway 1)</t>
  </si>
  <si>
    <t>Home First - Home Care</t>
  </si>
  <si>
    <t>The Integrated Community Equipment Service (ICES) provides equipment for people with health and social care needs to enable them to return to or stay in their homes. Equipment provided includes beds, seating, moving and handling aids, mobility and toileting aids. The service does not provide wheelchairs or orthotics.</t>
  </si>
  <si>
    <t>Bury2Integrated Intermediate CareBed based intermediate Care Services (Reablement, rehabilitation, wider short-term services supporting recovery)Bed-based intermediate care with reablement accepting step up and step down users</t>
  </si>
  <si>
    <t>Bury3Reablement ServiceHome-based intermediate care servicesRehabilitation at home (accepting step up and step down users)</t>
  </si>
  <si>
    <t>Rehabilitation at home (accepting step up and step down users)</t>
  </si>
  <si>
    <t>Accessible Homes (AH) provide a citywide service to assess the needs and to provide solutions for disabled people of all ages in all housing tenures to give the client greater independence and facilitate caring arrangements. Assessment recommendations' can include the provision of equipment, adaptations, rehousing, advice and/or information. Accessible Homes assess, approve and assist disabled clients and/or their carers install aids and adaptations funded through the DFG programme</t>
  </si>
  <si>
    <t>Bury10Protection of Social CareHome Care or Domiciliary CareDomiciliary care packages</t>
  </si>
  <si>
    <t>Dementia reablement support</t>
  </si>
  <si>
    <t>Bury11Protection of Social CareResidential PlacementsCare home</t>
  </si>
  <si>
    <t>Investment in home care market to secure capacity</t>
  </si>
  <si>
    <t>Bury12Protection of Social CareResidential PlacementsNursing home</t>
  </si>
  <si>
    <t>Investment and development of enhanced offer around assistive technology for service users</t>
  </si>
  <si>
    <t>Bury13Protection of Social CareResidential PlacementsSupported housing</t>
  </si>
  <si>
    <t>Investment in mobile technology for social care staff</t>
  </si>
  <si>
    <t>Bury14Assistive Technologies and EquipmentAssistive Technologies and EquipmentAssistive technologies including telecare</t>
  </si>
  <si>
    <t>Securing capacity in the care home market to improve DTOC's</t>
  </si>
  <si>
    <t>Bury15IBCF Building Resilience and Enabling Systems Home Care or Domiciliary CareDomiciliary care packages</t>
  </si>
  <si>
    <t xml:space="preserve">IBCF Building Resilience and Enabling Systems </t>
  </si>
  <si>
    <t>ProvidIng capacity in reablement service and bed base to support service users into the most appropriate care setting</t>
  </si>
  <si>
    <t>Bury18Disabled Facilities GrantDFG Related SchemesAdaptations, including statutory DFG grants</t>
  </si>
  <si>
    <t>maintaining care home capacity</t>
  </si>
  <si>
    <t>Bury19Nursing Discharge to Assess BedsBed based intermediate Care Services (Reablement, rehabilitation, wider short-term services supporting recovery)Bed-based intermediate care with rehabilitation (to support discharge)</t>
  </si>
  <si>
    <t>Nursing Discharge to Assess Beds</t>
  </si>
  <si>
    <t>creating a virtual home care team to source homecare capacity</t>
  </si>
  <si>
    <t>Bury20Step Down Nursing BedsBed based intermediate Care Services (Reablement, rehabilitation, wider short-term services supporting recovery)Bed-based intermediate care with rehabilitation (to support discharge)</t>
  </si>
  <si>
    <t>Step Down Nursing Beds</t>
  </si>
  <si>
    <t xml:space="preserve">maintaining and investing in homecare capacity </t>
  </si>
  <si>
    <t>Bury25Additional G&amp;A bedsBed based intermediate Care Services (Reablement, rehabilitation, wider short-term services supporting recovery)Bed-based intermediate care with rehabilitation (to support discharge)</t>
  </si>
  <si>
    <t>Additional G&amp;A beds</t>
  </si>
  <si>
    <t>Supprting innovation and transformation in the homecare sector through the provision of grants to providers</t>
  </si>
  <si>
    <t xml:space="preserve">Bury28Crisis Response CommunityHome-based intermediate care servicesJoint reablement and rehabilitation service (to support discharge) </t>
  </si>
  <si>
    <t>Crisis Response Community</t>
  </si>
  <si>
    <t>The Integrated Community Equipment Service (ICES) provides equipment for people with health and social care needs to enable them to return to or stay in their homes. Equipment provided includes beds, seating, moving and handling aids, mobility and toileting aids. The service does not provide wheelchairs or orthotics</t>
  </si>
  <si>
    <t>Calderdale2Self-Care Assistive Technology for Independent Living (S1PO3)Assistive Technologies and EquipmentAssistive technologies including telecare</t>
  </si>
  <si>
    <t>Self-Care Assistive Technology for Independent Living (S1PO3)</t>
  </si>
  <si>
    <t>Dom Care &amp; Reablement</t>
  </si>
  <si>
    <t>Calderdale5Carers OfferCarers ServicesRespite services</t>
  </si>
  <si>
    <t>Carers Offer</t>
  </si>
  <si>
    <t>Calderdale6Community Equipment (including the Loan Store)Assistive Technologies and EquipmentCommunity based equipment</t>
  </si>
  <si>
    <t>Community Equipment (including the Loan Store)</t>
  </si>
  <si>
    <t>P2/P3 Bed ICB Brokerage &amp; Nursing Support</t>
  </si>
  <si>
    <t>Calderdale7Community Equipment (including the Loan Store)Assistive Technologies and EquipmentCommunity based equipment</t>
  </si>
  <si>
    <t>P2/P3 Bed Provision</t>
  </si>
  <si>
    <t>Calderdale8Home Improvement AgencyDFG Related SchemesAdaptations, including statutory DFG grants</t>
  </si>
  <si>
    <t>Home Improvement Agency</t>
  </si>
  <si>
    <t>P2/P3 Bed Therapy Support</t>
  </si>
  <si>
    <t>Calderdale9Handyperson Prevention SchemeDFG Related SchemesHandyperson services</t>
  </si>
  <si>
    <t>Handyperson Prevention Scheme</t>
  </si>
  <si>
    <t>Handyperson services</t>
  </si>
  <si>
    <t>P2/P3 Bed Provision - Redfield</t>
  </si>
  <si>
    <t>Calderdale10Disabled facilities grant (DFG)  for adaptations  S2P07DFG Related SchemesAdaptations, including statutory DFG grants</t>
  </si>
  <si>
    <t>Disabled facilities grant (DFG)  for adaptations  S2P07</t>
  </si>
  <si>
    <t>to fund additional requests for equipment to support discharge</t>
  </si>
  <si>
    <t>Number of devices</t>
  </si>
  <si>
    <t>equipment</t>
  </si>
  <si>
    <t>Joint</t>
  </si>
  <si>
    <t>Calderdale15Residential Transitional Beds (S4P01)Bed based intermediate Care Services (Reablement, rehabilitation, wider short-term services supporting recovery)Bed-based intermediate care with rehabilitation accepting step up and step down users</t>
  </si>
  <si>
    <t>Residential Transitional Beds (S4P01)</t>
  </si>
  <si>
    <t>Calderdale16Intermediate Care Community Beds (S4P02)Bed based intermediate Care Services (Reablement, rehabilitation, wider short-term services supporting recovery)Bed-based intermediate care with rehabilitation accepting step up and step down users</t>
  </si>
  <si>
    <t>Intermediate Care Community Beds (S4P02)</t>
  </si>
  <si>
    <t xml:space="preserve">Dom Care Packages </t>
  </si>
  <si>
    <t>Calderdale17Intermediate Supported Care (Heatherstones Reablement Unit) (S4P03)Bed based intermediate Care Services (Reablement, rehabilitation, wider short-term services supporting recovery)Bed-based intermediate care with reablement (to support discharge)</t>
  </si>
  <si>
    <t>Intermediate Supported Care (Heatherstones Reablement Unit) (S4P03)</t>
  </si>
  <si>
    <t>Learning Disability Placements</t>
  </si>
  <si>
    <t>Calderdale19Reablement &amp; Coordinated Support at Home (S4PO5)Home Care or Domiciliary CareDomiciliary care packages</t>
  </si>
  <si>
    <t>Reablement &amp; Coordinated Support at Home (S4PO5)</t>
  </si>
  <si>
    <t>Discharge to Assess Pathway</t>
  </si>
  <si>
    <t xml:space="preserve">Discharge from Hospital with Reablement </t>
  </si>
  <si>
    <t>Calderdale21Rapid Response (S4PO7)Home Care or Domiciliary CareDomiciliary care packages</t>
  </si>
  <si>
    <t>Rapid Response (S4PO7)</t>
  </si>
  <si>
    <t>Calderdale34Increased Home Care Capacity (2C)Home Care or Domiciliary CareDomiciliary care packages</t>
  </si>
  <si>
    <t>Increased Home Care Capacity (2C)</t>
  </si>
  <si>
    <t>Care Planning and Navigation</t>
  </si>
  <si>
    <t xml:space="preserve">Care Navigation and Planning </t>
  </si>
  <si>
    <t>Voluntary Sector</t>
  </si>
  <si>
    <t>Calderdale35Out of Hours Home Support (2B)Home Care or Domiciliary CareDomiciliary care packages</t>
  </si>
  <si>
    <t>Out of Hours Home Support (2B)</t>
  </si>
  <si>
    <t>Calderdale40D2A Contribution to Nursing Placements (S4P09)Residential PlacementsNursing home</t>
  </si>
  <si>
    <t>D2A Contribution to Nursing Placements (S4P09)</t>
  </si>
  <si>
    <t>Calderdale50Community Loan Store Equipment to facilitate discharge from hospitalAssistive Technologies and EquipmentCommunity based equipment</t>
  </si>
  <si>
    <t>Community Loan Store Equipment to facilitate discharge from hospital</t>
  </si>
  <si>
    <t>carers support</t>
  </si>
  <si>
    <t>Calderdale51Self-Care Assistive Technology for dischargeAssistive Technologies and EquipmentAssistive technologies including telecare</t>
  </si>
  <si>
    <t>Self-Care Assistive Technology for discharge</t>
  </si>
  <si>
    <t>Reablement Support</t>
  </si>
  <si>
    <t>Calderdale52Increased Home Care CapacityHome Care or Domiciliary CareDomiciliary care to support hospital discharge (Discharge to Assess pathway 1)</t>
  </si>
  <si>
    <t>Increased Home Care Capacity</t>
  </si>
  <si>
    <t>Calderdale53Residential bed capacityResidential PlacementsCare home</t>
  </si>
  <si>
    <t>Residential bed capacity</t>
  </si>
  <si>
    <t>Live in and enhanced care and MDT to support a ful Home First Offer</t>
  </si>
  <si>
    <t>Cambridgeshire1Promoting IndependenceAssistive Technologies and EquipmentAssistive technologies including telecare</t>
  </si>
  <si>
    <t>Promoting Independence</t>
  </si>
  <si>
    <t>3 nursing home beds for complex clients supported by the enhanced care MDT and Dementia Support Team offer</t>
  </si>
  <si>
    <t>Cambridgeshire2Intermediate Care and ReablementBed based intermediate Care Services (Reablement, rehabilitation, wider short-term services supporting recovery)Bed-based intermediate care with rehabilitation (to support discharge)</t>
  </si>
  <si>
    <t>Intermediate Care and Reablement</t>
  </si>
  <si>
    <t>community equipment</t>
  </si>
  <si>
    <t>Cambridgeshire4Carers SupportCarers ServicesOther</t>
  </si>
  <si>
    <t>Carers Support</t>
  </si>
  <si>
    <t>3X ech , AT enabled step down flats to support hospital discharge</t>
  </si>
  <si>
    <t>Cambridgeshire5Community HealthHome-based intermediate care servicesRehabilitation at home (accepting step up and step down users)</t>
  </si>
  <si>
    <t xml:space="preserve">Provision of 'end to end' Technology Enabled Care service (including assessment, equipment, monitoring and response) </t>
  </si>
  <si>
    <t>Cambridgeshire6Discharge to AssessBed based intermediate Care Services (Reablement, rehabilitation, wider short-term services supporting recovery)Bed-based intermediate care with reablement accepting step up and step down users</t>
  </si>
  <si>
    <t>Discharge to Assess</t>
  </si>
  <si>
    <t>Integrated Carers service offering advice and support</t>
  </si>
  <si>
    <t>Cambridgeshire7Community EquipmentAssistive Technologies and EquipmentCommunity based equipment</t>
  </si>
  <si>
    <t>Supports the delivery of reablement services - This is the Buckinghamshire Council provision only</t>
  </si>
  <si>
    <t>Cambridgeshire8Community EquipmentAssistive Technologies and EquipmentCommunity based equipment</t>
  </si>
  <si>
    <t>To fund additional placements pressures  - NB reduction of beneficiaries in 24-25 due to anticipated increase in fees</t>
  </si>
  <si>
    <t>Cambridgeshire14Support of DischargeHome Care or Domiciliary CareDomiciliary care to support hospital discharge (Discharge to Assess pathway 1)</t>
  </si>
  <si>
    <t>Support of Discharge</t>
  </si>
  <si>
    <t>To fund additional placements pressures   - NB reduction of beneficiaries in 24-25 due to anticipated increase in fees</t>
  </si>
  <si>
    <t>Cambridgeshire18Intermediate Care and ReablementHome-based intermediate care servicesReablement at home (accepting step up and step down users)</t>
  </si>
  <si>
    <t xml:space="preserve">An integrated service for individuals with hearing, sight or dual sensory loss, including holistic assessment at home, information and advice and equipment to meet needs. </t>
  </si>
  <si>
    <t>Cambridgeshire19Carers SupportCarers ServicesCarer advice and support related to Care Act duties</t>
  </si>
  <si>
    <t>Mandatory capital grant for home adaptions to support older and vulnerable people to live independently at home for as long as possible.</t>
  </si>
  <si>
    <t>Cambridgeshire24Disabled Facilities GrantDFG Related SchemesAdaptations, including statutory DFG grants</t>
  </si>
  <si>
    <t xml:space="preserve">Funds essential works to address health and safety hazards in homes, to enable hospital discharge or prevent emergency hospital admission/repeated GP visits. </t>
  </si>
  <si>
    <t>Cambridgeshire27Protection of Adult Social CareResidential PlacementsCare home</t>
  </si>
  <si>
    <t>Protection of Adult Social Care</t>
  </si>
  <si>
    <t xml:space="preserve">Additional capacity to support ASC pressures </t>
  </si>
  <si>
    <t xml:space="preserve">Cambridgeshire28ReablementHome-based intermediate care servicesReablement at home (to support discharge) </t>
  </si>
  <si>
    <t>Cambridgeshire29Domiciliary CareHome Care or Domiciliary CareDomiciliary care to support hospital discharge (Discharge to Assess pathway 1)</t>
  </si>
  <si>
    <t>Domiciliary Care</t>
  </si>
  <si>
    <t>Respite to support people with adult social care needs and their families and carers</t>
  </si>
  <si>
    <t>Cambridgeshire30Protection of Adult Social Care - Uplift Residential PlacementsNursing home</t>
  </si>
  <si>
    <t xml:space="preserve">Protection of Adult Social Care - Uplift </t>
  </si>
  <si>
    <t xml:space="preserve">Spot purchased care home beds for social care admission avoidance </t>
  </si>
  <si>
    <t>Admission Avoidance</t>
  </si>
  <si>
    <t xml:space="preserve">Cambridgeshire42Reablement and occupational therapy capacityHome-based intermediate care servicesReablement at home (to support discharge) </t>
  </si>
  <si>
    <t>Reablement and occupational therapy capacity</t>
  </si>
  <si>
    <t>Additional capacity to support ASC pressures - NB reduction of beneficiaries in 24-25 due to anticipated increase in fees</t>
  </si>
  <si>
    <t>Cambridgeshire44Community equipmentAssistive Technologies and EquipmentAssistive technologies including telecare</t>
  </si>
  <si>
    <t>Community equipment</t>
  </si>
  <si>
    <t>Camden14Community Care Support PackagesHome Care or Domiciliary CareDomiciliary care packages</t>
  </si>
  <si>
    <t>Community Care Support Packages</t>
  </si>
  <si>
    <t xml:space="preserve">Care home hubs providing intermediate bedded care with attached MDT support </t>
  </si>
  <si>
    <t>Camden39Integrated Community Equipment ServiceAssistive Technologies and EquipmentCommunity based equipment</t>
  </si>
  <si>
    <t>Intermediate home care to support timely discharge from hospital</t>
  </si>
  <si>
    <t xml:space="preserve">Camden59Reablement - HomecareHome-based intermediate care servicesReablement at home (to support discharge) </t>
  </si>
  <si>
    <t>Reablement - Homecare</t>
  </si>
  <si>
    <t>Short Term adult rehabilitation and reablement support</t>
  </si>
  <si>
    <t>Camden2Assistive Technology - CarelineAssistive Technologies and EquipmentAssistive technologies including telecare</t>
  </si>
  <si>
    <t>Assistive Technology - Careline</t>
  </si>
  <si>
    <t>Camden16Crisis HouseBed based intermediate Care Services (Reablement, rehabilitation, wider short-term services supporting recovery)Other</t>
  </si>
  <si>
    <t>Crisis House</t>
  </si>
  <si>
    <t>Protection of Adult Social Care Services to enable continued whole system flow</t>
  </si>
  <si>
    <t>Camden69Wheelchair ServiceAssistive Technologies and EquipmentOther</t>
  </si>
  <si>
    <t>Camden61Rehabilitation Service - CarelinkHome-based intermediate care servicesRehabilitation at home (to support discharge)</t>
  </si>
  <si>
    <t>Rehabilitation Service - Carelink</t>
  </si>
  <si>
    <t>Camden10Carers BreaksCarers ServicesRespite services</t>
  </si>
  <si>
    <t>Carers Breaks</t>
  </si>
  <si>
    <t>Camden9Carer Support - Information and AdviceCarers ServicesCarer advice and support related to Care Act duties</t>
  </si>
  <si>
    <t>Carer Support - Information and Advice</t>
  </si>
  <si>
    <t>Carelink 24 hr telephone link and technology to provide a home safety and personal safety security system that enables people to remain at home for longer</t>
  </si>
  <si>
    <t>Camden58Reablement - Flats (housing cost)Bed based intermediate Care Services (Reablement, rehabilitation, wider short-term services supporting recovery)Bed-based intermediate care with reablement (to support discharge)</t>
  </si>
  <si>
    <t>Reablement - Flats (housing cost)</t>
  </si>
  <si>
    <t>Camden34Home Improvement ServiceDFG Related SchemesHandyperson services</t>
  </si>
  <si>
    <t>Home Improvement Service</t>
  </si>
  <si>
    <t>Meeting the costs of adapting homes to enable people to stay independent in their own homes</t>
  </si>
  <si>
    <t>Camden23Disabled Facilities Grant (DFG)DFG Related SchemesAdaptations, including statutory DFG grants</t>
  </si>
  <si>
    <t>Disabled Facilities Grant (DFG)</t>
  </si>
  <si>
    <t xml:space="preserve">8 Nursing D2A beds </t>
  </si>
  <si>
    <t>Camden35HomecareHome Care or Domiciliary CareDomiciliary care packages</t>
  </si>
  <si>
    <t>Homecare</t>
  </si>
  <si>
    <t>8 step down beds to support those people in hospital with the most complex dementia needs, to have their long term needs assessed in a non hospital setting</t>
  </si>
  <si>
    <t>Camden56Rapid access to support for unpaid carersCarers ServicesOther</t>
  </si>
  <si>
    <t>Rapid access to support for unpaid carers</t>
  </si>
  <si>
    <t>Additional IMC beds</t>
  </si>
  <si>
    <t>Persona LATCO - Teckal agreement</t>
  </si>
  <si>
    <t>Camden62Residential and Nursing CareResidential PlacementsNursing home</t>
  </si>
  <si>
    <t>Residential and Nursing Care</t>
  </si>
  <si>
    <t>A rapid community response team providing short term, intensive, holistic support for people at risk of hospitalisation</t>
  </si>
  <si>
    <t>Camden39Integrated Community Equipment Service (ICES) (Council)Assistive Technologies and EquipmentCommunity based equipment</t>
  </si>
  <si>
    <t>Integrated Community Equipment Service (ICES) (Council)</t>
  </si>
  <si>
    <t>Provision of telecare to support early intervention and independence</t>
  </si>
  <si>
    <t>Camden30Extra CareResidential PlacementsExtra care</t>
  </si>
  <si>
    <t>Extra Care</t>
  </si>
  <si>
    <t>Scheme is to provide carers with information and advice, including specialist support.</t>
  </si>
  <si>
    <t>Camden59Reablement - HomecareHome-based intermediate care servicesReablement at home (to prevent admission to hospital or residential care)</t>
  </si>
  <si>
    <t>Community equipment loan store services</t>
  </si>
  <si>
    <t xml:space="preserve">Camden61Rehabilitation Service - CarelinkHome-based intermediate care servicesReablement at home (to support discharge) </t>
  </si>
  <si>
    <t>Camden19D2A Plan (P1)Home Care or Domiciliary CareDomiciliary care to support hospital discharge (Discharge to Assess pathway 1)</t>
  </si>
  <si>
    <t>D2A Plan (P1)</t>
  </si>
  <si>
    <t>Scheme provides assistance with adaptations or relocation</t>
  </si>
  <si>
    <t xml:space="preserve">Central Bedfordshire5Reablement (Protecting Social Care) - NHS fundedHome-based intermediate care servicesReablement at home (to support discharge) </t>
  </si>
  <si>
    <t>Reablement (Protecting Social Care) - NHS funded</t>
  </si>
  <si>
    <t>Minor works and small repairs carried out to prevent hospital admission (eg falls) and facilitate discharge from hospital.</t>
  </si>
  <si>
    <t xml:space="preserve">Central Bedfordshire6Reablement (Protecting Social Care) - LA funding top upHome-based intermediate care servicesReablement at home (to support discharge) </t>
  </si>
  <si>
    <t>Reablement (Protecting Social Care) - LA funding top up</t>
  </si>
  <si>
    <t>Major adaptations including lifting equipment and stairlifts.</t>
  </si>
  <si>
    <t>Central Bedfordshire7Access to community beds (Step up/Step Down)Bed based intermediate Care Services (Reablement, rehabilitation, wider short-term services supporting recovery)Bed-based intermediate care with reablement accepting step up and step down users</t>
  </si>
  <si>
    <t>Access to community beds (Step up/Step Down)</t>
  </si>
  <si>
    <t>Provision of transitional beds for convalescance and recovery.</t>
  </si>
  <si>
    <t>Central Bedfordshire11Care home speciaist equipment (DFG)Assistive Technologies and EquipmentCommunity based equipment</t>
  </si>
  <si>
    <t>Care home speciaist equipment (DFG)</t>
  </si>
  <si>
    <t>Provision of intermediate care beds in the community to facilitate intensive rehabilitation before returning to usual place of residence.</t>
  </si>
  <si>
    <t>Central Bedfordshire12Community Equipment ServiceAssistive Technologies and EquipmentCommunity based equipment</t>
  </si>
  <si>
    <t>Community Equipment Service</t>
  </si>
  <si>
    <t>Provision to support rehabilitation and recovery to enable people to return home.</t>
  </si>
  <si>
    <t>Central Bedfordshire13Self care management (Telecare)Assistive Technologies and EquipmentAssistive technologies including telecare</t>
  </si>
  <si>
    <t>Self care management (Telecare)</t>
  </si>
  <si>
    <t xml:space="preserve">Reablement and Co-ordinated Support at Home to reduce non-elective admissions </t>
  </si>
  <si>
    <t>Central Bedfordshire16Carers Support (CiB Dementia)Carers ServicesCarer advice and support related to Care Act duties</t>
  </si>
  <si>
    <t>Carers Support (CiB Dementia)</t>
  </si>
  <si>
    <t>Provision of care packages</t>
  </si>
  <si>
    <t>Central Bedfordshire17Carers Support (CiB)Carers ServicesCarer advice and support related to Care Act duties</t>
  </si>
  <si>
    <t>Increase number of home care packages to meet increasing demand</t>
  </si>
  <si>
    <t>Central Bedfordshire19Rehabilitation (ELFT Contracts)Home-based intermediate care servicesRehabilitation at home (accepting step up and step down users)</t>
  </si>
  <si>
    <t>Rehabilitation (ELFT Contracts)</t>
  </si>
  <si>
    <t>Out of hours domiciliary care</t>
  </si>
  <si>
    <t>Central Bedfordshire21DFG and Minor WorksDFG Related SchemesDiscretionary use of DFG</t>
  </si>
  <si>
    <t>DFG and Minor Works</t>
  </si>
  <si>
    <t>Support additional nursing care placements in care homes to facilitate discharge</t>
  </si>
  <si>
    <t>Central Bedfordshire35DFGs and Minor WorksDFG Related SchemesDiscretionary use of DFG</t>
  </si>
  <si>
    <t>DFGs and Minor Works</t>
  </si>
  <si>
    <t>Provision of equipment to facilitate reablement in person's own home to support "Home First" model.</t>
  </si>
  <si>
    <t>Central Bedfordshire36Domiciliary Care DigitisationAssistive Technologies and EquipmentDigital participation services</t>
  </si>
  <si>
    <t>Domiciliary Care Digitisation</t>
  </si>
  <si>
    <t xml:space="preserve">Issue of telecare equipment and telecare monitoring to facilitate discharge from hospital. </t>
  </si>
  <si>
    <t>Central Bedfordshire37Technology Enabled CareAssistive Technologies and EquipmentAssistive technologies including telecare</t>
  </si>
  <si>
    <t>Increase number of home care packages to meet increasing demand supports timely discharges, allowing people to return home as part of "Home First" model</t>
  </si>
  <si>
    <t>Central Bedfordshire38Mobilise Digital Support for CarersAssistive Technologies and EquipmentDigital participation services</t>
  </si>
  <si>
    <t>Mobilise Digital Support for Carers</t>
  </si>
  <si>
    <t xml:space="preserve">Increasing residential bed capacity and to reduce provider failure. </t>
  </si>
  <si>
    <t>Central Bedfordshire46CCG Commissioned BedsBed based intermediate Care Services (Reablement, rehabilitation, wider short-term services supporting recovery)Bed-based intermediate care with rehabilitation (to support discharge)</t>
  </si>
  <si>
    <t>CCG Commissioned Beds</t>
  </si>
  <si>
    <t>Assistive Technologies &amp; Environmental Controls</t>
  </si>
  <si>
    <t>Central Bedfordshire60Domicilary Care ELFTHome Care or Domiciliary CareDomiciliary care to support hospital discharge (Discharge to Assess pathway 1)</t>
  </si>
  <si>
    <t>Domicilary Care ELFT</t>
  </si>
  <si>
    <t>Intermediate Care Beds
Step down (discharge to assess pathway-2)</t>
  </si>
  <si>
    <t>Central Bedfordshire72Carers Support (CiB)Carers ServicesOther</t>
  </si>
  <si>
    <t>Carers Prescription service and help at home / home support</t>
  </si>
  <si>
    <t>Central Bedfordshire74Telemedicine - Complex Health CareAssistive Technologies and EquipmentAssistive technologies including telecare</t>
  </si>
  <si>
    <t>Telemedicine - Complex Health Care</t>
  </si>
  <si>
    <t>Intermediare care workers at home/2 hour crisis response</t>
  </si>
  <si>
    <t>Central Bedfordshire75Community EquipmentAssistive Technologies and EquipmentCommunity based equipment</t>
  </si>
  <si>
    <t>Community beds to support D2A</t>
  </si>
  <si>
    <t>Cheshire East3Assistive Technology &amp; Gantry Hoists to reduce double handling care packagesAssistive Technologies and EquipmentAssistive technologies including telecare</t>
  </si>
  <si>
    <t>Assistive Technology &amp; Gantry Hoists to reduce double handling care packages</t>
  </si>
  <si>
    <t>Integrated Community Equipment Store</t>
  </si>
  <si>
    <t>Cheshire East4Care at Home Investment IncreaseHome Care or Domiciliary CareDomiciliary care packages</t>
  </si>
  <si>
    <t>Care at Home Investment Increase</t>
  </si>
  <si>
    <t>Cheshire East5Carers Payments to facilitate rapid dischargeCarers ServicesCarer advice and support related to Care Act duties</t>
  </si>
  <si>
    <t>Carers Payments to facilitate rapid discharge</t>
  </si>
  <si>
    <t>volunteer visits to support patients/carers on discharge</t>
  </si>
  <si>
    <t>Cheshire East7Hospice Beds (East Cheshire Hospice).  (Winter Support - Oct 2023 to Mar 2024)Residential PlacementsShort term residential care (without rehabilitation or reablement input)</t>
  </si>
  <si>
    <t>Hospice Beds (East Cheshire Hospice).  (Winter Support - Oct 2023 to Mar 2024)</t>
  </si>
  <si>
    <t>Cheshire East9Increase General Nursing Assistant Capacity care at home via CCICPHome-based intermediate care servicesRehabilitation at home (to support discharge)</t>
  </si>
  <si>
    <t>Increase General Nursing Assistant Capacity care at home via CCICP</t>
  </si>
  <si>
    <t>Cheshire East10Mental Health Reablement – Rapid Response ServiceHome-based intermediate care servicesRehabilitation at home (accepting step up and step down users)</t>
  </si>
  <si>
    <t>Mental Health Reablement – Rapid Response Service</t>
  </si>
  <si>
    <t>Cheshire East13iBCF Block booked bedsResidential PlacementsShort term residential care (without rehabilitation or reablement input)</t>
  </si>
  <si>
    <t>iBCF Block booked beds</t>
  </si>
  <si>
    <t>Care Placement spend</t>
  </si>
  <si>
    <t>Cheshire East14iBCF Care at home hospital retainer Home Care or Domiciliary CareDomiciliary care to support hospital discharge (Discharge to Assess pathway 1)</t>
  </si>
  <si>
    <t xml:space="preserve">iBCF Care at home hospital retainer </t>
  </si>
  <si>
    <t>Additional reablement capacity to support discharge</t>
  </si>
  <si>
    <t>Cheshire East15iBCF Rapid responseHome Care or Domiciliary CareDomiciliary care to support hospital discharge (Discharge to Assess pathway 1)</t>
  </si>
  <si>
    <t>iBCF Rapid response</t>
  </si>
  <si>
    <t>Discharge car capacity</t>
  </si>
  <si>
    <t>Cheshire East19iBCF General Nursing Assistant (within BCF Early Discharge scheme (with BRC)Home-based intermediate care servicesRehabilitation at home (to support discharge)</t>
  </si>
  <si>
    <t>iBCF General Nursing Assistant (within BCF Early Discharge scheme (with BRC)</t>
  </si>
  <si>
    <t>Care Placement Spend</t>
  </si>
  <si>
    <t>Cheshire East21BCF Disabled Facilities Grant DFG Related SchemesAdaptations, including statutory DFG grants</t>
  </si>
  <si>
    <t xml:space="preserve">BCF Disabled Facilities Grant </t>
  </si>
  <si>
    <t>additional capacity to support discharge flow</t>
  </si>
  <si>
    <t>Cheshire East22BCF Assistive technology Assistive Technologies and EquipmentAssistive technologies including telecare</t>
  </si>
  <si>
    <t xml:space="preserve">BCF Assistive technology </t>
  </si>
  <si>
    <t>Additional equipment and TEC support for discharge</t>
  </si>
  <si>
    <t xml:space="preserve">Cheshire East24BCF Combined Reablement service Home-based intermediate care servicesJoint reablement and rehabilitation service (to support discharge) </t>
  </si>
  <si>
    <t xml:space="preserve">BCF Combined Reablement service </t>
  </si>
  <si>
    <t>Contribution to delivery of care &amp; support packages across adult social care</t>
  </si>
  <si>
    <t>Cheshire East26BCF Carers hub Carers ServicesCarer advice and support related to Care Act duties</t>
  </si>
  <si>
    <t xml:space="preserve">BCF Carers hub </t>
  </si>
  <si>
    <t>Loan of a range of equipment enabling independence at home and reablement in the community following hospital discharge.</t>
  </si>
  <si>
    <t>Cheshire East28BCF Winter schemes ICB  Bed based intermediate Care Services (Reablement, rehabilitation, wider short-term services supporting recovery)Bed-based intermediate care with rehabilitation accepting step up and step down users</t>
  </si>
  <si>
    <t xml:space="preserve">BCF Winter schemes ICB  </t>
  </si>
  <si>
    <t>Investment in reablement packages to meet increased demand on discharge.</t>
  </si>
  <si>
    <t>Cheshire East31BCF Carers hub Carers ServicesCarer advice and support related to Care Act duties</t>
  </si>
  <si>
    <t>Funding for emergency response team and range of preventative assistive tecnologies and telecare equipment.</t>
  </si>
  <si>
    <t>Cheshire East32BCF Community Equipment service Assistive Technologies and EquipmentCommunity based equipment</t>
  </si>
  <si>
    <t xml:space="preserve">BCF Community Equipment service </t>
  </si>
  <si>
    <t>Crisis Mental Health accommodation provided as an alternative to hospital admission.</t>
  </si>
  <si>
    <t>Cheshire East33BCF Community Equipment service Assistive Technologies and EquipmentCommunity based equipment</t>
  </si>
  <si>
    <t>Providing attendant propelled wheelchairs with a fast track response to support discharge.</t>
  </si>
  <si>
    <t xml:space="preserve">Wheelchair Serve </t>
  </si>
  <si>
    <t>Cheshire East35Spot purchase beds and cluster modelBed based intermediate Care Services (Reablement, rehabilitation, wider short-term services supporting recovery)Bed-based intermediate care with rehabilitation (to support discharge)</t>
  </si>
  <si>
    <t>Spot purchase beds and cluster model</t>
  </si>
  <si>
    <t>Structured rehabilitation programme with referrals through Integrated Primary Care, Community and Rapid Response Teams.</t>
  </si>
  <si>
    <t>Cheshire West and Chester1Support to Carers Carers ServicesRespite services</t>
  </si>
  <si>
    <t xml:space="preserve">Support to Carers </t>
  </si>
  <si>
    <t>Assesment and support for carers, including access to personal budgets for carers.</t>
  </si>
  <si>
    <t>Cheshire West and Chester4Home FirstHome Care or Domiciliary CareDomiciliary care packages</t>
  </si>
  <si>
    <t>Home First</t>
  </si>
  <si>
    <t>A range of services offered to support carers and the people they care for.</t>
  </si>
  <si>
    <t>Cheshire West and Chester4Home FirstAssistive Technologies and EquipmentAssistive technologies including telecare</t>
  </si>
  <si>
    <t>Henderson Court care packages and rental costs for up to 13 reablement flats.</t>
  </si>
  <si>
    <t>Cheshire West and Chester4Home FirstDFG Related SchemesAdaptations, including statutory DFG grants</t>
  </si>
  <si>
    <t>Preventing hospital admissions and delayed discharges/ enabling residents to stay safely in their homes with the provision of major adaptations and handyperson work.</t>
  </si>
  <si>
    <t>Cheshire West and Chester4Home FirstAssistive Technologies and EquipmentCommunity based equipment</t>
  </si>
  <si>
    <t>Delivery of the DFG Programme by officers within the Housing Support Services directorate, in collaboration with occupational therapy.</t>
  </si>
  <si>
    <t xml:space="preserve">Cheshire West and Chester4Home FirstHome-based intermediate care servicesReablement at home (to support discharge) </t>
  </si>
  <si>
    <t>Enabling choice to residents to receive support to be safe, as independent  for as long as possible and to have a good quality of life in thier own home</t>
  </si>
  <si>
    <t>Cheshire West and Chester4Home FirstBed based intermediate Care Services (Reablement, rehabilitation, wider short-term services supporting recovery)Bed-based intermediate care with rehabilitation (to support discharge)</t>
  </si>
  <si>
    <t>Carer's assessments</t>
  </si>
  <si>
    <t>Cheshire West and Chester4Home FirstHome-based intermediate care servicesRehabilitation at home (accepting step up and step down users)</t>
  </si>
  <si>
    <t>Cheshire West and Chester4Home FirstBed based intermediate Care Services (Reablement, rehabilitation, wider short-term services supporting recovery)Bed-based intermediate care with reablement accepting step up and step down users</t>
  </si>
  <si>
    <t>Contribution to nursing block contracts to support discharge in and adjacent to Camden.</t>
  </si>
  <si>
    <t>City of London2CoL-Carers’ support  Carers ServicesOther</t>
  </si>
  <si>
    <t xml:space="preserve">CoL-Carers’ support  </t>
  </si>
  <si>
    <t>City of London3Brokerage pilot (one-year)Residential PlacementsOther</t>
  </si>
  <si>
    <t>Brokerage pilot (one-year)</t>
  </si>
  <si>
    <t>Contribution to increased extra care staffing costs to reduce care home admissions.</t>
  </si>
  <si>
    <t>City of London5Disabled Facilities GrantDFG Related SchemesAdaptations, including statutory DFG grants</t>
  </si>
  <si>
    <t>Cornwall &amp; Scilly1C1. Carers (Council Element)Carers ServicesOther</t>
  </si>
  <si>
    <t>C1. Carers (Council Element)</t>
  </si>
  <si>
    <t>Cornwall &amp; Scilly2C1. Carers (ICB Element)Carers ServicesOther</t>
  </si>
  <si>
    <t>C1. Carers (ICB Element)</t>
  </si>
  <si>
    <t>Cornwall &amp; Scilly4C2B. IC Home Based (Steps)Home-based intermediate care servicesReablement at home (accepting step up and step down users)</t>
  </si>
  <si>
    <t>C2B. IC Home Based (Steps)</t>
  </si>
  <si>
    <t>Home based reablement service, supported by therapy staff</t>
  </si>
  <si>
    <t xml:space="preserve">Cornwall &amp; Scilly7C2B. IC Home Based (Home First - EIS &amp; GSW's)Home-based intermediate care servicesReablement at home (to support discharge) </t>
  </si>
  <si>
    <t>C2B. IC Home Based (Home First - EIS &amp; GSW's)</t>
  </si>
  <si>
    <t>Cornwall &amp; Scilly9Intermediate Care Beds (Community Hospitals)Bed based intermediate Care Services (Reablement, rehabilitation, wider short-term services supporting recovery)Bed-based intermediate care with rehabilitation (to support discharge)</t>
  </si>
  <si>
    <t>Intermediate Care Beds (Community Hospitals)</t>
  </si>
  <si>
    <t>Access to a bed based reablement and therapy service</t>
  </si>
  <si>
    <t>Cornwall &amp; Scilly10C3. Community Equipment (Council Element)Assistive Technologies and EquipmentCommunity based equipment</t>
  </si>
  <si>
    <t>C3. Community Equipment (Council Element)</t>
  </si>
  <si>
    <t>Rapid provision of appropriate equipment to reduce discharge delays</t>
  </si>
  <si>
    <t>Cornwall &amp; Scilly11C3. Community Equipment (ICB Element)Assistive Technologies and EquipmentCommunity based equipment</t>
  </si>
  <si>
    <t>C3. Community Equipment (ICB Element)</t>
  </si>
  <si>
    <t>Prescription and loan of specialist equipment and provision of minor works, supporting independence at home</t>
  </si>
  <si>
    <t>Cornwall &amp; Scilly12C3. Community Equipment (Bespoke Wheelchairs) ****Assistive Technologies and EquipmentCommunity based equipment</t>
  </si>
  <si>
    <t>C3. Community Equipment (Bespoke Wheelchairs) ****</t>
  </si>
  <si>
    <t>Telecare and response service offer, supporting management of conditions at home</t>
  </si>
  <si>
    <t>Cornwall &amp; Scilly21IOS ReablementHome-based intermediate care servicesOther</t>
  </si>
  <si>
    <t>IOS Reablement</t>
  </si>
  <si>
    <t>Support service provided by Carers in Bedfordshire, focusing on supporting people caring for residents with dementia</t>
  </si>
  <si>
    <t>Cornwall &amp; Scilly22IOS Access to servicesCommunity Based SchemesIntegrated neighbourhood services</t>
  </si>
  <si>
    <t>IOS Access to services</t>
  </si>
  <si>
    <t>Support service provided by Carers in Bedfordshire, open to all providing care for residents</t>
  </si>
  <si>
    <t>Cornwall &amp; Scilly23IOS Health and Social Care Integration capacityEnablers for IntegrationJoint commissioning infrastructure</t>
  </si>
  <si>
    <t>IOS Health and Social Care Integration capacity</t>
  </si>
  <si>
    <t>Joint commissioning infrastructure</t>
  </si>
  <si>
    <t>Contribution to provision of community health service  (RIT and IMC)</t>
  </si>
  <si>
    <t>Cornwall &amp; Scilly24IOS Model of care co-ordinationIntegrated Care Planning and NavigationCare navigation and planning</t>
  </si>
  <si>
    <t>IOS Model of care co-ordination</t>
  </si>
  <si>
    <t>Integrated Care Planning and Navigation</t>
  </si>
  <si>
    <t>Care navigation and planning</t>
  </si>
  <si>
    <t>Core DFG work supported with primary DFG grant</t>
  </si>
  <si>
    <t>Cornwall &amp; Scilly25IOS Healthwatch VolunteersIntegrated Care Planning and NavigationCare navigation and planning</t>
  </si>
  <si>
    <t>IOS Healthwatch Volunteers</t>
  </si>
  <si>
    <t>Local Authority own capital funding for core DFG work</t>
  </si>
  <si>
    <t>Cornwall &amp; Scilly26IOS Healthy AgingCommunity Based SchemesMultidisciplinary teams that are supporting independence, such as anticipatory care</t>
  </si>
  <si>
    <t>IOS Healthy Aging</t>
  </si>
  <si>
    <t>Supporting increased use of digital solutions within domicillary sector to align with care home work - split fund</t>
  </si>
  <si>
    <t>Cornwall &amp; Scilly29IOS IBCF Recruitment &amp; Retention of Skilled Care WorkforceEnablers for IntegrationWorkforce development</t>
  </si>
  <si>
    <t>IOS IBCF Recruitment &amp; Retention of Skilled Care Workforce</t>
  </si>
  <si>
    <t>Digital Transfer Scheme</t>
  </si>
  <si>
    <t xml:space="preserve">Cornwall &amp; Scilly42Discharge Support ServiceHome-based intermediate care servicesReablement at home (to support discharge) </t>
  </si>
  <si>
    <t>Discharge Support Service</t>
  </si>
  <si>
    <t>Providing digital support to unpaid carers</t>
  </si>
  <si>
    <t xml:space="preserve">County Durham3Short Term Intervention ServicesHome-based intermediate care servicesReablement at home (to support discharge) </t>
  </si>
  <si>
    <t>Short Term Intervention Services</t>
  </si>
  <si>
    <t>Additional bed capacity to support discharge</t>
  </si>
  <si>
    <t>County Durham6Equipment and Adaptations for IndependenceDFG Related SchemesAdaptations, including statutory DFG grants</t>
  </si>
  <si>
    <t>Equipment and Adaptations for Independence</t>
  </si>
  <si>
    <t>Additional home care packages to support discharge</t>
  </si>
  <si>
    <t>County Durham8Equipment and Adaptations for IndependenceAssistive Technologies and EquipmentAssistive technologies including telecare</t>
  </si>
  <si>
    <t>Carers in Beds support service</t>
  </si>
  <si>
    <t>County Durham11Supporting CarersCarers ServicesOther</t>
  </si>
  <si>
    <t>Supporting Carers</t>
  </si>
  <si>
    <t>WHZAN (telehealth expansion) rollout to care homes</t>
  </si>
  <si>
    <t>County Durham25Whole System Synergy/Hospital DischargeBed based intermediate Care Services (Reablement, rehabilitation, wider short-term services supporting recovery)Bed-based intermediate care with rehabilitation (to support discharge)</t>
  </si>
  <si>
    <t>Whole System Synergy/Hospital Discharge</t>
  </si>
  <si>
    <t>County Durham30Whole System Synergy/Hospital DischargeBed based intermediate Care Services (Reablement, rehabilitation, wider short-term services supporting recovery)Bed-based intermediate care with rehabilitation (to support discharge)</t>
  </si>
  <si>
    <t xml:space="preserve">These schemes will support facilitated discharge and the ongoing implementation of the Home First model of support. </t>
  </si>
  <si>
    <t>Coventry1Care Act ImplementationCarers ServicesRespite services</t>
  </si>
  <si>
    <t>Care Act Implementation</t>
  </si>
  <si>
    <t>Coventry1Care Act ImplementationCarers ServicesCarer advice and support related to Care Act duties</t>
  </si>
  <si>
    <t>Identified Carers</t>
  </si>
  <si>
    <t>Coventry10Protecting Social CareResidential PlacementsCare home</t>
  </si>
  <si>
    <t>Protecting Social Care</t>
  </si>
  <si>
    <t>Coventry10Protecting Social CareHome Care or Domiciliary CareOther</t>
  </si>
  <si>
    <t>Coventry11Reablement/Discharge to AssessHome Care or Domiciliary CareOther</t>
  </si>
  <si>
    <t>Reablement/Discharge to Assess</t>
  </si>
  <si>
    <t>Coventry11Reablement/Discharge to AssessBed based intermediate Care Services (Reablement, rehabilitation, wider short-term services supporting recovery)Bed-based intermediate care with reablement accepting step up and step down users</t>
  </si>
  <si>
    <t xml:space="preserve">Direct award of short-term contracts for 8 winter pressure beds to support Covid-19 pressures, winter pressures, supporting hospital discharges or preventing admission. </t>
  </si>
  <si>
    <t>Coventry11Reablement/Discharge to AssessHome-based intermediate care servicesReablement at home (accepting step up and step down users)</t>
  </si>
  <si>
    <t>Retaining packages when service user is admitted to hospital</t>
  </si>
  <si>
    <t>Coventry13Voluntary Sector ReviewCarers ServicesCarer advice and support related to Care Act duties</t>
  </si>
  <si>
    <t>Voluntary Sector Review</t>
  </si>
  <si>
    <t>The Rapid Response Service will facilitate the safe and effective discharge of service users from hospital who have been declared as medically fit for discharge but who may still have care needs that can be met in the service users own home.</t>
  </si>
  <si>
    <t>Coventry2Community Support ServicesAssistive Technologies and EquipmentCommunity based equipment</t>
  </si>
  <si>
    <t>Community Support Services</t>
  </si>
  <si>
    <t xml:space="preserve">These additional staff would These additional staff would be utilised across South Cheshire and the Congleton area of East Cheshire to support patients requiring domiciliary care that would normally be delivered by Local authority. </t>
  </si>
  <si>
    <t>Coventry9Out of Hospital &amp; Nursing CareResidential PlacementsNursing home</t>
  </si>
  <si>
    <t>Out of Hospital &amp; Nursing Care</t>
  </si>
  <si>
    <t>Provides financial contributions, either in full or in part, to enable disabled people to make modifications to their home in order to continue living independently and/or receive care in the home of their choice.</t>
  </si>
  <si>
    <t>Coventry9Out of Hospital &amp; Nursing CareResidential PlacementsCare home</t>
  </si>
  <si>
    <t xml:space="preserve">The scheme will continue to support the existing assistive technology services. </t>
  </si>
  <si>
    <t>Coventry6LD Care HomesResidential PlacementsLearning disability</t>
  </si>
  <si>
    <t>LD Care Homes</t>
  </si>
  <si>
    <t>Reablement services</t>
  </si>
  <si>
    <t>Coventry2Community Support ServicesCarers ServicesOther</t>
  </si>
  <si>
    <t>The Hub ensures that carers have access to information, advice and a wide range of support services to help them continue in their caring role and to reduce the impact of caring on their own health and wellbeing.</t>
  </si>
  <si>
    <t>Coventry2Community Support ServicesCarers ServicesCarer advice and support related to Care Act duties</t>
  </si>
  <si>
    <t>Support the achievement and maintenance of the four-hour access standard, admission avoidance, care closer to home and a continued compliance with the DTOC standard</t>
  </si>
  <si>
    <t>Coventry3DementiaResidential PlacementsCare home</t>
  </si>
  <si>
    <t>Dementia</t>
  </si>
  <si>
    <t>Identified Cares</t>
  </si>
  <si>
    <t>Coventry4Disabled Facility GrantsDFG Related SchemesAdaptations, including statutory DFG grants</t>
  </si>
  <si>
    <t>Disabled Facility Grants</t>
  </si>
  <si>
    <t xml:space="preserve">Provision of equipment on a temporary or permanent basis for independent living. </t>
  </si>
  <si>
    <t>Health and Social Care</t>
  </si>
  <si>
    <t>Coventry4Disabled Facility GrantsDFG Related SchemesDiscretionary use of DFG</t>
  </si>
  <si>
    <t>Coventry15Winter PressuresBed based intermediate Care Services (Reablement, rehabilitation, wider short-term services supporting recovery)Bed-based intermediate care with reablement accepting step up and step down users</t>
  </si>
  <si>
    <t>Winter Pressures</t>
  </si>
  <si>
    <t>Coventry15Winter PressuresHome-based intermediate care servicesReablement at home (accepting step up and step down users)</t>
  </si>
  <si>
    <t>Care Breaks/Young Carers/Carers Support (Commissioned from CW&amp;C)</t>
  </si>
  <si>
    <t>Coventry10Protecting Social CareHome Care or Domiciliary CareDomiciliary care packages</t>
  </si>
  <si>
    <t>Care at Home</t>
  </si>
  <si>
    <t>Coventry10LD Care HomesResidential PlacementsLearning disability</t>
  </si>
  <si>
    <t>Coventry19Discharge FundHome-based intermediate care servicesReablement at home (accepting step up and step down users)</t>
  </si>
  <si>
    <t>Telecare</t>
  </si>
  <si>
    <t>Coventry19Discharge FundBed based intermediate Care Services (Reablement, rehabilitation, wider short-term services supporting recovery)Bed-based intermediate care with reablement accepting step up and step down users</t>
  </si>
  <si>
    <t>Croydon4LIFE service - (Croydon Community SLA)Home-based intermediate care servicesRehabilitation at home (accepting step up and step down users)</t>
  </si>
  <si>
    <t>LIFE service - (Croydon Community SLA)</t>
  </si>
  <si>
    <t>Community Equipment Service CW&amp;C</t>
  </si>
  <si>
    <t>Croydon5Intermediate Care Beds (Pathway 2 Rehab)Bed based intermediate Care Services (Reablement, rehabilitation, wider short-term services supporting recovery)Bed-based intermediate care with rehabilitation accepting step up and step down users</t>
  </si>
  <si>
    <t>Intermediate Care Beds (Pathway 2 Rehab)</t>
  </si>
  <si>
    <t>In House Reablement</t>
  </si>
  <si>
    <t>Croydon12EOL Care Respite ServiceCarers ServicesRespite services</t>
  </si>
  <si>
    <t>EOL Care Respite Service</t>
  </si>
  <si>
    <t>Community Equipment Store - ICB</t>
  </si>
  <si>
    <t>Croydon30Mental Health packages of careHome Care or Domiciliary CareDomiciliary care to support hospital discharge (Discharge to Assess pathway 1)</t>
  </si>
  <si>
    <t>Mental Health packages of care</t>
  </si>
  <si>
    <t>Ellesmere Port Hospital - COCH</t>
  </si>
  <si>
    <t>Croydon31A&amp;E TriageHome Care or Domiciliary CareDomiciliary care to support hospital discharge (Discharge to Assess pathway 1)</t>
  </si>
  <si>
    <t>A&amp;E Triage</t>
  </si>
  <si>
    <t>Intermediate Care - MCHFT</t>
  </si>
  <si>
    <t>Croydon32Hospital DIschargeHome Care or Domiciliary CareDomiciliary care to support hospital discharge (Discharge to Assess pathway 1)</t>
  </si>
  <si>
    <t>Hospital DIscharge</t>
  </si>
  <si>
    <t>Intermediate Care - Elmhurst - MCHFT</t>
  </si>
  <si>
    <t>Croydon35Prevent return to acute/ Care HomeHome Care or Domiciliary CareDomiciliary care packages</t>
  </si>
  <si>
    <t>Prevent return to acute/ Care Home</t>
  </si>
  <si>
    <t>Intermediate Care - Hospital at Home - CCICP</t>
  </si>
  <si>
    <t>Croydon39Specialist Equipment eg Telehealth / TelecareAssistive Technologies and EquipmentAssistive technologies including telecare</t>
  </si>
  <si>
    <t>Specialist Equipment eg Telehealth / Telecare</t>
  </si>
  <si>
    <t>Intermediate Care Hospital At Home Service - COCH</t>
  </si>
  <si>
    <t>Croydon41Demographic pressures - package of careHome Care or Domiciliary CareDomiciliary care packages</t>
  </si>
  <si>
    <t>Demographic pressures - package of care</t>
  </si>
  <si>
    <t>System Beds</t>
  </si>
  <si>
    <t>Croydon43Social care pressuresResidential PlacementsCare home</t>
  </si>
  <si>
    <t>Social care pressures</t>
  </si>
  <si>
    <t>Additional IC Hospital at Home</t>
  </si>
  <si>
    <t>Croydon44Social Care (Careline)Assistive Technologies and EquipmentAssistive technologies including telecare</t>
  </si>
  <si>
    <t>Social Care (Careline)</t>
  </si>
  <si>
    <t xml:space="preserve">To provide specialist indpendent support, information and advice for adult carers living in the City of London to support them in their caring role and promote their health and wellbeing </t>
  </si>
  <si>
    <t>Provides specialist independent help</t>
  </si>
  <si>
    <t>Croydon46Packages of CareHome Care or Domiciliary CareDomiciliary care packages</t>
  </si>
  <si>
    <t>Packages of Care</t>
  </si>
  <si>
    <t>To provide a more efficient and effective commissioning of placements including for Discharge to Assess</t>
  </si>
  <si>
    <t xml:space="preserve">Commissioning </t>
  </si>
  <si>
    <t>Croydon47BCF Basline LIFEHome Care or Domiciliary CareDomiciliary care to support hospital discharge (Discharge to Assess pathway 1)</t>
  </si>
  <si>
    <t>BCF Basline LIFE</t>
  </si>
  <si>
    <t xml:space="preserve">To support Diasbled people to live more independently in their own homes </t>
  </si>
  <si>
    <t>Croydon48DFGDFG Related SchemesAdaptations, including statutory DFG grants</t>
  </si>
  <si>
    <t>Offers carers of all ages three levels of support designed to support them to continue in their caring role for as long as possible</t>
  </si>
  <si>
    <t>Information, advice and guidance, training, access to services to promote wellbeing and respite services</t>
  </si>
  <si>
    <t>Croydon49Discharge to AssessResidential PlacementsCare home</t>
  </si>
  <si>
    <t>Croydon54Residential PlacementsResidential PlacementsCare home</t>
  </si>
  <si>
    <t>Short Term Enablement Programme(STEPs) is a commissioned reablement service delivered through Corserv and works with vulnerable adults who may be elderly, have a physical or sensory loss.</t>
  </si>
  <si>
    <t>Croydon55Residential PlacementsResidential PlacementsNursing home</t>
  </si>
  <si>
    <t>Home First/EIS reablement service - pathway 1 capacity</t>
  </si>
  <si>
    <t>Croydon56Supported LivingResidential PlacementsSupported housing</t>
  </si>
  <si>
    <t>Provision of 101 community hospital beds to support pathway 2 discharges</t>
  </si>
  <si>
    <t>Croydon59Equipment for dishcarge to assessAssistive Technologies and EquipmentCommunity based equipment</t>
  </si>
  <si>
    <t>Equipment for dishcarge to assess</t>
  </si>
  <si>
    <t>Community Equipment Service provides community loan equipment from simple aids for daily living to more complex pieces of equipment, enabling people to stay living independently in their home or other community service for as long as possible and enabling paid and unpaid carers to support individuals with their care safely</t>
  </si>
  <si>
    <t>Croydon61discharge to assess placementsResidential PlacementsSupported housing</t>
  </si>
  <si>
    <t>discharge to assess placements</t>
  </si>
  <si>
    <t>Croydon62discharge to assess placementsResidential PlacementsNursing home</t>
  </si>
  <si>
    <t>Community Wheelchairs</t>
  </si>
  <si>
    <t>Croydon63DIscharge to Assess placementsHome Care or Domiciliary CareDomiciliary care packages</t>
  </si>
  <si>
    <t>DIscharge to Assess placements</t>
  </si>
  <si>
    <t>Provision of reablement, intermediate care beds and avoidance of admission to acute beds</t>
  </si>
  <si>
    <t>Various Schemes</t>
  </si>
  <si>
    <t>Croydon67Increase availability for pathway 1 dischargesHome Care or Domiciliary CareDomiciliary care to support hospital discharge (Discharge to Assess pathway 1)</t>
  </si>
  <si>
    <t>Increase availability for pathway 1 discharges</t>
  </si>
  <si>
    <t xml:space="preserve">Enabling community connections and minimising social isolation </t>
  </si>
  <si>
    <t>Croydon72CES Equipment CostsAssistive Technologies and EquipmentCommunity based equipment</t>
  </si>
  <si>
    <t>CES Equipment Costs</t>
  </si>
  <si>
    <t>Ensuring capacity to pursue single service business case, health and social care recovery and multi-agency partnership working</t>
  </si>
  <si>
    <t>Croydon77Interim Pathway 3 Stepdown BedsResidential PlacementsShort term residential care (without rehabilitation or reablement input)</t>
  </si>
  <si>
    <t>Interim Pathway 3 Stepdown Beds</t>
  </si>
  <si>
    <t xml:space="preserve">Ensuring capacity to develop bespoke solutions to meet new social, community and health challenges </t>
  </si>
  <si>
    <t>Croydon78MH Step Down bedsResidential PlacementsSupported housing</t>
  </si>
  <si>
    <t>MH Step Down beds</t>
  </si>
  <si>
    <t>Support to Healthwatch to develop training and branding resources for new volunteer support service</t>
  </si>
  <si>
    <t>Patient participation/regulation</t>
  </si>
  <si>
    <t>Croydon82Carers Support ProjectCarers ServicesCarer advice and support related to Care Act duties</t>
  </si>
  <si>
    <t>Carers Support Project</t>
  </si>
  <si>
    <t xml:space="preserve">supporting partnership working to improve experience of ageing, falls prevention and direct delivery of online wellbeing classes </t>
  </si>
  <si>
    <t>Cumberland1BCF PreventionCarers ServicesCarer advice and support related to Care Act duties</t>
  </si>
  <si>
    <t>BCF Prevention</t>
  </si>
  <si>
    <t>Recruitment and retention of the adult social care workforce</t>
  </si>
  <si>
    <t>Cumberland1BCF PreventionAssistive Technologies and EquipmentCommunity based equipment</t>
  </si>
  <si>
    <t>Provision of short term regulated care to support P1 hospital discharges (70+ packages per week)</t>
  </si>
  <si>
    <t>Independent Providers</t>
  </si>
  <si>
    <t>Cumberland1BCF PreventionDFG Related SchemesAdaptations, including statutory DFG grants</t>
  </si>
  <si>
    <t>North East</t>
  </si>
  <si>
    <t>Cumberland1BCF PreventionHome Care or Domiciliary CareDomiciliary care packages</t>
  </si>
  <si>
    <t>Cumberland1BCF PreventionResidential PlacementsCare home</t>
  </si>
  <si>
    <t>Cumberland1BCF PreventionBed based intermediate Care Services (Reablement, rehabilitation, wider short-term services supporting recovery)Bed-based intermediate care with rehabilitation (to support discharge)</t>
  </si>
  <si>
    <t xml:space="preserve">Cumberland2BCF ICCsHome-based intermediate care servicesReablement at home (to support discharge) </t>
  </si>
  <si>
    <t>BCF ICCs</t>
  </si>
  <si>
    <t>Intermediate Care Capacity Support</t>
  </si>
  <si>
    <t>Cumberland2BCF ICCsHome Care or Domiciliary CareDomiciliary care packages</t>
  </si>
  <si>
    <t>Cumberland6IBCF Improving System FlowHome Care or Domiciliary CareOther</t>
  </si>
  <si>
    <t>IBCF Improving System Flow</t>
  </si>
  <si>
    <t>Respite Services</t>
  </si>
  <si>
    <t>Cumberland6IBCF Improving System FlowHome-based intermediate care servicesReablement at home (accepting step up and step down users)</t>
  </si>
  <si>
    <t>Carer Support</t>
  </si>
  <si>
    <t>Cumberland6IBCF Improving System FlowBed based intermediate Care Services (Reablement, rehabilitation, wider short-term services supporting recovery)Bed-based intermediate care with rehabilitation (to support discharge)</t>
  </si>
  <si>
    <t>Maintaining Packages</t>
  </si>
  <si>
    <t>Cumberland7IBCF Market StabilisationResidential PlacementsCare home</t>
  </si>
  <si>
    <t>IBCF Market Stabilisation</t>
  </si>
  <si>
    <t>HWC Short Term Beds</t>
  </si>
  <si>
    <t>HWC ST Tenancy</t>
  </si>
  <si>
    <t>Cumberland7IBCF Market StabilisationHome Care or Domiciliary CareDomiciliary care packages</t>
  </si>
  <si>
    <t>Darlington9Community Integrated Care Core Beds (Rydal)Bed based intermediate Care Services (Reablement, rehabilitation, wider short-term services supporting recovery)Bed-based intermediate care with rehabilitation (to support discharge)</t>
  </si>
  <si>
    <t>Community Integrated Care Core Beds (Rydal)</t>
  </si>
  <si>
    <t>Short Term Beds</t>
  </si>
  <si>
    <t>Darlington11RiACT Health StaffCommunity Based SchemesMultidisciplinary teams that are supporting independence, such as anticipatory care</t>
  </si>
  <si>
    <t>RiACT Health Staff</t>
  </si>
  <si>
    <t>Short Term Home Support</t>
  </si>
  <si>
    <t>Darlington19Telecare (OOH response team)Assistive Technologies and EquipmentAssistive technologies including telecare</t>
  </si>
  <si>
    <t>Telecare (OOH response team)</t>
  </si>
  <si>
    <t>Pathway 3 Nursing Beds</t>
  </si>
  <si>
    <t>Darlington20Assistive TechnologyAssistive Technologies and EquipmentOther</t>
  </si>
  <si>
    <t>Darlington28Adult CarersCarers ServicesCarer advice and support related to Care Act duties</t>
  </si>
  <si>
    <t>Adult Carers</t>
  </si>
  <si>
    <t>Integrated Equipment Store</t>
  </si>
  <si>
    <t>Darlington29Adult Carer BreaksCarers ServicesRespite services</t>
  </si>
  <si>
    <t>Adult Carer Breaks</t>
  </si>
  <si>
    <t>Equipment Contract</t>
  </si>
  <si>
    <t>Darlington31Young CarersCarers ServicesCarer advice and support related to Care Act duties</t>
  </si>
  <si>
    <t>Young Carers</t>
  </si>
  <si>
    <t xml:space="preserve">Darlington36Rapid Response  Home-based intermediate care servicesReablement at home (to support discharge) </t>
  </si>
  <si>
    <t xml:space="preserve">Rapid Response  </t>
  </si>
  <si>
    <t>Darlington37Adult Carers Support Co-ordinatorCarers ServicesCarer advice and support related to Care Act duties</t>
  </si>
  <si>
    <t>Adult Carers Support Co-ordinator</t>
  </si>
  <si>
    <t>Nursing Beds</t>
  </si>
  <si>
    <t>Darlington44HealthcallAssistive Technologies and EquipmentCommunity based equipment</t>
  </si>
  <si>
    <t>Healthcall</t>
  </si>
  <si>
    <t>Care Home Beds</t>
  </si>
  <si>
    <t>Darlington48Adaptations and equipmentDFG Related SchemesAdaptations, including statutory DFG grants</t>
  </si>
  <si>
    <t>Adaptations and equipment</t>
  </si>
  <si>
    <t>Pooled Provider arrangement</t>
  </si>
  <si>
    <t>Darlington51Adult Social CareWorkforce recruitment and retention</t>
  </si>
  <si>
    <t>Workforce recruitment and retention</t>
  </si>
  <si>
    <t>Older People Care Placements and other Nursing Placements</t>
  </si>
  <si>
    <t>Darlington52BrokerageWorkforce recruitment and retention</t>
  </si>
  <si>
    <t>Brokerage</t>
  </si>
  <si>
    <t>Pathway Beds</t>
  </si>
  <si>
    <t>Darlington55Domiciliary Care - Rapid Response ServiceHome-based intermediate care servicesReablement at home (to prevent admission to hospital or residential care)</t>
  </si>
  <si>
    <t>Domiciliary Care - Rapid Response Service</t>
  </si>
  <si>
    <t>Darlington56Residential &amp; Nursing careBed based intermediate Care Services (Reablement, rehabilitation, wider short-term services supporting recovery)Bed-based intermediate care with reablement accepting step up and step down users</t>
  </si>
  <si>
    <t>Residential &amp; Nursing care</t>
  </si>
  <si>
    <t>Darlington59TOCH - DMT ExpansionWorkforce recruitment and retention</t>
  </si>
  <si>
    <t>TOCH - DMT Expansion</t>
  </si>
  <si>
    <t>Darlington60TOCH - DMT Management StructureWorkforce recruitment and retention</t>
  </si>
  <si>
    <t>TOCH - DMT Management Structure</t>
  </si>
  <si>
    <t>Darlington62Winter PressuresResidential PlacementsCare home</t>
  </si>
  <si>
    <t>Darlington65Short Break Stays Carers ServicesRespite services</t>
  </si>
  <si>
    <t xml:space="preserve">Short Break Stays </t>
  </si>
  <si>
    <t>Darlington66Residential CareResidential PlacementsCare home</t>
  </si>
  <si>
    <t>Residential Care</t>
  </si>
  <si>
    <t>Darlington67Dom CareHome Care or Domiciliary CareDomiciliary care packages</t>
  </si>
  <si>
    <t>Carers Support Officer</t>
  </si>
  <si>
    <t>Derby6Bed Based Respite  - Perth HouseBed based intermediate Care Services (Reablement, rehabilitation, wider short-term services supporting recovery)Bed-based intermediate care with rehabilitation accepting step up and step down users</t>
  </si>
  <si>
    <t>Bed Based Respite  - Perth House</t>
  </si>
  <si>
    <t>Carers Direct Payments</t>
  </si>
  <si>
    <t>Derby3Carers Support Carers ServicesCarer advice and support related to Care Act duties</t>
  </si>
  <si>
    <t xml:space="preserve">Carers Support </t>
  </si>
  <si>
    <t>Derby6Enablement &amp; Intermediate Care  - Home FirstHome-based intermediate care servicesReablement at home (accepting step up and step down users)</t>
  </si>
  <si>
    <t>Enablement &amp; Intermediate Care  - Home First</t>
  </si>
  <si>
    <t>Dementia Care Home Placements</t>
  </si>
  <si>
    <t>Derby4Dementia Support Carers ServicesCarer advice and support related to Care Act duties</t>
  </si>
  <si>
    <t xml:space="preserve">Dementia Support </t>
  </si>
  <si>
    <t>Dementia Care Home Placements Internal</t>
  </si>
  <si>
    <t>Derby11Property Adaptions (DFG)DFG Related SchemesAdaptations, including statutory DFG grants</t>
  </si>
  <si>
    <t>Property Adaptions (DFG)</t>
  </si>
  <si>
    <t>Derby12(iBCF) Demographics (system pressures - residential provision)Residential PlacementsCare home</t>
  </si>
  <si>
    <t>(iBCF) Demographics (system pressures - residential provision)</t>
  </si>
  <si>
    <t>Warm Homes Scheme</t>
  </si>
  <si>
    <t>Derby18(iBCF) Perth HouseBed based intermediate Care Services (Reablement, rehabilitation, wider short-term services supporting recovery)Other</t>
  </si>
  <si>
    <t>(iBCF) Perth House</t>
  </si>
  <si>
    <t>Derby1Home First Community Night ServiceHome-based intermediate care servicesReablement at home (accepting step up and step down users)</t>
  </si>
  <si>
    <t>Home First Community Night Service</t>
  </si>
  <si>
    <t>Mobile Night Carers</t>
  </si>
  <si>
    <t>Derby6Domicillary care packagesHome Care or Domiciliary CareDomiciliary care packages</t>
  </si>
  <si>
    <t>Domicillary care packages</t>
  </si>
  <si>
    <t>Derby19Additional discharge related short-term residential careResidential PlacementsShort term residential care (without rehabilitation or reablement input)</t>
  </si>
  <si>
    <t>Additional discharge related short-term residential care</t>
  </si>
  <si>
    <t>Sustaining OP ASC</t>
  </si>
  <si>
    <t>Derby19Additional discharge related admissions to short-term residentialBed based intermediate Care Services (Reablement, rehabilitation, wider short-term services supporting recovery)Bed-based intermediate care with rehabilitation (to support discharge)</t>
  </si>
  <si>
    <t>Additional discharge related admissions to short-term residential</t>
  </si>
  <si>
    <t>Derby19Additional admissions to PVI short-term homecareHome Care or Domiciliary CareDomiciliary care to support hospital discharge (Discharge to Assess pathway 1)</t>
  </si>
  <si>
    <t>Additional admissions to PVI short-term homecare</t>
  </si>
  <si>
    <t>Sustaining ASC</t>
  </si>
  <si>
    <t>Derbyshire1Mental Health EnablementCommunity Based SchemesMultidisciplinary teams that are supporting independence, such as anticipatory care</t>
  </si>
  <si>
    <t>Mental Health Enablement</t>
  </si>
  <si>
    <t>Adult Social Care Discharge Fund - ST HS</t>
  </si>
  <si>
    <t>Derbyshire3residential Care packages to maintain clients in a social care settingResidential PlacementsCare home</t>
  </si>
  <si>
    <t>residential Care packages to maintain clients in a social care setting</t>
  </si>
  <si>
    <t>Adult Social Care Discharge Fund - ST Beds</t>
  </si>
  <si>
    <t>Derbyshire5Mental Health TriageCommunity Based SchemesMultidisciplinary teams that are supporting independence, such as anticipatory care</t>
  </si>
  <si>
    <t>Mental Health Triage</t>
  </si>
  <si>
    <t>Other Discharge Schemes - HWC Dementia Pilot</t>
  </si>
  <si>
    <t>Derbyshire6Mental Health Acute Based Social Worker SupportCommunity Based SchemesMultidisciplinary teams that are supporting independence, such as anticipatory care</t>
  </si>
  <si>
    <t>Mental Health Acute Based Social Worker Support</t>
  </si>
  <si>
    <t>Living Independently for Everyone (LIFE) is a an integrated intermediate care service that focuses on delivering the Croydon Discharge to Assess (D2A) model of care, supporting people discharged from hospital to recover, reable and rehabilitate in their own home. Some Step up users are also cared for.</t>
  </si>
  <si>
    <t>Derbyshire7Mental Health - Recovery and Peer Support Community Based SchemesMultidisciplinary teams that are supporting independence, such as anticipatory care</t>
  </si>
  <si>
    <t xml:space="preserve">Mental Health - Recovery and Peer Support </t>
  </si>
  <si>
    <t>Intermediate Care beds for rehabilitation in nursing homes with community geriatrician input and the LIFE wrap-around service. Step up and Step down.</t>
  </si>
  <si>
    <t>Derbyshire8Community Support BedsBed based intermediate Care Services (Reablement, rehabilitation, wider short-term services supporting recovery)Bed-based intermediate care with reablement (to support discharge)</t>
  </si>
  <si>
    <t>Community Support Beds</t>
  </si>
  <si>
    <t>Provision of a respite service for carers of people on an EoL pathway. Currently provided by a Home care agency but looking to reprocure.</t>
  </si>
  <si>
    <t>Derbyshire9Community Support BedsBed based intermediate Care Services (Reablement, rehabilitation, wider short-term services supporting recovery)Bed-based intermediate care with reablement (to support discharge)</t>
  </si>
  <si>
    <t>Packages of care for adult MH due to increased LOS</t>
  </si>
  <si>
    <t>Derbyshire10ICS - Hospital TeamsIntegrated Care Planning and NavigationAssessment teams/joint assessment</t>
  </si>
  <si>
    <t>ICS - Hospital Teams</t>
  </si>
  <si>
    <t>Assessment teams/joint assessment</t>
  </si>
  <si>
    <t>Service to facilitate discharge  from A&amp;E (instead of admission to hospital) by arranging short term packages of care, sign-posting to other services, or arranging transfer to reablement/step down and convalescence beds.</t>
  </si>
  <si>
    <t>Derbyshire11Dementia SupportCommunity Based SchemesMultidisciplinary teams that are supporting independence, such as anticipatory care</t>
  </si>
  <si>
    <t>Dementia Support</t>
  </si>
  <si>
    <t>The team carry out assessments and arrange packages of care for people who are ready to be discharged from hospital.</t>
  </si>
  <si>
    <t>Derbyshire12Assistive Technology (Telecare)Assistive Technologies and EquipmentAssistive technologies including telecare</t>
  </si>
  <si>
    <t>Assistive Technology (Telecare)</t>
  </si>
  <si>
    <t>ongoing packages allowing service users to remain in their own homes</t>
  </si>
  <si>
    <t>Derbyshire15CarersCarers ServicesCarer advice and support related to Care Act duties</t>
  </si>
  <si>
    <t xml:space="preserve">This scheme covers aspects of staff, licenses and equipment relating to telehealth/care </t>
  </si>
  <si>
    <t>Derbyshire19Autism SupportCommunity Based SchemesMultidisciplinary teams that are supporting independence, such as anticipatory care</t>
  </si>
  <si>
    <t>Autism Support</t>
  </si>
  <si>
    <t>This is a contribution to overall funding to packages of care, recognizing demographic pressures which lead to increased demand for care services.</t>
  </si>
  <si>
    <t>DerbyshirePVI care to deliver P1 discharges from acuteHome Care or Domiciliary CareDomiciliary care to support hospital discharge (Discharge to Assess pathway 1)</t>
  </si>
  <si>
    <t>PVI care to deliver P1 discharges from acute</t>
  </si>
  <si>
    <t>A contribution to the overall funding of packages of care, recognising demographic pressures which lead to increased demand for care homes</t>
  </si>
  <si>
    <t>Derbyshire11TransportBed based intermediate Care Services (Reablement, rehabilitation, wider short-term services supporting recovery)Bed-based intermediate care with rehabilitation (to support discharge)</t>
  </si>
  <si>
    <t>Transport</t>
  </si>
  <si>
    <t>Careline alarm is designed to help older, frail or disabled people to remain in their own homes to be able to summon assistance in an emergency</t>
  </si>
  <si>
    <t>Derbyshire11Reablement care to support dischargeResidential PlacementsShort-term residential/nursing care for someone likely to require a longer-term care home replacement</t>
  </si>
  <si>
    <t>Reablement care to support discharge</t>
  </si>
  <si>
    <t>Short-term residential/nursing care for someone likely to require a longer-term care home replacement</t>
  </si>
  <si>
    <t>Meeting social care needs and supporting people to be discharged from hospital</t>
  </si>
  <si>
    <t>Derbyshire12VCSE P0 discharge supportHome Care or Domiciliary CareDomiciliary care to support hospital discharge (Discharge to Assess pathway 1)</t>
  </si>
  <si>
    <t>VCSE P0 discharge support</t>
  </si>
  <si>
    <t>Additional contribution to the LIFE service for increased packages of care since 2020/21</t>
  </si>
  <si>
    <t>DerbyshireReablement care to support dischargeHome-based intermediate care servicesRehabilitation at home (accepting step up and step down users)</t>
  </si>
  <si>
    <t>DFG schemes - to provide vital adaptations to the residents property to enable and promote independance.  Type of adaptations would include, Level Access Showers, Stairlifts, Ramps, Ceiling Track Hoists, Steplift LIfts, Thru floor lifts, extensions to provide ground floor living where internal adaptations are not feasible.</t>
  </si>
  <si>
    <t>Devon1Assistive Technology Assistive Technologies and EquipmentAssistive technologies including telecare</t>
  </si>
  <si>
    <t xml:space="preserve">Assistive Technology </t>
  </si>
  <si>
    <t>To continue discharge to assess</t>
  </si>
  <si>
    <t>Devon2Care Act dutiesCarers ServicesCarer advice and support related to Care Act duties</t>
  </si>
  <si>
    <t>Care Act duties</t>
  </si>
  <si>
    <t>Meeting  social care needs and supporting people to be discharged</t>
  </si>
  <si>
    <t>Devon4CarersCarers ServicesOther</t>
  </si>
  <si>
    <t>Devon4CarersCarers ServicesRespite Services</t>
  </si>
  <si>
    <t>Meeting social care needs</t>
  </si>
  <si>
    <t>Devon13Disabled Facilities GrantDFG Related SchemesAdaptations, including statutory DFG grants</t>
  </si>
  <si>
    <t>Community Equipment supporting people to live independently in their own home and prevent ongoing risk when discharged from hospital (wheelchair and ancillary equipment)</t>
  </si>
  <si>
    <t>Devon16Enhanced Community Equipment ServiceAssistive Technologies and EquipmentCommunity based equipment</t>
  </si>
  <si>
    <t>Enhanced Community Equipment Service</t>
  </si>
  <si>
    <t>To continue discharge to assess packages and placements</t>
  </si>
  <si>
    <t>Devon23MH Out of area placementsResidential PlacementsSupported housing</t>
  </si>
  <si>
    <t>MH Out of area placements</t>
  </si>
  <si>
    <t>to continue discharge to assess packages and placements</t>
  </si>
  <si>
    <t xml:space="preserve">Devon32Social Care ReablementHome-based intermediate care servicesJoint reablement and rehabilitation service (to support discharge) </t>
  </si>
  <si>
    <t>Social Care Reablement</t>
  </si>
  <si>
    <t>To continue discharge to assess, packages and placements</t>
  </si>
  <si>
    <t>Devon33Frailty and Community CareHome Care or Domiciliary CareDomiciliary care to support hospital discharge (Discharge to Assess pathway 1)</t>
  </si>
  <si>
    <t>Frailty and Community Care</t>
  </si>
  <si>
    <t>Increase of ischarges per week for people returing home who need care at home via pathway 1. This is above BAU arrangements as we have safe discharge limits in place.</t>
  </si>
  <si>
    <t>Devon34Step Up, Step Down Home Based Intensive RehabHome-based intermediate care servicesRehabilitation at home (to support discharge)</t>
  </si>
  <si>
    <t>Step Up, Step Down Home Based Intensive Rehab</t>
  </si>
  <si>
    <t>To support the extra discharges per week for home care there will be a need to purchase and delivery extra equipment which is above and beyond BAU costs. This is for 6 months</t>
  </si>
  <si>
    <t>Devon35Step Up, Step Down Home based Intermediate CareHome-based intermediate care servicesJoint reablement and rehabilitation service (accepting step up and step down users)</t>
  </si>
  <si>
    <t>Step Up, Step Down Home based Intermediate Care</t>
  </si>
  <si>
    <t>Joint reablement and rehabilitation service (accepting step up and step down users)</t>
  </si>
  <si>
    <t>11 step up/ step down beds</t>
  </si>
  <si>
    <t>Devon36Step Up, Step Down Home Based ReablementHome-based intermediate care servicesJoint reablement and rehabilitation service (accepting step up and step down users)</t>
  </si>
  <si>
    <t>Step Up, Step Down Home Based Reablement</t>
  </si>
  <si>
    <t>Block purchase of 10 mental health step down beds</t>
  </si>
  <si>
    <t>Devon37Step Up, Step Down Personal CareHome Care or Domiciliary CareDomiciliary care packages</t>
  </si>
  <si>
    <t>Step Up, Step Down Personal Care</t>
  </si>
  <si>
    <t>Expansion of the carer's support offer to expand the range of respite services, increasing the reach of emotional support services, linking with health and care services and modernising the digital support offer.​</t>
  </si>
  <si>
    <t>Devon38Step Up, Step Down Recuperative PlacementsBed based intermediate Care Services (Reablement, rehabilitation in a bedded setting, wider short-term services supporting recovery)Bed-based intermediate care with reablement accepting step up and step down users</t>
  </si>
  <si>
    <t>Step Up, Step Down Recuperative Placements</t>
  </si>
  <si>
    <t>Bed based intermediate Care Services (Reablement, rehabilitation in a bedded setting, wider short-term services supporting recovery)</t>
  </si>
  <si>
    <t>Devon41Support to social careHome Care or Domiciliary CareDomiciliary care packages</t>
  </si>
  <si>
    <t>Support to social care</t>
  </si>
  <si>
    <t>Devon41Support to social careResidential PlacementsCare home</t>
  </si>
  <si>
    <t>Devon42Support to social care (iBCF)Home Care or Domiciliary CareDomiciliary care packages</t>
  </si>
  <si>
    <t>Support to social care (iBCF)</t>
  </si>
  <si>
    <t>Block Contracts for Homecare to improve flow from Reablement</t>
  </si>
  <si>
    <t>Devon42Support to social care (iBCF)Residential PlacementsCare home</t>
  </si>
  <si>
    <t>Bookable Respite</t>
  </si>
  <si>
    <t>Devon42Support to social care (iBCF)Residential PlacementsNursing home</t>
  </si>
  <si>
    <t>Additional Intermediate Care Capacity</t>
  </si>
  <si>
    <t>Doncaster2Carers LeadCarers ServicesCarer advice and support related to Care Act duties</t>
  </si>
  <si>
    <t>Carers Lead</t>
  </si>
  <si>
    <t>Doncaster3Carers Support Services &amp; BreaksCarers ServicesRespite services</t>
  </si>
  <si>
    <t>Carers Support Services &amp; Breaks</t>
  </si>
  <si>
    <t>Generic Night Care</t>
  </si>
  <si>
    <t>Doncaster5Homecare ManagementHome-based intermediate care servicesReablement at home (accepting step up and step down users)</t>
  </si>
  <si>
    <t>Homecare Management</t>
  </si>
  <si>
    <t xml:space="preserve">Doncaster6STEPS, OT &amp; RAPIDHome-based intermediate care servicesReablement at home (to support discharge) </t>
  </si>
  <si>
    <t>STEPS, OT &amp; RAPID</t>
  </si>
  <si>
    <t xml:space="preserve">Community Services </t>
  </si>
  <si>
    <t>Support at home packages, all settings</t>
  </si>
  <si>
    <t>Doncaster7HEART &amp; Telecare EquipmentAssistive Technologies and EquipmentAssistive technologies including telecare</t>
  </si>
  <si>
    <t>HEART &amp; Telecare Equipment</t>
  </si>
  <si>
    <t>Doncaster9Positive Step: Social Care AssessmentBed based intermediate Care Services (Reablement, rehabilitation, wider short-term services supporting recovery)Bed-based intermediate care with reablement (to support discharge)</t>
  </si>
  <si>
    <t>Positive Step: Social Care Assessment</t>
  </si>
  <si>
    <t>Residential Rehab</t>
  </si>
  <si>
    <t>Doncaster11SPOC/One Point 1Bed based intermediate Care Services (Reablement, rehabilitation, wider short-term services supporting recovery)Bed-based intermediate care with rehabilitation (to support discharge)</t>
  </si>
  <si>
    <t>SPOC/One Point 1</t>
  </si>
  <si>
    <t>Residential pricing</t>
  </si>
  <si>
    <t>Doncaster16Occupational Therapist - Aligned to STEPSHome-based intermediate care servicesRehabilitation at home (to support discharge)</t>
  </si>
  <si>
    <t>Occupational Therapist - Aligned to STEPS</t>
  </si>
  <si>
    <t>Home Care Pricing</t>
  </si>
  <si>
    <t>Doncaster17Occupational Therapist supporting multi-disciplinary teamsBed based intermediate Care Services (Reablement, rehabilitation, wider short-term services supporting recovery)Bed-based intermediate care with reablement (to support discharge)</t>
  </si>
  <si>
    <t>Occupational Therapist supporting multi-disciplinary teams</t>
  </si>
  <si>
    <t>Doncaster25Adult Social Care ContractsHome Care or Domiciliary CareDomiciliary care packages</t>
  </si>
  <si>
    <t>Adult Social Care Contracts</t>
  </si>
  <si>
    <t>Shift Based Commissioning</t>
  </si>
  <si>
    <t>Doncaster27Adult Social Care ContractsResidential PlacementsLearning disability</t>
  </si>
  <si>
    <t>Intermediate Care beds</t>
  </si>
  <si>
    <t>Doncaster28Adult Social Care ContractsResidential PlacementsCare home</t>
  </si>
  <si>
    <t>Intermediate care services and reablement service</t>
  </si>
  <si>
    <t>Doncaster29Adult Social Care ContractsResidential PlacementsNursing home</t>
  </si>
  <si>
    <t>Co-ordinate and install Telecare and Lifeline devices following an assessed need</t>
  </si>
  <si>
    <t>Doncaster30Investment in adult social care to reflect increasing demand in nursing homesResidential PlacementsNursing home</t>
  </si>
  <si>
    <t>Investment in adult social care to reflect increasing demand in nursing homes</t>
  </si>
  <si>
    <t>Develop use of Ats in services of falls prevention, dementia</t>
  </si>
  <si>
    <t>Assistive Technologies</t>
  </si>
  <si>
    <t>Doncaster32Investment in adult social care to reflect increasing demand in services for domiciliary careHome Care or Domiciliary CareDomiciliary care to support hospital discharge (Discharge to Assess pathway 1)</t>
  </si>
  <si>
    <t>Investment in adult social care to reflect increasing demand in services for domiciliary care</t>
  </si>
  <si>
    <t>Support services for adults caring for adults</t>
  </si>
  <si>
    <t>Doncaster33Investment in adult social care to reflect increasing demandResidential PlacementsExtra care</t>
  </si>
  <si>
    <t>Investment in adult social care to reflect increasing demand</t>
  </si>
  <si>
    <t>Provision of carer breaks across voluntary sector</t>
  </si>
  <si>
    <t>Doncaster34Investment in Adult Social Care to reflect increasing demand in supported livingResidential PlacementsLearning disability</t>
  </si>
  <si>
    <t>Investment in Adult Social Care to reflect increasing demand in supported living</t>
  </si>
  <si>
    <t>Information and support from humankind</t>
  </si>
  <si>
    <t>Doncaster36Investment in Adult Social Care to reflect increasing demand for home care placements due to demographic growthHome Care or Domiciliary CareDomiciliary care packages</t>
  </si>
  <si>
    <t>Investment in Adult Social Care to reflect increasing demand for home care placements due to demographic growth</t>
  </si>
  <si>
    <t>48 hour support following discharge pending assessment</t>
  </si>
  <si>
    <t>Doncaster37Investment in Adult Social Care in respect of care home residential placements due to demographic growthResidential PlacementsCare home</t>
  </si>
  <si>
    <t>Investment in Adult Social Care in respect of care home residential placements due to demographic growth</t>
  </si>
  <si>
    <t>Working with SMEs to raise awareness of carers in employment</t>
  </si>
  <si>
    <t>Doncaster41Transition from children to adult servicesResidential PlacementsLearning disability</t>
  </si>
  <si>
    <t>Transition from children to adult services</t>
  </si>
  <si>
    <t>Digital Monitoring of Patients</t>
  </si>
  <si>
    <t>Doncaster44Hospital Discharge serviceHome Care or Domiciliary CareDomiciliary care to support hospital discharge (Discharge to Assess pathway 1)</t>
  </si>
  <si>
    <t>Hospital Discharge service</t>
  </si>
  <si>
    <t>DFG and equipment DFG adaptations, via schemes connect</t>
  </si>
  <si>
    <t>Doncaster45Disabled Facilities GrantDFG Related SchemesAdaptations, including statutory DFG grants</t>
  </si>
  <si>
    <t>Additional hours within key SW teams (5hrs per week per person involved)</t>
  </si>
  <si>
    <t>Doncaster46Disabled Facilities GrantDFG Related SchemesAdaptations, including statutory DFG grants</t>
  </si>
  <si>
    <t>Strengthen current brokerage arrangements and build additional capacity to support discharge flow from acute settings. Extension 1 WTE Agency worker</t>
  </si>
  <si>
    <t>Doncaster47Home from hospitalHome-based intermediate care servicesRehabilitation at home (to support discharge)</t>
  </si>
  <si>
    <t>Home from hospital</t>
  </si>
  <si>
    <t>Increase capacity to enable timely hospital discharge and prevent avoidable hospital admissions</t>
  </si>
  <si>
    <t>new</t>
  </si>
  <si>
    <t>Doncaster50Intermediate Care (Bed based step up/down)Bed based intermediate Care Services (Reablement, rehabilitation, wider short-term services supporting recovery)Bed-based intermediate care with rehabilitation accepting step up and step down users</t>
  </si>
  <si>
    <t>Intermediate Care (Bed based step up/down)</t>
  </si>
  <si>
    <t>Additionnal int./short stay bed capacity in res. And nursing homes</t>
  </si>
  <si>
    <t>Doncaster54Carers Breaks Carers ServicesRespite services</t>
  </si>
  <si>
    <t xml:space="preserve">Carers Breaks </t>
  </si>
  <si>
    <t>Expansion of the Discharge Management Team</t>
  </si>
  <si>
    <t>Doncaster59Additional home care capacityHome-based intermediate care servicesRehabilitation at home (to support discharge)</t>
  </si>
  <si>
    <t>Additional home care capacity</t>
  </si>
  <si>
    <t>Dedicated leadership on complex discharge</t>
  </si>
  <si>
    <t>Dorset2Strong and sustainable care marketsResidential PlacementsCare home</t>
  </si>
  <si>
    <t>Strong and sustainable care markets</t>
  </si>
  <si>
    <t>Supporting service pressures during winter period</t>
  </si>
  <si>
    <t>Dorset3Strong and sustainable care marketsHome Care or Domiciliary CareDomiciliary care packages</t>
  </si>
  <si>
    <t>In house carers</t>
  </si>
  <si>
    <t>Dorset9Maintaining IndependenceDFG Related SchemesAdaptations, including statutory DFG grants</t>
  </si>
  <si>
    <t>Dorset10Maintaining IndependenceResidential PlacementsNursing home</t>
  </si>
  <si>
    <t>Dorset11Maintaining IndependenceAssistive Technologies and EquipmentCommunity based equipment</t>
  </si>
  <si>
    <t>East Midlands</t>
  </si>
  <si>
    <t>Bed Based - Step Up/Down</t>
  </si>
  <si>
    <t>Dorset17CarersCarers ServicesRespite Services</t>
  </si>
  <si>
    <t>Support to carers and delivery of the Carers Strategy</t>
  </si>
  <si>
    <t>Dorset18CarersCarers ServicesCarer advice and support related to Care Act duties</t>
  </si>
  <si>
    <t>Provision of integrated services to support discharge</t>
  </si>
  <si>
    <t>Dorset19CarersCarers ServicesCarer advice and support related to Care Act duties</t>
  </si>
  <si>
    <t>Help people with dementia and their carers to access further information, advice and support</t>
  </si>
  <si>
    <t>Dorset20CarersCarers ServicesCarer advice and support related to Care Act duties</t>
  </si>
  <si>
    <t>Dorset21CarersCarers ServicesRespite Services</t>
  </si>
  <si>
    <t>Demographic growth, age and complexity</t>
  </si>
  <si>
    <t>Dorset22CarersCarers ServicesOther</t>
  </si>
  <si>
    <t>Dorset23CarersCarers ServicesOther</t>
  </si>
  <si>
    <t>Dorset24Maintaining IndependenceAssistive Technologies and EquipmentCommunity based equipment</t>
  </si>
  <si>
    <t>Dorset25Strong and sustainable care marketsResidential PlacementsCare home</t>
  </si>
  <si>
    <t>Paying for private care capacity to manage P3 demand</t>
  </si>
  <si>
    <t>Dorset27Maintaining IndependenceAssistive Technologies and EquipmentCommunity based equipment</t>
  </si>
  <si>
    <t>Paying for additional private care capacity to provide short term P2a care</t>
  </si>
  <si>
    <t>Dorset32Maintaining IndependenceAssistive Technologies and EquipmentAssistive technologies including telecare</t>
  </si>
  <si>
    <t>Paying for additional private care capacity to provide short term P1 care</t>
  </si>
  <si>
    <t>Dorset38Strong and Sustainable MarketHome Care or Domiciliary CareDomiciliary care packages</t>
  </si>
  <si>
    <t>Strong and Sustainable Market</t>
  </si>
  <si>
    <t>Social model providing preventative and recovery-focussed support to people living with a mental health condition</t>
  </si>
  <si>
    <t>The total number of PSP created was 734 over a 12month  period. The los is 3.1 weeks and 34% exceeded 6 weeks in the service , on average 1 person leaves as another enters the service , A snap shot of a months activity indicated over  half of the work undertaken  was short term and 28% of time was travel, whilst the remainder was long term cases.  there are 41 staff with 32  hours per week on average . The service  manages 70 clients  a month</t>
  </si>
  <si>
    <t>Dudley1001Whole Population Prevention / Population Health ManagementCarers ServicesOther</t>
  </si>
  <si>
    <t>Whole Population Prevention / Population Health Management</t>
  </si>
  <si>
    <t>Provision of social care packages to help and support clients to remain outside of an acute setting and within their local community</t>
  </si>
  <si>
    <t>Dudley1002Whole Population Prevention / Population Health ManagementAssistive Technologies and EquipmentCommunity based equipment</t>
  </si>
  <si>
    <t>Provision of out of hours AMHP service, to co-ordinate and contribute to assessment of individuals under MHA</t>
  </si>
  <si>
    <t>This is  2 social workers AMHP working with  clients with  MH to support individuals with crisis and care</t>
  </si>
  <si>
    <t>Dudley1003Whole Population Prevention / Population Health ManagementDFG Related SchemesAdaptations, including statutory DFG grants</t>
  </si>
  <si>
    <t>Provide inpatients in acute mental health wards with access to social work services and support and to introduce discharge planning on admission</t>
  </si>
  <si>
    <t>Dudley1003Whole Population Prevention / Population Health ManagementDFG Related SchemesDiscretionary use of DFG</t>
  </si>
  <si>
    <t>Targeted support; with peer-led support opportunities</t>
  </si>
  <si>
    <t>This is a contract with Rethink to support clients with mental health , the table to the right shows activity for 2 years, there are 8 fte support staff and 1 manager</t>
  </si>
  <si>
    <t>Dudley1003Whole Population Prevention / Population Health ManagementDFG Related SchemesHandyperson services</t>
  </si>
  <si>
    <t>Provision of intermediate, reablement crisis support and step down services</t>
  </si>
  <si>
    <t>Dudley1005Whole Population Prevention / Population Health ManagementCarers ServicesOther</t>
  </si>
  <si>
    <t>Dudley2001Urgent Care Needs – Integrated Access &amp; Rapid ResponseHome-based intermediate care servicesReablement at home (accepting step up and step down users)</t>
  </si>
  <si>
    <t>Urgent Care Needs – Integrated Access &amp; Rapid Response</t>
  </si>
  <si>
    <t>Out of Hospital Team to co-ordinate and support timely discharge of clients from hospital</t>
  </si>
  <si>
    <t>This is the hospital teams that support individuals out of hospital there are currently 53 staff in post and weekly contracts of 33 hours , they cover Derby Royal  Chesterfield  and the out of county and community hospitals  There were 9,500 episodes dealt with  last year that were moved to various settings 50% home care 15% in to CSB beds across the system ., 34% in to short term or long term residential settings</t>
  </si>
  <si>
    <t>Dudley3001Ongoing Care Needs - Enhanced Primary &amp; Community CareHome Care or Domiciliary CareDomiciliary care packages</t>
  </si>
  <si>
    <t>Ongoing Care Needs - Enhanced Primary &amp; Community Care</t>
  </si>
  <si>
    <t>Trained Dementia Support Workers available to help people with dementia and their carers to access further information, support and advice</t>
  </si>
  <si>
    <t xml:space="preserve">this is home care for people leaving hospital  on average 400 care hours per week are delivered </t>
  </si>
  <si>
    <t>Dudley3003Ongoing Care Needs - Enhanced Primary &amp; Community CareCarers ServicesRespite services</t>
  </si>
  <si>
    <t>Provision of equipment to support people to maintain their independence in the community</t>
  </si>
  <si>
    <t xml:space="preserve">There ae currently  3, 800 clients in  receipt of telecare. Of these 1,657 are legacy clients  . Most of the costs are  with the districts in relation to alarm responses and maintenance </t>
  </si>
  <si>
    <t>Dudley4001Highest Care Needs – coordinated community-based and inpatient careHome-based intermediate care servicesReablement at home (accepting step up and step down users)</t>
  </si>
  <si>
    <t>Highest Care Needs – coordinated community-based and inpatient care</t>
  </si>
  <si>
    <t>Help delivery of the Carers Strategy through Carer personal budgets, commissioned Carer Service and emergency home-based respite</t>
  </si>
  <si>
    <t>Dudley4003Highest Care Needs – coordinated community-based and inpatient careBed based intermediate Care Services (Reablement, rehabilitation, wider short-term services supporting recovery)Bed-based intermediate care with reablement (to support discharge)</t>
  </si>
  <si>
    <t>Improve adult element of the all age pathway for people with autism; increasing access to peer support/befriending/short term skills development</t>
  </si>
  <si>
    <t>There are 2 contracts with  Citizen Advice and Relate  £120k .It also provides  care packages and support for clients with  a diagnosis  of Autism, Relate help individuals,  families and carers cope with living with  Autism , A 1 day course for living with  autism was provided  which attracted 130 people . 143 people accessed the one to one therapeutic courses  there is also a help line which  operates 2 days pm only  that sign post and provide advice to individuals. 
Citizen advice details are below</t>
  </si>
  <si>
    <t>Dudley4004Highest Care Needs – coordinated community-based and inpatient careHome-based intermediate care servicesReablement at home (accepting step up and step down users)</t>
  </si>
  <si>
    <t>168 hours per day of private care provided to facilitate discharge from UHDB and CRH</t>
  </si>
  <si>
    <t>Dudley4006Highest Care Needs – coordinated community-based and inpatient careHome Care or Domiciliary CareDomiciliary care packages</t>
  </si>
  <si>
    <t>to provide increase in transport capacity to discharge patients</t>
  </si>
  <si>
    <t>Dudley4007Highest Care Needs – coordinated community-based and inpatient careBed based intermediate Care Services (Reablement, rehabilitation, wider short-term services supporting recovery)Other</t>
  </si>
  <si>
    <t>Increase and improve Community (CRT) team providing P1 care to support discharge 7 per week</t>
  </si>
  <si>
    <t>Dudley4010Highest Care Needs – coordinated community-based and inpatient careHome-based intermediate care servicesOther</t>
  </si>
  <si>
    <t>scheme to deliver low level P0 support for transport home and same day support</t>
  </si>
  <si>
    <t>Dudley4013Highest Care Needs – coordinated community-based and inpatient careHome Care or Domiciliary CareDomiciliary care packages</t>
  </si>
  <si>
    <t>Dudley5001Discharge to AssessHome Care or Domiciliary CareDomiciliary care packages</t>
  </si>
  <si>
    <t>Dudley5001Discharge to AssessHome-based intermediate care servicesReablement at home (accepting step up and step down users)</t>
  </si>
  <si>
    <t>Dudley5003Additional equipment Assistive Technologies and EquipmentCommunity based equipment</t>
  </si>
  <si>
    <t xml:space="preserve">Additional equipment </t>
  </si>
  <si>
    <t>Dudley232501Tissue Viability ServiceAssistive Technologies and EquipmentCommunity based equipment</t>
  </si>
  <si>
    <t>Tissue Viability Service</t>
  </si>
  <si>
    <t>Carer advice and support</t>
  </si>
  <si>
    <t>Dudley232502Clinical HubUrgent Community Response</t>
  </si>
  <si>
    <t>Clinical Hub</t>
  </si>
  <si>
    <t>Dudley232503Palliative and End of Life Care – dedicated Domiciliary Care TeamsCommunity Based SchemesMultidisciplinary teams that are supporting independence, such as anticipatory care</t>
  </si>
  <si>
    <t>Palliative and End of Life Care – dedicated Domiciliary Care Teams</t>
  </si>
  <si>
    <t>Dudley232504Own Bed Instead (OBI)High Impact Change Model for Managing Transfer of CareHome First/Discharge to Assess - process support/core costs</t>
  </si>
  <si>
    <t>Own Bed Instead (OBI)</t>
  </si>
  <si>
    <t>Dudley232505Long Term Conditions Nurses - Hospital Avoidance TeamCommunity Based SchemesMultidisciplinary teams that are supporting independence, such as anticipatory care</t>
  </si>
  <si>
    <t>Long Term Conditions Nurses - Hospital Avoidance Team</t>
  </si>
  <si>
    <t>Dudley232508Pathway 3 BedsBed based intermediate Care Services (Reablement, rehabilitation, wider short-term services supporting recovery)Bed-based intermediate care with reablement (to support discharge)</t>
  </si>
  <si>
    <t>Pathway 3 Beds</t>
  </si>
  <si>
    <t>Dudley232509Pathway 2 Neuro Rehab BedsBed based intermediate Care Services (Reablement, rehabilitation, wider short-term services supporting recovery)Bed-based intermediate care with rehabilitation (to support discharge)</t>
  </si>
  <si>
    <t>Pathway 2 Neuro Rehab Beds</t>
  </si>
  <si>
    <t>Dudley232510Pathway 2 Neuro Rehab Beds ASCDFBed based intermediate Care Services (Reablement, rehabilitation, wider short-term services supporting recovery)Bed-based intermediate care with rehabilitation (to support discharge)</t>
  </si>
  <si>
    <t>Pathway 2 Neuro Rehab Beds ASCDF</t>
  </si>
  <si>
    <t>Ealing32LA Contribution towards reablement cost from HomewardHome Care or Domiciliary CareDomiciliary care to support hospital discharge (Discharge to Assess pathway 1)</t>
  </si>
  <si>
    <t>LA Contribution towards reablement cost from Homeward</t>
  </si>
  <si>
    <t>Ealing12LA Community Equipment - Health SpendAssistive Technologies and EquipmentCommunity based equipment</t>
  </si>
  <si>
    <t>LA Community Equipment - Health Spend</t>
  </si>
  <si>
    <t>Ealing22LA Community eqipment - Contribution to LAAssistive Technologies and EquipmentCommunity based equipment</t>
  </si>
  <si>
    <t>LA Community eqipment - Contribution to LA</t>
  </si>
  <si>
    <t>Ealing24LA Care Act (Placements &amp; Carers Respite)Residential PlacementsCare home</t>
  </si>
  <si>
    <t>LA Care Act (Placements &amp; Carers Respite)</t>
  </si>
  <si>
    <t>Ealing25LA Homecare for Older PeopleHome Care or Domiciliary CareDomiciliary care packages</t>
  </si>
  <si>
    <t>LA Homecare for Older People</t>
  </si>
  <si>
    <t>Ealing35LA Homecare for Older PeopleHome Care or Domiciliary CareDomiciliary care packages</t>
  </si>
  <si>
    <t>DFG - Mandatory work</t>
  </si>
  <si>
    <t>Housing Support</t>
  </si>
  <si>
    <t>Ealing26LA Mental Health placementsResidential PlacementsCare home</t>
  </si>
  <si>
    <t>LA Mental Health placements</t>
  </si>
  <si>
    <t>DFG - Stairlifts</t>
  </si>
  <si>
    <t>Ealing1ICB Adult Community NursingCommunity Based SchemesMultidisciplinary teams that are supporting independence, such as anticipatory care</t>
  </si>
  <si>
    <t>ICB Adult Community Nursing</t>
  </si>
  <si>
    <t>DFG - Ecoflex</t>
  </si>
  <si>
    <t>Ealing8ICB Rehabilitation Beds - General &amp; Complex General - bed numbersBed based intermediate Care Services (Reablement, rehabilitation, wider short-term services supporting recovery)Bed-based intermediate care with rehabilitation (to support discharge)</t>
  </si>
  <si>
    <t>ICB Rehabilitation Beds - General &amp; Complex General - bed numbers</t>
  </si>
  <si>
    <t>DFG - Moving funds</t>
  </si>
  <si>
    <t>Ealing56ICB Discharge Funding - Mental Health Step Down BedsBed based intermediate Care Services (Reablement, rehabilitation, wider short-term services supporting recovery)Bed-based intermediate care with rehabilitation (to support discharge)</t>
  </si>
  <si>
    <t>ICB Discharge Funding - Mental Health Step Down Beds</t>
  </si>
  <si>
    <t>DFG - Safety applications</t>
  </si>
  <si>
    <t>Ealing38LA Community EquipmentAssistive Technologies and EquipmentCommunity based equipment</t>
  </si>
  <si>
    <t>LA Community Equipment</t>
  </si>
  <si>
    <t>DFG - Hoarding/dementia approved</t>
  </si>
  <si>
    <t>Ealing39LA Residential placementsResidential placementsCare home</t>
  </si>
  <si>
    <t>LA Residential placements</t>
  </si>
  <si>
    <t>Residential placements</t>
  </si>
  <si>
    <t>DFG - Modular ramps</t>
  </si>
  <si>
    <t>Ealing40LA Residential placementsResidential placementsCare home</t>
  </si>
  <si>
    <t xml:space="preserve">Adult Equipment Store </t>
  </si>
  <si>
    <t>Ealing41LA Residential placementsResidential placementsCare home</t>
  </si>
  <si>
    <t>Ealing42LA Residential placementsResidential placementsCare home</t>
  </si>
  <si>
    <t>Ealing43LA Learning Disability Short BreaksResidential placementsCare home</t>
  </si>
  <si>
    <t>LA Learning Disability Short Breaks</t>
  </si>
  <si>
    <t>Ealing48LA DFGDFG Related SchemesAdaptations, including statutory DFG grants</t>
  </si>
  <si>
    <t>LA DFG</t>
  </si>
  <si>
    <t>Children Equipment Store</t>
  </si>
  <si>
    <t>Ealing49LA Older People PlacementsResidential PlacementsCare home</t>
  </si>
  <si>
    <t>LA Older People Placements</t>
  </si>
  <si>
    <t>Ealing50LA Mental Health PLacementsResidential placementsCare home</t>
  </si>
  <si>
    <t>LA Mental Health PLacements</t>
  </si>
  <si>
    <t>Ealing51LA Physical Diability PlacementsResidential placementsCare home</t>
  </si>
  <si>
    <t>LA Physical Diability Placements</t>
  </si>
  <si>
    <t>Ealing52LA Learning Disability PlacementsResidential placementsCare home</t>
  </si>
  <si>
    <t>LA Learning Disability Placements</t>
  </si>
  <si>
    <t>Ealing60ICB Discharge Funding - Complex Discharge supportHigh Impact Change Model for Managing Transfer of CareEarly Discharge Planning</t>
  </si>
  <si>
    <t>ICB Discharge Funding - Complex Discharge support</t>
  </si>
  <si>
    <t>Ealing1LA Adult Social Care Discharge GrantHome Care or Domiciliary CareDomiciliary care to support hospital discharge (Discharge to Assess pathway 1)</t>
  </si>
  <si>
    <t>LA Adult Social Care Discharge Grant</t>
  </si>
  <si>
    <t>Fraility and Community Care</t>
  </si>
  <si>
    <t>Ealing2LA Adult Social Care Discharge GrantResidential PlacementsShort-term residential/nursing care for someone likely to require a longer-term care home replacement</t>
  </si>
  <si>
    <t>ND2 Home Based Intensive Rehab</t>
  </si>
  <si>
    <t>Ealing18ICB Intermediate Care - Community team and Bedded ServiceBed based intermediate Care Services (Reablement, rehabilitation, wider short-term services supporting recovery)Bed-based intermediate care with rehabilitation accepting step up and step down users</t>
  </si>
  <si>
    <t>ICB Intermediate Care - Community team and Bedded Service</t>
  </si>
  <si>
    <t>East Riding of Yorkshire2Integrated Intermediate Care ServiceHome-based intermediate care servicesJoint reablement and rehabilitation service (accepting step up and step down users)</t>
  </si>
  <si>
    <t>Integrated Intermediate Care Service</t>
  </si>
  <si>
    <t>Home based Intermediate Care</t>
  </si>
  <si>
    <t>East Riding of Yorkshire6Disabled Facilities GrantDFG Related SchemesAdaptations, including statutory DFG grants</t>
  </si>
  <si>
    <t>ED2 Home Based Reable WEB H@Home</t>
  </si>
  <si>
    <t>East Riding of Yorkshire7Disabled Facilities GrantDFG Related SchemesDiscretionary use of DFG</t>
  </si>
  <si>
    <t>East Riding of Yorkshire20Carers Dementia Support Carers ServicesCarer advice and support related to Care Act duties</t>
  </si>
  <si>
    <t xml:space="preserve">Carers Dementia Support </t>
  </si>
  <si>
    <t>ED3 Home Based Reable Wakley</t>
  </si>
  <si>
    <t>East Riding of Yorkshire30ReablementHome-based intermediate care servicesJoint reablement and rehabilitation service (accepting step up and step down users)</t>
  </si>
  <si>
    <t>East Riding of Yorkshire31Technology enabled CareAssistive Technologies and EquipmentAssistive technologies including telecare</t>
  </si>
  <si>
    <t>Technology enabled Care</t>
  </si>
  <si>
    <t>ND1 Personal care inc Dom</t>
  </si>
  <si>
    <t>East Riding of Yorkshire33Fall lifting equipmentAssistive Technologies and EquipmentOther</t>
  </si>
  <si>
    <t>Fall lifting equipment</t>
  </si>
  <si>
    <t>East Riding of Yorkshire34Community EquipmentAssistive Technologies and EquipmentAssistive technologies including telecare</t>
  </si>
  <si>
    <t>ND8 Recuperative Placements</t>
  </si>
  <si>
    <t>East Riding of Yorkshire40Community equipment serviceAssistive Technologies and EquipmentAssistive technologies including telecare</t>
  </si>
  <si>
    <t>Community equipment service</t>
  </si>
  <si>
    <t>East Riding of Yorkshire45Discharge fund schemesBed based intermediate Care Services (Reablement, rehabilitation, wider short-term services supporting recovery)Other</t>
  </si>
  <si>
    <t>Discharge fund schemes</t>
  </si>
  <si>
    <t>East Riding of Yorkshire46Community equipment for hospitalAssistive Technologies and EquipmentAssistive technologies including telecare</t>
  </si>
  <si>
    <t>Community equipment for hospital</t>
  </si>
  <si>
    <t>East Riding of Yorkshire50Short term packagesHome Care or Domiciliary CareShort term domiciliary care (without reablement input)</t>
  </si>
  <si>
    <t>Short term packages</t>
  </si>
  <si>
    <t>East Sussex4Milton Grange - Community Bed Based Intermediate Care Bed based intermediate Care Services (Reablement, rehabilitation, wider short-term services supporting recovery)Bed-based intermediate care with reablement accepting step up and step down users</t>
  </si>
  <si>
    <t xml:space="preserve">Milton Grange - Community Bed Based Intermediate Care </t>
  </si>
  <si>
    <t>Prevention / Early Intervention</t>
  </si>
  <si>
    <t>East Sussex5Community Bed Based Intermediate Care Bed based intermediate Care Services (Reablement, rehabilitation, wider short-term services supporting recovery)Bed-based intermediate care with rehabilitation (to support discharge)</t>
  </si>
  <si>
    <t xml:space="preserve">Community Bed Based Intermediate Care </t>
  </si>
  <si>
    <t>Carers Services lead to support carers to ensure they get respite</t>
  </si>
  <si>
    <t>East Sussex5Community Bed Based Intermediate Care Bed based intermediate Care Services (Reablement, rehabilitation, wider short-term services supporting recovery)Bed-based intermediate care with reablement (to support discharge)</t>
  </si>
  <si>
    <t>Carers Service to support carers to ensure they get respite</t>
  </si>
  <si>
    <t>East Sussex6Joint Community Rehabilitation ServicesHome-based intermediate care servicesJoint reablement and rehabilitation service (accepting step up and step down users)</t>
  </si>
  <si>
    <t>Joint Community Rehabilitation Services</t>
  </si>
  <si>
    <t>Resource to support STEPS, short term reablement in person's own home</t>
  </si>
  <si>
    <t>East Sussex7Carers ServciesCarers ServicesRespite services</t>
  </si>
  <si>
    <t>Carers Servcies</t>
  </si>
  <si>
    <t>STEPS Community short term reablement - 6 weeks in person's home
part of the Health and Social Care approach Rapid Response service. Available to avoid a hospital admission and person can be supported at home Predominantly over 65s</t>
  </si>
  <si>
    <t>East Sussex7Carers Services  Carers ServicesRespite services</t>
  </si>
  <si>
    <t xml:space="preserve">Carers Services  </t>
  </si>
  <si>
    <t xml:space="preserve">Home emergency alarm response team deals with emergency call outs which are activated through client pendant alarm.  </t>
  </si>
  <si>
    <t>East Sussex8Carers Services  Carers ServicesCarer advice and support related to Care Act duties</t>
  </si>
  <si>
    <t>Social Care Assessment unit (not static)that provides up to 6 week support for people transferred from hospital to assess them for their best destination (home/ 24 hour care / care) to support more complex patients from hospital and enable a reduction in the numbers of people delayed in their transfer of care from the acute hospital</t>
  </si>
  <si>
    <t>East Sussex9Disabled Facilities GrantDFG Related SchemesAdaptations, including statutory DFG grants</t>
  </si>
  <si>
    <t>Part of Steps part of SPA with RDaSH.  Involved in hospital discharge &amp; based at Opal Centre Tickhill Road - now a pathway and route for hospital discharge</t>
  </si>
  <si>
    <t>East Sussex10Disabled Facilities GrantDFG Related SchemesDiscretionary use of DFG</t>
  </si>
  <si>
    <t>Occcupational Therapist Support</t>
  </si>
  <si>
    <t>East Sussex17Intermediate Care ServicesHome-based intermediate care servicesRehabilitation at home (accepting step up and step down users)</t>
  </si>
  <si>
    <t>Occupational Therapist Support</t>
  </si>
  <si>
    <t>East Sussex31ICES Pooled Budget Assistive Technologies and EquipmentCommunity based equipment</t>
  </si>
  <si>
    <t xml:space="preserve">ICES Pooled Budget </t>
  </si>
  <si>
    <t>Services that help people to remain in their homes</t>
  </si>
  <si>
    <t>East Sussex34Domiciliary care capacity Home Care or Domiciliary CareDomiciliary care packages</t>
  </si>
  <si>
    <t xml:space="preserve">Domiciliary care capacity </t>
  </si>
  <si>
    <t xml:space="preserve">Residential Placements with supported living arrangements </t>
  </si>
  <si>
    <t>East Sussex38Domiciliary Home care capacity Home Care or Domiciliary CareDomiciliary care to support hospital discharge (Discharge to Assess pathway 1)</t>
  </si>
  <si>
    <t xml:space="preserve">Domiciliary Home care capacity </t>
  </si>
  <si>
    <t>Residential Placements to care homes</t>
  </si>
  <si>
    <t>Enfield1DFG DFG Related SchemesAdaptations, including statutory DFG grants</t>
  </si>
  <si>
    <t xml:space="preserve">DFG </t>
  </si>
  <si>
    <t>Residential Placements to nursing homes</t>
  </si>
  <si>
    <t>Enfield2DFG / Social Care Capital Grant DFG Related SchemesDiscretionary use of DFG</t>
  </si>
  <si>
    <t xml:space="preserve">DFG / Social Care Capital Grant </t>
  </si>
  <si>
    <t>Investment in Adult Social Care to reflect increasing demand in residential placements</t>
  </si>
  <si>
    <t>Enfield3D2A Pathway 1Home Care or Domiciliary CareDomiciliary care to support hospital discharge (Discharge to Assess pathway 1)</t>
  </si>
  <si>
    <t>D2A Pathway 1</t>
  </si>
  <si>
    <t>Investment in adult social care to reflect increasing demand in services for home care or domiciliary care</t>
  </si>
  <si>
    <t>Enfield4D2A Pathway 1Home Care or Domiciliary CareDomiciliary care to support hospital discharge (Discharge to Assess pathway 1)</t>
  </si>
  <si>
    <t>Investment in adult social care to reflect increasing demand in residential placements offering extra care</t>
  </si>
  <si>
    <t>Enfield5D2A Pathway 1Home Care or Domiciliary CareDomiciliary care to support hospital discharge (Discharge to Assess pathway 1)</t>
  </si>
  <si>
    <t>Investment in adult social care to reflect increasing demand in residential placements offering supported living</t>
  </si>
  <si>
    <t>Enfield8Wheel Chair Services Assistive Technologies and EquipmentCommunity based equipment</t>
  </si>
  <si>
    <t xml:space="preserve">Wheel Chair Services </t>
  </si>
  <si>
    <t>Enfield10Carers Services Carers ServicesCarer advice and support related to Care Act duties</t>
  </si>
  <si>
    <t xml:space="preserve">Carers Services </t>
  </si>
  <si>
    <t>Enfield14Workforce Recruitment and retention Bed based intermediate Care Services (Reablement, rehabilitation, wider short-term services supporting recovery)Bed-based intermediate care with reablement (to support discharge)</t>
  </si>
  <si>
    <t xml:space="preserve">Workforce Recruitment and retention </t>
  </si>
  <si>
    <t xml:space="preserve">To support clients transitioning from children's to adult services </t>
  </si>
  <si>
    <t>Enfield16D2A Pathway 3Residential PlacementsShort term residential care (without rehabilitation or reablement input)</t>
  </si>
  <si>
    <t>D2A Pathway 3</t>
  </si>
  <si>
    <t>Domilliary care to support hospital discharge</t>
  </si>
  <si>
    <t>Enfield18Home Based intermediate care services (pathway1)Home Care or Domiciliary CareDomiciliary care to support hospital discharge (Discharge to Assess pathway 1)</t>
  </si>
  <si>
    <t>Home Based intermediate care services (pathway1)</t>
  </si>
  <si>
    <t>DFG related schemes</t>
  </si>
  <si>
    <t>Enfield20Residential Placements Pathway 3Residential PlacementsShort term residential care (without rehabilitation or reablement input)</t>
  </si>
  <si>
    <t>Residential Placements Pathway 3</t>
  </si>
  <si>
    <t xml:space="preserve">Enfield25D2A Pathway 1 (ICB)Home-based intermediate care servicesReablement at home (to support discharge) </t>
  </si>
  <si>
    <t>D2A Pathway 1 (ICB)</t>
  </si>
  <si>
    <t>This service aims to provide short-term practical help for older people returning to their home after a period in hospital.  It is designed to help people re-adjust to living at home again, gain in confidence, and provide short-term practical help following hospital discharge</t>
  </si>
  <si>
    <t>Enfield27P3 Beds (ICB)Bed based intermediate Care Services (Reablement, rehabilitation, wider short-term services supporting recovery)Bed-based intermediate care with rehabilitation (to support discharge)</t>
  </si>
  <si>
    <t>P3 Beds (ICB)</t>
  </si>
  <si>
    <t xml:space="preserve">Intermediate Care Services </t>
  </si>
  <si>
    <t>Enfield28D2A Plan (P1) Home Care or Domiciliary CareDomiciliary care to support hospital discharge (Discharge to Assess pathway 1)</t>
  </si>
  <si>
    <t xml:space="preserve">D2A Plan (P1) </t>
  </si>
  <si>
    <t xml:space="preserve">Services to support carers to ensure they get respite </t>
  </si>
  <si>
    <t>Essex10001POSC Domiciliary Reablement Main ContractHome-based intermediate care servicesReablement at home (accepting step up and step down users)</t>
  </si>
  <si>
    <t>POSC Domiciliary Reablement Main Contract</t>
  </si>
  <si>
    <t>Capacity to improve discharges via pathway 1</t>
  </si>
  <si>
    <t>Essex10002POSC Live at Home ServiceHome Care or Domiciliary CareDomiciliary care packages</t>
  </si>
  <si>
    <t>POSC Live at Home Service</t>
  </si>
  <si>
    <t>Funding of residential placements</t>
  </si>
  <si>
    <t>Essex10003Carers BreaksCarers ServicesRespite services</t>
  </si>
  <si>
    <t>Funding for domiciliary care</t>
  </si>
  <si>
    <t>Essex10004Care ActCarers ServicesOther</t>
  </si>
  <si>
    <t>Care Act</t>
  </si>
  <si>
    <t>Dorset Accessible Homes Service administering DFG</t>
  </si>
  <si>
    <t>Essex12308MSE ICB - ME Community ServicesBed based intermediate Care Services (Reablement, rehabilitation, wider short-term services supporting recovery)Bed-based intermediate care with rehabilitation accepting step up and step down users</t>
  </si>
  <si>
    <t>MSE ICB - ME Community Services</t>
  </si>
  <si>
    <t>Mental health &amp; dementia support - nursing home</t>
  </si>
  <si>
    <t>Essex12310MSE ICB - ME Community ServicesHome-based intermediate care servicesRehabilitation at home (accepting step up and step down users)</t>
  </si>
  <si>
    <t>Dorset Accessible Homes Service provision of AT and equipment</t>
  </si>
  <si>
    <t>Essex12208MSE ICB - CPR Community ServicesBed based intermediate Care Services (Reablement, rehabilitation, wider short-term services supporting recovery)Bed-based intermediate care with rehabilitation accepting step up and step down users</t>
  </si>
  <si>
    <t>MSE ICB - CPR Community Services</t>
  </si>
  <si>
    <t>Direct payment budget for carers</t>
  </si>
  <si>
    <t>Essex12210MSE ICB - CPR Community ServicesHome-based intermediate care servicesRehabilitation at home (accepting step up and step down users)</t>
  </si>
  <si>
    <t>Carers case workers</t>
  </si>
  <si>
    <t>Essex12108MSE ICB - BB Community ServicesBed based intermediate Care Services (Reablement, rehabilitation, wider short-term services supporting recovery)Bed-based intermediate care with rehabilitation accepting step up and step down users</t>
  </si>
  <si>
    <t>MSE ICB - BB Community Services</t>
  </si>
  <si>
    <t>Carer's support service to support those care for people with mental health</t>
  </si>
  <si>
    <t>Essex12110MSE ICB - BB Community ServicesHome-based intermediate care servicesRehabilitation at home (accepting step up and step down users)</t>
  </si>
  <si>
    <t>Carer engagement</t>
  </si>
  <si>
    <t>Essex20001IBCF meeting social care needs (Care tech)Assistive Technologies and EquipmentAssistive technologies including telecare</t>
  </si>
  <si>
    <t>IBCF meeting social care needs (Care tech)</t>
  </si>
  <si>
    <t>Respite care, short breaks for carers</t>
  </si>
  <si>
    <t>Essex20003IBCF meeting social care needs (Nursing)Residential PlacementsNursing home</t>
  </si>
  <si>
    <t>IBCF meeting social care needs (Nursing)</t>
  </si>
  <si>
    <t>GP practice carers support accreditations scheme</t>
  </si>
  <si>
    <t>GP training</t>
  </si>
  <si>
    <t>Essex20004IBCF meeting social care needs (Dom Care over 85s)Home Care or Domiciliary CareDomiciliary care packages</t>
  </si>
  <si>
    <t>IBCF meeting social care needs (Dom Care over 85s)</t>
  </si>
  <si>
    <t>Carers training programme</t>
  </si>
  <si>
    <t>Carers training/ activities</t>
  </si>
  <si>
    <t>Essex20014IBCF - Winter Pressure scheme - Reablement (ARC)Home-based intermediate care servicesReablement at home (accepting step up and step down users)</t>
  </si>
  <si>
    <t>IBCF - Winter Pressure scheme - Reablement (ARC)</t>
  </si>
  <si>
    <t>Dorset Integrated Community Equipment Service</t>
  </si>
  <si>
    <t>Essex40001ECC discharge - ctywide Incentive Scheme Home CareHome Care or Domiciliary CareDomiciliary care packages</t>
  </si>
  <si>
    <t>ECC discharge - ctywide Incentive Scheme Home Care</t>
  </si>
  <si>
    <t>Joint purchasing of care</t>
  </si>
  <si>
    <t>Essex40002ECC discharge - ctywide Incentive Scheme ResidentialResidential PlacementsCare home</t>
  </si>
  <si>
    <t>ECC discharge - ctywide Incentive Scheme Residential</t>
  </si>
  <si>
    <t>Essex40006ECC discharge - Recovery to Home beds Bed based intermediate Care Services (Reablement, rehabilitation, wider short-term services supporting recovery)Bed-based intermediate care with reablement (to support discharge)</t>
  </si>
  <si>
    <t xml:space="preserve">ECC discharge - Recovery to Home beds </t>
  </si>
  <si>
    <t>A combination of telecare, wellness and digital participation services</t>
  </si>
  <si>
    <t xml:space="preserve">Essex40009ECC discharge - Additional ReablementHome-based intermediate care servicesReablement at home (to support discharge) </t>
  </si>
  <si>
    <t>ECC discharge - Additional Reablement</t>
  </si>
  <si>
    <t>Home care capacity investment</t>
  </si>
  <si>
    <t>Essex30101DFG Basildon Stairlift GrantDFG Related SchemesAdaptations, including statutory DFG grants</t>
  </si>
  <si>
    <t>DFG Basildon Stairlift Grant</t>
  </si>
  <si>
    <t>Locality Based Prevention Hubs - Carer support</t>
  </si>
  <si>
    <t>Essex30102DFG Basildon All other mandatory GrantsDFG Related SchemesAdaptations, including statutory DFG grants</t>
  </si>
  <si>
    <t>DFG Basildon All other mandatory Grants</t>
  </si>
  <si>
    <t>Community Equipment Stores</t>
  </si>
  <si>
    <t>Essex30103DFG Basildon Discretionary GrantDFG Related SchemesDiscretionary use of DFG</t>
  </si>
  <si>
    <t>DFG Basildon Discretionary Grant</t>
  </si>
  <si>
    <t>Essex30201DFG Braintree Mandatory DFGDFG Related SchemesAdaptations, including statutory DFG grants</t>
  </si>
  <si>
    <t>DFG Braintree Mandatory DFG</t>
  </si>
  <si>
    <t>Essex30202DFG Braintree Discretionary DFGDFG Related SchemesDiscretionary use of DFG</t>
  </si>
  <si>
    <t>DFG Braintree Discretionary DFG</t>
  </si>
  <si>
    <t>DFG - ASC Equipment Capital Costs</t>
  </si>
  <si>
    <t>Essex30203DFG Braintree Handyman ServiceDFG Related SchemesHandyperson services</t>
  </si>
  <si>
    <t>DFG Braintree Handyman Service</t>
  </si>
  <si>
    <t>DFG - Net Zero Neighbourhood Scheme</t>
  </si>
  <si>
    <t>Essex30301DFG Brentwood Disabled Facilities GrantsDFG Related SchemesAdaptations, including statutory DFG grants</t>
  </si>
  <si>
    <t>DFG Brentwood Disabled Facilities Grants</t>
  </si>
  <si>
    <t>DFG - Housing Assistance</t>
  </si>
  <si>
    <t>Essex30401DFG Castle Point DFG related spendDFG Related SchemesAdaptations, including statutory DFG grants</t>
  </si>
  <si>
    <t>DFG Castle Point DFG related spend</t>
  </si>
  <si>
    <t>DFG - Minor Adaptations</t>
  </si>
  <si>
    <t>Essex30402DFG Castle Point DFG related spendDFG Related SchemesDiscretionary use of DFG</t>
  </si>
  <si>
    <t>DFG - Handypersons Capital Costs</t>
  </si>
  <si>
    <t>Essex30601DFG Colchester Mandatory Disabled Facilities GrantDFG Related SchemesAdaptations, including statutory DFG grants</t>
  </si>
  <si>
    <t>DFG Colchester Mandatory Disabled Facilities Grant</t>
  </si>
  <si>
    <t>DFG - Prior year carry forward</t>
  </si>
  <si>
    <t>Essex30602DFG Colchester Fast-Track GrantDFG Related SchemesDiscretionary use of DFG</t>
  </si>
  <si>
    <t>DFG Colchester Fast-Track Grant</t>
  </si>
  <si>
    <t>Careres Network Team</t>
  </si>
  <si>
    <t>Essex30603DFG Colchester Home Repair LoanDFG Related SchemesDiscretionary use of DFG</t>
  </si>
  <si>
    <t>DFG Colchester Home Repair Loan</t>
  </si>
  <si>
    <t>Out of Hours</t>
  </si>
  <si>
    <t>Essex30604DFG Colchester Disabled Facilities Assistance DFG Related SchemesDiscretionary use of DFG</t>
  </si>
  <si>
    <t xml:space="preserve">DFG Colchester Disabled Facilities Assistance </t>
  </si>
  <si>
    <t>Essex30605DFG Colchester Stairlift Grant DFG Related SchemesDiscretionary use of DFG</t>
  </si>
  <si>
    <t xml:space="preserve">DFG Colchester Stairlift Grant </t>
  </si>
  <si>
    <t>Essex30701DFG Epping Forest Stairlift GrantsDFG Related SchemesDiscretionary use of DFG</t>
  </si>
  <si>
    <t>DFG Epping Forest Stairlift Grants</t>
  </si>
  <si>
    <t>Essex30702DFG Epping Forest DFGDFG Related SchemesAdaptations, including statutory DFG grants</t>
  </si>
  <si>
    <t>DFG Epping Forest DFG</t>
  </si>
  <si>
    <t>Essex30703DFG Epping Forest DFGDFG Related SchemesDiscretionary use of DFG</t>
  </si>
  <si>
    <t>Direct Payments</t>
  </si>
  <si>
    <t>Essex30801DFG Harlow Fast track GrantsDFG Related SchemesDiscretionary use of DFG</t>
  </si>
  <si>
    <t>DFG Harlow Fast track Grants</t>
  </si>
  <si>
    <t>Living independentley Team - Community Reablement</t>
  </si>
  <si>
    <t>Essex30802DFG Harlow Small Works GrantsDFG Related SchemesDiscretionary use of DFG</t>
  </si>
  <si>
    <t>DFG Harlow Small Works Grants</t>
  </si>
  <si>
    <t>Essex30803DFG Harlow DFGDFG Related SchemesAdaptations, including statutory DFG grants</t>
  </si>
  <si>
    <t>DFG Harlow DFG</t>
  </si>
  <si>
    <t>Tiled House</t>
  </si>
  <si>
    <t>Essex30804DFG Harlow Discretionary DFGDFG Related SchemesDiscretionary use of DFG</t>
  </si>
  <si>
    <t>DFG Harlow Discretionary DFG</t>
  </si>
  <si>
    <t>External reablement - packages of care</t>
  </si>
  <si>
    <t>Essex30805DFG Harlow OT ServicesDFG Related SchemesOther</t>
  </si>
  <si>
    <t>DFG Harlow OT Services</t>
  </si>
  <si>
    <t>Supported Living - MH</t>
  </si>
  <si>
    <t>Essex30901DFG Maldon Mandatory DFG related schemesDFG Related SchemesAdaptations, including statutory DFG grants</t>
  </si>
  <si>
    <t>DFG Maldon Mandatory DFG related schemes</t>
  </si>
  <si>
    <t>Essex31001DFG Rochford Statutory SpendDFG Related SchemesAdaptations, including statutory DFG grants</t>
  </si>
  <si>
    <t>DFG Rochford Statutory Spend</t>
  </si>
  <si>
    <t>Short Term beds</t>
  </si>
  <si>
    <t>Discharge 2 Assess</t>
  </si>
  <si>
    <t>Essex31101DFG Tendring DFGDFG Related SchemesAdaptations, including statutory DFG grants</t>
  </si>
  <si>
    <t>DFG Tendring DFG</t>
  </si>
  <si>
    <t>Short term beds</t>
  </si>
  <si>
    <t>Essex31102DFG Tendring Stairlift GrantDFG Related SchemesDiscretionary use of DFG</t>
  </si>
  <si>
    <t>DFG Tendring Stairlift Grant</t>
  </si>
  <si>
    <t>Enhanced therapy offer</t>
  </si>
  <si>
    <t>Preventing admissions to acute setting</t>
  </si>
  <si>
    <t>Essex31103DFG Tendring ERGDFG Related SchemesDiscretionary use of DFG</t>
  </si>
  <si>
    <t>DFG Tendring ERG</t>
  </si>
  <si>
    <t>DDS clients over 65</t>
  </si>
  <si>
    <t>Essex31104DFG Tendring DFADFG Related SchemesDiscretionary use of DFG</t>
  </si>
  <si>
    <t>DFG Tendring DFA</t>
  </si>
  <si>
    <t>Enhance the discharge to Assess model and increase capacity</t>
  </si>
  <si>
    <t>Essex31105DFG Tendring DFG Top UpDFG Related SchemesDiscretionary use of DFG</t>
  </si>
  <si>
    <t>DFG Tendring DFG Top Up</t>
  </si>
  <si>
    <t>Enhance the discharge to Assess model</t>
  </si>
  <si>
    <t>Essex31201DFG Uttlesford DFGDFG Related SchemesAdaptations, including statutory DFG grants</t>
  </si>
  <si>
    <t>DFG Uttlesford DFG</t>
  </si>
  <si>
    <t>To reduce the number of resource for pathway 1 we require additional equipment for the single handed equipment initiative</t>
  </si>
  <si>
    <t>Essex31202DFG Uttlesford DFGDFG Related SchemesDiscretionary use of DFG</t>
  </si>
  <si>
    <t>Provision of equipment to enable discharge of patients to their own home, mattresses/beds etc. (Drive Devilbiss - equipment only)</t>
  </si>
  <si>
    <t>Essex10005Carers First Contract (Countywide)Carers ServicesCarer advice and support related to Care Act duties</t>
  </si>
  <si>
    <t>Carers First Contract (Countywide)</t>
  </si>
  <si>
    <t>2 Hour Response and Admission Avoidance Service</t>
  </si>
  <si>
    <t>Essex51003North ICB - Increased acute Therapies to support dischargeBed based intermediate Care Services (Reablement, rehabilitation, wider short-term services supporting recovery)Bed-based intermediate care with rehabilitation (to support discharge)</t>
  </si>
  <si>
    <t>North ICB - Increased acute Therapies to support discharge</t>
  </si>
  <si>
    <t>Dedicated Domiciliary Care providing end of life care to people in own homes</t>
  </si>
  <si>
    <t xml:space="preserve">Essex51009North ICB - Home to AssessHome-based intermediate care servicesReablement at home (to support discharge) </t>
  </si>
  <si>
    <t>North ICB - Home to Assess</t>
  </si>
  <si>
    <t>OBI is a rehab service to support people in their own homes</t>
  </si>
  <si>
    <t>Essex52001MSE ICB - Discharge Spend - Ward Based EnablementBed based intermediate Care Services (Reablement, rehabilitation, wider short-term services supporting recovery)Bed-based intermediate care with reablement (to support discharge)</t>
  </si>
  <si>
    <t>MSE ICB - Discharge Spend - Ward Based Enablement</t>
  </si>
  <si>
    <t>Long Term Conditions Nurses (Hospital Avoidance Team)</t>
  </si>
  <si>
    <t xml:space="preserve">Gateshead1Managing Discharges and Admission AvoidanceHome-based intermediate care servicesReablement at home (to support discharge) </t>
  </si>
  <si>
    <t>Managing Discharges and Admission Avoidance</t>
  </si>
  <si>
    <t>Block Pathway 3 beds</t>
  </si>
  <si>
    <t>Gateshead2Market Shaping and StabilisationResidential PlacementsCare Home</t>
  </si>
  <si>
    <t>Market Shaping and Stabilisation</t>
  </si>
  <si>
    <t>Care Home</t>
  </si>
  <si>
    <t>Neuro-rehabilitation beds to aid discharge</t>
  </si>
  <si>
    <t>Gateshead2Market Shaping and StabilisationHome Care or Domiciliary CareDomiciliary care packages</t>
  </si>
  <si>
    <t>Additional bed based capacity to support acute discharges and maintain patient flow (In addition to West Park)</t>
  </si>
  <si>
    <t>Gateshead1Managing Discharges and Admission AvoidanceBed based intermediate Care Services (Reablement, rehabilitation, wider short-term services supporting recovery)Bed-based intermediate care with rehabilitation (to support discharge)</t>
  </si>
  <si>
    <t xml:space="preserve">Contribution to costs of reablement services </t>
  </si>
  <si>
    <t>Gateshead4Service PressuresHome Care or Domiciliary CareDomiciliary care packages</t>
  </si>
  <si>
    <t>Service Pressures</t>
  </si>
  <si>
    <t xml:space="preserve">Joint commissioning of community equipment </t>
  </si>
  <si>
    <t>Health Contribution to overall Contract</t>
  </si>
  <si>
    <t>Gateshead4Service PressuresBed based intermediate Care Services (Reablement, rehabilitation, wider short-term services supporting recovery)Bed-based intermediate care with rehabilitation (to support discharge)</t>
  </si>
  <si>
    <t xml:space="preserve">Joint commissioning of commuinty equipment </t>
  </si>
  <si>
    <t>Contribution to LA</t>
  </si>
  <si>
    <t>Gateshead4Service PressuresResidential PlacementsCare Home</t>
  </si>
  <si>
    <t xml:space="preserve">Care Act requirement - carers related support </t>
  </si>
  <si>
    <t>Gateshead5TransformationHome Care or Domiciliary CareDomiciliary care packages</t>
  </si>
  <si>
    <t>Transformation</t>
  </si>
  <si>
    <t>Contribution to costs homecare services - LA commissioned</t>
  </si>
  <si>
    <t>Gateshead6CarersCarers ServicesRespite Services</t>
  </si>
  <si>
    <t>Gateshead6CarersCarers ServicesOther</t>
  </si>
  <si>
    <t>Contribution to costs of social care services for people with Mental ill health</t>
  </si>
  <si>
    <t>Gateshead7Disabled Facilities GrantDFG Related SchemesAdaptations, including statutory DFG grants</t>
  </si>
  <si>
    <t>NHS Contract</t>
  </si>
  <si>
    <t>Gateshead1Managing Discharges and Admission AvoidanceHome Care or Domiciliary CareDomiciliary care to support hospital discharge (Discharge to Assess pathway 1)</t>
  </si>
  <si>
    <t>Beds in community setting at Clayponds Hospital to support rehab for Ealing residents in a safe environment</t>
  </si>
  <si>
    <t>Gateshead3Planned CareResidential PlacementsCare Home</t>
  </si>
  <si>
    <t>Planned Care</t>
  </si>
  <si>
    <t>Commissioning of 6 Beds to support flow of Mental Health patients out of the acute sector and into the community</t>
  </si>
  <si>
    <t>Gateshead3Planned CareHome Care or Domiciliary CareDomiciliary care packages</t>
  </si>
  <si>
    <t>Gateshead2Market Shaping and StabilisationHome Care or Domiciliary CareDomiciliary care to support hospital discharge (Discharge to Assess pathway 1)</t>
  </si>
  <si>
    <t>LA contribution to placements budgets (Older Adults)</t>
  </si>
  <si>
    <t>Gateshead1Managing Discharges and Admission AvoidanceAssistive Technologies and EquipmentAssistive technologies including telecare</t>
  </si>
  <si>
    <t>LA contribution to placements budgets (Mental Health)</t>
  </si>
  <si>
    <t>Gateshead1Managing Discharges and Admission AvoidanceResidential PlacementsShort term residential care (without rehabilitation or reablement input)</t>
  </si>
  <si>
    <t>LA contribution to placements budgets (Physical Disabilities)</t>
  </si>
  <si>
    <t>Gloucestershire2VCS DischargeHome-based intermediate care servicesRehabilitation at home (to support discharge)</t>
  </si>
  <si>
    <t>VCS Discharge</t>
  </si>
  <si>
    <t>LA contribution to placements budgets (Learning  Disabilities)</t>
  </si>
  <si>
    <t>Gloucestershire8Carers ServiceCarers ServicesOther</t>
  </si>
  <si>
    <t>Carers Service</t>
  </si>
  <si>
    <t>In house respite unit</t>
  </si>
  <si>
    <t>Gloucestershire35Home FirstHome Care or Domiciliary CareDomiciliary care to support hospital discharge (Discharge to Assess pathway 1)</t>
  </si>
  <si>
    <t>DFG services</t>
  </si>
  <si>
    <t>Greenwich1Disabled Facilities GrantDFG Related SchemesOther</t>
  </si>
  <si>
    <t>Greenwich9WheelchairsAssistive Technologies and EquipmentCommunity based equipment</t>
  </si>
  <si>
    <t>Wheelchairs</t>
  </si>
  <si>
    <t>Greenwich10Equipment Budget (ICES)Assistive Technologies and EquipmentCommunity based equipment</t>
  </si>
  <si>
    <t>Equipment Budget (ICES)</t>
  </si>
  <si>
    <t>Greenwich11Discharge to Assess SchemesBed based intermediate Care Services (Reablement, rehabilitation, wider short-term services supporting recovery)Bed-based intermediate care with rehabilitation (to support discharge)</t>
  </si>
  <si>
    <t>Discharge to Assess Schemes</t>
  </si>
  <si>
    <t>Greenwich13ReablementHome-based intermediate care servicesReablement at home (accepting step up and step down users)</t>
  </si>
  <si>
    <t>Scheme to support patients who are homeless, have challenging social behaviours, and dependencies</t>
  </si>
  <si>
    <t>Various</t>
  </si>
  <si>
    <t>Greenwich16Care and support (Care workers supporting residents to stay in their own homes)Home Care or Domiciliary CareDomiciliary care packages</t>
  </si>
  <si>
    <t>Care and support (Care workers supporting residents to stay in their own homes)</t>
  </si>
  <si>
    <t>LA Discharge Grant</t>
  </si>
  <si>
    <t>Greenwich17Double handed supportHome Care or Domiciliary CareDomiciliary care packages</t>
  </si>
  <si>
    <t>Double handed support</t>
  </si>
  <si>
    <t>Greenwich19Home CareHome Care or Domiciliary CareDomiciliary care packages</t>
  </si>
  <si>
    <t>Community Bedded Service supporting admission avoidance and Discharge</t>
  </si>
  <si>
    <t>Greenwich20Discharge to Assess (Bed Based Care)Bed based intermediate Care Services (Reablement, rehabilitation, wider short-term services supporting recovery)Bed-based intermediate care with reablement (to support discharge)</t>
  </si>
  <si>
    <t>Discharge to Assess (Bed Based Care)</t>
  </si>
  <si>
    <t>Integrated Home based intermediate care service</t>
  </si>
  <si>
    <t>Greenwich23Neighbourhood Resource CentresResidential PlacementsCare home</t>
  </si>
  <si>
    <t>Neighbourhood Resource Centres</t>
  </si>
  <si>
    <t>DFG - adaptations. Aids and adaptations to properties (showers, extensions etc)</t>
  </si>
  <si>
    <t>Greenwich22Residential and Nursing pressureResidential PlacementsCare home</t>
  </si>
  <si>
    <t>Residential and Nursing pressure</t>
  </si>
  <si>
    <t>DFG - removable equipment eg. stairlifts, hoists, modular ramps</t>
  </si>
  <si>
    <t>Greenwich13Reablement Home-based intermediate care servicesReablement at home (accepting step up and step down users)</t>
  </si>
  <si>
    <t xml:space="preserve">Reablement </t>
  </si>
  <si>
    <t>Providing specialist support to carers of adults with dementia, including assessments and support planning using eligibility criteria of the Care Act, risk assessment, liaison with acute sector to facilitate safe discharge and providing advice, delivery of specialist training.</t>
  </si>
  <si>
    <t>Greenwich24Extra Care Residential PlacementsExtra care</t>
  </si>
  <si>
    <t xml:space="preserve">Extra Care </t>
  </si>
  <si>
    <t>Extension of the integrated home based intermediate care service to delivery sufficient capacity to support pathway 1 D2A.</t>
  </si>
  <si>
    <t>Greenwich28Facilitate discharges of people from acute beds back homeHome Care or Domiciliary CareDomiciliary care to support hospital discharge (Discharge to Assess pathway 1)</t>
  </si>
  <si>
    <t>Facilitate discharges of people from acute beds back home</t>
  </si>
  <si>
    <t xml:space="preserve">Providing TEC devices and monitoring to maximise independence on discharge from hospital. </t>
  </si>
  <si>
    <t>Greenwich29Facilitate discharges of people from acute beds into a residential placementResidential PlacementsShort term residential care (without rehabilitation or reablement input)</t>
  </si>
  <si>
    <t>Facilitate discharges of people from acute beds into a residential placement</t>
  </si>
  <si>
    <t>Replacement of existing equipment to support Lifeline service</t>
  </si>
  <si>
    <t>Falls equipment to support lifeline service</t>
  </si>
  <si>
    <t>Greenwich29Facilitate discharges of people from acute beds into a nursing placementResidential PlacementsNursing home</t>
  </si>
  <si>
    <t>Facilitate discharges of people from acute beds into a nursing placement</t>
  </si>
  <si>
    <t>To increase availablity of community equipment in the Care Sector and facilitate timely access to equipment which meets identified  health &amp; social care needs, and help to avoid delayed discharges. NRS Community Equipment contract ICB spend.</t>
  </si>
  <si>
    <t>Hackney1Service to Support CarersCarers ServicesCarer advice and support related to Care Act duties</t>
  </si>
  <si>
    <t>Service to Support Carers</t>
  </si>
  <si>
    <t>Community equipment and wheelchair services</t>
  </si>
  <si>
    <t>Hackney2Community adaptations and equipmentAssistive Technologies and EquipmentCommunity based equipment</t>
  </si>
  <si>
    <t>Community adaptations and equipment</t>
  </si>
  <si>
    <t>Community Beds</t>
  </si>
  <si>
    <t>Intermediate care (flexed to meet need)</t>
  </si>
  <si>
    <t>Hackney3Maintaining eligibility criteriaHome Care or Domiciliary CareOther</t>
  </si>
  <si>
    <t>Community equipment is required for pathway 0 and 1 discharges. Additional funding required for increased equipment for earlier complex discharges and expedited delivery charges (same day)</t>
  </si>
  <si>
    <t>Hackney5TelecareAssistive Technologies and EquipmentAssistive technologies including telecare</t>
  </si>
  <si>
    <t>Working with independent providers to mobilise additional services over winter</t>
  </si>
  <si>
    <t>Hackney6Interim bedsResidential PlacementsExtra care</t>
  </si>
  <si>
    <t>Interim beds</t>
  </si>
  <si>
    <t>ESCC provision of Intermediate Care beds in Eastbourne</t>
  </si>
  <si>
    <t>Hackney8Integrated Independence Team (LBH)Home-based intermediate care servicesOther</t>
  </si>
  <si>
    <t>Integrated Independence Team (LBH)</t>
  </si>
  <si>
    <t>Hackney9Integrated Independence Team (HH)Home-based intermediate care servicesOther</t>
  </si>
  <si>
    <t>Integrated Independence Team (HH)</t>
  </si>
  <si>
    <t xml:space="preserve">Funding towards Independent Sector Commissioned Intermediate Care Services </t>
  </si>
  <si>
    <t>Hackney25IBCF - meeting adult social care needResidential PlacementsNursing home</t>
  </si>
  <si>
    <t>IBCF - meeting adult social care need</t>
  </si>
  <si>
    <t>Hackney26IBCF reducing pressures on the NHSHome Care or Domiciliary CareDomiciliary care packages</t>
  </si>
  <si>
    <t>IBCF reducing pressures on the NHS</t>
  </si>
  <si>
    <t xml:space="preserve">Funding to support provision of 7 day service </t>
  </si>
  <si>
    <t>Hackney27IBCF stabilising the care marketResidential PlacementsCare home</t>
  </si>
  <si>
    <t>IBCF stabilising the care market</t>
  </si>
  <si>
    <t>Hackney28Disabled Facilities GrantDFG Related SchemesAdaptations, including statutory DFG grants</t>
  </si>
  <si>
    <t xml:space="preserve">A range of carers support services commissioned by ESCC. </t>
  </si>
  <si>
    <t>Hackney29DF01 LBH  Lowrie House (6 Beds)Bed based intermediate Care Services (Reablement, rehabilitation, wider short-term services supporting recovery)Bed-based intermediate care with rehabilitation accepting step up and step down users</t>
  </si>
  <si>
    <t>DF01 LBH  Lowrie House (6 Beds)</t>
  </si>
  <si>
    <t>Hackney31DF 03 LBH Goodmayes interim accommodation for working age adults - 28 Goodmayes LaneBed based intermediate Care Services (Reablement, rehabilitation, wider short-term services supporting recovery)Other</t>
  </si>
  <si>
    <t>DF 03 LBH Goodmayes interim accommodation for working age adults - 28 Goodmayes Lane</t>
  </si>
  <si>
    <t>Hackney32DF 04 LBH Goodmayes interim accommodation - Flats 1/2 Rear 30 Goodmayes LaneBed based intermediate Care Services (Reablement, rehabilitation, wider short-term services supporting recovery)Other</t>
  </si>
  <si>
    <t>DF 04 LBH Goodmayes interim accommodation - Flats 1/2 Rear 30 Goodmayes Lane</t>
  </si>
  <si>
    <t>Hackney33DF 05 LBH Housing with Care FlatsBed based intermediate Care Services (Reablement, rehabilitation, wider short-term services supporting recovery)Bed-based intermediate care with reablement (to support discharge)</t>
  </si>
  <si>
    <t>DF 05 LBH Housing with Care Flats</t>
  </si>
  <si>
    <t>Hackney34DF 06 LBH Housing with Care FlatsBed based intermediate Care Services (Reablement, rehabilitation, wider short-term services supporting recovery)Bed-based intermediate care with reablement (to support discharge)</t>
  </si>
  <si>
    <t>DF 06 LBH Housing with Care Flats</t>
  </si>
  <si>
    <t>DFG and housing support services</t>
  </si>
  <si>
    <t>Hackney35DF 07 LBH Housing with Care Flatsbed based intermediate Care Services (Reablement, rehabilitation, wider short-term services supporting recovery)Bed-based intermediate care with reablement (to support discharge)</t>
  </si>
  <si>
    <t>DF 07 LBH Housing with Care Flats</t>
  </si>
  <si>
    <t>bed based intermediate Care Services (Reablement, rehabilitation, wider short-term services supporting recovery)</t>
  </si>
  <si>
    <t>Hackney36DF 08 LBH Housing with Care FlatsBed based intermediate Care Services (Reablement, rehabilitation, wider short-term services supporting recovery)Bed-based intermediate care with reablement (to support discharge)</t>
  </si>
  <si>
    <t>DF 08 LBH Housing with Care Flats</t>
  </si>
  <si>
    <t>Joint Community Rehab servcies in HWLH area</t>
  </si>
  <si>
    <t>Hackney37DF 09 LBH HwC flat furnishingBed based intermediate Care Services (Reablement, rehabilitation, wider short-term services supporting recovery)Other</t>
  </si>
  <si>
    <t>DF 09 LBH HwC flat furnishing</t>
  </si>
  <si>
    <t>NHS contribution to Community Equipment  Pooled budget</t>
  </si>
  <si>
    <t>Hackney38DF 10 LBH HwC utilitiesBed based intermediate Care Services (Reablement, rehabilitation, wider short-term services supporting recovery)Other</t>
  </si>
  <si>
    <t>DF 10 LBH HwC utilities</t>
  </si>
  <si>
    <t xml:space="preserve">Additional investment in home care provision to support hospital discharge </t>
  </si>
  <si>
    <t>Hackney39DF 11 LBH Bridging ServiceHome Care or Domiciliary CareShort term domiciliary care (without reablement input)</t>
  </si>
  <si>
    <t>DF 11 LBH Bridging Service</t>
  </si>
  <si>
    <t>Hackney40DF 12 LBH Rose Court Extra Care- to support interim flatsHome Care or Domiciliary CareShort term domiciliary care (without reablement input)</t>
  </si>
  <si>
    <t>DF 12 LBH Rose Court Extra Care- to support interim flats</t>
  </si>
  <si>
    <t xml:space="preserve">1. Equipment 
2. Adaptations        </t>
  </si>
  <si>
    <t>Hackney42DF 14 LBH Integrated Community Equipment ServiceAssistive Technologies and EquipmentCommunity based equipment</t>
  </si>
  <si>
    <t>DF 14 LBH Integrated Community Equipment Service</t>
  </si>
  <si>
    <t xml:space="preserve">1. Mental Health Hub </t>
  </si>
  <si>
    <t>Hackney47DF 19 LBH Housing Discharge FundResidential PlacementsOther</t>
  </si>
  <si>
    <t>DF 19 LBH Housing Discharge Fund</t>
  </si>
  <si>
    <t xml:space="preserve">Mental Health Home Care or Domicilary Care </t>
  </si>
  <si>
    <t>Hackney50DF 21 LBH Care packages for 4 weeks post discharge Home Care or Domiciliary CareDomiciliary care to support hospital discharge (Discharge to Assess pathway 1)</t>
  </si>
  <si>
    <t xml:space="preserve">DF 21 LBH Care packages for 4 weeks post discharge </t>
  </si>
  <si>
    <t>Older People Home Care or Domicilary Care</t>
  </si>
  <si>
    <t>Halton1Halton Integrated Community Equipment ServiceAssistive Technologies and EquipmentCommunity based equipment</t>
  </si>
  <si>
    <t>Halton Integrated Community Equipment Service</t>
  </si>
  <si>
    <t xml:space="preserve">ILDS Home Care or Domicilary Care </t>
  </si>
  <si>
    <t>Halton3Carers CentreCarers ServicesCarer advice and support related to Care Act duties</t>
  </si>
  <si>
    <t>Carers Centre</t>
  </si>
  <si>
    <t xml:space="preserve">1. Equipment 
    </t>
  </si>
  <si>
    <t>Halton3Halton Home Based Respite ServiceCarers ServicesRespite services</t>
  </si>
  <si>
    <t>Halton Home Based Respite Service</t>
  </si>
  <si>
    <t xml:space="preserve">1.Carer Advise and guidance </t>
  </si>
  <si>
    <t>Halton8Domicilary Care PackagesHome Care or Domiciliary CareDomiciliary care packages</t>
  </si>
  <si>
    <t>Domicilary Care Packages</t>
  </si>
  <si>
    <t>Additonal Nurses at Bridgewood, D2a additional staffing</t>
  </si>
  <si>
    <t>Halton17Residentail Care Home PlacementsResidential PlacementsCare home</t>
  </si>
  <si>
    <t>Residentail Care Home Placements</t>
  </si>
  <si>
    <t xml:space="preserve">Step down beds to residential care </t>
  </si>
  <si>
    <t>Halton17Residential Care Home PlacementsResidential PlacementsCare home</t>
  </si>
  <si>
    <t>Residential Care Home Placements</t>
  </si>
  <si>
    <t>Domiciliary care to support hopsital discharge - Additonal enablement (reablement) support</t>
  </si>
  <si>
    <t>Halton11Intermediate Care Bed Based ServiceBed based intermediate Care Services (Reablement, rehabilitation, wider short-term services supporting recovery)Bed-based intermediate care with rehabilitation (to support discharge)</t>
  </si>
  <si>
    <t>Intermediate Care Bed Based Service</t>
  </si>
  <si>
    <t>Murrayfield block beds, additonal support at residentials to enable discharge</t>
  </si>
  <si>
    <t xml:space="preserve">Halton12Intermediate Care Community ServicesHome-based intermediate care servicesJoint reablement and rehabilitation service (to support discharge) </t>
  </si>
  <si>
    <t>Intermediate Care Community Services</t>
  </si>
  <si>
    <t>ASC Pathway Domicilary Care (LA)</t>
  </si>
  <si>
    <t>Halton5DFG &amp; Equipment AdaptationsDFG Related SchemesAdaptations, including statutory DFG grants</t>
  </si>
  <si>
    <t>DFG &amp; Equipment Adaptations</t>
  </si>
  <si>
    <t>ASC care home placements to support discharge  (LA)</t>
  </si>
  <si>
    <t>Halton8Home First SupportHome Care or Domiciliary CareDomiciliary care packages</t>
  </si>
  <si>
    <t>Home First Support</t>
  </si>
  <si>
    <t xml:space="preserve">Home Care or Domiciliary Care </t>
  </si>
  <si>
    <t>Hammersmith and Fulham009Community EquipmentAssistive Technologies and EquipmentCommunity based equipment</t>
  </si>
  <si>
    <t>009</t>
  </si>
  <si>
    <t>Reablement contract</t>
  </si>
  <si>
    <t>Hammersmith and Fulham012Intermediate care Beds (Alexandra Ward) – CLCHBed based intermediate Care Services (Reablement, rehabilitation, wider short-term services supporting recovery)Bed-based intermediate care with rehabilitation (to support discharge)</t>
  </si>
  <si>
    <t>012</t>
  </si>
  <si>
    <t>Intermediate care Beds (Alexandra Ward) – CLCH</t>
  </si>
  <si>
    <t>supporting alternatives to residential care</t>
  </si>
  <si>
    <t>Hammersmith and Fulham013Intermediate care Beds (Athlone Ward) – CLCHBed based intermediate Care Services (Reablement, rehabilitation, wider short-term services supporting recovery)Bed-based intermediate care with rehabilitation (to support discharge)</t>
  </si>
  <si>
    <t>013</t>
  </si>
  <si>
    <t>Intermediate care Beds (Athlone Ward) – CLCH</t>
  </si>
  <si>
    <t>Respite service for carers to reduce crisis</t>
  </si>
  <si>
    <t>Hammersmith and Fulham019Farm Lane PFIResidential PlacementsNursing home</t>
  </si>
  <si>
    <t>019</t>
  </si>
  <si>
    <t>Farm Lane PFI</t>
  </si>
  <si>
    <t>Ensuring Care Act compliance for carers</t>
  </si>
  <si>
    <t>Direct payments</t>
  </si>
  <si>
    <t>Hammersmith and Fulham020St Vincent PFIResidential PlacementsNursing home</t>
  </si>
  <si>
    <t>020</t>
  </si>
  <si>
    <t>St Vincent PFI</t>
  </si>
  <si>
    <t xml:space="preserve">Hammersmith and Fulham032S256 Recurrent ReablementHome-based intermediate care servicesReablement at home (to support discharge) </t>
  </si>
  <si>
    <t>032</t>
  </si>
  <si>
    <t>S256 Recurrent Reablement</t>
  </si>
  <si>
    <t>Virtual Wards</t>
  </si>
  <si>
    <t>Hammersmith and Fulham38Contract Beds Older People (Farm Lane) Residential PlacementsNursing home</t>
  </si>
  <si>
    <t xml:space="preserve">Contract Beds Older People (Farm Lane) </t>
  </si>
  <si>
    <t>Hammersmith and Fulham39Contract Beds  Older People (St Vincent) Residential PlacementsNursing home</t>
  </si>
  <si>
    <t xml:space="preserve">Contract Beds  Older People (St Vincent) </t>
  </si>
  <si>
    <t>Hammersmith and Fulham41Joint Equipment BudgetAssistive Technologies and EquipmentAssistive technologies including telecare</t>
  </si>
  <si>
    <t>Joint Equipment Budget</t>
  </si>
  <si>
    <t>Hammersmith and Fulham49Disabled Facilities GrantDFG Related SchemesAdaptations, including statutory DFG grants</t>
  </si>
  <si>
    <t>Hammersmith and Fulham50IBCFHigh Impact Change Model for Managing Transfer of CareMulti-Disciplinary/Multi-Agency Discharge Teams supporting discharge</t>
  </si>
  <si>
    <t>IBCF</t>
  </si>
  <si>
    <t>Telecare and Community based equipment - support for additional pressure in ASC system</t>
  </si>
  <si>
    <t>Hammersmith and Fulham51IBCFHigh Impact Change Model for Managing Transfer of CareMulti-Disciplinary/Multi-Agency Discharge Teams supporting discharge</t>
  </si>
  <si>
    <t>Short and long term Nursing Care for over 65s</t>
  </si>
  <si>
    <t>Hampshire1 Home Care provision for independent living at home Home Care or Domiciliary CareDomiciliary care packages</t>
  </si>
  <si>
    <t xml:space="preserve"> Home Care provision for independent living at home </t>
  </si>
  <si>
    <t>Support for over 85s - Support for additional pressure in ASC system</t>
  </si>
  <si>
    <t>Hampshire2Home Care provision for independent living at home Home Care or Domiciliary CareDomiciliary care packages</t>
  </si>
  <si>
    <t xml:space="preserve">Home Care provision for independent living at home </t>
  </si>
  <si>
    <t>Additional reablement capacity</t>
  </si>
  <si>
    <t>Hampshire3Digital Technology Provision Assistive Technologies and EquipmentAssistive technologies including telecare</t>
  </si>
  <si>
    <t xml:space="preserve">Digital Technology Provision </t>
  </si>
  <si>
    <t>One-off payments to incentivise rapid commencement of ongoing care packages</t>
  </si>
  <si>
    <t>Hampshire6Reablement support Home-based intermediate care servicesReablement at home (accepting step up and step down users)</t>
  </si>
  <si>
    <t xml:space="preserve">Reablement support </t>
  </si>
  <si>
    <t>One-off payments to incentivise rapid commencement of ongoing care placements</t>
  </si>
  <si>
    <t>Hampshire8Community Equipment Service Assistive Technologies and EquipmentCommunity based equipment</t>
  </si>
  <si>
    <t>Recovery to Home beds  - bed capacity with wrap around support for adults requiring further period of assessment/ enablement / support planning.</t>
  </si>
  <si>
    <t>Hampshire9Emergency Planning for Carers Carers ServicesCarer advice and support related to Care Act duties</t>
  </si>
  <si>
    <t xml:space="preserve">Emergency Planning for Carers </t>
  </si>
  <si>
    <t>Increasing reablement capacity through existing contractual mechanisms</t>
  </si>
  <si>
    <t>Hampshire10Carer Support Carers ServicesCarer advice and support related to Care Act duties</t>
  </si>
  <si>
    <t xml:space="preserve">Carer Support </t>
  </si>
  <si>
    <t>Stairlift grants via DFG</t>
  </si>
  <si>
    <t>Hampshire21Disabled Facilities Grant DFG Related SchemesAdaptations, including statutory DFG grants</t>
  </si>
  <si>
    <t xml:space="preserve">Disabled Facilities Grant </t>
  </si>
  <si>
    <t>Hampshire22Discharge - RSS ServciesHome-based intermediate care servicesRehabilitation at home (to support discharge)</t>
  </si>
  <si>
    <t>Discharge - RSS Servcies</t>
  </si>
  <si>
    <t>Discretionary grant via DFG</t>
  </si>
  <si>
    <t>Hampshire23Discharge - RSS ServciesHome-based intermediate care servicesRehabilitation at home (to support discharge)</t>
  </si>
  <si>
    <t>Statutorily obligated-DFG scheme</t>
  </si>
  <si>
    <t>Hampshire24Discharge - STS Bed ServicesBed based intermediate Care Services (Reablement, rehabilitation, wider short-term services supporting recovery)Bed-based intermediate care with reablement (to support discharge)</t>
  </si>
  <si>
    <t>Discharge - STS Bed Services</t>
  </si>
  <si>
    <t>Top-up funding to Statutorily obligated-DFG scheme</t>
  </si>
  <si>
    <t>Hampshire25Discharge - STS Bed ServicesBed based intermediate Care Services (Reablement, rehabilitation, wider short-term services supporting recovery)Bed-based intermediate care with reablement (to support discharge)</t>
  </si>
  <si>
    <t>Security &amp; Safety works for over 65s or vulnerable people in private rented or owner-occupied properties.</t>
  </si>
  <si>
    <t>Hampshire26Discharge - STS Bed ServicesBed based intermediate Care Services (Reablement, rehabilitation, wider short-term services supporting recovery)Bed-based intermediate care with reablement (to support discharge)</t>
  </si>
  <si>
    <t>Statutory DFG grants</t>
  </si>
  <si>
    <t>Primary Care</t>
  </si>
  <si>
    <t>Haringey6Disabled facilities grantDFG Related SchemesAdaptations, including statutory DFG grants</t>
  </si>
  <si>
    <t>Disabled facilities grant</t>
  </si>
  <si>
    <t>Statutory Spend</t>
  </si>
  <si>
    <t>Haringey20IBCF Supporting Social Care Home Care or Domiciliary CareDomiciliary care packages</t>
  </si>
  <si>
    <t xml:space="preserve">IBCF Supporting Social Care </t>
  </si>
  <si>
    <t>Discretionary Grants</t>
  </si>
  <si>
    <t>Haringey52Wheelchair ServicesAssistive Technologies and EquipmentCommunity based equipment</t>
  </si>
  <si>
    <t>Mandatory Disabled Facilities Grant</t>
  </si>
  <si>
    <t xml:space="preserve">Existing </t>
  </si>
  <si>
    <t>Haringey50Community Equipment Provision (ICB Component)Assistive Technologies and EquipmentCommunity based equipment</t>
  </si>
  <si>
    <t>Community Equipment Provision (ICB Component)</t>
  </si>
  <si>
    <t xml:space="preserve">Non means tested assistance to provide a fast-track adaptations to prevent hospital/care admission and prevent the delayed transfer of care.  </t>
  </si>
  <si>
    <t>Haringey33Reablement SolutionsHome-based intermediate care servicesReablement at home (accepting step up and step down users)</t>
  </si>
  <si>
    <t>Reablement Solutions</t>
  </si>
  <si>
    <t xml:space="preserve">Addressing/removing Category 1 and some Category 2 hazards as determined under HHSRS to  vulnerable and disabled people. </t>
  </si>
  <si>
    <t>Haringey36iBCF Short-term packages of care to support people to return home from hospital with reablementHome-based intermediate care servicesReablement at home (accepting step up and step down users)</t>
  </si>
  <si>
    <t>iBCF Short-term packages of care to support people to return home from hospital with reablement</t>
  </si>
  <si>
    <t xml:space="preserve">Discretionary DFG to support and top-up eligible works that exceed the mandatory grant. To support people when they cannot raise contribution. </t>
  </si>
  <si>
    <t>Haringey39Care Home Intermediate Care Beds  (iBCF-funded)Bed based intermediate Care Services (Reablement, rehabilitation, wider short-term services supporting recovery)Bed-based intermediate care with reablement (to support discharge)</t>
  </si>
  <si>
    <t>Care Home Intermediate Care Beds  (iBCF-funded)</t>
  </si>
  <si>
    <t>Non means tested grant for stairlift to enable access to essential areas such as bedroom and bathroom.</t>
  </si>
  <si>
    <t>Haringey40Care Home Intermediate Care Beds (Minimum CCG Contribution)Bed based intermediate Care Services (Reablement, rehabilitation, wider short-term services supporting recovery)Bed-based intermediate care with reablement (to support discharge)</t>
  </si>
  <si>
    <t>Care Home Intermediate Care Beds (Minimum CCG Contribution)</t>
  </si>
  <si>
    <t>Grants for stairlifts via DFG (including fast-track discretionary stairlift DFG)</t>
  </si>
  <si>
    <t>Haringey41Community-Based Nursing &amp; Care Home Intermediate Care (Convalescence) BedsBed based intermediate Care Services (Reablement, rehabilitation, wider short-term services supporting recovery)Bed-based intermediate care with reablement (to support admissions avoidance)</t>
  </si>
  <si>
    <t>Community-Based Nursing &amp; Care Home Intermediate Care (Convalescence) Beds</t>
  </si>
  <si>
    <t xml:space="preserve">Bathroom Adaptations, Ramps, steps, Through floor lifts, Step lifts, Kitchens, specialist WC's etc via DFG </t>
  </si>
  <si>
    <t>Haringey51Additional Care Home Intermediate Care Beds (Minimum CCG Contribution)Bed based intermediate Care Services (Reablement, rehabilitation, wider short-term services supporting recovery)Bed-based intermediate care with reablement (to support discharge)</t>
  </si>
  <si>
    <t>Additional Care Home Intermediate Care Beds (Minimum CCG Contribution)</t>
  </si>
  <si>
    <t>Discretionary DFG and Discretionary Top Up</t>
  </si>
  <si>
    <t>Haringey46Carers' SupportCarers ServicesOther</t>
  </si>
  <si>
    <t>Carers' Support</t>
  </si>
  <si>
    <t>Discretionary grants following a fast track process</t>
  </si>
  <si>
    <t>Haringey65Discharge Funding 2023-24 - Care PurchasingHome Care or Domiciliary CareDomiciliary care to support hospital discharge (Discharge to Assess pathway 1)</t>
  </si>
  <si>
    <t>Discharge Funding 2023-24 - Care Purchasing</t>
  </si>
  <si>
    <t>Discretionary grants for works &lt; £10K (recipients on income related benefits)</t>
  </si>
  <si>
    <t>Harrow3Support to CarersCarers ServicesOther</t>
  </si>
  <si>
    <t>Mandatory grants up to £30K</t>
  </si>
  <si>
    <t>Harrow8Dwelling AdaptationsDFG Related SchemesAdaptations, including statutory DFG grants</t>
  </si>
  <si>
    <t>Dwelling Adaptations</t>
  </si>
  <si>
    <t>Discretionary grants for works exceeding £30K DFG</t>
  </si>
  <si>
    <t xml:space="preserve">Harrow9Short-Term Rehabiliation TeamHome-based intermediate care servicesReablement at home (to support discharge) </t>
  </si>
  <si>
    <t>Short-Term Rehabiliation Team</t>
  </si>
  <si>
    <t>Occupational Therapy fees for overseeing grant process</t>
  </si>
  <si>
    <t>OT provision to support all Housing teams</t>
  </si>
  <si>
    <t>Harrow17Community EquipmentAssistive Technologies and EquipmentAssistive technologies including telecare</t>
  </si>
  <si>
    <t>Provision of disabled adaptations</t>
  </si>
  <si>
    <t>Harrow23Managing Community Social Care DemandHome Care or Domiciliary CareDomiciliary care packages</t>
  </si>
  <si>
    <t>Managing Community Social Care Demand</t>
  </si>
  <si>
    <t>Mandatory DFG Schemes</t>
  </si>
  <si>
    <t>Harrow24Managing Demand for ResidentialResidential PlacementsCare home</t>
  </si>
  <si>
    <t>Managing Demand for Residential</t>
  </si>
  <si>
    <t>Mandatory Grant</t>
  </si>
  <si>
    <t>Harrow26Hospital DischargeResidential PlacementsCare home</t>
  </si>
  <si>
    <t>Discretionary grant for stairlifts</t>
  </si>
  <si>
    <t>Harrow27Hospital DischargeResidential PlacementsCare home</t>
  </si>
  <si>
    <t>Discretionary Grant for home repairs to prevent hospital admissions /injury</t>
  </si>
  <si>
    <t xml:space="preserve">Harrow30Hospital DischargeHome-based intermediate care servicesReablement at home (to support discharge) </t>
  </si>
  <si>
    <t>Disabled Facilities Assistance  - discretionary for non-mandatory works such as work spaces</t>
  </si>
  <si>
    <t>Harrow31Hospital DischargeHome Care or Domiciliary CareDomiciliary care packages</t>
  </si>
  <si>
    <t>Top -up assistance for owners needing extensions where moving has been tried</t>
  </si>
  <si>
    <t>Harrow32Hospital DischargeResidential PlacementsCare home</t>
  </si>
  <si>
    <t>Statutory spend</t>
  </si>
  <si>
    <t>Hartlepool2Assistive TechnologyAssistive Technologies and EquipmentAssistive technologies including telecare</t>
  </si>
  <si>
    <t>Discretionary spend</t>
  </si>
  <si>
    <t xml:space="preserve">Hartlepool8Multi-Link Reablement &amp; Direct Care and SupportHome-based intermediate care servicesJoint reablement and rehabilitation service (to support discharge) </t>
  </si>
  <si>
    <t>Multi-Link Reablement &amp; Direct Care and Support</t>
  </si>
  <si>
    <t>the service provides information, advice and guidance for unpaid carers through a telephone advice line, tailored support from carer advisors, a website and newsletters. The service also provides a range carer peer support groups.</t>
  </si>
  <si>
    <t>Hartlepool10Transitional CareBed based intermediate Care Services (Reablement, rehabilitation, wider short-term services supporting recovery)Bed-based intermediate care with reablement (to support discharge)</t>
  </si>
  <si>
    <t>Transitional Care</t>
  </si>
  <si>
    <t>Increased weekend cover for acute Therapies to support discharges. Increased staffing, Saturday and Sunday 0830-1630 by 4 x staff Acute and Community hospitals.</t>
  </si>
  <si>
    <t>Hartlepool13Telecare Expansion Assistive Technologies and EquipmentAssistive technologies including telecare</t>
  </si>
  <si>
    <t xml:space="preserve">Telecare Expansion </t>
  </si>
  <si>
    <t>Home to Assess Service - supporting home first principles</t>
  </si>
  <si>
    <t>Hartlepool14Winter Pressures - Home CareHome Care or Domiciliary CareDomiciliary care to support hospital discharge (Discharge to Assess pathway 1)</t>
  </si>
  <si>
    <t>Winter Pressures - Home Care</t>
  </si>
  <si>
    <t>Ward Based Enablement</t>
  </si>
  <si>
    <t>Hartlepool27Carers SupportCarers ServicesOther</t>
  </si>
  <si>
    <t>Community based reablement service</t>
  </si>
  <si>
    <t>Hartlepool28Carers Support - RespiteCarers ServicesRespite Services</t>
  </si>
  <si>
    <t>Carers Support - Respite</t>
  </si>
  <si>
    <t>Expansion of the Gateshead Care Home Initiative into “residential only’ care homes and explore 7-day services with mental health support.</t>
  </si>
  <si>
    <t>Hartlepool29Carers Support - Direct Payments Carers ServicesOther</t>
  </si>
  <si>
    <t xml:space="preserve">Carers Support - Direct Payments </t>
  </si>
  <si>
    <t xml:space="preserve">To enable fees to providers to be restructured and facilitate increases to ensure the stability of the market and availability of packages of care </t>
  </si>
  <si>
    <t>Hartlepool31Disabled Facility GrantDFG Related SchemesAdaptations, including statutory DFG grants</t>
  </si>
  <si>
    <t>Disabled Facility Grant</t>
  </si>
  <si>
    <t>Hartlepool38Disabled Facility Grant (c/f from 22/23)DFG Related SchemesAdaptations, including statutory DFG grants</t>
  </si>
  <si>
    <t>Disabled Facility Grant (c/f from 22/23)</t>
  </si>
  <si>
    <t>Hartlepool40Tees Community Equipment Services (TCES)
Assistive Technologies and EquipmentCommunity based equipment</t>
  </si>
  <si>
    <t xml:space="preserve">Tees Community Equipment Services (TCES)
</t>
  </si>
  <si>
    <t xml:space="preserve">Step down bed capacity </t>
  </si>
  <si>
    <t>Reablement/Rehabilitation Services</t>
  </si>
  <si>
    <t>Havering11Community Support and IndependenceAssistive Technologies and EquipmentAssistive technologies including telecare</t>
  </si>
  <si>
    <t>Community Support and Independence</t>
  </si>
  <si>
    <t xml:space="preserve">Provision of packages of care </t>
  </si>
  <si>
    <t xml:space="preserve">Havering113Targeted Out of Hospital CareHome-based intermediate care servicesReablement at home (to support discharge) </t>
  </si>
  <si>
    <t>Targeted Out of Hospital Care</t>
  </si>
  <si>
    <t xml:space="preserve">Bed based intermediate care provision </t>
  </si>
  <si>
    <t>Havering156Community Support and IndependenceCarers ServicesRespite services</t>
  </si>
  <si>
    <t>Provision of placements</t>
  </si>
  <si>
    <t>Havering904Targeted Out of Hospital CareResidential PlacementsSupported housing</t>
  </si>
  <si>
    <t>Macmillan Hospice at Home</t>
  </si>
  <si>
    <t>Havering702Targeted Out of Hospital CareResidential PlacementsNursing home</t>
  </si>
  <si>
    <t xml:space="preserve">The purpose of this contract is to provide an all age carers service in Gateshead. The aim of the Service is to keep carers informed, support carers to look after their health and wellbeing, offer carers a break from caring and raise awareness of the role of carers </t>
  </si>
  <si>
    <t>Havering704Targeted Out of Hospital CareHome Care or Domiciliary CareDomiciliary care packages</t>
  </si>
  <si>
    <t xml:space="preserve">Carers advice and support </t>
  </si>
  <si>
    <t>Havering801Targeted Out of Hospital CareHome Care or Domiciliary CareDomiciliary care packages</t>
  </si>
  <si>
    <t>DFG is directed through the BCF to encourage areas to think strategically about the use of home adaptations, use of technologies to support people to live independently in their own homes for longer, and to take a joined-up approach to improving outcomes across health, social care and housing. Innovation in this area could include combining DFG and other funding sources to create fast-track delivery systems, alongside information and advice services about local housing options</t>
  </si>
  <si>
    <t>Havering124Targeted Out of Hospital CareResidential PlacementsNursing home</t>
  </si>
  <si>
    <t>Havering152Targeted Out of Hospital CareResidential PlacementsSupported housing</t>
  </si>
  <si>
    <t>Residential Care Placement</t>
  </si>
  <si>
    <t>Havering154Targeted Out of Hospital CareResidential PlacementsCare home</t>
  </si>
  <si>
    <t>Home Care Placements</t>
  </si>
  <si>
    <t>Havering155Targeted Out of Hospital CareResidential PlacementsNursing home</t>
  </si>
  <si>
    <t>Other Interventions</t>
  </si>
  <si>
    <t>Havering124Targeted Out of Hospital CareHome Care or Domiciliary CareDomiciliary care packages</t>
  </si>
  <si>
    <t xml:space="preserve">Additional Community capacity to support discharge </t>
  </si>
  <si>
    <t>Havering501Community Support and IndependenceDFG Related SchemesAdaptations, including statutory DFG grants</t>
  </si>
  <si>
    <t xml:space="preserve">Telecare to support reablement </t>
  </si>
  <si>
    <t>Havering1Winter Care Home funding SchemeResidential PlacementsCare home</t>
  </si>
  <si>
    <t>Winter Care Home funding Scheme</t>
  </si>
  <si>
    <t>Short Term Discharge Packages</t>
  </si>
  <si>
    <t>Havering2Winter Nursing Care SchemeResidential PlacementsNursing home</t>
  </si>
  <si>
    <t>Winter Nursing Care Scheme</t>
  </si>
  <si>
    <t>Expanded Promoting Independance Centre</t>
  </si>
  <si>
    <t>Havering3Winter Home Care SchemeHome Care or Domiciliary CareDomiciliary care packages</t>
  </si>
  <si>
    <t>Winter Home Care Scheme</t>
  </si>
  <si>
    <t>Havering4Community EquipmentAssistive Technologies and EquipmentAssistive technologies including telecare</t>
  </si>
  <si>
    <t>Havering7Direct payment schemeHome Care or Domiciliary CareDomiciliary care to support hospital discharge (Discharge to Assess pathway 1)</t>
  </si>
  <si>
    <t>Direct payment scheme</t>
  </si>
  <si>
    <t>Age UK support at home</t>
  </si>
  <si>
    <t>Havering8Extra Care schemeHome Care or Domiciliary CareDomiciliary care to support hospital discharge (Discharge to Assess pathway 1)</t>
  </si>
  <si>
    <t>Extra Care scheme</t>
  </si>
  <si>
    <t>Support to implement carers service</t>
  </si>
  <si>
    <t>General Infrastructure</t>
  </si>
  <si>
    <t>Havering9Winter Home Care SchemeHome Care or Domiciliary CareDomiciliary care packages</t>
  </si>
  <si>
    <t>Increase capacity</t>
  </si>
  <si>
    <t>Havering10Winter Nursing Care SchemeResidential PlacementsNursing home</t>
  </si>
  <si>
    <t>Havering11Winter Care Home funding SchemeResidential PlacementsCare home</t>
  </si>
  <si>
    <t>Equipment assessment and provision.</t>
  </si>
  <si>
    <t>Havering12Community Equipment schemeAssistive Technologies and EquipmentCommunity based equipment</t>
  </si>
  <si>
    <t>Community Equipment scheme</t>
  </si>
  <si>
    <t xml:space="preserve">Equipment provision.
</t>
  </si>
  <si>
    <t>Havering13Assistive technology schemeAssistive Technologies and EquipmentAssistive technologies including telecare</t>
  </si>
  <si>
    <t>Assistive technology scheme</t>
  </si>
  <si>
    <t xml:space="preserve">This service supports people being discharged from an acute hospital setting to optimise their independence skills and give them and their family’s time and the right environment to make decisions about their future. The service is delivered by a multi-disciplinary with primarycare and therapy input by professional team comprising therapists, social workers, nurses, care assistants, Paramedics and GPs. </t>
  </si>
  <si>
    <t>Havering3Enable people to stay well, safe and independent at home for longer - Targeted Out-of-Hospital CareCarers ServicesRespite services</t>
  </si>
  <si>
    <t>Short term programme of therapeutic support to promote independence and rehabilitation. Additional funding to support reablement schemes. The service is delivered through input from primarycare,  therapists, social workers, nurses, care assistants, paramedic and GPs.</t>
  </si>
  <si>
    <t>Herefordshire, County of52Support for Hospital DischargeHome-based intermediate care servicesReablement at home (accepting step up and step down users)</t>
  </si>
  <si>
    <t>Support for Hospital Discharge</t>
  </si>
  <si>
    <t>Domicillary care workers supporting residents to stay in their own homes.</t>
  </si>
  <si>
    <t>Herefordshire, County of57Carers SupportCarers ServicesRespite services</t>
  </si>
  <si>
    <t>Funding available for individual cases of increased acuity and frailty that require more intense support.</t>
  </si>
  <si>
    <t>Herefordshire, County of60Community Health ServicesBed based intermediate Care Services (Reablement, rehabilitation, wider short-term services supporting recovery)Bed-based intermediate care with rehabilitation accepting step up and step down users</t>
  </si>
  <si>
    <t>Community Health Services</t>
  </si>
  <si>
    <t>Integrated community equipment service.</t>
  </si>
  <si>
    <t>Herefordshire, County of33Disabled Facilities GrantDFG Related SchemesAdaptations, including statutory DFG grants</t>
  </si>
  <si>
    <t>The D2A pathway focuses on the resident’s strengths, promotes independence, and avoids quick and acute decisions about long-term care and support. Therefore, delaying care home placements and the need for high home care packages. The service is delivered by a multi-disciplinary professional team.</t>
  </si>
  <si>
    <t>Herefordshire, County of154Social Care ServicesResidential PlacementsOther</t>
  </si>
  <si>
    <t>Social Care Services</t>
  </si>
  <si>
    <t>Herefordshire, County of401Support for Hospital DischargeHome-based intermediate care servicesReablement at home (accepting step up and step down users)</t>
  </si>
  <si>
    <t>A transition discharge to assess community unit  designed to support early discharges, from hospital when patients who are medically optimised but after consideration are unable to be discharged home.</t>
  </si>
  <si>
    <t>Hertfordshire1Hertfordshire Home Improvement Agency (HHIA)DFG Related SchemesAdaptations, including statutory DFG grants</t>
  </si>
  <si>
    <t>Hertfordshire Home Improvement Agency (HHIA)</t>
  </si>
  <si>
    <t xml:space="preserve">Residential and day centre facilities. </t>
  </si>
  <si>
    <t>Hertfordshire2DFG not associated with Hertfordshire Home Improvement AgencyDFG Related SchemesAdaptations, including statutory DFG grants</t>
  </si>
  <si>
    <t>DFG not associated with Hertfordshire Home Improvement Agency</t>
  </si>
  <si>
    <t>Additional funding available to support nursing and residential placements.</t>
  </si>
  <si>
    <t>Hertfordshire3Social Care Baseline FundingHome Care or Domiciliary CareDomiciliary care packages</t>
  </si>
  <si>
    <t>Social Care Baseline Funding</t>
  </si>
  <si>
    <t>Additional funding to support reablement schemes.</t>
  </si>
  <si>
    <t>Hertfordshire7Older Peoples Budget - Residential and Nursing (less client contribution)Residential PlacementsCare home</t>
  </si>
  <si>
    <t>Older Peoples Budget - Residential and Nursing (less client contribution)</t>
  </si>
  <si>
    <t>Hertfordshire8Older Peoples Budget - Home CareHome Care or Domiciliary CareDomiciliary care packages</t>
  </si>
  <si>
    <t>Older Peoples Budget - Home Care</t>
  </si>
  <si>
    <t>Facilitate discharges of people from acute beds back home.</t>
  </si>
  <si>
    <t>Hertfordshire11Older Peoples Budget - Assistive Technologies and EquipmentAssistive Technologies and EquipmentAssistive technologies including telecare</t>
  </si>
  <si>
    <t>Older Peoples Budget - Assistive Technologies and Equipment</t>
  </si>
  <si>
    <t>Facilitate discharges of people from acute beds into a residential placement.</t>
  </si>
  <si>
    <t>Hertfordshire13Older Peoples Budget - IMCBed based intermediate Care Services (Reablement, rehabilitation, wider short-term services supporting recovery)Other</t>
  </si>
  <si>
    <t>Older Peoples Budget - IMC</t>
  </si>
  <si>
    <t>Facilitate discharges of people from acute beds into a nursing placement.</t>
  </si>
  <si>
    <t>Hertfordshire16Reablement at home (formerly Specialist Care at Home)Home-based intermediate care servicesOther</t>
  </si>
  <si>
    <t>Reablement at home (formerly Specialist Care at Home)</t>
  </si>
  <si>
    <t>Carers services</t>
  </si>
  <si>
    <t>Social Care and Third Sector</t>
  </si>
  <si>
    <t>Hertfordshire17Social care baseline fundingResidential PlacementsCare home</t>
  </si>
  <si>
    <t>Social care baseline funding</t>
  </si>
  <si>
    <t>Hertfordshire18Preventative BudgetCarers ServicesCarer advice and support related to Care Act duties</t>
  </si>
  <si>
    <t>Preventative Budget</t>
  </si>
  <si>
    <t>Hertfordshire21Emergency Intervention Vehicle and Prevention of Admission ServiceHome-based intermediate care servicesReablement at home (to prevent admission to hospital or residential care)</t>
  </si>
  <si>
    <t>Emergency Intervention Vehicle and Prevention of Admission Service</t>
  </si>
  <si>
    <t>Hertfordshire23Continuing Care (Adults) Residential PlacementsNursing home</t>
  </si>
  <si>
    <t xml:space="preserve">Continuing Care (Adults) </t>
  </si>
  <si>
    <t>Residential placements and step down accommodation</t>
  </si>
  <si>
    <t>Hertfordshire26Funded Nursing Care (FNC) Residential PlacementsNursing home</t>
  </si>
  <si>
    <t xml:space="preserve">Funded Nursing Care (FNC) </t>
  </si>
  <si>
    <t>Reablement service</t>
  </si>
  <si>
    <t>Reablement at home to prevent admission and support discharge</t>
  </si>
  <si>
    <t>Hertfordshire27Intermediate Care ServicesBed based intermediate Care Services (Reablement, rehabilitation, wider short-term services supporting recovery)Other</t>
  </si>
  <si>
    <t>Intermediate care service - rapid response, rapid care and home treatment team</t>
  </si>
  <si>
    <t>Rapid Response, rapid care and Home treatment (rehab) team.</t>
  </si>
  <si>
    <t>Hertfordshire29CarersCarers ServicesRespite services</t>
  </si>
  <si>
    <t>Supporting general adult social care needs, including packages of care and placements.</t>
  </si>
  <si>
    <t>Hertfordshire32Additional contribution to maintenance of social careBed based intermediate Care Services (Reablement, rehabilitation, wider short-term services supporting recovery)Other</t>
  </si>
  <si>
    <t>Additional contribution to maintenance of social care</t>
  </si>
  <si>
    <t>Used to support discharge and enhanced care packages</t>
  </si>
  <si>
    <t xml:space="preserve">Hertfordshire37DTA Business Case - Pathway 1Home-based intermediate care servicesReablement at home (to support discharge) </t>
  </si>
  <si>
    <t>DTA Business Case - Pathway 1</t>
  </si>
  <si>
    <t>Used to suport increases in costs for packages due to above inflation increases</t>
  </si>
  <si>
    <t>Hertfordshire38DTA Business Case - Pathway 1Home Care or Domiciliary CareDomiciliary care packages</t>
  </si>
  <si>
    <t>To support disabled people to live more independently in their own home</t>
  </si>
  <si>
    <t>Hertfordshire40DTA Business Case - Pathway 2Bed based intermediate Care Services (Reablement, rehabilitation, wider short-term services supporting recovery)Bed-based intermediate care with rehabilitation (to support discharge)</t>
  </si>
  <si>
    <t>DTA Business Case - Pathway 2</t>
  </si>
  <si>
    <t>Step down/up beds for homeless individuals.</t>
  </si>
  <si>
    <t>Hillingdon1Neighbourhood developmentHome-based intermediate care servicesReablement at home (to prevent admission to hospital or residential care)</t>
  </si>
  <si>
    <t>Neighbourhood development</t>
  </si>
  <si>
    <t>9 flats for interim accomodation for people that can't go home due to hoarding or infestations, and for homeless people. Propose to reduce to 7 beds Q3 onwards</t>
  </si>
  <si>
    <t>Rehab or reablement isn't provided as it's outside of Hackney. Dom care can be provided.</t>
  </si>
  <si>
    <t>Hillingdon1Neighbourhood developmentAssistive Technologies and EquipmentAssistive technologies including telecare</t>
  </si>
  <si>
    <t>2 flats for interim accomodation for people that can't return home due to hoarding/infestations or are homeless. They are accessible for people with mobility issues.</t>
  </si>
  <si>
    <t>Hillingdon1Neighbourhood developmentDFG Related SchemesAdaptations, including statutory DFG grants</t>
  </si>
  <si>
    <t>Leander Court - short-term accommodation to support D2A.</t>
  </si>
  <si>
    <t>Hillingdon1Neighbourhood developmentResidential PlacementsNursing home</t>
  </si>
  <si>
    <t>Rose Court - short-term accommodation to support D2A.</t>
  </si>
  <si>
    <t>Hillingdon2Supporting carersCarers ServicesCarer advice and support related to Care Act duties</t>
  </si>
  <si>
    <t>Supporting carers</t>
  </si>
  <si>
    <t>4 flats- short-term accommodation to support D2A.</t>
  </si>
  <si>
    <t>Hillingdon2Supporting carersCarers ServicesRespite services</t>
  </si>
  <si>
    <t>6 flats for interim accomodation to enable assessment of care needs: 4- Standard;  1- Alcohol Aquired Brain Injury (overbury); 1- Ethnic Specific (Pepys).</t>
  </si>
  <si>
    <t>Hillingdon3Reactive careHome-based intermediate care servicesRehabilitation at home (to support discharge)</t>
  </si>
  <si>
    <t>Reactive care</t>
  </si>
  <si>
    <t>Furnishing for accommodation.</t>
  </si>
  <si>
    <t>cost of furnishing</t>
  </si>
  <si>
    <t>Hillingdon3Reactive careBed based intermediate Care Services (Reablement, rehabilitation, wider short-term services supporting recovery)Bed-based intermediate care with rehabilitation (to support discharge)</t>
  </si>
  <si>
    <t>Utilities for accommodation.</t>
  </si>
  <si>
    <t>cost of utilities</t>
  </si>
  <si>
    <t>Hillingdon3Reactive careHome Care or Domiciliary CareShort term domiciliary care (without reablement input)</t>
  </si>
  <si>
    <t>Domiciliary care provider with block hours to support discharge.</t>
  </si>
  <si>
    <t xml:space="preserve">Hillingdon3Reactive careHome-based intermediate care servicesReablement at home (to support discharge) </t>
  </si>
  <si>
    <t xml:space="preserve">Domiciliary care agency  to support interim placements in Housing with Care flats. </t>
  </si>
  <si>
    <t>Hillingdon3Reactive careAssistive Technologies and EquipmentCommunity based equipment</t>
  </si>
  <si>
    <t>Equipment to support discharge</t>
  </si>
  <si>
    <t>Hillingdon3Reactive careDFG Related SchemesDiscretionary use of DFG</t>
  </si>
  <si>
    <t>Funding for placements to patients to support safe and timely discharge of service users and prevent delayed discharges caused by inhabitable housing, repairs needing to be completed, removals, not having gas/electricity, and bridging accommodation (B&amp;Bs)</t>
  </si>
  <si>
    <t>B&amp;B</t>
  </si>
  <si>
    <t>Hillingdon3Reactive careHome Care or Domiciliary CareDomiciliary care to support hospital discharge (Discharge to Assess pathway 1)</t>
  </si>
  <si>
    <t>Domiciliary care to support discharge to assess</t>
  </si>
  <si>
    <t>Hillingdon4Improved market management and developmentResidential PlacementsCare home</t>
  </si>
  <si>
    <t>Improved market management and development</t>
  </si>
  <si>
    <t>Joint Equipment Service</t>
  </si>
  <si>
    <t>Hillingdon4Improved market management and developmentResidential PlacementsNursing home</t>
  </si>
  <si>
    <t>Hillingdon4Improved market management and developmentHome Care or Domiciliary CareDomiciliary care packages</t>
  </si>
  <si>
    <t>Carers Breaks - Care at Home</t>
  </si>
  <si>
    <t>Hillingdon5Integrated care and support for people with learning disabilities/autismHome Care or Domiciliary CareDomiciliary care packages</t>
  </si>
  <si>
    <t>Integrated care and support for people with learning disabilities/autism</t>
  </si>
  <si>
    <t>Maintaining Domicilary Care Packages</t>
  </si>
  <si>
    <t>Hillingdon5Integrated care and support for people with learning disabilities/autismResidential PlacementsLearning disability</t>
  </si>
  <si>
    <t>Hillingdon5Integrated care and support for people with learning disabilities/autismCarers ServicesRespite services</t>
  </si>
  <si>
    <t>Maintaining Residential Care Home Placements</t>
  </si>
  <si>
    <t>Hounslow5Social Inclusion Support services (Certitude LIFE)Residential PlacementsSupported housing</t>
  </si>
  <si>
    <t>Social Inclusion Support services (Certitude LIFE)</t>
  </si>
  <si>
    <t>Hounslow6Personal Care ServicesHome Care or Domiciliary CareDomiciliary care packages</t>
  </si>
  <si>
    <t>Personal Care Services</t>
  </si>
  <si>
    <t>Oakmeadow - 19 Bedded Unit</t>
  </si>
  <si>
    <t>Hounslow7Extra Care ServicesResidential PlacementsExtra care</t>
  </si>
  <si>
    <t>Extra Care Services</t>
  </si>
  <si>
    <t>Hounslow8Telecare and Assistive TechnologyAssistive Technologies and EquipmentAssistive technologies including telecare</t>
  </si>
  <si>
    <t>Telecare and Assistive Technology</t>
  </si>
  <si>
    <t>Reablement/Rehab Services</t>
  </si>
  <si>
    <t>Hounslow9Assistive TechnologyAssistive Technologies and EquipmentCommunity based equipment</t>
  </si>
  <si>
    <t>Hounslow18Integrated support ServicesCarers ServicesRespite services</t>
  </si>
  <si>
    <t>Integrated support Services</t>
  </si>
  <si>
    <t>Hounslow20Carers Team SpendCarers ServicesRespite services</t>
  </si>
  <si>
    <t>Carers Team Spend</t>
  </si>
  <si>
    <t>Hounslow21Events Carers ServicesRespite services</t>
  </si>
  <si>
    <t xml:space="preserve">Events </t>
  </si>
  <si>
    <t>Hounslow22Reablement and OT Home-based intermediate care servicesJoint reablement and rehabilitation service (to prevent admission to hospital or residential care)</t>
  </si>
  <si>
    <t xml:space="preserve">Reablement and OT </t>
  </si>
  <si>
    <t>Hounslow23Integrated Community Response Service Social WorkerHome-based intermediate care servicesReablement at home (to prevent admission to hospital or residential care)</t>
  </si>
  <si>
    <t>Integrated Community Response Service Social Worker</t>
  </si>
  <si>
    <t>Bed based intermediate care</t>
  </si>
  <si>
    <t>Hounslow30Community RehabilitationHome-based intermediate care servicesReablement at home (to prevent admission to hospital or residential care)</t>
  </si>
  <si>
    <t>Community Rehabilitation</t>
  </si>
  <si>
    <t>Hounslow31EquipmentAssistive Technologies and EquipmentAssistive technologies including telecare</t>
  </si>
  <si>
    <t>Contract Beds - Care UK</t>
  </si>
  <si>
    <t>Hounslow41Disabled Facilities GrantDFG Related SchemesAdaptations, including statutory DFG grants</t>
  </si>
  <si>
    <t>Hounslow50Market ManagementResidential PlacementsCare home</t>
  </si>
  <si>
    <t>Market Management</t>
  </si>
  <si>
    <t>Enhanced Bolstering</t>
  </si>
  <si>
    <t>Isle of Wight1INTEGRATED EARLY HELP &amp; PREVENTIONAssistive Technologies and EquipmentAssistive technologies including telecare</t>
  </si>
  <si>
    <t>INTEGRATED EARLY HELP &amp; PREVENTION</t>
  </si>
  <si>
    <t xml:space="preserve">Contract Beds </t>
  </si>
  <si>
    <t>Isle of Wight2INTEGRATED DISCHARGE &amp; ADMISSION AVOIDANCECarers ServicesOther</t>
  </si>
  <si>
    <t>INTEGRATED DISCHARGE &amp; ADMISSION AVOIDANCE</t>
  </si>
  <si>
    <t>Contract Beds</t>
  </si>
  <si>
    <t>Isle of Wight2INTEGRATED DISCHARGE &amp; ADMISSION AVOIDANCEDFG Related SchemesAdaptations, including statutory DFG grants</t>
  </si>
  <si>
    <t xml:space="preserve">Community Equipment </t>
  </si>
  <si>
    <t>Isle of Wight2INTEGRATED DISCHARGE &amp; ADMISSION AVOIDANCEHome-based intermediate care servicesRehabilitation at home (accepting step up and step down users)</t>
  </si>
  <si>
    <t>Adaptations made to homes to promote community independent living</t>
  </si>
  <si>
    <t>Isle of Wight2INTEGRATED DISCHARGE &amp; ADMISSION AVOIDANCEBed based intermediate Care Services (Reablement, rehabilitation, wider short-term services supporting recovery)Bed-based intermediate care with reablement (to support discharge)</t>
  </si>
  <si>
    <t>Home Care or Domiciliary Care to support discharges</t>
  </si>
  <si>
    <t>Isle of Wight2INTEGRATED DISCHARGE &amp; ADMISSION AVOIDANCEBed based intermediate Care Services (Reablement, rehabilitation, wider short-term services supporting recovery)Bed-based intermediate care with rehabilitation (to support discharge)</t>
  </si>
  <si>
    <t>Isle of Wight2INTEGRATED DISCHARGE &amp; ADMISSION AVOIDANCEResidential PlacementsCare home</t>
  </si>
  <si>
    <t xml:space="preserve">The provision of home care hours to meet peoples personal care needs in their own home.  </t>
  </si>
  <si>
    <t>Isle of Wight3INTEGRATED COMMUNITY SUPPORTHome Care or Domiciliary CareDomiciliary care to support hospital discharge (Discharge to Assess pathway 1)</t>
  </si>
  <si>
    <t>INTEGRATED COMMUNITY SUPPORT</t>
  </si>
  <si>
    <t>Isle of Wight3INTEGRATED COMMUNITY SUPPORTCarers ServicesOther</t>
  </si>
  <si>
    <t xml:space="preserve">Digital solutions which support people to live independently at home </t>
  </si>
  <si>
    <t>Isle of Wight3INTEGRATED COMMUNITY SUPPORTAssistive Technologies and EquipmentCommunity based equipment</t>
  </si>
  <si>
    <t>Reablement in persons home using strength based approach - supporting community and discharge referrals</t>
  </si>
  <si>
    <t>Isle of Wight4INTEGRATED MENTAL HEALTH &amp; LEARNING DISABILITY SUPPORTCarers ServicesRespite services</t>
  </si>
  <si>
    <t>INTEGRATED MENTAL HEALTH &amp; LEARNING DISABILITY SUPPORT</t>
  </si>
  <si>
    <t xml:space="preserve">Hampshire Equipment Store which meets needs across the County </t>
  </si>
  <si>
    <t>Islington1Protection of Adult Social ServicesResidential PlacementsCare home</t>
  </si>
  <si>
    <t>Protection of Adult Social Services</t>
  </si>
  <si>
    <t>Enables Carer support to be put in place to ensure continuity of care</t>
  </si>
  <si>
    <t>Islington2Protection of Adult Social ServicesHome Care or Domiciliary CareDomiciliary care packages</t>
  </si>
  <si>
    <t xml:space="preserve">Care Act Assessment and Implementation Duties </t>
  </si>
  <si>
    <t>Islington3Protection of Adult Social ServicesResidential PlacementsLearning disability</t>
  </si>
  <si>
    <t>Islington5ReablementHome-based intermediate care servicesRehabilitation at home (accepting step up and step down users)</t>
  </si>
  <si>
    <t>Hospital discharge scheme - Care at Home</t>
  </si>
  <si>
    <t>Pooled funding for discharge</t>
  </si>
  <si>
    <t>Islington10Disabled Facilities GrantDFG Related SchemesAdaptations, including statutory DFG grants</t>
  </si>
  <si>
    <t>Islington11Community Rehab Bed based intermediate Care Services (Reablement, rehabilitation, wider short-term services supporting recovery)Bed-based intermediate care with rehabilitation accepting step up and step down users</t>
  </si>
  <si>
    <t xml:space="preserve">Community Rehab </t>
  </si>
  <si>
    <t>Hospital discharge scheme - D2A Bedded Care</t>
  </si>
  <si>
    <t>Islington12Community RehabHome-based intermediate care servicesRehabilitation at home (accepting step up and step down users)</t>
  </si>
  <si>
    <t>Community Rehab</t>
  </si>
  <si>
    <t>Islington23Carers Support and EducationCarers ServicesCarer advice and support related to Care Act duties</t>
  </si>
  <si>
    <t>Carers Support and Education</t>
  </si>
  <si>
    <t>Islington29Integrated Community Equipment Services - ICBAssistive Technologies and EquipmentCommunity based equipment</t>
  </si>
  <si>
    <t>Integrated Community Equipment Services - ICB</t>
  </si>
  <si>
    <t>LBH commissioned provider undertaking major adaptations of individuals’ home to facilitate improvements in daily living functioning</t>
  </si>
  <si>
    <t>Islington30Integrated Community Equipment Services - WhittingtonAssistive Technologies and EquipmentCommunity based equipment</t>
  </si>
  <si>
    <t>Integrated Community Equipment Services - Whittington</t>
  </si>
  <si>
    <t>Bulk of spend on providing packages of care (predominantly but not exclusively domiciliary care) as part of social care clients' Personal Budgets</t>
  </si>
  <si>
    <t>Islington31St Annes Bed based intermediate Care Services (Reablement, rehabilitation, wider short-term services supporting recovery)Bed-based intermediate care with reablement (to support discharge)</t>
  </si>
  <si>
    <t xml:space="preserve">St Annes </t>
  </si>
  <si>
    <t>NHS commissioned long-term patient wheelchair assessment, delivery and repair services</t>
  </si>
  <si>
    <t>Islington32MildmayBed based intermediate Care Services (Reablement, rehabilitation, wider short-term services supporting recovery)Bed-based intermediate care with reablement (to support discharge)</t>
  </si>
  <si>
    <t>Mildmay</t>
  </si>
  <si>
    <t>ICB/Health-related financial contribution to LBH commissioned Community Equipment Service</t>
  </si>
  <si>
    <t>Islington35St Annes - LABed based intermediate Care Services (Reablement, rehabilitation, wider short-term services supporting recovery)Bed-based intermediate care with reablement (to support discharge)</t>
  </si>
  <si>
    <t>St Annes - LA</t>
  </si>
  <si>
    <t>LBH time-limited community-based enablement &amp; therapist staff to facilitate improvements in peoples’ ability with daily living tasks</t>
  </si>
  <si>
    <t>Islington36Mildmay - LABed based intermediate Care Services (Reablement, rehabilitation, wider short-term services supporting recovery)Bed-based intermediate care with reablement (to support discharge)</t>
  </si>
  <si>
    <t>Mildmay - LA</t>
  </si>
  <si>
    <t>Funding for packages of care available to facilitate reablement in response to demand</t>
  </si>
  <si>
    <t>Islington41Short term domiciliary care (P1)Home-based intermediate care servicesRehabilitation at home (accepting step up and step down users)</t>
  </si>
  <si>
    <t>Short term domiciliary care (P1)</t>
  </si>
  <si>
    <t>Intermediate care P2 beds at care home supported by MDT (see MDT line)</t>
  </si>
  <si>
    <t>Islington42Short-term residential/nursing care for someone likely to require a longer-term care home placement (P3)Residential PlacementsCare home</t>
  </si>
  <si>
    <t>Short-term residential/nursing care for someone likely to require a longer-term care home placement (P3)</t>
  </si>
  <si>
    <t>Islington43Short term domiciliary care (P1)Home Care or Domiciliary CareDomiciliary care packages</t>
  </si>
  <si>
    <t>Intermediate care P2 beds focussed on convalescence at care home supported by MDT (see MDT line)</t>
  </si>
  <si>
    <t>Islington44Funding for social careResidential PlacementsCare home</t>
  </si>
  <si>
    <t>Funding for social care</t>
  </si>
  <si>
    <t>Additional intermediate care P2 beds at care home supported by MDT (see MDT line)</t>
  </si>
  <si>
    <t>Islington45Funding for social careHome Care or Domiciliary CareDomiciliary care packages</t>
  </si>
  <si>
    <t>Range of carers’ solutions depending on intensity of need: identifying carers, undertaking assessment of needs and support through to carers’ respite. Providers are Local Authority and Voluntary Sector</t>
  </si>
  <si>
    <t>Includes carers' advice, IAG, care planning, respite services &amp; DPs</t>
  </si>
  <si>
    <t>Islington46D2A Plan (P1)Home Care or Domiciliary CareDomiciliary care to support hospital discharge (Discharge to Assess pathway 1)</t>
  </si>
  <si>
    <t>Funding for propsed P1 Provisions (proposed 9884 P1 hours in 2023/24)</t>
  </si>
  <si>
    <t>Kensington and Chelsea1Carers inc. Carers Personal BudgetCarers ServicesRespite services</t>
  </si>
  <si>
    <t>Carers inc. Carers Personal Budget</t>
  </si>
  <si>
    <t>Information, advice and respite support for Carers</t>
  </si>
  <si>
    <t>Carers Advice and Support</t>
  </si>
  <si>
    <t>Kensington and Chelsea4Community Equipment ServicesAssistive Technologies and EquipmentAssistive technologies including telecare</t>
  </si>
  <si>
    <t>Community Equipment Services</t>
  </si>
  <si>
    <t>Services to enable changes made to the homes of disabled citizens to enable them to live more independently</t>
  </si>
  <si>
    <t>Kensington and Chelsea7Home Care Home Care or Domiciliary CareDomiciliary care packages</t>
  </si>
  <si>
    <t xml:space="preserve">Home Care </t>
  </si>
  <si>
    <t>Kensington and Chelsea12Community EquipmentAssistive Technologies and EquipmentCommunity based equipment</t>
  </si>
  <si>
    <t>Kensington and Chelsea20DFG housing adapationDFG Related SchemesAdaptations, including statutory DFG grants</t>
  </si>
  <si>
    <t>DFG housing adapation</t>
  </si>
  <si>
    <t>Increased support for Community Placements</t>
  </si>
  <si>
    <t>Kensington and Chelsea21DFG - DiscretionaryDFG Related SchemesDiscretionary use of DFG</t>
  </si>
  <si>
    <t>DFG - Discretionary</t>
  </si>
  <si>
    <t>Increased support for Residential Placements</t>
  </si>
  <si>
    <t>Kensington and Chelsea22Home Care/ Domicilliary CareHome Care or Domiciliary CareDomiciliary care packages</t>
  </si>
  <si>
    <t>Home Care/ Domicilliary Care</t>
  </si>
  <si>
    <t>Block Beds to enable timely discharges</t>
  </si>
  <si>
    <t>Kensington and Chelsea25Stepdown and step up bedsBed based intermediate Care Services (Reablement, rehabilitation, wider short-term services supporting recovery)Bed-based intermediate care with reablement accepting step up and step down users</t>
  </si>
  <si>
    <t>Stepdown and step up beds</t>
  </si>
  <si>
    <t>Residential / nursing beds to enable timely discharges</t>
  </si>
  <si>
    <t>Kensington and Chelsea27Pathway 3 Bed base  intermediate care Bed based intermediate Care Services (Reablement, rehabilitation, wider short-term services supporting recovery)Bed-based intermediate care with rehabilitation (to support discharge)</t>
  </si>
  <si>
    <t xml:space="preserve">Pathway 3 Bed base  intermediate care </t>
  </si>
  <si>
    <t>Support for timely hospital discharges</t>
  </si>
  <si>
    <t>Kensington and Chelsea28Pathway 3 Additional Placement Bed based intermediate Care Services (Reablement, rehabilitation, wider short-term services supporting recovery)Bed-based intermediate care with rehabilitation (to support discharge)</t>
  </si>
  <si>
    <t xml:space="preserve">Pathway 3 Additional Placement </t>
  </si>
  <si>
    <t>Kensington and Chelsea30Pathway 1-Homecare  Home Care/ Domicilliary Care - Long Term Home Care or Domiciliary CareDomiciliary care packages</t>
  </si>
  <si>
    <t xml:space="preserve">Pathway 1-Homecare  Home Care/ Domicilliary Care - Long Term </t>
  </si>
  <si>
    <t xml:space="preserve">Kensington and Chelsea31Pathway 1  Reablement Home-based intermediate care servicesReablement at home (to support discharge) </t>
  </si>
  <si>
    <t xml:space="preserve">Pathway 1  Reablement </t>
  </si>
  <si>
    <t>Creation of a dedicated Telecare response staffing team</t>
  </si>
  <si>
    <t>Kent4Domiciliary Services (support for Social Care) (KCC)Home Care or Domiciliary CareDomiciliary care packages</t>
  </si>
  <si>
    <t>Domiciliary Services (support for Social Care) (KCC)</t>
  </si>
  <si>
    <t>Direct Care &amp; Support and Reablement team alongside associated support budgets such as OT equipment</t>
  </si>
  <si>
    <t>Kent6Enablement (support for Social Care) (KCC)Bed based intermediate Care Services (Reablement, rehabilitation, wider short-term services supporting recovery)Bed-based intermediate care with rehabilitation (to support discharge)</t>
  </si>
  <si>
    <t>Enablement (support for Social Care) (KCC)</t>
  </si>
  <si>
    <t>Provision of 20 block-booked beds to assist discharge</t>
  </si>
  <si>
    <t>Kent7Residential Services (support for Social Care) (KCC)Residential PlacementsCare home</t>
  </si>
  <si>
    <t>Residential Services (support for Social Care) (KCC)</t>
  </si>
  <si>
    <t>Creation of new Telecare posts and equipment budget</t>
  </si>
  <si>
    <t>Kent8Nursing Services (support for Social Care) (KCC)Residential PlacementsNursing home</t>
  </si>
  <si>
    <t>Nursing Services (support for Social Care) (KCC)</t>
  </si>
  <si>
    <t>Funding to meet increased home care costs over the winter period</t>
  </si>
  <si>
    <t>Kent11Enablement (support for Social Care) (KCC)Bed based intermediate Care Services (Reablement, rehabilitation, wider short-term services supporting recovery)Bed-based intermediate care with rehabilitation (to support discharge)</t>
  </si>
  <si>
    <t>Payment to Carers Support Organisation</t>
  </si>
  <si>
    <t>Kent12Residential Services (support for Social Care) (KCC)Residential PlacementsCare home</t>
  </si>
  <si>
    <t>Provision of respite block-booked beds</t>
  </si>
  <si>
    <t>Kent13Residential Services (support for Social Care) (KCC)Residential PlacementsSupported housing</t>
  </si>
  <si>
    <t>Direct Payments to Carers</t>
  </si>
  <si>
    <t>Kent14Assistive TechnologyAssistive Technologies and EquipmentAssistive technologies including telecare</t>
  </si>
  <si>
    <t>Kent15DFG AdaptationsDFG Related SchemesAdaptations, including statutory DFG grants</t>
  </si>
  <si>
    <t>Kent16Domiciliary Services (support for Social Care) (KCC)Home Care or Domiciliary CareDomiciliary care packages</t>
  </si>
  <si>
    <t xml:space="preserve">Increase the capacity of the service which will enable TCES to increase the amount of same day jobs from 30 to 40 Monday to Friday. </t>
  </si>
  <si>
    <t>Kent18Residential Services (support for Social Care) (KCC)Residential PlacementsCare home</t>
  </si>
  <si>
    <t>Provision of a range of AT equipment to support people to live independently in their own home</t>
  </si>
  <si>
    <t>Kent19Nursing Services (support for Social Care) (KCC)Residential PlacementsNursing home</t>
  </si>
  <si>
    <t>Provision of Reablement Service</t>
  </si>
  <si>
    <t>Kent20MH - Supported LivingResidential PlacementsSupported housing</t>
  </si>
  <si>
    <t>MH - Supported Living</t>
  </si>
  <si>
    <t>Provision of Respite placements</t>
  </si>
  <si>
    <t>Kent26ICES PoolAssistive Technologies and EquipmentCommunity based equipment</t>
  </si>
  <si>
    <t>ICES Pool</t>
  </si>
  <si>
    <t>Kent27Community Equipment - NRSAssistive Technologies and EquipmentCommunity based equipment</t>
  </si>
  <si>
    <t>Community Equipment - NRS</t>
  </si>
  <si>
    <t>Provision of Nursing Home placements</t>
  </si>
  <si>
    <t>Kent28Carers BreaksCarers ServicesRespite services</t>
  </si>
  <si>
    <t>Kent29WestbrookBed based intermediate Care Services (Reablement, rehabilitation, wider short-term services supporting recovery)Bed-based intermediate care with reablement accepting step up and step down users</t>
  </si>
  <si>
    <t>Westbrook</t>
  </si>
  <si>
    <t>Kent30WestviewBed based intermediate Care Services (Reablement, rehabilitation, wider short-term services supporting recovery)Bed-based intermediate care with reablement accepting step up and step down users</t>
  </si>
  <si>
    <t>Westview</t>
  </si>
  <si>
    <t>Provision of homecare packages to support people to live independently in their own home</t>
  </si>
  <si>
    <t>Kent36Discharge to assessHome Care or Domiciliary CareDomiciliary care packages</t>
  </si>
  <si>
    <t>Discharge to assess</t>
  </si>
  <si>
    <t>Provision of Individual Nursing Home Placements</t>
  </si>
  <si>
    <t>Kent38Health and Social Care Beds/Spot PurchaseBed based intermediate Care Services (Reablement, rehabilitation, wider short-term services supporting recovery)Bed-based intermediate care with rehabilitation (to support discharge)</t>
  </si>
  <si>
    <t>Health and Social Care Beds/Spot Purchase</t>
  </si>
  <si>
    <t>Residential Learning Disability Placements</t>
  </si>
  <si>
    <t>Kent40Intermediate CareBed based intermediate Care Services (Reablement, rehabilitation, wider short-term services supporting recovery)Bed-based intermediate care with reablement accepting step up and step down users</t>
  </si>
  <si>
    <t>Provision of Care Home placements</t>
  </si>
  <si>
    <t>Kent42Community HospitalsBed based intermediate Care Services (Reablement, rehabilitation, wider short-term services supporting recovery)Bed-based intermediate care with reablement accepting step up and step down users</t>
  </si>
  <si>
    <t>Community Hospitals</t>
  </si>
  <si>
    <t xml:space="preserve">Kent43Reablement Schemes (OT)Home-based intermediate care servicesReablement at home (to support discharge) </t>
  </si>
  <si>
    <t>Reablement Schemes (OT)</t>
  </si>
  <si>
    <t>Kent46Rapid ResponseHome-based intermediate care servicesReablement at home (accepting step up and step down users)</t>
  </si>
  <si>
    <t>Rapid Response</t>
  </si>
  <si>
    <t>Provision of specialised placements</t>
  </si>
  <si>
    <t>Kent47Carers supportCarers ServicesRespite services</t>
  </si>
  <si>
    <t>Kent52Funding D2A pathwaysResidential PlacementsExtra care</t>
  </si>
  <si>
    <t>Funding D2A pathways</t>
  </si>
  <si>
    <t>Kent53P2 Reablement beds Bed based intermediate Care Services (Reablement, rehabilitation, wider short-term services supporting recovery)Bed-based intermediate care with rehabilitation (to support discharge)</t>
  </si>
  <si>
    <t xml:space="preserve">P2 Reablement beds </t>
  </si>
  <si>
    <t>Individuals</t>
  </si>
  <si>
    <t xml:space="preserve">Kent56P1 D2A CapacityHome-based intermediate care servicesReablement at home (to support discharge) </t>
  </si>
  <si>
    <t>P1 D2A Capacity</t>
  </si>
  <si>
    <t>Additional residential care to support hospital discharge and reduce delays</t>
  </si>
  <si>
    <t>Kent58Short term pathways transformation: Carers ServicesOther</t>
  </si>
  <si>
    <t xml:space="preserve">Short term pathways transformation: </t>
  </si>
  <si>
    <t>Additional nursing care to support hospital discharge and reduce delays</t>
  </si>
  <si>
    <t>Kent64Community BedsBed based intermediate Care Services (Reablement, rehabilitation, wider short-term services supporting recovery)Bed-based intermediate care with reablement (to support discharge)</t>
  </si>
  <si>
    <t>Additional home care to support hospital discharge and reduce delays</t>
  </si>
  <si>
    <t>Kingston upon Hull, City of2Telecare &amp; TelehealthAssistive Technologies and EquipmentAssistive technologies including telecare</t>
  </si>
  <si>
    <t>Telecare &amp; Telehealth</t>
  </si>
  <si>
    <t>Provision of community Equipment</t>
  </si>
  <si>
    <t>Kingston upon Hull, City of7OPMH Team serviceBed based intermediate Care Services (Reablement, rehabilitation, wider short-term services supporting recovery)Other</t>
  </si>
  <si>
    <t>OPMH Team service</t>
  </si>
  <si>
    <t>Funding personal budgets to enable hospital discharge</t>
  </si>
  <si>
    <t>Kingston upon Hull, City of8Support for CarersCarers ServicesOther</t>
  </si>
  <si>
    <t>Support for Carers</t>
  </si>
  <si>
    <t>Providing extra care to support hospital discharge</t>
  </si>
  <si>
    <t>Kingston upon Hull, City of10Stroke rehabilitation bedsResidential PlacementsOther</t>
  </si>
  <si>
    <t>Stroke rehabilitation beds</t>
  </si>
  <si>
    <t>Kingston upon Hull, City of12Highfield intermediate careBed based intermediate Care Services (Reablement, rehabilitation, wider short-term services supporting recovery)Bed-based intermediate care with rehabilitation accepting step up and step down users</t>
  </si>
  <si>
    <t>Highfield intermediate care</t>
  </si>
  <si>
    <t>Kingston upon Hull, City of15Intermediate Home CareBed based intermediate Care Services (Reablement, rehabilitation, wider short-term services supporting recovery)Bed-based intermediate care with reablement (to support discharge)</t>
  </si>
  <si>
    <t>Intermediate Home Care</t>
  </si>
  <si>
    <t>Kingston upon Hull, City of19Moving With DignityAssistive Technologies and EquipmentOther</t>
  </si>
  <si>
    <t>Moving With Dignity</t>
  </si>
  <si>
    <t>Additonal community equipment to support discharge and D2A</t>
  </si>
  <si>
    <t>Kingston upon Hull, City of20Community Equipment - Moving With DignityAssistive Technologies and EquipmentCommunity based equipment</t>
  </si>
  <si>
    <t>Community Equipment - Moving With Dignity</t>
  </si>
  <si>
    <t>Assistive technology support</t>
  </si>
  <si>
    <t>Kingston upon Hull, City of27Telecare &amp; TelehealthAssistive Technologies and EquipmentAssistive technologies including telecare</t>
  </si>
  <si>
    <t>Kingston upon Hull, City of31Support for CarersCarers ServicesOther</t>
  </si>
  <si>
    <t>Integrated Discharge- Home First</t>
  </si>
  <si>
    <t>Kingston upon Hull, City of35End of LifeHome Care or Domiciliary CareDomiciliary care packages</t>
  </si>
  <si>
    <t>End of Life</t>
  </si>
  <si>
    <t>Acorns Children's Hospice</t>
  </si>
  <si>
    <t>Kingston upon Hull, City of36AdvocacyCarers ServicesOther</t>
  </si>
  <si>
    <t>Advocacy</t>
  </si>
  <si>
    <t>St Michael's Hospice Carer's Support</t>
  </si>
  <si>
    <t>Kingston upon Hull, City of40Home Care servicesHome Care or Domiciliary CareDomiciliary care packages</t>
  </si>
  <si>
    <t>Home Care services</t>
  </si>
  <si>
    <t>General Rehab Beds</t>
  </si>
  <si>
    <t>Kingston upon Hull, City of41Disabled Facilities GrantDFG Related SchemesAdaptations, including statutory DFG grants</t>
  </si>
  <si>
    <t>Kingston upon Hull, City of43Commissioned ServicesResidential PlacementsCare home</t>
  </si>
  <si>
    <t>Commissioned Services</t>
  </si>
  <si>
    <t>Shared Lives</t>
  </si>
  <si>
    <t>Kingston upon Hull, City of44Home Care - Market SupportHome Care or Domiciliary CareDomiciliary care packages</t>
  </si>
  <si>
    <t>Home Care - Market Support</t>
  </si>
  <si>
    <t>Bridging Service</t>
  </si>
  <si>
    <t>Kingston upon Hull, City of52Support to Residential CareResidential PlacementsCare home</t>
  </si>
  <si>
    <t>Support to Residential Care</t>
  </si>
  <si>
    <t>Funding from the DFG to carry out activities under the HHIA</t>
  </si>
  <si>
    <t>Kingston upon Hull, City of59Electronic RosteringHome Care or Domiciliary CareDomiciliary care to support hospital discharge (Discharge to Assess pathway 1)</t>
  </si>
  <si>
    <t>Electronic Rostering</t>
  </si>
  <si>
    <t xml:space="preserve">For Districts and Borough Councils/ Housing Associations/ Private Organisations not affiliated with the HHIA, DFG is split so they can carry out adaptations work within their respective areas </t>
  </si>
  <si>
    <t>Kingston upon Hull, City of77Residential Homes - IT equipmentAssistive Technologies and EquipmentDigital participation services</t>
  </si>
  <si>
    <t>Residential Homes - IT equipment</t>
  </si>
  <si>
    <t>Funding specifically targeted at supporting adult social care pressures. It is used to fund inflationary uplifts, demographic pressures, national living wage etc.</t>
  </si>
  <si>
    <t>Kingston upon Hull, City of86Discharge Fund SchemesBed based intermediate Care Services (Reablement, rehabilitation, wider short-term services supporting recovery)Other</t>
  </si>
  <si>
    <t>Discharge Fund Schemes</t>
  </si>
  <si>
    <t>Funding for care purchasing (residential and nursing)</t>
  </si>
  <si>
    <t>Kingston upon Thames5Home Adaptations and Equipment DFG Related SchemesAdaptations, including statutory DFG grants</t>
  </si>
  <si>
    <t xml:space="preserve">Home Adaptations and Equipment </t>
  </si>
  <si>
    <t>Funding for care purchasing (home care)</t>
  </si>
  <si>
    <t>Kingston upon Thames6Discharge to Assess - Home CareHome-based intermediate care servicesReablement at home (accepting step up and step down users)</t>
  </si>
  <si>
    <t>Discharge to Assess - Home Care</t>
  </si>
  <si>
    <t>Funding for telecare, adaptions and equipment (excluding Hertfordshire Equipment Service)</t>
  </si>
  <si>
    <t>Kingston upon Thames7Long term Home CareHome Care or Domiciliary CareDomiciliary care packages</t>
  </si>
  <si>
    <t>Long term Home Care</t>
  </si>
  <si>
    <t xml:space="preserve">Funding for intermediate care beds </t>
  </si>
  <si>
    <t>Mixture</t>
  </si>
  <si>
    <t>Kingston upon Thames8Dementia placements Residential PlacementsCare home</t>
  </si>
  <si>
    <t xml:space="preserve">Dementia placements </t>
  </si>
  <si>
    <t>This funding supports Hertfordshire's reablement and homecare service, Specialist Care at Home</t>
  </si>
  <si>
    <t>Mixture of all reablement at home services</t>
  </si>
  <si>
    <t>Kingston upon Thames9Dementia placements Residential PlacementsCare home</t>
  </si>
  <si>
    <t>Funding specifically targeted at supporting adult social care purchasing budgets</t>
  </si>
  <si>
    <t>Kingston upon Thames10Community EquipmentAssistive Technologies and EquipmentCommunity based equipment</t>
  </si>
  <si>
    <t>Funding for carers services</t>
  </si>
  <si>
    <t xml:space="preserve">Kingston upon Thames16Additional support for Reablement Home-based intermediate care servicesReablement at home (to support discharge) </t>
  </si>
  <si>
    <t xml:space="preserve">Additional support for Reablement </t>
  </si>
  <si>
    <t>Community Interventions Admission Avoidance to Acute Services</t>
  </si>
  <si>
    <t>Kingston upon Thames17Additional complex homecareHome Care or Domiciliary CareShort term domiciliary care (without reablement input)</t>
  </si>
  <si>
    <t>Additional complex homecare</t>
  </si>
  <si>
    <t>Kingston upon Thames18Additional D2A and flow capacityResidential PlacementsShort term residential care (without rehabilitation or reablement input)</t>
  </si>
  <si>
    <t>Additional D2A and flow capacity</t>
  </si>
  <si>
    <t>FNC Contribution to support residential care home payment and End of Life pathway</t>
  </si>
  <si>
    <t>Kirklees1Aids to Daily LivingAssistive Technologies and EquipmentCommunity based equipment</t>
  </si>
  <si>
    <t>Aids to Daily Living</t>
  </si>
  <si>
    <t>Intermediate Care Nursing and Medical Support in Care Setting</t>
  </si>
  <si>
    <t>Kirklees1Aids to Daily LivingDFG Related SchemesAdaptations, including statutory DFG grants</t>
  </si>
  <si>
    <t xml:space="preserve">Funding to support carers services including carers breaks </t>
  </si>
  <si>
    <t xml:space="preserve">Kirklees2Intermediate Care and ReablementHome-based intermediate care servicesReablement at home (to support discharge) </t>
  </si>
  <si>
    <t>Kirklees2Intermediate Care and ReablementBed based intermediate Care Services (Reablement, rehabilitation, wider short-term services supporting recovery)Bed-based intermediate care with rehabilitation (to support discharge)</t>
  </si>
  <si>
    <t>Hertfordshire's reablement and homecare service, Specialist Care at Home and staffing resilience to support</t>
  </si>
  <si>
    <t>Kirklees2Intermediate Care and ReablementHome-based intermediate care servicesOther</t>
  </si>
  <si>
    <t>Mainstream care and staffing resilience to support</t>
  </si>
  <si>
    <t>Kirklees3Carers Support ServicesCarers ServicesCarer advice and support related to Care Act duties</t>
  </si>
  <si>
    <t>Carers Support Services</t>
  </si>
  <si>
    <t>DTA / IMC Beds including plus size beds and staffing resilience to support</t>
  </si>
  <si>
    <t>Kirklees3Carers Support ServicesCarers ServicesRespite services</t>
  </si>
  <si>
    <t>Falls Prevention Service</t>
  </si>
  <si>
    <t>Kirklees4Protecting Social CareHome Care or Domiciliary CareDomiciliary care packages</t>
  </si>
  <si>
    <t>Telecare Equipment</t>
  </si>
  <si>
    <t>Kirklees7Discharge to AssessHome Care or Domiciliary CareDomiciliary care to support hospital discharge (Discharge to Assess pathway 1)</t>
  </si>
  <si>
    <t>Major adaptations</t>
  </si>
  <si>
    <t xml:space="preserve">Kirklees7Discharge to AssessHome-based intermediate care servicesReablement at home (to support discharge) </t>
  </si>
  <si>
    <t>Step-up block bed (admission avoidance)</t>
  </si>
  <si>
    <t>Kirklees7Discharge to AssessBed based intermediate Care Services (Reablement, rehabilitation, wider short-term services supporting recovery)Bed-based intermediate care with rehabilitation (to support discharge)</t>
  </si>
  <si>
    <t>Carers Support Service contract</t>
  </si>
  <si>
    <t>Kirklees7Discharge to AssessAssistive Technologies and EquipmentCommunity based equipment</t>
  </si>
  <si>
    <t>Support for carers, inc respite</t>
  </si>
  <si>
    <t xml:space="preserve">Knowsley2ReablementHome-based intermediate care servicesReablement at home (to support discharge) </t>
  </si>
  <si>
    <t>Dementia Resource Centre</t>
  </si>
  <si>
    <t>Knowsley4Older People Care PackagesHome Care or Domiciliary CareDomiciliary care packages</t>
  </si>
  <si>
    <t>Older People Care Packages</t>
  </si>
  <si>
    <t>Community Adult Rehabilitation Service</t>
  </si>
  <si>
    <t>Knowsley5Mental Health Care PackagesResidential PlacementsCare home</t>
  </si>
  <si>
    <t>Mental Health Care Packages</t>
  </si>
  <si>
    <t>Hawthorne Intermediate Care Unit</t>
  </si>
  <si>
    <t>Knowsley6Mental Health Care PackagesResidential PlacementsNursing home</t>
  </si>
  <si>
    <t>Bridging Care Service</t>
  </si>
  <si>
    <t>Knowsley8Mental Health Care PackagesResidential PlacementsNursing home</t>
  </si>
  <si>
    <t>Reablement Team</t>
  </si>
  <si>
    <t>Knowsley9Transitional BedsBed based intermediate Care Services (Reablement, rehabilitation, wider short-term services supporting recovery)Bed-based intermediate care with rehabilitation (to support discharge)</t>
  </si>
  <si>
    <t>Transitional Beds</t>
  </si>
  <si>
    <t>Knowsley10Intermediate Care BedsBed based intermediate Care Services (Reablement, rehabilitation, wider short-term services supporting recovery)Bed-based intermediate care with rehabilitation (to support discharge)</t>
  </si>
  <si>
    <t>Knowsley11Community Care PackagesHome Care or Domiciliary CareDomiciliary care packages</t>
  </si>
  <si>
    <t>Community Care Packages</t>
  </si>
  <si>
    <t>Knowsley12Community Care PackagesResidential PlacementsCare home</t>
  </si>
  <si>
    <t>Hospital Discharge Grant - Deep Cleans &amp; House Clearance Contract</t>
  </si>
  <si>
    <t>Knowsley13Community Care PackagesResidential PlacementsNursing home</t>
  </si>
  <si>
    <t>Integrated Homecare</t>
  </si>
  <si>
    <t>Knowsley14Community Care PackagesHome Care or Domiciliary CareDomiciliary care packages</t>
  </si>
  <si>
    <t>Knowsley15Community Care PackagesResidential PlacementsNursing home</t>
  </si>
  <si>
    <t>Knowsley16Community Care PackagesCarers ServicesOther</t>
  </si>
  <si>
    <t>Homefirst/D2A Rehab</t>
  </si>
  <si>
    <t>Knowsley17Community Care PackagesCarers ServicesCarer advice and support related to Care Act duties</t>
  </si>
  <si>
    <t>Long-term residential 65 +</t>
  </si>
  <si>
    <t>Knowsley18Intermediate Care BedsBed based intermediate Care Services (Reablement, rehabilitation, wider short-term services supporting recovery)Bed-based intermediate care with rehabilitation (to support discharge)</t>
  </si>
  <si>
    <t>Knowsley19Intermediate Care BedsBed based intermediate Care Services (Reablement, rehabilitation, wider short-term services supporting recovery)Bed-based intermediate care with rehabilitation (to support discharge)</t>
  </si>
  <si>
    <t>Knowsley20Disability Care PackagesHome Care or Domiciliary CareDomiciliary care packages</t>
  </si>
  <si>
    <t>Disability Care Packages</t>
  </si>
  <si>
    <t>Long-term nursing 65 +</t>
  </si>
  <si>
    <t>Knowsley21Disability Care PackagesResidential PlacementsCare home</t>
  </si>
  <si>
    <t>Knowsley22Disability Care PackagesResidential PlacementsNursing home</t>
  </si>
  <si>
    <t>Knowsley23Disability Care PackagesHome Care or Domiciliary CareDomiciliary care packages</t>
  </si>
  <si>
    <t>Integrated homecare 65 +</t>
  </si>
  <si>
    <t>Knowsley40EquipmentAssistive Technologies and EquipmentCommunity based equipment</t>
  </si>
  <si>
    <t>Knowsley41Protecting Social CareHome Care or Domiciliary CareDomiciliary care to support hospital discharge (Discharge to Assess pathway 1)</t>
  </si>
  <si>
    <t>Knowsley53Protecting Social CareDFG Related SchemesAdaptations, including statutory DFG grants</t>
  </si>
  <si>
    <t>Homecare 18 +</t>
  </si>
  <si>
    <t>Knowsley54Disabled Facilities GrantDFG Related SchemesAdaptations, including statutory DFG grants</t>
  </si>
  <si>
    <t>Knowsley65Nursing Care PackagesResidential PlacementsNursing home</t>
  </si>
  <si>
    <t>Nursing Care Packages</t>
  </si>
  <si>
    <t>Placements 18 +</t>
  </si>
  <si>
    <t>Knowsley66Dom Care uplifts to support new ContractsHome Care or Domiciliary CareDomiciliary care packages</t>
  </si>
  <si>
    <t>Dom Care uplifts to support new Contracts</t>
  </si>
  <si>
    <t>Knowsley67Demographic Growth Care PackagesResidential PlacementsLearning disability</t>
  </si>
  <si>
    <t>Demographic Growth Care Packages</t>
  </si>
  <si>
    <t>Knowsley68Demographic Growth Care PackagesResidential PlacementsNursing home</t>
  </si>
  <si>
    <t>Knowsley69Demographic Growth Care PackagesResidential PlacementsCare home</t>
  </si>
  <si>
    <t>Respite Care Placements</t>
  </si>
  <si>
    <t>Knowsley70Demographic Growth Care PackagesHome Care or Domiciliary CareDomiciliary care packages</t>
  </si>
  <si>
    <t>Supported Accomodation services for Learning Disabilities clients</t>
  </si>
  <si>
    <t>Knowsley71Demographic Growth Care PackagesHome Care or Domiciliary CareDomiciliary care packages</t>
  </si>
  <si>
    <t xml:space="preserve">Support at home </t>
  </si>
  <si>
    <t>Knowsley72Demographic Growth Care PackagesResidential PlacementsSupported housing</t>
  </si>
  <si>
    <t>Knowsley73NLW Uplifts to Care ContractsHome Care or Domiciliary CareDomiciliary care packages</t>
  </si>
  <si>
    <t>NLW Uplifts to Care Contracts</t>
  </si>
  <si>
    <t>Knowsley74NLW Uplifts to Care ContractsResidential PlacementsCare home</t>
  </si>
  <si>
    <t>Knowsley75NLW Uplifts to Care ContractsResidential PlacementsNursing home</t>
  </si>
  <si>
    <t>7200 hours</t>
  </si>
  <si>
    <t>Knowsley76NLW Uplifts to Care ContractsResidential PlacementsSupported housing</t>
  </si>
  <si>
    <t>n/a</t>
  </si>
  <si>
    <t>Knowsley77NLW Uplifts to Care ContractsHome Care or Domiciliary CareDomiciliary care packages</t>
  </si>
  <si>
    <t>Knowsley81Sleep ins - Supported AccommodationResidential PlacementsSupported housing</t>
  </si>
  <si>
    <t>Sleep ins - Supported Accommodation</t>
  </si>
  <si>
    <t>Community Recovery Service</t>
  </si>
  <si>
    <t>Knowsley84Winter demand community care packagesHome Care or Domiciliary CareDomiciliary care packages</t>
  </si>
  <si>
    <t>Winter demand community care packages</t>
  </si>
  <si>
    <t>Knowsley85Winter demand community care packagesResidential PlacementsNursing home</t>
  </si>
  <si>
    <t>Effectiveness of Reablement</t>
  </si>
  <si>
    <t>Knowsley86Assistive TechnologyAssistive Technologies and EquipmentOther</t>
  </si>
  <si>
    <t>Knowsley90Assistive technologies and equipmentAssistive Technologies and EquipmentAssistive technologies including telecare</t>
  </si>
  <si>
    <t>Assistive technologies and equipment</t>
  </si>
  <si>
    <t>Knowsley91Assistive technologies and equipmentAssistive Technologies and EquipmentCommunity based equipment</t>
  </si>
  <si>
    <t>Assist sustainability of Residential Care Placements due to increase in complexity of care packages and increase in unit costs driven by inflation and market pressures; current average weekly cost of residential and nursing care placements is £1,400 and £1,200 respectively</t>
  </si>
  <si>
    <t>Knowsley99Home care or domiciliary care (Pathway 1)Home Care or Domiciliary CareDomiciliary care to support hospital discharge (Discharge to Assess pathway 1)</t>
  </si>
  <si>
    <t>Home care or domiciliary care (Pathway 1)</t>
  </si>
  <si>
    <t>Knowsley100Home-based intermediate care services (Pathway 1)Home Care or Domiciliary CareDomiciliary care to support hospital discharge (Discharge to Assess pathway 1)</t>
  </si>
  <si>
    <t>Home-based intermediate care services (Pathway 1)</t>
  </si>
  <si>
    <t>Carers Support (ASC Community Care)</t>
  </si>
  <si>
    <t>Advice Information &amp; guidance</t>
  </si>
  <si>
    <t>Knowsley105Residential placements (Pathway 3)Residential PlacementsCare home</t>
  </si>
  <si>
    <t>Residential placements (Pathway 3)</t>
  </si>
  <si>
    <t>Disabled Facilities Grants (Capital)</t>
  </si>
  <si>
    <t xml:space="preserve">Lambeth1Reablement - GSTTHome-based intermediate care servicesReablement at home (to support discharge) </t>
  </si>
  <si>
    <t>Reablement - GSTT</t>
  </si>
  <si>
    <t>Community Reablement (IWC)</t>
  </si>
  <si>
    <t xml:space="preserve">Lambeth1Reablement - LAHome-based intermediate care servicesReablement at home (to support discharge) </t>
  </si>
  <si>
    <t>Reablement - LA</t>
  </si>
  <si>
    <t>Lambeth5CarersCarers ServicesCarer advice and support related to Care Act duties</t>
  </si>
  <si>
    <t>Lambeth6Residential placementsResidential PlacementsCare home</t>
  </si>
  <si>
    <t>Adelaide Resource Centre (IWC)</t>
  </si>
  <si>
    <t>Lambeth8Disabled Facilities Grant (DFG)DFG Related SchemesAdaptations, including statutory DFG grants</t>
  </si>
  <si>
    <t>Lambeth9iBCF Local Government settlement (includes previous Winter Pressure funding)Residential PlacementsCare home</t>
  </si>
  <si>
    <t>iBCF Local Government settlement (includes previous Winter Pressure funding)</t>
  </si>
  <si>
    <t>Gouldings Resource Centre (IWC)</t>
  </si>
  <si>
    <t>Lambeth11Intermediate CareBed based intermediate Care Services (Reablement, rehabilitation, wider short-term services supporting recovery)Bed-based intermediate care with rehabilitation (to support discharge)</t>
  </si>
  <si>
    <t>Lambeth9iBCF Local Government settlement (includes previous Winter Pressure funding)Home Care or Domiciliary CareDomiciliary care to support hospital discharge (Discharge to Assess pathway 1)</t>
  </si>
  <si>
    <t>24 Rehab Beds</t>
  </si>
  <si>
    <t>Lambeth28Acute step down Residential PlacementsShort term residential care (without rehabilitation or reablement input)</t>
  </si>
  <si>
    <t xml:space="preserve">Acute step down </t>
  </si>
  <si>
    <t>LA Reablement Support</t>
  </si>
  <si>
    <t>Lambeth29Support to unpaid carers - Age UKCarers ServicesCarer advice and support related to Care Act duties</t>
  </si>
  <si>
    <t>Support to unpaid carers - Age UK</t>
  </si>
  <si>
    <t>Additional External Care Home Beds</t>
  </si>
  <si>
    <t>Lambeth33EquipmentAssistive Technologies and EquipmentCommunity based equipment</t>
  </si>
  <si>
    <t>Intensive Bedded Care</t>
  </si>
  <si>
    <t>Lambeth39Home Equipment Service (ICB)Assistive Technologies and EquipmentCommunity based equipment</t>
  </si>
  <si>
    <t>Home Equipment Service (ICB)</t>
  </si>
  <si>
    <t>Community Outreach (IWC)</t>
  </si>
  <si>
    <t>Lancashire1Residential RehabBed based intermediate Care Services (Reablement, rehabilitation, wider short-term services supporting recovery)Bed-based intermediate care with rehabilitation (to support discharge)</t>
  </si>
  <si>
    <t>Lancashire2Urgent Care - Crisis SupportHome-based intermediate care servicesReablement at home (accepting step up and step down users)</t>
  </si>
  <si>
    <t>Urgent Care - Crisis Support</t>
  </si>
  <si>
    <t>Carers Prospectus (Inc Living Well - Carers Lounge)</t>
  </si>
  <si>
    <t>Lancashire3Carers - RespiteCarers ServicesRespite services</t>
  </si>
  <si>
    <t>Carers - Respite</t>
  </si>
  <si>
    <t>Lancashire4Carers - Carers Assessment &amp; Support ContractsCarers ServicesCarer advice and support related to Care Act duties</t>
  </si>
  <si>
    <t>Carers - Carers Assessment &amp; Support Contracts</t>
  </si>
  <si>
    <t>Lancashire6Equipment &amp; AdaptionsAssistive Technologies and EquipmentCommunity based equipment</t>
  </si>
  <si>
    <t>Equipment &amp; Adaptions</t>
  </si>
  <si>
    <t>Lancashire9Reablement: Provider Contract &amp; LCC Reablement &amp; OT Staffing TeamsHome-based intermediate care servicesReablement at home (accepting step up and step down users)</t>
  </si>
  <si>
    <t>Reablement: Provider Contract &amp; LCC Reablement &amp; OT Staffing Teams</t>
  </si>
  <si>
    <t>Westminster House - Respite Support (IWC)</t>
  </si>
  <si>
    <t>Lancashire10Urgent Care - Crisis SupportHome-based intermediate care servicesReablement at home (accepting step up and step down users)</t>
  </si>
  <si>
    <t>Lancashire12Contribution to Annual Social Care Packages Fee &amp; Demand Increases Residential PlacementsCare home</t>
  </si>
  <si>
    <t xml:space="preserve">Contribution to Annual Social Care Packages Fee &amp; Demand Increases </t>
  </si>
  <si>
    <t>Lancashire14TelecareAssistive Technologies and EquipmentAssistive technologies including telecare</t>
  </si>
  <si>
    <t>Support for complex care</t>
  </si>
  <si>
    <t>Lancashire17Intermediate Care Unit management and additional night staff capacity Bed based intermediate Care Services (Reablement, rehabilitation, wider short-term services supporting recovery)Bed-based intermediate care with reablement (to support discharge)</t>
  </si>
  <si>
    <t xml:space="preserve">Intermediate Care Unit management and additional night staff capacity </t>
  </si>
  <si>
    <t>Lancashire20Contribution to Annual Social Care Packages Fee &amp; Demand Increases Home Care or Domiciliary CareDomiciliary care packages</t>
  </si>
  <si>
    <t xml:space="preserve">Lancashire21Urgent Care - Crisis SupportHome-based intermediate care servicesReablement at home (to support discharge) </t>
  </si>
  <si>
    <t>St Pancras (CNWL)</t>
  </si>
  <si>
    <t>Lancashire23D2A Residential &amp; Nursing BedsResidential PlacementsCare home</t>
  </si>
  <si>
    <t>D2A Residential &amp; Nursing Beds</t>
  </si>
  <si>
    <t>D2A and IDT (Whittington)</t>
  </si>
  <si>
    <t>Lancashire24D2A Homecare Packages of CareHome Care or Domiciliary CareDomiciliary care to support hospital discharge (Discharge to Assess pathway 1)</t>
  </si>
  <si>
    <t>D2A Homecare Packages of Care</t>
  </si>
  <si>
    <t>Contribution to Carers Pool</t>
  </si>
  <si>
    <t>Lancashire25Disabled Facilities GrantDFG Related SchemesAdaptations, including statutory DFG grants</t>
  </si>
  <si>
    <t>ICB</t>
  </si>
  <si>
    <t>Lancashire26Community equipment (MB)Assistive Technologies and EquipmentAssistive technologies including telecare</t>
  </si>
  <si>
    <t>Community equipment (MB)</t>
  </si>
  <si>
    <t>Whittington</t>
  </si>
  <si>
    <t>Lancashire27Dementia advisors / carer supportCarers ServicesCarer advice and support related to Care Act duties</t>
  </si>
  <si>
    <t>Dementia advisors / carer support</t>
  </si>
  <si>
    <t>St Annes</t>
  </si>
  <si>
    <t>Private sector</t>
  </si>
  <si>
    <t>Lancashire28MH carer supportCarers ServicesCarer advice and support related to Care Act duties</t>
  </si>
  <si>
    <t>MH carer support</t>
  </si>
  <si>
    <t>Lancashire34Solutions PlusHome-based intermediate care servicesReablement at home (accepting step up and step down users)</t>
  </si>
  <si>
    <t>Solutions Plus</t>
  </si>
  <si>
    <t>Lancashire40Community hospitals - community inpatient bedsBed based intermediate Care Services (Reablement, rehabilitation, wider short-term services supporting recovery)Bed-based intermediate care with rehabilitation (to support discharge)</t>
  </si>
  <si>
    <t>Community hospitals - community inpatient beds</t>
  </si>
  <si>
    <t>Lancashire41TCS transferAssistive Technologies and EquipmentCommunity based equipment</t>
  </si>
  <si>
    <t>TCS transfer</t>
  </si>
  <si>
    <t>Take home and settle service</t>
  </si>
  <si>
    <t>Lancashire48Young carers supportCarers ServicesCarer advice and support related to Care Act duties</t>
  </si>
  <si>
    <t>Young carers support</t>
  </si>
  <si>
    <t>Demographic pressures in Residential placements due to discharges</t>
  </si>
  <si>
    <t>Lancashire49Carers supportCarers ServicesCarer advice and support related to Care Act duties</t>
  </si>
  <si>
    <t>Demographice pressures in Home Care or Domiciliary Care due to discharges</t>
  </si>
  <si>
    <t>Lancashire52Community Equipment ServicesAssistive Technologies and EquipmentCommunity based equipment</t>
  </si>
  <si>
    <t>Lancashire56Intermediate Care BedsBed based intermediate Care Services (Reablement, rehabilitation, wider short-term services supporting recovery)Bed-based intermediate care with reablement (to support discharge)</t>
  </si>
  <si>
    <t>Lancashire65Lancashire Discharge to Assess services.Home-based intermediate care servicesRehabilitation at home (to support discharge)</t>
  </si>
  <si>
    <t>Lancashire Discharge to Assess services.</t>
  </si>
  <si>
    <t>Lancashire66Lancashire Discharge to Assess services.Bed based intermediate Care Services (Reablement, rehabilitation, wider short-term services supporting recovery)Bed-based intermediate care with reablement (to support discharge)</t>
  </si>
  <si>
    <t>To support carers to maintain their role.
To enable carers to provide the best possible care to their loved ones.
To support carers to maintain their health and wellbeing
To enable carers to have a break from the role, rest and recuperate. </t>
  </si>
  <si>
    <t>Leeds401Community bedsBed based intermediate Care Services (Reablement, rehabilitation, wider short-term services supporting recovery)Bed-based intermediate care with reablement (to support discharge)</t>
  </si>
  <si>
    <t>Community beds</t>
  </si>
  <si>
    <t xml:space="preserve">Enable residents to remain in  home safely 
To support admissions avoidance by preventing accidents that occur in the community 
To prevent functional deterioration 
To maximise independence and choice so residents remain at home through rehabilitation and re-ablement    
To provide timely access to services by operating 24 hours a day and supports seven day working. </t>
  </si>
  <si>
    <t>Leeds402Community bedsBed based intermediate Care Services (Reablement, rehabilitation, wider short-term services supporting recovery)Bed-based intermediate care with reablement (to support discharge)</t>
  </si>
  <si>
    <t>Commissioned Homecare services</t>
  </si>
  <si>
    <t>Leeds404Supporting carersCarers ServicesRespite services</t>
  </si>
  <si>
    <t>Leeds405Leeds EquipmentAssistive Technologies and EquipmentCommunity based equipment</t>
  </si>
  <si>
    <t>Leeds Equipment</t>
  </si>
  <si>
    <t>Leeds406Leeds EquipmentAssistive Technologies and EquipmentCommunity based equipment</t>
  </si>
  <si>
    <t xml:space="preserve">Discretionary private sector accident prevention, safe as houses, keep warm, renovation  </t>
  </si>
  <si>
    <t>Leeds422Community bedsBed based intermediate Care Services (Reablement, rehabilitation, wider short-term services supporting recovery)Bed-based intermediate care with reablement (to support discharge)</t>
  </si>
  <si>
    <t xml:space="preserve">Homecare placements and packages </t>
  </si>
  <si>
    <t>Leeds411Disabled Facilities GrantDFG Related SchemesAdaptations, including statutory DFG grants</t>
  </si>
  <si>
    <t xml:space="preserve">Block commission Transitional beds at an Older Peoples Care Homer to provide flexible short-term stepdown bed capacity to support timely hospital discharge and step-up beds from both community social work teams across Bi-borough. </t>
  </si>
  <si>
    <t>Leeds412Social Care to Health BenefitHome Care or Domiciliary CareDomiciliary care packages</t>
  </si>
  <si>
    <t>Social Care to Health Benefit</t>
  </si>
  <si>
    <t>Provision of additional block purchased beds</t>
  </si>
  <si>
    <t>Leeds421Contribution to social care demand pressuresResidential PlacementsOther</t>
  </si>
  <si>
    <t>Contribution to social care demand pressures</t>
  </si>
  <si>
    <t>Leeds451Growth in home careHome Care or Domiciliary CareDomiciliary care packages</t>
  </si>
  <si>
    <t>Growth in home care</t>
  </si>
  <si>
    <t xml:space="preserve">Home care provision </t>
  </si>
  <si>
    <t>Leeds452Growth in residential careResidential PlacementsCare home</t>
  </si>
  <si>
    <t>Growth in residential care</t>
  </si>
  <si>
    <t>Reablement service  to support discharge and reduce pressure on NHS services . Also to prevent admission to hospitals</t>
  </si>
  <si>
    <t>Leeds461Additional community capacityHome-based intermediate care servicesJoint reablement and rehabilitation service (to prevent admission to hospital or residential care)</t>
  </si>
  <si>
    <t>Additional community capacity</t>
  </si>
  <si>
    <t>Additional HomeCare Placements</t>
  </si>
  <si>
    <t xml:space="preserve">Leeds462Home First pump primingHome-based intermediate care servicesJoint reablement and rehabilitation service (to support discharge) </t>
  </si>
  <si>
    <t>Home First pump priming</t>
  </si>
  <si>
    <t>to support extended working across short term pathways to cover until 6pm during the week and 8am - 4pm at weekends and BH - Careline and workers</t>
  </si>
  <si>
    <t>Leeds463Temp to Perm' placementsResidential PlacementsShort-term residential/nursing care for someone likely to require a longer-term care home replacement</t>
  </si>
  <si>
    <t>Temp to Perm' placements</t>
  </si>
  <si>
    <t>Additional Residential Placements</t>
  </si>
  <si>
    <t>Leeds464P2 discharge to assess Residential PlacementsShort term residential care (without rehabilitation or reablement input)</t>
  </si>
  <si>
    <t xml:space="preserve">P2 discharge to assess </t>
  </si>
  <si>
    <t>Additional Nursing Placements</t>
  </si>
  <si>
    <t>Leicester1Existing ASC TransferHome Care or Domiciliary CareDomiciliary care packages</t>
  </si>
  <si>
    <t>Existing ASC Transfer</t>
  </si>
  <si>
    <t>Hilton contract to support discharge</t>
  </si>
  <si>
    <t xml:space="preserve">Leicester3Reablement funds - LAHome-based intermediate care servicesReablement at home (to support discharge) </t>
  </si>
  <si>
    <t>Reablement funds - LA</t>
  </si>
  <si>
    <t>Additional Residential Placements for Transforming Care Clients</t>
  </si>
  <si>
    <t>Leicester5Assistive technologiesAssistive Technologies and EquipmentAssistive technologies including telecare</t>
  </si>
  <si>
    <t>Assistive technologies</t>
  </si>
  <si>
    <t>Additional Supported Living Placements for Transforming Care Clients</t>
  </si>
  <si>
    <t>Leicester4320 spot purchased residential beds- to support p2 discharges from the acute Bed based intermediate Care Services (Reablement, rehabilitation, wider short-term services supporting recovery)Bed-based intermediate care with reablement (to support discharge)</t>
  </si>
  <si>
    <t xml:space="preserve">20 spot purchased residential beds- to support p2 discharges from the acute </t>
  </si>
  <si>
    <t>TEC Implementation in persons home to allow discharge</t>
  </si>
  <si>
    <t>Leicester44Continuation &amp; growth of the Bariatric pilot (3 beds plus MH Support)Bed based intermediate Care Services (Reablement, rehabilitation, wider short-term services supporting recovery)Bed-based intermediate care with rehabilitation (to support discharge)</t>
  </si>
  <si>
    <t>Continuation &amp; growth of the Bariatric pilot (3 beds plus MH Support)</t>
  </si>
  <si>
    <t>Leicester50Disabled Facilities GrantDFG Related SchemesDiscretionary use of DFG</t>
  </si>
  <si>
    <t>Leicestershire1Provision for enhanced carer support servicesCarers ServicesCarer advice and support related to Care Act duties</t>
  </si>
  <si>
    <t>Provision for enhanced carer support services</t>
  </si>
  <si>
    <t>Leicestershire6Stabilising the social care provider marketHome Care or Domiciliary CareDomiciliary care packages</t>
  </si>
  <si>
    <t>Stabilising the social care provider market</t>
  </si>
  <si>
    <t>Leicestershire9Technology Enabled CareAssistive Technologies and EquipmentAssistive technologies including telecare</t>
  </si>
  <si>
    <t>Additional Supported Living Placements for Hospital Discharge Clients</t>
  </si>
  <si>
    <t>Leicestershire16HART Reablement Home-based intermediate care servicesReablement at home (accepting step up and step down users)</t>
  </si>
  <si>
    <t xml:space="preserve">HART Reablement </t>
  </si>
  <si>
    <t xml:space="preserve">Investment in ICES (Integrated Community Equipment Service). The aim is to support discharge and enable people to remain in their own home </t>
  </si>
  <si>
    <t>Leicestershire31Home Care Service (ASC protected)Home Care or Domiciliary CareDomiciliary care packages</t>
  </si>
  <si>
    <t>Home Care Service (ASC protected)</t>
  </si>
  <si>
    <t xml:space="preserve">Further investment in community equiment provided by NRS healthcare. The aim is to support discharge and enable people to remain in their own home </t>
  </si>
  <si>
    <t>Leicestershire32Nursing Care Packages (ASC protected)Residential PlacementsNursing home</t>
  </si>
  <si>
    <t>Nursing Care Packages (ASC protected)</t>
  </si>
  <si>
    <t>NHS support to social care under section 256 agreement to enable carers to continue in their caring role</t>
  </si>
  <si>
    <t>Leicestershire33Residential Respite Service (ASC protected)Carers ServicesRespite services</t>
  </si>
  <si>
    <t>Residential Respite Service (ASC protected)</t>
  </si>
  <si>
    <t>Delivery of improved health and social care integrated facility at Westbrook House offering a flexible service (no. of beds shown refers to the total unit)</t>
  </si>
  <si>
    <t>Leicestershire39Blaby District CouncilDFG Related SchemesAdaptations, including statutory DFG grants</t>
  </si>
  <si>
    <t>Blaby District Council</t>
  </si>
  <si>
    <t>Delivery of improved health and social care integrated facility at Westview offering a flexible service (no. of beds shown refers to the total unit)</t>
  </si>
  <si>
    <t>Leicestershire40Charnwood CouncilDFG Related SchemesAdaptations, including statutory DFG grants</t>
  </si>
  <si>
    <t>Charnwood Council</t>
  </si>
  <si>
    <t>Additional investment in Discharge to Assess model linked to A&amp;E Delivery Board, to get people back to their own homes following hospital discharge</t>
  </si>
  <si>
    <t>Leicestershire41Harborough CouncilDFG Related SchemesAdaptations, including statutory DFG grants</t>
  </si>
  <si>
    <t>Harborough Council</t>
  </si>
  <si>
    <t>Spot purchasing of health and social care beds as required for step up/step down care (beds shown are east Kent total)</t>
  </si>
  <si>
    <t>Leicestershire42Hinckley and Bosworth Distrct CouncilDFG Related SchemesAdaptations, including statutory DFG grants</t>
  </si>
  <si>
    <t>Hinckley and Bosworth Distrct Council</t>
  </si>
  <si>
    <t>Leicestershire43Melton CouncilDFG Related SchemesAdaptations, including statutory DFG grants</t>
  </si>
  <si>
    <t>Melton Council</t>
  </si>
  <si>
    <t>Leicestershire44North West Leicestershire CouncilDFG Related SchemesAdaptations, including statutory DFG grants</t>
  </si>
  <si>
    <t>North West Leicestershire Council</t>
  </si>
  <si>
    <t>Neuro rehab team</t>
  </si>
  <si>
    <t>Leicestershire45Oadby and Wigston CouncilDFG Related SchemesAdaptations, including statutory DFG grants</t>
  </si>
  <si>
    <t>Oadby and Wigston Council</t>
  </si>
  <si>
    <t>Leicestershire46Hoarding ProjectDFG Related SchemesDiscretionary use of DFG</t>
  </si>
  <si>
    <t>Hoarding Project</t>
  </si>
  <si>
    <t>Leicestershire47Extending Housing Occupational Therapist (EHOT)DFG Related SchemesDiscretionary use of DFG</t>
  </si>
  <si>
    <t>Extending Housing Occupational Therapist (EHOT)</t>
  </si>
  <si>
    <t>Funding of care home beds to discharge patients awaiting assement</t>
  </si>
  <si>
    <t>Leicestershire48Green GrantDFG Related SchemesDiscretionary use of DFG</t>
  </si>
  <si>
    <t>Green Grant</t>
  </si>
  <si>
    <t>WK HCP P2.5 Reablement beds at Hawkhurst House</t>
  </si>
  <si>
    <t xml:space="preserve">Leicestershire50Intake Model Home-based intermediate care servicesReablement at home (to support discharge) </t>
  </si>
  <si>
    <t xml:space="preserve">Intake Model </t>
  </si>
  <si>
    <t>WK HCP P1 D2A Capacity- Hilton/ Pulse</t>
  </si>
  <si>
    <t>Leicestershire55Discharge Pathway 3 ContractBed based intermediate Care Services (Reablement, rehabilitation, wider short-term services supporting recovery)Bed-based intermediate care with reablement (to support discharge)</t>
  </si>
  <si>
    <t>Discharge Pathway 3 Contract</t>
  </si>
  <si>
    <t xml:space="preserve">EK HCP Support worker and live in care - flexible can also support single handed assessment. </t>
  </si>
  <si>
    <t>Live in carer</t>
  </si>
  <si>
    <t>Leicestershire58LD Short BreaksCarers ServicesRespite services</t>
  </si>
  <si>
    <t>LD Short Breaks</t>
  </si>
  <si>
    <t xml:space="preserve">Swale - Purchase 40 additional community NHS beds </t>
  </si>
  <si>
    <t>Leicestershire65Blocked booked HD beds (6) Bed based intermediate Care Services (Reablement, rehabilitation, wider short-term services supporting recovery)Bed-based intermediate care with rehabilitation (to support discharge)</t>
  </si>
  <si>
    <t xml:space="preserve">Blocked booked HD beds (6) </t>
  </si>
  <si>
    <t>Provision of assistive technologies</t>
  </si>
  <si>
    <t>Leicestershire66HD 1-1s for blocked booked bedsBed based intermediate Care Services (Reablement, rehabilitation, wider short-term services supporting recovery)Bed-based intermediate care with rehabilitation (to support discharge)</t>
  </si>
  <si>
    <t>HD 1-1s for blocked booked beds</t>
  </si>
  <si>
    <t>Provision of the Older People's Mental Health Team</t>
  </si>
  <si>
    <t>Integrated care packages</t>
  </si>
  <si>
    <t>Leicestershire67Rehab beds- supporting P2 discharges from acute (25 beds)Bed based intermediate Care Services (Reablement, rehabilitation, wider short-term services supporting recovery)Bed-based intermediate care with rehabilitation (to support discharge)</t>
  </si>
  <si>
    <t>Rehab beds- supporting P2 discharges from acute (25 beds)</t>
  </si>
  <si>
    <t>Contribution to supporting carers service</t>
  </si>
  <si>
    <t>Leicestershire6820 spot purchased residential beds- to support p2 discharges from the acute Bed based intermediate Care Services (Reablement, rehabilitation, wider short-term services supporting recovery)Bed-based intermediate care with reablement (to support discharge)</t>
  </si>
  <si>
    <t>Leicestershire69Continuation &amp; growth of the Bariatric pilot (3 beds plus MH Support)Bed based intermediate Care Services (Reablement, rehabilitation, wider short-term services supporting recovery)Bed-based intermediate care with rehabilitation (to support discharge)</t>
  </si>
  <si>
    <t xml:space="preserve">Focusing on the discharge processes and improved integration to minimise delayed transfers of care and maximise people’s independence, with an emphasis on people who have had a stroke. </t>
  </si>
  <si>
    <t>Leicestershire78Carers Support PaymentCarers ServicesCarer advice and support related to Care Act duties</t>
  </si>
  <si>
    <t>Carers Support Payment</t>
  </si>
  <si>
    <t>Funding for short term rehabilitation service at Highfield, overseen by CHCP</t>
  </si>
  <si>
    <t>Leicestershire82Technology enabled careAssistive Technologies and EquipmentAssistive technologies including telecare</t>
  </si>
  <si>
    <t>Technology enabled care</t>
  </si>
  <si>
    <t>Provision of intermediate care at Highfield Resource Centre and Thornton</t>
  </si>
  <si>
    <t>Lewisham3Improved use of Equipment Assistive Technologies and EquipmentCommunity based equipment</t>
  </si>
  <si>
    <t xml:space="preserve">Improved use of Equipment </t>
  </si>
  <si>
    <t xml:space="preserve">Training and the provision of single handed hoists. </t>
  </si>
  <si>
    <t>This is a post for the Moving with Dignity Practitioner</t>
  </si>
  <si>
    <t>Lewisham11DFGDFG Related SchemesAdaptations, including statutory DFG grants</t>
  </si>
  <si>
    <t>Lewisham15Extra Care ProvisionResidential PlacementsExtra care</t>
  </si>
  <si>
    <t>Extra Care Provision</t>
  </si>
  <si>
    <t>Lewisham23Carers information, advice and support Carers ServicesOther</t>
  </si>
  <si>
    <t xml:space="preserve">Carers information, advice and support </t>
  </si>
  <si>
    <t>Information and advice</t>
  </si>
  <si>
    <t>Lewisham25Support for Mental Health provisionResidential PlacementsCare home</t>
  </si>
  <si>
    <t>Support for Mental Health provision</t>
  </si>
  <si>
    <t>Developing end of life processes with named lead care professionals ensuring that people die in their preferred place.</t>
  </si>
  <si>
    <t>Lewisham29Transitions Residential PlacementsCare home</t>
  </si>
  <si>
    <t xml:space="preserve">Transitions </t>
  </si>
  <si>
    <t xml:space="preserve">Provision of advocacy support for people who need it. </t>
  </si>
  <si>
    <t>Lewisham31Protection of current level of packages of careHome Care or Domiciliary CareDomiciliary care packages</t>
  </si>
  <si>
    <t>Protection of current level of packages of care</t>
  </si>
  <si>
    <t>Provision of a home care service to ensure people are independent and providing support to reduce hospital admissions</t>
  </si>
  <si>
    <t>Lewisham34Maintenance of social care budgetsHome Care or Domiciliary CareDomiciliary care packages</t>
  </si>
  <si>
    <t>Maintenance of social care budgets</t>
  </si>
  <si>
    <t>Lewisham37Provider InflationHome Care or Domiciliary CareDomiciliary care packages</t>
  </si>
  <si>
    <t>Provider Inflation</t>
  </si>
  <si>
    <t>Disabled Facilities Grant to make adaptations to people's properties</t>
  </si>
  <si>
    <t>Lewisham38Demographic growthHome Care or Domiciliary CareDomiciliary care packages</t>
  </si>
  <si>
    <t>Demographic growth</t>
  </si>
  <si>
    <t>Additional support for external residential provision</t>
  </si>
  <si>
    <t>Lewisham39Remote monitoringAssistive Technologies and EquipmentAssistive technologies including telecare</t>
  </si>
  <si>
    <t>Remote monitoring</t>
  </si>
  <si>
    <t>Lewisham47Home Care Home Care or Domiciliary CareDomiciliary care to support hospital discharge (Discharge to Assess pathway 1)</t>
  </si>
  <si>
    <t>Additional support for home care provision and market shaping and sustainability</t>
  </si>
  <si>
    <t>Lewisham48Home Care Home Care or Domiciliary CareDomiciliary care to support hospital discharge (Discharge to Assess pathway 1)</t>
  </si>
  <si>
    <t>Additional support for residential provision</t>
  </si>
  <si>
    <t>Lewisham49Residential Placements Residential PlacementsExtra care</t>
  </si>
  <si>
    <t xml:space="preserve">Residential Placements </t>
  </si>
  <si>
    <t>Scheme to improve staff deployment</t>
  </si>
  <si>
    <t>Lewisham50Residential Placements Bed based intermediate Care Services (Reablement, rehabilitation, wider short-term services supporting recovery)Bed-based intermediate care with reablement (to support discharge)</t>
  </si>
  <si>
    <t>Addiitonal IT support replacing kit in in house residential homes to benefit residents and staff</t>
  </si>
  <si>
    <t>Lewisham60Enablement for double handed packagesHome-based intermediate care servicesReablement at home (accepting step up and step down users)</t>
  </si>
  <si>
    <t>Enablement for double handed packages</t>
  </si>
  <si>
    <t>Lewisham61Linkline support Assistive Technologies and EquipmentAssistive technologies including telecare</t>
  </si>
  <si>
    <t xml:space="preserve">Linkline support </t>
  </si>
  <si>
    <t>Lincolnshire1Reablement in a persons homeHome-based intermediate care servicesReablement at home (accepting step up and step down users)</t>
  </si>
  <si>
    <t>Reablement in a persons home</t>
  </si>
  <si>
    <t>Liverpool20Provision of personalised breaks for carers.Carers ServicesRespite services</t>
  </si>
  <si>
    <t>Provision of personalised breaks for carers.</t>
  </si>
  <si>
    <t>Liverpool17Support for Carers
Carers ServicesOther</t>
  </si>
  <si>
    <t xml:space="preserve">Support for Carers
</t>
  </si>
  <si>
    <t>D2A/Reablement</t>
  </si>
  <si>
    <t>Liverpool19Provision of services that enable the Council to comply with statutory duties in respect of carers as defined in the Care Act 2014 and Children and Families Act 2014.
Carers ServicesCarer advice and support related to Care Act duties</t>
  </si>
  <si>
    <t xml:space="preserve">Provision of services that enable the Council to comply with statutory duties in respect of carers as defined in the Care Act 2014 and Children and Families Act 2014.
</t>
  </si>
  <si>
    <t>Home care / domiciliary care</t>
  </si>
  <si>
    <t>Liverpool15Supported AccomodationResidential PlacementsSupported housing</t>
  </si>
  <si>
    <t>Supported Accomodation</t>
  </si>
  <si>
    <t>Residential placements (nurisng and residential)</t>
  </si>
  <si>
    <t>Liverpool16Supported AccomodationResidential PlacementsSupported housing</t>
  </si>
  <si>
    <t>Liverpool41Advice &amp; support to access and plan care.Carers ServicesCarer advice and support related to Care Act duties</t>
  </si>
  <si>
    <t>Advice &amp; support to access and plan care.</t>
  </si>
  <si>
    <t>Liverpool28Mental Capacity Act GrantCarers ServicesCarer advice and support related to Care Act duties</t>
  </si>
  <si>
    <t>Mental Capacity Act Grant</t>
  </si>
  <si>
    <t>YHC additional reablement hours (unit in hours)</t>
  </si>
  <si>
    <t>Liverpool23Support of Health &amp; Social Care Mental Health Clients
Residential PlacementsSupported housing</t>
  </si>
  <si>
    <t xml:space="preserve">Support of Health &amp; Social Care Mental Health Clients
</t>
  </si>
  <si>
    <t>Additional 24 hour care / QDS - (unit in hours)</t>
  </si>
  <si>
    <t>Liverpool29Community Support TeamBed based intermediate Care Services (Reablement, rehabilitation, wider short-term services supporting recovery)Other</t>
  </si>
  <si>
    <t>Community Support Team</t>
  </si>
  <si>
    <t>Under 65s / dual D2A capacity</t>
  </si>
  <si>
    <t>Liverpool31Joint Funded Packages – Mental Health S117
Residential PlacementsNursing home</t>
  </si>
  <si>
    <t xml:space="preserve">Joint Funded Packages – Mental Health S117
</t>
  </si>
  <si>
    <t>This Scheme faciliates the use of community equipment, aids to daily living, minor and major adaptations to provover to enable people with long-term conditions, disabilities, requiring rehabiliation or at end of life to remain living in their own homes.</t>
  </si>
  <si>
    <t>Liverpool30Joint Funded Packages – Mental Health S117
Residential PlacementsNursing home</t>
  </si>
  <si>
    <t>As above.</t>
  </si>
  <si>
    <t>Liverpool101Joint Funded Packages – Mental Health S117
Residential PlacementsNursing home</t>
  </si>
  <si>
    <t>Liverpool27Joint Funded Packages MH rehab (supported Accommodation)Residential PlacementsSupported housing</t>
  </si>
  <si>
    <t>Joint Funded Packages MH rehab (supported Accommodation)</t>
  </si>
  <si>
    <t>Liverpool25Joint Funded Packages MH rehab (supported Accommodation)Residential PlacementsSupported housing</t>
  </si>
  <si>
    <t>This Scheme comprises intermediate care and reablement services to people who have received hospital care, or are at high risk of needing hospital care, to regain, as far as possible, their skills, abilities and independence through enhanced reablement and rehabilitiation support.  The overall aim of the scheme is to help reduce avoidable hospital admissions, support timely discharges and prevent readmissions. A key aim of the scheme is to develop an integrated offer that ensures the delivery of an effective cycle of care that is seamless and effective and delivers improved outcomes for patients and carers.</t>
  </si>
  <si>
    <t>Liverpool90Joint Funded Packages- Complex Needs PHBResidential PlacementsNursing home</t>
  </si>
  <si>
    <t>Joint Funded Packages- Complex Needs PHB</t>
  </si>
  <si>
    <t>Liverpool37Joint Funded Packages- Complex NeedsResidential PlacementsNursing home</t>
  </si>
  <si>
    <t>Joint Funded Packages- Complex Needs</t>
  </si>
  <si>
    <t>Care Closer To Home</t>
  </si>
  <si>
    <t>Liverpool89Joint Funded Packages- Complex NeedsResidential PlacementsSupported housing</t>
  </si>
  <si>
    <t>This Scheme includes carers breaks, emotional support, self-help and enablement courses, assessments, information and advice, peer support, awareness raising, carers having a voice, avocacy, specialist support for carers of people with mental health concerns, Dementia, at end of life and workplace support for carers. The overall aim of the scheme is to support carers to continue caring in an informed, safe and healthy manner.</t>
  </si>
  <si>
    <t>Liverpool103Specialist Rehab - Contract BedsResidential PlacementsNursing home</t>
  </si>
  <si>
    <t>Specialist Rehab - Contract Beds</t>
  </si>
  <si>
    <t>Liverpool38BCF - Out of City Resettlement Residential PlacementsSupported housing</t>
  </si>
  <si>
    <t xml:space="preserve">BCF - Out of City Resettlement </t>
  </si>
  <si>
    <t>Liverpool82Bankfield  - Specialist  (LCC)Residential PlacementsSupported housing</t>
  </si>
  <si>
    <t>Bankfield  - Specialist  (LCC)</t>
  </si>
  <si>
    <t>Liverpool83BankfieldResidential PlacementsSupported housing</t>
  </si>
  <si>
    <t>Bankfield</t>
  </si>
  <si>
    <t>Support to ensure continuity in the D2A offer.</t>
  </si>
  <si>
    <t>Liverpool85Queens Drive (LCC)Residential PlacementsSupported housing</t>
  </si>
  <si>
    <t>Queens Drive (LCC)</t>
  </si>
  <si>
    <t>Liverpool86Queens Drive (LCCG)Residential PlacementsSupported housing</t>
  </si>
  <si>
    <t>Queens Drive (LCCG)</t>
  </si>
  <si>
    <t>Liverpool48Disabled Facilities GrantDFG Related SchemesAdaptations, including statutory DFG grants</t>
  </si>
  <si>
    <t>Liverpool107Besford Residential PlacementsSupported housing</t>
  </si>
  <si>
    <t xml:space="preserve">Besford </t>
  </si>
  <si>
    <t>Liverpool50Community Equipment/Single Handed CareAssistive Technologies and EquipmentCommunity based equipment</t>
  </si>
  <si>
    <t>Community Equipment/Single Handed Care</t>
  </si>
  <si>
    <t>Liverpool97Community Equipment Assistive Technologies and EquipmentCommunity based equipment</t>
  </si>
  <si>
    <t>Reablement support for hospital discharges</t>
  </si>
  <si>
    <t>Liverpool98Telehealth Technology and ServicesAssistive Technologies and EquipmentCommunity based equipment</t>
  </si>
  <si>
    <t>Telehealth Technology and Services</t>
  </si>
  <si>
    <t>Liverpool45Telecare Joint Contract PaymentAssistive Technologies and EquipmentAssistive technologies including telecare</t>
  </si>
  <si>
    <t>Telecare Joint Contract Payment</t>
  </si>
  <si>
    <t>Mental Health Care Packages - Residential Homes</t>
  </si>
  <si>
    <t>Liverpool9Dom Care Packages - Acute WardsHome Care or Domiciliary CareDomiciliary care to support hospital discharge (Discharge to Assess pathway 1)</t>
  </si>
  <si>
    <t>Dom Care Packages - Acute Wards</t>
  </si>
  <si>
    <t>Mental Health Care Packages - Nursing Homes</t>
  </si>
  <si>
    <t>Liverpool33Home First Home Care or Domiciliary CareDomiciliary care to support hospital discharge (Discharge to Assess pathway 1)</t>
  </si>
  <si>
    <t xml:space="preserve">Home First </t>
  </si>
  <si>
    <t>Liverpool69Home First Home Care or Domiciliary CareDomiciliary care to support hospital discharge (Discharge to Assess pathway 1)</t>
  </si>
  <si>
    <t xml:space="preserve">Intermediate care services </t>
  </si>
  <si>
    <t>Liverpool70Home First Home Care or Domiciliary CareDomiciliary care to support hospital discharge (Discharge to Assess pathway 1)</t>
  </si>
  <si>
    <t>Liverpool6Sedgemoor HubBed based intermediate Care Services (Reablement, rehabilitation, wider short-term services supporting recovery)Bed-based intermediate care with reablement (to support discharge)</t>
  </si>
  <si>
    <t>Sedgemoor Hub</t>
  </si>
  <si>
    <t>Community Care Packages - Home Care</t>
  </si>
  <si>
    <t>Liverpool8Townsend HubBed based intermediate Care Services (Reablement, rehabilitation, wider short-term services supporting recovery)Bed-based intermediate care with reablement (to support discharge)</t>
  </si>
  <si>
    <t>Townsend Hub</t>
  </si>
  <si>
    <t>Community Care Packages - Residential</t>
  </si>
  <si>
    <t>Liverpool4Granby HubBed based intermediate Care Services (Reablement, rehabilitation, wider short-term services supporting recovery)Bed-based intermediate care with reablement (to support discharge)</t>
  </si>
  <si>
    <t>Granby Hub</t>
  </si>
  <si>
    <t>Community Care Packages - Nursing Care</t>
  </si>
  <si>
    <t>Liverpool73Granby 2 to 1Bed based intermediate Care Services (Reablement, rehabilitation, wider short-term services supporting recovery)Bed-based intermediate care with reablement (to support discharge)</t>
  </si>
  <si>
    <t>Granby 2 to 1</t>
  </si>
  <si>
    <t>Community Care Packages - Extra Care</t>
  </si>
  <si>
    <t>Liverpool24Residential &amp; Nursing fee UpliftResidential PlacementsCare home</t>
  </si>
  <si>
    <t>Residential &amp; Nursing fee Uplift</t>
  </si>
  <si>
    <t>Liverpool99High Nursing Dependency Care Residential PlacementsNursing home</t>
  </si>
  <si>
    <t xml:space="preserve">High Nursing Dependency Care </t>
  </si>
  <si>
    <t>Community Care Packages - Carer Support</t>
  </si>
  <si>
    <t>Carer support packages</t>
  </si>
  <si>
    <t>Liverpool931:1 Fees for High Nursing Dependency Care Residential PlacementsNursing home</t>
  </si>
  <si>
    <t xml:space="preserve">1:1 Fees for High Nursing Dependency Care </t>
  </si>
  <si>
    <t>Community Care Packages - Care Act Carers Contract</t>
  </si>
  <si>
    <t>Liverpool92Medical CoverBed based intermediate Care Services (Reablement, rehabilitation, wider short-term services supporting recovery)Other</t>
  </si>
  <si>
    <t>Medical Cover</t>
  </si>
  <si>
    <t>Liverpool87Adult FF CHC Residential PlacementsNursing home</t>
  </si>
  <si>
    <t xml:space="preserve">Adult FF CHC </t>
  </si>
  <si>
    <t>Liverpool64Residential Fee Uplifts  Residential PlacementsCare home</t>
  </si>
  <si>
    <t xml:space="preserve">Residential Fee Uplifts  </t>
  </si>
  <si>
    <t>Disability Care Packages - Home Care</t>
  </si>
  <si>
    <t>Liverpool78My TimeCarers ServicesRespite services</t>
  </si>
  <si>
    <t>My Time</t>
  </si>
  <si>
    <t xml:space="preserve">Disability Care Packages - Residential </t>
  </si>
  <si>
    <t>Liverpool109Personalised Health &amp; Social CareResidential PlacementsCare home</t>
  </si>
  <si>
    <t>Personalised Health &amp; Social Care</t>
  </si>
  <si>
    <t>Disability Care Packages - Nursing Care</t>
  </si>
  <si>
    <t>Liverpool93Fees for High Nursing Dependency Care Residential PlacementsNursing home</t>
  </si>
  <si>
    <t xml:space="preserve">Fees for High Nursing Dependency Care </t>
  </si>
  <si>
    <t>Disability Care Packages - Extra Care</t>
  </si>
  <si>
    <t>Liverpool2Reablement Beds (Spot Purchase)Bed based intermediate Care Services (Reablement, rehabilitation, wider short-term services supporting recovery)Bed-based intermediate care with rehabilitation (to support discharge)</t>
  </si>
  <si>
    <t>Reablement Beds (Spot Purchase)</t>
  </si>
  <si>
    <t>Intermediate care services</t>
  </si>
  <si>
    <t>Luton1Meet and Greet SchemeCarers ServicesOther</t>
  </si>
  <si>
    <t>Meet and Greet Scheme</t>
  </si>
  <si>
    <t>Protecting Social Care - Knowsley Rapid Response Team</t>
  </si>
  <si>
    <t>Luton90Disabled Facilities Grant (DFG)DFG Related SchemesAdaptations, including statutory DFG grants</t>
  </si>
  <si>
    <t>Luton13Community Equipment Services - LBCAssistive Technologies and EquipmentCommunity based equipment</t>
  </si>
  <si>
    <t>Community Equipment Services - LBC</t>
  </si>
  <si>
    <t>Luton13Community Equipment Services - CCGAssistive Technologies and EquipmentCommunity based equipment</t>
  </si>
  <si>
    <t>Community Equipment Services - CCG</t>
  </si>
  <si>
    <t>Luton2TelecareAssistive Technologies and EquipmentAssistive technologies including telecare</t>
  </si>
  <si>
    <t>Luton13Adaptations &amp; Minor WorksDFG Related SchemesAdaptations, including statutory DFG grants</t>
  </si>
  <si>
    <t>Adaptations &amp; Minor Works</t>
  </si>
  <si>
    <t>Luton14Short term packages of care to support hospital discharge (up to 4 weeks)Home Care or Domiciliary CareDomiciliary care to support hospital discharge (Discharge to Assess pathway 1)</t>
  </si>
  <si>
    <t>Short term packages of care to support hospital discharge (up to 4 weeks)</t>
  </si>
  <si>
    <t>Luton14Short term packages of care to support hospital discharge (up to 4 weeks)Residential PlacementsShort term residential care (without rehabilitation or reablement input)</t>
  </si>
  <si>
    <t>Manchester1DFGDFG Related SchemesAdaptations, including statutory DFG grants</t>
  </si>
  <si>
    <t>Manchester4Winter Pressures GrantHome Care or Domiciliary CareDomiciliary care packages</t>
  </si>
  <si>
    <t>Winter Pressures Grant</t>
  </si>
  <si>
    <t>Residential Placements - Extra Care</t>
  </si>
  <si>
    <t>Manchester7Social Care Residential PlacementsCare home</t>
  </si>
  <si>
    <t xml:space="preserve">Social Care </t>
  </si>
  <si>
    <t>Manchester8Social Care Residential PlacementsNursing home</t>
  </si>
  <si>
    <t>Personalised Care at Home</t>
  </si>
  <si>
    <t>Manchester9Social Care Assistive Technologies and EquipmentAssistive technologies including telecare</t>
  </si>
  <si>
    <t>Manchester10Social Care Assistive Technologies and EquipmentCommunity based equipment</t>
  </si>
  <si>
    <t>Manchester11Social Care Home Care or Domiciliary CareDomiciliary care to support hospital discharge (Discharge to Assess pathway 1)</t>
  </si>
  <si>
    <t>Manchester13Social Care Home Care or Domiciliary CareDomiciliary care packages</t>
  </si>
  <si>
    <t>Manchester16Social Care - Extra CareHome Care or Domiciliary CareDomiciliary care packages</t>
  </si>
  <si>
    <t>Social Care - Extra Care</t>
  </si>
  <si>
    <t>Manchester33Manchester Equipment and Adaptations serviceAssistive Technologies and EquipmentCommunity based equipment</t>
  </si>
  <si>
    <t>Manchester Equipment and Adaptations service</t>
  </si>
  <si>
    <t>Medway2TelecareAssistive Technologies and EquipmentAssistive technologies including telecare</t>
  </si>
  <si>
    <t>Medway3Domiciliary care packagesHome Care or Domiciliary CareOther</t>
  </si>
  <si>
    <t>Assistive Technology - Service Contract</t>
  </si>
  <si>
    <t>Service Contract for response to calls</t>
  </si>
  <si>
    <t>Medway4Carers respite Carers ServicesRespite services</t>
  </si>
  <si>
    <t xml:space="preserve">Carers respite </t>
  </si>
  <si>
    <t>Falls pick up service</t>
  </si>
  <si>
    <t>Medway5Carers Support ServicesCarers ServicesCarer advice and support related to Care Act duties</t>
  </si>
  <si>
    <t>Medway6Carers Support ServicesCarers ServicesCarer advice and support related to Care Act duties</t>
  </si>
  <si>
    <t>2 x 24 hour posts in Enhanced Rapid Response Capacity</t>
  </si>
  <si>
    <t>Medway22Medway Integrated Community Equipment ServiceAssistive Technologies and EquipmentCommunity based equipment</t>
  </si>
  <si>
    <t>Medway Integrated Community Equipment Service</t>
  </si>
  <si>
    <t xml:space="preserve">2 x 24 hour posts in Reablement </t>
  </si>
  <si>
    <t>Medway23Medway Integrated Community Equipment ServiceAssistive Technologies and EquipmentCommunity based equipment</t>
  </si>
  <si>
    <t>Step Down Mental Health Bed – Blue Bell</t>
  </si>
  <si>
    <t>Medway24Medway Intermediate Care Reablement Service (Platters beds)Bed based intermediate Care Services (Reablement, rehabilitation, wider short-term services supporting recovery)Bed-based intermediate care with reablement (to support discharge)</t>
  </si>
  <si>
    <t>Medway Intermediate Care Reablement Service (Platters beds)</t>
  </si>
  <si>
    <t>Reablement and rehabilitation services</t>
  </si>
  <si>
    <t>Medway25Medway Intermediate Care Reablement Service (Brittania)Bed based intermediate Care Services (Reablement, rehabilitation, wider short-term services supporting recovery)Bed-based intermediate care with reablement (to support discharge)</t>
  </si>
  <si>
    <t>Medway Intermediate Care Reablement Service (Brittania)</t>
  </si>
  <si>
    <t xml:space="preserve">Medway26Medway Intermediate Care Reablement ServiceHome-based intermediate care servicesReablement at home (to support discharge) </t>
  </si>
  <si>
    <t>Medway Intermediate Care Reablement Service</t>
  </si>
  <si>
    <t>Advice and support to carers</t>
  </si>
  <si>
    <t>Medway28Disabled Facilities GrantDFG Related SchemesAdaptations, including statutory DFG grants</t>
  </si>
  <si>
    <t>placing into residential and nursing care homes</t>
  </si>
  <si>
    <t>Medway31Managing demand on Social CareResidential PlacementsLearning disability</t>
  </si>
  <si>
    <t>Managing demand on Social Care</t>
  </si>
  <si>
    <t>social care equipment to maintain independence at home</t>
  </si>
  <si>
    <t>Medway32Managing demand on Social CareResidential PlacementsNursing home</t>
  </si>
  <si>
    <t>care home placements</t>
  </si>
  <si>
    <t>Medway33Carers Direct Payments  Overall spend is £1.6m - propsal to fund from BCF (if agreed delete scheme 6)Carers ServicesCarer advice and support related to Care Act duties</t>
  </si>
  <si>
    <t>Carers Direct Payments  Overall spend is £1.6m - propsal to fund from BCF (if agreed delete scheme 6)</t>
  </si>
  <si>
    <t>Bed based rehabilitation in dedicated community unit</t>
  </si>
  <si>
    <t>Medway34Step down bedsResidential PlacementsNursing home</t>
  </si>
  <si>
    <t>Aids and adaptions and DFG grants</t>
  </si>
  <si>
    <t>Medway35Short Term winter bedsResidential PlacementsNursing home</t>
  </si>
  <si>
    <t>Short Term winter beds</t>
  </si>
  <si>
    <t>home care packages - outputs are packages of care</t>
  </si>
  <si>
    <t>Medway36Short term winter beds complexResidential PlacementsNursing home</t>
  </si>
  <si>
    <t>Short term winter beds complex</t>
  </si>
  <si>
    <t xml:space="preserve">Medway37Agency staff for reablementHome-based intermediate care servicesReablement at home (to support discharge) </t>
  </si>
  <si>
    <t>Agency staff for reablement</t>
  </si>
  <si>
    <t>intermediate care beds</t>
  </si>
  <si>
    <t>Medway38domiciliary care packagesHome Care or Domiciliary CareShort term domiciliary care (without reablement input)</t>
  </si>
  <si>
    <t>domiciliary care packages</t>
  </si>
  <si>
    <t>Support to identified carers at the point of discharge, assessment at home</t>
  </si>
  <si>
    <t>Medway42Assistive TechnologyAssistive Technologies and EquipmentAssistive technologies including telecare</t>
  </si>
  <si>
    <t>Merton2Telecare (MASCOT)Assistive Technologies and EquipmentAssistive technologies including telecare</t>
  </si>
  <si>
    <t>Telecare (MASCOT)</t>
  </si>
  <si>
    <t>Merton3Voluntary Sector ( including Ageing Well, dementia hub and carers support)Carers ServicesCarer advice and support related to Care Act duties</t>
  </si>
  <si>
    <t>Voluntary Sector ( including Ageing Well, dementia hub and carers support)</t>
  </si>
  <si>
    <t>Provision of residential rehabilitation services by LCC's Older People's service.</t>
  </si>
  <si>
    <t>Merton5Community Equipment and Adaptions (ICES)Assistive Technologies and EquipmentCommunity based equipment</t>
  </si>
  <si>
    <t>Community Equipment and Adaptions (ICES)</t>
  </si>
  <si>
    <t>Urgent Care - Crisis Support provided in a person's own home - Core Hours</t>
  </si>
  <si>
    <t>Merton6ReablementHome-based intermediate care servicesRehabilitation at home (to support discharge)</t>
  </si>
  <si>
    <t>Respite services to provide and develop good quality local support for carers tailored to their individual needs, promoting the carers general health and wellbeing, preventing, reducing or delaying their need for support.</t>
  </si>
  <si>
    <t>Merton7Integrated domiciliary packages of careHome Care or Domiciliary CareDomiciliary care packages</t>
  </si>
  <si>
    <t>Integrated domiciliary packages of care</t>
  </si>
  <si>
    <t>Carer's Assessment &amp; Support Contracts to provide and develop good quality local support for carers tailored to their individual needs, promoting the carers general health and wellbeing, preventing, reducing or delaying their need for support.</t>
  </si>
  <si>
    <t>Merton12Equipment special ordersAssistive Technologies and EquipmentCommunity based equipment</t>
  </si>
  <si>
    <t>Equipment special orders</t>
  </si>
  <si>
    <t>The Lancashire Community Equipment Service provides equipment on loan to people living in the community enabling them to do tasks they would otherwise be unable to do or to provide support to a carer to enable on-going care in their home environment</t>
  </si>
  <si>
    <t>Merton13Reablement CapacityHome-based intermediate care servicesReablement at home (accepting step up and step down users)</t>
  </si>
  <si>
    <t>Reablement Capacity</t>
  </si>
  <si>
    <t>Provision of a reablement service across Lancashire with the aim of supporting service users to be as independent as possible, usually following a period of time in hospital and supports the promotion of independence and faster recovery from illness or a life changing event.  The service aims to prevent unnecessary acute hospital admissions, premature admissions to residential care, support timely discharge from hospital to minimise / delay / the need for long term domiciliary support.</t>
  </si>
  <si>
    <t>Merton17Marie Curie night serviceCarers ServicesRespite services</t>
  </si>
  <si>
    <t>Marie Curie night service</t>
  </si>
  <si>
    <t>Merton24Home based rehabilitationHome-based intermediate care servicesRehabilitation at home (accepting step up and step down users)</t>
  </si>
  <si>
    <t>Home based rehabilitation</t>
  </si>
  <si>
    <t>Securing &amp; Creating Market Capacity for commissioned social care services including residential, nursing and domiciliary care</t>
  </si>
  <si>
    <t>Merton25Bedded rehabilitation (intermediate care)Bed based intermediate Care Services (Reablement, rehabilitation, wider short-term services supporting recovery)Bed-based intermediate care with rehabilitation (to support discharge)</t>
  </si>
  <si>
    <t>Bedded rehabilitation (intermediate care)</t>
  </si>
  <si>
    <t>Provision of telecare services using technology such as personal alarm button, pendants, wristbands to help people feelsafe and maintain independence at home</t>
  </si>
  <si>
    <t>Merton31Integrated domiciliary packages of careHome Care or Domiciliary CareDomiciliary care packages</t>
  </si>
  <si>
    <t xml:space="preserve">Increased capacity to continue the ongoing quality improvement work, support operational responsiveness and resolution of issues, enhance the ability of the IC units countywide to interface with NHS partners around operational issues and discussions, deliver the comms and criteria information, network with referrers/ICAT/CATCH to facilitate high quality referrals and safe admissions, network with the LCC Intermediate Care Team to ensure flow and throughput. Additional resource throughout winter to enhance the staffing capacity of the IC units and enable safe care and support to higher volumes of people with more complex needs. </t>
  </si>
  <si>
    <t>Merton33reablement capacityHome-based intermediate care servicesReablement at home (accepting step up and step down users)</t>
  </si>
  <si>
    <t>reablement capacity</t>
  </si>
  <si>
    <t>Merton34occupational therapyAssistive Technologies and EquipmentCommunity based equipment</t>
  </si>
  <si>
    <t>occupational therapy</t>
  </si>
  <si>
    <t>Merton39Telecare (MASCOT)Assistive Technologies and EquipmentAssistive technologies including telecare</t>
  </si>
  <si>
    <t>Merton41Disabled Facility GrantDFG Related SchemesDiscretionary use of DFG</t>
  </si>
  <si>
    <t>Merton42Disabled Facility GrantDFG Related SchemesAdaptations, including statutory DFG grants</t>
  </si>
  <si>
    <t>Merton43Disabled Facility GrantDFG Related SchemesDiscretionary use of DFG</t>
  </si>
  <si>
    <t>Admission avoidance, discharge to assess etc</t>
  </si>
  <si>
    <t>Merton5Commnuity Equipment and AdaptionsAssistive Technologies and EquipmentCommunity based equipment</t>
  </si>
  <si>
    <t>Commnuity Equipment and Adaptions</t>
  </si>
  <si>
    <t>Merton49Carer Liaison in HospitalCarers ServicesCarer advice and support related to Care Act duties</t>
  </si>
  <si>
    <t>Carer Liaison in Hospital</t>
  </si>
  <si>
    <t>Merton511:1 support in care homesResidential PlacementsNursing home</t>
  </si>
  <si>
    <t>1:1 support in care homes</t>
  </si>
  <si>
    <t>Mental Health Recovery</t>
  </si>
  <si>
    <t>Middlesbrough1Recovery &amp; Reablement - Community ReablementAssistive Technologies and EquipmentCommunity based equipment</t>
  </si>
  <si>
    <t>Recovery &amp; Reablement - Community Reablement</t>
  </si>
  <si>
    <t>Rehab beds</t>
  </si>
  <si>
    <t>Middlesbrough2Recovery &amp; reablement - Residential ReablementBed based intermediate Care Services (Reablement, rehabilitation, wider short-term services supporting recovery)Bed-based intermediate care with rehabilitation accepting step up and step down users</t>
  </si>
  <si>
    <t>Recovery &amp; reablement - Residential Reablement</t>
  </si>
  <si>
    <t>Community Equipment on prescription</t>
  </si>
  <si>
    <t>Middlesbrough3Recovery &amp; Reablement - Community ReablementHome-based intermediate care servicesReablement at home (to prevent admission to hospital or residential care)</t>
  </si>
  <si>
    <t>Dedicated support as add on to LCC carers service</t>
  </si>
  <si>
    <t>Middlesbrough4Recovery &amp; reablement - Residential ReablmentBed based intermediate Care Services (Reablement, rehabilitation, wider short-term services supporting recovery)Bed-based intermediate care with reablement (to support admissions avoidance)</t>
  </si>
  <si>
    <t>Recovery &amp; reablement - Residential Reablment</t>
  </si>
  <si>
    <t>Dedicated support as add on to LCC carers services</t>
  </si>
  <si>
    <t>Middlesbrough6CarersCarers ServicesCarer advice and support related to Care Act duties</t>
  </si>
  <si>
    <t>Additional contribution to community equipment provision</t>
  </si>
  <si>
    <t>Middlesbrough7CarersCarers ServicesCarer advice and support related to Care Act duties</t>
  </si>
  <si>
    <t>Nurse led rehabilitation and D2A beds</t>
  </si>
  <si>
    <t>Middlesbrough8CarersCarers ServicesCarer advice and support related to Care Act duties</t>
  </si>
  <si>
    <t>Whole system approach to D2A pathway 1</t>
  </si>
  <si>
    <t>Middlesbrough9CarersCarers ServicesCarer advice and support related to Care Act duties</t>
  </si>
  <si>
    <t>Whole system approach to D2A pathway 2</t>
  </si>
  <si>
    <t>Middlesbrough10CarersCarers ServicesRespite services</t>
  </si>
  <si>
    <t>The community beds service provides intermediate care in the community</t>
  </si>
  <si>
    <t>Middlesbrough11CarersCarers ServicesCarer advice and support related to Care Act duties</t>
  </si>
  <si>
    <t>East Recovery Hub</t>
  </si>
  <si>
    <t>Middlesbrough12CarersCarers ServicesRespite services</t>
  </si>
  <si>
    <t>A range of services to support carers</t>
  </si>
  <si>
    <t>Middlesbrough19Overnight Planned CareHome Care or Domiciliary CareDomiciliary care packages</t>
  </si>
  <si>
    <t>Overnight Planned Care</t>
  </si>
  <si>
    <t>Leeds Community Equipment Service</t>
  </si>
  <si>
    <t>Middlesbrough48IBCF Residential placementsResidential PlacementsCare home</t>
  </si>
  <si>
    <t>IBCF Residential placements</t>
  </si>
  <si>
    <t>Middlesbrough48IBCF Home Care / Domiciliary CareHome Care or Domiciliary CareDomiciliary care packages</t>
  </si>
  <si>
    <t>IBCF Home Care / Domiciliary Care</t>
  </si>
  <si>
    <t>South Recovery Hub</t>
  </si>
  <si>
    <t>Middlesbrough48IBCF Additional CSDPa equipmentAssistive Technologies and EquipmentCommunity based equipment</t>
  </si>
  <si>
    <t>IBCF Additional CSDPa equipment</t>
  </si>
  <si>
    <t>Means-tested grant to cover the cost of housing adaptations that help disabled people to live independently in their own homes</t>
  </si>
  <si>
    <t>Middlesbrough49Social Care TransferHome Care or Domiciliary CareDomiciliary care packages</t>
  </si>
  <si>
    <t>Social Care Transfer</t>
  </si>
  <si>
    <t>Social care to health benefit</t>
  </si>
  <si>
    <t>Middlesbrough49Social Care TransferResidential PlacementsSupported housing</t>
  </si>
  <si>
    <t>Middlesbrough49Social Care TransferResidential PlacementsLearning disability</t>
  </si>
  <si>
    <t>Anticipated growth in home care hours</t>
  </si>
  <si>
    <t>Middlesbrough49Social Care TransferResidential PlacementsExtra care</t>
  </si>
  <si>
    <t>anticipated growth in residential/ nursing placements</t>
  </si>
  <si>
    <t>Middlesbrough49Social Care TransferResidential PlacementsCare home</t>
  </si>
  <si>
    <t>Investment into the community night service</t>
  </si>
  <si>
    <t>Middlesbrough49Social Care TransferResidential PlacementsNursing home</t>
  </si>
  <si>
    <t>Investment into the community Active Recovery service</t>
  </si>
  <si>
    <t>Middlesbrough51Effective Discharge - D2A PathwaysBed based intermediate Care Services (Reablement, rehabilitation, wider short-term services supporting recovery)Bed-based intermediate care with reablement (to support discharge)</t>
  </si>
  <si>
    <t>Effective Discharge - D2A Pathways</t>
  </si>
  <si>
    <t>Discharge to Assess bed placements</t>
  </si>
  <si>
    <t>Middlesbrough52Effective Discharge - D2A PathwaysHome Care or Domiciliary CareDomiciliary care to support hospital discharge (Discharge to Assess pathway 1)</t>
  </si>
  <si>
    <t>Spot Purchased Discharge to Assess to support pathway 2</t>
  </si>
  <si>
    <t>Middlesbrough53Tees Community Equipment Service expansionAssistive Technologies and EquipmentCommunity based equipment</t>
  </si>
  <si>
    <t>Tees Community Equipment Service expansion</t>
  </si>
  <si>
    <t>Resource for ASC provision</t>
  </si>
  <si>
    <t>Middlesbrough54Post Reablement Domiciliary Care Pressures RoundHome Care or Domiciliary CareDomiciliary care packages</t>
  </si>
  <si>
    <t>Post Reablement Domiciliary Care Pressures Round</t>
  </si>
  <si>
    <t>In House ASC reablement service</t>
  </si>
  <si>
    <t>Middlesbrough55Hospital Discharge Domiciliary Care RoundHome Care or Domiciliary CareDomiciliary care to support hospital discharge (Discharge to Assess pathway 1)</t>
  </si>
  <si>
    <t>Hospital Discharge Domiciliary Care Round</t>
  </si>
  <si>
    <t>Assistive technology to support independence &amp; reduce social isolation</t>
  </si>
  <si>
    <t xml:space="preserve">Middlesbrough3Recovery &amp; Reablement - Community ReablementHome-based intermediate care servicesReablement at home (to support discharge) </t>
  </si>
  <si>
    <t>Middlesbrough56Pennyman Extra Care SchemeResidential PlacementsExtra care</t>
  </si>
  <si>
    <t>Pennyman Extra Care Scheme</t>
  </si>
  <si>
    <t>Milton Keynes1Community EquipmentAssistive Technologies and EquipmentCommunity based equipment</t>
  </si>
  <si>
    <t>Adaptations to support independence for those who meet eligibility criteria</t>
  </si>
  <si>
    <t>Milton Keynes3Carers ServicesCarers ServicesOther</t>
  </si>
  <si>
    <t>Milton Keynes14Allocation to ASCHome Care or Domiciliary CareDomiciliary care packages</t>
  </si>
  <si>
    <t>Allocation to ASC</t>
  </si>
  <si>
    <t>Care Providers- Market Stabilisation</t>
  </si>
  <si>
    <t>Milton Keynes18WICU bedsBed based intermediate Care Services (Reablement, rehabilitation, wider short-term services supporting recovery)Other</t>
  </si>
  <si>
    <t>WICU beds</t>
  </si>
  <si>
    <t>Technology Services</t>
  </si>
  <si>
    <t>Milton Keynes19castlemeadBed based intermediate Care Services (Reablement, rehabilitation, wider short-term services supporting recovery)Other</t>
  </si>
  <si>
    <t>castlemead</t>
  </si>
  <si>
    <t>Milton Keynes20ParklandsBed based intermediate Care Services (Reablement, rehabilitation, wider short-term services supporting recovery)Other</t>
  </si>
  <si>
    <t>Parklands</t>
  </si>
  <si>
    <t>Care Services</t>
  </si>
  <si>
    <t>Milton Keynes22Recuperation Beds at the WillowsBed based intermediate Care Services (Reablement, rehabilitation, wider short-term services supporting recovery)Other</t>
  </si>
  <si>
    <t>Recuperation Beds at the Willows</t>
  </si>
  <si>
    <t>Milton Keynes27Integrated Community Equipment Assistive Technologies and EquipmentCommunity based equipment</t>
  </si>
  <si>
    <t xml:space="preserve">Integrated Community Equipment </t>
  </si>
  <si>
    <t>Milton Keynes28Housing adaptationDFG Related SchemesAdaptations, including statutory DFG grants</t>
  </si>
  <si>
    <t>Housing adaptation</t>
  </si>
  <si>
    <t>Integrated Blaby Planning</t>
  </si>
  <si>
    <t>Milton Keynes29MKCC Homecare serviceHome Care or Domiciliary CareDomiciliary care packages</t>
  </si>
  <si>
    <t>MKCC Homecare service</t>
  </si>
  <si>
    <t>Integrated Charnwood Planning</t>
  </si>
  <si>
    <t>Milton Keynes32Community alarm serviceAssistive Technologies and EquipmentAssistive technologies including telecare</t>
  </si>
  <si>
    <t>Community alarm service</t>
  </si>
  <si>
    <t>Integrated Harborough Planning</t>
  </si>
  <si>
    <t>Milton Keynes33Home recuperation servicesHome Care or Domiciliary CareShort term domiciliary care (without reablement input)</t>
  </si>
  <si>
    <t>Home recuperation services</t>
  </si>
  <si>
    <t>Integrated Hinckley Planning</t>
  </si>
  <si>
    <t>Milton Keynes36Falaise FlatsBed based intermediate Care Services (Reablement, rehabilitation, wider short-term services supporting recovery)Bed-based intermediate care with rehabilitation (to support admission avoidance)</t>
  </si>
  <si>
    <t>Falaise Flats</t>
  </si>
  <si>
    <t>Integrated Melton Planning</t>
  </si>
  <si>
    <t>Milton Keynes37Rapid Response CarerHome Care or Domiciliary CareDomiciliary care packages</t>
  </si>
  <si>
    <t>Rapid Response Carer</t>
  </si>
  <si>
    <t>Integrated North Planning</t>
  </si>
  <si>
    <t>Milton Keynes40Home care Incentives Home Care or Domiciliary CareDomiciliary care to support hospital discharge (Discharge to Assess pathway 1)</t>
  </si>
  <si>
    <t xml:space="preserve">Home care Incentives </t>
  </si>
  <si>
    <t>Integrated Oadby Planning</t>
  </si>
  <si>
    <t>Milton Keynes44Homecare Home Care or Domiciliary CareDomiciliary care packages</t>
  </si>
  <si>
    <t xml:space="preserve">Homecare </t>
  </si>
  <si>
    <t>Integrated Hoarding Planning</t>
  </si>
  <si>
    <t>Milton Keynes45Carers ServicesCarers ServicesOther</t>
  </si>
  <si>
    <t>Integrated EHOT Planning</t>
  </si>
  <si>
    <t>Milton Keynes47Step down beds at the WillowsBed based intermediate Care Services (Reablement, rehabilitation, wider short-term services supporting recovery)Other</t>
  </si>
  <si>
    <t>Step down beds at the Willows</t>
  </si>
  <si>
    <t>Integrated Green Grant Planning</t>
  </si>
  <si>
    <t>Milton Keynes48Highclere 8 bedsBed based intermediate Care Services (Reablement, rehabilitation, wider short-term services supporting recovery)Other</t>
  </si>
  <si>
    <t>Highclere 8 beds</t>
  </si>
  <si>
    <t>Intake Model design and integration</t>
  </si>
  <si>
    <t>Milton Keynes53Carers Carers ServicesOther</t>
  </si>
  <si>
    <t xml:space="preserve">Carers </t>
  </si>
  <si>
    <t>Milton Keynes59Live in Care optionsHome Care or Domiciliary CareDomiciliary care to support hospital discharge (Discharge to Assess pathway 1)</t>
  </si>
  <si>
    <t>Live in Care options</t>
  </si>
  <si>
    <t>Milton Keynes60Bridging CareHome Care or Domiciliary CareDomiciliary care to support hospital discharge (Discharge to Assess pathway 1)</t>
  </si>
  <si>
    <t>Bridging Care</t>
  </si>
  <si>
    <t>High Dependancy 1-2-1</t>
  </si>
  <si>
    <t>Milton Keynes65Step down beds for mental healthBed based intermediate Care Services (Reablement, rehabilitation, wider short-term services supporting recovery)Bed-based intermediate care with rehabilitation (to support discharge)</t>
  </si>
  <si>
    <t>Step down beds for mental health</t>
  </si>
  <si>
    <t>Newcastle upon Tyne1A1.1 Reablement ServiceHome-based intermediate care servicesReablement at home (accepting step up and step down users)</t>
  </si>
  <si>
    <t>A1.1 Reablement Service</t>
  </si>
  <si>
    <t>Newcastle upon Tyne3A1.3 Intermediate care Bed based intermediate Care Services (Reablement, rehabilitation, wider short-term services supporting recovery)Bed-based intermediate care with rehabilitation accepting step up and step down users</t>
  </si>
  <si>
    <t xml:space="preserve">A1.3 Intermediate care </t>
  </si>
  <si>
    <t>Newcastle upon Tyne9A1.9 Domiciliary care capacityHome Care or Domiciliary CareDomiciliary care packages</t>
  </si>
  <si>
    <t>A1.9 Domiciliary care capacity</t>
  </si>
  <si>
    <t>Newcastle upon Tyne10A2.1 Resource Centre DementiaBed based intermediate Care Services (Reablement, rehabilitation, wider short-term services supporting recovery)Other</t>
  </si>
  <si>
    <t>A2.1 Resource Centre Dementia</t>
  </si>
  <si>
    <t>Carers payments to support discharges home</t>
  </si>
  <si>
    <t>Newcastle upon Tyne12A2.3 Mental health recovery support teamBed based intermediate Care Services (Reablement, rehabilitation, wider short-term services supporting recovery)Other</t>
  </si>
  <si>
    <t>A2.3 Mental health recovery support team</t>
  </si>
  <si>
    <t>Expansion of care technology service</t>
  </si>
  <si>
    <t>Newcastle upon Tyne17A3.3 Supporting people with long term conditionsHome Care or Domiciliary CareDomiciliary care packages</t>
  </si>
  <si>
    <t>A3.3 Supporting people with long term conditions</t>
  </si>
  <si>
    <t>To improve provision of and access to low level equipment and tech to support independence</t>
  </si>
  <si>
    <t>Newcastle upon Tyne18A3.4 CarersCarers ServicesCarer advice and support related to Care Act duties</t>
  </si>
  <si>
    <t>A3.4 Carers</t>
  </si>
  <si>
    <t>Adaptations to the home to support independence, safety and wellbeing</t>
  </si>
  <si>
    <t>Newcastle upon Tyne31C1 - Adaptation Repairs GrantDFG Related SchemesAdaptations, including statutory DFG grants</t>
  </si>
  <si>
    <t>C1 - Adaptation Repairs Grant</t>
  </si>
  <si>
    <t xml:space="preserve">Additional capacity to reduce pressures on the acute over the winter period </t>
  </si>
  <si>
    <t>Newcastle upon Tyne32C2 - MARSDFG Related SchemesAdaptations, including statutory DFG grants</t>
  </si>
  <si>
    <t>C2 - MARS</t>
  </si>
  <si>
    <t>Information, advice and support to unpaid carers</t>
  </si>
  <si>
    <t xml:space="preserve">Advice and support </t>
  </si>
  <si>
    <t>Newcastle upon Tyne33C3 - Adaptation Loan SchemeDFG Related SchemesAdaptations, including statutory DFG grants</t>
  </si>
  <si>
    <t>C3 - Adaptation Loan Scheme</t>
  </si>
  <si>
    <t>Maintenance of current level of residential provision</t>
  </si>
  <si>
    <t>Newcastle upon Tyne34C4 - Accessible Homes GrantDFG Related SchemesAdaptations, including statutory DFG grants</t>
  </si>
  <si>
    <t>C4 - Accessible Homes Grant</t>
  </si>
  <si>
    <t>Residential placements for highly challenged young people aged 18-25 years transitioning from Children's to Adult Services who cannot be managed at home or in borough</t>
  </si>
  <si>
    <t>Newcastle upon Tyne35C5 - Accessible Homes SupportDFG Related SchemesAdaptations, including statutory DFG grants</t>
  </si>
  <si>
    <t>C5 - Accessible Homes Support</t>
  </si>
  <si>
    <t>Protection of care packages</t>
  </si>
  <si>
    <t>Newcastle upon Tyne36C6 - Home Repair LoanDFG Related SchemesDiscretionary use of DFG</t>
  </si>
  <si>
    <t>C6 - Home Repair Loan</t>
  </si>
  <si>
    <t>Newcastle upon Tyne37C7 - Warm and Well GrantDFG Related SchemesDiscretionary use of DFG</t>
  </si>
  <si>
    <t>C7 - Warm and Well Grant</t>
  </si>
  <si>
    <t>Funding to support stability of local care care market</t>
  </si>
  <si>
    <t>Newcastle upon Tyne38C8 - New Beginnings GrantDFG Related SchemesDiscretionary use of DFG</t>
  </si>
  <si>
    <t>C8 - New Beginnings Grant</t>
  </si>
  <si>
    <t>Provision to support the complex care needs of a growing adult population</t>
  </si>
  <si>
    <t>Newcastle upon Tyne41Digital ReablementAssistive Technologies and EquipmentAssistive technologies including telecare</t>
  </si>
  <si>
    <t>Digital Reablement</t>
  </si>
  <si>
    <t>Increased use of Telecare to support care at home</t>
  </si>
  <si>
    <t>Newcastle upon Tyne52Interim packages of care - residential careResidential PlacementsOther</t>
  </si>
  <si>
    <t>Interim packages of care - residential care</t>
  </si>
  <si>
    <t xml:space="preserve">Packages of Care to support discharge </t>
  </si>
  <si>
    <t>Newcastle upon Tyne53Interim packages of care - domiciliary careHome Care or Domiciliary CareDomiciliary care to support hospital discharge (Discharge to Assess pathway 1)</t>
  </si>
  <si>
    <t>Interim packages of care - domiciliary care</t>
  </si>
  <si>
    <t>Newcastle upon Tyne54End of Life support for interim bedsResidential PlacementsNursing home</t>
  </si>
  <si>
    <t>End of Life support for interim beds</t>
  </si>
  <si>
    <t xml:space="preserve">Placements </t>
  </si>
  <si>
    <t xml:space="preserve">Newcastle upon Tyne60Expanded reablement team capacityHome-based intermediate care servicesReablement at home (to support discharge) </t>
  </si>
  <si>
    <t>Expanded reablement team capacity</t>
  </si>
  <si>
    <t>Newcastle upon Tyne66Additional bed capacity (block booked)Residential PlacementsShort term residential care (without rehabilitation or reablement input)</t>
  </si>
  <si>
    <t>Additional bed capacity (block booked)</t>
  </si>
  <si>
    <t xml:space="preserve">Increase in doubled handed capacity </t>
  </si>
  <si>
    <t>Newham5BCF005c NHS Funded Nursing CareResidential PlacementsNursing home</t>
  </si>
  <si>
    <t>BCF005c NHS Funded Nursing Care</t>
  </si>
  <si>
    <t>Techinian support for Linkline</t>
  </si>
  <si>
    <t>Newham6BCF005d DFG/CapitalDFG Related SchemesAdaptations, including statutory DFG grants</t>
  </si>
  <si>
    <t>BCF005d DFG/Capital</t>
  </si>
  <si>
    <t>Volume based contract to deliver reablement in a persons home</t>
  </si>
  <si>
    <t>Newham7BCF005d DFG/CapitalDFG Related SchemesAdaptations, including statutory DFG grants</t>
  </si>
  <si>
    <t>Provision of individual personalised breaks for carers via a Direct Payment the need for which has been identified via a statutory person centred carers support plan.</t>
  </si>
  <si>
    <t>Newham17BCF012 Care Packages/PlacementsHome Care or Domiciliary CareDomiciliary care packages</t>
  </si>
  <si>
    <t>BCF012 Care Packages/Placements</t>
  </si>
  <si>
    <t xml:space="preserve">The GP Liaison Service supports the health and social care system to fulfil its statutory duties in respect of the identification and support of carers. Targeted resource to support GP’s in meeting their requirements around support for carers in particular increase the numbers registered with an individual practise and then signposted (referred) on for assessment and support. </t>
  </si>
  <si>
    <t>GP Liaison Service</t>
  </si>
  <si>
    <t>Newham20BCF015 Market Sustainability and Growth (ASC)Residential PlacementsCare home</t>
  </si>
  <si>
    <t>BCF015 Market Sustainability and Growth (ASC)</t>
  </si>
  <si>
    <t>Liverpool Carers Centre, Local Solutions and Barnardo’s Action with Young Carers are city-wide, community-based services that ensure carers of all-ages are identified and can receive a statutory carers assessment, support plan and review to meet their needs and reduce the negative impact of caring for an adult. The Carers Advocacy Service delivered by The Brain Charity is a city-wide service free, independent, professional, issue based and Care Act advocacy service for adult carers of all ages.</t>
  </si>
  <si>
    <t>Newham21BCF015 Market Sustainability and Growth (ASC)Home Care or Domiciliary CareDomiciliary care packages</t>
  </si>
  <si>
    <t xml:space="preserve"> These services are temporary accommodation for single homeless groups.  It comprises approximately 650 units and a number of service types. The services are commissioned on a three tier model based on need and this includes specialist provision for young people at risk, people at risk of offending and service users with complex needs.  These services support the council in discharging its statutory duties under Homeless Legislation as well as our commitment to ending rough sleeping. Services provide intensive, person-centred support with the aim of moving them onto greater independence. 
</t>
  </si>
  <si>
    <t>Newham24BCF017 Wheelchair serviceAssistive Technologies and EquipmentCommunity based equipment</t>
  </si>
  <si>
    <t>BCF017 Wheelchair service</t>
  </si>
  <si>
    <t>Newham25BCF012 Care Packages/PlacementsResidential PlacementsCare home</t>
  </si>
  <si>
    <t>Care Act related Duties New duty for LA to provide clients with information to help them financially plan and for LA to facilitate access to independent financial advice and independent review process</t>
  </si>
  <si>
    <t>Newham30BCF005 ReablementBed based intermediate Care Services (Reablement, rehabilitation, wider short-term services supporting recovery)Bed-based intermediate care with rehabilitation (to support discharge)</t>
  </si>
  <si>
    <t>BCF005 Reablement</t>
  </si>
  <si>
    <t>Mental Capacity Act Implementation and supporting delivery of the Independent Mental Capacity Advocacy Service for staff working with service users in Liverpool, unpaid carers and service users.</t>
  </si>
  <si>
    <t>Newham32BCF005 Carers ServicesCarers ServicesRespite services</t>
  </si>
  <si>
    <t>BCF005 Carers Services</t>
  </si>
  <si>
    <t>Packages of care</t>
  </si>
  <si>
    <t>Newham31BCF022 Local Authority Discharge FundingHome Care or Domiciliary CareDomiciliary care to support hospital discharge (Discharge to Assess pathway 1)</t>
  </si>
  <si>
    <t>BCF022 Local Authority Discharge Funding</t>
  </si>
  <si>
    <t xml:space="preserve">Newham32BCF022 Local Authority Discharge FundingHome-based intermediate care servicesReablement at home (to support discharge) </t>
  </si>
  <si>
    <t>Norfolk2A Social Impact Bond for CarersCarers ServicesCarer advice and support related to Care Act duties</t>
  </si>
  <si>
    <t>A Social Impact Bond for Carers</t>
  </si>
  <si>
    <t>Norfolk9ICES (Integrated Community Equipment Service)Assistive Technologies and EquipmentCommunity based equipment</t>
  </si>
  <si>
    <t>ICES (Integrated Community Equipment Service)</t>
  </si>
  <si>
    <t>Norfolk20Norfolk First ResponseHome-based intermediate care servicesReablement at home (accepting step up and step down users)</t>
  </si>
  <si>
    <t>Norfolk First Response</t>
  </si>
  <si>
    <t>Norfolk51Caring for Better OutcomesHome Care or Domiciliary CareShort term domiciliary care (without reablement input)</t>
  </si>
  <si>
    <t>Caring for Better Outcomes</t>
  </si>
  <si>
    <t>Norfolk64LD, MH and Autism Packages of CareHome Care or Domiciliary CareDomiciliary care packages</t>
  </si>
  <si>
    <t>LD, MH and Autism Packages of Care</t>
  </si>
  <si>
    <t>Norfolk67Disabled Facilities GrantDFG Related SchemesAdaptations, including statutory DFG grants</t>
  </si>
  <si>
    <t>Norfolk70ASC Core Care Services (underlying spend since 2017/18)Residential PlacementsOther</t>
  </si>
  <si>
    <t>ASC Core Care Services (underlying spend since 2017/18)</t>
  </si>
  <si>
    <t>Norfolk70ASC Core Care Services (underlying spend since 2017/18)Home Care or Domiciliary CareDomiciliary care packages</t>
  </si>
  <si>
    <t>Norfolk40West Norfolk Carers ProjectCarers ServicesOther</t>
  </si>
  <si>
    <t>West Norfolk Carers Project</t>
  </si>
  <si>
    <t>Norfolk82Home Support Enhanced Discharge Incentive SchemeHome Care or Domiciliary CareShort term domiciliary care (without reablement input)</t>
  </si>
  <si>
    <t>Home Support Enhanced Discharge Incentive Scheme</t>
  </si>
  <si>
    <t>Specialist Rehabilitation Service Specification: Specialist rehabilitation for patients with complex needs - Level 2 (Spoke Specialist Rehabilitation Unit) Level 3 (Extended Specialist Rehabilitation Unit) and Community Specialist Rehabilitation Services</t>
  </si>
  <si>
    <t>Norfolk84Provider: CAB and Carers Matters Norfolk:  Carers hardship supportCarers ServicesCarer advice and support related to Care Act duties</t>
  </si>
  <si>
    <t>Provider: CAB and Carers Matters Norfolk:  Carers hardship support</t>
  </si>
  <si>
    <t>Residential Placement - SupportedLiving</t>
  </si>
  <si>
    <t>Norfolk7HomeWard (Norwich)Home-based intermediate care servicesRehabilitation at home (accepting step up and step down users)</t>
  </si>
  <si>
    <t>HomeWard (Norwich)</t>
  </si>
  <si>
    <t xml:space="preserve">Personalised funding for 5-6 people. LD Residential Provision - registered nursing home, step down (independent appartments).  </t>
  </si>
  <si>
    <t>Norfolk8Rapid Assessment Team (RATS) &amp; Virtual Ward (West Norfolk)Home-based intermediate care servicesRehabilitation at home (accepting step up and step down users)</t>
  </si>
  <si>
    <t>Rapid Assessment Team (RATS) &amp; Virtual Ward (West Norfolk)</t>
  </si>
  <si>
    <t>Residential Placement - Supported Living</t>
  </si>
  <si>
    <t>Norfolk11Intermediate Spot Purchase BedsBed based intermediate Care Services (Reablement, rehabilitation, wider short-term services supporting recovery)Bed-based intermediate care with rehabilitation (to support discharge)</t>
  </si>
  <si>
    <t>Intermediate Spot Purchase Beds</t>
  </si>
  <si>
    <t>Norfolk14Medical Loans Service Assistive Technologies and EquipmentCommunity based equipment</t>
  </si>
  <si>
    <t xml:space="preserve">Medical Loans Service </t>
  </si>
  <si>
    <t>Norfolk19Palliative Beds &amp; Hospice (West Norfolk)Residential PlacementsNursing home</t>
  </si>
  <si>
    <t>Palliative Beds &amp; Hospice (West Norfolk)</t>
  </si>
  <si>
    <t>DFGs are available to provide access into and around a dwelling to essential facilities and amenities to enable a person with disabilities to live in a safe environment. As part of the act the Regulatory Reform Order allows councils to be flexible in delivering the Disabled Facilities Grant.</t>
  </si>
  <si>
    <t>North East Lincolnshire6Intermediate tierBed based intermediate Care Services (Reablement, rehabilitation, wider short-term services supporting recovery)Bed-based intermediate care with reablement accepting step up and step down users</t>
  </si>
  <si>
    <t>Intermediate tier</t>
  </si>
  <si>
    <t>North East Lincolnshire7Intermediate tierBed based intermediate Care Services (Reablement, rehabilitation, wider short-term services supporting recovery)Bed-based intermediate care with reablement accepting step up and step down users</t>
  </si>
  <si>
    <t xml:space="preserve">Contribution towards the community Equipment Contract </t>
  </si>
  <si>
    <t>North East Lincolnshire10Community EquipmentAssistive Technologies and EquipmentCommunity based equipment</t>
  </si>
  <si>
    <t>The overarching aim of this service is to support people to live independently in their own homes as long as possible through the provision of community equipment, which promotes personal independence and facilitates a user friendly equipment loan service.</t>
  </si>
  <si>
    <t>North East Lincolnshire12Community equipmentAssistive Technologies and EquipmentCommunity based equipment</t>
  </si>
  <si>
    <t>The Liverpool Telehealth programme is a clinically-led service, that provides remote telemetry, education, monitoring and support to patients living with COPD, Heart Failure or Diabetes to enable patients to self-manage their condition safely at home and to reduce the impact on hospital and other health &amp; care services.  The service can also be used to provide support for patients returning home from hospital.
The Telehealth Service comprises two main parts – the clinical support hub operated by Mersey Care (MCFT) and a technical service provider (Docobo) for the supply of equipment and systems to enable the remote monitoring.</t>
  </si>
  <si>
    <t>North East Lincolnshire14Care Act DutiesCarers ServicesOther</t>
  </si>
  <si>
    <t xml:space="preserve">Telecare is a monitoring service that offers remote support to elderly, disabled and vulnerable people who live alone in their own homes.  Provides users with an alarm unit, red button pendant and 24/7 monitoring from expert teams. If the user falls ill or becomes unwell, they simply press their pendant. Our monitoring centre will then ensure that the user receives the treatment or assistance that they require.  The Contractor will deliver the supply, installation, recovery and recycling, emergency and routine maintenance, monitoring and both physical and telephone response for Telecare.  </t>
  </si>
  <si>
    <t>North East Lincolnshire15Care at homeHome Care or Domiciliary CareDomiciliary care packages</t>
  </si>
  <si>
    <t>Care at home</t>
  </si>
  <si>
    <t>North East Lincolnshire23Intermediate tierBed based intermediate Care Services (Reablement, rehabilitation, wider short-term services supporting recovery)Bed-based intermediate care with reablement accepting step up and step down users</t>
  </si>
  <si>
    <t xml:space="preserve">Up to 6 weeks home care package following discharge -  REACT funding realigned  to support out of hospital home care packages. </t>
  </si>
  <si>
    <t>North East Lincolnshire24Intermediate tierHome-based intermediate care servicesReablement at home (accepting step up and step down users)</t>
  </si>
  <si>
    <t>Home First is an in house service that supports those who are discharged from hospital. The service can provide care visits to support with everyday activities, like getting washed and dressed and preparing hot drinks and meals. This would be alongside nursing support and rehabilitation from the therapy team.    Baseline  budget and BCF aligned to Home First.</t>
  </si>
  <si>
    <t>North East Lincolnshire25Intermediate tierHome-based intermediate care servicesReablement at home (accepting step up and step down users)</t>
  </si>
  <si>
    <t>North East Lincolnshire5Ensuring the local social care market is supported.Residential PlacementsCare home</t>
  </si>
  <si>
    <t>Ensuring the local social care market is supported.</t>
  </si>
  <si>
    <t>North East Lincolnshire20DFGDFG Related SchemesAdaptations, including statutory DFG grants</t>
  </si>
  <si>
    <t>North East Lincolnshire30Enhanced recovery bedsResidential PlacementsCare home</t>
  </si>
  <si>
    <t>Enhanced recovery beds</t>
  </si>
  <si>
    <t>North East Lincolnshire32Assistive Technologies and EquipmentAssistive Technologies and EquipmentCommunity based equipment</t>
  </si>
  <si>
    <t>North East Lincolnshire33Intermediate tierBed based intermediate Care Services (Reablement, rehabilitation, wider short-term services supporting recovery)Bed-based intermediate care with reablement accepting step up and step down users</t>
  </si>
  <si>
    <t>Sedgemoor (North Hub – 30 beds) – will support hospital discharges, admissions and respite specialising in care and support for people with dementia. A new purpose built integral day facility has been attached to the main building and will be operational in April 2013. The new build will provide carer support, drop-in facilities, café, day support, community outreach work, advocacy, crisis intervention, health and well being advice and support, among a plethora of social care and health related support and care.</t>
  </si>
  <si>
    <t>North East Lincolnshire34Carers supportCarers ServicesCarer advice and support related to Care Act duties</t>
  </si>
  <si>
    <t>North East Lincolnshire37Care at homeHome Care or Domiciliary CareDomiciliary care to support hospital discharge (Discharge to Assess pathway 1)</t>
  </si>
  <si>
    <t>Townsend (Central Hub – 25 beds) - will support hospital discharges and admissions for people who have had a stroke. Service delivery will be supported by the acute through Physiotherapist, Occupational Therapists, Speech and Language specialists and a range of social and health support services for individuals and their carers. A new integral day facility has been commissioned for 2013. This will provide a unique opportunity to support people who have poor or limited mobility, are prone to falls, would benefit from gentle exercise and increased stimulation of movement.</t>
  </si>
  <si>
    <t>North Lincolnshire1Intermediate CareBed based intermediate Care Services (Reablement, rehabilitation, wider short-term services supporting recovery)Bed-based intermediate care with rehabilitation accepting step up and step down users</t>
  </si>
  <si>
    <t>North Lincolnshire2GP Input into residential rehab provisionBed based intermediate Care Services (Reablement, rehabilitation, wider short-term services supporting recovery)Bed-based intermediate care with rehabilitation accepting step up and step down users</t>
  </si>
  <si>
    <t>GP Input into residential rehab provision</t>
  </si>
  <si>
    <t>Granby (South Hub – 30 beds) - will provide a generic re-ablement service for people, supporting hospital discharges and admissions for people recovering from a period of medical intervention. Granby works closely with the local community groups, schools and wider neighbourhood networks to ensure inclusive holistic approaches to providing and delivering localised services.</t>
  </si>
  <si>
    <t>North Lincolnshire3Intermediate CareHome-based intermediate care servicesReablement at home (accepting step up and step down users)</t>
  </si>
  <si>
    <t>North Lincolnshire9Carer Support ServiceCarers ServicesRespite services</t>
  </si>
  <si>
    <t>Carer Support Service</t>
  </si>
  <si>
    <t xml:space="preserve">Supporting Ao2 admssion and reduction of RFD waiting list </t>
  </si>
  <si>
    <t>North Lincolnshire10Carer AssessmentsCarers ServicesCarer advice and support related to Care Act duties</t>
  </si>
  <si>
    <t>Carer Assessments</t>
  </si>
  <si>
    <t>North Lincolnshire12Aids and AdaptationsDFG Related SchemesAdaptations, including statutory DFG grants</t>
  </si>
  <si>
    <t>Aids and Adaptations</t>
  </si>
  <si>
    <t xml:space="preserve">Provide specialist accommodation and personal care for people with severe dementia. 
• To provide this specialised care within a nursing  setting, to meet the assessed social, personal, nursing and healthcare needs of an individual, such needs being detailed within an agreed Care Plan and the terms of an Individual Service User Agreement
• The service will provide personalised care focused on the individuals needs which will step up/step down as required and represent a concerted approach to meeting the complex needs of individuals with dementia. 
• The service will offer a high quality professional intervention at a critical point in an individual’s life. </t>
  </si>
  <si>
    <t>North Lincolnshire13Handyperson ServiceDFG Related SchemesHandyperson services</t>
  </si>
  <si>
    <t>Handyperson Service</t>
  </si>
  <si>
    <t>North Lincolnshire14DFG Discretionary SupportDFG Related SchemesDiscretionary use of DFG</t>
  </si>
  <si>
    <t>DFG Discretionary Support</t>
  </si>
  <si>
    <t>Anfield Group Practice – GP to temporarily register patients onto EMIS and to issue prescriptions upon discharge</t>
  </si>
  <si>
    <t>GP to temporarily register patients onto EMIS and to issue prescriptions upon discharge</t>
  </si>
  <si>
    <t>North Lincolnshire18Residential placementResidential PlacementsLearning disability</t>
  </si>
  <si>
    <t>Residential placement</t>
  </si>
  <si>
    <t>North Lincolnshire19Residential placementResidential PlacementsShort term residential care (without rehabilitation or reablement input)</t>
  </si>
  <si>
    <t>Residential Fee Uplifts</t>
  </si>
  <si>
    <t>North Lincolnshire20Residential placementResidential PlacementsCare home</t>
  </si>
  <si>
    <t>MyTime is a service providing breaks for carers through innovative partnerships with a broad range of organisations predominantly in Liverpool. It is delivered by Local Solutions and forms part of the overall Liverpool Carers Centre offer.</t>
  </si>
  <si>
    <t>North Lincolnshire21Occupational TherapyBed based intermediate Care Services (Reablement, rehabilitation, wider short-term services supporting recovery)Bed-based intermediate care with rehabilitation (to support discharge)</t>
  </si>
  <si>
    <t>Occupational Therapy</t>
  </si>
  <si>
    <t>North Lincolnshire28Community Equipment ServiceAssistive Technologies and EquipmentCommunity based equipment</t>
  </si>
  <si>
    <t>North Lincolnshire29Wheelchair ServiceAssistive Technologies and EquipmentCommunity based equipment</t>
  </si>
  <si>
    <t>North Lincolnshire33Virtual homecare/monitoringAssistive Technologies and EquipmentAssistive technologies including telecare</t>
  </si>
  <si>
    <t>Virtual homecare/monitoring</t>
  </si>
  <si>
    <t>Improving patient experience 
Patient centred care</t>
  </si>
  <si>
    <t>North Lincolnshire38New Domiciliary Care Packages 4 Week FundingHome Care or Domiciliary CareDomiciliary care to support hospital discharge (Discharge to Assess pathway 1)</t>
  </si>
  <si>
    <t>New Domiciliary Care Packages 4 Week Funding</t>
  </si>
  <si>
    <t xml:space="preserve">Integrated working and care planning
Preventing impact on statutory services
Adaptations enabling people to remian at home for longer
Preventing avoidable admissions
Reducing length of stay
Personalisation and self management
</t>
  </si>
  <si>
    <t>North Lincolnshire39Additional Step down residential care placements, spot purchased 4 week fundingResidential PlacementsShort term residential care (without rehabilitation or reablement input)</t>
  </si>
  <si>
    <t>Additional Step down residential care placements, spot purchased 4 week funding</t>
  </si>
  <si>
    <t>Joint commissioning
Joint approach to care
Preventing impact on the acute
Protecting social care
Supporting effective discharge
Patient experience</t>
  </si>
  <si>
    <t>North Lincolnshire41Increased NLAG Homefirst CapacityHome-based intermediate care servicesRehabilitation at home (to support discharge)</t>
  </si>
  <si>
    <t>Increased NLAG Homefirst Capacity</t>
  </si>
  <si>
    <t>North Lincolnshire43Additional step down residential care placementsResidential PlacementsShort term residential care (without rehabilitation or reablement input)</t>
  </si>
  <si>
    <t>Additional step down residential care placements</t>
  </si>
  <si>
    <t>Protecting Social Care
Improving patient experience
Person centred care</t>
  </si>
  <si>
    <t>North Northamptonshire1Carers Support Services (CCG Contract)Carers ServicesRespite services</t>
  </si>
  <si>
    <t>Carers Support Services (CCG Contract)</t>
  </si>
  <si>
    <t>Preventing impact on the acute
Protecting social care
Supporting effective discharge
Improving patient experience
Person centred care</t>
  </si>
  <si>
    <t>North Northamptonshire2Carers Support Services NNC ContractCarers ServicesOther</t>
  </si>
  <si>
    <t>Carers Support Services NNC Contract</t>
  </si>
  <si>
    <t>Domiciliary and short stay care home placements to support hospital discharge</t>
  </si>
  <si>
    <t>North Northamptonshire7Telecare and Assistive technologyAssistive Technologies and EquipmentCommunity based equipment</t>
  </si>
  <si>
    <t>Telecare and Assistive technology</t>
  </si>
  <si>
    <t xml:space="preserve">North Northamptonshire8Intermediate Care Teams (ICT)Home-based intermediate care servicesReablement at home (to support discharge) </t>
  </si>
  <si>
    <t>Intermediate Care Teams (ICT)</t>
  </si>
  <si>
    <t>The DFG is a means-tested capital grant to help meet the costs of adapting a property; supporting people to stay independent in their own homes.</t>
  </si>
  <si>
    <t>North Northamptonshire9Community Equipment (Health)Assistive Technologies and EquipmentCommunity based equipment</t>
  </si>
  <si>
    <t>Community Equipment (Health)</t>
  </si>
  <si>
    <t>Additional funding to support increase in home care packages over winter months</t>
  </si>
  <si>
    <t xml:space="preserve">North Northamptonshire10Community Reablement Team Home-based intermediate care servicesJoint reablement and rehabilitation service (to support discharge) </t>
  </si>
  <si>
    <t xml:space="preserve">Community Reablement Team </t>
  </si>
  <si>
    <t>Protection of ASC: variety of spend such as social workers, reablement, AT</t>
  </si>
  <si>
    <t>North Northamptonshire11Community Occupational TherapyHome-based intermediate care servicesJoint reablement and rehabilitation service (to prevent admission to hospital or residential care)</t>
  </si>
  <si>
    <t>Community Occupational Therapy</t>
  </si>
  <si>
    <t xml:space="preserve">North Northamptonshire17Additional Reablement Capacity Tuvida  Home-based intermediate care servicesReablement at home (to support discharge) </t>
  </si>
  <si>
    <t xml:space="preserve">Additional Reablement Capacity Tuvida  </t>
  </si>
  <si>
    <t>North Northamptonshire19Digital CampanionAssistive Technologies and EquipmentDigital participation services</t>
  </si>
  <si>
    <t>Digital Campanion</t>
  </si>
  <si>
    <t>North Northamptonshire20Thackley Green Bed based intermediate Care Services (Reablement, rehabilitation, wider short-term services supporting recovery)Bed-based intermediate care with reablement (to support discharge)</t>
  </si>
  <si>
    <t xml:space="preserve">Thackley Green </t>
  </si>
  <si>
    <t>North Somerset11Assistive technology co-ordinator postAssistive Technologies and EquipmentAssistive technologies including telecare</t>
  </si>
  <si>
    <t>Assistive technology co-ordinator post</t>
  </si>
  <si>
    <t>North Somerset12Care Home Assistive TechnologyAssistive Technologies and EquipmentCommunity based equipment</t>
  </si>
  <si>
    <t>Care Home Assistive Technology</t>
  </si>
  <si>
    <t>Support for the extension of extra care, to enable people to remain independent for as long as possible</t>
  </si>
  <si>
    <t>North Somerset22Carers Breaks ContributionCarers ServicesRespite services</t>
  </si>
  <si>
    <t>Carers Breaks Contribution</t>
  </si>
  <si>
    <t>Provision of equipment for daily living, minor and major adaptations to support patients to be discharged home.</t>
  </si>
  <si>
    <t>North Somerset23Proud to Care retention bonus for domiciliary care strategic providersHome Care or Domiciliary CareDomiciliary care workforce development</t>
  </si>
  <si>
    <t>Proud to Care retention bonus for domiciliary care strategic providers</t>
  </si>
  <si>
    <t>Contribution to provide telecare to support Home First discharges</t>
  </si>
  <si>
    <t>North Somerset24Carers support - Mental Health (AWP)Carers ServicesRespite services</t>
  </si>
  <si>
    <t>Carers support - Mental Health (AWP)</t>
  </si>
  <si>
    <t>Contribution to cost of home care packages to support urgent response</t>
  </si>
  <si>
    <t>Admission avoidance</t>
  </si>
  <si>
    <t>North Somerset29Disabled Facilitaties Grant (DFG)DFG Related SchemesAdaptations, including statutory DFG grants</t>
  </si>
  <si>
    <t>Disabled Facilitaties Grant (DFG)</t>
  </si>
  <si>
    <t>Carers Break service (Agincare)</t>
  </si>
  <si>
    <t>North Somerset43Residential and nursing beds at Sycamore home, WraxallResidential PlacementsCare home</t>
  </si>
  <si>
    <t>Residential and nursing beds at Sycamore home, Wraxall</t>
  </si>
  <si>
    <t>North Somerset47Proud to Care Retention Payment Home Care or Domiciliary CareDomiciliary care workforce development</t>
  </si>
  <si>
    <t xml:space="preserve">Proud to Care Retention Payment </t>
  </si>
  <si>
    <t xml:space="preserve">Contribution to direct payments for Carers </t>
  </si>
  <si>
    <t>North Somerset48Domiciliary Care Strategic Providers Capacity Building  Home Care or Domiciliary CareDomiciliary care workforce development</t>
  </si>
  <si>
    <t xml:space="preserve">Domiciliary Care Strategic Providers Capacity Building  </t>
  </si>
  <si>
    <t>North Somerset49Care Home BCF Innovation Grant - top up existing fund to total sum of one off funding to be awarded. Care Homes to bid for one off funding.   Assistive Technologies and EquipmentCommunity based equipment</t>
  </si>
  <si>
    <t xml:space="preserve">Care Home BCF Innovation Grant - top up existing fund to total sum of one off funding to be awarded. Care Homes to bid for one off funding.   </t>
  </si>
  <si>
    <t>North Somerset52TEC - TO Support Care SectorAssistive Technologies and EquipmentAssistive technologies including telecare</t>
  </si>
  <si>
    <t>TEC - TO Support Care Sector</t>
  </si>
  <si>
    <t>Intermediate Care service</t>
  </si>
  <si>
    <t>North Somerset57Premium payments to Care Home sector to incentivise faster /weekend assessments  Residential PlacementsCare home</t>
  </si>
  <si>
    <t xml:space="preserve">Premium payments to Care Home sector to incentivise faster /weekend assessments  </t>
  </si>
  <si>
    <t>North Somerset60Proud to CareHome Care or Domiciliary CareDomiciliary care workforce development</t>
  </si>
  <si>
    <t>Proud to Care</t>
  </si>
  <si>
    <t>North Somerset61Contribution to Care Home Fee Residential PlacementsCare home</t>
  </si>
  <si>
    <t xml:space="preserve">Contribution to Care Home Fee </t>
  </si>
  <si>
    <t>Housing</t>
  </si>
  <si>
    <t>North Somerset62Block purchase of capacity to support dischargeResidential PlacementsCare home</t>
  </si>
  <si>
    <t>Block purchase of capacity to support discharge</t>
  </si>
  <si>
    <t>Cost of Placements</t>
  </si>
  <si>
    <t>ASC</t>
  </si>
  <si>
    <t>North Somerset70Increase take up of assistive technologyAssistive Technologies and EquipmentAssistive technologies including telecare</t>
  </si>
  <si>
    <t>Increase take up of assistive technology</t>
  </si>
  <si>
    <t>North Somerset73Stabilising the marketResidential PlacementsCare home</t>
  </si>
  <si>
    <t>Stabilising the market</t>
  </si>
  <si>
    <t>Carers Support - Direct Payments</t>
  </si>
  <si>
    <t>North Somerset80Dementia Support at HomeHome Care or Domiciliary CareDomiciliary care to support hospital discharge (Discharge to Assess pathway 1)</t>
  </si>
  <si>
    <t>Dementia Support at Home</t>
  </si>
  <si>
    <t>discharge to assess</t>
  </si>
  <si>
    <t>North Somerset81Reablement in-reachBed based intermediate Care Services (Reablement, rehabilitation, wider short-term services supporting recovery)Bed-based intermediate care with reablement (to support discharge)</t>
  </si>
  <si>
    <t>Reablement in-reach</t>
  </si>
  <si>
    <t>North Somerset82Falls Pathway/Rapid ResponseHome Care or Domiciliary CareShort term domiciliary care (without reablement input)</t>
  </si>
  <si>
    <t>Falls Pathway/Rapid Response</t>
  </si>
  <si>
    <t>North Somerset86Discharge Bed Capacity - ReablementBed based intermediate Care Services (Reablement, rehabilitation, wider short-term services supporting recovery)Bed-based intermediate care with reablement (to support admissions avoidance)</t>
  </si>
  <si>
    <t>North Somerset87Therapy Bed supportBed based intermediate Care Services (Reablement, rehabilitation, wider short-term services supporting recovery)Bed-based intermediate care with reablement (to support discharge)</t>
  </si>
  <si>
    <t>North Tyneside6Intermediate Care - commmunity basedHome-based intermediate care servicesRehabilitation at home (to support discharge)</t>
  </si>
  <si>
    <t>Intermediate Care - commmunity based</t>
  </si>
  <si>
    <t>Assistive technology to support discharge</t>
  </si>
  <si>
    <t>North Tyneside9Carers SupportCarers ServicesCarer advice and support related to Care Act duties</t>
  </si>
  <si>
    <t>North Tyneside12Intermediate Care bedsBed based intermediate Care Services (Reablement, rehabilitation, wider short-term services supporting recovery)Bed-based intermediate care with rehabilitation (to support discharge)</t>
  </si>
  <si>
    <t>Contribution to various commnunity based voluntary sector groups</t>
  </si>
  <si>
    <t>North Tyneside15Step down beds - residentialResidential PlacementsCare home</t>
  </si>
  <si>
    <t>Step down beds - residential</t>
  </si>
  <si>
    <t>Additional equipment requirements</t>
  </si>
  <si>
    <t>North Tyneside16Step down - extra careHome Care or Domiciliary CareDomiciliary care packages</t>
  </si>
  <si>
    <t>Step down - extra care</t>
  </si>
  <si>
    <t>North Tyneside17Homecare capacityHome Care or Domiciliary CareDomiciliary care packages</t>
  </si>
  <si>
    <t>Homecare capacity</t>
  </si>
  <si>
    <t>North Tyneside21Step down beds - nursingResidential PlacementsNursing home</t>
  </si>
  <si>
    <t>Step down beds - nursing</t>
  </si>
  <si>
    <t>Admin for special equipment</t>
  </si>
  <si>
    <t>North Tyneside23Low level voluntary sector supportCommunity Based SchemesLow level support for simple hospital discharges (Discharge to Assess pathway 0)</t>
  </si>
  <si>
    <t>Low level voluntary sector support</t>
  </si>
  <si>
    <t>Low level support for simple hospital discharges (Discharge to Assess pathway 0)</t>
  </si>
  <si>
    <t>Reablement capacity</t>
  </si>
  <si>
    <t>North Tyneside29Disabled Facilities GrantDFG Related SchemesAdaptations, including statutory DFG grants</t>
  </si>
  <si>
    <t>night sitting</t>
  </si>
  <si>
    <t>North Yorkshire7iBCF - Care &amp; Support Phase 2Carers ServicesCarer advice and support related to Care Act duties</t>
  </si>
  <si>
    <t>iBCF - Care &amp; Support Phase 2</t>
  </si>
  <si>
    <t>North Yorkshire8DFG schemesDFG Related SchemesAdaptations, including statutory DFG grants</t>
  </si>
  <si>
    <t>DFG schemes</t>
  </si>
  <si>
    <t>Bedded Rehabiltation(intermediate care)</t>
  </si>
  <si>
    <t>North Yorkshire12Bed-based intermediate careBed based intermediate Care Services (Reablement, rehabilitation, wider short-term services supporting recovery)Bed-based intermediate care with reablement (to support discharge)</t>
  </si>
  <si>
    <t>Bed-based intermediate care</t>
  </si>
  <si>
    <t>Support the market through enhanced fee uplifts</t>
  </si>
  <si>
    <t>North Yorkshire13Flexible Domiciliary CareHome Care or Domiciliary CareDomiciliary care to support hospital discharge (Discharge to Assess pathway 1)</t>
  </si>
  <si>
    <t>Flexible Domiciliary Care</t>
  </si>
  <si>
    <t>reablement capacity inlcuding evening cover</t>
  </si>
  <si>
    <t>North Yorkshire15VOY - Hospice at Home (extended hours)Home Care or Domiciliary CareDomiciliary care to support hospital discharge (Discharge to Assess pathway 1)</t>
  </si>
  <si>
    <t>VOY - Hospice at Home (extended hours)</t>
  </si>
  <si>
    <t>OT Capacity</t>
  </si>
  <si>
    <t>North Yorkshire19VOY - s256 care home supportHome Care or Domiciliary CareDomiciliary care to support hospital discharge (Discharge to Assess pathway 1)</t>
  </si>
  <si>
    <t>VOY - s256 care home support</t>
  </si>
  <si>
    <t>Extended offer include handy person</t>
  </si>
  <si>
    <t>North Yorkshire20VOY - s256 carers supportCarers ServicesRespite services</t>
  </si>
  <si>
    <t>VOY - s256 carers support</t>
  </si>
  <si>
    <t>Hoarding service</t>
  </si>
  <si>
    <t>North Yorkshire22VOY - NYC  Social care protectionHome Care or Domiciliary CareDomiciliary care packages</t>
  </si>
  <si>
    <t>VOY - NYC  Social care protection</t>
  </si>
  <si>
    <t>North Yorkshire29NY carers s256Carers ServicesOther</t>
  </si>
  <si>
    <t>NY carers s256</t>
  </si>
  <si>
    <t>Thinking Works - fuel poverty, energy adviceand efficiency</t>
  </si>
  <si>
    <t>North Yorkshire31NY step up / downBed based intermediate Care Services (Reablement, rehabilitation, wider short-term services supporting recovery)Bed-based intermediate care with reablement accepting step up and step down users</t>
  </si>
  <si>
    <t>NY step up / down</t>
  </si>
  <si>
    <t>North Yorkshire32NY wheelchairsAssistive Technologies and EquipmentCommunity based equipment</t>
  </si>
  <si>
    <t>NY wheelchairs</t>
  </si>
  <si>
    <t>Discharge Support</t>
  </si>
  <si>
    <t>North Yorkshire33NY EquipmentAssistive Technologies and EquipmentCommunity based equipment</t>
  </si>
  <si>
    <t>NY Equipment</t>
  </si>
  <si>
    <t>North Yorkshire40NY protection of social careHome Care or Domiciliary CareDomiciliary care packages</t>
  </si>
  <si>
    <t>NY protection of social care</t>
  </si>
  <si>
    <t>Handy person and telecare support</t>
  </si>
  <si>
    <t>North Yorkshire45NY Time to think bedsBed based intermediate Care Services (Reablement, rehabilitation, wider short-term services supporting recovery)Bed-based intermediate care with rehabilitation (to support discharge)</t>
  </si>
  <si>
    <t>NY Time to think beds</t>
  </si>
  <si>
    <t>North Yorkshire46NY Fast Track packagesHome Care or Domiciliary CareOther</t>
  </si>
  <si>
    <t>NY Fast Track packages</t>
  </si>
  <si>
    <t>North Yorkshire47NY Additional community domiciliary care EOLHome Care or Domiciliary CareDomiciliary care packages</t>
  </si>
  <si>
    <t>NY Additional community domiciliary care EOL</t>
  </si>
  <si>
    <t>Middlesbrough Mobile Therapy Unit (MMRU) - beds</t>
  </si>
  <si>
    <t>North Yorkshire48NY Equipment managementAssistive Technologies and EquipmentCommunity based equipment</t>
  </si>
  <si>
    <t>NY Equipment management</t>
  </si>
  <si>
    <t>Middlesbrough Mobile Therapy Unit (MMRU) - therapy staffing</t>
  </si>
  <si>
    <t>North Yorkshire54NY Home from hospital capacityHome Care or Domiciliary CareDomiciliary care to support hospital discharge (Discharge to Assess pathway 1)</t>
  </si>
  <si>
    <t>NY Home from hospital capacity</t>
  </si>
  <si>
    <t>Community Reablement Team</t>
  </si>
  <si>
    <t>North Yorkshire55NY Increased complex care capacityBed based intermediate Care Services (Reablement, rehabilitation, wider short-term services supporting recovery)Bed-based intermediate care with reablement accepting step up and step down users</t>
  </si>
  <si>
    <t>NY Increased complex care capacity</t>
  </si>
  <si>
    <t>Time To Think Beds to support avoidance of hospital admission</t>
  </si>
  <si>
    <t>North Yorkshire57NY Additional block booked bedsBed based intermediate Care Services (Reablement, rehabilitation, wider short-term services supporting recovery)Bed-based intermediate care with rehabilitation (to support discharge)</t>
  </si>
  <si>
    <t>NY Additional block booked beds</t>
  </si>
  <si>
    <t>Carer &amp; Engagement Officer</t>
  </si>
  <si>
    <t>North Yorkshire58L&amp;SC protection of social careHome Care or Domiciliary CareDomiciliary care packages</t>
  </si>
  <si>
    <t>L&amp;SC protection of social care</t>
  </si>
  <si>
    <t>Support Carers in carrying out their caring role and ensuring carers health and wellbeing</t>
  </si>
  <si>
    <t>North Yorkshire59L&amp;SC Additional community domiciliary care EOLHome Care or Domiciliary CareDomiciliary care packages</t>
  </si>
  <si>
    <t>L&amp;SC Additional community domiciliary care EOL</t>
  </si>
  <si>
    <t>Young Carers Support</t>
  </si>
  <si>
    <t>North Yorkshire60WY Community EquipmentAssistive Technologies and EquipmentCommunity based equipment</t>
  </si>
  <si>
    <t>WY Community Equipment</t>
  </si>
  <si>
    <t>Adult carer Support</t>
  </si>
  <si>
    <t>North Yorkshire63WY Intermediate Care BedsBed based intermediate Care Services (Reablement, rehabilitation, wider short-term services supporting recovery)Bed-based intermediate care with reablement (to support discharge)</t>
  </si>
  <si>
    <t>WY Intermediate Care Beds</t>
  </si>
  <si>
    <t>Short Breaks</t>
  </si>
  <si>
    <t>North Yorkshire64WY Carers SupportCarers ServicesOther</t>
  </si>
  <si>
    <t>WY Carers Support</t>
  </si>
  <si>
    <t>North Yorkshire65WY Carers SupportCarers ServicesOther</t>
  </si>
  <si>
    <t>Carers direct payments</t>
  </si>
  <si>
    <t>North Yorkshire66WY  Intermediate Care BedsBed based intermediate Care Services (Reablement, rehabilitation, wider short-term services supporting recovery)Bed-based intermediate care with reablement (to support discharge)</t>
  </si>
  <si>
    <t>WY  Intermediate Care Beds</t>
  </si>
  <si>
    <t xml:space="preserve">Care and support to individuals in their own homes who have overnight support needs.  </t>
  </si>
  <si>
    <t>North Yorkshire71WY  Protection of Social CareHome Care or Domiciliary CareDomiciliary care packages</t>
  </si>
  <si>
    <t>WY  Protection of Social Care</t>
  </si>
  <si>
    <t>North Yorkshire72WY Other Equipment and technologiesAssistive Technologies and EquipmentCommunity based equipment</t>
  </si>
  <si>
    <t>WY Other Equipment and technologies</t>
  </si>
  <si>
    <t xml:space="preserve">North Yorkshire73WY Reablement ServicesHome-based intermediate care servicesReablement at home (to support discharge) </t>
  </si>
  <si>
    <t>WY Reablement Services</t>
  </si>
  <si>
    <t xml:space="preserve">North Yorkshire74L&amp;SC Reablement ServicesHome-based intermediate care servicesReablement at home (to support discharge) </t>
  </si>
  <si>
    <t>L&amp;SC Reablement Services</t>
  </si>
  <si>
    <t>Overall Support of Social Care</t>
  </si>
  <si>
    <t>Northumberland1Rehabilitation and Community hospital bedsBed based intermediate Care Services (Reablement, rehabilitation, wider short-term services supporting recovery)Bed-based intermediate care with rehabilitation (to support discharge)</t>
  </si>
  <si>
    <t>Rehabilitation and Community hospital beds</t>
  </si>
  <si>
    <t>Northumberland7CarersCarers ServicesRespite services</t>
  </si>
  <si>
    <t>Northumberland10Short-term support service (reablement)Home-based intermediate care servicesRehabilitation at home (accepting step up and step down users)</t>
  </si>
  <si>
    <t>Short-term support service (reablement)</t>
  </si>
  <si>
    <t>Northumberland11Short-term support service (therapy)Home-based intermediate care servicesRehabilitation at home (accepting step up and step down users)</t>
  </si>
  <si>
    <t>Short-term support service (therapy)</t>
  </si>
  <si>
    <t>Northumberland12Long-term home care (independent sector)Home Care or Domiciliary CareDomiciliary care packages</t>
  </si>
  <si>
    <t>Long-term home care (independent sector)</t>
  </si>
  <si>
    <t>Northumberland13Long-term home care (independent sector)Home Care or Domiciliary CareDomiciliary care packages</t>
  </si>
  <si>
    <t>To facilitate streamlined D2A Pathway</t>
  </si>
  <si>
    <t>Northumberland14Dementia care in care homesResidential PlacementsCare home</t>
  </si>
  <si>
    <t>Dementia care in care homes</t>
  </si>
  <si>
    <t>Northumberland15Other care home placementsResidential PlacementsCare home</t>
  </si>
  <si>
    <t>Other care home placements</t>
  </si>
  <si>
    <t>Northumberland17DFG GrantDFG Related SchemesOther</t>
  </si>
  <si>
    <t>DFG Grant</t>
  </si>
  <si>
    <t>Additional resources to support increased capacity for same-day discharge requirements.</t>
  </si>
  <si>
    <t>Northumberland18Winter Intermediate Care Community SupportResidential PlacementsNursing home</t>
  </si>
  <si>
    <t>Winter Intermediate Care Community Support</t>
  </si>
  <si>
    <t>Support the post-reablement function &amp;  have workers ready and mobilised to accept packages of care at short notice</t>
  </si>
  <si>
    <t>Northumberland23Challenging behaviour dementia serviceResidential PlacementsNursing home</t>
  </si>
  <si>
    <t>Challenging behaviour dementia service</t>
  </si>
  <si>
    <t>Recruit additional capacity to support discharge from hospital</t>
  </si>
  <si>
    <t>Northumberland22aHome care (pathway 1)Home Care or Domiciliary CareDomiciliary care packages</t>
  </si>
  <si>
    <t>22a</t>
  </si>
  <si>
    <t>Home care (pathway 1)</t>
  </si>
  <si>
    <t>Northumberland22bShort-term care home placements (pathway 2)Residential PlacementsCare home</t>
  </si>
  <si>
    <t>22b</t>
  </si>
  <si>
    <t>Short-term care home placements (pathway 2)</t>
  </si>
  <si>
    <t>Block purchase 1 vacant flats within an extra care housing scheme to accommodate clients discharged from hospital who are unable to return to their previous residence</t>
  </si>
  <si>
    <t>Northumberland22cLong-term care home placements (pathway 3)Residential PlacementsCare home</t>
  </si>
  <si>
    <t>22c</t>
  </si>
  <si>
    <t>Long-term care home placements (pathway 3)</t>
  </si>
  <si>
    <t>Non pooled element of the joint contact held for aids to daily living</t>
  </si>
  <si>
    <t>Northumberland20aWinter packages of care support  (P1)Home Care or Domiciliary CareDomiciliary care packages</t>
  </si>
  <si>
    <t>20a</t>
  </si>
  <si>
    <t>Winter packages of care support  (P1)</t>
  </si>
  <si>
    <t>Support service for young, adult and parent carers including direct payments</t>
  </si>
  <si>
    <t>Northumberland20bWinter packages of care support (P2)Residential PlacementsCare home</t>
  </si>
  <si>
    <t>20b</t>
  </si>
  <si>
    <t>Winter packages of care support (P2)</t>
  </si>
  <si>
    <t>Homecare provision</t>
  </si>
  <si>
    <t>Northumberland20cWinter packages of care support (P3)Residential PlacementsCare home</t>
  </si>
  <si>
    <t>20c</t>
  </si>
  <si>
    <t>Winter packages of care support (P3)</t>
  </si>
  <si>
    <t>19 Intermediate Care beds</t>
  </si>
  <si>
    <t>Virtual ward</t>
  </si>
  <si>
    <t>Nottingham4Integrated CareHome Care or Domiciliary CareDomiciliary care packages</t>
  </si>
  <si>
    <t>Integrated Care</t>
  </si>
  <si>
    <t>7 intermediate beds</t>
  </si>
  <si>
    <t>Nottingham11Assistive TechnologyAssistive Technologies and EquipmentAssistive technologies including telecare</t>
  </si>
  <si>
    <t>14 Intermediate Care beds</t>
  </si>
  <si>
    <t>Nottingham12Assistive TechnologyAssistive Technologies and EquipmentCommunity based equipment</t>
  </si>
  <si>
    <t>16 Intermediate Care beds</t>
  </si>
  <si>
    <t xml:space="preserve">recuperation after hospital discharge - step down </t>
  </si>
  <si>
    <t>Nottingham13Assistive TechnologyAssistive Technologies and EquipmentCommunity based equipment</t>
  </si>
  <si>
    <t>Additional funding for community equipment in relation to market pressure and unfunded covid pressures.</t>
  </si>
  <si>
    <t>Nottingham14CarersCarers ServicesRespite services</t>
  </si>
  <si>
    <t>Nottingham16Disabled Facilities GrantDFG Related SchemesAdaptations, including statutory DFG grants</t>
  </si>
  <si>
    <t>Internal home care team who provide care to our most complex clients and those with a diagnosis of dementia</t>
  </si>
  <si>
    <t>Nottingham18Improved Better Care FundHome-based intermediate care servicesRehabilitation at home (to prevent admission to hospital or residential care)</t>
  </si>
  <si>
    <t xml:space="preserve">24 hours community alarm service </t>
  </si>
  <si>
    <t>Nottingham19Improved Better Care FundHome Care or Domiciliary CareDomiciliary care packages</t>
  </si>
  <si>
    <t>Recuperation Services</t>
  </si>
  <si>
    <t xml:space="preserve">Nottingham27P1 Discharge ProgrammeHome-based intermediate care servicesReablement at home (to support discharge) </t>
  </si>
  <si>
    <t>P1 Discharge Programme</t>
  </si>
  <si>
    <t>Step down Flats</t>
  </si>
  <si>
    <t>Nottingham29P1 Discharge ProgrammeHome-based intermediate care servicesRehabilitation at home (to support discharge)</t>
  </si>
  <si>
    <t>Increase capacity within the night team over the winter period to enable to the team to meet demand for unplanned calls.</t>
  </si>
  <si>
    <t>Nottingham25Improved Better Care FundAssistive Technologies and EquipmentAssistive technologies including telecare</t>
  </si>
  <si>
    <t>Enhanced rate to be paid to home care providers to encourage and incentives staff to work over the summer holiday and Christmas period</t>
  </si>
  <si>
    <t>Nottinghamshire2Community Beds (was ID 2 'Delayed transfers of Care'Bed based intermediate Care Services (Reablement, rehabilitation, wider short-term services supporting recovery)Bed-based intermediate care with rehabilitation (to support discharge)</t>
  </si>
  <si>
    <t>Community Beds (was ID 2 'Delayed transfers of Care'</t>
  </si>
  <si>
    <t>Home care provision</t>
  </si>
  <si>
    <t>Nottinghamshire12Carers Short Breaks (was sheme ID 4 CarersCarers ServicesRespite services</t>
  </si>
  <si>
    <t>Carers Short Breaks (was sheme ID 4 Carers</t>
  </si>
  <si>
    <t>Support service for young, adult and parent carers</t>
  </si>
  <si>
    <t>Nottinghamshire21O. Support for carersCarers ServicesCarer advice and support related to Care Act duties</t>
  </si>
  <si>
    <t>O. Support for carers</t>
  </si>
  <si>
    <t>Nottinghamshire23P. Protecting social careResidential PlacementsNursing home</t>
  </si>
  <si>
    <t>P. Protecting social care</t>
  </si>
  <si>
    <t>8 Beds</t>
  </si>
  <si>
    <t>Virtual wards</t>
  </si>
  <si>
    <t>Nottinghamshire24P. Protecting social careResidential PlacementsSupported housing</t>
  </si>
  <si>
    <t>Additional support</t>
  </si>
  <si>
    <t>Nottinghamshire27Q. Disabled Facilities GrantDFG Related SchemesOther</t>
  </si>
  <si>
    <t>Q. Disabled Facilities Grant</t>
  </si>
  <si>
    <t>To provide short term live in care/1-1 options for people who have had a deterioration in their cognitive abilities or are suffering from delirium to be discharged home from hospital.  Short term up to 2 weeks</t>
  </si>
  <si>
    <t xml:space="preserve">Nottinghamshire34P1 Discharge ProgrammeHome-based intermediate care servicesReablement at home (to support discharge) </t>
  </si>
  <si>
    <t>Short term service to provide immediate support to a person discharged from hospital</t>
  </si>
  <si>
    <t>Nottinghamshire38Learning from the evaluation of the impact of previous schemes funded using discharge funds Residential PlacementsSupported housing</t>
  </si>
  <si>
    <t xml:space="preserve">Learning from the evaluation of the impact of previous schemes funded using discharge funds </t>
  </si>
  <si>
    <t>To provide additional funding for spot placement costs following discharge from acute mental health setting</t>
  </si>
  <si>
    <t>Nottinghamshire38Learning from the evaluation of the impact of previous schemes funded using discharge funds Home Care or Domiciliary CareDomiciliary care to support hospital discharge (Discharge to Assess pathway 1)</t>
  </si>
  <si>
    <t xml:space="preserve">This funding represents a contribution towards the Reablement service.  The team support people in the community, offering a range of services to those who are recovering from illness or an accident/injury to maximise their independence, reducing or delaying the need for ongoing care in hospital.   The team also provide a dual function, operating within the hospital discharge pathway to support people to return home after a period in hospital via pathway 1.  The team also provide short-term overnight care packages city wide, which avoid emergency admissions to either hospital or residential care.  </t>
  </si>
  <si>
    <t>Oldham1Reablement - Butler Green - NCABed based intermediate Care Services (Reablement, rehabilitation, wider short-term services supporting recovery)Bed-based intermediate care with reablement accepting step up and step down users</t>
  </si>
  <si>
    <t>Reablement - Butler Green - NCA</t>
  </si>
  <si>
    <t>Oldham11Wheelchair Service Assistive Technologies and EquipmentCommunity based equipment</t>
  </si>
  <si>
    <t xml:space="preserve">Wheelchair Service </t>
  </si>
  <si>
    <t>This funding represents a contribution to the provision of domiciliary care in people’s own homes to enable people recovering from illness or an accident/injury to recover, reducing the need for hospital based care.</t>
  </si>
  <si>
    <t>Oldham12Community Equipment (through OMBC)Assistive Technologies and EquipmentCommunity based equipment</t>
  </si>
  <si>
    <t>Community Equipment (through OMBC)</t>
  </si>
  <si>
    <t xml:space="preserve">Byker Lodge provides short stay residential care for older people with dementia when they are unwell and cannot be looked after at home but are not ill enough to need hospital admission. The service will focus on enabling people to return home with appropriate support as soon as possible. More recently, Byker Lodge has also been supporting hospital discharge as part of pathway 2.  This scheme is part funding the ongoing provision of the service, which had previously been under threat of closure, whilst we work towards developing a new city wide Intermediate Care model. </t>
  </si>
  <si>
    <t>Combination of Step up / Step Down and Rapid Crisis response bed provision</t>
  </si>
  <si>
    <t>Oldham14Carers - OMBCCarers ServicesCarer advice and support related to Care Act duties</t>
  </si>
  <si>
    <t>Carers - OMBC</t>
  </si>
  <si>
    <t>This scheme part funds the recovery flats elements of the Recovery and Support Team, providing a staff presence in the Scrogg Road resource centre which works with adults in Newcastle who experience mental health problems. Scrogg Road provides supported accommodation in twelve recovery flats, as well as other services which are funded through different income streams.</t>
  </si>
  <si>
    <t>Rapid/crisis response</t>
  </si>
  <si>
    <t>Oldham15Carers - OMBC - short breaksCarers ServicesRespite services</t>
  </si>
  <si>
    <t>Carers - OMBC - short breaks</t>
  </si>
  <si>
    <t xml:space="preserve">This scheme contributes to Adult Social Care services which keep people at home. It enables us to continue to provide a level of personal and practical support for people who have long term conditions to enable them to live independently within the community. This support is externally commissioned by the Council.  </t>
  </si>
  <si>
    <t>Oldham23Community Equipment - OCAS staffing costsAssistive Technologies and EquipmentCommunity based equipment</t>
  </si>
  <si>
    <t>Community Equipment - OCAS staffing costs</t>
  </si>
  <si>
    <t>We recognise and value the informal network of carers in Newcastle that are already working to preserve quality of life for those they care for and who on a daily basis prevent unnecessary admission to hospital. It is critical that we support the resilience of this network and we will work across health and care to review our current levels and focus of support for carers and use joint commissioning leverage to enhance our offer across health and social care.</t>
  </si>
  <si>
    <t>Oldham25Reablement services (OCS)Home-based intermediate care servicesJoint reablement and rehabilitation service (accepting step up and step down users)</t>
  </si>
  <si>
    <t>Reablement services (OCS)</t>
  </si>
  <si>
    <t xml:space="preserve">As above - This scheme enables the council to fund part of the contract for carers support in Newcastle. </t>
  </si>
  <si>
    <t>Oldham28Medlock court -Reablement residentialBed based intermediate Care Services (Reablement, rehabilitation, wider short-term services supporting recovery)Bed-based intermediate care with reablement accepting step up and step down users</t>
  </si>
  <si>
    <t>Medlock court -Reablement residential</t>
  </si>
  <si>
    <t>To provide a one-off repair to a previous DFG adaptation</t>
  </si>
  <si>
    <t>Oldham32Home from HospitalHome Care or Domiciliary CareDomiciliary care to support hospital discharge (Discharge to Assess pathway 1)</t>
  </si>
  <si>
    <t>Providing minor adaptations to all properties. This service started in October 2020 and replaced the previous arrangements ASC had in place. MARS is providing a greater number of adaptations to more customers at a cheaper cost per intervention.</t>
  </si>
  <si>
    <t>Oldham35OMBC Disabled Facilities Grant (Capital Expenditure)DFG Related SchemesAdaptations, including statutory DFG grants</t>
  </si>
  <si>
    <t>OMBC Disabled Facilities Grant (Capital Expenditure)</t>
  </si>
  <si>
    <t>To provide stair lifts and ceiling track hoists</t>
  </si>
  <si>
    <t>Oldham37Improved Better Care Fund Home Care or Domiciliary CareDomiciliary care packages</t>
  </si>
  <si>
    <t xml:space="preserve">Improved Better Care Fund </t>
  </si>
  <si>
    <t>To provide relatively simple adaptations such as temporary metal mesh ramps, level access showers, and the provision of auto wash/dry toilet in an efficient and effective way. the grant is determined by work type and is not restricted by financial threshold</t>
  </si>
  <si>
    <t>Oldham38Improved Better Care Fund Home-based intermediate care servicesReablement at home (accepting step up and step down users)</t>
  </si>
  <si>
    <t>To provide complex major adaptations typically requiring major alteration to the existing property in an efficient and effective way to a maximum of £40,000 using a simplified financial assessed processed</t>
  </si>
  <si>
    <t>Oldham39Improved Better Care Fund Residential PlacementsShort term residential care (without rehabilitation or reablement input)</t>
  </si>
  <si>
    <t xml:space="preserve">To provide additional funding, subject to availability, for necessary adaptation work costing more than £40,000 or to carry out essential repairs. </t>
  </si>
  <si>
    <t>Oldham40Local Authority Discharge FundingAssistive Technologies and EquipmentCommunity based equipment</t>
  </si>
  <si>
    <t xml:space="preserve">To fund the cost of work to alleviate the problems associated with excess cold. </t>
  </si>
  <si>
    <t>Oldham41Local Authority Discharge FundingHome Care or Domiciliary CareDomiciliary care to support hospital discharge (Discharge to Assess pathway 1)</t>
  </si>
  <si>
    <t>To provide one-off funds towards the cost of cleaning/clearing parts of the home to facilitate work to be carried out by Care &amp; Repair Newcastle</t>
  </si>
  <si>
    <t>Oldham44Local Authority Discharge FundingHome Care or Domiciliary CareDomiciliary care workforce development</t>
  </si>
  <si>
    <t>This scheme provides funding to develop digital capabilities within our Reablement and Intermediate Care services over the next 2 years, as an enabler to supporting self care and independence.</t>
  </si>
  <si>
    <t>Oldham45Local Authority Discharge FundingResidential PlacementsOther</t>
  </si>
  <si>
    <t xml:space="preserve">Interim bed provision </t>
  </si>
  <si>
    <t>Generic beds to meet demand</t>
  </si>
  <si>
    <t>Oldham48ICB Discharge FundingBed based intermediate Care Services (Reablement, rehabilitation, wider short-term services supporting recovery)Bed-based intermediate care with rehabilitation (to support discharge)</t>
  </si>
  <si>
    <t>Oldham49ICB Discharge FundingBed based intermediate Care Services (Reablement, rehabilitation, wider short-term services supporting recovery)Bed-based intermediate care with rehabilitation accepting step up and step down users</t>
  </si>
  <si>
    <t xml:space="preserve">Interim domiciliary care packages </t>
  </si>
  <si>
    <t>Oldham51ICB Discharge FundingResidential PlacementsSupported housing</t>
  </si>
  <si>
    <t>Oxfordshire1Disabled Facilities GrantDFG Related SchemesAdaptations, including statutory DFG grants</t>
  </si>
  <si>
    <t>Interim End of Life care home beds</t>
  </si>
  <si>
    <t>Oxfordshire3Integrated Community EquipmnentAssistive Technologies and EquipmentCommunity based equipment</t>
  </si>
  <si>
    <t>Integrated Community Equipmnent</t>
  </si>
  <si>
    <t>Oxfordshire4TelecareAssistive Technologies and EquipmentAssistive technologies including telecare</t>
  </si>
  <si>
    <t>Expanded reablement / home first offer to increase capacity and quality of admission avoidance and discharge support</t>
  </si>
  <si>
    <t>Oxfordshire5Care homesResidential PlacementsNursing home</t>
  </si>
  <si>
    <t>Care homes</t>
  </si>
  <si>
    <t>Oxfordshire6Home careHome Care or Domiciliary CareDomiciliary care packages</t>
  </si>
  <si>
    <t>Oxfordshire14Carer supportCarers ServicesCarer advice and support related to Care Act duties</t>
  </si>
  <si>
    <t>Carer support</t>
  </si>
  <si>
    <t xml:space="preserve">Oxfordshire21ReablementHome-based intermediate care servicesReablement at home (to support discharge) </t>
  </si>
  <si>
    <t>Oxfordshire24P2 Discharge to Assess bedsBed based intermediate Care Services (Reablement, rehabilitation, wider short-term services supporting recovery)Bed-based intermediate care with reablement (to support discharge)</t>
  </si>
  <si>
    <t>P2 Discharge to Assess beds</t>
  </si>
  <si>
    <t>Oxfordshire26P2 Community Hospital bedsBed based intermediate Care Services (Reablement, rehabilitation, wider short-term services supporting recovery)Bed-based intermediate care with rehabilitation (to support discharge)</t>
  </si>
  <si>
    <t>P2 Community Hospital beds</t>
  </si>
  <si>
    <t>Oxfordshire32Surge capacityBed based intermediate Care Services (Reablement, rehabilitation, wider short-term services supporting recovery)Bed-based intermediate care with reablement (to support discharge)</t>
  </si>
  <si>
    <t>Surge capacity</t>
  </si>
  <si>
    <t>Oxfordshire33Delirium pathway bedsBed based intermediate Care Services (Reablement, rehabilitation, wider short-term services supporting recovery)Bed-based intermediate care with reablement (to support discharge)</t>
  </si>
  <si>
    <t>Delirium pathway beds</t>
  </si>
  <si>
    <t xml:space="preserve">Market Sustainabilty </t>
  </si>
  <si>
    <t>Oxfordshire34MH step down pathwayBed based intermediate Care Services (Reablement, rehabilitation, wider short-term services supporting recovery)Bed-based intermediate care with reablement (to support discharge)</t>
  </si>
  <si>
    <t>MH step down pathway</t>
  </si>
  <si>
    <t>Oxfordshire7Home care2Home Care or Domiciliary CareDomiciliary care packages</t>
  </si>
  <si>
    <t>Home care2</t>
  </si>
  <si>
    <t>Wheelchair service managed through BCF</t>
  </si>
  <si>
    <t>Peterborough2Carers SupportCarers ServicesOther</t>
  </si>
  <si>
    <t>Peterborough4Community EquipmentAssistive Technologies and EquipmentCommunity based equipment</t>
  </si>
  <si>
    <t>Peterborough5Community EquipmentAssistive Technologies and EquipmentCommunity based equipment</t>
  </si>
  <si>
    <t>Peterborough8Section 256 agreement: Care Placement SpendHome Care or Domiciliary CareDomiciliary care packages</t>
  </si>
  <si>
    <t>Section 256 agreement: Care Placement Spend</t>
  </si>
  <si>
    <t>Local Authority ASC Discharge Funding</t>
  </si>
  <si>
    <t>Peterborough10Reducing DTOCs/ 7 day sericesHome-based intermediate care servicesReablement at home (accepting step up and step down users)</t>
  </si>
  <si>
    <t>Reducing DTOCs/ 7 day serices</t>
  </si>
  <si>
    <t>ICB ASC Discharge Funding - Hospital Integrated Discharge Hub and Mental Health commissioned activity</t>
  </si>
  <si>
    <t>Peterborough11Person centred careAssistive Technologies and EquipmentAssistive technologies including telecare</t>
  </si>
  <si>
    <t>Person centred care</t>
  </si>
  <si>
    <t>Provider: Carers Matter Norfolk
To support carers to maintain their caring role up to 12 months post intervention.</t>
  </si>
  <si>
    <t>Peterborough13Care Act Implementation / Enhanced OfferCarers ServicesCarer advice and support related to Care Act duties</t>
  </si>
  <si>
    <t>Care Act Implementation / Enhanced Offer</t>
  </si>
  <si>
    <t>Provider: Medequip
Provides equipment to aid independence at home. Beneficiaries calculated on total spend including BCF.</t>
  </si>
  <si>
    <t>Peterborough14Carers SupportCarers ServicesCarer advice and support related to Care Act duties</t>
  </si>
  <si>
    <t>Provider: Norfolk County Council. Reablement Services offering six weeks reablement in a persons own home following a hospital discharge, alongside other assessment and reablement services</t>
  </si>
  <si>
    <t>Peterborough17Disabled Facilities GrantDFG Related SchemesAdaptations, including statutory DFG grants</t>
  </si>
  <si>
    <t>Provider: NCC Home Support Framework
Schemes aimed to increase capacity and improve outcomes in the home support market - higher rate paid for first six weeks.</t>
  </si>
  <si>
    <t>Peterborough18Investment in Adult Social Care and Social WorkResidential PlacementsCare home</t>
  </si>
  <si>
    <t>Investment in Adult Social Care and Social Work</t>
  </si>
  <si>
    <t>Care services for people with LD, MH and Autism</t>
  </si>
  <si>
    <t>Peterborough21Protection of adult social careResidential PlacementsCare home</t>
  </si>
  <si>
    <t>Protection of adult social care</t>
  </si>
  <si>
    <t>Spend on DFG's by our district and borough councils</t>
  </si>
  <si>
    <t>Peterborough22Nursing home capacityResidential PlacementsNursing home</t>
  </si>
  <si>
    <t>Nursing home capacity</t>
  </si>
  <si>
    <t>Covering market pressures</t>
  </si>
  <si>
    <t>Covering Market Pressures</t>
  </si>
  <si>
    <t xml:space="preserve">Peterborough31Additional Reablement CapacityHome-based intermediate care servicesReablement at home (to support discharge) </t>
  </si>
  <si>
    <t>Additional Reablement Capacity</t>
  </si>
  <si>
    <t>Plymouth1Disabled Facilities GrantDFG Related SchemesAdaptations, including statutory DFG grants</t>
  </si>
  <si>
    <t>Independent charity supporting unpaid family carers and providing a carer’s hub in West Norfolk</t>
  </si>
  <si>
    <t>Information, advice and guidance</t>
  </si>
  <si>
    <t>Plymouth2Community Equipment ServiceAssistive Technologies and EquipmentCommunity based equipment</t>
  </si>
  <si>
    <t>Increased rate for Home Care Providers and additional reabling home support for discharge.</t>
  </si>
  <si>
    <t>Plymouth4Carers servicesCarers ServicesOther</t>
  </si>
  <si>
    <t>Advice and support services for carers</t>
  </si>
  <si>
    <t>Plymouth6Intermediate Dom CareHome Care or Domiciliary CareDomiciliary care to support hospital discharge (Discharge to Assess pathway 1)</t>
  </si>
  <si>
    <t>Intermediate Dom Care</t>
  </si>
  <si>
    <t>HomeWard provides urgent short term care, nursing and therapy support. The MDT resources in HomeWard  
 - help individuals in an acute health crisis to stay safely at home and avoid an unnecessarily admission to hospital
- enable early discharge from hospital for medically well individuals by supporting their short term needs when they return home. Number of packages difficult to calculate as varying cost
 - support individuals with palliative and end of life care needs to remain in their preferred place of care
- manage 4x short-term health-Procured Beds providing rehabilitation for individuals discharged from hospital but not ready to go home.</t>
  </si>
  <si>
    <t xml:space="preserve">Plymouth9Reablement, Rehabilitation, RecoveryHome-based intermediate care servicesReablement at home (to support discharge) </t>
  </si>
  <si>
    <t>Reablement, Rehabilitation, Recovery</t>
  </si>
  <si>
    <t>West Virtual Ward provides short-term care/support to enable individuals who have experienced a health/social care crisis and are at risk of an emergency hospital admission to remain safely at home. It also provides short term support to enable safe discharge from hospital. 
West Rapid Assessment Team (RATS) is a multi-disciplinary healthcare team which assesses individuals who have been conveyed to hospital but would prefer to return home. RATS can organise short term support to enable the person to return home or provide short-term alternative in the community. Varying cost of packages dependent on level of care and length of stay</t>
  </si>
  <si>
    <t>Plymouth11Dom Care HealthHome Care or Domiciliary CareDomiciliary care packages</t>
  </si>
  <si>
    <t>Dom Care Health</t>
  </si>
  <si>
    <t xml:space="preserve">Accomodation based commissioning. </t>
  </si>
  <si>
    <t>Plymouth13DTA- Intermediate Care BedBed based intermediate Care Services (Reablement, rehabilitation, wider short-term services supporting recovery)Bed-based intermediate care with rehabilitation (to support discharge)</t>
  </si>
  <si>
    <t>DTA- Intermediate Care Bed</t>
  </si>
  <si>
    <t>Provider: British Red Cross.  Short term loans of equipment to aid independence in the home</t>
  </si>
  <si>
    <t>Plymouth15DTA 1 Increase packages of careHome Care or Domiciliary CareDomiciliary care packages</t>
  </si>
  <si>
    <t>DTA 1 Increase packages of care</t>
  </si>
  <si>
    <t>Provision of specialist palliative and end of life care to people living with life-shortening illnesses in the local area.' Varying length of stay makes it difficult to accurately calculate number of placements. 8 beds</t>
  </si>
  <si>
    <t>Plymouth20Demand pressuresHome Care or Domiciliary CareDomiciliary care to support hospital discharge (Discharge to Assess pathway 1)</t>
  </si>
  <si>
    <t>Demand pressures</t>
  </si>
  <si>
    <t>Plymouth27Crisis Response Capacity in the CommunityBed based intermediate Care Services (Reablement, rehabilitation, wider short-term services supporting recovery)Bed-based intermediate care with reablement (to support admissions avoidance)</t>
  </si>
  <si>
    <t>Crisis Response Capacity in the Community</t>
  </si>
  <si>
    <t>Plymouth28Additional Costs of Care and SupportHome Care or Domiciliary CareDomiciliary care packages</t>
  </si>
  <si>
    <t>Additional Costs of Care and Support</t>
  </si>
  <si>
    <t>Plymouth29Additional Reviewing Staff for the Community Equipment ServiceAssistive Technologies and EquipmentAssistive technologies including telecare</t>
  </si>
  <si>
    <t>Additional Reviewing Staff for the Community Equipment Service</t>
  </si>
  <si>
    <t>Plymouth34DTA- Intermediate Care BedBed based intermediate Care Services (Reablement, rehabilitation, wider short-term services supporting recovery)Bed-based intermediate care with rehabilitation (to support discharge)</t>
  </si>
  <si>
    <t>Plymouth36iBCF- LA RSG CarersCarers ServicesOther</t>
  </si>
  <si>
    <t>iBCF- LA RSG Carers</t>
  </si>
  <si>
    <t>Plymouth40Flexible Homefirst CapacityHome-based intermediate care servicesRehabilitation at home (to support discharge)</t>
  </si>
  <si>
    <t>Flexible Homefirst Capacity</t>
  </si>
  <si>
    <t>Plymouth41Enhanced Rehab CapacityBed based intermediate Care Services (Reablement, rehabilitation, wider short-term services supporting recovery)Bed-based intermediate care with reablement (to support discharge)</t>
  </si>
  <si>
    <t>Enhanced Rehab Capacity</t>
  </si>
  <si>
    <t xml:space="preserve">Plymouth42Discharge HomecareHome-based intermediate care servicesReablement at home (to support discharge) </t>
  </si>
  <si>
    <t>Discharge Homecare</t>
  </si>
  <si>
    <t>Portsmouth1CarersCarers ServicesOther</t>
  </si>
  <si>
    <t>Portsmouth10Disability Facilities GrantDFG Related SchemesOther</t>
  </si>
  <si>
    <t>Disability Facilities Grant</t>
  </si>
  <si>
    <t>Portsmouth14Jubilee UnitBed based intermediate Care Services (Reablement, rehabilitation, wider short-term services supporting recovery)Other</t>
  </si>
  <si>
    <t>Jubilee Unit</t>
  </si>
  <si>
    <t>Portsmouth15SpinakerBed based intermediate Care Services (Reablement, rehabilitation, wider short-term services supporting recovery)Bed-based intermediate care with rehabilitation (to support discharge)</t>
  </si>
  <si>
    <t>Spinaker</t>
  </si>
  <si>
    <t>Portsmouth16Portsmouth Rehab and Reablement ServiceHome-based intermediate care servicesRehabilitation at home (to support discharge)</t>
  </si>
  <si>
    <t>Portsmouth Rehab and Reablement Service</t>
  </si>
  <si>
    <t>Portsmouth17Jubilee Unit Surge bedsBed based intermediate Care Services (Reablement, rehabilitation, wider short-term services supporting recovery)Bed-based intermediate care with rehabilitation (to support discharge)</t>
  </si>
  <si>
    <t>Jubilee Unit Surge beds</t>
  </si>
  <si>
    <t>Portsmouth23Portsmouth Rehab and Reablement ServiceHome-based intermediate care servicesRehabilitation at home (to support discharge)</t>
  </si>
  <si>
    <t xml:space="preserve">Reading2ReablementHome-based intermediate care servicesReablement at home (to support discharge) </t>
  </si>
  <si>
    <t>Residential Rehab beds: SJMH</t>
  </si>
  <si>
    <t>Reading3Step Down Beds - Discharge to AssessBed based intermediate Care Services (Reablement, rehabilitation, wider short-term services supporting recovery)Bed-based intermediate care with rehabilitation (to support discharge)</t>
  </si>
  <si>
    <t>Step Down Beds - Discharge to Assess</t>
  </si>
  <si>
    <t>Provision of GP input into intermediate care (The Grange and SJMH)</t>
  </si>
  <si>
    <t>Reading4Step Down Beds - Discharge to Assess (Physiotherapy)Bed based intermediate Care Services (Reablement, rehabilitation, wider short-term services supporting recovery)Bed-based intermediate care with rehabilitation (to support discharge)</t>
  </si>
  <si>
    <t>Step Down Beds - Discharge to Assess (Physiotherapy)</t>
  </si>
  <si>
    <t>Reablement into people's homes</t>
  </si>
  <si>
    <t>Reading8TEC EquipmentAssistive Technologies and EquipmentAssistive technologies including telecare</t>
  </si>
  <si>
    <t>TEC Equipment</t>
  </si>
  <si>
    <t>Range of support to carers to enable them to fulfil caring role</t>
  </si>
  <si>
    <t>Reading9Carers Funding - Grants, VoluntaryCarers ServicesRespite services</t>
  </si>
  <si>
    <t>Carers Funding - Grants, Voluntary</t>
  </si>
  <si>
    <t xml:space="preserve">Social Work support </t>
  </si>
  <si>
    <t>Reading10Carers Funding - Grants, VoluntaryCarers ServicesRespite services</t>
  </si>
  <si>
    <t>Reading15Hospital to Home - Extended Settling In Services (Red Cross)Prevention / Early InterventionSocial Prescribing</t>
  </si>
  <si>
    <t>Hospital to Home - Extended Settling In Services (Red Cross)</t>
  </si>
  <si>
    <t>Social Prescribing</t>
  </si>
  <si>
    <t>Reading19Out Of Hospital - Community Geriatrician Bed based intermediate Care Services (Reablement, rehabilitation, wider short-term services supporting recovery)Bed-based intermediate care with reablement (to support discharge)</t>
  </si>
  <si>
    <t xml:space="preserve">Out Of Hospital - Community Geriatrician </t>
  </si>
  <si>
    <t>Reading20Out Of Hospital - Intermediate Care (including integrated discharge, discharge to assess service)Bed based intermediate Care Services (Reablement, rehabilitation, wider short-term services supporting recovery)Bed-based intermediate care with rehabilitation accepting step up and step down users</t>
  </si>
  <si>
    <t>Out Of Hospital - Intermediate Care (including integrated discharge, discharge to assess service)</t>
  </si>
  <si>
    <t>Residential care</t>
  </si>
  <si>
    <t>Reading22Out Of Hospital - Intermediate Care night sitting, rapid response, reablement and fallsBed based intermediate Care Services (Reablement, rehabilitation, wider short-term services supporting recovery)Bed-based intermediate care with reablement (to support discharge)</t>
  </si>
  <si>
    <t>Out Of Hospital - Intermediate Care night sitting, rapid response, reablement and falls</t>
  </si>
  <si>
    <t>Short Stary Residential care</t>
  </si>
  <si>
    <t>Reading24Carers Funding ICBCarers ServicesOther</t>
  </si>
  <si>
    <t>Carers Funding ICB</t>
  </si>
  <si>
    <t>Reading27Care Homes / RRaTHome-based intermediate care servicesRehabilitation at home (accepting step up and step down users)</t>
  </si>
  <si>
    <t>Care Homes / RRaT</t>
  </si>
  <si>
    <t>additional OT capacity to support intermediate care</t>
  </si>
  <si>
    <t>Reading28Discharge to Assess BedsBed based intermediate Care Services (Reablement, rehabilitation, wider short-term services supporting recovery)Bed-based intermediate care with rehabilitation (to support discharge)</t>
  </si>
  <si>
    <t>Provision of community equipment in NL</t>
  </si>
  <si>
    <t>Reading29Hospital to Home Service (Extended)Personalised Care at HomePhysical health/wellbeing</t>
  </si>
  <si>
    <t>Hospital to Home Service (Extended)</t>
  </si>
  <si>
    <t>Physical health/wellbeing</t>
  </si>
  <si>
    <t>Provision of Community wheelchairs</t>
  </si>
  <si>
    <t>Reading30TEC Hospital DischargeAssistive Technologies and EquipmentAssistive technologies including telecare</t>
  </si>
  <si>
    <t>TEC Hospital Discharge</t>
  </si>
  <si>
    <t>Assistive Technologies a People return 'home first' and receive virtual check in calls, meds prompts etc</t>
  </si>
  <si>
    <t>Reading31Home Care Hours to support DischargeHome Care or Domiciliary CareDomiciliary care to support hospital discharge (Discharge to Assess pathway 1)</t>
  </si>
  <si>
    <t>Home Care Hours to support Discharge</t>
  </si>
  <si>
    <t>New or increased package support following hospital discharge</t>
  </si>
  <si>
    <t>Reading35Hospital / CRT Delivering extended hours / Bank holidaysHome-based intermediate care servicesRehabilitation at home (to support discharge)</t>
  </si>
  <si>
    <t>Hospital / CRT Delivering extended hours / Bank holidays</t>
  </si>
  <si>
    <t>New residential care placements to support hospital discharge for people unable to return directly home</t>
  </si>
  <si>
    <t>Reading36Complex cases - High Cost Placement (including MH)Residential PlacementsCare home</t>
  </si>
  <si>
    <t>Complex cases - High Cost Placement (including MH)</t>
  </si>
  <si>
    <t>Additional Homefirst capacity</t>
  </si>
  <si>
    <t xml:space="preserve">Reading41iBCFHome-based intermediate care servicesReablement at home (to support discharge) </t>
  </si>
  <si>
    <t>New residential care placements to support hosptial discharge for people unable ot return directly home 30%]</t>
  </si>
  <si>
    <t>Reading42DFGDFG Related SchemesAdaptations, including statutory DFG grants</t>
  </si>
  <si>
    <t>This Service provides Carers health support ensuring that they can continue to undertake a carers role - Northamptonshire carers commissioned</t>
  </si>
  <si>
    <t>Northamptonshire Carers</t>
  </si>
  <si>
    <t xml:space="preserve">Reading44BHFT Re-ablement ContractHome-based intermediate care servicesJoint reablement and rehabilitation service (to support discharge) </t>
  </si>
  <si>
    <t>BHFT Re-ablement Contract</t>
  </si>
  <si>
    <t>Council Contracted Service hosted by North Northants on behalf of both Councils - carers support commissioned through Northamptonshire carers - support, advice, assessments and breaks and respite</t>
  </si>
  <si>
    <t xml:space="preserve">Assessment &amp; Advice services </t>
  </si>
  <si>
    <t>Redbridge3Provide the right care in the right place at the right time.Home-based intermediate care servicesReablement at home (accepting step up and step down users)</t>
  </si>
  <si>
    <t>Provide the right care in the right place at the right time.</t>
  </si>
  <si>
    <t>Assistive technology and call lifelines designed to help keep people safe in their home through remote monitoring and crisis call alarm and response services to support indpendent safe living</t>
  </si>
  <si>
    <t>Redbridge3Provide the right care in the right place at the right time.Assistive Technologies and EquipmentCommunity based equipment</t>
  </si>
  <si>
    <t>Redbridge3Provide the right care in the right place at the right time.DFG Related SchemesAdaptations, including statutory DFG grants</t>
  </si>
  <si>
    <t xml:space="preserve">provision of universally available equipment and minor adaptions to support both health and social care needs and designed to help maintain people in their own homes </t>
  </si>
  <si>
    <t>Redbridge3Provide the right care in the right place at the right time.DFG Related SchemesOther</t>
  </si>
  <si>
    <t>Reablement Team -  managing hospital discharges home with support and short term reablement and  community based reablement episodes for those recovering from hospital stay or crisis and needing support to return to independence</t>
  </si>
  <si>
    <t>Redcar and Cleveland1Recovery and Reablement - Social Care CCG ElementHome-based intermediate care servicesReablement at home (accepting step up and step down users)</t>
  </si>
  <si>
    <t>Recovery and Reablement - Social Care CCG Element</t>
  </si>
  <si>
    <t xml:space="preserve">Community Occupational Therapy Teams - The occupational therapy team provide post hospital recovery support, rehabilitation, adaptions assessment. They also respond to community referrals from GPs and families for post falls support and/or DFG adaptation assessments </t>
  </si>
  <si>
    <t>Redcar and Cleveland1Recovery and Reablement - Community HealthHome-based intermediate care servicesReablement at home (accepting step up and step down users)</t>
  </si>
  <si>
    <t>Recovery and Reablement - Community Health</t>
  </si>
  <si>
    <t xml:space="preserve">Tuvida </t>
  </si>
  <si>
    <t>Redcar and Cleveland1Recovery and ReablementHome-based intermediate care servicesReablement at home (accepting step up and step down users)</t>
  </si>
  <si>
    <t>Recovery and Reablement</t>
  </si>
  <si>
    <t>Digital Companion</t>
  </si>
  <si>
    <t>Redcar and Cleveland3Intermediate Care CentreBed based intermediate Care Services (Reablement, rehabilitation, wider short-term services supporting recovery)Bed-based intermediate care with reablement accepting step up and step down users</t>
  </si>
  <si>
    <t>Intermediate Care Centre</t>
  </si>
  <si>
    <t>Redcar and Cleveland3Intermediate Care Centre - TherapistsBed based intermediate Care Services (Reablement, rehabilitation, wider short-term services supporting recovery)Bed-based intermediate care with reablement accepting step up and step down users</t>
  </si>
  <si>
    <t>Intermediate Care Centre - Therapists</t>
  </si>
  <si>
    <t>Redcar and Cleveland3IC Medical CoverBed based intermediate Care Services (Reablement, rehabilitation, wider short-term services supporting recovery)Bed-based intermediate care with reablement accepting step up and step down users</t>
  </si>
  <si>
    <t>IC Medical Cover</t>
  </si>
  <si>
    <t>Redcar and Cleveland4Carers Support ServiceCarers ServicesCarer advice and support related to Care Act duties</t>
  </si>
  <si>
    <t>Carers Support Service</t>
  </si>
  <si>
    <t>Redcar and Cleveland5Young Carer SupportCarers ServicesCarer advice and support related to Care Act duties</t>
  </si>
  <si>
    <t>Young Carer Support</t>
  </si>
  <si>
    <t>Redcar and Cleveland6Hospital Based Carer SupportCarers ServicesCarer advice and support related to Care Act duties</t>
  </si>
  <si>
    <t>Hospital Based Carer Support</t>
  </si>
  <si>
    <t>Redcar and Cleveland7Digital ExplorersAssistive Technologies and EquipmentDigital participation services</t>
  </si>
  <si>
    <t>Digital Explorers</t>
  </si>
  <si>
    <t>Redcar and Cleveland11Overnight Planned Care ServiceHome Care or Domiciliary CareDomiciliary care packages</t>
  </si>
  <si>
    <t>Overnight Planned Care Service</t>
  </si>
  <si>
    <t>Redcar and Cleveland17Disabled Facilities GrantsDFG Related SchemesAdaptations, including statutory DFG grants</t>
  </si>
  <si>
    <t>Redcar and Cleveland17Disabled Facilities GrantsDFG Related SchemesHandyperson services</t>
  </si>
  <si>
    <t>Redcar and Cleveland19Residential CareResidential PlacementsCare home</t>
  </si>
  <si>
    <t>Redcar and Cleveland20Home CareHome Care or Domiciliary CareDomiciliary care packages</t>
  </si>
  <si>
    <t>Redcar and Cleveland43Effective Discharge -D2A PathwaysBed based intermediate Care Services (Reablement, rehabilitation, wider short-term services supporting recovery)Bed-based intermediate care with reablement accepting step up and step down users</t>
  </si>
  <si>
    <t>Effective Discharge -D2A Pathways</t>
  </si>
  <si>
    <t>Redcar and Cleveland44Disabled Facilities Grant (21/22 underspend)DFG Related SchemesAdaptations, including statutory DFG grants</t>
  </si>
  <si>
    <t>Disabled Facilities Grant (21/22 underspend)</t>
  </si>
  <si>
    <t>Redcar and Cleveland49Enhanced Reablement &amp; Independence TeamsHome-based intermediate care servicesReablement at home (accepting step up and step down users)</t>
  </si>
  <si>
    <t>Enhanced Reablement &amp; Independence Teams</t>
  </si>
  <si>
    <t>Redcar and Cleveland51Therapies Team - Intermediate Care CentreBed based intermediate Care Services (Reablement, rehabilitation, wider short-term services supporting recovery)Bed-based intermediate care with reablement accepting step up and step down users</t>
  </si>
  <si>
    <t>Therapies Team - Intermediate Care Centre</t>
  </si>
  <si>
    <t>Redcar and Cleveland53Effective Discharge -D2A PathwaysBed based intermediate Care Services (Reablement, rehabilitation, wider short-term services supporting recovery)Bed-based intermediate care with reablement accepting step up and step down users</t>
  </si>
  <si>
    <t>Redcar and Cleveland54Reablement - overtime paymentsHome-based intermediate care servicesReablement at home (accepting step up and step down users)</t>
  </si>
  <si>
    <t>Reablement - overtime payments</t>
  </si>
  <si>
    <t>Redcar and Cleveland57Carers IncentiveCarers ServicesRespite services</t>
  </si>
  <si>
    <t>Carers Incentive</t>
  </si>
  <si>
    <t>Redcar and Cleveland58Tees Community Equipment ServicesAssistive Technologies and EquipmentCommunity based equipment</t>
  </si>
  <si>
    <t>Tees Community Equipment Services</t>
  </si>
  <si>
    <t>HICM for Managing Transfer of Care</t>
  </si>
  <si>
    <t>Redcar and Cleveland62Enhanced Reablement &amp; Independence TeamsHome-based intermediate care servicesReablement at home (accepting step up and step down users)</t>
  </si>
  <si>
    <t>Redcar and Cleveland68Therapies Team - Intermediate Care CentreBed based intermediate Care Services (Reablement, rehabilitation, wider short-term services supporting recovery)Bed-based intermediate care with reablement accepting step up and step down users</t>
  </si>
  <si>
    <t>Redcar and Cleveland69Enhanced Reablement &amp; Independence TeamsHome-based intermediate care servicesRehabilitation at home (accepting step up and step down users)</t>
  </si>
  <si>
    <t>Richmond upon Thames22Richmond Response and Rehabilitation SchemeHome-based intermediate care servicesReablement at home (accepting step up and step down users)</t>
  </si>
  <si>
    <t>Richmond Response and Rehabilitation Scheme</t>
  </si>
  <si>
    <t>Community Rehabilitation Team</t>
  </si>
  <si>
    <t>Richmond upon Thames33Live in CareHome Care or Domiciliary CareShort term domiciliary care (without reablement input)</t>
  </si>
  <si>
    <t>Live in Care</t>
  </si>
  <si>
    <t>Richmond upon Thames33Additional Home Care CostsHome Care or Domiciliary CareShort term domiciliary care (without reablement input)</t>
  </si>
  <si>
    <t>Additional Home Care Costs</t>
  </si>
  <si>
    <t>bed based intermediate care</t>
  </si>
  <si>
    <t>Richmond upon Thames34Equipment and Assistive TechnologiesAssistive Technologies and EquipmentCommunity based equipment</t>
  </si>
  <si>
    <t>Equipment and Assistive Technologies</t>
  </si>
  <si>
    <t>Richmond upon Thames41Protection of Adult Social CareHome Care or Domiciliary CareDomiciliary care to support hospital discharge (Discharge to Assess pathway 1)</t>
  </si>
  <si>
    <t xml:space="preserve">Step down - extra care flats </t>
  </si>
  <si>
    <t>Richmond upon Thames43Older people's care and supportResidential PlacementsCare home</t>
  </si>
  <si>
    <t>Older people's care and support</t>
  </si>
  <si>
    <t>Homecare capacity building</t>
  </si>
  <si>
    <t>Richmond upon Thames51Carers supportCarers ServicesRespite services</t>
  </si>
  <si>
    <t>Richmond upon Thames52VCS support to dischargeCarers ServicesCarer advice and support related to Care Act duties</t>
  </si>
  <si>
    <t>VCS support to discharge</t>
  </si>
  <si>
    <t>Support for pathway 0 discharges</t>
  </si>
  <si>
    <t>Richmond upon Thames61Disabled Facilities Grant (DFG) activitiesDFG Related SchemesAdaptations, including statutory DFG grants</t>
  </si>
  <si>
    <t>Disabled Facilities Grant (DFG) activities</t>
  </si>
  <si>
    <t>Rochdale3Carers Universal ServicesCarers ServicesCarer advice and support related to Care Act duties</t>
  </si>
  <si>
    <t>Carers Universal Services</t>
  </si>
  <si>
    <t>Care Act Implementation Related Duties</t>
  </si>
  <si>
    <t>Rochdale3Carers Night Sitting ServiceCarers ServicesOther</t>
  </si>
  <si>
    <t>Carers Night Sitting Service</t>
  </si>
  <si>
    <t>DFG schemes via District Councils</t>
  </si>
  <si>
    <t>Rochdale12Reablement- Equipment Assistive Technologies and EquipmentCommunity based equipment</t>
  </si>
  <si>
    <t xml:space="preserve">Reablement- Equipment </t>
  </si>
  <si>
    <t>Bed-based Intermediate Care</t>
  </si>
  <si>
    <t>Rochdale12Intemediate Tier Services- STAR's PlusHome Care or Domiciliary CareDomiciliary care to support hospital discharge (Discharge to Assess pathway 1)</t>
  </si>
  <si>
    <t>Intemediate Tier Services- STAR's Plus</t>
  </si>
  <si>
    <t>Increase flexible domicilary care capacity</t>
  </si>
  <si>
    <t>Rochdale11Intermediate Tier Services- ContractBed based intermediate Care Services (Reablement, rehabilitation, wider short-term services supporting recovery)Bed-based intermediate care with reablement (to support discharge)</t>
  </si>
  <si>
    <t>Intermediate Tier Services- Contract</t>
  </si>
  <si>
    <t>Care home support</t>
  </si>
  <si>
    <t>Rochdale11Intermediate Tier Services- CQUINBed based intermediate Care Services (Reablement, rehabilitation, wider short-term services supporting recovery)Bed-based intermediate care with reablement (to support discharge)</t>
  </si>
  <si>
    <t>Intermediate Tier Services- CQUIN</t>
  </si>
  <si>
    <t>Rochdale5DFGDFG Related SchemesAdaptations, including statutory DFG grants</t>
  </si>
  <si>
    <t>Rochdale8Funding Of Social Care ServicesHome Care or Domiciliary CareDomiciliary care packages</t>
  </si>
  <si>
    <t>Funding Of Social Care Services</t>
  </si>
  <si>
    <t>Social care protection</t>
  </si>
  <si>
    <t>Rochdale17Funding Of Social Care ServicesResidential PlacementsSupported housing</t>
  </si>
  <si>
    <t>NY carers</t>
  </si>
  <si>
    <t>Carer support and assessments</t>
  </si>
  <si>
    <t>Rochdale17Funding Of Social Care Services-iBCFResidential PlacementsSupported housing</t>
  </si>
  <si>
    <t>Funding Of Social Care Services-iBCF</t>
  </si>
  <si>
    <t>Rochdale17Funding Of Social Care ServicesResidential PlacementsCare home</t>
  </si>
  <si>
    <t>Wheelchair services</t>
  </si>
  <si>
    <t>Rochdale17Funding Of Social Care Services-iBCFResidential PlacementsCare home</t>
  </si>
  <si>
    <t>Rochdale17Funding Of Social Care ServicesResidential PlacementsNursing home</t>
  </si>
  <si>
    <t>Rochdale17Funding Of Social Care Services-iBCFResidential PlacementsNursing home</t>
  </si>
  <si>
    <t>Increase in packages to reduce delayed discharge</t>
  </si>
  <si>
    <t>Rochdale17Funding Of Social Care ServicesResidential PlacementsShort term residential care (without rehabilitation or reablement input)</t>
  </si>
  <si>
    <t>Community based support packages for EOL</t>
  </si>
  <si>
    <t>EOL Home Care or Domiciliary Care</t>
  </si>
  <si>
    <t>Rochdale17Funding Of Social Care Services-iBCFResidential PlacementsShort term residential care (without rehabilitation or reablement input)</t>
  </si>
  <si>
    <t>Community based EOL domiciliary care to meet increased demand</t>
  </si>
  <si>
    <t>Rochdale8Blended RolesHome Care or Domiciliary CareDomiciliary care workforce development</t>
  </si>
  <si>
    <t>Blended Roles</t>
  </si>
  <si>
    <t>Additional equipment costs to support discharge plus co-ordinator role</t>
  </si>
  <si>
    <t>Rochdale1Technology Enabled CareAssistive Technologies and EquipmentAssistive technologies including telecare</t>
  </si>
  <si>
    <t>Extended capacity for home from hopsital</t>
  </si>
  <si>
    <t>Rochdale11Intermediate Tier ResilienceBed based intermediate Care Services (Reablement, rehabilitation, wider short-term services supporting recovery)Bed-based intermediate care with reablement accepting step up and step down users</t>
  </si>
  <si>
    <t>Intermediate Tier Resilience</t>
  </si>
  <si>
    <t>Additional beds for dementia or complex needs</t>
  </si>
  <si>
    <t>Rochdale12Expanding and developing STARS Reablement Service and assessment homecareHome-based intermediate care servicesReablement at home (accepting step up and step down users)</t>
  </si>
  <si>
    <t>Expanding and developing STARS Reablement Service and assessment homecare</t>
  </si>
  <si>
    <t>Additional block booked beds</t>
  </si>
  <si>
    <t>Rochdale8Innovate our domiciliary care offerHome Care or Domiciliary CareDomiciliary care packages</t>
  </si>
  <si>
    <t>Innovate our domiciliary care offer</t>
  </si>
  <si>
    <t>Rochdale11Mental Health D2A and Crisis beds Bed based intermediate Care Services (Reablement, rehabilitation, wider short-term services supporting recovery)Bed-based intermediate care with reablement accepting step up and step down users</t>
  </si>
  <si>
    <t xml:space="preserve">Mental Health D2A and Crisis beds </t>
  </si>
  <si>
    <t>Rochdale3Mental Health Crisis café ( carer support to help get people home) Carers ServicesCarer advice and support related to Care Act duties</t>
  </si>
  <si>
    <t xml:space="preserve">Mental Health Crisis café ( carer support to help get people home) </t>
  </si>
  <si>
    <t>Providing equipment to patients at home</t>
  </si>
  <si>
    <t>Rochdale1Reablement - equipmenAssistive Technologies and EquipmentCommunity based equipment</t>
  </si>
  <si>
    <t>Reablement - equipmen</t>
  </si>
  <si>
    <t>Rotherham3ReablementHome-based intermediate care servicesReablement at home (to prevent admission to hospital or residential care)</t>
  </si>
  <si>
    <t>Support to carers</t>
  </si>
  <si>
    <t>Rotherham3Domiciliary CareHome Care or Domiciliary CareDomiciliary care packages</t>
  </si>
  <si>
    <t>Rotherham10Disabled Facilities GrantDFG Related SchemesAdaptations, including statutory DFG grants</t>
  </si>
  <si>
    <t>Rotherham10Disabled Facilities GrantAssistive Technologies and EquipmentCommunity based equipment</t>
  </si>
  <si>
    <t>Rotherham10Additional Disabled Facilities Grant schemesDFG Related SchemesOther</t>
  </si>
  <si>
    <t>Additional Disabled Facilities Grant schemes</t>
  </si>
  <si>
    <t>Rotherham13Intermediate Care Bed based intermediate Care Services (Reablement, rehabilitation, wider short-term services supporting recovery)Bed-based intermediate care with rehabilitation (to support discharge)</t>
  </si>
  <si>
    <t xml:space="preserve">Rotherham13Intermediate Care - Home firstHome-based intermediate care servicesReablement at home (to support discharge) </t>
  </si>
  <si>
    <t>Intermediate Care - Home first</t>
  </si>
  <si>
    <t>Rotherham13Intermediate Care - TherapyBed based intermediate Care Services (Reablement, rehabilitation, wider short-term services supporting recovery)Other</t>
  </si>
  <si>
    <t>Intermediate Care - Therapy</t>
  </si>
  <si>
    <t>Community Based Scheme</t>
  </si>
  <si>
    <t>Share of community hospital beds (unit is beds)</t>
  </si>
  <si>
    <t>Rotherham13Intermediate Care - GP CoverBed based intermediate Care Services (Reablement, rehabilitation, wider short-term services supporting recovery)Other</t>
  </si>
  <si>
    <t>Intermediate Care - GP Cover</t>
  </si>
  <si>
    <t xml:space="preserve">Rotherham13Intermediate Care Home-based intermediate care servicesReablement at home (to support discharge) </t>
  </si>
  <si>
    <t>Reablement home care service, providing short-term support following discharge or in the community</t>
  </si>
  <si>
    <t>Rotherham14Supported LivingResidential PlacementsSupported housing</t>
  </si>
  <si>
    <t>Occupational therapists working in integrated service with reablement home care</t>
  </si>
  <si>
    <t>Rotherham16Mental Health rehabilitation servicesResidential PlacementsCare home</t>
  </si>
  <si>
    <t>Mental Health rehabilitation services</t>
  </si>
  <si>
    <t>Contribution towards the cost of the long-term home care services supporting people after discharge and in the community</t>
  </si>
  <si>
    <t>Rotherham17Learning Disabilities independent sector residential care/transitional placements Residential PlacementsLearning disability</t>
  </si>
  <si>
    <t xml:space="preserve">Learning Disabilities independent sector residential care/transitional placements </t>
  </si>
  <si>
    <t>Contribution towards the cost of long-term home care services</t>
  </si>
  <si>
    <t>Rotherham17Learning Disabilities Domiciliary CareHome Care or Domiciliary CareDomiciliary care packages</t>
  </si>
  <si>
    <t>Learning Disabilities Domiciliary Care</t>
  </si>
  <si>
    <t>Contribution towards the costs of care home placements for older people with a need for specialist dementia care</t>
  </si>
  <si>
    <t>Rotherham18Free Nursing CareResidential PlacementsNursing home</t>
  </si>
  <si>
    <t>Free Nursing Care</t>
  </si>
  <si>
    <t>Contribution towards the costs of care home placements for older people without need for specialist dementia care</t>
  </si>
  <si>
    <t>Rotherham25Carers Support ServicesCarers ServicesCarer advice and support related to Care Act duties</t>
  </si>
  <si>
    <t>Mandatory DFG, discretionary grants, and other social care capital schemes as agreed with the ICB</t>
  </si>
  <si>
    <t>See column D</t>
  </si>
  <si>
    <t>Rotherham25Carers Support ServicesCarers ServicesRespite services</t>
  </si>
  <si>
    <t>ICB Discharge Fund scheme</t>
  </si>
  <si>
    <t>Rotherham33Social Care Sustainability Residential PlacementsCare home</t>
  </si>
  <si>
    <t xml:space="preserve">Social Care Sustainability </t>
  </si>
  <si>
    <t>Block-booked beds in care home specialising in supporting one of the categories of patients whose discharge is most often difficult ot arrange.</t>
  </si>
  <si>
    <t>Rotherham33Social Care Sustainability Home Care or Domiciliary CareDomiciliary care packages</t>
  </si>
  <si>
    <t>Additional budget for home care following discharge (Pathway 1)</t>
  </si>
  <si>
    <t>Rotherham33Social Care Sustainability Residential PlacementsLearning disability</t>
  </si>
  <si>
    <t>Additional budget for short-term bed based services following discharge (Pathway 2)</t>
  </si>
  <si>
    <t>Rotherham34Care Market Capacity and sustainabilityResidential PlacementsOther</t>
  </si>
  <si>
    <t>Care Market Capacity and sustainability</t>
  </si>
  <si>
    <t>Additional budget to reduce delays in making long-term care home placements in cases where these are appropriate (Pathway 3)</t>
  </si>
  <si>
    <t>Rotherham35Care Market Capacity and sustainabilityResidential PlacementsSupported housing</t>
  </si>
  <si>
    <t>ICB Discharge Fund Scheme</t>
  </si>
  <si>
    <t>Rotherham40Spot purchase Reablement bedsBed based intermediate Care Services (Reablement, rehabilitation, wider short-term services supporting recovery)Bed-based intermediate care with reablement (to support discharge)</t>
  </si>
  <si>
    <t>Spot purchase Reablement beds</t>
  </si>
  <si>
    <t>Rotherham48Digital ChampionAssistive Technologies and EquipmentDigital participation services</t>
  </si>
  <si>
    <t>Digital Champion</t>
  </si>
  <si>
    <t>Rotherham60Carers Support ServicesCarers ServicesOther</t>
  </si>
  <si>
    <t>Homecare Packages plus integrated team costs</t>
  </si>
  <si>
    <t>Rotherham61Home Care/Care Home sustainabilityWorkforce recruitment and retentionImprove retention of existing workforce</t>
  </si>
  <si>
    <t>Home Care/Care Home sustainability</t>
  </si>
  <si>
    <t>Improve retention of existing workforce</t>
  </si>
  <si>
    <t>WTE's gained</t>
  </si>
  <si>
    <t>Telecare, Telehealth &amp; Integrated jointly commissioned</t>
  </si>
  <si>
    <t>Rotherham63Community Equipment Assistive Technologies and EquipmentCommunity based equipment</t>
  </si>
  <si>
    <t>Dispersed Alarm Service</t>
  </si>
  <si>
    <t>Rotherham64Alternative to Admission Bed based intermediate Care Services (Reablement, rehabilitation, wider short-term services supporting recovery)Other</t>
  </si>
  <si>
    <t xml:space="preserve">Alternative to Admission </t>
  </si>
  <si>
    <t>Assistive Technology Equipment</t>
  </si>
  <si>
    <t xml:space="preserve">Rotherham69Reablement expansionHome-based intermediate care servicesReablement at home (to support discharge) </t>
  </si>
  <si>
    <t>Reablement expansion</t>
  </si>
  <si>
    <t>Carers Advice and Support &amp; Respite Service</t>
  </si>
  <si>
    <t>Rotherham70Davies Court Intermediate CareBed based intermediate Care Services (Reablement, rehabilitation, wider short-term services supporting recovery)Bed-based intermediate care with rehabilitation (to support discharge)</t>
  </si>
  <si>
    <t>Davies Court Intermediate Care</t>
  </si>
  <si>
    <t xml:space="preserve">Adaptation, community equipment and assistive technology </t>
  </si>
  <si>
    <t>Rotherham75Intermediate Care Bed based intermediate Care Services (Reablement, rehabilitation, wider short-term services supporting recovery)Bed-based intermediate care with rehabilitation (to support discharge)</t>
  </si>
  <si>
    <t>Social Care reablement and early intervention OT</t>
  </si>
  <si>
    <t>Rotherham76Incentive payment - Fees for Nursing EMI BedsBed based intermediate Care Services (Reablement, rehabilitation, wider short-term services supporting recovery)Bed-based intermediate care with rehabilitation (to support discharge)</t>
  </si>
  <si>
    <t>Incentive payment - Fees for Nursing EMI Beds</t>
  </si>
  <si>
    <t>Complex needs healthcare services and reviewng officers</t>
  </si>
  <si>
    <t>Rotherham80Home CareHome Care or Domiciliary CareShort term domiciliary care (without reablement input)</t>
  </si>
  <si>
    <t>Rutland221Wellbeing and independence - support to live well with health issuesCarers ServicesCarer advice and support related to Care Act duties</t>
  </si>
  <si>
    <t>Wellbeing and independence - support to live well with health issues</t>
  </si>
  <si>
    <t>P1 Discharge Capacity</t>
  </si>
  <si>
    <t xml:space="preserve">Rehab at home to support discharge -  capacity in home based care services to sustain discharge performance </t>
  </si>
  <si>
    <t>Rutland222Wellbeing and independence - support to live well with health issuesCarers ServicesCarer advice and support related to Care Act duties</t>
  </si>
  <si>
    <t>Winter Pressures - Extension to dispersed alarm service</t>
  </si>
  <si>
    <t>Rutland223Wellbeing and independence - support to live well with health issuesCarers ServicesCarer advice and support related to Care Act duties</t>
  </si>
  <si>
    <t>NHT Lot 8 South (lings Bar), plus Fernwood mid Notts</t>
  </si>
  <si>
    <t>Rutland232Sustaining independence at homeAssistive Technologies and EquipmentAssistive technologies including telecare</t>
  </si>
  <si>
    <t>Sustaining independence at home</t>
  </si>
  <si>
    <t>Carers 'NHS' Short Breaks
Note schemed ID 7 also Carers - dementia- can we show a proportion of the post diagnostic dementia service?</t>
  </si>
  <si>
    <t>Rutland241Home adaptations DFGDFG Related SchemesAdaptations, including statutory DFG grants</t>
  </si>
  <si>
    <t>Home adaptations DFG</t>
  </si>
  <si>
    <t>Rutland251Core social care supportCarers ServicesRespite services</t>
  </si>
  <si>
    <t>Core social care support</t>
  </si>
  <si>
    <t>Nursing &amp; Dementia beds, demand for interim placments</t>
  </si>
  <si>
    <t xml:space="preserve">Rutland321Transfer of care and reablementHome-based intermediate care servicesReablement at home (to support discharge) </t>
  </si>
  <si>
    <t>Transfer of care and reablement</t>
  </si>
  <si>
    <t>Supported accomodation for younger adults</t>
  </si>
  <si>
    <t>Rutland511Additional Discharge FundingBed based intermediate Care Services (Reablement, rehabilitation, wider short-term services supporting recovery)Bed-based intermediate care with reablement (to support discharge)</t>
  </si>
  <si>
    <t>Additional Discharge Funding</t>
  </si>
  <si>
    <t>Rutland513Additional Discharge FundingBed based intermediate Care Services (Reablement, rehabilitation, wider short-term services supporting recovery)Bed-based intermediate care with reablement (to support discharge)</t>
  </si>
  <si>
    <t>Rutland514Additional Discharge FundingBed based intermediate Care Services (Reablement, rehabilitation, wider short-term services supporting recovery)Bed-based intermediate care with reablement (to support discharge)</t>
  </si>
  <si>
    <t>Mental health step down/up beds</t>
  </si>
  <si>
    <t xml:space="preserve">Salford1Adult Social CareHome-based intermediate care servicesReablement at home (to support discharge) </t>
  </si>
  <si>
    <t>Surge (Homecare provision) and bed capacity</t>
  </si>
  <si>
    <t>Salford1Adult Social CareCarers ServicesCarer advice and support related to Care Act duties</t>
  </si>
  <si>
    <t>Salford1Adult Social CareCarers ServicesOther</t>
  </si>
  <si>
    <t>Salford2Adult Social Care - Intermidiate CareBed based intermediate Care Services (Reablement, rehabilitation, wider short-term services supporting recovery)Bed-based intermediate care with reablement accepting step up and step down users</t>
  </si>
  <si>
    <t>Adult Social Care - Intermidiate Care</t>
  </si>
  <si>
    <t>Salford8Community OT &amp; EquipmentAssistive Technologies and EquipmentCommunity Based Equipment</t>
  </si>
  <si>
    <t>Community OT &amp; Equipment</t>
  </si>
  <si>
    <t>Salford11DFGDFG Related SchemesAdaptations, including statutory DFG grants</t>
  </si>
  <si>
    <t>Salford15Learning DifficultiesResidential PlacementsLearning disability</t>
  </si>
  <si>
    <t>Learning Difficulties</t>
  </si>
  <si>
    <t>Salford23Residential CareResidential PlacementsLearning Disability</t>
  </si>
  <si>
    <t>Learning Disability</t>
  </si>
  <si>
    <t>Salford23Residential CareResidential PlacementsCare home</t>
  </si>
  <si>
    <t>Salford23Residential CareResidential PlacementsSupported housing</t>
  </si>
  <si>
    <t>Salford23Residential CareResidential PlacementsOther</t>
  </si>
  <si>
    <t>Salford28Voluntary Sector - Learning DifficultiesCarers ServicesCarer advice and support related to Care Act duties</t>
  </si>
  <si>
    <t>Voluntary Sector - Learning Difficulties</t>
  </si>
  <si>
    <t>Salford12Discharge FundHome Care or Domiciliary CareDomiciliary care workforce development</t>
  </si>
  <si>
    <t>Reablement in a persons own home</t>
  </si>
  <si>
    <t>Salford12Discharge FundHome Care or Domiciliary CareDomiciliary care to support hospital discharge (Discharge to Assess pathway 1)</t>
  </si>
  <si>
    <t>Salford12Discharge FundBed based intermediate Care Services (Reablement, rehabilitation, wider short-term services supporting recovery)Bed-based intermediate care with rehabilitation (to support discharge)</t>
  </si>
  <si>
    <t>Community equipment, enabling swifter hospital discharges</t>
  </si>
  <si>
    <t>Sandwell2Falls PreventionHome-based intermediate care servicesReablement at home (to prevent admission to hospital or residential care)</t>
  </si>
  <si>
    <t>Falls Prevention</t>
  </si>
  <si>
    <t>Home from Hospital - surge weekends (additional provision)</t>
  </si>
  <si>
    <t>Sandwell3Independent Living Team - PreventionAssistive Technologies and EquipmentCommunity based equipment</t>
  </si>
  <si>
    <t>Independent Living Team - Prevention</t>
  </si>
  <si>
    <t>Bank Holiday Enhancements</t>
  </si>
  <si>
    <t>Sandwell6Carers ProgrammeCarers ServicesCarer advice and support related to Care Act duties</t>
  </si>
  <si>
    <t>Carers Programme</t>
  </si>
  <si>
    <t>Short Stay Admissions</t>
  </si>
  <si>
    <t>Managing additional demand, enhancements/incentives for providers</t>
  </si>
  <si>
    <t>Sandwell9Independent Living Team - STARHome-based intermediate care servicesReablement at home (accepting step up and step down users)</t>
  </si>
  <si>
    <t>Independent Living Team - STAR</t>
  </si>
  <si>
    <t>Mental Health Discharge to Assess (placements approximate - TBC by PCFT)</t>
  </si>
  <si>
    <t>Sandwell11Reablement FlatsHome-based intermediate care servicesReablement at home (accepting step up and step down users)</t>
  </si>
  <si>
    <t>Reablement Flats</t>
  </si>
  <si>
    <t>Mental Health Crisis Beds (placements approximate - TBC by PCFT)</t>
  </si>
  <si>
    <t>Sandwell15EAB complex dementia bedsResidential PlacementsCare home</t>
  </si>
  <si>
    <t>EAB complex dementia beds</t>
  </si>
  <si>
    <t>CYP Flats</t>
  </si>
  <si>
    <t>Sandwell16EAB block contractsResidential PlacementsCare home</t>
  </si>
  <si>
    <t>EAB block contracts</t>
  </si>
  <si>
    <t>Home adaptations</t>
  </si>
  <si>
    <t>District housing authority</t>
  </si>
  <si>
    <t>Sandwell19Community Placements - Dom CareHome Care or Domiciliary CareDomiciliary care packages</t>
  </si>
  <si>
    <t>Community Placements - Dom Care</t>
  </si>
  <si>
    <t xml:space="preserve">Equipment service </t>
  </si>
  <si>
    <t>Sandwell20Community Placements - Residential CareResidential PlacementsCare home</t>
  </si>
  <si>
    <t>Community Placements - Residential Care</t>
  </si>
  <si>
    <t>telecare services</t>
  </si>
  <si>
    <t>Sandwell22Community Placements - Nursing HomesResidential PlacementsNursing home</t>
  </si>
  <si>
    <t>Community Placements - Nursing Homes</t>
  </si>
  <si>
    <t xml:space="preserve">Nursing home placements </t>
  </si>
  <si>
    <t>Sandwell23Community Placements - Supported LivingResidential PlacementsSupported housing</t>
  </si>
  <si>
    <t>Community Placements - Supported Living</t>
  </si>
  <si>
    <t>Support for people at home</t>
  </si>
  <si>
    <t>Sandwell35Community Placements - Dom CareHome Care or Domiciliary CareDomiciliary care packages</t>
  </si>
  <si>
    <t>Advice, support and grants programme for carers</t>
  </si>
  <si>
    <t>Sandwell36Community Placements - Residential CareResidential PlacementsCare home</t>
  </si>
  <si>
    <t>D2A provision to Home First approaches on discharge and in the community</t>
  </si>
  <si>
    <t>Sandwell38Community Placements - Nursing HomesResidential PlacementsNursing home</t>
  </si>
  <si>
    <t>Reablement bed pathway</t>
  </si>
  <si>
    <t>Sandwell39Community Placements - Supported LivingResidential PlacementsSupported housing</t>
  </si>
  <si>
    <t>Bed-based intermediate care with rehabilitation (to support discharge) recovery</t>
  </si>
  <si>
    <t>Sandwell40Early Supported DischargeHome Care or Domiciliary CareDomiciliary care to support hospital discharge (Discharge to Assess pathway 1)</t>
  </si>
  <si>
    <t>Early Supported Discharge</t>
  </si>
  <si>
    <t>Provisiob for additional NH beds in winter</t>
  </si>
  <si>
    <t>Sandwell43GP support to integrated care centreBed based intermediate Care Services (Reablement, rehabilitation, wider short-term services supporting recovery)Bed-based intermediate care with reablement accepting step up and step down users</t>
  </si>
  <si>
    <t>GP support to integrated care centre</t>
  </si>
  <si>
    <t>Specialist step down beds to support complex discharges</t>
  </si>
  <si>
    <t>Sandwell62Disabled Facilities GrantDFG Related SchemesAdaptations, including statutory DFG grants</t>
  </si>
  <si>
    <t>Beds and associated MDT to support discharge for people with severe mental illness</t>
  </si>
  <si>
    <t>VCSE</t>
  </si>
  <si>
    <t>Sandwell67EAB spot purchasedResidential PlacementsNursing home</t>
  </si>
  <si>
    <t>EAB spot purchased</t>
  </si>
  <si>
    <t>Sandwell73Digital Transformation FundAssistive Technologies and EquipmentAssistive technologies including telecare</t>
  </si>
  <si>
    <t>Digital Transformation Fund</t>
  </si>
  <si>
    <t>Carers Prescription  Service</t>
  </si>
  <si>
    <t>Sandwell76EAB complex dementia bedsResidential PlacementsNursing home</t>
  </si>
  <si>
    <t>Sandwell77D2A - Nursing CareResidential PlacementsNursing home</t>
  </si>
  <si>
    <t>D2A - Nursing Care</t>
  </si>
  <si>
    <t>Sandwell78D2A - Residential CareResidential PlacementsCare home</t>
  </si>
  <si>
    <t>D2A - Residential Care</t>
  </si>
  <si>
    <t>Spend on care placement costs</t>
  </si>
  <si>
    <t>Sandwell79D2A - Domiciliary CareHome Care or Domiciliary CareDomiciliary care to support hospital discharge (Discharge to Assess pathway 1)</t>
  </si>
  <si>
    <t>D2A - Domiciliary Care</t>
  </si>
  <si>
    <t>Reablement teams and reablement flats</t>
  </si>
  <si>
    <t>Sefton20Carers Breaks  &amp; RespiteCarers ServicesRespite services</t>
  </si>
  <si>
    <t>Carers Breaks  &amp; Respite</t>
  </si>
  <si>
    <t>Technology Enabled Care / Assistive Technology</t>
  </si>
  <si>
    <t>Sefton21Carers Card InitiativeCarers ServicesOther</t>
  </si>
  <si>
    <t>Carers Card Initiative</t>
  </si>
  <si>
    <t>Ensuring compliance with statutory duties under the Care Act</t>
  </si>
  <si>
    <t>Sefton23Intermediate Care (LH)Bed based intermediate Care Services (Reablement, rehabilitation, wider short-term services supporting recovery)Bed-based intermediate care with rehabilitation (to support discharge)</t>
  </si>
  <si>
    <t>Intermediate Care (LH)</t>
  </si>
  <si>
    <t>Support and Respite</t>
  </si>
  <si>
    <t>Sefton25Intermediate Care Services Bed based intermediate Care Services (Reablement, rehabilitation, wider short-term services supporting recovery)Bed-based intermediate care with rehabilitation (to support discharge)</t>
  </si>
  <si>
    <t>Housing adaptations</t>
  </si>
  <si>
    <t>Sefton28Community EquipmentAssistive Technologies and EquipmentCommunity based equipment</t>
  </si>
  <si>
    <t>Care placement spend</t>
  </si>
  <si>
    <t>Sefton29Community Equipment AdditionalAssistive Technologies and EquipmentCommunity based equipment</t>
  </si>
  <si>
    <t>Community Equipment Additional</t>
  </si>
  <si>
    <t>Sefton30Home from HospitalHome Care or Domiciliary CareDomiciliary care to support hospital discharge (Discharge to Assess pathway 1)</t>
  </si>
  <si>
    <t>nursing home capacity</t>
  </si>
  <si>
    <t>Sefton31Early DischargeHome Care or Domiciliary CareDomiciliary care to support hospital discharge (Discharge to Assess pathway 1)</t>
  </si>
  <si>
    <t>Early Discharge</t>
  </si>
  <si>
    <t>Additional capacity to support discharge</t>
  </si>
  <si>
    <t>Sefton32Intermediate Care  - Chase HeysBed based intermediate Care Services (Reablement, rehabilitation, wider short-term services supporting recovery)Other</t>
  </si>
  <si>
    <t>Intermediate Care  - Chase Heys</t>
  </si>
  <si>
    <t>DFG Related Scheme</t>
  </si>
  <si>
    <t>Sefton34Intermediate Care ServicesBed based intermediate Care Services (Reablement, rehabilitation, wider short-term services supporting recovery)Bed-based intermediate care with rehabilitation (to support discharge)</t>
  </si>
  <si>
    <t>Sefton37Community Stores Equipment and AdaptationsAssistive Technologies and EquipmentCommunity based equipment</t>
  </si>
  <si>
    <t>Community Stores Equipment and Adaptations</t>
  </si>
  <si>
    <t>Sefton39Telecare to Support People at HomeAssistive Technologies and EquipmentAssistive technologies including telecare</t>
  </si>
  <si>
    <t>Telecare to Support People at Home</t>
  </si>
  <si>
    <t>Sefton40Equipment and TelecareAssistive Technologies and EquipmentCommunity based equipment</t>
  </si>
  <si>
    <t>Equipment and Telecare</t>
  </si>
  <si>
    <t>Sefton41DFGDFG Related SchemesAdaptations, including statutory DFG grants</t>
  </si>
  <si>
    <t>Home Care or Domicillary Care</t>
  </si>
  <si>
    <t>Sefton45Contribution to Placements &amp; PackagesResidential PlacementsSupported housing</t>
  </si>
  <si>
    <t>Contribution to Placements &amp; Packages</t>
  </si>
  <si>
    <t>Sefton45Contribution to Placements &amp; PackagesResidential PlacementsLearning disability</t>
  </si>
  <si>
    <t>Sefton45Contribution to Placements &amp; PackagesResidential PlacementsCare home</t>
  </si>
  <si>
    <t>Sefton45Contribution to Placements &amp; PackagesResidential PlacementsNursing home</t>
  </si>
  <si>
    <t>Sefton45Contribution to Placements &amp; PackagesHome Care or Domiciliary CareDomiciliary care packages</t>
  </si>
  <si>
    <t>Sefton46NHS Transfer to Social CareResidential PlacementsLearning disability</t>
  </si>
  <si>
    <t>NHS Transfer to Social Care</t>
  </si>
  <si>
    <t>Additional Reviewing Staff for the Community</t>
  </si>
  <si>
    <t>Sefton46NHS Transfer to Social CareResidential PlacementsCare home</t>
  </si>
  <si>
    <t>Sefton46NHS Transfer to Social CareResidential PlacementsNursing home</t>
  </si>
  <si>
    <t>Support Services</t>
  </si>
  <si>
    <t>Sefton46NHS Transfer to Social CareHome Care or Domiciliary CareDomiciliary care packages</t>
  </si>
  <si>
    <t>Sefton46NHS Transfer to Social CareResidential PlacementsSupported housing</t>
  </si>
  <si>
    <t>Enhancing DAU</t>
  </si>
  <si>
    <t>Sefton49Sefton LA DischargeHome Care or Domiciliary CareOther</t>
  </si>
  <si>
    <t>Sefton LA Discharge</t>
  </si>
  <si>
    <t>Additional Homefirst/Dom Discharge Capacity</t>
  </si>
  <si>
    <t>Sefton50ICB Discharge Bed based intermediate Care Services (Reablement, rehabilitation, wider short-term services supporting recovery)Bed-based intermediate care with reablement (to support discharge)</t>
  </si>
  <si>
    <t xml:space="preserve">ICB Discharge </t>
  </si>
  <si>
    <t>Advice, support including respite services</t>
  </si>
  <si>
    <t>Sheffield1People Keeping Well Carer SupportCarers ServicesCarer advice and support related to Care Act duties</t>
  </si>
  <si>
    <t>People Keeping Well Carer Support</t>
  </si>
  <si>
    <t>Sheffield17Active Support and Recovery Bed Based TeamsBed based intermediate Care Services (Reablement, rehabilitation, wider short-term services supporting recovery)Bed-based intermediate care with rehabilitation (to support discharge)</t>
  </si>
  <si>
    <t>Active Support and Recovery Bed Based Teams</t>
  </si>
  <si>
    <t>Bedded D2A &amp; rehab</t>
  </si>
  <si>
    <t>Sheffield20Independent Living Solutions Community EquipmentAssistive Technologies and EquipmentCommunity based equipment</t>
  </si>
  <si>
    <t>Independent Living Solutions Community Equipment</t>
  </si>
  <si>
    <t>Sheffield21Independent Living Solutions Community EquipmentAssistive Technologies and EquipmentCommunity based equipment</t>
  </si>
  <si>
    <t>Sheffield23Independent Living Solutions Community Equipment TeamAssistive Technologies and EquipmentCommunity based equipment</t>
  </si>
  <si>
    <t>Independent Living Solutions Community Equipment Team</t>
  </si>
  <si>
    <t>Sheffield25On Going CareContinuing Healthcare and Funded Nursing Care Residential PlacementsCare home</t>
  </si>
  <si>
    <t xml:space="preserve">On Going CareContinuing Healthcare and Funded Nursing Care </t>
  </si>
  <si>
    <t>Sheffield26On Going CareContinuing Healthcare and Funded Nursing Care Residential PlacementsLearning disability</t>
  </si>
  <si>
    <t>Reablement &amp; Rehabilitation Services</t>
  </si>
  <si>
    <t>Sheffield27On Going CareContinuing Healthcare and Funded Nursing Care Residential PlacementsLearning disability</t>
  </si>
  <si>
    <t>Sheffield28On Going CareContinuing Healthcare and Funded Nursing Care Home Care or Domiciliary CareDomiciliary care packages</t>
  </si>
  <si>
    <t>Sheffield30On Going CareContinuing Healthcare and Funded Nursing Care Carers ServicesRespite services</t>
  </si>
  <si>
    <t>TEC equipment</t>
  </si>
  <si>
    <t>Sheffield31On Going CareContinuing Healthcare Uplifts to support Care Home MarketResidential PlacementsCare home</t>
  </si>
  <si>
    <t>On Going CareContinuing Healthcare Uplifts to support Care Home Market</t>
  </si>
  <si>
    <t>Sheffield32On Going CareLD home care packagesHome Care or Domiciliary CareDomiciliary care packages</t>
  </si>
  <si>
    <t>On Going CareLD home care packages</t>
  </si>
  <si>
    <t>Sheffield33On Going CareContinuing Healthcare LD clientsResidential PlacementsLearning disability</t>
  </si>
  <si>
    <t>On Going CareContinuing Healthcare LD clients</t>
  </si>
  <si>
    <t>Post Hospital Discharge - Home from Hospital</t>
  </si>
  <si>
    <t>Sheffield34On Going CareContinuing Healthcare LD clientsResidential PlacementsLearning disability</t>
  </si>
  <si>
    <t>Provide Community Geriatrician Service - urgent referrals seen within 2 days.</t>
  </si>
  <si>
    <t>Sheffield36On Going CareContinuing Healthcare and Funded Nursing Care Residential PlacementsCare home</t>
  </si>
  <si>
    <t>Rapid response services delivered for patients discharged from A&amp;E or AMU, preventing a hospital admission.</t>
  </si>
  <si>
    <t>Sheffield37On Going CareSupported LivingResidential PlacementsSupported housing</t>
  </si>
  <si>
    <t>On Going CareSupported Living</t>
  </si>
  <si>
    <t>Rapid response services delivered to patients in their own homes, avoiding hospital admission within 2hours.</t>
  </si>
  <si>
    <t>Sheffield38On Going CareShort Break RespiteCarers ServicesRespite services</t>
  </si>
  <si>
    <t>On Going CareShort Break Respite</t>
  </si>
  <si>
    <t>Support for Young People with Dementia (YPWD), Alzheimers</t>
  </si>
  <si>
    <t>Support Young People with Dementia / Alzheimers</t>
  </si>
  <si>
    <t>Sheffield40MH Continuing Care PackagesResidential PlacementsCare home</t>
  </si>
  <si>
    <t>MH Continuing Care Packages</t>
  </si>
  <si>
    <t>Sheffield41MH Continuing Care PackagesHome Care or Domiciliary CareDomiciliary care packages</t>
  </si>
  <si>
    <t>Sheffield43Mental Health ServicesCarers ServicesCarer advice and support related to Care Act duties</t>
  </si>
  <si>
    <t>Mental Health Services</t>
  </si>
  <si>
    <t>Hospital to Home Service British Red Cross</t>
  </si>
  <si>
    <t>Sheffield45MH placementsResidential PlacementsCare home</t>
  </si>
  <si>
    <t>MH placements</t>
  </si>
  <si>
    <t>TEC Hospital Discharge Pilot</t>
  </si>
  <si>
    <t>Sheffield47MH Continuing Care PackagesResidential PlacementsCare home</t>
  </si>
  <si>
    <t>Sheffield48Mental Health ServicesCarers ServicesCarer advice and support related to Care Act duties</t>
  </si>
  <si>
    <t>Sheffield50Disability GrantsDFG Related SchemesAdaptations, including statutory DFG grants</t>
  </si>
  <si>
    <t>Disability Grants</t>
  </si>
  <si>
    <t>Sheffield51Disability GrantsDFG Related SchemesAdaptations, including statutory DFG grants</t>
  </si>
  <si>
    <t>Community Reablement Services</t>
  </si>
  <si>
    <t>Sheffield52Disability GrantsDFG Related SchemesDiscretionary use of DFG</t>
  </si>
  <si>
    <t>Supporting people with disability</t>
  </si>
  <si>
    <t>Sheffield53Capital Grant Funding Carried Forward for Schemes already committed in prior yearDFG Related SchemesAdaptations, including statutory DFG grants</t>
  </si>
  <si>
    <t>Capital Grant Funding Carried Forward for Schemes already committed in prior year</t>
  </si>
  <si>
    <t>Sheffield56Discharge FundingAssistive Technologies and EquipmentAssistive technologies including telecare</t>
  </si>
  <si>
    <t>Discharge Funding</t>
  </si>
  <si>
    <t>Home based intermediate care</t>
  </si>
  <si>
    <t>Sheffield57Discharge FundingAssistive Technologies and EquipmentAssistive technologies including telecare</t>
  </si>
  <si>
    <t>Sheffield58Discharge FundingHome Care or Domiciliary CareDomiciliary care packages</t>
  </si>
  <si>
    <t>Sheffield61Discharge FundingBed based intermediate Care Services (Reablement, rehabilitation, wider short-term services supporting recovery)Bed-based intermediate care with reablement (to support discharge)</t>
  </si>
  <si>
    <t>Telcare</t>
  </si>
  <si>
    <t>Sheffield69Discharge FundingAssistive Technologies and EquipmentCommunity based equipment</t>
  </si>
  <si>
    <t>Community Reablement &amp; Independence Team</t>
  </si>
  <si>
    <t>Shropshire1Hospital Discharge - Short Term Spot PurchasingBed based intermediate Care Services (Reablement, rehabilitation, wider short-term services supporting recovery)Bed-based intermediate care with rehabilitation (to support discharge)</t>
  </si>
  <si>
    <t>Hospital Discharge - Short Term Spot Purchasing</t>
  </si>
  <si>
    <t xml:space="preserve">Shropshire2START and external reablementHome-based intermediate care servicesReablement at home (to support discharge) </t>
  </si>
  <si>
    <t>START and external reablement</t>
  </si>
  <si>
    <t>Shropshire4Carers SupportCarers ServicesOther</t>
  </si>
  <si>
    <t>Intermediate Care Centre - a 40 bed facility.</t>
  </si>
  <si>
    <t>Shropshire21Disabled Facilities GrantsDFG Related SchemesAdaptations, including statutory DFG grants</t>
  </si>
  <si>
    <t>Therapists providing reablement at the Intermediate Care Centre</t>
  </si>
  <si>
    <t xml:space="preserve">Shropshire24Rapid Response START TeamHome-based intermediate care servicesReablement at home (to support discharge) </t>
  </si>
  <si>
    <t>Rapid Response START Team</t>
  </si>
  <si>
    <t>GP medical cover for patients at the Intermediate Care Centre</t>
  </si>
  <si>
    <t>Shropshire32Hospital Based Carers LeadCarers ServicesOther</t>
  </si>
  <si>
    <t>Hospital Based Carers Lead</t>
  </si>
  <si>
    <t>Identification, advice and support</t>
  </si>
  <si>
    <t>Shropshire61Hospital Discharge - Short Term Spot PurchasingBed based intermediate Care Services (Reablement, rehabilitation, wider short-term services supporting recovery)Bed-based intermediate care with rehabilitation (to support discharge)</t>
  </si>
  <si>
    <t>Support to young carers</t>
  </si>
  <si>
    <t>Shropshire62Hospital Discharge - Short Term Spot PurchasingBed based intermediate Care Services (Reablement, rehabilitation, wider short-term services supporting recovery)Bed-based intermediate care with rehabilitation (to support discharge)</t>
  </si>
  <si>
    <t>Information and support in hospitals</t>
  </si>
  <si>
    <t>Slough1Reablement and Independence Service (RIS) - previously RRRHome-based intermediate care servicesReablement at home (accepting step up and step down users)</t>
  </si>
  <si>
    <t>Reablement and Independence Service (RIS) - previously RRR</t>
  </si>
  <si>
    <t>To support adults age 55+ to expand their knowledge and confidence in using digital technology</t>
  </si>
  <si>
    <t>Slough3Intensive Community RehabilitationHome-based intermediate care servicesRehabilitation at home (accepting step up and step down users)</t>
  </si>
  <si>
    <t>Intensive Community Rehabilitation</t>
  </si>
  <si>
    <t>Specific service for clients in own home requiring dom care during the night - toileting, medication, turning calls</t>
  </si>
  <si>
    <t>Slough4Intensive Community RehabilitationHome-based intermediate care servicesRehabilitation at home (accepting step up and step down users)</t>
  </si>
  <si>
    <t>Slough12Integrated Equipment ServiceAssistive Technologies and EquipmentCommunity based equipment</t>
  </si>
  <si>
    <t>Integrated Equipment Service</t>
  </si>
  <si>
    <t>Slough13Integrated Equipment ServiceAssistive Technologies and EquipmentCommunity based equipment</t>
  </si>
  <si>
    <t>Slough14Disabled Facilities GrantDFG Related SchemesAdaptations, including statutory DFG grants</t>
  </si>
  <si>
    <t>Slough16Nursing Home PlacementsResidential PlacementsNursing home</t>
  </si>
  <si>
    <t>Nursing Home Placements</t>
  </si>
  <si>
    <t>Ensuring people receive the necessary care provision to enable them to remain in their homes</t>
  </si>
  <si>
    <t>Slough21EOL nightsitting serviceCarers ServicesRespite services</t>
  </si>
  <si>
    <t>EOL nightsitting service</t>
  </si>
  <si>
    <t>Slough22End of Life Care at Home ServiceHome Care or Domiciliary CareShort term domiciliary care (without reablement input)</t>
  </si>
  <si>
    <t>End of Life Care at Home Service</t>
  </si>
  <si>
    <t>Slough28TelecareAssistive Technologies and EquipmentAssistive technologies including telecare</t>
  </si>
  <si>
    <t>Slough29Carers SupportCarers ServicesCarer advice and support related to Care Act duties</t>
  </si>
  <si>
    <t>Increasing Capacity in Reablement &amp; Rapid Response</t>
  </si>
  <si>
    <t>Solihull2Enabler - Carers Services (Care co-ordination)Carers ServicesOther</t>
  </si>
  <si>
    <t>Enabler - Carers Services (Care co-ordination)</t>
  </si>
  <si>
    <t>Employment of an additional therapist to enhance the capacity of the existing therapies team</t>
  </si>
  <si>
    <t xml:space="preserve">Solihull5Pathway 1 - Home First
Domiciliary Care at Home
(Pathway 1)Home-based intermediate care servicesReablement at home (to support discharge) </t>
  </si>
  <si>
    <t>Pathway 1 - Home First
Domiciliary Care at Home
(Pathway 1)</t>
  </si>
  <si>
    <t>Solihull6Pathway 1 - Home First
Reablement
(Pathway 1)Home-based intermediate care servicesReablement at home (to prevent admission to hospital or residential care)</t>
  </si>
  <si>
    <t>Pathway 1 - Home First
Reablement
(Pathway 1)</t>
  </si>
  <si>
    <t>To fund overtime payments to Reablement Staff</t>
  </si>
  <si>
    <t>Solihull7Pathway 1 - Home First 
Early Response Service &amp; flow out of Pathway 2 (Pathway 1/2)Home-based intermediate care servicesRehabilitation at home (to prevent admission to hospital or residential care)</t>
  </si>
  <si>
    <t>Pathway 1 - Home First 
Early Response Service &amp; flow out of Pathway 2 (Pathway 1/2)</t>
  </si>
  <si>
    <t>Financial support to unpaid carers</t>
  </si>
  <si>
    <t>Solihull8Pathway 2 - Intermediate Care Beds 
(Pathway 2)Bed based intermediate Care Services (Reablement, rehabilitation, wider short-term services supporting recovery)Bed-based intermediate care with reablement (to support discharge)</t>
  </si>
  <si>
    <t>Pathway 2 - Intermediate Care Beds 
(Pathway 2)</t>
  </si>
  <si>
    <t>Additional resources to support increased discharge requirements</t>
  </si>
  <si>
    <t>Solihull9Pathway 3  - Residential and Nursing Home Care (Care Homes)Residential PlacementsShort term residential care (without rehabilitation or reablement input)</t>
  </si>
  <si>
    <t>Pathway 3  - Residential and Nursing Home Care (Care Homes)</t>
  </si>
  <si>
    <t>Solihull11Pathway 0 - Disabled Facilities Grant 
(Single Transfer of Care team)DFG Related SchemesAdaptations, including statutory DFG grants</t>
  </si>
  <si>
    <t>Pathway 0 - Disabled Facilities Grant 
(Single Transfer of Care team)</t>
  </si>
  <si>
    <t>Solihull15Enabler -  Support for cost pressures on the Provider Market, including increases in the National Living WageResidential PlacementsCare home</t>
  </si>
  <si>
    <t>Enabler -  Support for cost pressures on the Provider Market, including increases in the National Living Wage</t>
  </si>
  <si>
    <t>Solihull19iBCF - Pathway 2 Intermediate Care Residential
(Pathway 2)Bed based intermediate Care Services (Reablement, rehabilitation, wider short-term services supporting recovery)Bed-based intermediate care with reablement (to support discharge)</t>
  </si>
  <si>
    <t>iBCF - Pathway 2 Intermediate Care Residential
(Pathway 2)</t>
  </si>
  <si>
    <t>Step up care within the community</t>
  </si>
  <si>
    <t>Solihull21Pathway 2 - Intermediate Care Beds
(Pathway 2)Bed based intermediate Care Services (Reablement, rehabilitation, wider short-term services supporting recovery)Bed-based intermediate care with reablement (to support discharge)</t>
  </si>
  <si>
    <t>Pathway 2 - Intermediate Care Beds
(Pathway 2)</t>
  </si>
  <si>
    <t>Integrated care planning and navigation to avoid admission</t>
  </si>
  <si>
    <t>Solihull31Pathway 2 - Hospital Discharge Beds
(Pathway 2)Bed based intermediate Care Services (Reablement, rehabilitation, wider short-term services supporting recovery)Bed-based intermediate care with reablement (to support discharge)</t>
  </si>
  <si>
    <t>Pathway 2 - Hospital Discharge Beds
(Pathway 2)</t>
  </si>
  <si>
    <t>Live in care pilot to manage people back to their own homes and to settle effectively</t>
  </si>
  <si>
    <t>Solihull32Enabler - Protecting social care - cost of inflation across BCF placements due to high NLW increases and COLResidential PlacementsCare home</t>
  </si>
  <si>
    <t>Enabler - Protecting social care - cost of inflation across BCF placements due to high NLW increases and COL</t>
  </si>
  <si>
    <t>Additional Home care packages to manage people back home who need greater packages of care</t>
  </si>
  <si>
    <t>Solihull33Enabler  - Solihull Community Equipment Loans Service Assistive Technologies and EquipmentCommunity based equipment</t>
  </si>
  <si>
    <t xml:space="preserve">Enabler  - Solihull Community Equipment Loans Service </t>
  </si>
  <si>
    <t>Community equipment to support discharge avoid admission</t>
  </si>
  <si>
    <t>Solihull36Pathway 1 - Integrated Care Teams/Supported Integrated Discharge
(Pathway 1)Home-based intermediate care servicesRehabilitation at home (to support discharge)</t>
  </si>
  <si>
    <t>Pathway 1 - Integrated Care Teams/Supported Integrated Discharge
(Pathway 1)</t>
  </si>
  <si>
    <t>Domiciliary care</t>
  </si>
  <si>
    <t>Solihull38Pathway 1 -  Rapid Response
(Pathway 1)Home-based intermediate care servicesRehabilitation at home (to prevent admission to hospital or residential care)</t>
  </si>
  <si>
    <t>Pathway 1 -  Rapid Response
(Pathway 1)</t>
  </si>
  <si>
    <t>This maintains the existing social care services,Nursing  &amp; Residentail Care Homes services to meet the ever increasing demand from a growing population.</t>
  </si>
  <si>
    <t>Solihull41Pathway 1 - Rapid Response
(Pathway 1)Home-based intermediate care servicesRehabilitation at home (to prevent admission to hospital or residential care)</t>
  </si>
  <si>
    <t>Pathway 1 - Rapid Response
(Pathway 1)</t>
  </si>
  <si>
    <t>The Carers’ offer, provides a range of services for carers such as, Adult Carer Support / information and advice services;  Adult Carer Breaks and Leisure activities; Communication and Information;  Adult Carer Training and Learning; . Debt and Financial Advice; Caring Café;  Events;  Carer Engagement; Young Carer Support and Breaks;  Leadership and Management and Carer in Mind</t>
  </si>
  <si>
    <t>Solihull45Pathway 2 - Arden Lea/Grove Court
(Pathway 2)Bed based intermediate Care Services (Reablement, rehabilitation, wider short-term services supporting recovery)Bed-based intermediate care with reablement (to support discharge)</t>
  </si>
  <si>
    <t>Pathway 2 - Arden Lea/Grove Court
(Pathway 2)</t>
  </si>
  <si>
    <t>Age UK and Carers support to liaise with families and to settle people back home</t>
  </si>
  <si>
    <t>Voluntary sector</t>
  </si>
  <si>
    <t>Solihull47Pathway 2 - Geriatric Medicine
(Pathway 2)Bed based intermediate Care Services (Reablement, rehabilitation, wider short-term services supporting recovery)Bed-based intermediate care with reablement (to support discharge)</t>
  </si>
  <si>
    <t>Pathway 2 - Geriatric Medicine
(Pathway 2)</t>
  </si>
  <si>
    <t>Home adaptations to support independence</t>
  </si>
  <si>
    <t>Solihull49Pathway 2 - Geriatric Medicine
(Pathway 2)Bed based intermediate Care Services (Reablement, rehabilitation, wider short-term services supporting recovery)Bed-based intermediate care with reablement (to support discharge)</t>
  </si>
  <si>
    <t>Funding of carers contract</t>
  </si>
  <si>
    <t>Solihull55Enabler - Community Wheelchair Service
(Single Transfer of Care team)Assistive Technologies and EquipmentCommunity based equipment</t>
  </si>
  <si>
    <t>Enabler - Community Wheelchair Service
(Single Transfer of Care team)</t>
  </si>
  <si>
    <t>Contribution towards night sitting service (this service is monitored on number of pop ins and sit ins)</t>
  </si>
  <si>
    <t>Night sitting home care service</t>
  </si>
  <si>
    <t>Solihull56Enabler  - Solihull Community Equipment Loans Service Assistive Technologies and EquipmentCommunity based equipment</t>
  </si>
  <si>
    <t>Funding of Joint equipment store</t>
  </si>
  <si>
    <t xml:space="preserve">Solihull100Pathway 1 - Home Discharge Service
(Single Transfer of Care team)Home-based intermediate care servicesReablement at home (to support discharge) </t>
  </si>
  <si>
    <t>Pathway 1 - Home Discharge Service
(Single Transfer of Care team)</t>
  </si>
  <si>
    <t>Solihull102Pathway 1 - CES capacity to support equipmentAssistive Technologies and EquipmentCommunity based equipment</t>
  </si>
  <si>
    <t>Pathway 1 - CES capacity to support equipment</t>
  </si>
  <si>
    <t>Support provided to prevent unnecessary hospital admissions.</t>
  </si>
  <si>
    <t>Solihull103Pathway 1 - Genie Connect AI system - 30 usersAssistive Technologies and EquipmentAssistive technologies including telecare</t>
  </si>
  <si>
    <t>Pathway 1 - Genie Connect AI system - 30 users</t>
  </si>
  <si>
    <t>to reduce unnecessary admissions to hospital and ensure that people can leave hospital more quickly by making care more easily available in the community and people's homes.</t>
  </si>
  <si>
    <t>Solihull106Pathway 2 - Bed Capacity
(Pathway 2)Bed based intermediate Care Services (Reablement, rehabilitation, wider short-term services supporting recovery)Bed-based intermediate care with reablement (to support discharge)</t>
  </si>
  <si>
    <t>Pathway 2 - Bed Capacity
(Pathway 2)</t>
  </si>
  <si>
    <t>CQUIN linked to contract above</t>
  </si>
  <si>
    <t>Solihull107Pathway 1 - CES capacity to support equipmentAssistive Technologies and EquipmentAssistive technologies including telecare</t>
  </si>
  <si>
    <t>Adaptations to individuals homes.</t>
  </si>
  <si>
    <t>Somerset1DFGDFG Related SchemesAdaptations, including statutory DFG grants</t>
  </si>
  <si>
    <t>Funding of home care packages</t>
  </si>
  <si>
    <t>Somerset4Intermediate CareHome Care or Domiciliary CareDomiciliary care to support hospital discharge (Discharge to Assess pathway 1)</t>
  </si>
  <si>
    <t>Somerset5Intermediate CareHome Care or Domiciliary CareDomiciliary care to support hospital discharge (Discharge to Assess pathway 1)</t>
  </si>
  <si>
    <t>Supported Housing</t>
  </si>
  <si>
    <t>Somerset7Community bed based care (short stays,  hospital avoidance)Bed based intermediate Care Services (Reablement, rehabilitation, wider short-term services supporting recovery)Other</t>
  </si>
  <si>
    <t>Community bed based care (short stays,  hospital avoidance)</t>
  </si>
  <si>
    <t>private Sector</t>
  </si>
  <si>
    <t>Somerset8Community Equipment ServiceDFG Related SchemesOther</t>
  </si>
  <si>
    <t>Somerset9Support for carersCarers ServicesOther</t>
  </si>
  <si>
    <t>Somerset14Market SupportHome Care or Domiciliary CareDomiciliary care workforce development</t>
  </si>
  <si>
    <t>Market Support</t>
  </si>
  <si>
    <t xml:space="preserve">Nursing placements </t>
  </si>
  <si>
    <t>South Gloucestershire1Alcohol Interface NurseCommunity Based SchemesOther</t>
  </si>
  <si>
    <t>Alcohol Interface Nurse</t>
  </si>
  <si>
    <t>South Gloucestershire2SGC Care Home &amp; Residential PlacementsResidential PlacementsCare home</t>
  </si>
  <si>
    <t>SGC Care Home &amp; Residential Placements</t>
  </si>
  <si>
    <t>Short term placements</t>
  </si>
  <si>
    <t>South Gloucestershire3Carers Breaks ContributionCarers ServicesOther</t>
  </si>
  <si>
    <t>South Gloucestershire5SGC ReablementHome-based intermediate care servicesReablement at home (accepting step up and step down users)</t>
  </si>
  <si>
    <t>SGC Reablement</t>
  </si>
  <si>
    <t>Exploring options for home care and other providers to deliver a broader service offer.</t>
  </si>
  <si>
    <t>South Gloucestershire6Sirona Community Rehab CapacityHome-based intermediate care servicesRehabilitation at home (to support discharge)</t>
  </si>
  <si>
    <t>Sirona Community Rehab Capacity</t>
  </si>
  <si>
    <t xml:space="preserve">Exploring &amp; extending the use of Technology Enabled Care (TEC) to enable hospital discharge, as a preventative measure, complimentary care option  also an assessment tool to help assess needs. (A dedicated team may be needed to deliver this scheme). </t>
  </si>
  <si>
    <t>South Gloucestershire7Impact of social care reformsCare Act Implementation Related DutiesIndependent Mental Health Advocacy</t>
  </si>
  <si>
    <t>Impact of social care reforms</t>
  </si>
  <si>
    <t>Independent Mental Health Advocacy</t>
  </si>
  <si>
    <t>Providing resilience at times of surge and winter pressure - exploring expansion and inc of step up from commuinty aswell as enabling step down. This may include the rec of therapists, consultant or additional primary care capacity.</t>
  </si>
  <si>
    <t>South Gloucestershire9SGC Community based support (Homecare)Home Care or Domiciliary CareDomiciliary care packages</t>
  </si>
  <si>
    <t>SGC Community based support (Homecare)</t>
  </si>
  <si>
    <t>Reablement to support discharge -step down (Discharge to Assess pathway 1)
Rapid/Crisis Response - step up (2 hr response)
Reablement service accepting community and discharge referrals. Develop further STARS Service that is a specialist reablement service also expanding  for Dementia/ MH that will aids discharge. Assessment Home Care aims to avoid delayed discharge when a patient is medically fit for discharge from acute care but their home care package has not yet been complete due to lack of assessment.</t>
  </si>
  <si>
    <t>South Gloucestershire11Community EquipmentAssistive Technologies and EquipmentCommunity based equipment</t>
  </si>
  <si>
    <t xml:space="preserve">Increase domiciliary care capacity to support earlier and timely discharges from acute care. Also  to support Learning Disability, dementia &amp; mental health placements and or wrap around care in the community  over the winter period. This may include block booking and resilience at time of surge and winter pressure. </t>
  </si>
  <si>
    <t>South Gloucestershire12Disabled Facilities Grant (DFG)DFG Related SchemesAdaptations, including statutory DFG grants</t>
  </si>
  <si>
    <t xml:space="preserve">A number of schemes to enable D2A and crisis support for those with MH conditions </t>
  </si>
  <si>
    <t>Social care</t>
  </si>
  <si>
    <t>South Gloucestershire17Long term care including mental illnessPersonalised Budgeting and CommissioningSupport plans for long term including mental health</t>
  </si>
  <si>
    <t>Long term care including mental illness</t>
  </si>
  <si>
    <t>Personalised Budgeting and Commissioning</t>
  </si>
  <si>
    <t>Support plans for long term including mental health</t>
  </si>
  <si>
    <t xml:space="preserve">Mental Health Crisis café (carer support to help get people home) </t>
  </si>
  <si>
    <t>South Gloucestershire19Social Work input to Integrated Discharge Service (IDS)High Impact Change Model for Managing Transfer of CareMulti-Disciplinary/Multi-Agency Discharge Teams supporting discharge</t>
  </si>
  <si>
    <t>Social Work input to Integrated Discharge Service (IDS)</t>
  </si>
  <si>
    <t>Expanding the equipment offer to enable discharge.</t>
  </si>
  <si>
    <t>South Gloucestershire21Discharge to Assess High Impact Change Model for Managing Transfer of CareHome First/Discharge to Assess - process support/core costs</t>
  </si>
  <si>
    <t xml:space="preserve">Discharge to Assess </t>
  </si>
  <si>
    <t>LA Reablement Service</t>
  </si>
  <si>
    <t>South Gloucestershire22SGC Assessment &amp; CareIntegrated Care Planning and NavigationCare navigation and planning</t>
  </si>
  <si>
    <t>SGC Assessment &amp; Care</t>
  </si>
  <si>
    <t>Provision of domiciliary care services to help people live in their own homes</t>
  </si>
  <si>
    <t>South Gloucestershire23Funding for schemes to meet system pressuresCommunity Based SchemesLow level support for simple hospital discharges (Discharge to Assess pathway 0)</t>
  </si>
  <si>
    <t>Funding for schemes to meet system pressures</t>
  </si>
  <si>
    <t>Major property adapatations to enable people to continue to live independently within their own homes</t>
  </si>
  <si>
    <t>South Gloucestershire24Resiliance TeamHigh Impact Change Model for Managing Transfer of CareEarly Discharge Planning</t>
  </si>
  <si>
    <t>Resiliance Team</t>
  </si>
  <si>
    <t>Community alarm and Equipment service to support independent living</t>
  </si>
  <si>
    <t>South Gloucestershire25Support for Community Based Support packages of careHome Care or Domiciliary CareDomiciliary care packages</t>
  </si>
  <si>
    <t>Support for Community Based Support packages of care</t>
  </si>
  <si>
    <t>Additional major  Adaptations</t>
  </si>
  <si>
    <t xml:space="preserve">Balance brought forward from slippage in schemes </t>
  </si>
  <si>
    <t>South Gloucestershire26Frontline SW Teams to support DTOCIntegrated Care Planning and NavigationAssessment teams/joint assessment</t>
  </si>
  <si>
    <t>Frontline SW Teams to support DTOC</t>
  </si>
  <si>
    <t>Residential Rehabilitation for patients who cannot return home from hospital</t>
  </si>
  <si>
    <t>South Gloucestershire27Supporting demographic, price and makret sustainability pressures in Community Based Support servicesHome Care or Domiciliary CareDomiciliary care packages</t>
  </si>
  <si>
    <t>Supporting demographic, price and makret sustainability pressures in Community Based Support services</t>
  </si>
  <si>
    <t>South Gloucestershire28DOLS and MCACare Act Implementation Related DutiesSafeguarding</t>
  </si>
  <si>
    <t>DOLS and MCA</t>
  </si>
  <si>
    <t>Safeguarding</t>
  </si>
  <si>
    <t>South Gloucestershire29Increasing the capacity within the Rapid Response TeamHigh Impact Change Model for Managing Transfer of CareEarly Discharge Planning</t>
  </si>
  <si>
    <t>Increasing the capacity within the Rapid Response Team</t>
  </si>
  <si>
    <t>Rehabilitation and reablement pathway home</t>
  </si>
  <si>
    <t>South Gloucestershire31Increasing reslilience in the AMHP rotaHigh Impact Change Model for Managing Transfer of CareEarly Discharge Planning</t>
  </si>
  <si>
    <t>Increasing reslilience in the AMHP rota</t>
  </si>
  <si>
    <t>South Gloucestershire32Residential bed places for short breaksCarers ServicesRespite services</t>
  </si>
  <si>
    <t>Residential bed places for short breaks</t>
  </si>
  <si>
    <t>South Gloucestershire35Discharge to Assess High Impact Change Model for Managing Transfer of CareHome First/Discharge to Assess - process support/core costs</t>
  </si>
  <si>
    <t>GP support for bed based intermediate care services</t>
  </si>
  <si>
    <t>GP Cover</t>
  </si>
  <si>
    <t>South Gloucestershire36Link Workers / Care NavigatorsIntegrated Care Planning and NavigationCare navigation and planning</t>
  </si>
  <si>
    <t>Link Workers / Care Navigators</t>
  </si>
  <si>
    <t>South Gloucestershire37Social Work assessment capacityIntegrated Care Planning and NavigationAssessment teams/joint assessment</t>
  </si>
  <si>
    <t>Social Work assessment capacity</t>
  </si>
  <si>
    <t>A range of services to support the independence of people with a learning disability including having their own tenancy</t>
  </si>
  <si>
    <t>South Gloucestershire38Dom Care Block + 2 BrokersHome Care or Domiciliary CareDomiciliary care packages</t>
  </si>
  <si>
    <t>Dom Care Block + 2 Brokers</t>
  </si>
  <si>
    <t xml:space="preserve">Rehabilitation and support in a bed base provision </t>
  </si>
  <si>
    <t>South Gloucestershire39Contribution ot Dom Care BlockHome Care or Domiciliary CareDomiciliary care packages</t>
  </si>
  <si>
    <t>Contribution ot Dom Care Block</t>
  </si>
  <si>
    <t xml:space="preserve">Learning disabilities residential placements </t>
  </si>
  <si>
    <t>South Gloucestershire40OT Tech WorkerAssistive Technologies and EquipmentAssistive technologies including telecare</t>
  </si>
  <si>
    <t>OT Tech Worker</t>
  </si>
  <si>
    <t xml:space="preserve">Learning Disabilities Domiciliary Care packages </t>
  </si>
  <si>
    <t>South Gloucestershire41Substance Misuse: ICB contribution to larger service, outputs are total for whole serviceCommunity Based SchemesMultidisciplinary teams that are supporting independence, such as anticipatory care</t>
  </si>
  <si>
    <t>Substance Misuse: ICB contribution to larger service, outputs are total for whole service</t>
  </si>
  <si>
    <t>NHS Funded Nursing Care</t>
  </si>
  <si>
    <t>South Gloucestershire42Transfer of Care HubIntegrated Care Planning and NavigationCare navigation and planning</t>
  </si>
  <si>
    <t>Transfer of Care Hub</t>
  </si>
  <si>
    <t>Implement Carers Strategy to support unpaid carers across the borough</t>
  </si>
  <si>
    <t>South Gloucestershire44P2/P3 Beds reprocurementBed based intermediate Care Services (Reablement, rehabilitation, wider short-term services supporting recovery)Bed-based intermediate care with rehabilitation (to support discharge)</t>
  </si>
  <si>
    <t>P2/P3 Beds reprocurement</t>
  </si>
  <si>
    <t>Carers Emergency Scheme</t>
  </si>
  <si>
    <t>South Gloucestershire45P2/P3 Beds reprocurementBed based intermediate Care Services (Reablement, rehabilitation, wider short-term services supporting recovery)Bed-based intermediate care with rehabilitation (to support discharge)</t>
  </si>
  <si>
    <t>Direct Payments and domiciliary care provision</t>
  </si>
  <si>
    <t>South Gloucestershire46Therapy Bed supportBed based intermediate Care Services (Reablement, rehabilitation, wider short-term services supporting recovery)Bed-based intermediate care with reablement (to support discharge)</t>
  </si>
  <si>
    <t>Older People Residential placements</t>
  </si>
  <si>
    <t>South Tyneside1Community Equipment ServiceAssistive Technologies and EquipmentAssistive technologies including telecare</t>
  </si>
  <si>
    <t>Older People Domiciliary Care provision</t>
  </si>
  <si>
    <t>South Tyneside2Front Door Model / Assistive TechnologyAssistive Technologies and EquipmentAssistive technologies including telecare</t>
  </si>
  <si>
    <t>Front Door Model / Assistive Technology</t>
  </si>
  <si>
    <t>Residential placements for younger adults with a Learning Disability.</t>
  </si>
  <si>
    <t>South Tyneside3Telecare / TelehealthAssistive Technologies and EquipmentAssistive technologies including telecare</t>
  </si>
  <si>
    <t>Telecare / Telehealth</t>
  </si>
  <si>
    <t>Supporting the increase in provider costs, for example, due to the increase in NLW</t>
  </si>
  <si>
    <t>Meeting increasing costs of placements</t>
  </si>
  <si>
    <t>South Tyneside4Respite CareBed based intermediate Care Services (Reablement, rehabilitation, wider short-term services supporting recovery)Bed-based intermediate care with rehabilitation (to support discharge)</t>
  </si>
  <si>
    <t>Respite Care</t>
  </si>
  <si>
    <t xml:space="preserve">Supporting the increase in LD provider costs, including the increase in NLW plus expansion of Shared Lives scheme </t>
  </si>
  <si>
    <t>South Tyneside5Carers Funding (Care Act)Carers ServicesOther</t>
  </si>
  <si>
    <t>Carers Funding (Care Act)</t>
  </si>
  <si>
    <t xml:space="preserve">Short term provision within the independent sector to support hospital discharge </t>
  </si>
  <si>
    <t>South Tyneside6Domiciliary CareHome Care or Domiciliary CareDomiciliary care to support hospital discharge (Discharge to Assess pathway 1)</t>
  </si>
  <si>
    <t>Digital Champion lead - Assistive Technology</t>
  </si>
  <si>
    <t>South Tyneside9Haven CourtResidential PlacementsCare home</t>
  </si>
  <si>
    <t>Haven Court</t>
  </si>
  <si>
    <t>Careres Strategy</t>
  </si>
  <si>
    <t>South Tyneside10Haven CourtBed based intermediate Care Services (Reablement, rehabilitation, wider short-term services supporting recovery)Bed-based intermediate care with reablement (to support discharge)</t>
  </si>
  <si>
    <t>To meet the challenges of escalating cost pressures within this service, relating to inflation, transitions and rising demand for adult care.</t>
  </si>
  <si>
    <t>South Tyneside11Intensive Home Care ServiceHome Care or Domiciliary CareDomiciliary care to support hospital discharge (Discharge to Assess pathway 1)</t>
  </si>
  <si>
    <t>Intensive Home Care Service</t>
  </si>
  <si>
    <t xml:space="preserve">Supply and delivery of additional Community based equipment to increase ability to discharge faster </t>
  </si>
  <si>
    <t>South Tyneside17Disabled Facilities GrantsDFG Related SchemesAdaptations, including statutory DFG grants</t>
  </si>
  <si>
    <t>Spot purchase short term stay to help manage a crisis situation.</t>
  </si>
  <si>
    <t>Crisis alternative</t>
  </si>
  <si>
    <t>South Tyneside20Adult PlacementsResidential PlacementsCare home</t>
  </si>
  <si>
    <t>Adult Placements</t>
  </si>
  <si>
    <t>Additional  hours dedicated to hospital discharge + funding for a Deputy Manager post</t>
  </si>
  <si>
    <t>South Tyneside21Wheelchair ServicesAssistive Technologies and EquipmentCommunity based equipment</t>
  </si>
  <si>
    <t>Support discharge capacity and admission avoidance</t>
  </si>
  <si>
    <t>South Tyneside24Home careHome Care or Domiciliary CareDomiciliary care to support hospital discharge (Discharge to Assess pathway 1)</t>
  </si>
  <si>
    <t>Athorpe Lodge 24 Community Beds fee Uplift</t>
  </si>
  <si>
    <t>South Tyneside28Home CareHome Care or Domiciliary CareDomiciliary care packages</t>
  </si>
  <si>
    <t>South Tyneside31Community Equipment ServiceAssistive Technologies and EquipmentCommunity based equipment</t>
  </si>
  <si>
    <t xml:space="preserve">Home Care Temporary Block Capacity - if capacity shortfall home care </t>
  </si>
  <si>
    <t>South Tyneside32Borrowdale Extra CareBed based intermediate Care Services (Reablement, rehabilitation, wider short-term services supporting recovery)Bed-based intermediate care with reablement (to support discharge)</t>
  </si>
  <si>
    <t>Borrowdale Extra Care</t>
  </si>
  <si>
    <t>Admiral nurses - supporting carers of those livign with dementia</t>
  </si>
  <si>
    <t>South Tyneside33Borrowdale Extra CareBed based intermediate Care Services (Reablement, rehabilitation, wider short-term services supporting recovery)Bed-based intermediate care with reablement (to support discharge)</t>
  </si>
  <si>
    <t>Age UK dementia support contract</t>
  </si>
  <si>
    <t>South Tyneside34Community Equipment ServiceAssistive Technologies and EquipmentCommunity based equipment</t>
  </si>
  <si>
    <t>Carers Support Worker</t>
  </si>
  <si>
    <t>Southampton7Live WellCarers ServicesRespite services</t>
  </si>
  <si>
    <t>Live Well</t>
  </si>
  <si>
    <t>Southampton18Live WellCarers ServicesRespite services</t>
  </si>
  <si>
    <t>Assistive Technology contract - promoting independence at home; unpaid carer sustainability</t>
  </si>
  <si>
    <t>Southampton19Live WellCarers ServicesCarer advice and support related to Care Act duties</t>
  </si>
  <si>
    <t>Continuation of housing and prevention grants. Priority of accelerated delivery.</t>
  </si>
  <si>
    <t>Southampton26Age WellAssistive Technologies and EquipmentCommunity based equipment</t>
  </si>
  <si>
    <t>Age Well</t>
  </si>
  <si>
    <t>Carers' respite</t>
  </si>
  <si>
    <t>Southampton27Age WellDFG Related SchemesAdaptations, including statutory DFG grants</t>
  </si>
  <si>
    <t>Reablement at home- In-house</t>
  </si>
  <si>
    <t>Southampton28EnablersHome Care or Domiciliary CareDomiciliary care packages</t>
  </si>
  <si>
    <t>Enablers</t>
  </si>
  <si>
    <t>Southampton33Live WellCarers ServicesRespite services</t>
  </si>
  <si>
    <t>Southampton34Age WellAssistive Technologies and EquipmentCommunity based equipment</t>
  </si>
  <si>
    <t>Southend-on-Sea2Intermediate Care Beds (Brook Meadows)Bed based intermediate Care Services (Reablement, rehabilitation, wider short-term services supporting recovery)Bed-based intermediate care with rehabilitation accepting step up and step down users</t>
  </si>
  <si>
    <t>Intermediate Care Beds (Brook Meadows)</t>
  </si>
  <si>
    <t>Hospital After Care and Social Rehab Services</t>
  </si>
  <si>
    <t>Southend-on-Sea3Home CareHome Care or Domiciliary CareDomiciliary care packages</t>
  </si>
  <si>
    <t>Carers Support Schemes</t>
  </si>
  <si>
    <t>Southend-on-Sea7Dementia SupportCarers ServicesCarer advice and support related to Care Act duties</t>
  </si>
  <si>
    <t>Southend-on-Sea8Carers ContractCarers ServicesCarer advice and support related to Care Act duties</t>
  </si>
  <si>
    <t>Carers Contract</t>
  </si>
  <si>
    <t>Intermediate Care services</t>
  </si>
  <si>
    <t>Southend-on-Sea11Residential ProvisionResidential PlacementsCare home</t>
  </si>
  <si>
    <t>Residential Provision</t>
  </si>
  <si>
    <t>Southend-on-Sea12Home CareHome Care or Domiciliary CareDomiciliary care packages</t>
  </si>
  <si>
    <t>OT Staffing and Equipment purchases</t>
  </si>
  <si>
    <t>Southend-on-Sea13Southend Reablement ServiceHome-based intermediate care servicesReablement at home (accepting step up and step down users)</t>
  </si>
  <si>
    <t>Southend Reablement Service</t>
  </si>
  <si>
    <t>Southend-on-Sea16Disabled Facilities GrantAssistive Technologies and EquipmentAssistive technologies including telecare</t>
  </si>
  <si>
    <t>Southend-on-Sea23Southend Care Ltd Enhanced Reablement Capacity Home Care or Domiciliary CareDomiciliary care packages</t>
  </si>
  <si>
    <t xml:space="preserve">Southend Care Ltd Enhanced Reablement Capacity </t>
  </si>
  <si>
    <t>Southend-on-Sea28MSE ICB - Community ServicesBed based intermediate Care Services (Reablement, rehabilitation, wider short-term services supporting recovery)Bed-based intermediate care with reablement accepting step up and step down users</t>
  </si>
  <si>
    <t>MSE ICB - Community Services</t>
  </si>
  <si>
    <t>Placements LD</t>
  </si>
  <si>
    <t>Southend-on-Sea30MSE ICB - Community ServicesHome-based intermediate care servicesRehabilitation at home (accepting step up and step down users)</t>
  </si>
  <si>
    <t>Southwark2Admissions avoidance - ERR and @home  Home-based intermediate care servicesRehabilitation at home (accepting step up and step down users)</t>
  </si>
  <si>
    <t xml:space="preserve">Admissions avoidance - ERR and @home  </t>
  </si>
  <si>
    <t>Southwark14Community Equipment ServiceAssistive Technologies and EquipmentCommunity based equipment</t>
  </si>
  <si>
    <t>Placements Older People</t>
  </si>
  <si>
    <t>Southwark15Community Equipment ServiceAssistive Technologies and EquipmentCommunity based equipment</t>
  </si>
  <si>
    <t>Placements Sensory</t>
  </si>
  <si>
    <t>Southwark18Homecare Quality ImprovementHome Care or Domiciliary CareDomiciliary care packages</t>
  </si>
  <si>
    <t>Homecare Quality Improvement</t>
  </si>
  <si>
    <t>Placements Physical Disability</t>
  </si>
  <si>
    <t>Southwark19Residential &amp; Nursing Residential PlacementsCare home</t>
  </si>
  <si>
    <t xml:space="preserve">Residential &amp; Nursing </t>
  </si>
  <si>
    <t>Placements Mental Health</t>
  </si>
  <si>
    <t>Mental Health Placements</t>
  </si>
  <si>
    <t>Southwark20Protect Adult Social Care - Residential CareResidential PlacementsCare home</t>
  </si>
  <si>
    <t>Protect Adult Social Care - Residential Care</t>
  </si>
  <si>
    <t>Southwark21Mobilisation - Intermediate and Nursing CareResidential PlacementsCare home</t>
  </si>
  <si>
    <t>Mobilisation - Intermediate and Nursing Care</t>
  </si>
  <si>
    <t>Information, support &amp; Advice services</t>
  </si>
  <si>
    <t>Southwark26Intermediate Care Home-based intermediate care servicesReablement at home (accepting step up and step down users)</t>
  </si>
  <si>
    <t>Southwark27Night Owls -  overnight intensive homecareHome Care or Domiciliary CareDomiciliary care to support hospital discharge (Discharge to Assess pathway 1)</t>
  </si>
  <si>
    <t>Night Owls -  overnight intensive homecare</t>
  </si>
  <si>
    <t>Additional 200 hours per week of domiciliary bridging support to enable timely hospital discharge</t>
  </si>
  <si>
    <t>Southwark28Reablement TeamHome-based intermediate care servicesReablement at home (accepting step up and step down users)</t>
  </si>
  <si>
    <t>Domiciliary Care capacity to enable discharge</t>
  </si>
  <si>
    <t>Southwark40Carers StrategyCarers ServicesRespite services</t>
  </si>
  <si>
    <t>Carers Strategy</t>
  </si>
  <si>
    <t>Crisis care beds</t>
  </si>
  <si>
    <t xml:space="preserve">Crisis care beds
</t>
  </si>
  <si>
    <t>Southwark41Unpaid CarersCarers ServicesRespite services</t>
  </si>
  <si>
    <t>Unpaid Carers</t>
  </si>
  <si>
    <t>To provide community exercise and postural stability instruction to people at high risk of falls</t>
  </si>
  <si>
    <t>Southwark42Community EquipmentAssistive Technologies and EquipmentCommunity based equipment</t>
  </si>
  <si>
    <t>Equipment stores and staff</t>
  </si>
  <si>
    <t>Southwark43TelecareAssistive Technologies and EquipmentAssistive technologies including telecare</t>
  </si>
  <si>
    <t>To provide a range of advice and guidance services to carers</t>
  </si>
  <si>
    <t>Southwark46iBCF funding plans -  home care Home Care or Domiciliary CareDomiciliary care packages</t>
  </si>
  <si>
    <t xml:space="preserve">iBCF funding plans -  home care </t>
  </si>
  <si>
    <t>In-house council service providing short-term assessment and reablement service aimed at supporting vulnerable people following hospital discharge or supporting people to avoid hospital admission</t>
  </si>
  <si>
    <t>Southwark47iBCF funding plans -   nursing care homesResidential PlacementsNursing home</t>
  </si>
  <si>
    <t>iBCF funding plans -   nursing care homes</t>
  </si>
  <si>
    <t>Four reablement flats at Willow Gardens</t>
  </si>
  <si>
    <t>Southwark49IBCF Reablement and Intermediate bed based careBed based intermediate Care Services (Reablement, rehabilitation, wider short-term services supporting recovery)Bed-based intermediate care with reablement accepting step up and step down users</t>
  </si>
  <si>
    <t>IBCF Reablement and Intermediate bed based care</t>
  </si>
  <si>
    <t>Older People and Mental Health Community Care Placements</t>
  </si>
  <si>
    <t>Southwark50Residential care for older peopleResidential PlacementsCare home</t>
  </si>
  <si>
    <t>Residential care for older people</t>
  </si>
  <si>
    <t>Southwark51Nursing Care for older PeopleResidential PlacementsNursing home</t>
  </si>
  <si>
    <t>Nursing Care for older People</t>
  </si>
  <si>
    <t>Providing extra capacity for home care packages to meet rising demand for FACS-eligible people</t>
  </si>
  <si>
    <t>Southwark52Home care for older peopleHome Care or Domiciliary CareDomiciliary care packages</t>
  </si>
  <si>
    <t>Home care for older people</t>
  </si>
  <si>
    <t>Providing extra capacity for residential home placements to meet rising demand for FACS-eligible people</t>
  </si>
  <si>
    <t>Southwark53Flexicare - Housing Based SchemeResidential PlacementsExtra care</t>
  </si>
  <si>
    <t>Flexicare - Housing Based Scheme</t>
  </si>
  <si>
    <t>Providing extra capacity for nursing home placements to meet rising demand for FACS-eligible people</t>
  </si>
  <si>
    <t>Southwark54Disabled Facilities GrantsDFG Related SchemesAdaptations, including statutory DFG grants</t>
  </si>
  <si>
    <t>Providing extra capacity for supported living placements to meeting rising demand for FACS-eligible people</t>
  </si>
  <si>
    <t>Southwark55Community EquipmentAssistive Technologies and EquipmentCommunity based equipment</t>
  </si>
  <si>
    <t>Southwark56TelecareAssistive Technologies and EquipmentAssistive technologies including telecare</t>
  </si>
  <si>
    <t>Southwark59Further investment into Nursing CareResidential PlacementsNursing home</t>
  </si>
  <si>
    <t>Further investment into Nursing Care</t>
  </si>
  <si>
    <t xml:space="preserve">Southwark60Improvements in Reablement OutcomesHome-based intermediate care servicesReablement at home (to support discharge) </t>
  </si>
  <si>
    <t>Improvements in Reablement Outcomes</t>
  </si>
  <si>
    <t>Southwark61Enhanced resources into HomecareHome Care or Domiciliary CareDomiciliary care packages</t>
  </si>
  <si>
    <t>Enhanced resources into Homecare</t>
  </si>
  <si>
    <t>Timely &amp; Effective Discharge - Promoting Independence Pathway (PIP).  Block contracts for dom care packages</t>
  </si>
  <si>
    <t>Southwark68Step Down FlatsBed based intermediate Care Services (Reablement, rehabilitation, wider short-term services supporting recovery)Bed-based intermediate care with rehabilitation (to support discharge)</t>
  </si>
  <si>
    <t>Step Down Flats</t>
  </si>
  <si>
    <t>Timely &amp; Effective Discharge - GP support to step-up/step-down beds</t>
  </si>
  <si>
    <t>Southwark71Further Investment into Residential CareResidential PlacementsCare home</t>
  </si>
  <si>
    <t>Further Investment into Residential Care</t>
  </si>
  <si>
    <t>DFG Schemes and Grants</t>
  </si>
  <si>
    <t>St. Helens1001CarelineAssistive Technologies and EquipmentAssistive technologies including telecare</t>
  </si>
  <si>
    <t>Careline</t>
  </si>
  <si>
    <t>St. Helens1002Low Vision Support Service Assistive Technologies and EquipmentCommunity based equipment</t>
  </si>
  <si>
    <t xml:space="preserve">Low Vision Support Service </t>
  </si>
  <si>
    <t>Range of digital/IT schemes</t>
  </si>
  <si>
    <t>St. Helens2001Transitional BedsBed based intermediate Care Services (Reablement, rehabilitation, wider short-term services supporting recovery)Bed-based intermediate care with reablement accepting step up and step down users</t>
  </si>
  <si>
    <t>St. Helens1003Carers CentreCarers ServicesCarer advice and support related to Care Act duties</t>
  </si>
  <si>
    <t>Support for first 6 weeks post discharge</t>
  </si>
  <si>
    <t>St. Helens1004Carers Respite SupportCarers ServicesRespite services</t>
  </si>
  <si>
    <t>Carers Respite Support</t>
  </si>
  <si>
    <t>St. Helens1006Direct Payment Suppport for carersCarers ServicesOther</t>
  </si>
  <si>
    <t>Direct Payment Suppport for carers</t>
  </si>
  <si>
    <t>St. Helens1007Respite SupportCarers ServicesRespite services</t>
  </si>
  <si>
    <t>Respite Support</t>
  </si>
  <si>
    <t>Carers Breaks &amp; Respite</t>
  </si>
  <si>
    <t>St. Helens1013DFG'S Capital Grant for home adaptationsDFG Related SchemesAdaptations, including statutory DFG grants</t>
  </si>
  <si>
    <t>DFG'S Capital Grant for home adaptations</t>
  </si>
  <si>
    <t>St. Helens1025 Community Based Dom Care PackagesHome Care or Domiciliary CareDomiciliary care packages</t>
  </si>
  <si>
    <t xml:space="preserve"> Community Based Dom Care Packages</t>
  </si>
  <si>
    <t>St. Helens1030Integrated Community Equipment StoreAssistive Technologies and EquipmentCommunity based equipment</t>
  </si>
  <si>
    <t>Intermediate Care Services (North Sefton) Dovehaven/ Birch Abbey</t>
  </si>
  <si>
    <t>St. Helens1031Assistive technology - Aids &amp; AdaptationsAssistive Technologies and EquipmentCommunity based equipment</t>
  </si>
  <si>
    <t>Assistive technology - Aids &amp; Adaptations</t>
  </si>
  <si>
    <t xml:space="preserve">St. Helens1039Resources for the Reablement ServiceHome-based intermediate care servicesReablement at home (to support discharge) </t>
  </si>
  <si>
    <t>Resources for the Reablement Service</t>
  </si>
  <si>
    <t>St. Helens1040Transitional BedsBed based intermediate Care Services (Reablement, rehabilitation, wider short-term services supporting recovery)Bed-based intermediate care with reablement accepting step up and step down users</t>
  </si>
  <si>
    <t>St. Helens2003Community Falls Prevention ServiceHome-based intermediate care servicesReablement at home (to prevent admission to hospital or residential care)</t>
  </si>
  <si>
    <t>Community Falls Prevention Service</t>
  </si>
  <si>
    <t>St. Helens2004Reablement - Planned ResponseHome-based intermediate care servicesReablement at home (to prevent admission to hospital or residential care)</t>
  </si>
  <si>
    <t>Reablement - Planned Response</t>
  </si>
  <si>
    <t>Intermediate Care  - Chase Heys - Therapy Provision</t>
  </si>
  <si>
    <t>OT Therapy supporting</t>
  </si>
  <si>
    <t>St. Helens2007Maple Unit (Brookfields)Bed based intermediate Care Services (Reablement, rehabilitation, wider short-term services supporting recovery)Bed-based intermediate care with rehabilitation (to support discharge)</t>
  </si>
  <si>
    <t>Maple Unit (Brookfields)</t>
  </si>
  <si>
    <t>Intermediate Care Services- Chase Heys</t>
  </si>
  <si>
    <t xml:space="preserve">St. Helens1041ReablementHome-based intermediate care servicesReablement at home (to support discharge) </t>
  </si>
  <si>
    <t>St. Helens2001Transitional BedsBed based intermediate Care Services (Reablement, rehabilitation, wider short-term services supporting recovery)Bed-based intermediate care with rehabilitation (to support discharge)</t>
  </si>
  <si>
    <t>Sefton Careline Service</t>
  </si>
  <si>
    <t>St. Helens2009Falls Car - LAHome-based intermediate care servicesReablement at home (to prevent admission to hospital or residential care)</t>
  </si>
  <si>
    <t>Falls Car - LA</t>
  </si>
  <si>
    <t>St. Helens1050 Residential/Nursing PlacementsResidential PlacementsCare home</t>
  </si>
  <si>
    <t xml:space="preserve"> Residential/Nursing Placements</t>
  </si>
  <si>
    <t>St. Helens1051Care packages for service users with health related conditions - scheme 1Residential PlacementsSupported housing</t>
  </si>
  <si>
    <t>Care packages for service users with health related conditions - scheme 1</t>
  </si>
  <si>
    <t>St. Helens1052Supported accommodation for service users with disabilities Residential PlacementsSupported housing</t>
  </si>
  <si>
    <t xml:space="preserve">Supported accommodation for service users with disabilities </t>
  </si>
  <si>
    <t>St. Helens1053PS Residential and Nursing Support ServicesResidential PlacementsCare home</t>
  </si>
  <si>
    <t>PS Residential and Nursing Support Services</t>
  </si>
  <si>
    <t>St. Helens1054Supported accommodation for service users with disabilitiesResidential PlacementsSupported housing</t>
  </si>
  <si>
    <t>Supported accommodation for service users with disabilities</t>
  </si>
  <si>
    <t>St. Helens1055Residential/Nursing PlacementsResidential PlacementsCare home</t>
  </si>
  <si>
    <t>Residential/Nursing Placements</t>
  </si>
  <si>
    <t>St. Helens2010Residential/Nursing PlacementsResidential PlacementsCare home</t>
  </si>
  <si>
    <t>St. Helens3004End of Life SupportHome Care or Domiciliary CareDomiciliary care workforce development</t>
  </si>
  <si>
    <t>End of Life Support</t>
  </si>
  <si>
    <t>Staffordshire1Community EquipmentAssistive Technologies and EquipmentCommunity based equipment</t>
  </si>
  <si>
    <t>Staffordshire2Community EquipmentAssistive Technologies and EquipmentCommunity based equipment</t>
  </si>
  <si>
    <t xml:space="preserve">Staffordshire16Enablement Teams (LIS)Home-based intermediate care servicesReablement at home (to support discharge) </t>
  </si>
  <si>
    <t>Enablement Teams (LIS)</t>
  </si>
  <si>
    <t>Staffordshire23Home CareHome Care or Domiciliary CareDomiciliary care packages</t>
  </si>
  <si>
    <t xml:space="preserve">Improving patient flow -Enhanced Home First </t>
  </si>
  <si>
    <t>enhanced reablement and Dom care and wider MDTs support for complex cases  inc MH / LD</t>
  </si>
  <si>
    <t>Staffordshire24Home CareHome Care or Domiciliary CareDomiciliary care packages</t>
  </si>
  <si>
    <t xml:space="preserve">Beds - intermediate care- Additional bed capacity to support step up and step down with will support G&amp;A capacity. </t>
  </si>
  <si>
    <t>Staffordshire25Home CareHome Care or Domiciliary CareDomiciliary care packages</t>
  </si>
  <si>
    <t>Beds - intermediate care  Medical Cover</t>
  </si>
  <si>
    <t>Staffordshire26Disabled Facilities GrantDFG Related SchemesOther</t>
  </si>
  <si>
    <t>Carer Support Network</t>
  </si>
  <si>
    <t>Staffordshire30Intermediate Care Beds BartonBed based intermediate Care Services (Reablement, rehabilitation, wider short-term services supporting recovery)Bed-based intermediate care with rehabilitation accepting step up and step down users</t>
  </si>
  <si>
    <t>Intermediate Care Beds Barton</t>
  </si>
  <si>
    <t>Home and Bed Based Support Service</t>
  </si>
  <si>
    <t>Staffordshire31Intermediate Care Beds (MPFT)Bed based intermediate Care Services (Reablement, rehabilitation, wider short-term services supporting recovery)Bed-based intermediate care with rehabilitation accepting step up and step down users</t>
  </si>
  <si>
    <t>Intermediate Care Beds (MPFT)</t>
  </si>
  <si>
    <t>Community Equipment Contract</t>
  </si>
  <si>
    <t>Staffordshire32Intermediate Care Beds (Private)Bed based intermediate Care Services (Reablement, rehabilitation, wider short-term services supporting recovery)Bed-based intermediate care with reablement accepting step up and step down users</t>
  </si>
  <si>
    <t>Intermediate Care Beds (Private)</t>
  </si>
  <si>
    <t>Staffordshire35Health Care TasksHome Care or Domiciliary CareDomiciliary care packages</t>
  </si>
  <si>
    <t>Health Care Tasks</t>
  </si>
  <si>
    <t>Matt Hancock Winter Funding Schemes - Comm Equip</t>
  </si>
  <si>
    <t>Staffordshire38Residential CareResidential PlacementsCare home</t>
  </si>
  <si>
    <t>Placement residential care</t>
  </si>
  <si>
    <t>Staffordshire39LD PlacementsResidential PlacementsLearning disability</t>
  </si>
  <si>
    <t>LD Placements</t>
  </si>
  <si>
    <t>Staffordshire40DementiaResidential PlacementsCare home</t>
  </si>
  <si>
    <t>Staffordshire41DementiaResidential PlacementsNursing home</t>
  </si>
  <si>
    <t>Health related Home Care packages</t>
  </si>
  <si>
    <t xml:space="preserve">Staffordshire48Independence at Home ServiceHome-based intermediate care servicesReablement at home (to support discharge) </t>
  </si>
  <si>
    <t>Independence at Home Service</t>
  </si>
  <si>
    <t>Respite Placements</t>
  </si>
  <si>
    <t>Stockport2ReablementHome-based intermediate care servicesReablement at home (accepting step up and step down users)</t>
  </si>
  <si>
    <t>Placement residential care support</t>
  </si>
  <si>
    <t>Stockport3EquipmentAssistive Technologies and EquipmentCommunity based equipment</t>
  </si>
  <si>
    <t>In House provision of LD home care services</t>
  </si>
  <si>
    <t>Stockport5Carers ServicesCarers ServicesOther</t>
  </si>
  <si>
    <t>Placement residential care LD</t>
  </si>
  <si>
    <t>Stockport6LD Tenancy - Stockport Road ApartmentsResidential PlacementsSupported housing</t>
  </si>
  <si>
    <t>LD Tenancy - Stockport Road Apartments</t>
  </si>
  <si>
    <t>Stockport9TelecareAssistive Technologies and EquipmentAssistive technologies including telecare</t>
  </si>
  <si>
    <t>Stockport11Disabled Facilities Grant (CAPITAL) (Housing)DFG Related SchemesAdaptations, including statutory DFG grants</t>
  </si>
  <si>
    <t>Disabled Facilities Grant (CAPITAL) (Housing)</t>
  </si>
  <si>
    <t>Sharing Lives Services</t>
  </si>
  <si>
    <t>Stockport12ASC Discharge FundingBed based intermediate Care Services (Reablement, rehabilitation, wider short-term services supporting recovery)Bed-based intermediate care with reablement (to support discharge)</t>
  </si>
  <si>
    <t>ASC Discharge Funding</t>
  </si>
  <si>
    <t>Short term respite placements</t>
  </si>
  <si>
    <t>Stockport13CarersCarers ServicesRespite services</t>
  </si>
  <si>
    <t>Continuing Care packages where MH is the main diagnosis</t>
  </si>
  <si>
    <t>Stockport14Saffron Ward MH - Step Up / Step Down bedsBed based intermediate Care Services (Reablement, rehabilitation, wider short-term services supporting recovery)Bed-based intermediate care with rehabilitation accepting step up and step down users</t>
  </si>
  <si>
    <t>Saffron Ward MH - Step Up / Step Down beds</t>
  </si>
  <si>
    <t>Stockport18Continuing Health CareBed based intermediate Care Services (Reablement, rehabilitation, wider short-term services supporting recovery)Bed-based intermediate care with rehabilitation (to support discharge)</t>
  </si>
  <si>
    <t>Continuing Health Care</t>
  </si>
  <si>
    <t>Short Course Carer Wellbeing Training</t>
  </si>
  <si>
    <t>Stockport19Bluebell Ward - New Model of care for wardBed based intermediate Care Services (Reablement, rehabilitation, wider short-term services supporting recovery)Bed-based intermediate care with rehabilitation (to support discharge)</t>
  </si>
  <si>
    <t>Bluebell Ward - New Model of care for ward</t>
  </si>
  <si>
    <t>Out of area placements for MH patients requiring specialist care</t>
  </si>
  <si>
    <t>Stockport24Commissioning of D2A BedsBed based intermediate Care Services (Reablement, rehabilitation, wider short-term services supporting recovery)Bed-based intermediate care with rehabilitation (to support discharge)</t>
  </si>
  <si>
    <t>Commissioning of D2A Beds</t>
  </si>
  <si>
    <t>Stockton-on-Tees1Rosedale ServiceBed based intermediate Care Services (Reablement, rehabilitation, wider short-term services supporting recovery)Bed-based intermediate care with rehabilitation (to support discharge)</t>
  </si>
  <si>
    <t>Rosedale Service</t>
  </si>
  <si>
    <t xml:space="preserve">Stockton-on-Tees3Reablement ServiceHome-based intermediate care servicesReablement at home (to support discharge) </t>
  </si>
  <si>
    <t>Adaptations from statutory DFG grants terms</t>
  </si>
  <si>
    <t>Stockton-on-Tees22Services for CarersCarers ServicesCarer advice and support related to Care Act duties</t>
  </si>
  <si>
    <t>Services for Carers</t>
  </si>
  <si>
    <t xml:space="preserve">Discretionary loans to allow for rehoming where appropriate to adaptation. </t>
  </si>
  <si>
    <t>Stockton-on-Tees23Services for CarersCarers ServicesCarer advice and support related to Care Act duties</t>
  </si>
  <si>
    <t>Accelerated Adaptations - including discretionary top ups and means testing removal for some adaptations.</t>
  </si>
  <si>
    <t>Stockton-on-Tees25Services for CarersCarers ServicesRespite services</t>
  </si>
  <si>
    <t>Additional allocation from LA capital to meet adaptation demand backlog</t>
  </si>
  <si>
    <t>Stockton-on-Tees26Protection of Social CareAssistive Technologies and EquipmentCommunity based equipment</t>
  </si>
  <si>
    <t>Expansion of technological discharge support, self care and brokerage</t>
  </si>
  <si>
    <t>Stockton-on-Tees27Protection of Social CareAssistive Technologies and EquipmentAssistive technologies including telecare</t>
  </si>
  <si>
    <t>Stockton-on-Tees30Protection of Social CareHome Care or Domiciliary CareDomiciliary care packages</t>
  </si>
  <si>
    <t>Packages of dom care on new review team pathways</t>
  </si>
  <si>
    <t>Stockton-on-Tees31Protection of Social CareResidential PlacementsExtra care</t>
  </si>
  <si>
    <t>Winter Capacity Funding</t>
  </si>
  <si>
    <t>Stockton-on-Tees36DFGDFG Related SchemesAdaptations, including statutory DFG grants</t>
  </si>
  <si>
    <t>Expansion of equipment catalogue to meet complex discharges incl bariatric support</t>
  </si>
  <si>
    <t>Stockton-on-Tees37DFGDFG Related SchemesDiscretionary use of DFG</t>
  </si>
  <si>
    <t>Hospital discharge external reablement service</t>
  </si>
  <si>
    <t>Reablement bed 6 wk LOS</t>
  </si>
  <si>
    <t>Stockton-on-Tees42Improved Better Care FundResidential PlacementsCare home</t>
  </si>
  <si>
    <t>Hospital discharge internal reablement service</t>
  </si>
  <si>
    <t>Stockton-on-Tees45Safeguarding Social WorkerWorkforce recruitment and retention</t>
  </si>
  <si>
    <t>Safeguarding Social Worker</t>
  </si>
  <si>
    <t>Provision of services that respond to the needs of carers, offering peace of mind and understanding</t>
  </si>
  <si>
    <t>Carers' support services</t>
  </si>
  <si>
    <t>Stockton-on-Tees46Additional support for DOLS assessmentsWorkforce recruitment and retention</t>
  </si>
  <si>
    <t>Additional support for DOLS assessments</t>
  </si>
  <si>
    <t>Grants to people with disabilities in order to provide adaptations to their homes</t>
  </si>
  <si>
    <t>Number of adaptations</t>
  </si>
  <si>
    <t>Stockton-on-Tees47Additional support Complex MH needsWorkforce recruitment and retention</t>
  </si>
  <si>
    <t>Additional support Complex MH needs</t>
  </si>
  <si>
    <t>To reduce delays in reablement</t>
  </si>
  <si>
    <t>Stockton-on-Tees48Home care - Discharge ServicesHome Care or Domiciliary CareDomiciliary care to support hospital discharge (Discharge to Assess pathway 1)</t>
  </si>
  <si>
    <t>Home care - Discharge Services</t>
  </si>
  <si>
    <t>Carers lead/link worker</t>
  </si>
  <si>
    <t>Stockton-on-Tees50Tees Community Equipment ServicesAssistive Technologies and EquipmentCommunity based equipment</t>
  </si>
  <si>
    <t>Stockton-on-Tees52Therapy workforce capcityWorkforce recruitment and retention</t>
  </si>
  <si>
    <t>Therapy workforce capcity</t>
  </si>
  <si>
    <t>Stockton-on-Tees56Discharge bedsBed based intermediate Care Services (Reablement, rehabilitation, wider short-term services supporting recovery)Bed-based intermediate care with rehabilitation (to support discharge)</t>
  </si>
  <si>
    <t>Discharge beds</t>
  </si>
  <si>
    <t>Intermediate Care and Reablement Service</t>
  </si>
  <si>
    <t>Stockton-on-Tees57Discharge bedsBed based intermediate Care Services (Reablement, rehabilitation, wider short-term services supporting recovery)Bed-based intermediate care with rehabilitation (to support discharge)</t>
  </si>
  <si>
    <t>Community Health led rehabilitation service</t>
  </si>
  <si>
    <t>Stockton-on-Tees58Home care - Discharge ServicesHome Care or Domiciliary CareDomiciliary care to support hospital discharge (Discharge to Assess pathway 1)</t>
  </si>
  <si>
    <t>Stockton-on-Tees60Carers Service in hospitalCarers ServicesOther</t>
  </si>
  <si>
    <t>Carers Service in hospital</t>
  </si>
  <si>
    <t>Disability aids and mobility equipment</t>
  </si>
  <si>
    <t>Stockton-on-Tees42Improved Better Care FundResidential PlacementsNursing home</t>
  </si>
  <si>
    <t>Stockton-on-Tees42Improved Better Care FundHome Care or Domiciliary CareDomiciliary care packages</t>
  </si>
  <si>
    <t>Aids and adaptations</t>
  </si>
  <si>
    <t>Stoke-on-Trent1Hospital discharge: In-hospital supportBed based intermediate Care Services (Reablement, rehabilitation, wider short-term services supporting recovery)Bed-based intermediate care with reablement (to support discharge)</t>
  </si>
  <si>
    <t>Hospital discharge: In-hospital support</t>
  </si>
  <si>
    <t>Nursing Care Home Placements</t>
  </si>
  <si>
    <t xml:space="preserve">Stoke-on-Trent1Hospital discharge: In-hospital supportHome-based intermediate care servicesReablement at home (to support discharge) </t>
  </si>
  <si>
    <t>Night sitting as part of EOLC service</t>
  </si>
  <si>
    <t>Stoke-on-Trent2Hospital discharge: Out-of-hospital supportHome Care or Domiciliary CareOther</t>
  </si>
  <si>
    <t>Hospital discharge: Out-of-hospital support</t>
  </si>
  <si>
    <t>Specialist support to support at home at end of life</t>
  </si>
  <si>
    <t xml:space="preserve">Stoke-on-Trent3Reablement, enablement and intermediate careHome-based intermediate care servicesReablement at home (to support discharge) </t>
  </si>
  <si>
    <t>Reablement, enablement and intermediate care</t>
  </si>
  <si>
    <t>Assistive Technology to maximise independence at home</t>
  </si>
  <si>
    <t>Stoke-on-Trent3Reablement, enablement and intermediate careHome-based intermediate care servicesReablement at home (to prevent admission to hospital or residential care)</t>
  </si>
  <si>
    <t>Support to carers and young carers</t>
  </si>
  <si>
    <t>Stoke-on-Trent3Reablement, enablement and intermediate careBed based intermediate Care Services (Reablement, rehabilitation, wider short-term services supporting recovery)Bed-based intermediate care with reablement (to support discharge)</t>
  </si>
  <si>
    <t>SMBC  -  Carers Services</t>
  </si>
  <si>
    <t>Carers information, advice and support</t>
  </si>
  <si>
    <t>Stoke-on-Trent4Occupational therapy, equipment, technology and AIDFG Related SchemesAdaptations, including statutory DFG grants</t>
  </si>
  <si>
    <t>Occupational therapy, equipment, technology and AI</t>
  </si>
  <si>
    <t>Various independent sector providers - Care at home</t>
  </si>
  <si>
    <t>Stoke-on-Trent4Occupational therapy, equipment, technology and AIAssistive Technologies and EquipmentAssistive technologies including telecare</t>
  </si>
  <si>
    <t>SMBC and independent sector - Reablement Service provided by SMBC</t>
  </si>
  <si>
    <t>Stoke-on-Trent4Occupational therapy, equipment, technology and AIAssistive Technologies and EquipmentCommunity based equipment</t>
  </si>
  <si>
    <t>Early Response Service to avoid admission</t>
  </si>
  <si>
    <t>Stoke-on-Trent5Enhanced dementia and delirium supportResidential PlacementsCare home</t>
  </si>
  <si>
    <t>Enhanced dementia and delirium support</t>
  </si>
  <si>
    <t>Solihull Care - 14 D2A Nursing beds and Residential beds plus LA Contribution towards 15 Dementia Nursing beds</t>
  </si>
  <si>
    <t>Stoke-on-Trent6Provider market development and admission avoidanceHome Care or Domiciliary CareDomiciliary care packages</t>
  </si>
  <si>
    <t>Provider market development and admission avoidance</t>
  </si>
  <si>
    <t>Various independent Sector Providers - Residential and Nursing Home Services</t>
  </si>
  <si>
    <t>Stoke-on-Trent6Provider market development and admission avoidanceCarers ServicesCarer advice and support related to Care Act duties</t>
  </si>
  <si>
    <t>Various providers - Essential housing adaptations to enable people to stay in their own homes.</t>
  </si>
  <si>
    <t>Stoke-on-Trent6Provider market development and admission avoidanceResidential PlacementsCare home</t>
  </si>
  <si>
    <t>Cost pressures on  residential care driven by national living wage</t>
  </si>
  <si>
    <t>Stoke-on-Trent7Falls response and preventionAssistive Technologies and EquipmentAssistive technologies including telecare</t>
  </si>
  <si>
    <t>Falls response and prevention</t>
  </si>
  <si>
    <t>6 Intermediate Care beds</t>
  </si>
  <si>
    <t>Stoke-on-Trent8Voluntary, Community and Faith sector developmentAssistive Technologies and EquipmentDigital participation services</t>
  </si>
  <si>
    <t>Voluntary, Community and Faith sector development</t>
  </si>
  <si>
    <t>NHS Contribution towards 15 Dementia Nursing beds</t>
  </si>
  <si>
    <t>Stoke-on-Trent8Voluntary, Community and Faith sector developmentDFG Related SchemesDiscretionary use of DFG</t>
  </si>
  <si>
    <t>(Brought Forward)</t>
  </si>
  <si>
    <t xml:space="preserve">Suffolk2I&amp;E Home FirstHome-based intermediate care servicesReablement at home (to support discharge) </t>
  </si>
  <si>
    <t>I&amp;E Home First</t>
  </si>
  <si>
    <t>Suffolk3I&amp;E Residential CareResidential PlacementsCare home</t>
  </si>
  <si>
    <t>I&amp;E Residential Care</t>
  </si>
  <si>
    <t>SMBC - Community Equipment Loan Service</t>
  </si>
  <si>
    <t>Suffolk4I&amp;E Support for Carers Carers ServicesCarer advice and support related to Care Act duties</t>
  </si>
  <si>
    <t xml:space="preserve">I&amp;E Support for Carers </t>
  </si>
  <si>
    <t>UHB - Wide ranging service that brings together former Community Nursing, Community Matrons and Single Point of Access Services.</t>
  </si>
  <si>
    <t>Suffolk5I&amp;E Care Act CommitmentsCarers ServicesRespite services</t>
  </si>
  <si>
    <t>I&amp;E Care Act Commitments</t>
  </si>
  <si>
    <t>UHB - Service to patients at the point of crisis 24/7.  Links with 999, 111 and GP services.</t>
  </si>
  <si>
    <t>Suffolk7I&amp;E Demand - home careHome Care or Domiciliary CareDomiciliary care packages</t>
  </si>
  <si>
    <t>I&amp;E Demand - home care</t>
  </si>
  <si>
    <t>BCHC - Service to patients at the point of crisis 24/7.  Links with 999, 111 and GP services.</t>
  </si>
  <si>
    <t>Suffolk9West Home FirstHome-based intermediate care servicesRehabilitation at home (accepting step up and step down users)</t>
  </si>
  <si>
    <t>West Home First</t>
  </si>
  <si>
    <t>BUPA- 20 intermediate care  beds at ALC/ ALG Nursing Homes</t>
  </si>
  <si>
    <t>Suffolk10West Residential CareResidential PlacementsCare home</t>
  </si>
  <si>
    <t>West Residential Care</t>
  </si>
  <si>
    <t>UHB - Geriatrician cover for pathway 2 beds</t>
  </si>
  <si>
    <t>Suffolk11West Support for CarersCarers ServicesCarer advice and support related to Care Act duties</t>
  </si>
  <si>
    <t>West Support for Carers</t>
  </si>
  <si>
    <t xml:space="preserve">UHB - Geriatric Medicine inpatient admissions at West Heath and Willows Dementia Unit. Enables effective, timely discharge, reduces readmissions, and prevents unnecessary admissions. </t>
  </si>
  <si>
    <t>Suffolk12West Care Act CommitmentsCarers ServicesRespite services</t>
  </si>
  <si>
    <t>West Care Act Commitments</t>
  </si>
  <si>
    <t>SMBC - Community Wheelchair service</t>
  </si>
  <si>
    <t>Suffolk13West Demand - home careHome Care or Domiciliary CareDomiciliary care to support hospital discharge (Discharge to Assess pathway 1)</t>
  </si>
  <si>
    <t>West Demand - home care</t>
  </si>
  <si>
    <t>Suffolk14N&amp;W Care Act CommitmentsCarers ServicesRespite services</t>
  </si>
  <si>
    <t>N&amp;W Care Act Commitments</t>
  </si>
  <si>
    <t>Increased capacity to enable timely return home with support, and explore potential to link with enhanced primary and community health care offer</t>
  </si>
  <si>
    <t>Suffolk15N&amp;W Care at HomeHome Care or Domiciliary CareDomiciliary care packages</t>
  </si>
  <si>
    <t>N&amp;W Care at Home</t>
  </si>
  <si>
    <t>CES support staff</t>
  </si>
  <si>
    <t>Suffolk16N&amp;W Residential CareResidential PlacementsCare home</t>
  </si>
  <si>
    <t>N&amp;W Residential Care</t>
  </si>
  <si>
    <t>Allow monitoring, support, and interaction for people with care needs</t>
  </si>
  <si>
    <t>Suffolk18N&amp;W Home FirstHome-based intermediate care servicesReablement at home (accepting step up and step down users)</t>
  </si>
  <si>
    <t>N&amp;W Home First</t>
  </si>
  <si>
    <t>Contribution to P2 Beds</t>
  </si>
  <si>
    <t>Suffolk20I&amp;E Demand - HomecareHome Care or Domiciliary CareDomiciliary care packages</t>
  </si>
  <si>
    <t>I&amp;E Demand - Homecare</t>
  </si>
  <si>
    <t>Suffolk23I&amp;E Local Scheme - Demand - HomecareHome Care or Domiciliary CareDomiciliary care packages</t>
  </si>
  <si>
    <t>I&amp;E Local Scheme - Demand - Homecare</t>
  </si>
  <si>
    <t>Suffolk29West Demand - HomecareHome Care or Domiciliary CareDomiciliary care packages</t>
  </si>
  <si>
    <t>West Demand - Homecare</t>
  </si>
  <si>
    <t>Out of hospital care and support</t>
  </si>
  <si>
    <t>Suffolk30West Local Scheme - Reablement SupportHome-based intermediate care servicesReablement at home (accepting step up and step down users)</t>
  </si>
  <si>
    <t>West Local Scheme - Reablement Support</t>
  </si>
  <si>
    <t>Suffolk34N&amp;W Demand - HomecareHome Care or Domiciliary CareDomiciliary care packages</t>
  </si>
  <si>
    <t>N&amp;W Demand - Homecare</t>
  </si>
  <si>
    <t>Nursing home pressures, nursing home fees and interim beds</t>
  </si>
  <si>
    <t>Mixed provision</t>
  </si>
  <si>
    <t>Suffolk36N&amp;W Demand - HomecareHome Care or Domiciliary CareDomiciliary care to support hospital discharge (Discharge to Assess pathway 1)</t>
  </si>
  <si>
    <t>NHS additional contribution to community equipment</t>
  </si>
  <si>
    <t>Suffolk38N&amp;W Local Scheme - Demand - HomecareHome Care or Domiciliary CareDomiciliary care packages</t>
  </si>
  <si>
    <t>N&amp;W Local Scheme - Demand - Homecare</t>
  </si>
  <si>
    <t>NHS contribution to the Carers Support Service</t>
  </si>
  <si>
    <t>Whole county service</t>
  </si>
  <si>
    <t>Suffolk39I&amp;E Disabled Facilities GrantDFG Related SchemesAdaptations, including statutory DFG grants</t>
  </si>
  <si>
    <t>I&amp;E Disabled Facilities Grant</t>
  </si>
  <si>
    <t>Funding to support budget pressures in light of increasing number of people living with a learning disabiltiy and living longer</t>
  </si>
  <si>
    <t>Suffolk40West Disabled Facilities GrantDFG Related SchemesAdaptations, including statutory DFG grants</t>
  </si>
  <si>
    <t>West Disabled Facilities Grant</t>
  </si>
  <si>
    <t>alcohol/ drug support</t>
  </si>
  <si>
    <t>Suffolk41N&amp;W Disabled Facilities GrantDFG Related SchemesAdaptations, including statutory DFG grants</t>
  </si>
  <si>
    <t>N&amp;W Disabled Facilities Grant</t>
  </si>
  <si>
    <t>Suffolk42I&amp;E Adult ServicesBed based intermediate Care Services (Reablement, rehabilitation, wider short-term services supporting recovery)Bed-based intermediate care with reablement accepting step up and step down users</t>
  </si>
  <si>
    <t>I&amp;E Adult Services</t>
  </si>
  <si>
    <t>carers advice and breaks</t>
  </si>
  <si>
    <t>Suffolk43I&amp;E Adult ServicesBed based intermediate Care Services (Reablement, rehabilitation, wider short-term services supporting recovery)Bed-based intermediate care with reablement accepting step up and step down users</t>
  </si>
  <si>
    <t>Suffolk44I&amp;E Adult ServicesBed based intermediate Care Services (Reablement, rehabilitation, wider short-term services supporting recovery)Bed-based intermediate care with rehabilitation accepting step up and step down users</t>
  </si>
  <si>
    <t>Suffolk49I&amp;E Adult ServicesBed based intermediate Care Services (Reablement, rehabilitation, wider short-term services supporting recovery)Bed-based intermediate care with reablement accepting step up and step down users</t>
  </si>
  <si>
    <t>Suffolk53I&amp;E Care Act CommitmentsCarers ServicesCarer advice and support related to Care Act duties</t>
  </si>
  <si>
    <t>Suffolk54I&amp;E Care Act CommitmentsCarers ServicesCarer advice and support related to Care Act duties</t>
  </si>
  <si>
    <t>Suffolk55West Adult ServicesBed based intermediate Care Services (Reablement, rehabilitation, wider short-term services supporting recovery)Bed-based intermediate care with reablement accepting step up and step down users</t>
  </si>
  <si>
    <t>West Adult Services</t>
  </si>
  <si>
    <t>Suffolk56West Adult ServicesBed based intermediate Care Services (Reablement, rehabilitation, wider short-term services supporting recovery)Bed-based intermediate care with rehabilitation accepting step up and step down users</t>
  </si>
  <si>
    <t>Suffolk61West Care Act CommitmentsCarers ServicesCarer advice and support related to Care Act duties</t>
  </si>
  <si>
    <t>Suffolk62West Care Act CommitmentsCarers ServicesCarer advice and support related to Care Act duties</t>
  </si>
  <si>
    <t>Suffolk63West Community BedsBed based intermediate Care Services (Reablement, rehabilitation, wider short-term services supporting recovery)Bed-based intermediate care with reablement accepting step up and step down users</t>
  </si>
  <si>
    <t>West Community Beds</t>
  </si>
  <si>
    <t>Suffolk65N&amp;W Integrated Community Equipment Service (ICES)Assistive Technologies and EquipmentCommunity based equipment</t>
  </si>
  <si>
    <t>N&amp;W Integrated Community Equipment Service (ICES)</t>
  </si>
  <si>
    <t>Suffolk76N&amp;W Carers respiteCarers ServicesCarer advice and support related to Care Act duties</t>
  </si>
  <si>
    <t>N&amp;W Carers respite</t>
  </si>
  <si>
    <t>Suffolk77N&amp;W Continuing Health CareHome Care or Domiciliary CareOther</t>
  </si>
  <si>
    <t>N&amp;W Continuing Health Care</t>
  </si>
  <si>
    <t>Suffolk78N&amp;W Continuing Health CareResidential PlacementsOther</t>
  </si>
  <si>
    <t>Suffolk79i&amp;E HomeFirst expansionHome-based intermediate care servicesRehabilitation at home (to support discharge)</t>
  </si>
  <si>
    <t>i&amp;E HomeFirst expansion</t>
  </si>
  <si>
    <t>Suffolk81I&amp;E External reablementHome-based intermediate care servicesRehabilitation at home (to support discharge)</t>
  </si>
  <si>
    <t>I&amp;E External reablement</t>
  </si>
  <si>
    <t>Suffolk82I&amp;E Commission floating support service to aid reablement activity, aimed at short term bed based offers of care Bed based intermediate Care Services (Reablement, rehabilitation, wider short-term services supporting recovery)Bed-based intermediate care with reablement (to support discharge)</t>
  </si>
  <si>
    <t xml:space="preserve">I&amp;E Commission floating support service to aid reablement activity, aimed at short term bed based offers of care </t>
  </si>
  <si>
    <t>Suffolk84I&amp;E Avocet Court beds (31 beds Apr-Jun, 25 beds Jul-Mar)Bed based intermediate Care Services (Reablement, rehabilitation, wider short-term services supporting recovery)Bed-based intermediate care with rehabilitation (to support discharge)</t>
  </si>
  <si>
    <t>I&amp;E Avocet Court beds (31 beds Apr-Jun, 25 beds Jul-Mar)</t>
  </si>
  <si>
    <t>Suffolk85I&amp;E LD&amp;A/MH reablementHome-based intermediate care servicesRehabilitation at home (to support discharge)</t>
  </si>
  <si>
    <t>I&amp;E LD&amp;A/MH reablement</t>
  </si>
  <si>
    <t>Suffolk86West HomeFirst expansionHome-based intermediate care servicesRehabilitation at home (to support discharge)</t>
  </si>
  <si>
    <t>West HomeFirst expansion</t>
  </si>
  <si>
    <t>Suffolk88West x 18 Community Beds including complex beds.Bed based intermediate Care Services (Reablement, rehabilitation, wider short-term services supporting recovery)Bed-based intermediate care with reablement (to support discharge)</t>
  </si>
  <si>
    <t>West x 18 Community Beds including complex beds.</t>
  </si>
  <si>
    <t>Suffolk89West LD&amp;A/MH reablementHome-based intermediate care servicesRehabilitation at home (to support discharge)</t>
  </si>
  <si>
    <t>West LD&amp;A/MH reablement</t>
  </si>
  <si>
    <t xml:space="preserve"> </t>
  </si>
  <si>
    <t>Suffolk92N&amp;W Partnership BedsResidential PlacementsCare home</t>
  </si>
  <si>
    <t>N&amp;W Partnership Beds</t>
  </si>
  <si>
    <t xml:space="preserve">Suffolk93N&amp;W Complex Needs Support at HomeHome-based intermediate care servicesReablement at home (to support discharge) </t>
  </si>
  <si>
    <t>N&amp;W Complex Needs Support at Home</t>
  </si>
  <si>
    <t>Contribution to Dom Care Block</t>
  </si>
  <si>
    <t>Suffolk94N&amp;W Homebased-reablementHome-based intermediate care servicesRehabilitation at home (to support discharge)</t>
  </si>
  <si>
    <t>N&amp;W Homebased-reablement</t>
  </si>
  <si>
    <t xml:space="preserve">OT Tech Worker </t>
  </si>
  <si>
    <t>Suffolk95N&amp;W Homebased-reablementHome-based intermediate care servicesRehabilitation at home (to support discharge)</t>
  </si>
  <si>
    <t>Substance misuse</t>
  </si>
  <si>
    <t>Suffolk96N&amp;W Short term res bedsResidential PlacementsCare home</t>
  </si>
  <si>
    <t>N&amp;W Short term res beds</t>
  </si>
  <si>
    <t>Suffolk97N&amp;W Kirkley Discharge BedsBed based intermediate Care Services (Reablement, rehabilitation, wider short-term services supporting recovery)Bed-based intermediate care with reablement (to support discharge)</t>
  </si>
  <si>
    <t>N&amp;W Kirkley Discharge Beds</t>
  </si>
  <si>
    <t>Suffolk98N&amp;W Ritson Discharge BedsBed based intermediate Care Services (Reablement, rehabilitation, wider short-term services supporting recovery)Bed-based intermediate care with reablement (to support discharge)</t>
  </si>
  <si>
    <t>N&amp;W Ritson Discharge Beds</t>
  </si>
  <si>
    <t>Suffolk99N&amp;W Wickham Discharge BedsResidential PlacementsCare home</t>
  </si>
  <si>
    <t>N&amp;W Wickham Discharge Beds</t>
  </si>
  <si>
    <t>Suffolk100N&amp;W MDT Support for East BedsBed based intermediate Care Services (Reablement, rehabilitation, wider short-term services supporting recovery)Bed-based intermediate care with reablement (to support discharge)</t>
  </si>
  <si>
    <t>N&amp;W MDT Support for East Beds</t>
  </si>
  <si>
    <t xml:space="preserve">Community Equiptment </t>
  </si>
  <si>
    <t>Suffolk102N&amp;W Bridging the Gap EastHome-based intermediate care servicesRehabilitation at home (to support discharge)</t>
  </si>
  <si>
    <t>N&amp;W Bridging the Gap East</t>
  </si>
  <si>
    <t>Telecare / assisted tech</t>
  </si>
  <si>
    <t>Sunderland3Living WellAssistive Technologies and EquipmentAssistive technologies including telecare</t>
  </si>
  <si>
    <t>Living Well</t>
  </si>
  <si>
    <t>Sunderland3Living WellAssistive Technologies and EquipmentCommunity based equipment</t>
  </si>
  <si>
    <t>respite</t>
  </si>
  <si>
    <t>Sunderland3Living WellCarers ServicesCarer advice and support related to Care Act duties</t>
  </si>
  <si>
    <t xml:space="preserve">Carers funding </t>
  </si>
  <si>
    <t xml:space="preserve">Provides support to carers </t>
  </si>
  <si>
    <t>Sunderland4Ageing WellHome Care or Domiciliary CareDomiciliary care packages</t>
  </si>
  <si>
    <t>Ageing Well</t>
  </si>
  <si>
    <t>home care / overnight</t>
  </si>
  <si>
    <t>Sunderland3Living WellBed based intermediate Care Services (Reablement, rehabilitation, wider short-term services supporting recovery)Bed-based intermediate care with reablement (to support discharge)</t>
  </si>
  <si>
    <t>Sunderland3Living WellBed based intermediate Care Services (Reablement, rehabilitation, wider short-term services supporting recovery)Bed-based intermediate care with rehabilitation accepting step up and step down users</t>
  </si>
  <si>
    <t xml:space="preserve">Sunderland4Ageing WellHome-based intermediate care servicesReablement at home (to support discharge) </t>
  </si>
  <si>
    <t>Intensive home support</t>
  </si>
  <si>
    <t>Sunderland4Ageing WellResidential PlacementsExtra care</t>
  </si>
  <si>
    <t>Adaptions</t>
  </si>
  <si>
    <t>Sunderland1Mental Health, Learning Disabilities and AutismResidential PlacementsOther</t>
  </si>
  <si>
    <t>Mental Health, Learning Disabilities and Autism</t>
  </si>
  <si>
    <t>Sunderland3Living WellDFG Related SchemesAdaptations, including statutory DFG grants</t>
  </si>
  <si>
    <t>Sunderland3Living WellDFG Related SchemesHandyperson services</t>
  </si>
  <si>
    <t>wheelchair services</t>
  </si>
  <si>
    <t>Sunderland3Living WellDFG Related SchemesOther</t>
  </si>
  <si>
    <t>Sunderland4Ageing WellHome Care or Domiciliary CareDomiciliary care to support hospital discharge (Discharge to Assess pathway 1)</t>
  </si>
  <si>
    <t>Sunderland3Living WellBed based intermediate Care Services (Reablement, rehabilitation, wider short-term services supporting recovery)Bed-based intermediate care with rehabilitation (to support discharge)</t>
  </si>
  <si>
    <t>Sunderland5Urgent CareHome-based intermediate care servicesReablement at home (to prevent admission to hospital or residential care)</t>
  </si>
  <si>
    <t>Urgent Care</t>
  </si>
  <si>
    <t>reablement ibed based within extra care</t>
  </si>
  <si>
    <t>Bed based reablement</t>
  </si>
  <si>
    <t>Sunderland4Ageing WellCarers ServicesOther</t>
  </si>
  <si>
    <t>health provision for reablement</t>
  </si>
  <si>
    <t>Sunderland5Urgent CareBed based intermediate Care Services (Reablement, rehabilitation, wider short-term services supporting recovery)Bed-based intermediate care with reablement accepting step up and step down users</t>
  </si>
  <si>
    <t>Sunderland2Mental Health, Learning Disabilities and AutismResidential PlacementsSupported housing</t>
  </si>
  <si>
    <t>LD Placements/Packages</t>
  </si>
  <si>
    <t>Sunderland3Living WellHome-based intermediate care servicesReablement at home (to prevent admission to hospital or residential care)</t>
  </si>
  <si>
    <t xml:space="preserve">Sunderland5Urgent CareHome-based intermediate care servicesReablement at home (to support discharge) </t>
  </si>
  <si>
    <t>Advice and Support for all Carers</t>
  </si>
  <si>
    <t>Sunderland2Mental Health, Learning Disabilities and AutismBed based intermediate Care Services (Reablement, rehabilitation, wider short-term services supporting recovery)Bed-based intermediate care with rehabilitation (to support discharge)</t>
  </si>
  <si>
    <t>Aids to Independence - Joint Equipment store</t>
  </si>
  <si>
    <t>Sunderland2Mental Health, Learning Disabilities and AutismResidential PlacementsOther</t>
  </si>
  <si>
    <t>Aids to Independence - Disabled Facility Garant</t>
  </si>
  <si>
    <t>Sunderland4Ageing WellHome-based intermediate care servicesReablement at home (to prevent admission to hospital or residential care)</t>
  </si>
  <si>
    <t>Improved Better Care fund</t>
  </si>
  <si>
    <t>Sunderland4Ageing WellResidential PlacementsCare home</t>
  </si>
  <si>
    <t xml:space="preserve">Sunderland4Urgent CareHome-based intermediate care servicesReablement at home (to support discharge) </t>
  </si>
  <si>
    <t>Aids to Independence - Joint Equipment store &amp; Wheelchairs</t>
  </si>
  <si>
    <t>Surrey4ES 2 - Carers FundingCarers ServicesRespite services</t>
  </si>
  <si>
    <t>ES 2 - Carers Funding</t>
  </si>
  <si>
    <t xml:space="preserve">Short term intermediate care beds, therapy/ recovery led model of support (30 assessment) </t>
  </si>
  <si>
    <t>Surrey9ES 7 - Tech to ConnectAssistive Technologies and EquipmentDigital participation services</t>
  </si>
  <si>
    <t>ES 7 - Tech to Connect</t>
  </si>
  <si>
    <t xml:space="preserve">Personal care at home to maximise independence at home </t>
  </si>
  <si>
    <t>Surrey13ES 11 - TECSAssistive Technologies and EquipmentAssistive technologies including telecare</t>
  </si>
  <si>
    <t>ES 11 - TECS</t>
  </si>
  <si>
    <t>A community-based dementia support offer to support those living with dementia and their carers to live well and as independently as possible in the community.</t>
  </si>
  <si>
    <t>Surrey18ES 15 - Community EquipmentAssistive Technologies and EquipmentCommunity based equipment</t>
  </si>
  <si>
    <t>ES 15 - Community Equipment</t>
  </si>
  <si>
    <t>Unpaid carers support service providing practical and emotional support</t>
  </si>
  <si>
    <t>Surrey21ES 18 - Disabled Facilities GrantDFG Related SchemesAdaptations, including statutory DFG grants</t>
  </si>
  <si>
    <t>ES 18 - Disabled Facilities Grant</t>
  </si>
  <si>
    <t>Provision of residential care for those 65 and over</t>
  </si>
  <si>
    <t>Surrey22ES 19 - Improve BCF 23/24Residential PlacementsOther</t>
  </si>
  <si>
    <t>ES 19 - Improve BCF 23/24</t>
  </si>
  <si>
    <t>Surrey23Discharge Fund - Surrey Heartlands Pathway 1Home Care or Domiciliary CareDomiciliary care to support hospital discharge (Discharge to Assess pathway 1)</t>
  </si>
  <si>
    <t>Discharge Fund - Surrey Heartlands Pathway 1</t>
  </si>
  <si>
    <t>Provision of reablement through therapy led goal setting</t>
  </si>
  <si>
    <t>Surrey25ES 22 - D2A contributionHome Care or Domiciliary CareDomiciliary care to support hospital discharge (Discharge to Assess pathway 1)</t>
  </si>
  <si>
    <t>ES 22 - D2A contribution</t>
  </si>
  <si>
    <t>Capital Disabled Facilities</t>
  </si>
  <si>
    <t>Surrey29GW 2 - Carers FundingCarers ServicesRespite services</t>
  </si>
  <si>
    <t>GW 2 - Carers Funding</t>
  </si>
  <si>
    <t>Surrey38GW 11 - D2A fundingHome Care or Domiciliary CareDomiciliary care to support hospital discharge (Discharge to Assess pathway 1)</t>
  </si>
  <si>
    <t>GW 11 - D2A funding</t>
  </si>
  <si>
    <t>Surrey45GW 18 - TECSAssistive Technologies and EquipmentAssistive technologies including telecare</t>
  </si>
  <si>
    <t>GW 18 - TECS</t>
  </si>
  <si>
    <t>Surrey50GW 22 - Community EquipmentAssistive Technologies and EquipmentCommunity based equipment</t>
  </si>
  <si>
    <t>GW 22 - Community Equipment</t>
  </si>
  <si>
    <t xml:space="preserve">Community health services enhanced rapid response and @home service </t>
  </si>
  <si>
    <t>Surrey54GW 26 - Disabled Facilities GrantDFG Related SchemesAdaptations, including statutory DFG grants</t>
  </si>
  <si>
    <t>GW 26 - Disabled Facilities Grant</t>
  </si>
  <si>
    <t>ICES Contract - CCG costs - BCF additional contribution</t>
  </si>
  <si>
    <t>Surrey55GW 27 - Improve BCF 23/24Residential PlacementsOther</t>
  </si>
  <si>
    <t>GW 27 - Improve BCF 23/24</t>
  </si>
  <si>
    <t>ICES Contract - CCG costs - BCF core contribution</t>
  </si>
  <si>
    <t>Surrey56Discharge Fund - Surrey Heartlands Pathway 2Bed based intermediate Care Services (Reablement, rehabilitation, wider short-term services supporting recovery)Bed-based intermediate care with rehabilitation (to support discharge)</t>
  </si>
  <si>
    <t>Discharge Fund - Surrey Heartlands Pathway 2</t>
  </si>
  <si>
    <t>Surrey61SD 2 - Carers FundingCarers ServicesRespite services</t>
  </si>
  <si>
    <t>SD 2 - Carers Funding</t>
  </si>
  <si>
    <t>Residential and Nursing Placements</t>
  </si>
  <si>
    <t>Surrey70SD 11 - D2A fundingHome Care or Domiciliary CareDomiciliary care to support hospital discharge (Discharge to Assess pathway 1)</t>
  </si>
  <si>
    <t>SD 11 - D2A funding</t>
  </si>
  <si>
    <t>Surrey71SD 12 - Tech to ConnectAssistive Technologies and EquipmentDigital participation services</t>
  </si>
  <si>
    <t>SD 12 - Tech to Connect</t>
  </si>
  <si>
    <t>Nursing and reablement placements</t>
  </si>
  <si>
    <t>Surrey76SD 17 - TECSAssistive Technologies and EquipmentAssistive technologies including telecare</t>
  </si>
  <si>
    <t>SD 17 - TECS</t>
  </si>
  <si>
    <t>Surrey81SD 21 - Community EquipmentAssistive Technologies and EquipmentCommunity based equipment</t>
  </si>
  <si>
    <t>SD 21 - Community Equipment</t>
  </si>
  <si>
    <t>Surrey84SD 25 - Disabled Facilities GrantDFG Related SchemesAdaptations, including statutory DFG grants</t>
  </si>
  <si>
    <t>SD 25 - Disabled Facilities Grant</t>
  </si>
  <si>
    <t>Surrey85SD 26 - Improve BCF 23/24Residential PlacementsOther</t>
  </si>
  <si>
    <t>SD 26 - Improve BCF 23/24</t>
  </si>
  <si>
    <t>Surrey91NW 2 - Carers FundingCarers ServicesRespite services</t>
  </si>
  <si>
    <t>NW 2 - Carers Funding</t>
  </si>
  <si>
    <t>Support for carers of people with dementia</t>
  </si>
  <si>
    <t>Surrey96NW 7 - D2A fundingHome Care or Domiciliary CareDomiciliary care to support hospital discharge (Discharge to Assess pathway 1)</t>
  </si>
  <si>
    <t>NW 7 - D2A funding</t>
  </si>
  <si>
    <t>Surrey101NW 12 - TECSAssistive Technologies and EquipmentAssistive technologies including telecare</t>
  </si>
  <si>
    <t>NW 12 - TECS</t>
  </si>
  <si>
    <t>Surrey106NW 16 - Community EquipmentAssistive Technologies and EquipmentCommunity based equipment</t>
  </si>
  <si>
    <t>NW 16 - Community Equipment</t>
  </si>
  <si>
    <t>Surrey108NW 18 - Disabled Facilities GrantDFG Related SchemesAdaptations, including statutory DFG grants</t>
  </si>
  <si>
    <t>NW 18 - Disabled Facilities Grant</t>
  </si>
  <si>
    <t>Surrey109NW 19 - Improve BCF 23/24Residential PlacementsOther</t>
  </si>
  <si>
    <t>NW 19 - Improve BCF 23/24</t>
  </si>
  <si>
    <t>Surrey112Discharge Fund - Heartlands SCCHome Care or Domiciliary CareDomiciliary care to support hospital discharge (Discharge to Assess pathway 1)</t>
  </si>
  <si>
    <t>Discharge Fund - Heartlands SCC</t>
  </si>
  <si>
    <t>Surrey113Discharge Fund - Heartlands SCCBed based intermediate Care Services (Reablement, rehabilitation, wider short-term services supporting recovery)Bed-based intermediate care with rehabilitation (to support discharge)</t>
  </si>
  <si>
    <t>Surrey116Discharge Fund - Frimley ICBHome Care or Domiciliary CareDomiciliary care to support hospital discharge (Discharge to Assess pathway 1)</t>
  </si>
  <si>
    <t>Discharge Fund - Frimley ICB</t>
  </si>
  <si>
    <t>Surrey117Discharge Fund - Frimley ICBBed based intermediate Care Services (Reablement, rehabilitation, wider short-term services supporting recovery)Bed-based intermediate care with rehabilitation (to support discharge)</t>
  </si>
  <si>
    <t>Extracare - Flexi-care</t>
  </si>
  <si>
    <t>Surrey118Discharge Fund - Frimley SCCHome Care or Domiciliary CareDomiciliary care to support hospital discharge (Discharge to Assess pathway 1)</t>
  </si>
  <si>
    <t>Discharge Fund - Frimley SCC</t>
  </si>
  <si>
    <t>Surrey119Discharge Fund - Frimley SCCBed based intermediate Care Services (Reablement, rehabilitation, wider short-term services supporting recovery)Bed-based intermediate care with rehabilitation (to support discharge)</t>
  </si>
  <si>
    <t>Surrey120GW 30 - Community Schemes / D2AHome Care or Domiciliary CareDomiciliary care to support hospital discharge (Discharge to Assess pathway 1)</t>
  </si>
  <si>
    <t>GW 30 - Community Schemes / D2A</t>
  </si>
  <si>
    <t>Surrey124SH 2 - Carers FundingCarers ServicesRespite services</t>
  </si>
  <si>
    <t>SH 2 - Carers Funding</t>
  </si>
  <si>
    <t>Further investment into the Nursing Care sector (24/25 subject to review) to allow for a new care home within the borough to populate their beds faster than the contractual obligation in order to speed up the discharge process and have more beds accessible to ease pressure on discharge.</t>
  </si>
  <si>
    <t>Surrey140SH 18 - Community Schemes - Tech PostAssistive Technologies and EquipmentAssistive technologies including telecare</t>
  </si>
  <si>
    <t>SH 18 - Community Schemes - Tech Post</t>
  </si>
  <si>
    <t>Further investment into reablement packages to improve outcomes (24/25 subject to review). This would increase the speed and accessibility of people being discharged into the community.</t>
  </si>
  <si>
    <t>Surrey145SH 23 - TECSAssistive Technologies and EquipmentAssistive technologies including telecare</t>
  </si>
  <si>
    <t>SH 23 - TECS</t>
  </si>
  <si>
    <t>Enhanced investment into double handed care placements (24/25 subject to review) to allow for more effective discharge to an “at home” setting and to ensure we have more beds available in a care home setting.</t>
  </si>
  <si>
    <t>Surrey150SH 27 - Community EquipmentAssistive Technologies and EquipmentCommunity based equipment</t>
  </si>
  <si>
    <t>SH 27 - Community Equipment</t>
  </si>
  <si>
    <t>To fund 7 step down flats in extra care sheltered housing. (24/25 subject to review).This will enable pathway 1 discharges where people cannot return home for various reasons such as blitz clean, needing adaptations or safeguarding concerns.</t>
  </si>
  <si>
    <t>Surrey152SH 29 - Disabled Facilities GrantDFG Related SchemesAdaptations, including statutory DFG grants</t>
  </si>
  <si>
    <t>SH 29 - Disabled Facilities Grant</t>
  </si>
  <si>
    <t>Further investment into the Residential Care sector (24/25 subject to review) to allow for a new provider within the borough to populate their beds faster than the contractual obligation in order</t>
  </si>
  <si>
    <t>Surrey153SH 30 - Improve BCF 23/24Residential PlacementsOther</t>
  </si>
  <si>
    <t>SH 30 - Improve BCF 23/24</t>
  </si>
  <si>
    <t>Careline Services</t>
  </si>
  <si>
    <t>Surrey159NEHF 2 - Carers FundingCarers ServicesRespite services</t>
  </si>
  <si>
    <t>NEHF 2 - Carers Funding</t>
  </si>
  <si>
    <t>Low Vision Service</t>
  </si>
  <si>
    <t>Surrey167NEHF 10 - TECSAssistive Technologies and EquipmentAssistive technologies including telecare</t>
  </si>
  <si>
    <t>NEHF 10 - TECS</t>
  </si>
  <si>
    <t>Transitional Beds in Care Homes</t>
  </si>
  <si>
    <t>Surrey172NEHF 14 - Community EquipmentAssistive Technologies and EquipmentCommunity based equipment</t>
  </si>
  <si>
    <t>NEHF 14 - Community Equipment</t>
  </si>
  <si>
    <t>Surrey174NEHF 16 - Disabled Facilities GrantDFG Related SchemesAdaptations, including statutory DFG grants</t>
  </si>
  <si>
    <t>NEHF 16 - Disabled Facilities Grant</t>
  </si>
  <si>
    <t>Support for local carers</t>
  </si>
  <si>
    <t>Surrey181EB 2 - Carers FundingCarers ServicesRespite services</t>
  </si>
  <si>
    <t>EB 2 - Carers Funding</t>
  </si>
  <si>
    <t>Surrey190EB 11 - TECSAssistive Technologies and EquipmentAssistive technologies including telecare</t>
  </si>
  <si>
    <t>EB 11 - TECS</t>
  </si>
  <si>
    <t>Surrey195EB 15 - Community EquipmentAssistive Technologies and EquipmentCommunity based equipment</t>
  </si>
  <si>
    <t>EB 15 - Community Equipment</t>
  </si>
  <si>
    <t>Surrey197EB 17 - Disabled Facilities GrantDFG Related SchemesAdaptations, including statutory DFG grants</t>
  </si>
  <si>
    <t>EB 17 - Disabled Facilities Grant</t>
  </si>
  <si>
    <t>Respite Placements for 65+</t>
  </si>
  <si>
    <t>Surrey203CW 3 - Protection of Carers ServiceCarers ServicesRespite services</t>
  </si>
  <si>
    <t>CW 3 - Protection of Carers Service</t>
  </si>
  <si>
    <t>Use of DFG for adaptations</t>
  </si>
  <si>
    <t>Surrey204CW 4 -  Protection of Community Equipment Assistive Technologies and EquipmentCommunity based equipment</t>
  </si>
  <si>
    <t xml:space="preserve">CW 4 -  Protection of Community Equipment </t>
  </si>
  <si>
    <t>Domiciliary Care for 65+</t>
  </si>
  <si>
    <t>Surrey207CW 7 - Protection of OP HBCHome Care or Domiciliary CareDomiciliary care packages</t>
  </si>
  <si>
    <t>CW 7 - Protection of OP HBC</t>
  </si>
  <si>
    <t>Sutton4Intermediate Care BedsBed based intermediate Care Services (Reablement, rehabilitation, wider short-term services supporting recovery)Bed-based intermediate care with rehabilitation accepting step up and step down users</t>
  </si>
  <si>
    <t>Sutton7Dymond House Reablement ServiceBed based intermediate Care Services (Reablement, rehabilitation, wider short-term services supporting recovery)Bed-based intermediate care with rehabilitation (to support discharge)</t>
  </si>
  <si>
    <t>Dymond House Reablement Service</t>
  </si>
  <si>
    <t>Sutton8Homecare CostsHome Care or Domiciliary CareDomiciliary care packages</t>
  </si>
  <si>
    <t>Homecare Costs</t>
  </si>
  <si>
    <t>Aids &amp; Adaptations</t>
  </si>
  <si>
    <t>Sutton11Winter Pressures AllocationHome Care or Domiciliary CareDomiciliary care packages</t>
  </si>
  <si>
    <t>Winter Pressures Allocation</t>
  </si>
  <si>
    <t>Sutton18Community Equipment ServicesAssistive Technologies and EquipmentCommunity based equipment</t>
  </si>
  <si>
    <t>Transitional beds in care homes</t>
  </si>
  <si>
    <t>Sutton19Carer SupportCarers ServicesRespite services</t>
  </si>
  <si>
    <t>Avoidance of hospital admissions (Outtputs n/a)</t>
  </si>
  <si>
    <t>Sutton20Carer SupportCarers ServicesCarer advice and support related to Care Act duties</t>
  </si>
  <si>
    <t>Avoidance of hospital admissions</t>
  </si>
  <si>
    <t>Sutton27Disabled Facilities GrantsDFG Related SchemesAdaptations, including statutory DFG grants</t>
  </si>
  <si>
    <t>Sutton31Bed Based CapacityBed based intermediate Care Services (Reablement, rehabilitation, wider short-term services supporting recovery)Bed-based intermediate care with rehabilitation (to support discharge)</t>
  </si>
  <si>
    <t>Bed Based Capacity</t>
  </si>
  <si>
    <t>Sutton32Home Care CapacityHome Care or Domiciliary CareDomiciliary care to support hospital discharge (Discharge to Assess pathway 1)</t>
  </si>
  <si>
    <t>Home Care Capacity</t>
  </si>
  <si>
    <t>Swindon1Discharge from Hospital to Residential HomesResidential PlacementsCare home</t>
  </si>
  <si>
    <t>Discharge from Hospital to Residential Homes</t>
  </si>
  <si>
    <t>Swindon2Effective discharge from hospitalHome Care or Domiciliary CareDomiciliary care packages</t>
  </si>
  <si>
    <t>Effective discharge from hospital</t>
  </si>
  <si>
    <t>Swindon8Carers SupportCarers ServicesRespite services</t>
  </si>
  <si>
    <t>Supported Living placements</t>
  </si>
  <si>
    <t>Swindon9Discharge from Hospital to Nursing HomesResidential PlacementsNursing home</t>
  </si>
  <si>
    <t>Discharge from Hospital to Nursing Homes</t>
  </si>
  <si>
    <t>Swindon10DFGDFG Related SchemesAdaptations, including statutory DFG grants</t>
  </si>
  <si>
    <t>Swindon11Effective discharge from hospitalHome Care or Domiciliary CareDomiciliary care packages</t>
  </si>
  <si>
    <t>Swindon12Discharge from Hospital to Residential HomesResidential PlacementsCare home</t>
  </si>
  <si>
    <t>Swindon13Discharge from Hospital to Nursing HomesResidential PlacementsNursing home</t>
  </si>
  <si>
    <t>Swindon14Home Line Assistive Technologies and EquipmentAssistive technologies including telecare</t>
  </si>
  <si>
    <t xml:space="preserve">Home Line </t>
  </si>
  <si>
    <t>Clinician led domicillary care service supporting people who are considered to be end of life</t>
  </si>
  <si>
    <t>Swindon15Equipment StoresAssistive Technologies and EquipmentCommunity based equipment</t>
  </si>
  <si>
    <t>Equipment Stores</t>
  </si>
  <si>
    <t xml:space="preserve">S75 Agreement in place between SCC and CCG. ICES contract </t>
  </si>
  <si>
    <t>Swindon16Equipment StoresAssistive Technologies and EquipmentOther</t>
  </si>
  <si>
    <t xml:space="preserve">S75 Agreement in place between SCC and CCG.
ICES contract </t>
  </si>
  <si>
    <t>Swindon18Carers SupportCarers ServicesRespite services</t>
  </si>
  <si>
    <t>SCC various contracts for reablement including Nexxus, Iah, MPUFT via ICB lead comissioner, and part of s75 for wrap around support</t>
  </si>
  <si>
    <t>Swindon19Implementation of responsibilitiesCarers ServicesCarer advice and support related to Care Act duties</t>
  </si>
  <si>
    <t>Implementation of responsibilities</t>
  </si>
  <si>
    <t>Home care - private sector</t>
  </si>
  <si>
    <t>Swindon22Effective discharge from hospitalHome Care or Domiciliary CareDomiciliary care packages</t>
  </si>
  <si>
    <t xml:space="preserve">Home care - private sector </t>
  </si>
  <si>
    <t>Swindon23Home First Home Care or Domiciliary CareDomiciliary care to support hospital discharge (Discharge to Assess pathway 1)</t>
  </si>
  <si>
    <t>Home care and Extra Care</t>
  </si>
  <si>
    <t>Swindon24Discharge to AssessBed based intermediate Care Services (Reablement, rehabilitation, wider short-term services supporting recovery)Bed-based intermediate care with reablement (to support discharge)</t>
  </si>
  <si>
    <t>DFG - transfer to districts</t>
  </si>
  <si>
    <t>Transfer to Districts to cover all elements of DFG</t>
  </si>
  <si>
    <t xml:space="preserve">Swindon25Effective discharge from hospitalHome-based intermediate care servicesReablement at home (to support discharge) </t>
  </si>
  <si>
    <t>Shaw Healthcare
D2A commissioned beds to support step up and step down. Referrals coordinared via Track and Triage.</t>
  </si>
  <si>
    <t>Swindon28Discharge from Hospital to Residential HomesResidential PlacementsCare home</t>
  </si>
  <si>
    <t xml:space="preserve">UHDB
Community Hospital D2A beds at Samual Johnson and Sir Robert Peel - step up and step down. </t>
  </si>
  <si>
    <t>Swindon32Equipment storesAssistive Technologies and EquipmentCommunity based equipment</t>
  </si>
  <si>
    <t>Equipment stores</t>
  </si>
  <si>
    <t>Private Sector (individual Care Homes)
D2A beds commissioned within Care Homes to support step up and step down.</t>
  </si>
  <si>
    <t>Tameside1Telecare/TelehealthAssistive Technologies and EquipmentAssistive technologies including telecare</t>
  </si>
  <si>
    <t>Telecare/Telehealth</t>
  </si>
  <si>
    <t>Comissioning of health care tasks from the home care market.</t>
  </si>
  <si>
    <t>Tameside4Integrated Community Equipment ServiceAssistive Technologies and EquipmentCommunity based equipment</t>
  </si>
  <si>
    <t>Private Sector residential care placements in care homes across the county</t>
  </si>
  <si>
    <t>Tameside9Carer Breaks (Adults)Carers ServicesRespite services</t>
  </si>
  <si>
    <t>Carer Breaks (Adults)</t>
  </si>
  <si>
    <t>LD residential placements</t>
  </si>
  <si>
    <t>Tameside17Telecare/TelehealthAssistive Technologies and EquipmentCommunity based equipment</t>
  </si>
  <si>
    <t>Comisisoning of block booked dementia  residential placmeents</t>
  </si>
  <si>
    <t>Tameside18Disabled Facilities GrantDFG Related SchemesAdaptations, including statutory DFG grants</t>
  </si>
  <si>
    <t>Dementia Nursing home placements and suport</t>
  </si>
  <si>
    <t>Tameside19In house Home Care ServiceHome Care or Domiciliary CareDomiciliary care packages</t>
  </si>
  <si>
    <t>In house Home Care Service</t>
  </si>
  <si>
    <t>Independence at Home Service providing both reablement and provider of last resort maintenance following a hospital discharge reablement episode.</t>
  </si>
  <si>
    <t>Tameside24Care Homes - Residential PlacementsResidential PlacementsCare home</t>
  </si>
  <si>
    <t>Care Homes - Residential Placements</t>
  </si>
  <si>
    <t>Step up and Step down reablement services</t>
  </si>
  <si>
    <t>Tameside25Care Home ContractResidential PlacementsCare home</t>
  </si>
  <si>
    <t>Care Home Contract</t>
  </si>
  <si>
    <t>Provision of equipment to support independent living</t>
  </si>
  <si>
    <t>Tameside33Demographic PressuresResidential PlacementsCare home</t>
  </si>
  <si>
    <t>Demographic Pressures</t>
  </si>
  <si>
    <t>One off carers payments and associated staffing costs.</t>
  </si>
  <si>
    <t>Tameside42Care Homes - Residential PlacementsResidential PlacementsCare home</t>
  </si>
  <si>
    <t>Supported accommodation for LD clients.</t>
  </si>
  <si>
    <t>Tameside43Care Homes - Nursing PlacementsResidential PlacementsNursing home</t>
  </si>
  <si>
    <t>Care Homes - Nursing Placements</t>
  </si>
  <si>
    <t>Telecare services</t>
  </si>
  <si>
    <t>Tameside44Home Care - PackagesHome Care or Domiciliary CareDomiciliary care packages</t>
  </si>
  <si>
    <t>Home Care - Packages</t>
  </si>
  <si>
    <t>All aspects of mandatory and discretionary adaptations.</t>
  </si>
  <si>
    <t>Tameside48Intermediate Care Step DownBed based intermediate Care Services (Reablement, rehabilitation, wider short-term services supporting recovery)Bed-based intermediate care with reablement accepting step up and step down users</t>
  </si>
  <si>
    <t>Intermediate Care Step Down</t>
  </si>
  <si>
    <t>To support pathway 2 direct discharge from hospital</t>
  </si>
  <si>
    <t>Tameside51Care Homes - Nursing PlacementsResidential PlacementsNursing home</t>
  </si>
  <si>
    <t>Provides short term respite care placements, mainly for people at home who have complex needs and whose families need a break</t>
  </si>
  <si>
    <t>Tameside52Home Care - PackagesHome Care or Domiciliary CareDomiciliary care packages</t>
  </si>
  <si>
    <t>Contribution to Saffron Ward whichis a 20 bed step down facilitity for patients suffering from predominately delirium, dementia and depression.</t>
  </si>
  <si>
    <t>Telford and Wrekin2Enablement Homecare &amp; BedsHome-based intermediate care servicesRehabilitation at home (to prevent admission to hospital or residential care)</t>
  </si>
  <si>
    <t>Enablement Homecare &amp; Beds</t>
  </si>
  <si>
    <t>Fund to support CHC in the spot purchasing of beds when D2A beds are not available, to enable people to leave hospital in a timely manner. In addition it funds additional 1:1 support where necessary</t>
  </si>
  <si>
    <t>Telford and Wrekin3Enablement Homecare &amp; BedsBed based intermediate Care Services (Reablement, rehabilitation, wider short-term services supporting recovery)Bed-based intermediate care with rehabilitation (to support admission avoidance)</t>
  </si>
  <si>
    <t>Bluebell is a 25-bedded D2A facility managed by Stockport NHS Foundation Trust based at The Meadows</t>
  </si>
  <si>
    <t>Telford and Wrekin4Enablement Homecare &amp; BedsBed based intermediate Care Services (Reablement, rehabilitation, wider short-term services supporting recovery)Bed-based intermediate care with reablement (to support discharge)</t>
  </si>
  <si>
    <t>To support pathway 2 discharges from hospital.</t>
  </si>
  <si>
    <t>Telford and Wrekin5Enablement Homecare &amp; BedsBed based intermediate Care Services (Reablement, rehabilitation, wider short-term services supporting recovery)Bed-based intermediate care with reablement (to support discharge)</t>
  </si>
  <si>
    <t xml:space="preserve">A 44 bedded 24hr residential care home designed to prevent unnecessary hospital admission and to support hospital discharge </t>
  </si>
  <si>
    <t>Telford and Wrekin6Enablement Homecare &amp; BedsBed based intermediate Care Services (Reablement, rehabilitation, wider short-term services supporting recovery)Bed-based intermediate care with reablement (to support discharge)</t>
  </si>
  <si>
    <t>Reablement for people in their own home</t>
  </si>
  <si>
    <t>Telford and Wrekin7DFGDFG Related SchemesAdaptations, including statutory DFG grants</t>
  </si>
  <si>
    <t>Telford and Wrekin8iBCFResidential PlacementsCare home</t>
  </si>
  <si>
    <t>Young Carers Service</t>
  </si>
  <si>
    <t>Telford and Wrekin11Long Term CareResidential PlacementsLearning disability</t>
  </si>
  <si>
    <t>Long Term Care</t>
  </si>
  <si>
    <t>Telford and Wrekin15Preventative ServicesCarers ServicesCarer advice and support related to Care Act duties</t>
  </si>
  <si>
    <t>Preventative Services</t>
  </si>
  <si>
    <t>Telford and Wrekin16Preventative ServicesCarers ServicesCarer advice and support related to Care Act duties</t>
  </si>
  <si>
    <t>OneCall Service inc Falls Technology</t>
  </si>
  <si>
    <t>Telford and Wrekin19Assistive TechnologiesAssistive Technologies and EquipmentCommunity based equipment</t>
  </si>
  <si>
    <t>Homecare Services</t>
  </si>
  <si>
    <t>Telford and Wrekin25Long Term CareResidential PlacementsNursing home</t>
  </si>
  <si>
    <t>Extra Care (purchased in hours)</t>
  </si>
  <si>
    <t>Telford and Wrekin26Long Term CareHome Care or Domiciliary CareDomiciliary care packages</t>
  </si>
  <si>
    <t>Telford and Wrekin28Long Term CareResidential PlacementsCare home</t>
  </si>
  <si>
    <t>Telford and Wrekin33Assistive TechnologiesAssistive Technologies and EquipmentOther</t>
  </si>
  <si>
    <t>Protection of Social Care - Residential Care</t>
  </si>
  <si>
    <t>Telford and Wrekin37Assistive TechnologiesAssistive Technologies and EquipmentAssistive technologies including telecare</t>
  </si>
  <si>
    <t>Additional workforce</t>
  </si>
  <si>
    <t>Telford and Wrekin38Enablement Homecare &amp; BedsHome Care or Domiciliary CareShort term domiciliary care (without reablement input)</t>
  </si>
  <si>
    <t>Telford and Wrekin39Enablement Homecare &amp; BedsHome Care or Domiciliary CareDomiciliary care to support hospital discharge (Discharge to Assess pathway 1)</t>
  </si>
  <si>
    <t>Telford and Wrekin40Enablement Homecare &amp; BedsHome Care or Domiciliary CareDomiciliary care to support hospital discharge (Discharge to Assess pathway 1)</t>
  </si>
  <si>
    <t>Telford and Wrekin41Assistive TechnologiesAssistive Technologies and EquipmentOther</t>
  </si>
  <si>
    <t>Additional resource  to support increased discharge requirements</t>
  </si>
  <si>
    <t>Telford and Wrekin42Enablement Homecare &amp; BedsHome Care or Domiciliary CareDomiciliary care to support hospital discharge (Discharge to Assess pathway 1)</t>
  </si>
  <si>
    <t>Additional therapy workforce to support Intermediate Care Pathway 2 beds</t>
  </si>
  <si>
    <t>Telford and Wrekin43Enablement Homecare &amp; BedsBed based intermediate Care Services (Reablement, rehabilitation, wider short-term services supporting recovery)Bed-based intermediate care with rehabilitation (to support discharge)</t>
  </si>
  <si>
    <t>Community beds - Pathway 2 &amp; 3</t>
  </si>
  <si>
    <t>Telford and Wrekin44Enablement Homecare &amp; BedsBed based intermediate Care Services (Reablement, rehabilitation, wider short-term services supporting recovery)Bed-based intermediate care with rehabilitation (to support discharge)</t>
  </si>
  <si>
    <t>Telford and Wrekin45Enablement Homecare &amp; BedsBed based intermediate Care Services (Reablement, rehabilitation, wider short-term services supporting recovery)Bed-based intermediate care with rehabilitation (to support discharge)</t>
  </si>
  <si>
    <t>Thurrock11MSE ICB - Thurrock Community ServicesBed based intermediate Care Services (Reablement, rehabilitation, wider short-term services supporting recovery)Bed-based intermediate care with reablement accepting step up and step down users</t>
  </si>
  <si>
    <t>MSE ICB - Thurrock Community Services</t>
  </si>
  <si>
    <t>support in hospital</t>
  </si>
  <si>
    <t>Thurrock8MSE ICB - Thurrock Community ServicesHome-based intermediate care servicesRehabilitation at home (accepting step up and step down users)</t>
  </si>
  <si>
    <t>Protection of Social Care - Nursing Care</t>
  </si>
  <si>
    <t>Torbay2Disabled Facilities GrantDFG Related SchemesAdaptations, including statutory DFG grants</t>
  </si>
  <si>
    <t>Protection of Social Care - Care at Home</t>
  </si>
  <si>
    <t>Torbay3Carers ServicesCarers ServicesCarer advice and support related to Care Act duties</t>
  </si>
  <si>
    <t>Care hotels</t>
  </si>
  <si>
    <t>Torbay6Technology Enabled CareAssistive Technologies and EquipmentAssistive technologies including telecare</t>
  </si>
  <si>
    <t>Reablement/Rehabilitation Services
MPFT Home First Contract. Short term (up to 6 weeks) intensive support from a multi-disciplinary team. Support both step up and step down.</t>
  </si>
  <si>
    <t>Torbay8Intermediate Care Baywide - (P&amp;B)Home-based intermediate care servicesOther</t>
  </si>
  <si>
    <t>Intermediate Care Baywide - (P&amp;B)</t>
  </si>
  <si>
    <t xml:space="preserve">Paying Providers to hold packages of care for up to 7 days of hospitalisation and potential to extend past 7 days by exception to pilot minor restarts. Includes funding for administration support for patient tracking purposes </t>
  </si>
  <si>
    <t>Holding packages of care for short term admissions (9% uplift 23/24 and assumed 8% for 24/25)</t>
  </si>
  <si>
    <t>Torbay9Intermediate Care Baywide - (P&amp;B)Bed based intermediate Care Services (Reablement, rehabilitation, wider short-term services supporting recovery)Other</t>
  </si>
  <si>
    <t xml:space="preserve">Torbay11Rapid ResponseHome-based intermediate care servicesReablement at home (to support discharge) </t>
  </si>
  <si>
    <t>Local Authority Enablement/Reablement</t>
  </si>
  <si>
    <t>Torbay13Reablement Block Beds
Intermediate Care
Hewitt / Kingsmount
Bed based intermediate Care Services (Reablement, rehabilitation, wider short-term services supporting recovery)Bed-based intermediate care with rehabilitation (to support discharge)</t>
  </si>
  <si>
    <t xml:space="preserve">Reablement Block Beds
Intermediate Care
Hewitt / Kingsmount
</t>
  </si>
  <si>
    <t>Torbay14Reablement Block Beds
Intermediate Care
Spot Purchase &amp; StaffingBed based intermediate Care Services (Reablement, rehabilitation, wider short-term services supporting recovery)Bed-based intermediate care with rehabilitation (to support discharge)</t>
  </si>
  <si>
    <t>Reablement Block Beds
Intermediate Care
Spot Purchase &amp; Staffing</t>
  </si>
  <si>
    <t>Torbay18Pathway 1
Escalation Care ServiceHome Care or Domiciliary CareDomiciliary care to support hospital discharge (Discharge to Assess pathway 1)</t>
  </si>
  <si>
    <t>Pathway 1
Escalation Care Service</t>
  </si>
  <si>
    <t>D2A Care Homes</t>
  </si>
  <si>
    <t>Torbay19Pathway 2
Block Contract Beds in the CommunityBed based intermediate Care Services (Reablement, rehabilitation, wider short-term services supporting recovery)Bed-based intermediate care with rehabilitation (to support discharge)</t>
  </si>
  <si>
    <t>Pathway 2
Block Contract Beds in the Community</t>
  </si>
  <si>
    <t>Torbay20Reablement Block Beds
Intermediate Care
(5 beds in block reablement unit)Bed based intermediate Care Services (Reablement, rehabilitation, wider short-term services supporting recovery)Bed-based intermediate care with rehabilitation (to support discharge)</t>
  </si>
  <si>
    <t>Reablement Block Beds
Intermediate Care
(5 beds in block reablement unit)</t>
  </si>
  <si>
    <t xml:space="preserve">Implement a range of Technology Enabled Equipment (TEC) to facilitate timely discharge and support individuals to remain/ return to their usual place of residence (home). Step up 'free of charge' telecare to facilitate same day discharge for 'at risk' individuals who live alone. </t>
  </si>
  <si>
    <t>Torbay23Support Independence at Home (Enabling, prevention, discharge)Home Care or Domiciliary CareDomiciliary care packages</t>
  </si>
  <si>
    <t>Support Independence at Home (Enabling, prevention, discharge)</t>
  </si>
  <si>
    <t xml:space="preserve">Integrated Community Equipment Contract 
S75 (SOTCC and Stoke CCG). Hire/ loan of community equipment aids and adaptations to support independent living and over reliance on formal care. </t>
  </si>
  <si>
    <t>Tower Hamlets4Brokerage Service - support for hospital discharge Assistive Technologies and EquipmentCommunity based equipment</t>
  </si>
  <si>
    <t xml:space="preserve">Brokerage Service - support for hospital discharge </t>
  </si>
  <si>
    <t>Care homes - Marrow House (Dementia)</t>
  </si>
  <si>
    <t>Tower Hamlets5Community Equipment Service Assistive Technologies and EquipmentCommunity based equipment</t>
  </si>
  <si>
    <t>Supporting home care budget</t>
  </si>
  <si>
    <t>Tower Hamlets6Communtiy Equipment ServiceAssistive Technologies and EquipmentCommunity based equipment</t>
  </si>
  <si>
    <t>Communtiy Equipment Service</t>
  </si>
  <si>
    <t>Contribution to Joint Carers Support Service</t>
  </si>
  <si>
    <t>Tower Hamlets7Community Equipment Service Assistive Technologies and EquipmentCommunity based equipment</t>
  </si>
  <si>
    <t>Supporting residential and nursing budget</t>
  </si>
  <si>
    <t>Tower Hamlets8Carers supportCarers ServicesRespite services</t>
  </si>
  <si>
    <t>SOT Telecare Response Service</t>
  </si>
  <si>
    <t>Tower Hamlets20Disabilities Fund Grant DFG Related SchemesAdaptations, including statutory DFG grants</t>
  </si>
  <si>
    <t xml:space="preserve">Disabilities Fund Grant </t>
  </si>
  <si>
    <t>Increase capacity of falls service. Includes 3x telecare and lifeline responders, equipment and kit</t>
  </si>
  <si>
    <t>Trafford1Disabled Facilities GrantDFG Related SchemesAdaptations, including statutory DFG grants</t>
  </si>
  <si>
    <t xml:space="preserve">‘Keep on keeping up’ app 
Falls prevention initiative in Care Homes/ Extra Care and Supported Living </t>
  </si>
  <si>
    <t>Trafford2Community Equipment and AdaptationsAssistive Technologies and EquipmentCommunity based equipment</t>
  </si>
  <si>
    <t>Community Equipment and Adaptations</t>
  </si>
  <si>
    <t>Safe and Warm Homes Scheme</t>
  </si>
  <si>
    <t>Trafford5Social Care Client PackagesResidential PlacementsCare home</t>
  </si>
  <si>
    <t>Social Care Client Packages</t>
  </si>
  <si>
    <t>Energy Advice Service</t>
  </si>
  <si>
    <t>Trafford6Social Care Client PackagesResidential PlacementsCare home</t>
  </si>
  <si>
    <t>Provision of Reablement services to support admission prevention and to facilitate hospital discharge</t>
  </si>
  <si>
    <t>Trafford8Respite to CarersCarers ServicesRespite services</t>
  </si>
  <si>
    <t>Respite to Carers</t>
  </si>
  <si>
    <t xml:space="preserve">Care purchasing of Residential/Nursing Placements to support admission prevention and facilitate hospital discharge </t>
  </si>
  <si>
    <t>Trafford14Social Care Client PackagesHome Care or Domiciliary CareDomiciliary care packages</t>
  </si>
  <si>
    <t>Advice and support for family carers to guide them in the continuance of their role</t>
  </si>
  <si>
    <t>Trafford15Social Care Client PackagesHome Care or Domiciliary CareDomiciliary care packages</t>
  </si>
  <si>
    <t>Support to Family Carers budget to facilitate Direct Payments and other means to build and maintain resilience in the continuance of their role</t>
  </si>
  <si>
    <t>Trafford19Asset based community capacityBed based intermediate Care Services (Reablement, rehabilitation, wider short-term services supporting recovery)Bed-based intermediate care with rehabilitation accepting step up and step down users</t>
  </si>
  <si>
    <t>Asset based community capacity</t>
  </si>
  <si>
    <t>Care purchasing of home care  to support admission prevention and hospital discharge</t>
  </si>
  <si>
    <t>Trafford22Community Equipment and AdaptationsAssistive Technologies and EquipmentCommunity based equipment</t>
  </si>
  <si>
    <t>Trafford29D2A BedsResidential PlacementsShort term residential care (without rehabilitation or reablement input)</t>
  </si>
  <si>
    <t>Trafford30Homecare (D2A)Home Care or Domiciliary CareDomiciliary care to support hospital discharge (Discharge to Assess pathway 1)</t>
  </si>
  <si>
    <t>Homecare (D2A)</t>
  </si>
  <si>
    <t>Trafford31Health D2A AssessmentsResidential PlacementsShort term residential care (without rehabilitation or reablement input)</t>
  </si>
  <si>
    <t>Health D2A Assessments</t>
  </si>
  <si>
    <t>Trafford32GP CoverResidential PlacementsOther</t>
  </si>
  <si>
    <t>Care purchasing of home care to support admission prevention and hospital discharge</t>
  </si>
  <si>
    <t>Trafford33Medicines ManagementResidential PlacementsOther</t>
  </si>
  <si>
    <t>Medicines Management</t>
  </si>
  <si>
    <t>Trafford34D2A BedsResidential PlacementsShort term residential care (without rehabilitation or reablement input)</t>
  </si>
  <si>
    <t>Trafford35D2A BedsResidential PlacementsShort term residential care (without rehabilitation or reablement input)</t>
  </si>
  <si>
    <t>Purchasing of specialist Residential/Nursing Placements for those with advanced dementia to support admission prevention and facilitate hospital discharge</t>
  </si>
  <si>
    <t>Trafford41Homecare CapacityHome Care or Domiciliary CareDomiciliary care workforce development</t>
  </si>
  <si>
    <t>Homecare Capacity</t>
  </si>
  <si>
    <t>Wakefield3Proactive CareResidential PlacementsCare home</t>
  </si>
  <si>
    <t>Proactive Care</t>
  </si>
  <si>
    <t>Care purchasing of domiciliary care packages to support admission prevention and hospital discharge</t>
  </si>
  <si>
    <t>Wakefield4Proactive CareHome Care or Domiciliary CareOther</t>
  </si>
  <si>
    <t>Wakefield18Prevention and Self CareDFG Related SchemesOther</t>
  </si>
  <si>
    <t>Prevention and Self Care</t>
  </si>
  <si>
    <t>Care purchasing of home care  to support admission prevention and facilitate hospital discharge</t>
  </si>
  <si>
    <t>Wakefield19Prevention and Self CareDFG Related SchemesOther</t>
  </si>
  <si>
    <t>Additional Support to in-house reablement service</t>
  </si>
  <si>
    <t>Wakefield20Prevention and Self CareAssistive Technologies and EquipmentAssistive technologies including telecare</t>
  </si>
  <si>
    <t>Wakefield21Prevention and Self CareAssistive Technologies and EquipmentAssistive technologies including telecare</t>
  </si>
  <si>
    <t>Care purchasing of home care to suppoprt admission prevention and hospital discharge</t>
  </si>
  <si>
    <t>Wakefield57Mental HealthResidential PlacementsOther</t>
  </si>
  <si>
    <t>Wakefield59Mental HealthResidential PlacementsOther</t>
  </si>
  <si>
    <t>Provision of grants to support major adaptations to properties to support frail older people and those with physical disabilities to maintain their independence at home, and to facilitate hospital discharge</t>
  </si>
  <si>
    <t>Wakefield63Mental HealthResidential PlacementsOther</t>
  </si>
  <si>
    <t>Wakefield65Mental HealthResidential PlacementsOther</t>
  </si>
  <si>
    <t>Wakefield79WESAssistive Technologies and EquipmentAssistive technologies including telecare</t>
  </si>
  <si>
    <t>WES</t>
  </si>
  <si>
    <t>Admission prevention</t>
  </si>
  <si>
    <t>Wakefield80WESAssistive Technologies and EquipmentAssistive technologies including telecare</t>
  </si>
  <si>
    <t>Community Assessment Team &amp; Frailty Assessment Base</t>
  </si>
  <si>
    <t>Wakefield81WCSAssistive Technologies and EquipmentAssistive technologies including telecare</t>
  </si>
  <si>
    <t>WCS</t>
  </si>
  <si>
    <t>Wakefield87Urgent Response Domiciliary CareHome Care or Domiciliary CareOther</t>
  </si>
  <si>
    <t>Urgent Response Domiciliary Care</t>
  </si>
  <si>
    <t xml:space="preserve">STARR </t>
  </si>
  <si>
    <t>Wakefield88Night Response ServiceHome-based intermediate care servicesOther</t>
  </si>
  <si>
    <t>Night Response Service</t>
  </si>
  <si>
    <t>Wakefield89Night Response ServiceHome-based intermediate care servicesOther</t>
  </si>
  <si>
    <t>Wakefield90Challenging behaviour wingBed Based Intermediate Care ServicesOther</t>
  </si>
  <si>
    <t>Challenging behaviour wing</t>
  </si>
  <si>
    <t>Wakefield91Reablement Therapy supportHome-based intermediate care servicesOther</t>
  </si>
  <si>
    <t>Reablement Therapy support</t>
  </si>
  <si>
    <t>Wakefield107Bariatric bed solutionResidential PlacementsShort term residential care (without rehabilitation or reablement input)</t>
  </si>
  <si>
    <t>Bariatric bed solution</t>
  </si>
  <si>
    <t>Wakefield1096 Beds as interim beds Dovecote PDSA ModelBed Based Intermediate Care ServicesOther</t>
  </si>
  <si>
    <t>6 Beds as interim beds Dovecote PDSA Model</t>
  </si>
  <si>
    <t>Walsall7Equipment Assistive Technologies and EquipmentCommunity based equipment</t>
  </si>
  <si>
    <t xml:space="preserve">Equipment </t>
  </si>
  <si>
    <t>Inpatient beds</t>
  </si>
  <si>
    <t>Walsall8DFG DFG Related SchemesAdaptations, including statutory DFG grants</t>
  </si>
  <si>
    <t xml:space="preserve">To facilitate people to live at home, with the aid of equipment, and to minimise the intervention of people as carers.  </t>
  </si>
  <si>
    <t>Walsall9DFG DFG Related SchemesDiscretionary use of DFG</t>
  </si>
  <si>
    <t>Provision of care for identified Carers</t>
  </si>
  <si>
    <t>Walsall10Carers Carers ServicesCarer advice and support related to Care Act duties</t>
  </si>
  <si>
    <t>Provision of care for CHC patients</t>
  </si>
  <si>
    <t>Walsall27Provision - pathway support Home Care or Domiciliary CareDomiciliary care packages</t>
  </si>
  <si>
    <t xml:space="preserve">Provision - pathway support </t>
  </si>
  <si>
    <t xml:space="preserve">Walsall28Intermediate CareHome-based intermediate care servicesReablement at home (to support discharge) </t>
  </si>
  <si>
    <t>Walsall29Intermediate CareBed based intermediate Care Services (Reablement, rehabilitation, wider short-term services supporting recovery)Bed-based intermediate care with reablement (to support discharge)</t>
  </si>
  <si>
    <t>Walsall36Equipment - Health element Assistive Technologies and EquipmentCommunity based equipment</t>
  </si>
  <si>
    <t xml:space="preserve">Equipment - Health element </t>
  </si>
  <si>
    <t>Bed based Intermediate Care</t>
  </si>
  <si>
    <t>Walsall38Stroke Bed based intermediate Care Services (Reablement, rehabilitation, wider short-term services supporting recovery)Bed-based intermediate care with rehabilitation (to support discharge)</t>
  </si>
  <si>
    <t xml:space="preserve">Stroke </t>
  </si>
  <si>
    <t>Walsall41Intermediate CareHome-based intermediate care servicesReablement at home (accepting step up and step down users)</t>
  </si>
  <si>
    <t>Walsall52Equipment Assistive Technologies and EquipmentCommunity based equipment</t>
  </si>
  <si>
    <t>Walsall58End of Live Residential PlacementsShort term residential care (without rehabilitation or reablement input)</t>
  </si>
  <si>
    <t xml:space="preserve">End of Live </t>
  </si>
  <si>
    <t>Waltham Forest1ICES EquipmentAssistive Technologies and EquipmentCommunity based equipment</t>
  </si>
  <si>
    <t>ICES Equipment</t>
  </si>
  <si>
    <t>Waltham Forest7Home Care packagesHome Care or Domiciliary CareDomiciliary care packages</t>
  </si>
  <si>
    <t>Home Care packages</t>
  </si>
  <si>
    <t>Pilot leading to a long term contract with one care home to work in partnership with SCC in Waveney</t>
  </si>
  <si>
    <t>Waltham Forest13Reablement Core ServicesHome-based intermediate care servicesRehabilitation at home (to support discharge)</t>
  </si>
  <si>
    <t>Reablement Core Services</t>
  </si>
  <si>
    <t>Pilot to develop a service offer to assess and support customers at home that require multi agency response, including reablement if required.</t>
  </si>
  <si>
    <t>Waltham Forest16Community RehabilitationBed based intermediate Care Services (Reablement, rehabilitation, wider short-term services supporting recovery)Bed-based intermediate care with rehabilitation (to support discharge)</t>
  </si>
  <si>
    <t>To maintain the level of P1 capacity currently provided with additional staff in HomeFirst</t>
  </si>
  <si>
    <t>Waltham Forest21Extra Care Sheltered HousingResidential PlacementsExtra care</t>
  </si>
  <si>
    <t>Extra Care Sheltered Housing</t>
  </si>
  <si>
    <t>To fund Transformation of HF</t>
  </si>
  <si>
    <t>Waltham Forest22MH PlacementsResidential PlacementsCare home</t>
  </si>
  <si>
    <t>MH Placements</t>
  </si>
  <si>
    <t>Exceptional social care short term res placements</t>
  </si>
  <si>
    <t>Waltham Forest23Care Act PlacementsResidential PlacementsSupported housing</t>
  </si>
  <si>
    <t>Care Act Placements</t>
  </si>
  <si>
    <t xml:space="preserve">7 pathway 2 beds (includes medical cover) </t>
  </si>
  <si>
    <t>Waltham Forest24GML Step Dwn BedsBed based intermediate Care Services (Reablement, rehabilitation, wider short-term services supporting recovery)Bed-based intermediate care with rehabilitation accepting step up and step down users</t>
  </si>
  <si>
    <t>GML Step Dwn Beds</t>
  </si>
  <si>
    <t>7 pathway 2 beds (includes medical cover)</t>
  </si>
  <si>
    <t>Waltham Forest26Carers ContractCarers ServicesCarer advice and support related to Care Act duties</t>
  </si>
  <si>
    <t>2 pathway 3 beds (includes medical cover)</t>
  </si>
  <si>
    <t>Waltham Forest27ReablementHome Care or Domiciliary CareDomiciliary care packages</t>
  </si>
  <si>
    <t>Therapy in-reach to support additional beds in Waveney</t>
  </si>
  <si>
    <t>Waltham Forest28EquipmentAssistive Technologies and EquipmentCommunity based equipment</t>
  </si>
  <si>
    <t>Waltham Forest30DFGDFG Related SchemesAdaptations, including statutory DFG grants</t>
  </si>
  <si>
    <t>Assistive Technology and Telecare</t>
  </si>
  <si>
    <t>N/A</t>
  </si>
  <si>
    <t>Waltham Forest31Improved Better Care FundResidential PlacementsCare home</t>
  </si>
  <si>
    <t>Community-based Equipment</t>
  </si>
  <si>
    <t>Waltham Forest33Improved Better Care FundResidential PlacementsSupported housing</t>
  </si>
  <si>
    <t>Carers advice and support</t>
  </si>
  <si>
    <t>Waltham Forest34Improved Better Care FundResidential PlacementsLearning disability</t>
  </si>
  <si>
    <t>Domicillary Care Packages</t>
  </si>
  <si>
    <t>Waltham Forest38Improved Better Care FundResidential PlacementsCare home</t>
  </si>
  <si>
    <t>Bed-based intermediate care with rehabilitation</t>
  </si>
  <si>
    <t>Waltham Forest39Improved Better Care FundAssistive Technologies and EquipmentCommunity based equipment</t>
  </si>
  <si>
    <t>Bed-based intermediate care with rehabilitation accepting step up and step down</t>
  </si>
  <si>
    <t>Waltham Forest40Improved Better Care FundHome Care or Domiciliary CareDomiciliary care packages</t>
  </si>
  <si>
    <t>Waltham Forest41Improved Better Care FundBed based intermediate Care Services (Reablement, rehabilitation, wider short-term services supporting recovery)Bed-based intermediate care with rehabilitation accepting step up and step down users</t>
  </si>
  <si>
    <t>Waltham Forest44Improved Better Care FundResidential PlacementsSupported housing</t>
  </si>
  <si>
    <t>Learning Disability and Mental Health Supported Living</t>
  </si>
  <si>
    <t>LD and MH Supported Living</t>
  </si>
  <si>
    <t>Waltham Forest45LA Discharge Fund - Support PackagesHome Care or Domiciliary CareDomiciliary care to support hospital discharge (Discharge to Assess pathway 1)</t>
  </si>
  <si>
    <t>LA Discharge Fund - Support Packages</t>
  </si>
  <si>
    <t>Waltham Forest46ICB Discharge Fund - Support PackagesResidential PlacementsCare home</t>
  </si>
  <si>
    <t>ICB Discharge Fund - Support Packages</t>
  </si>
  <si>
    <t>Handyperson Services</t>
  </si>
  <si>
    <t>Waltham Forest47ICB Discharge Fund - Bridging ServiceHome Care or Domiciliary CareDomiciliary care to support hospital discharge (Discharge to Assess pathway 1)</t>
  </si>
  <si>
    <t>ICB Discharge Fund - Bridging Service</t>
  </si>
  <si>
    <t xml:space="preserve">Assistive Technology   </t>
  </si>
  <si>
    <t>Wandsworth21TelehealthAssistive Technologies and EquipmentAssistive technologies including telecare</t>
  </si>
  <si>
    <t>Telehealth</t>
  </si>
  <si>
    <t>Wandsworth22KITE serviceHome-based intermediate care servicesReablement at home (to prevent admission to hospital or residential care)</t>
  </si>
  <si>
    <t>KITE service</t>
  </si>
  <si>
    <t>Wandsworth23ReablementHome-based intermediate care servicesRehabilitation at home (to prevent admission to hospital or residential care)</t>
  </si>
  <si>
    <t>Assistive Technology including Telecare</t>
  </si>
  <si>
    <t>Wandsworth23Community EquipmentAssistive Technologies and EquipmentCommunity based equipment</t>
  </si>
  <si>
    <t>Domicillary care to support hospital discharge</t>
  </si>
  <si>
    <t>Wandsworth25Increased staffing capacity in enablement servicesHome-based intermediate care servicesReablement at home (accepting step up and step down users)</t>
  </si>
  <si>
    <t>Increased staffing capacity in enablement services</t>
  </si>
  <si>
    <t>Bed-based intermediate care with rehabilitation to support discharge</t>
  </si>
  <si>
    <t>Wandsworth31Occupational therapy equipmentDFG Related SchemesAdaptations, including statutory DFG grants</t>
  </si>
  <si>
    <t>Occupational therapy equipment</t>
  </si>
  <si>
    <t>Domicillary care to support hospital discharge (D2A)</t>
  </si>
  <si>
    <t>Wandsworth31Additional Community Equipment provisionAssistive Technologies and EquipmentCommunity based equipment</t>
  </si>
  <si>
    <t>Additional Community Equipment provision</t>
  </si>
  <si>
    <t>Hospital Discharge Service</t>
  </si>
  <si>
    <t xml:space="preserve">Wandsworth32Hospital discharge and reablementHome-based intermediate care servicesReablement at home (to support discharge) </t>
  </si>
  <si>
    <t>Hospital discharge and reablement</t>
  </si>
  <si>
    <t>Recovery at Home</t>
  </si>
  <si>
    <t>Wandsworth34South West London Step Down capacityResidential PlacementsShort term residential care (without rehabilitation or reablement input)</t>
  </si>
  <si>
    <t>South West London Step Down capacity</t>
  </si>
  <si>
    <t>Community Stroke Rehabilitation</t>
  </si>
  <si>
    <t>Wandsworth35Additional Home Care CapacityHome Care or Domiciliary CareDomiciliary care to support hospital discharge (Discharge to Assess pathway 1)</t>
  </si>
  <si>
    <t>Additional Home Care Capacity</t>
  </si>
  <si>
    <t>Wandsworth36Quickstart Bridging at the front doorHome Care or Domiciliary CareDomiciliary care to support hospital discharge (Discharge to Assess pathway 1)</t>
  </si>
  <si>
    <t>Quickstart Bridging at the front door</t>
  </si>
  <si>
    <t>Recovery at Home - Community Beds</t>
  </si>
  <si>
    <t>Wandsworth37Additional short term and residential bedsResidential PlacementsCare home</t>
  </si>
  <si>
    <t>Additional short term and residential beds</t>
  </si>
  <si>
    <t>Wandsworth42Meeting the entitlements of carers under the Care ActCarers ServicesCarer advice and support related to Care Act duties</t>
  </si>
  <si>
    <t>Meeting the entitlements of carers under the Care Act</t>
  </si>
  <si>
    <t>Wandsworth43Home care provisionHome Care or Domiciliary CareDomiciliary care packages</t>
  </si>
  <si>
    <t>Wandsworth44Maintain stability and capacity in social care provider marketHome Care or Domiciliary CareDomiciliary care packages</t>
  </si>
  <si>
    <t>Maintain stability and capacity in social care provider market</t>
  </si>
  <si>
    <t>Wandsworth46Social care purchased care home  placementsResidential PlacementsCare home</t>
  </si>
  <si>
    <t>Social care purchased care home  placements</t>
  </si>
  <si>
    <t>NHS Funding for Social Care</t>
  </si>
  <si>
    <t>Wandsworth51Integrated Carers ServiceCarers ServicesRespite services</t>
  </si>
  <si>
    <t>Wandsworth52Identification and support to carersCarers ServicesCarer advice and support related to Care Act duties</t>
  </si>
  <si>
    <t>Identification and support to carers</t>
  </si>
  <si>
    <t>Wandsworth61Major adaptationsDFG Related SchemesAdaptations, including statutory DFG grants</t>
  </si>
  <si>
    <t>Community Therapy</t>
  </si>
  <si>
    <t>Wandsworth62Equipment and minor DFG adaptationsDFG Related SchemesDiscretionary use of DFG</t>
  </si>
  <si>
    <t>Equipment and minor DFG adaptations</t>
  </si>
  <si>
    <t>Wandsworth63Better at home improvement schemeDFG Related SchemesHandyperson services</t>
  </si>
  <si>
    <t>Better at home improvement scheme</t>
  </si>
  <si>
    <t>Wandsworth72Mental health community support/ supported livingResidential PlacementsSupported housing</t>
  </si>
  <si>
    <t>Mental health community support/ supported living</t>
  </si>
  <si>
    <t>Wandsworth73Housing with preventative support (Mental Health)Residential PlacementsSupported housing</t>
  </si>
  <si>
    <t>Housing with preventative support (Mental Health)</t>
  </si>
  <si>
    <t>Mental Health, Learning Disability and Autism - Bed-based intermediate care services (reablement to support discharge)</t>
  </si>
  <si>
    <t>Wandsworth74Protection of adult social care (mental health)Residential PlacementsCare home</t>
  </si>
  <si>
    <t>Protection of adult social care (mental health)</t>
  </si>
  <si>
    <t>Mental Health, Learning Disability and Autism - Residential Placements</t>
  </si>
  <si>
    <t>Wandsworth75Protection of adult social care (learning disabilities)Residential PlacementsCare home</t>
  </si>
  <si>
    <t>Protection of adult social care (learning disabilities)</t>
  </si>
  <si>
    <t>End of Life Care</t>
  </si>
  <si>
    <t>Warrington1001Intermediate Care - Home/Bed Based and Hospital Discharge TeamHome-based intermediate care servicesReablement at home (accepting step up and step down users)</t>
  </si>
  <si>
    <t>Intermediate Care - Home/Bed Based and Hospital Discharge Team</t>
  </si>
  <si>
    <t>Warrington1002Intermediate Care - Home/Bed Based and Hospital Discharge TeamBed based intermediate Care Services (Reablement, rehabilitation, wider short-term services supporting recovery)Bed-based intermediate care with reablement (to support discharge)</t>
  </si>
  <si>
    <t>Warrington1003Additional Home Care ProvisionHome Care or Domiciliary CareDomiciliary care packages</t>
  </si>
  <si>
    <t>Additional Home Care Provision</t>
  </si>
  <si>
    <t>Warrington1004Community EquipmentAssistive Technologies and EquipmentCommunity based equipment</t>
  </si>
  <si>
    <t>Warrington1005Community EquipmentAssistive Technologies and EquipmentCommunity based equipment</t>
  </si>
  <si>
    <t>Warrington1006TelecareAssistive Technologies and EquipmentAssistive technologies including telecare</t>
  </si>
  <si>
    <t>Warrington1007TelecareAssistive Technologies and EquipmentAssistive technologies including telecare</t>
  </si>
  <si>
    <t>Carers Contracts -respite care/carers breaks, information, assessment, emotional and physical support, training, access to services to support wellbeing and improve independence</t>
  </si>
  <si>
    <t>Warrington1010Carers services and supportCarers ServicesOther</t>
  </si>
  <si>
    <t>Carers services and support</t>
  </si>
  <si>
    <t>Training to residents to enable social inclusion through the use of technology</t>
  </si>
  <si>
    <t>Wellbeing Services</t>
  </si>
  <si>
    <t xml:space="preserve">Warrington2001Home based reablement Home-based intermediate care servicesReablement at home (to support discharge) </t>
  </si>
  <si>
    <t xml:space="preserve">Home based reablement </t>
  </si>
  <si>
    <t>Technology Enabled Care Services</t>
  </si>
  <si>
    <t>Warrington3001DFG GrantDFG Related SchemesAdaptations, including statutory DFG grants</t>
  </si>
  <si>
    <t>Warrington3002DFG GrantDFG Related SchemesDiscretionary use of DFG</t>
  </si>
  <si>
    <t>Funding passported to Borough and District Councils</t>
  </si>
  <si>
    <t>Warrington1019Adult Social Care Discharge grantResidential PlacementsCare home</t>
  </si>
  <si>
    <t>Adult Social Care Discharge grant</t>
  </si>
  <si>
    <t>Support to D2A process through Care Home packages</t>
  </si>
  <si>
    <t>Discharge from hospital (with reablement) to long term residential care (Discharge to Assess Pathway 3)</t>
  </si>
  <si>
    <t>Warrington1020Adult Social Care Discharge grantResidential PlacementsCare home</t>
  </si>
  <si>
    <t>Pathway 1</t>
  </si>
  <si>
    <t>Warwickshire1Domicillary Care (base BCF)Home Care or Domiciliary CareDomiciliary care packages</t>
  </si>
  <si>
    <t>Domicillary Care (base BCF)</t>
  </si>
  <si>
    <t>D2A Funding</t>
  </si>
  <si>
    <t xml:space="preserve">Warwickshire2Reablement (base BCF)Home-based intermediate care servicesReablement at home (to support discharge) </t>
  </si>
  <si>
    <t>Reablement (base BCF)</t>
  </si>
  <si>
    <t>Warwickshire3Integrated Community Equipment (ICE)Assistive Technologies and EquipmentCommunity based equipment</t>
  </si>
  <si>
    <t>Integrated Community Equipment (ICE)</t>
  </si>
  <si>
    <t>Funding for D2A</t>
  </si>
  <si>
    <t>Warwickshire4Moving on Beds (base BCF)Bed based intermediate Care Services (Reablement, rehabilitation, wider short-term services supporting recovery)Bed-based intermediate care with rehabilitation (to support discharge)</t>
  </si>
  <si>
    <t>Moving on Beds (base BCF)</t>
  </si>
  <si>
    <t>Warwickshire11W-IBCF 7 - Moving on BedsBed based intermediate Care Services (Reablement, rehabilitation, wider short-term services supporting recovery)Bed-based intermediate care with rehabilitation (to support discharge)</t>
  </si>
  <si>
    <t>W-IBCF 7 - Moving on Beds</t>
  </si>
  <si>
    <t>Warwickshire12W-IBCF 8 - Integrated Community Equipment additional cost pressuresAssistive Technologies and EquipmentCommunity based equipment</t>
  </si>
  <si>
    <t>W-IBCF 8 - Integrated Community Equipment additional cost pressures</t>
  </si>
  <si>
    <t>Warwickshire13W-IBCF 10 - Carers supportCarers ServicesCarer advice and support related to Care Act duties</t>
  </si>
  <si>
    <t>W-IBCF 10 - Carers support</t>
  </si>
  <si>
    <t>Warwickshire19W-IBCF 17 - Residential Respite Care Charging PolicyCarers ServicesRespite services</t>
  </si>
  <si>
    <t>W-IBCF 17 - Residential Respite Care Charging Policy</t>
  </si>
  <si>
    <t>Pathway 2</t>
  </si>
  <si>
    <t>Warwickshire20W-IBCF 19 - Protecting older people community care budgets Residential PlacementsCare home</t>
  </si>
  <si>
    <t xml:space="preserve">W-IBCF 19 - Protecting older people community care budgets </t>
  </si>
  <si>
    <t>Warwickshire21W-IBCF 20 -Protecting older people community care budgets Home Care or Domiciliary CareDomiciliary care packages</t>
  </si>
  <si>
    <t xml:space="preserve">W-IBCF 20 -Protecting older people community care budgets </t>
  </si>
  <si>
    <t>Warwickshire22W-IBCF 21 - Protecting NHS budgets through night support in ECH and Specialised SettingsHome Care or Domiciliary CareDomiciliary care packages</t>
  </si>
  <si>
    <t>W-IBCF 21 - Protecting NHS budgets through night support in ECH and Specialised Settings</t>
  </si>
  <si>
    <t>Wellbeing services</t>
  </si>
  <si>
    <t>Warwickshire28Carers Breaks (base BCFCarers ServicesRespite services</t>
  </si>
  <si>
    <t>Carers Breaks (base BCF</t>
  </si>
  <si>
    <t>Warwickshire30Discharge to Assess Beds - D2A (base BCF)Bed based intermediate Care Services (Reablement, rehabilitation, wider short-term services supporting recovery)Bed-based intermediate care with rehabilitation (to support discharge)</t>
  </si>
  <si>
    <t>Discharge to Assess Beds - D2A (base BCF)</t>
  </si>
  <si>
    <t>Warwickshire31Joint Funded Packages (base BCF)Home Care or Domiciliary CareDomiciliary care packages</t>
  </si>
  <si>
    <t>Joint Funded Packages (base BCF)</t>
  </si>
  <si>
    <t>Warwickshire39Residential placements supported living (ICB aligned budgets)Residential PlacementsSupported housing</t>
  </si>
  <si>
    <t>Residential placements supported living (ICB aligned budgets)</t>
  </si>
  <si>
    <t>Warwickshire40Domicilary Care (ICB aligned budgets)Home Care or Domiciliary CareDomiciliary care packages</t>
  </si>
  <si>
    <t>Domicilary Care (ICB aligned budgets)</t>
  </si>
  <si>
    <t>Warwickshire42Domiciliary Care (WCC aligned budget)Home Care or Domiciliary CareDomiciliary care packages</t>
  </si>
  <si>
    <t>Domiciliary Care (WCC aligned budget)</t>
  </si>
  <si>
    <t>Warwickshire43Residential Care (WCC aligned budget)Residential PlacementsCare home</t>
  </si>
  <si>
    <t>Residential Care (WCC aligned budget)</t>
  </si>
  <si>
    <t>Warwickshire44Nursing Care (WCC aligned budget)Residential PlacementsNursing home</t>
  </si>
  <si>
    <t>Nursing Care (WCC aligned budget)</t>
  </si>
  <si>
    <t>Warwickshire46Carers (WCC aligned budget)Carers ServicesOther</t>
  </si>
  <si>
    <t>Carers (WCC aligned budget)</t>
  </si>
  <si>
    <t>Warwickshire48Community Recovery Service (ASC Discharge fundingHome Care or Domiciliary CareShort term domiciliary care (without reablement input)</t>
  </si>
  <si>
    <t>Community Recovery Service (ASC Discharge funding</t>
  </si>
  <si>
    <t>Warwickshire49Residential Care (ASC Discharge Funding)Residential PlacementsShort term residential care (without rehabilitation or reablement input)</t>
  </si>
  <si>
    <t>Residential Care (ASC Discharge Funding)</t>
  </si>
  <si>
    <t>Warwickshire50Community Recovery Service (ICB Discharge funding)Home Care or Domiciliary CareShort term domiciliary care (without reablement input)</t>
  </si>
  <si>
    <t>Community Recovery Service (ICB Discharge funding)</t>
  </si>
  <si>
    <t>Warwickshire51Residential Care (ICB Discharge funding)Residential PlacementsShort term residential care (without rehabilitation or reablement input)</t>
  </si>
  <si>
    <t>Residential Care (ICB Discharge funding)</t>
  </si>
  <si>
    <t>Warwickshire52Supported LivingHome Care or Domiciliary CareDomiciliary care packages</t>
  </si>
  <si>
    <t>Warwickshire53Disabled Facilities Grant (Base BCF)DFG Related SchemesAdaptations, including statutory DFG grants</t>
  </si>
  <si>
    <t>Disabled Facilities Grant (Base BCF)</t>
  </si>
  <si>
    <t>Warwickshire54Integrated Community Equipment (ICE)Assistive Technologies and EquipmentCommunity based equipment</t>
  </si>
  <si>
    <t>West Berkshire1Under 65 LD residential and supported livingResidential PlacementsCare home</t>
  </si>
  <si>
    <t>Under 65 LD residential and supported living</t>
  </si>
  <si>
    <t>West Berkshire3ReablementHome Care or Domiciliary CareDomiciliary care packages</t>
  </si>
  <si>
    <t>West Berkshire31ReablementHome Care or Domiciliary CareDomiciliary care packages</t>
  </si>
  <si>
    <t>Technology Enabled Schemes</t>
  </si>
  <si>
    <t>West Berkshire42Memory and cognition over 65Residential PlacementsNursing home</t>
  </si>
  <si>
    <t>Memory and cognition over 65</t>
  </si>
  <si>
    <t>West Berkshire53Physical Support over 65Residential PlacementsNursing home</t>
  </si>
  <si>
    <t>Physical Support over 65</t>
  </si>
  <si>
    <t>West Berkshire54Physical Support over 65Residential PlacementsCare home</t>
  </si>
  <si>
    <t>West Berkshire6LA Discharge FundingHome Care or Domiciliary CareDomiciliary care to support hospital discharge (Discharge to Assess pathway 1)</t>
  </si>
  <si>
    <t>LA Discharge Funding</t>
  </si>
  <si>
    <t xml:space="preserve">West Berkshire62ICB Discharge FundingHome-based intermediate care servicesReablement at home (to support discharge) </t>
  </si>
  <si>
    <t>West Berkshire66Under 65 LD residential and supported livingResidential PlacementsCare home</t>
  </si>
  <si>
    <t>West Berkshire7Over 65's Care HomesResidential PlacementsCare home</t>
  </si>
  <si>
    <t>Over 65's Care Homes</t>
  </si>
  <si>
    <t>West Berkshire71Over 65's Care HomesResidential PlacementsSupported housing</t>
  </si>
  <si>
    <t>West Berkshire8Joint Care PathwayHome Care or Domiciliary CareDomiciliary care to support hospital discharge (Discharge to Assess pathway 1)</t>
  </si>
  <si>
    <t>Joint Care Pathway</t>
  </si>
  <si>
    <t>West Berkshire81Joint Care PathwayHome Care or Domiciliary CareDomiciliary care to support hospital discharge (Discharge to Assess pathway 1)</t>
  </si>
  <si>
    <t>West Berkshire82Joint Care PathwayHome Care or Domiciliary CareDomiciliary care to support hospital discharge (Discharge to Assess pathway 1)</t>
  </si>
  <si>
    <t>West Berkshire83Joint Care PathwayHome Care or Domiciliary CareDomiciliary care to support hospital discharge (Discharge to Assess pathway 1)</t>
  </si>
  <si>
    <t>West Berkshire84Joint Care PathwayHome Care or Domiciliary CareDomiciliary care to support hospital discharge (Discharge to Assess pathway 1)</t>
  </si>
  <si>
    <t>Contribution to Carers Contracts - respite care/carers breaks, information, assessment, emotional and physical support, training, access to services to support wellbeing and improve independence</t>
  </si>
  <si>
    <t>West Berkshire9DFGDFG Related SchemesAdaptations, including statutory DFG grants</t>
  </si>
  <si>
    <t>Contribution to ASC Community Equipment Costs</t>
  </si>
  <si>
    <t>West Berkshire17BHFT ContractHome Care or Domiciliary CareDomiciliary care to support hospital discharge (Discharge to Assess pathway 1)</t>
  </si>
  <si>
    <t>BHFT Contract</t>
  </si>
  <si>
    <t>Contribution to Homecare Service Provision</t>
  </si>
  <si>
    <t>West Berkshire29Out of Hospital Services - Intermediate Care - Discharge ServicesHome Care or Domiciliary CareDomiciliary care to support hospital discharge (Discharge to Assess pathway 1)</t>
  </si>
  <si>
    <t>Out of Hospital Services - Intermediate Care - Discharge Services</t>
  </si>
  <si>
    <t>Ladore nursing home beds and St Helier Hospital therapy-led ward </t>
  </si>
  <si>
    <t>West Berkshire31Out of Hospital Service - Intermediate Care night sitting, rapid responseHome-based intermediate care servicesRehabilitation at home (to support discharge)</t>
  </si>
  <si>
    <t>Out of Hospital Service - Intermediate Care night sitting, rapid response</t>
  </si>
  <si>
    <t>Bed-based reablement service</t>
  </si>
  <si>
    <t>West Northamptonshire12Home BasedHome-based intermediate care servicesRehabilitation at home (to prevent admission to hospital or residential care)</t>
  </si>
  <si>
    <t>Home Based</t>
  </si>
  <si>
    <t>Supporting homecare market</t>
  </si>
  <si>
    <t>West Northamptonshire11Bed BasedBed based intermediate Care Services (Reablement, rehabilitation, wider short-term services supporting recovery)Bed-based intermediate care with reablement (to support discharge)</t>
  </si>
  <si>
    <t>Bed Based</t>
  </si>
  <si>
    <t>Home care and domiciliary care</t>
  </si>
  <si>
    <t>West Northamptonshire1Telecare and Assistive technologyAssistive Technologies and EquipmentAssistive technologies including telecare</t>
  </si>
  <si>
    <t>Provision of equipment to support independence.</t>
  </si>
  <si>
    <t>West Northamptonshire17Demographic and care cost pressuresResidential PlacementsCare home</t>
  </si>
  <si>
    <t>Demographic and care cost pressures</t>
  </si>
  <si>
    <t>West Northamptonshire8Domiciliary Care  Home Care or Domiciliary CareDomiciliary care packages</t>
  </si>
  <si>
    <t xml:space="preserve">Domiciliary Care  </t>
  </si>
  <si>
    <t>West Northamptonshire5Disabled Facilities GrantsDFG Related SchemesAdaptations, including statutory DFG grants</t>
  </si>
  <si>
    <t>Carer Funding - NHS</t>
  </si>
  <si>
    <t>West Northamptonshire3Carers Support Services (CCG Contract)Carers ServicesRespite services</t>
  </si>
  <si>
    <t>Contracted services to support carers</t>
  </si>
  <si>
    <t>West Northamptonshire4Intermediate Care Teams (ICT)Home-based intermediate care servicesRehabilitation at home (to support discharge)</t>
  </si>
  <si>
    <t>West Northamptonshire1Community Equipment (Health)Assistive Technologies and EquipmentCommunity based equipment</t>
  </si>
  <si>
    <t xml:space="preserve">Additional short-term beds to increase system capacity and speed-up safe and timely discharge. </t>
  </si>
  <si>
    <t>West Northamptonshire19Residential Short BreaksResidential PlacementsShort term residential care (without rehabilitation or reablement input)</t>
  </si>
  <si>
    <t>Residential Short Breaks</t>
  </si>
  <si>
    <t>To increase home care capacity to manage discharge capacity and flow.</t>
  </si>
  <si>
    <t>West Northamptonshire3Carers Support Services WNC ContractCarers ServicesCarer advice and support related to Care Act duties</t>
  </si>
  <si>
    <t>Carers Support Services WNC Contract</t>
  </si>
  <si>
    <t>Support hospital discharge and avoid delays</t>
  </si>
  <si>
    <t>West Northamptonshire11Specialist Care Centres (SCC) Step and Step DownBed based intermediate Care Services (Reablement, rehabilitation, wider short-term services supporting recovery)Bed-based intermediate care with rehabilitation (to support discharge)</t>
  </si>
  <si>
    <t>Specialist Care Centres (SCC) Step and Step Down</t>
  </si>
  <si>
    <t>Domiciliary Home Care including Night time service</t>
  </si>
  <si>
    <t>West Northamptonshire12Community Reablement Team Home-based intermediate care servicesRehabilitation at home (to support discharge)</t>
  </si>
  <si>
    <t>Carer breaks</t>
  </si>
  <si>
    <t xml:space="preserve">West Northamptonshire12Community Occupational TherapyHome-based intermediate care servicesReablement at home (to support discharge) </t>
  </si>
  <si>
    <t>West Northamptonshire1Community Equipment (Social Care)Assistive Technologies and EquipmentCommunity based equipment</t>
  </si>
  <si>
    <t>Community Equipment (Social Care)</t>
  </si>
  <si>
    <t>West Sussex1Disabled Facilities GrantDFG Related SchemesAdaptations, including statutory DFG grants</t>
  </si>
  <si>
    <t>West Sussex2Maintaining (Protecting) Social CareHome-based intermediate care servicesReablement at home (to prevent admission to hospital or residential care)</t>
  </si>
  <si>
    <t>Maintaining (Protecting) Social Care</t>
  </si>
  <si>
    <t>West Sussex2Maintaining (Protecting) Social CareHome Care or Domiciliary CareDomiciliary care packages</t>
  </si>
  <si>
    <t>West Sussex3Improved Better Care FundHome Care or Domiciliary CareDomiciliary care packages</t>
  </si>
  <si>
    <t>Homeline + and increased capacity</t>
  </si>
  <si>
    <t>West Sussex7Responsive ServicesHome Care or Domiciliary CareDomiciliary care packages</t>
  </si>
  <si>
    <t>Responsive Services</t>
  </si>
  <si>
    <t>Health Community Support - Adults and Equipment Store - extended hours</t>
  </si>
  <si>
    <t>West Sussex7Responsive ServicesBed based intermediate Care Services (Reablement, rehabilitation, wider short-term services supporting recovery)Bed-based intermediate care with rehabilitation (to support discharge)</t>
  </si>
  <si>
    <t>Community Trusted Assessor for equipment</t>
  </si>
  <si>
    <t>trusted assessor in Community Equipment store</t>
  </si>
  <si>
    <t>West Sussex7Responsive ServicesBed based intermediate Care Services (Reablement, rehabilitation, wider short-term services supporting recovery)Bed-based intermediate care with reablement (to support discharge)</t>
  </si>
  <si>
    <t>Health Community Support - Adults - Carers breaks</t>
  </si>
  <si>
    <t>West Sussex13Carers ServicesCarers ServicesOther</t>
  </si>
  <si>
    <t>West Sussex14Technology Enabled CareAssistive Technologies and EquipmentAssistive technologies including telecare</t>
  </si>
  <si>
    <t>West Sussex15Community EquipmentAssistive Technologies and EquipmentCommunity based equipment</t>
  </si>
  <si>
    <t>Domiciliary Care to support Home First pathway</t>
  </si>
  <si>
    <t>West Sussex17WSD005 - Domilciary Care RoundsHome Care or Domiciliary CareDomiciliary care to support hospital discharge (Discharge to Assess pathway 1)</t>
  </si>
  <si>
    <t>WSD005 - Domilciary Care Rounds</t>
  </si>
  <si>
    <t>Fessey House D2A beds</t>
  </si>
  <si>
    <t>West Sussex17WSD011- Step Down BedsHome-based intermediate care servicesRehabilitation at home (to support discharge)</t>
  </si>
  <si>
    <t>WSD011- Step Down Beds</t>
  </si>
  <si>
    <t>West Sussex18WSD006 - Hospital Discharge Care Additional HoursHome Care or Domiciliary CareDomiciliary care to support hospital discharge (Discharge to Assess pathway 1)</t>
  </si>
  <si>
    <t>WSD006 - Hospital Discharge Care Additional Hours</t>
  </si>
  <si>
    <t>West Sussex19WSD005A - Domiciliary Care RoundsHome Care or Domiciliary CareDomiciliary care to support hospital discharge (Discharge to Assess pathway 1)</t>
  </si>
  <si>
    <t>WSD005A - Domiciliary Care Rounds</t>
  </si>
  <si>
    <t>West Sussex19WSD007 - Additional B6 Nurse Locum to Support Clinical Assessment in HFHome-based intermediate care servicesRehabilitation at home (to support discharge)</t>
  </si>
  <si>
    <t>WSD007 - Additional B6 Nurse Locum to Support Clinical Assessment in HF</t>
  </si>
  <si>
    <t>continuation of investment in telehealth services to support individuals to live independent lives</t>
  </si>
  <si>
    <t>West Sussex19WSD009 - Self-funder Placement Support Service (CHS)Residential PlacementsCare home</t>
  </si>
  <si>
    <t>WSD009 - Self-funder Placement Support Service (CHS)</t>
  </si>
  <si>
    <t>Investment in assitive equipnment to support hospital discharge and independent living</t>
  </si>
  <si>
    <t>West Sussex19WSD015 - Health Care Assistants Providing Additional Care Capacity in Home FirstHome-based intermediate care servicesRehabilitation at home (to support discharge)</t>
  </si>
  <si>
    <t>WSD015 - Health Care Assistants Providing Additional Care Capacity in Home First</t>
  </si>
  <si>
    <t>West Sussex19WSD017 - Technology Enabled Care (TEC) – Hospital AssessorsAssistive Technologies and EquipmentAssistive technologies including telecare</t>
  </si>
  <si>
    <t>WSD017 - Technology Enabled Care (TEC) – Hospital Assessors</t>
  </si>
  <si>
    <t>Digital Health subcontracting</t>
  </si>
  <si>
    <t>West Sussex19WSD021 - Mental health D2A -  Care HoursHome Care or Domiciliary CareDomiciliary care to support hospital discharge (Discharge to Assess pathway 1)</t>
  </si>
  <si>
    <t>WSD021 - Mental health D2A -  Care Hours</t>
  </si>
  <si>
    <t>Westminster1Homecare package cost Home Care or Domiciliary CareDomiciliary care packages</t>
  </si>
  <si>
    <t xml:space="preserve">Homecare package cost </t>
  </si>
  <si>
    <t>management and staffing &amp; through the night programme</t>
  </si>
  <si>
    <t>Westminster2 Carers Personal BudgetCarers ServicesRespite services</t>
  </si>
  <si>
    <t xml:space="preserve"> Carers Personal Budget</t>
  </si>
  <si>
    <t>Additional packages of care to facilitate early discharge to residential care homes</t>
  </si>
  <si>
    <t>Westminster3Community Equipment ServicesAssistive Technologies and EquipmentAssistive technologies including telecare</t>
  </si>
  <si>
    <t xml:space="preserve">Funding to support fee increases </t>
  </si>
  <si>
    <t>Fee increase to support local provider market sustanability</t>
  </si>
  <si>
    <t>Westminster5 MH Placements (including ISH) PlacementsResidential PlacementsSupported housing</t>
  </si>
  <si>
    <t xml:space="preserve"> MH Placements (including ISH) Placements</t>
  </si>
  <si>
    <t>Westminster6
Westminster Flexicare MINDCarers ServicesOther</t>
  </si>
  <si>
    <t xml:space="preserve">
Westminster Flexicare MIND</t>
  </si>
  <si>
    <t>Westminster17Community EquipmentAssistive Technologies and EquipmentCommunity based equipment</t>
  </si>
  <si>
    <t>Additional packages of care to facilitate early discharge to nursing care homes</t>
  </si>
  <si>
    <t>Westminster26Homecare package cost Home Care or Domiciliary CareDomiciliary care packages</t>
  </si>
  <si>
    <t>Additional packages of care to facilitate early discharge for Support at Home Packages of Care</t>
  </si>
  <si>
    <t>Westminster27DFG- Handy Person DFG Related SchemesHandyperson services</t>
  </si>
  <si>
    <t xml:space="preserve">DFG- Handy Person </t>
  </si>
  <si>
    <t>Enhanced step down capacity for intermediate care bed base.</t>
  </si>
  <si>
    <t>Westminster28DFG housing adapationDFG Related SchemesAdaptations, including statutory DFG grants</t>
  </si>
  <si>
    <t>Westminster29Home Care/ Domicilliary CareHome Care or Domiciliary CareDomiciliary care packages</t>
  </si>
  <si>
    <t>Westminster33Pathway 3 Bed base  intermediate care Bed based intermediate Care Services (Reablement, rehabilitation, wider short-term services supporting recovery)Bed-based intermediate care with reablement (to support discharge)</t>
  </si>
  <si>
    <t>Westminster34Pathway 3 Additional PlacementBed based intermediate Care Services (Reablement, rehabilitation, wider short-term services supporting recovery)Bed-based intermediate care with reablement (to support discharge)</t>
  </si>
  <si>
    <t>Pathway 3 Additional Placement</t>
  </si>
  <si>
    <t>Westminster36Pathway 1-Homecare  Home Care/ Domicilliary Care - Long Term Home Care or Domiciliary CareDomiciliary care packages</t>
  </si>
  <si>
    <t xml:space="preserve">Westminster37Pathway 1  Reablement Home-based intermediate care servicesReablement at home (to support discharge) </t>
  </si>
  <si>
    <t>Westmorland and Furness1BCF Equipment Assistive Technologies and EquipmentCommunity based equipment</t>
  </si>
  <si>
    <t xml:space="preserve">BCF Equipment </t>
  </si>
  <si>
    <t>Westmorland and Furness3BCF Carers SupportCarers ServicesCarer advice and support related to Care Act duties</t>
  </si>
  <si>
    <t>BCF Carers Support</t>
  </si>
  <si>
    <t>Other Care</t>
  </si>
  <si>
    <t>minor &amp; major adaptations</t>
  </si>
  <si>
    <t>Westmorland and Furness12BCF ReablementHome-based intermediate care servicesReablement at home (accepting step up and step down users)</t>
  </si>
  <si>
    <t>BCF Reablement</t>
  </si>
  <si>
    <t>Westmorland and Furness15BCF GDC and Night ServicesHome Care or Domiciliary CareDomiciliary care packages</t>
  </si>
  <si>
    <t>BCF GDC and Night Services</t>
  </si>
  <si>
    <t>Westmorland and Furness15iBCF Community Support at Home Home Care or Domiciliary CareOther</t>
  </si>
  <si>
    <t xml:space="preserve">iBCF Community Support at Home </t>
  </si>
  <si>
    <t>Community Resilience</t>
  </si>
  <si>
    <t>Westmorland and Furness17iBCF Residential and Nursing Placements Residential PlacementsCare home</t>
  </si>
  <si>
    <t xml:space="preserve">iBCF Residential and Nursing Placements </t>
  </si>
  <si>
    <t>Westmorland and Furness12iBCF Additional Reablement SupportHome-based intermediate care servicesOther</t>
  </si>
  <si>
    <t>iBCF Additional Reablement Support</t>
  </si>
  <si>
    <t>Neighbourhood Care</t>
  </si>
  <si>
    <t>Westmorland and Furness5DFG DFG Related SchemesAdaptations, including statutory DFG grants</t>
  </si>
  <si>
    <t>Westmorland and Furness12Additional Discharge CommunityHome Care or Domiciliary CareDomiciliary care to support hospital discharge (Discharge to Assess pathway 1)</t>
  </si>
  <si>
    <t>Additional Discharge Community</t>
  </si>
  <si>
    <t>Westmorland and Furness1Additional Discharge Equipment Assistive TechnologyAssistive Technologies and EquipmentCommunity based equipment</t>
  </si>
  <si>
    <t>Additional Discharge Equipment Assistive Technology</t>
  </si>
  <si>
    <t>Westmorland and Furness3Additional Discharge Carers SupportCarers ServicesOther</t>
  </si>
  <si>
    <t>Additional Discharge Carers Support</t>
  </si>
  <si>
    <t>staffing support</t>
  </si>
  <si>
    <t>Wigan4ReablementHome-based intermediate care servicesReablement at home (accepting step up and step down users)</t>
  </si>
  <si>
    <t>Wigan5NHS Funding to Support Social Care - Nursing CareResidential PlacementsNursing home</t>
  </si>
  <si>
    <t>NHS Funding to Support Social Care - Nursing Care</t>
  </si>
  <si>
    <t>Wigan6NHS Funding to Support Social Care - Residential CareResidential PlacementsCare home</t>
  </si>
  <si>
    <t>NHS Funding to Support Social Care - Residential Care</t>
  </si>
  <si>
    <t>Wigan9NHS Funding to Support Social Care - Home CareHome Care or Domiciliary CareDomiciliary care packages</t>
  </si>
  <si>
    <t>NHS Funding to Support Social Care - Home Care</t>
  </si>
  <si>
    <t>Wigan11Assistive TechnologyAssistive Technologies and EquipmentCommunity based equipment</t>
  </si>
  <si>
    <t>operational &amp; development staffing support</t>
  </si>
  <si>
    <t>Wigan12Community Equipment &amp; AdaptationsAssistive Technologies and EquipmentCommunity based equipment</t>
  </si>
  <si>
    <t>Community Equipment &amp; Adaptations</t>
  </si>
  <si>
    <t>Wigan16CarersCarers ServicesCarer advice and support related to Care Act duties</t>
  </si>
  <si>
    <t>Wigan19Older Persons &amp; Intermediate Care ServicesBed based intermediate Care Services (Reablement, rehabilitation, wider short-term services supporting recovery)Bed-based intermediate care with reablement (to support discharge)</t>
  </si>
  <si>
    <t>Older Persons &amp; Intermediate Care Services</t>
  </si>
  <si>
    <t>Wigan22Care at HomeHome Care or Domiciliary CareDomiciliary care packages</t>
  </si>
  <si>
    <t>Wigan27Transformed Home Care ModelHome Care or Domiciliary CareDomiciliary care to support hospital discharge (Discharge to Assess pathway 1)</t>
  </si>
  <si>
    <t>Transformed Home Care Model</t>
  </si>
  <si>
    <t>Wigan28Development of High Quality Demetia ServiceResidential PlacementsNursing home</t>
  </si>
  <si>
    <t>Development of High Quality Demetia Service</t>
  </si>
  <si>
    <t>Wigan32Investment in the Continued Innovation &amp; Sustainability of the Nursing Care MarketResidential PlacementsNursing home</t>
  </si>
  <si>
    <t>Investment in the Continued Innovation &amp; Sustainability of the Nursing Care Market</t>
  </si>
  <si>
    <t>Wigan33Investment in the Continued Innovation &amp; Sustainability of the Residential Care MarketResidential PlacementsCare home</t>
  </si>
  <si>
    <t>Investment in the Continued Innovation &amp; Sustainability of the Residential Care Market</t>
  </si>
  <si>
    <t>Care Act 2014 related duties</t>
  </si>
  <si>
    <t>Wigan35Investment in Community Based Care and Support to Ensure the Ongoing Sustainability of Provision Home CareHome Care or Domiciliary CareDomiciliary care packages</t>
  </si>
  <si>
    <t>Investment in Community Based Care and Support to Ensure the Ongoing Sustainability of Provision Home Care</t>
  </si>
  <si>
    <t>Using technology in care processes to support self management</t>
  </si>
  <si>
    <t>Wigan38People Powered Technology &amp; Digital Reform Assistive Technologies and EquipmentCommunity based equipment</t>
  </si>
  <si>
    <t xml:space="preserve">People Powered Technology &amp; Digital Reform </t>
  </si>
  <si>
    <t>Intermediate Care Teams</t>
  </si>
  <si>
    <t>To support discharge, prevention of admission and step down.</t>
  </si>
  <si>
    <t>Wigan40Reform &amp; Expansion of Early Intervention ServicesBed based intermediate Care Services (Reablement, rehabilitation, wider short-term services supporting recovery)Bed-based intermediate care with reablement (to support discharge)</t>
  </si>
  <si>
    <t>Reform &amp; Expansion of Early Intervention Services</t>
  </si>
  <si>
    <t>Wigan42Reform &amp; Expansion of Early Intervention ServicesAssistive Technologies and EquipmentCommunity based equipment</t>
  </si>
  <si>
    <t>Rapid Response Torbay</t>
  </si>
  <si>
    <t>Wigan47Population Health - Deal for Carers. Sustaining Strengthened Support &amp; Recognition for Carers. Carers ServicesRespite services</t>
  </si>
  <si>
    <t xml:space="preserve">Population Health - Deal for Carers. Sustaining Strengthened Support &amp; Recognition for Carers. </t>
  </si>
  <si>
    <t>Wigan49Mental Health ServicesResidential PlacementsSupported housing</t>
  </si>
  <si>
    <t>Wigan51Disabled Facilities GrantDFG Related SchemesAdaptations, including statutory DFG grants</t>
  </si>
  <si>
    <t>Supporting Hospital Discharge; 3 contracts and 1 co-ordinator</t>
  </si>
  <si>
    <t>nhs</t>
  </si>
  <si>
    <t>Wigan52Additional Bed CapacityBed based intermediate Care Services (Reablement, rehabilitation, wider short-term services supporting recovery)Bed-based intermediate care with reablement (to support discharge)</t>
  </si>
  <si>
    <t>Additional Bed Capacity</t>
  </si>
  <si>
    <t>Block contracts to support hospital discharge</t>
  </si>
  <si>
    <t>Wigan53Additional Home Care ProvisionHome Care or Domiciliary CareDomiciliary care packages</t>
  </si>
  <si>
    <t>Wigan54Additional Home Care ProvisionHome Care or Domiciliary CareDomiciliary care packages</t>
  </si>
  <si>
    <t xml:space="preserve">Domicillary Care packages </t>
  </si>
  <si>
    <t xml:space="preserve">Wigan58Additional Reablement ProvisionHome-based intermediate care servicesReablement at home (to support discharge) </t>
  </si>
  <si>
    <t>Additional Reablement Provision</t>
  </si>
  <si>
    <t>Brokerage service - support for hospital discharge</t>
  </si>
  <si>
    <t>Wiltshire1IC Therapy (Wiltshire Health and Care ASC)Bed based intermediate Care Services (Reablement, rehabilitation, wider short-term services supporting recovery)Bed-based intermediate care with rehabilitation (to support discharge)</t>
  </si>
  <si>
    <t>IC Therapy (Wiltshire Health and Care ASC)</t>
  </si>
  <si>
    <t>Council contribution to Medequip contract</t>
  </si>
  <si>
    <t>Wiltshire6Step Up Beds (WHC ACS) Community Hospital BedsBed based intermediate Care Services (Reablement, rehabilitation, wider short-term services supporting recovery)Bed-based intermediate care with rehabilitation (to support discharge)</t>
  </si>
  <si>
    <t>Step Up Beds (WHC ACS) Community Hospital Beds</t>
  </si>
  <si>
    <t>CCG contribution Medequip contract</t>
  </si>
  <si>
    <t>Wiltshire19Homefirst Plus- Local Authority ContributionHome-based intermediate care servicesReablement at home (accepting step up and step down users)</t>
  </si>
  <si>
    <t>Homefirst Plus- Local Authority Contribution</t>
  </si>
  <si>
    <t>CCG &amp; LBTH contribution to Telecare, Independent Living Hub, pharmacy prescriptions &amp; wheelchair service</t>
  </si>
  <si>
    <t>Wiltshire20Carers - LA contribution to pool (Adults)Carers ServicesCarer advice and support related to Care Act duties</t>
  </si>
  <si>
    <t>Carers - LA contribution to pool (Adults)</t>
  </si>
  <si>
    <t xml:space="preserve">Support for carers </t>
  </si>
  <si>
    <t>Wiltshire21Carers - LA contribution to pool (Childrens)Carers ServicesCarer advice and support related to Care Act duties</t>
  </si>
  <si>
    <t>Carers - LA contribution to pool (Childrens)</t>
  </si>
  <si>
    <t>Wiltshire23Disabled Facilities Capital GrantDFG Related SchemesAdaptations, including statutory DFG grants</t>
  </si>
  <si>
    <t>Disabled Facilities Capital Grant</t>
  </si>
  <si>
    <t>Adaptations in peoples homes eg lifts</t>
  </si>
  <si>
    <t>Wiltshire26Medvivo - Telecare Response and SupportAssistive Technologies and EquipmentAssistive technologies including telecare</t>
  </si>
  <si>
    <t>Medvivo - Telecare Response and Support</t>
  </si>
  <si>
    <t>Maintenance of equipment eg lifts, costs of providing the infrastructure for this and also supply of lower cost equipment eg toilet seats</t>
  </si>
  <si>
    <t>Wiltshire28Complex Care packagesHome Care or Domiciliary CareDomiciliary care packages</t>
  </si>
  <si>
    <t>Complex Care packages</t>
  </si>
  <si>
    <t>Wiltshire32Carers - ICB contribution to pool (CCG)Carers ServicesRespite services</t>
  </si>
  <si>
    <t>Carers - ICB contribution to pool (CCG)</t>
  </si>
  <si>
    <t>Wiltshire41Step Up/Down Beds - IR BedsBed based intermediate Care Services (Reablement, rehabilitation, wider short-term services supporting recovery)Bed-based intermediate care with rehabilitation (to support discharge)</t>
  </si>
  <si>
    <t>Step Up/Down Beds - IR Beds</t>
  </si>
  <si>
    <t>Respite for Carers</t>
  </si>
  <si>
    <t>Wiltshire42Block Beds D2A additional bed capacity - Non RecurrentBed based intermediate Care Services (Reablement, rehabilitation, wider short-term services supporting recovery)Bed-based intermediate care with reablement (to support discharge)</t>
  </si>
  <si>
    <t>Block Beds D2A additional bed capacity - Non Recurrent</t>
  </si>
  <si>
    <t xml:space="preserve">Wiltshire43Council reablementHome-based intermediate care servicesReablement at home (to support discharge) </t>
  </si>
  <si>
    <t>Council reablement</t>
  </si>
  <si>
    <t>Wiltshire44TF Dom Care - in house - a - Discharge Fund - ICBHome-based intermediate care servicesReablement at home (accepting step up and step down users)</t>
  </si>
  <si>
    <t>TF Dom Care - in house - a - Discharge Fund - ICB</t>
  </si>
  <si>
    <t>Wiltshire45TF Dom Care - in house - aHome Care or Domiciliary CareDomiciliary care to support hospital discharge (Discharge to Assess pathway 1)</t>
  </si>
  <si>
    <t>TF Dom Care - in house - a</t>
  </si>
  <si>
    <t>One Stop Resource Centre</t>
  </si>
  <si>
    <t>Wiltshire46Dom Care - Rapid response a Discharge Fund ICBHome Care or Domiciliary CareDomiciliary care to support hospital discharge (Discharge to Assess pathway 1)</t>
  </si>
  <si>
    <t>Dom Care - Rapid response a Discharge Fund ICB</t>
  </si>
  <si>
    <t>Temporary beds to expedite hospital discharges</t>
  </si>
  <si>
    <t>Wiltshire47EOL &amp; Non CHC complex/ spot- non recurrentHome Care or Domiciliary CareDomiciliary care to support hospital discharge (Discharge to Assess pathway 1)</t>
  </si>
  <si>
    <t>EOL &amp; Non CHC complex/ spot- non recurrent</t>
  </si>
  <si>
    <t>Temporary homecare packages to expedite hospital discharges</t>
  </si>
  <si>
    <t xml:space="preserve">Wiltshire52Home First Plus - WHCHome-based intermediate care servicesReablement at home (to support discharge) </t>
  </si>
  <si>
    <t>Home First Plus - WHC</t>
  </si>
  <si>
    <t>Wiltshire57New: Providing stability and extra capacity in the local care system - Complex CasesHome Care or Domiciliary CareDomiciliary care packages</t>
  </si>
  <si>
    <t>New: Providing stability and extra capacity in the local care system - Complex Cases</t>
  </si>
  <si>
    <t>GP cover for residents in D2A beds</t>
  </si>
  <si>
    <t>Wiltshire58Providing stability and extra capacity I the local care system - Accommodation (i) IBCFResidential PlacementsNursing home</t>
  </si>
  <si>
    <t>Providing stability and extra capacity I the local care system - Accommodation (i) IBCF</t>
  </si>
  <si>
    <t>Pharmacy cover for residents in D2A beds</t>
  </si>
  <si>
    <t>Wiltshire59Providing stability and extra capacity in the local care system - Accomodation (ii) IBCFResidential PlacementsNursing home</t>
  </si>
  <si>
    <t>Providing stability and extra capacity in the local care system - Accomodation (ii) IBCF</t>
  </si>
  <si>
    <t xml:space="preserve">Windsor and Maidenhead6Short Term Support &amp; Re-ablement- RBWMHome-based intermediate care servicesReablement at home (to support discharge) </t>
  </si>
  <si>
    <t>Short Term Support &amp; Re-ablement- RBWM</t>
  </si>
  <si>
    <t>Windsor and Maidenhead8Care Home PlacementResidential PlacementsCare home</t>
  </si>
  <si>
    <t>Care Home Placement</t>
  </si>
  <si>
    <t>Enhancing capacity in homecare through the provision of transport to care workers</t>
  </si>
  <si>
    <t>Windsor and Maidenhead9Outcome Based Commissioning for Prevention (Domiciliary Care)Home Care or Domiciliary CareDomiciliary care packages</t>
  </si>
  <si>
    <t>Outcome Based Commissioning for Prevention (Domiciliary Care)</t>
  </si>
  <si>
    <t>Intermediate Care- Dementia Homes</t>
  </si>
  <si>
    <t>Windsor and Maidenhead10Community Beds (St Marks) BHFTBed based intermediate Care Services (Reablement, rehabilitation, wider short-term services supporting recovery)Other</t>
  </si>
  <si>
    <t>Community Beds (St Marks) BHFT</t>
  </si>
  <si>
    <t>Personalised support- Extra Care in house</t>
  </si>
  <si>
    <t>Personalised support- Extra Care External</t>
  </si>
  <si>
    <t>Windsor and Maidenhead11EquipmentAssistive Technologies and EquipmentCommunity based equipment</t>
  </si>
  <si>
    <t>Windsor and Maidenhead12Telehealth &amp; Equipment (Community Equipment Store)Assistive Technologies and EquipmentAssistive technologies including telecare</t>
  </si>
  <si>
    <t>Telehealth &amp; Equipment (Community Equipment Store)</t>
  </si>
  <si>
    <t>Disabled Facilities Grant Team</t>
  </si>
  <si>
    <t>Windsor and Maidenhead13Care Home Placement- CarersCarers ServicesRespite services</t>
  </si>
  <si>
    <t>Care Home Placement- Carers</t>
  </si>
  <si>
    <t>Windsor and Maidenhead14Support/ Respite for Carers identified by ESTCarers ServicesRespite services</t>
  </si>
  <si>
    <t>Support/ Respite for Carers identified by EST</t>
  </si>
  <si>
    <t>Adaptations team &amp; equipment</t>
  </si>
  <si>
    <t>Windsor and Maidenhead15Carers Respite RBWM- Young CarersCarers ServicesRespite services</t>
  </si>
  <si>
    <t>Carers Respite RBWM- Young Carers</t>
  </si>
  <si>
    <t>LD Locked Rehab</t>
  </si>
  <si>
    <t>MH Services - NCAs</t>
  </si>
  <si>
    <t>Windsor and Maidenhead17Training for parent carers-Early Bird ProjectsCarers ServicesOther</t>
  </si>
  <si>
    <t>Training for parent carers-Early Bird Projects</t>
  </si>
  <si>
    <t>CHC - LD -S117</t>
  </si>
  <si>
    <t>Windsor and Maidenhead18Crossroads Sitting ServiceCarers ServicesRespite services</t>
  </si>
  <si>
    <t>Crossroads Sitting Service</t>
  </si>
  <si>
    <t>MH Services Adults - MH Locked Rehab</t>
  </si>
  <si>
    <t>Windsor and Maidenhead19Carers Services Personal Budgets- Care ActCarers ServicesOther</t>
  </si>
  <si>
    <t>Carers Services Personal Budgets- Care Act</t>
  </si>
  <si>
    <t>CHC - MH Services - S117 Mental Health</t>
  </si>
  <si>
    <t>Windsor and Maidenhead20BME Outreach and Engagement - Care ActCarers ServicesOther</t>
  </si>
  <si>
    <t>BME Outreach and Engagement - Care Act</t>
  </si>
  <si>
    <t>Reablement - Integrated Care Equipment Service-Council</t>
  </si>
  <si>
    <t>Windsor and Maidenhead29Base Budget Contingency - Social Care Projects (on-going)DFG Related SchemesDiscretionary use of DFG</t>
  </si>
  <si>
    <t>Base Budget Contingency - Social Care Projects (on-going)</t>
  </si>
  <si>
    <t>Reablement - Integrated Care Equipment Service-CCG</t>
  </si>
  <si>
    <t>Windsor and Maidenhead57Discharges-Short Term Support Home CareHome Care or Domiciliary CareDomiciliary care packages</t>
  </si>
  <si>
    <t>Discharges-Short Term Support Home Care</t>
  </si>
  <si>
    <t>Reablement - Wheelchair service</t>
  </si>
  <si>
    <t>Windsor and Maidenhead62Disabled Facilities Grant-Capital ApprovedDFG Related SchemesAdaptations, including statutory DFG grants</t>
  </si>
  <si>
    <t>Disabled Facilities Grant-Capital Approved</t>
  </si>
  <si>
    <t>Bridging team</t>
  </si>
  <si>
    <t>Windsor and Maidenhead63EquipmentDFG Related SchemesDiscretionary use of DFG</t>
  </si>
  <si>
    <t>Enhanced service home care for dementia, complex behaviour and short term interventions</t>
  </si>
  <si>
    <t>Wirral1Wirral Independence ServiceAssistive Technologies and EquipmentCommunity based equipment</t>
  </si>
  <si>
    <t>Wirral Independence Service</t>
  </si>
  <si>
    <t>Wirral3TeletriageAssistive Technologies and EquipmentAssistive technologies including telecare</t>
  </si>
  <si>
    <t>Teletriage</t>
  </si>
  <si>
    <t>Intermediate care capacity</t>
  </si>
  <si>
    <t>Wirral5Home first - MDT (CIRT)Bed based intermediate Care Services (Reablement, rehabilitation, wider short-term services supporting recovery)Bed-based intermediate care with reablement accepting step up and step down users</t>
  </si>
  <si>
    <t>Home first - MDT (CIRT)</t>
  </si>
  <si>
    <t>To support patients in their homes - funding 2 members of staff to cover the service.</t>
  </si>
  <si>
    <t>To support patients in their homes</t>
  </si>
  <si>
    <t>Wirral8D2A - clatterbridge - CICCBed based intermediate Care Services (Reablement, rehabilitation, wider short-term services supporting recovery)Bed-based intermediate care with rehabilitation (to support discharge)</t>
  </si>
  <si>
    <t>D2A - clatterbridge - CICC</t>
  </si>
  <si>
    <t>Wirral9D2A - additional bedsBed based intermediate Care Services (Reablement, rehabilitation, wider short-term services supporting recovery)Bed-based intermediate care with rehabilitation (to support discharge)</t>
  </si>
  <si>
    <t>D2A - additional beds</t>
  </si>
  <si>
    <t>additional interim beds</t>
  </si>
  <si>
    <t xml:space="preserve">Wirral14Re-ablement - Commissioned CareHome-based intermediate care servicesReablement at home (to support discharge) </t>
  </si>
  <si>
    <t>Re-ablement - Commissioned Care</t>
  </si>
  <si>
    <t xml:space="preserve">Integrated Equipment Store </t>
  </si>
  <si>
    <t>Wirral15Dom Care (stabilising the Market - 15 min &amp; 7 day retainer)Home Care or Domiciliary CareDomiciliary care packages</t>
  </si>
  <si>
    <t>Dom Care (stabilising the Market - 15 min &amp; 7 day retainer)</t>
  </si>
  <si>
    <t xml:space="preserve">Disabled Facilties Grant - Capital Grant </t>
  </si>
  <si>
    <t>Wirral21Carers ServiceCarers ServicesRespite services</t>
  </si>
  <si>
    <t>Disabled Facilties Grant - Integrated Equipment Store</t>
  </si>
  <si>
    <t>Wirral22Mobile Nights ServiceHome Care or Domiciliary CareDomiciliary care packages</t>
  </si>
  <si>
    <t>Mobile Nights Service</t>
  </si>
  <si>
    <t>Wirral25Winter Funding - Supporting Dom CareHome Care or Domiciliary CareDomiciliary care to support hospital discharge (Discharge to Assess pathway 1)</t>
  </si>
  <si>
    <t>Winter Funding - Supporting Dom Care</t>
  </si>
  <si>
    <t>Community Care packages/support</t>
  </si>
  <si>
    <t>Wirral28IV AntibioticsBed based intermediate Care Services (Reablement, rehabilitation, wider short-term services supporting recovery)Other</t>
  </si>
  <si>
    <t>IV Antibiotics</t>
  </si>
  <si>
    <t>Reablement at Home</t>
  </si>
  <si>
    <t>Wirral35DFGDFG Related SchemesAdaptations, including statutory DFG grants</t>
  </si>
  <si>
    <t>Bed Based Services</t>
  </si>
  <si>
    <t>Wirral40Park HouseBed based intermediate Care Services (Reablement, rehabilitation, wider short-term services supporting recovery)Bed-based intermediate care with rehabilitation (to support discharge)</t>
  </si>
  <si>
    <t>Park House</t>
  </si>
  <si>
    <t>Wirral23Home First Bed based intermediate Care Services (Reablement, rehabilitation, wider short-term services supporting recovery)Bed-based intermediate care with rehabilitation (to support discharge)</t>
  </si>
  <si>
    <t>Redesign of Stroke beds for Rehab/ Falls Service</t>
  </si>
  <si>
    <t>Wirral46Melrose HouseBed based intermediate Care Services (Reablement, rehabilitation, wider short-term services supporting recovery)Bed-based intermediate care with rehabilitation (to support discharge)</t>
  </si>
  <si>
    <t>Melrose House</t>
  </si>
  <si>
    <t xml:space="preserve">Rapid Response Team Intermediate Care Services and Community Health Service within service level agreement with Walsall Healthcare Trust </t>
  </si>
  <si>
    <t>Wokingham2Voluntary Sector partnership, social prescribingCarers ServicesOther</t>
  </si>
  <si>
    <t>Voluntary Sector partnership, social prescribing</t>
  </si>
  <si>
    <t>Community Equipment Service (Health element allocation)</t>
  </si>
  <si>
    <t xml:space="preserve">Wokingham4Maximising Independence - START team reablementHome-based intermediate care servicesJoint reablement and rehabilitation service (to support discharge) </t>
  </si>
  <si>
    <t>Maximising Independence - START team reablement</t>
  </si>
  <si>
    <t>End of life divisionary beds</t>
  </si>
  <si>
    <t>Wokingham5Disabled Facilities GrantDFG Related SchemesAdaptations, including statutory DFG grants</t>
  </si>
  <si>
    <t>Community Equipment Provision</t>
  </si>
  <si>
    <t>Wokingham6iBCF FundingHome Care or Domiciliary CareDomiciliary care packages</t>
  </si>
  <si>
    <t>iBCF Funding</t>
  </si>
  <si>
    <t>Wokingham9Protection of ASC - Residential/Nursing/Dom CareResidential PlacementsNursing home</t>
  </si>
  <si>
    <t>Protection of ASC - Residential/Nursing/Dom Care</t>
  </si>
  <si>
    <t xml:space="preserve">Wokingham10BHFT Sourced Maximising IndependenceHome-based intermediate care servicesJoint reablement and rehabilitation service (to support discharge) </t>
  </si>
  <si>
    <t>BHFT Sourced Maximising Independence</t>
  </si>
  <si>
    <t>Community Rehabilitation Beds</t>
  </si>
  <si>
    <t>Wokingham11Rapid Response OTBed based intermediate Care Services (Reablement, rehabilitation, wider short-term services supporting recovery)Bed-based intermediate care with reablement (to support admissions avoidance)</t>
  </si>
  <si>
    <t>Rapid Response OT</t>
  </si>
  <si>
    <t>Extra Care Placements</t>
  </si>
  <si>
    <t>Wokingham20Carers FundingCarers ServicesCarer advice and support related to Care Act duties</t>
  </si>
  <si>
    <t>Carers Funding</t>
  </si>
  <si>
    <t>MH Complex Placements</t>
  </si>
  <si>
    <t>Wokingham23Protection of ASC - Residential/Nursing/Dom CareResidential PlacementsCare home</t>
  </si>
  <si>
    <t>Supported Living Placements</t>
  </si>
  <si>
    <t>Wokingham27Wokingham Step Up BedsBed based intermediate Care Services (Reablement, rehabilitation, wider short-term services supporting recovery)Bed-based intermediate care with reablement accepting step up and step down users</t>
  </si>
  <si>
    <t>Wokingham Step Up Beds</t>
  </si>
  <si>
    <t>GML Step Down Beds</t>
  </si>
  <si>
    <t>Wokingham29Contribution to Step Down Suffolk Lodge &amp; additional part time co-ordinatorBed based intermediate Care Services (Reablement, rehabilitation, wider short-term services supporting recovery)Bed-based intermediate care with reablement (to support discharge)</t>
  </si>
  <si>
    <t>Contribution to Step Down Suffolk Lodge &amp; additional part time co-ordinator</t>
  </si>
  <si>
    <t xml:space="preserve">Wokingham37Surrey Model Reablement ImplementationHome-based intermediate care servicesReablement at home (to support discharge) </t>
  </si>
  <si>
    <t>Surrey Model Reablement Implementation</t>
  </si>
  <si>
    <t>24-25 Uplift allocation</t>
  </si>
  <si>
    <t>Wokingham39Protection of ASC - Residential/Nursing/Dom CareHome Care or Domiciliary CareDomiciliary care packages</t>
  </si>
  <si>
    <t xml:space="preserve">Wokingham42BHFT reablement contractHome-based intermediate care servicesReablement at home (to support discharge) </t>
  </si>
  <si>
    <t>BHFT reablement contract</t>
  </si>
  <si>
    <t>Wokingham46Care homes staffing costsResidential PlacementsCare home</t>
  </si>
  <si>
    <t>Care homes staffing costs</t>
  </si>
  <si>
    <t>Better Mental Health</t>
  </si>
  <si>
    <t>Wokingham47Out of Hospital - Speech &amp; Language TherapyHome-based intermediate care servicesReablement at home (accepting step up and step down users)</t>
  </si>
  <si>
    <t>Out of Hospital - Speech &amp; Language Therapy</t>
  </si>
  <si>
    <t>Wokingham48Out of Hospital - Care Homes in ReachBed based intermediate Care Services (Reablement, rehabilitation, wider short-term services supporting recovery)Bed-based intermediate care with rehabilitation (to support admission avoidance)</t>
  </si>
  <si>
    <t>Out of Hospital - Care Homes in Reach</t>
  </si>
  <si>
    <t>Improving Life Chances for people with Learning Disabilities</t>
  </si>
  <si>
    <t>Wokingham49Out of Hospital - Community GeriatricianBed based intermediate Care Services (Reablement, rehabilitation, wider short-term services supporting recovery)Bed-based intermediate care with reablement (to support admissions avoidance)</t>
  </si>
  <si>
    <t>Out of Hospital - Community Geriatrician</t>
  </si>
  <si>
    <t>Management of Care Market</t>
  </si>
  <si>
    <t>Wokingham50Out of Hospital - Intermediate Care (Discharge Service)Bed based intermediate Care Services (Reablement, rehabilitation, wider short-term services supporting recovery)Bed-based intermediate care with reablement (to support discharge)</t>
  </si>
  <si>
    <t>Out of Hospital - Intermediate Care (Discharge Service)</t>
  </si>
  <si>
    <t>Prevention and Early Intervention</t>
  </si>
  <si>
    <t>Wokingham52Out of Hospital - Intermediate Care (inc night sitting, rapid response, reablement, falls)Bed based intermediate Care Services (Reablement, rehabilitation, wider short-term services supporting recovery)Bed-based intermediate care with reablement (to support admissions avoidance)</t>
  </si>
  <si>
    <t>Out of Hospital - Intermediate Care (inc night sitting, rapid response, reablement, falls)</t>
  </si>
  <si>
    <t>Wokingham54Carers Funding (CCG)Carers ServicesOther</t>
  </si>
  <si>
    <t>Carers Funding (CCG)</t>
  </si>
  <si>
    <t>Intermediate Bed Based Support</t>
  </si>
  <si>
    <t>Wokingham57Discharge Fund Block BedsResidential PlacementsNursing home</t>
  </si>
  <si>
    <t>Discharge Fund Block Beds</t>
  </si>
  <si>
    <t>SL Care Placements</t>
  </si>
  <si>
    <t>Wokingham58Discharge Fund block dom careHome Care or Domiciliary CareDomiciliary care to support hospital discharge (Discharge to Assess pathway 1)</t>
  </si>
  <si>
    <t>Discharge Fund block dom care</t>
  </si>
  <si>
    <t>Supporting Hospital Discharges</t>
  </si>
  <si>
    <t>Wokingham61Discharge Fund equipmentAssistive Technologies and EquipmentCommunity based equipment</t>
  </si>
  <si>
    <t>Discharge Fund equipment</t>
  </si>
  <si>
    <t>Wolverhampton23CarersCarers ServicesRespite services</t>
  </si>
  <si>
    <t>Wolverhampton24Care ActCarers ServicesCarer advice and support related to Care Act duties</t>
  </si>
  <si>
    <t>Telehealth for HF patient and in care homes</t>
  </si>
  <si>
    <t>Wolverhampton25Demographic GrowthCarers ServicesCarer advice and support related to Care Act duties</t>
  </si>
  <si>
    <t>Demographic Growth</t>
  </si>
  <si>
    <t xml:space="preserve">Investment in Enablement services to meet reablement demand </t>
  </si>
  <si>
    <t>Wolverhampton26Dementia CafesCarers ServicesOther</t>
  </si>
  <si>
    <t>Dementia Cafes</t>
  </si>
  <si>
    <t>Wolverhampton30Reablement TeamHome-based intermediate care servicesReablement at home (accepting step up and step down users)</t>
  </si>
  <si>
    <t>Integrated health and wellbeing packages of care:
a. Maximising independence (home visiting physiotherapy, OT services and community nursing services)</t>
  </si>
  <si>
    <t>Wolverhampton32DFGDFG Related SchemesAdaptations, including statutory DFG grants</t>
  </si>
  <si>
    <t>Community Equipment from CLCH and SGUH</t>
  </si>
  <si>
    <t>Wolverhampton33Equipment loan Service fixed costAssistive Technologies and EquipmentCommunity based equipment</t>
  </si>
  <si>
    <t>Equipment loan Service fixed cost</t>
  </si>
  <si>
    <t xml:space="preserve">Maintain investment in enablement services </t>
  </si>
  <si>
    <t>Wolverhampton34Equipment loan Service variable costAssistive Technologies and EquipmentCommunity based equipment</t>
  </si>
  <si>
    <t>Equipment loan Service variable cost</t>
  </si>
  <si>
    <t>Wolverhampton36Adult Community CareAssistive Technologies and EquipmentAssistive technologies including telecare</t>
  </si>
  <si>
    <t>Adult Community Care</t>
  </si>
  <si>
    <t>Additional funds to support next day as standard community equipment, provided through contract at additional cost. Additional equipment provision</t>
  </si>
  <si>
    <t>Wolverhampton39Step Down BedsBed based intermediate Care Services (Reablement, rehabilitation, wider short-term services supporting recovery)Bed-based intermediate care with reablement (to support discharge)</t>
  </si>
  <si>
    <t xml:space="preserve">Investment to ensure smooth transition of care for people from hospital </t>
  </si>
  <si>
    <t>Wolverhampton40Step Up/Down BlockBed based intermediate Care Services (Reablement, rehabilitation, wider short-term services supporting recovery)Bed-based intermediate care with reablement (to support discharge)</t>
  </si>
  <si>
    <t>Step Up/Down Block</t>
  </si>
  <si>
    <t>Bed Bureau and Mental Health step down capacity across SWL</t>
  </si>
  <si>
    <t>Wolverhampton41Bradley Respite CentreBed based intermediate Care Services (Reablement, rehabilitation, wider short-term services supporting recovery)Bed-based intermediate care with reablement (to support discharge)</t>
  </si>
  <si>
    <t>Bradley Respite Centre</t>
  </si>
  <si>
    <t>To support surges in activity/ addition capacity and to provide additional support to reablement services during winter</t>
  </si>
  <si>
    <t>Wolverhampton42Older People Care PurchasingResidential PlacementsCare home</t>
  </si>
  <si>
    <t>Older People Care Purchasing</t>
  </si>
  <si>
    <t>Wolverhampton43Older People Care PurchasingResidential PlacementsCare home</t>
  </si>
  <si>
    <t xml:space="preserve">Additional pathway 3 bedded capacity commissioned by LBR/ LBW. Includes additional incentive for weekend discharge. Additional funds for weekend admission to care home. </t>
  </si>
  <si>
    <t>Wolverhampton44Older People Care PurchasingResidential PlacementsCare home</t>
  </si>
  <si>
    <t xml:space="preserve">Carer Support Services, including Respite </t>
  </si>
  <si>
    <t>Wolverhampton48Pathway 2 seasonal spot bedsBed based intermediate Care Services (Reablement, rehabilitation, wider short-term services supporting recovery)Bed-based intermediate care with rehabilitation (to support discharge)</t>
  </si>
  <si>
    <t>Pathway 2 seasonal spot beds</t>
  </si>
  <si>
    <t xml:space="preserve">To support the continued provision of home care </t>
  </si>
  <si>
    <t>Worcestershire1General Rehab BedsBed based intermediate Care Services (Reablement, rehabilitation, wider short-term services supporting recovery)Bed-based intermediate care with reablement (to support discharge)</t>
  </si>
  <si>
    <t>Worcestershire2Intermediate  BedsBed based intermediate Care Services (Reablement, rehabilitation, wider short-term services supporting recovery)Bed-based intermediate care with reablement (to support discharge)</t>
  </si>
  <si>
    <t>Intermediate  Beds</t>
  </si>
  <si>
    <t>Social Care purchased services, providing accommodation and personal nursing care for vulnerable elderly adults needing extra support.</t>
  </si>
  <si>
    <t>Worcestershire5Worcestershire IP Unit - Pathway 2Bed based intermediate Care Services (Reablement, rehabilitation, wider short-term services supporting recovery)Bed-based intermediate care with rehabilitation (to support discharge)</t>
  </si>
  <si>
    <t>Worcestershire IP Unit - Pathway 2</t>
  </si>
  <si>
    <t xml:space="preserve">Worcestershire6Pathway 1 (UPI)Home-based intermediate care servicesJoint reablement and rehabilitation service (to support discharge) </t>
  </si>
  <si>
    <t>Pathway 1 (UPI)</t>
  </si>
  <si>
    <t xml:space="preserve">Support to carers to enable safer discharge </t>
  </si>
  <si>
    <t xml:space="preserve">Worcestershire7Pathway 1 (UPI)Home-based intermediate care servicesJoint reablement and rehabilitation service (to support discharge) </t>
  </si>
  <si>
    <t>Major Adaptations under the DFG</t>
  </si>
  <si>
    <t>Worcestershire10Pathway 1+Home Care or Domiciliary CareDomiciliary care to support hospital discharge (Discharge to Assess pathway 1)</t>
  </si>
  <si>
    <t>Pathway 1+</t>
  </si>
  <si>
    <t>Equipment and minor adaptations under DFG</t>
  </si>
  <si>
    <t>Worcestershire11Pathway 3 (SPOT DTA)Residential PlacementsShort term residential care (without rehabilitation or reablement input)</t>
  </si>
  <si>
    <t>Pathway 3 (SPOT DTA)</t>
  </si>
  <si>
    <t xml:space="preserve">Voluntary sector Handy-person under DFG discretionary fund </t>
  </si>
  <si>
    <t>Worcestershire12Pathway 3 (SPOT DTA)Residential PlacementsShort term residential care (without rehabilitation or reablement input)</t>
  </si>
  <si>
    <t>Providing person centred support enabling people with Mental Illness to live independently as possible within their own homes and in the local community</t>
  </si>
  <si>
    <t>Worcestershire15CarersCarers ServicesRespite services</t>
  </si>
  <si>
    <t>Providing appropriate housing for Mental Health service users</t>
  </si>
  <si>
    <t>Worcestershire16CarersCarers ServicesRespite services</t>
  </si>
  <si>
    <t>Mental Health - Support to people in community settings</t>
  </si>
  <si>
    <t>Worcestershire17Implementation of the Care Act- Additional demand for Home CareHome Care or Domiciliary CareOther</t>
  </si>
  <si>
    <t>Implementation of the Care Act- Additional demand for Home Care</t>
  </si>
  <si>
    <t>Learning Disabilities- Support to people in community settings</t>
  </si>
  <si>
    <t>Worcestershire18Implementation of the Care Act- Additional demand for Home CareHome Care or Domiciliary CareOther</t>
  </si>
  <si>
    <t>Community Health element of bed and home based IC services</t>
  </si>
  <si>
    <t>Worcestershire19Complex CasesResidential PlacementsOther</t>
  </si>
  <si>
    <t>Complex Cases</t>
  </si>
  <si>
    <t>LA element of bed and home based IC services</t>
  </si>
  <si>
    <t>Worcestershire20WCESAssistive Technologies and EquipmentCommunity based equipment</t>
  </si>
  <si>
    <t>WCES</t>
  </si>
  <si>
    <t>Additional commissioned Home Care to support IC capacity</t>
  </si>
  <si>
    <t>Worcestershire21Disabled Facilities GrantDFG Related SchemesAdaptations, including statutory DFG grants</t>
  </si>
  <si>
    <t>Community Equipment to support independence at home</t>
  </si>
  <si>
    <t>Worcestershire22Disabled Facilities GrantDFG Related SchemesDiscretionary use of DFG</t>
  </si>
  <si>
    <t>Worcestershire24Investment in Care Homes Residential PlacementsCare home</t>
  </si>
  <si>
    <t xml:space="preserve">Investment in Care Homes </t>
  </si>
  <si>
    <t xml:space="preserve">Telecare (inc Carecall) to support individuals at home </t>
  </si>
  <si>
    <t>Worcestershire29Pathway 1 (UPI)Home Care or Domiciliary CareDomiciliary care packages</t>
  </si>
  <si>
    <t xml:space="preserve">Worcestershire30Pathway 1 (UPI)Home-based intermediate care servicesJoint reablement and rehabilitation service (to support discharge) </t>
  </si>
  <si>
    <t>A range of carer support services</t>
  </si>
  <si>
    <t>Carer Support Services</t>
  </si>
  <si>
    <t>Third sector commissioned services</t>
  </si>
  <si>
    <t>Worcestershire31Pathway 2 Care ServicesBed based intermediate Care Services (Reablement, rehabilitation, wider short-term services supporting recovery)Bed-based intermediate care with rehabilitation (to support discharge)</t>
  </si>
  <si>
    <t>Pathway 2 Care Services</t>
  </si>
  <si>
    <t>Expansion of Reablement Service to include those whose nees have increased since admission</t>
  </si>
  <si>
    <t>split beneficiaries</t>
  </si>
  <si>
    <t>Worcestershire32Pathway 3 (SPOT DTA)Residential PlacementsShort term residential care (without rehabilitation or reablement input)</t>
  </si>
  <si>
    <t>DFG adaptations and schemes</t>
  </si>
  <si>
    <t>Worcestershire33WCESAssistive Technologies and EquipmentCommunity based equipment</t>
  </si>
  <si>
    <t>Worcestershire34Pathway 2 Discharge BedsBed based intermediate Care Services (Reablement, rehabilitation, wider short-term services supporting recovery)Bed-based intermediate care with reablement (to support discharge)</t>
  </si>
  <si>
    <t>Pathway 2 Discharge Beds</t>
  </si>
  <si>
    <t>Hospital Discharge transitional Beds</t>
  </si>
  <si>
    <t>Worcestershire35Pathway 2 Rehab BedsBed based intermediate Care Services (Reablement, rehabilitation, wider short-term services supporting recovery)Bed-based intermediate care with reablement (to support discharge)</t>
  </si>
  <si>
    <t>Pathway 2 Rehab Beds</t>
  </si>
  <si>
    <t>York1DFG and FallsDFG Related SchemesDiscretionary use of DFG</t>
  </si>
  <si>
    <t>DFG and Falls</t>
  </si>
  <si>
    <t>York2Packages of Care - Care at HomeHome Care or Domiciliary CareDomiciliary care packages</t>
  </si>
  <si>
    <t>Packages of Care - Care at Home</t>
  </si>
  <si>
    <t>York3Packages of Care - Care at HomeHome Care or Domiciliary CareDomiciliary care packages</t>
  </si>
  <si>
    <t>Community equipment for social care</t>
  </si>
  <si>
    <t>York4Packages of Care - Care at HomeHome Care or Domiciliary CareDomiciliary care packages</t>
  </si>
  <si>
    <t>MOB's used primarily for social care and housing related step down</t>
  </si>
  <si>
    <t>York5Packages of Care - Care at HomeHome Care or Domiciliary CareDomiciliary care packages</t>
  </si>
  <si>
    <t>Enhanced and additional Moving on Bed capacity</t>
  </si>
  <si>
    <t>York7Carers SupportCarers ServicesRespite services</t>
  </si>
  <si>
    <t>Supports same day and urgent delivery cost pressures (health &amp; social care) to support discharge and admission prevention in the community</t>
  </si>
  <si>
    <t xml:space="preserve">York10Reablement contractHome-based intermediate care servicesReablement at home (to support discharge) </t>
  </si>
  <si>
    <t xml:space="preserve">Planned and emergency short breaks service, carers support grant, direct payments for carers and young carers and a new carers digital offer pilot </t>
  </si>
  <si>
    <t>York11FNH and other Step-up/Step-down bedsBed based intermediate Care Services (Reablement, rehabilitation, wider short-term services supporting recovery)Bed-based intermediate care with reablement accepting step up and step down users</t>
  </si>
  <si>
    <t>FNH and other Step-up/Step-down beds</t>
  </si>
  <si>
    <t>Enables WCC to cease charging based on standard residential care protocols (which have regard to property wealth) and charge based on community care charging protocols (which do not consider property wealth). This change is proven to encourage respite take up and therefore prevent or reduce the likelihood of carer breakdown.</t>
  </si>
  <si>
    <t>York12Telecare and FallsAssistive Technologies and EquipmentAssistive technologies including telecare</t>
  </si>
  <si>
    <t>Telecare and Falls</t>
  </si>
  <si>
    <t>Contributions to: Residential and nursing care fee rates</t>
  </si>
  <si>
    <t>York13Community EquipmentAssistive Technologies and EquipmentCommunity based equipment</t>
  </si>
  <si>
    <t xml:space="preserve">Contributions to: Care at Home fee rates </t>
  </si>
  <si>
    <t>York15Packages of Care - Care at HomeHome Care or Domiciliary CareDomiciliary care packages</t>
  </si>
  <si>
    <t>Contributions to: Extra Care Housing Waking Nights Cover</t>
  </si>
  <si>
    <t>York25Physiotherapy in step-down bedsBed based intermediate Care Services (Reablement, rehabilitation, wider short-term services supporting recovery)Bed-based intermediate care with rehabilitation (to support discharge)</t>
  </si>
  <si>
    <t>Physiotherapy in step-down beds</t>
  </si>
  <si>
    <t>Carers respite</t>
  </si>
  <si>
    <t>York27Home from HospitalHome Care or Domiciliary CareDomiciliary care packages</t>
  </si>
  <si>
    <t>P2 step down beds</t>
  </si>
  <si>
    <t>York28Home from HospitalHome Care or Domiciliary CareDomiciliary care packages</t>
  </si>
  <si>
    <t>Joint Funded Packages</t>
  </si>
  <si>
    <t>York29Packages of Care - PlacementsBed based intermediate Care Services (Reablement, rehabilitation, wider short-term services supporting recovery)Bed-based intermediate care with reablement accepting step up and step down users</t>
  </si>
  <si>
    <t>Packages of Care - Placements</t>
  </si>
  <si>
    <t>York30Packages of Care - PlacementsResidential PlacementsCare home</t>
  </si>
  <si>
    <t>Domiliary care for patients with long term needs</t>
  </si>
  <si>
    <t>York31Packages of Care - PlacementsResidential PlacementsCare home</t>
  </si>
  <si>
    <t>Supports hospital discharges and community step up</t>
  </si>
  <si>
    <t>York33Packages of Care - PlacementsHome Care or Domiciliary CareDomiciliary care to support hospital discharge (Discharge to Assess pathway 1)</t>
  </si>
  <si>
    <t>Residential care long-term placements</t>
  </si>
  <si>
    <t>York37Hospice at Home Home Care or Domiciliary CareDomiciliary care packages</t>
  </si>
  <si>
    <t xml:space="preserve">Hospice at Home </t>
  </si>
  <si>
    <t>Nursing care long-term placements</t>
  </si>
  <si>
    <t>York42FNH and other Step-up/Step-down bedsBed based intermediate Care Services (Reablement, rehabilitation, wider short-term services supporting recovery)Bed-based intermediate care with reablement (to support discharge)</t>
  </si>
  <si>
    <t>Carers schemes supporting admission prevention and long term PoC or Res placements</t>
  </si>
  <si>
    <t>York46FNH and other Step-up/Step-down bedsBed based intermediate Care Services (Reablement, rehabilitation, wider short-term services supporting recovery)Bed-based intermediate care with reablement accepting step up and step down users</t>
  </si>
  <si>
    <t>Therapeutic Intermediate care services</t>
  </si>
  <si>
    <t>York47FNH and other Step-up/Step-down bedsBed based intermediate Care Services (Reablement, rehabilitation, wider short-term services supporting recovery)Bed-based intermediate care with reablement accepting step up and step down users</t>
  </si>
  <si>
    <t>Residential care short stay placements</t>
  </si>
  <si>
    <t>York56Packages of Care - Care at HomeHome Care or Domiciliary CareDomiciliary care to support hospital discharge (Discharge to Assess pathway 1)</t>
  </si>
  <si>
    <t>York57Packages of Care - Care at HomeHome Care or Domiciliary CareDomiciliary care to support hospital discharge (Discharge to Assess pathway 1)</t>
  </si>
  <si>
    <t>York59Nursing care bedsResidential PlacementsNursing home</t>
  </si>
  <si>
    <t>Nursing care beds</t>
  </si>
  <si>
    <t>York60Home CareHome Care or Domiciliary CareDomiciliary care packages</t>
  </si>
  <si>
    <t>Passported to the Tier 2 District and Borough Councils</t>
  </si>
  <si>
    <t xml:space="preserve">York63Additional reablementHome-based intermediate care servicesReablement at home (to support discharge) </t>
  </si>
  <si>
    <t>Additional reablement</t>
  </si>
  <si>
    <t>Health Equipment to support step dow discharges and step up</t>
  </si>
  <si>
    <t>York68ImmedicareAssistive Technologies and EquipmentAssistive technologies including telecare</t>
  </si>
  <si>
    <t>Immedicare</t>
  </si>
  <si>
    <t>Support with Hospital Discharge</t>
  </si>
  <si>
    <t>Joint Health and Social Care Service</t>
  </si>
  <si>
    <t>Intermediate Care Services (Reablement)</t>
  </si>
  <si>
    <t>Provide additional capacity to support people to remain at home / return home to prevent avoidable admission / discharge from hospital</t>
  </si>
  <si>
    <t xml:space="preserve">Provide additional capacity to support people to be discharged from hospital who are at point of discharge unable to return home. </t>
  </si>
  <si>
    <t>Assistive technology and call lifelines designed to help keep people safe in their home through remote monitoring/  response services to support independent safe living. Use of tele/health care monitoring in care homes to avoid admissions</t>
  </si>
  <si>
    <t>Ongoing underlying care cost pressures (volume, complexity and cost increases to meet needs) sustained from previous years increased demand, discharges and long term costs of care on discharge</t>
  </si>
  <si>
    <t xml:space="preserve">Additional Market Capacity to meet the ongoing additional pressure and demand for Home care - covering the increased hours of care and complexity coming from hospital discharges. </t>
  </si>
  <si>
    <t>The DFG provides funding through local councils to make adaptations to a person’s home if they are disabled or need to make changes to accommodate changes required to ensure mobility or safety</t>
  </si>
  <si>
    <t>Carers health support</t>
  </si>
  <si>
    <t>Community health reablement team supporting discharge with clinical support in the community  – to be increased to support increased community based care, step down and step up in community beds or home setting alongside Social care reablement</t>
  </si>
  <si>
    <t>Jointing commissioned and funded Health and social care  provision of universally available equipment and minor adaptions to support both health and social care needs and designed to help maintain people in their own homes</t>
  </si>
  <si>
    <t xml:space="preserve">Residential Short Breaks - This is a contribution towards a county/system wide contract costing £2.5m a year that provides placements for  75 children on average and will form part of a future ongoing joint commission.  </t>
  </si>
  <si>
    <t>Childrens Residential Short breaks</t>
  </si>
  <si>
    <t>carers social care support</t>
  </si>
  <si>
    <t xml:space="preserve">Specialist Care Centres (SCCs) with a mix of Nursing rehabilitation and general reablement and Rehab beds that allow people to receive short term care, therapy and support to avoid readmission and help return home </t>
  </si>
  <si>
    <t xml:space="preserve">Team providing reablement support post discharge home or from community referrals to help people recovering from hospital stay, fall or crisis who need support to return to independence and remain in their own home and community. </t>
  </si>
  <si>
    <t>Jointly commissioned and funded Health and social care  provision of universally available equipment and minor adaptions to support both health and social care needs and designed to help maintain people in their own homes</t>
  </si>
  <si>
    <t>To provide for adaptations to a disabled person’s property that are both necessary and appropriate for the needs of the disabled person and reasonable and practicable in relation to the property to support individuals across West Sussex to remain independent in their own homes.</t>
  </si>
  <si>
    <t>Reablement.</t>
  </si>
  <si>
    <t>Domiciliary Care.</t>
  </si>
  <si>
    <t>Meeting adult social care needs.</t>
  </si>
  <si>
    <t>Ensuring the social care provider market is supported.</t>
  </si>
  <si>
    <t>One Call.</t>
  </si>
  <si>
    <t>SCFT Community Hospital Beds.</t>
  </si>
  <si>
    <t>SCFT Therapy Teams.</t>
  </si>
  <si>
    <t xml:space="preserve">Advice and Information: To empower Carers, increase their resilience and to support their wellbeing and to deliver statutory carer's assessments in accordance with the Care Act 2014 and relevant regulations, guidance, and policies. </t>
  </si>
  <si>
    <t>Carers, advice, support, and information</t>
  </si>
  <si>
    <t>To provide immediate support to people in a hospital setting, who as a result of a hospital admission of a family member can suddenly find themselves in a caring role or with increased caring responsibilities, and to refer onward to community base carer support services at the point of discharge.</t>
  </si>
  <si>
    <t>Carers support in hospitals</t>
  </si>
  <si>
    <t xml:space="preserve">To ensure Carers feel less isolated, stay mentally and physically fit, and maintain their wellbeing and life outside the carer role. </t>
  </si>
  <si>
    <t>Carers health team</t>
  </si>
  <si>
    <t>Technology Enabled Lives services include the use of convenient, accessible and cost-effective products or services that allow people of all ages to monitor their own (or someone else’s) health and wellbeing, so they may better manage long term conditions, maintain their independence through performing tasks they would otherwise be unable to do, or increase the ease or safety with which tasks can be performed so that they can stay in their own home in their own community. Technology Enabled Lives services are also used as a valuable proactive tool in preventing people from entering the health and social care system.</t>
  </si>
  <si>
    <t>Community equipment enables people with a wide range of needs, including those with increasingly complex needs to remain in their own home and to support new models of community based health care.</t>
  </si>
  <si>
    <t>Additional contracted care rounds, phased as required to support system flow.</t>
  </si>
  <si>
    <t>Step down beds to support HF flow out of acute</t>
  </si>
  <si>
    <t>To increase HF capacity. Support additional P1 discharges.</t>
  </si>
  <si>
    <t>Additional contracted care rounds phased as required to support system flow.</t>
  </si>
  <si>
    <t>Increased number of patients discharged to HF. Reduction in MRD number for P1. Overall reduction in LoS for P1. Note that the expected outputs are beneficiaries as hours of contact are not delivered as packages.</t>
  </si>
  <si>
    <t>A reduction in LoS for MRD self-funders. Note that the expected outputs are beneficiaries as this scheme provides support for self-funders to find placements rather than actual placements.</t>
  </si>
  <si>
    <t>Additional care capacity within Home First.</t>
  </si>
  <si>
    <t>Provision of 2 technicians covering the 4 acute hospitals and provision of TEC discharge bags.</t>
  </si>
  <si>
    <t>Care hours to support D2A beds and Crisis House patients.</t>
  </si>
  <si>
    <t xml:space="preserve">To ensure that the needs of the adult social care eligible population continue to be met. 
To ensure that hospital discharges are safe and efficiently followed up in the community as required. 
To ensure that funding for adult social care is maintained and robust during the period when increased demographic demands have been experienced by councils. 
To enable continued effective services during the pandemic
To meet increasing costs of home care in relation to staff salary pressures and increased complexity of clients.
To meet increased demand from the homeless and temporary accommodation sectors, and avoid admission for this group.  </t>
  </si>
  <si>
    <t xml:space="preserve">To support carers to maintain their role.
To enable carers to provide the best possible care to their loved ones.
To support carers to maintain their health and wellbeing
To enable carers to have a break from the role, rest and recuperate.  </t>
  </si>
  <si>
    <t xml:space="preserve">To support earlier hospital discharge 
Enable residents to remain in  home safely 
To support admissions avoidance by preventing accidents that occur in the community 
To prevent functional deterioration </t>
  </si>
  <si>
    <t>This funding is for the Westminster residents who had lived in the ISH but when this closed down the CCG agreed to fund their alternative placements .</t>
  </si>
  <si>
    <t>Flexicare is a befriending service delivered by MIND. Service users are matched to a volunteer befriender. This service is provided for Care Act eligible residents or as part of after care under s117 Mental Health Act.</t>
  </si>
  <si>
    <t xml:space="preserve">Befriending Service  </t>
  </si>
  <si>
    <t xml:space="preserve">To support earlier hospital discharge 
Enable residents to remain in  home safely 
To support admissions avoidance by preventing accidents that occur in the community 
To prevent functional deterioration 
To maximise independence and choice so residents remain at home through rehabilitation and re-ablement   </t>
  </si>
  <si>
    <t>Community Equipment and Assistive Technology</t>
  </si>
  <si>
    <t xml:space="preserve">Reablement Delivery </t>
  </si>
  <si>
    <t>Reablement delivery and cordination</t>
  </si>
  <si>
    <t xml:space="preserve">Domiciliary Services </t>
  </si>
  <si>
    <t>Night domiciliary services and day time GDC support</t>
  </si>
  <si>
    <t xml:space="preserve">Support for Domiciliary Care </t>
  </si>
  <si>
    <t>domiciliary POC support</t>
  </si>
  <si>
    <t xml:space="preserve">Supporting Residential and Nursing Placements </t>
  </si>
  <si>
    <t xml:space="preserve">Additional Reablement Support and Assessment capacity </t>
  </si>
  <si>
    <t>Additional Reablement and Assessment Capacity</t>
  </si>
  <si>
    <t>Community Based D2A</t>
  </si>
  <si>
    <t>Additional Equipment and AT Capacity</t>
  </si>
  <si>
    <t xml:space="preserve">Carers Support for Discharge </t>
  </si>
  <si>
    <t>Contribution to early Intervention locality teams</t>
  </si>
  <si>
    <t>Investment required to maintain services in line with increased demographic and demand pressures</t>
  </si>
  <si>
    <t>Assistive Technology - purchase, monitoring and response</t>
  </si>
  <si>
    <t>Integrated Community Equipment store providing low level adaptations and equipment,</t>
  </si>
  <si>
    <t>Investment in Carers Centre to facilitate advice and support service to Carers and respite services</t>
  </si>
  <si>
    <t>Procurement of step down beds in the Community</t>
  </si>
  <si>
    <t>Investment in support at home to enable independence in the community</t>
  </si>
  <si>
    <t>Additional investment required to accelerate the implementation of the Ethical Home Care framework in Wigan.</t>
  </si>
  <si>
    <t>Investment to sustainably improve the placement opportunities for people with more complex needs as a consequence of dementia.</t>
  </si>
  <si>
    <t>Targetting additional capacity, quality and efficiency in the Residential &amp; Nursing market to support timely discharge and reduction in A&amp;E visits.</t>
  </si>
  <si>
    <t>Investment in additional reablement resource to meet increased demand for service through winter</t>
  </si>
  <si>
    <t>Upscale emerging technology within care setting and individual's own homes.</t>
  </si>
  <si>
    <t>Includes investment in community and bed based reablement and integrated community equipment. Key services for patient flow and timely discharge. Bed Based Reablement</t>
  </si>
  <si>
    <t>Includes investment in community and bed based reablement and integrated community equipment. Key services for patient flow and timely discharge. Integrated Community Equipment</t>
  </si>
  <si>
    <t>A reformed offer as part of the Deal targetted at preventing carer breakdown and better recognising their social contribution.</t>
  </si>
  <si>
    <t xml:space="preserve">Investment in Mental Health Suport to Help Delayed Discharges and Enable People to be Supported Within the Community </t>
  </si>
  <si>
    <t>Investment in adaptations to support independent living</t>
  </si>
  <si>
    <t>Bed based reablement and step down capacity to support discharge</t>
  </si>
  <si>
    <t>Home Care capacity to support hospital discharge</t>
  </si>
  <si>
    <t>Added Reablement capacity to support discharge - community</t>
  </si>
  <si>
    <t>Intermediate Care Therapies</t>
  </si>
  <si>
    <t>Community Hospital beds</t>
  </si>
  <si>
    <t>Home first/ discharge to assess</t>
  </si>
  <si>
    <t>Protecting Adult Social Care</t>
  </si>
  <si>
    <t>Buffer beds</t>
  </si>
  <si>
    <t>Home first/ reablement</t>
  </si>
  <si>
    <t xml:space="preserve">Dom Care - Rapid response </t>
  </si>
  <si>
    <t>Dom Care - Rapid response</t>
  </si>
  <si>
    <t xml:space="preserve">Dom Care - Rapid response (WS@H) </t>
  </si>
  <si>
    <t>EOL &amp; Non CHC complex/ spot - non recurrent</t>
  </si>
  <si>
    <t>iBCF Protecting Adult Social Care</t>
  </si>
  <si>
    <t>Reablement and Intermediate Care</t>
  </si>
  <si>
    <t>Additional care home capacity</t>
  </si>
  <si>
    <t>Provision of domiciliary care support</t>
  </si>
  <si>
    <t>Intermediate care (step up/ step down beds)</t>
  </si>
  <si>
    <t>Step up/down</t>
  </si>
  <si>
    <t>Remote monitoring and support for long term conditions</t>
  </si>
  <si>
    <t>Support for Carers of disabled children</t>
  </si>
  <si>
    <t>Respite support for carers</t>
  </si>
  <si>
    <t>Contigency social care support</t>
  </si>
  <si>
    <t>Promoting discharge from hospital</t>
  </si>
  <si>
    <t>Supports the installation of IT equipment within residential care homes</t>
  </si>
  <si>
    <t>Winter comms campaign, (CCG) NHSE requirement</t>
  </si>
  <si>
    <t>D2A res &amp; nurs . Short term intervention to preserve the independence of people who might otherwise face unnecessarily prolonged hospital stays or avoidable admission to hospital or residential care.  Funding supports the social care commission and health support of D2A beds.</t>
  </si>
  <si>
    <t>Additiona D2a beds April to Sept 23</t>
  </si>
  <si>
    <t>Reablement - short term care to maximise independence</t>
  </si>
  <si>
    <t>Stabilising the dom care market to ensure market resilience, capacity and  responsiveness decision to fund minimum 30 min calls taken. 15 min calls not routinely commissioned. (Ethical care charter and market stabilisation)</t>
  </si>
  <si>
    <t>Supporting people to sustain their role as carers and reduce the likelihood of crisis.  Funds carers' respite beds in the independent sector, Carer's grants and health and wellbeing contract.</t>
  </si>
  <si>
    <t xml:space="preserve">Mobile nights provides an overnight peripatetic service for people living in their own homes.  This commission removed costly waking nights service and effectively supports people staying at home.  </t>
  </si>
  <si>
    <t>Winter funding is identified within the  BCF to support continuing growth within the dom care market.  Analysis of activity identified growth of 22% increase in demand for domiciliary care over the 12 months Apr-18 to Apr-19.  Estimated full year cost pressure of £2.4m in 19-20</t>
  </si>
  <si>
    <t>Nursing service providing IV antibiotics at home, avoiding the need for acute bed</t>
  </si>
  <si>
    <t>Rapid/Crisis Response</t>
  </si>
  <si>
    <t>Home Adaptations to support hospital discharge and independence in the home.</t>
  </si>
  <si>
    <t>Includes equipment, minor and major adaptations and investment in bariatric provision</t>
  </si>
  <si>
    <t>10 Residential beds 1.4.23-31.03.24</t>
  </si>
  <si>
    <t>Expanded Home First Function of 102 wte</t>
  </si>
  <si>
    <t>6 beds for step down complex needs</t>
  </si>
  <si>
    <t>Support for Carers, Social Prescription and Advice and Guidance (funding from social care)</t>
  </si>
  <si>
    <t>START reablement support (social care)</t>
  </si>
  <si>
    <t>iBCF support for domiciliary care packages</t>
  </si>
  <si>
    <t>Support for packages in the community including residential, nursing and domiciliary care</t>
  </si>
  <si>
    <t>BHFT Intermediate Care Team (reablement health)</t>
  </si>
  <si>
    <t>OT to support rapid response in the community</t>
  </si>
  <si>
    <t>Support for Carers, Social Prescription and Advice and Guidance (funding from health)</t>
  </si>
  <si>
    <t>Step Up Beds in Community Hospital</t>
  </si>
  <si>
    <t>Contribution towards step down discharge to assess at Suffolk Lodge</t>
  </si>
  <si>
    <t>Implementing a model of reablement using OT trained and monitored domicillary care agencies, rather than specialist reablement services</t>
  </si>
  <si>
    <t>Healthcare in Care Home RRaT Team</t>
  </si>
  <si>
    <t xml:space="preserve">Eating and drinking referal service </t>
  </si>
  <si>
    <t>In reach service see, hear and treat care home residents at risk of hosptial admission</t>
  </si>
  <si>
    <t xml:space="preserve">Provide Community geriatrian service - urgent referrals seen within 3 days.  </t>
  </si>
  <si>
    <t>Rapid response services delivered to patients discharged from A&amp;E or AMU, preventing a hospital admission within 2 hours of the patients arriving home</t>
  </si>
  <si>
    <t>Rapid response services delivered to patients in their own home, avoiding hospital admission within 2 hours with feedback provided to the referrer following assessment</t>
  </si>
  <si>
    <t>Support for Young People with Dementia and the Stroke Association</t>
  </si>
  <si>
    <t>Support young people with dementia/ stroke</t>
  </si>
  <si>
    <t>Additional care home packages to speed up hospital discharge</t>
  </si>
  <si>
    <t>Additional dom care packages to speed up hospital discharge</t>
  </si>
  <si>
    <t>Additional equipment to support quicker discharges</t>
  </si>
  <si>
    <t>Care Support</t>
  </si>
  <si>
    <t>Spot beds</t>
  </si>
  <si>
    <t>Intermediate Care Unit</t>
  </si>
  <si>
    <t xml:space="preserve">Intermediate Care Beds - D2A Pathway </t>
  </si>
  <si>
    <t>P1 supports individuals to return home with support following a stay in hospital, via the DTA Model</t>
  </si>
  <si>
    <t>P1 + supports individuals to return home with 24hr wraparound support following a stay in hospital</t>
  </si>
  <si>
    <t>Provision of Pathway 3 (DTA) service in care homes</t>
  </si>
  <si>
    <t>Commissioned service responsible for, Short term support to enable people to remain or return to their own home.  Prevent, reduce or delay a need for Long term care or Hospital admission relating to lack of support.</t>
  </si>
  <si>
    <t xml:space="preserve">Contribution towards the increased demand for services following the implementation of the Care Act </t>
  </si>
  <si>
    <t>Provision of Homecare</t>
  </si>
  <si>
    <t>Contribution towards the cost of S117 eligible clients</t>
  </si>
  <si>
    <t>Funding Specific S117 Clients</t>
  </si>
  <si>
    <t>Loan of equipment to Worcestershire residents / those registered with a Worcestershire GP to Facilitate discharge from hospital, prevent delay admission to Hospital / long term care &amp; support people in their own home.</t>
  </si>
  <si>
    <t>Disabled Facilities Grant passported to District Councils to spend on their staturory duties to provide adaptations</t>
  </si>
  <si>
    <t>Housing Related</t>
  </si>
  <si>
    <t>Contribution towards increase in demand</t>
  </si>
  <si>
    <t>Care package pressures due to demographic changes</t>
  </si>
  <si>
    <t>Care package contingency re Winter and COVID pressures</t>
  </si>
  <si>
    <t>Carers centre, support worker posts and carers support</t>
  </si>
  <si>
    <t>Reablement (Human Support Group)</t>
  </si>
  <si>
    <t>10 discharge to assess beds plus 1 flat at Marjorie Waite Court</t>
  </si>
  <si>
    <t>Be Independent</t>
  </si>
  <si>
    <t>Increased Reablement capacity</t>
  </si>
  <si>
    <t xml:space="preserve"> 5 Additional Short term Stepdown/up beds. </t>
  </si>
  <si>
    <t>Res and nursing beds over Winter</t>
  </si>
  <si>
    <t>Secure capacity to enable placements to be made to reduce impact on DTOC's.</t>
  </si>
  <si>
    <t>Hospice at Home (extended hours and part funded with NYCC)</t>
  </si>
  <si>
    <t>Fulford Nursing Home</t>
  </si>
  <si>
    <t>Nursing short stay beds</t>
  </si>
  <si>
    <t>Rapid response</t>
  </si>
  <si>
    <t>4 additional nursing beds</t>
  </si>
  <si>
    <t>Additional care at home capacity</t>
  </si>
  <si>
    <t>Fund Immedicare contract across the City care homes</t>
  </si>
  <si>
    <t>HWB&amp;Pathway</t>
  </si>
  <si>
    <t>Commissioning responsibility (% of each service type commissioned by LA/ICB or jointly</t>
  </si>
  <si>
    <t>ASC Discharge Fund</t>
  </si>
  <si>
    <t>length of list:</t>
  </si>
  <si>
    <t>Scheme Types</t>
  </si>
  <si>
    <t>New/Existing</t>
  </si>
  <si>
    <t>a1_Assistive Technologies and Equipment</t>
  </si>
  <si>
    <t>a2_Home Care or Domiciliary Care</t>
  </si>
  <si>
    <t>a3_Bed Based Intermediate Care Services</t>
  </si>
  <si>
    <t>a4_Reablement in a Person’s Own Home</t>
  </si>
  <si>
    <t>a5_Residential Placements</t>
  </si>
  <si>
    <t>a6_Increase hours worked by existing workforce</t>
  </si>
  <si>
    <t>a7_Improve retention of existing workforce</t>
  </si>
  <si>
    <t>a8_Additional or redeployed capacity from current care workers</t>
  </si>
  <si>
    <t>Lookups</t>
  </si>
  <si>
    <t>ICB allocation</t>
  </si>
  <si>
    <t>Step down (discharge to assess pathway 2)</t>
  </si>
  <si>
    <t>Reablement to support to discharge – step down</t>
  </si>
  <si>
    <t>Childcare costs</t>
  </si>
  <si>
    <t>Retention bonuses for existing care staff</t>
  </si>
  <si>
    <t>Costs of agency staff</t>
  </si>
  <si>
    <t>Please complete and submit this section (along with Cover sheet contained within this workbook) by 2nd May</t>
  </si>
  <si>
    <t>NHS South Yorkshire ICB</t>
  </si>
  <si>
    <t>Local authority grant</t>
  </si>
  <si>
    <t>Domiciliary care to support hospital discharge</t>
  </si>
  <si>
    <t>Reablement service accepting community and discharge</t>
  </si>
  <si>
    <t>Overtime for existing staff.</t>
  </si>
  <si>
    <t>Incentive payments</t>
  </si>
  <si>
    <t>Local staff banks</t>
  </si>
  <si>
    <t>For each scheme type please confirm the impact of the scheme in relation to the relevant units asked for and  actual expenditure. Please then provide narrative around how the fund was utilised, the duration of care it provided and and any changes to planned spend. At the very bottom of this sheet there is a totals summary, please also include aggregate spend by LA and ICB which should match actual total prepopulation.</t>
  </si>
  <si>
    <t>Discharge from hospital (with reablement) to long term care</t>
  </si>
  <si>
    <t>Wellbeing measures</t>
  </si>
  <si>
    <t>Redeploy other local authority staff</t>
  </si>
  <si>
    <t xml:space="preserve">The actual impact column is used to understand the benefit from the fund. This is different for each sheme and sub type and the unit for this metric has been pre-populated. This will align with metrics reported in fortnightly returns for scheme types. 
1) For 'residential placements' and 'bed based intermediary care services', please state the number of beds purchased through the fund. (i.e. if 10 beds are made available for 12 weeks, please put 10 in column H and please add in your column K explanation that this achieve 120 weeks of bed based care).
2) For 'home care or domiciliary care', please state the number of care hours purchased through the fund.
3) For 'reablement in a person's own home', please state the number of care hours purchased through the fund.
4) For 'improvement retention of existing workforce', please state the number of staff this relates to.
5) For 'Additional or redeployed capacity from current care workers', please state the number of additional hours worked purchased through the fund purchased.
6) For 'Assistive Techonologies and Equipment' , please state the number of unique beneficiaries through the fund.
7) For 'Local Recruitment Initiatives', please state the additional number of staff this has helped recruit through the fund.
						</t>
  </si>
  <si>
    <t>Bringing forward planned pay increases</t>
  </si>
  <si>
    <t>Both</t>
  </si>
  <si>
    <t>If there are any additional scheme types invested in since the submitted plan, please enter these into the bottom section found by scrolling further down.</t>
  </si>
  <si>
    <t>Increase hours worked by existing workforce</t>
  </si>
  <si>
    <t>Actual Expenditure</t>
  </si>
  <si>
    <t>Actual Number of Packages</t>
  </si>
  <si>
    <t>Did you make any changes to planned spending?</t>
  </si>
  <si>
    <t>If yes, please explain why</t>
  </si>
  <si>
    <t>Did the scheme have the intended impact?</t>
  </si>
  <si>
    <t>If yes, please explain how, if not, why was this not possible</t>
  </si>
  <si>
    <t>Do you have any learning from this scheme?</t>
  </si>
  <si>
    <t>Additional or redeployed capacity from current care workers</t>
  </si>
  <si>
    <t>Local recruitment initiatives</t>
  </si>
  <si>
    <t>a9_Local recruitment initiatives</t>
  </si>
  <si>
    <t>Contingency</t>
  </si>
  <si>
    <t>a10_Contingency</t>
  </si>
  <si>
    <t>Administration</t>
  </si>
  <si>
    <t>a12_Other</t>
  </si>
  <si>
    <t>Schemes added since Plan</t>
  </si>
  <si>
    <t xml:space="preserve">Actual Expenditure </t>
  </si>
  <si>
    <t xml:space="preserve">Actual Expenditure ICB </t>
  </si>
  <si>
    <t>Actual Expenditure LA</t>
  </si>
  <si>
    <t>Count</t>
  </si>
  <si>
    <t>Health and Wellbeing Board</t>
  </si>
  <si>
    <t>Hospital discharge, planning and support</t>
  </si>
  <si>
    <t>Market stabilisation and workforce issues</t>
  </si>
  <si>
    <t>Additional P2 beds</t>
  </si>
  <si>
    <t>Bolstering CMHTs and community rehabilitation teams - BEH</t>
  </si>
  <si>
    <t>Brokerage Officer</t>
  </si>
  <si>
    <t>Homeless stepdown</t>
  </si>
  <si>
    <t>Intermediate Care beds (MH)</t>
  </si>
  <si>
    <t>MH IDTs - BEH</t>
  </si>
  <si>
    <t>MH IDTs - LBB</t>
  </si>
  <si>
    <t>Reablement (P1)</t>
  </si>
  <si>
    <t>Social worker recruitment resource</t>
  </si>
  <si>
    <t>Staff in hospital social work teams (P1 and P3)</t>
  </si>
  <si>
    <t>Workforce and Retention</t>
  </si>
  <si>
    <t>Additional bridging support hours (Rehablement)</t>
  </si>
  <si>
    <t>Additional discharge transport</t>
  </si>
  <si>
    <t>Agency Nursing - Support to independent sector nursing providers</t>
  </si>
  <si>
    <t>Clinical Educator - Criteria to reside</t>
  </si>
  <si>
    <t>Digital - Assistive Technology</t>
  </si>
  <si>
    <t>Hospice - Increased community support and out of hours</t>
  </si>
  <si>
    <t>Intermediate Care medical support and oversight</t>
  </si>
  <si>
    <t>Little Help to Home - Hospital Discharge Service</t>
  </si>
  <si>
    <t xml:space="preserve">Mental Health hospital discharge support </t>
  </si>
  <si>
    <t>Mental Health Step Down Bed</t>
  </si>
  <si>
    <t>Physical Activity Training</t>
  </si>
  <si>
    <t>Rapid Response Homecare support</t>
  </si>
  <si>
    <t>Shared Lives - Additional step-down and respite capacity</t>
  </si>
  <si>
    <t>Support payments to homecare providers/in-house reablement team to create additional capacity</t>
  </si>
  <si>
    <t>Support to facilitate s17 discharges (of s37/41 patients)</t>
  </si>
  <si>
    <t>Transport support for non-driving care workers</t>
  </si>
  <si>
    <t>Additional D2A Home Care with support</t>
  </si>
  <si>
    <t>Backlog of Care Act assessments</t>
  </si>
  <si>
    <t>Big Package Home care with therapeutic and coordination support descalation P2 to P1</t>
  </si>
  <si>
    <t>D2A beds &amp; GP Cover to D2A Beds</t>
  </si>
  <si>
    <t>Flow Coordination</t>
  </si>
  <si>
    <t>(blank)</t>
  </si>
  <si>
    <t>Mental Health Discharge Case coordination</t>
  </si>
  <si>
    <t>Project Coordination</t>
  </si>
  <si>
    <t>Technology and equipment to support home care</t>
  </si>
  <si>
    <t>Third sector support</t>
  </si>
  <si>
    <t>Additional Hours</t>
  </si>
  <si>
    <t>Assessment &amp; Review</t>
  </si>
  <si>
    <t xml:space="preserve">Discharge Hub </t>
  </si>
  <si>
    <t>Dom Care - ELFT</t>
  </si>
  <si>
    <t xml:space="preserve">Domiciliary Care </t>
  </si>
  <si>
    <t>Patient pathway co-ordinator</t>
  </si>
  <si>
    <t>Patient Transport</t>
  </si>
  <si>
    <t>Safegaurding</t>
  </si>
  <si>
    <t>SHREWD</t>
  </si>
  <si>
    <t>Supporting inhouse care teams</t>
  </si>
  <si>
    <t>Training</t>
  </si>
  <si>
    <t>Additional Dietetic Support to prevent failed discharges - increasing community capacity (ICB contribution)</t>
  </si>
  <si>
    <t>Discharge Care Options - Increasing community capacity to support the discharge of people with dementia, delirium and other complex care and support needs (ICB contribution)</t>
  </si>
  <si>
    <t>Ensuring efficient use of market capacity and staff availabilty to support the flow of discharges (Local Authority contribution)</t>
  </si>
  <si>
    <t>Improving recruitment across the social care workforce (ICB contribution)</t>
  </si>
  <si>
    <t>Increasing community capacity for holisitic care at home that maximises staff productivity across health and social care (ICB contribution)</t>
  </si>
  <si>
    <t>Mental Health Discharges - Additional social care workforce capacity (ICB contribution)</t>
  </si>
  <si>
    <t>Multi-disciplinary staff to aid recovery and assessment of people accessing D2A services - Additional social care workforce capacity (ICB contribution)</t>
  </si>
  <si>
    <t>Workforce initiatives to free-up and support the frontline - Additional social care workforce capacity, aided through recruitment, retention and/or redeployment (Local Authority contribution)</t>
  </si>
  <si>
    <t>BCC Assessment and Coordination Capacity</t>
  </si>
  <si>
    <t>Care Home High Intensity</t>
  </si>
  <si>
    <t>Care Provider Workforce - Recruitment and Retention</t>
  </si>
  <si>
    <t>Discharges outside of existing pathways</t>
  </si>
  <si>
    <t>Mental Health Homeless Pathway</t>
  </si>
  <si>
    <t>Mental Health Step-down provision</t>
  </si>
  <si>
    <t>P1 Capacity</t>
  </si>
  <si>
    <t>Additional D2A/SW capacity</t>
  </si>
  <si>
    <t xml:space="preserve">Age UK </t>
  </si>
  <si>
    <t>Agency Services at Intermediate Care facility</t>
  </si>
  <si>
    <t>Block booking of 4 beds across Nursing Homes</t>
  </si>
  <si>
    <t>Block commission additional Dom Care capacity</t>
  </si>
  <si>
    <t>Block Commission of Residential EMD Beds</t>
  </si>
  <si>
    <t>Block Commission of Residentila Beds</t>
  </si>
  <si>
    <t>Care arranging capacity over the winter period</t>
  </si>
  <si>
    <t>Crisis/Planned night run</t>
  </si>
  <si>
    <t>Homelessness Provision</t>
  </si>
  <si>
    <t>One of Winter Grants to Care Providers</t>
  </si>
  <si>
    <t>Social Work staffing</t>
  </si>
  <si>
    <t>Support worker staffing</t>
  </si>
  <si>
    <t>Additional homecare capacity</t>
  </si>
  <si>
    <t>Administration costs</t>
  </si>
  <si>
    <t>Assessment capacity</t>
  </si>
  <si>
    <t>Discharge Processes Programme</t>
  </si>
  <si>
    <t>Mental Health Discharge Programme</t>
  </si>
  <si>
    <t>Home care or domiciliary care</t>
  </si>
  <si>
    <t>Social Work Capacity Review Team</t>
  </si>
  <si>
    <t>Staffing Financial Assessments</t>
  </si>
  <si>
    <t>Additional Care Allocation Resource</t>
  </si>
  <si>
    <t>Additional Reablement capacity</t>
  </si>
  <si>
    <t>BCP Council administration</t>
  </si>
  <si>
    <t>Community Equip Additional Capacity</t>
  </si>
  <si>
    <t>Complex Discharge Scheme</t>
  </si>
  <si>
    <t>Increased Homecare</t>
  </si>
  <si>
    <t>Interim Step down beds</t>
  </si>
  <si>
    <t>NHS Dorset administration</t>
  </si>
  <si>
    <t>Provider led Overseas recruitment</t>
  </si>
  <si>
    <t xml:space="preserve">QA and performance  monitorinh and reporting </t>
  </si>
  <si>
    <t xml:space="preserve">Rapid Response Service </t>
  </si>
  <si>
    <t>Social Work capacity in ED</t>
  </si>
  <si>
    <t>Transitional flats in extra care</t>
  </si>
  <si>
    <t>Trusted Assessor</t>
  </si>
  <si>
    <t>Vol Sector acute hospital inreach</t>
  </si>
  <si>
    <t>Vol Sector community hospital inreach</t>
  </si>
  <si>
    <t>Winter Top Beds</t>
  </si>
  <si>
    <t xml:space="preserve"> Pathway 3 practitioner </t>
  </si>
  <si>
    <t xml:space="preserve">7 day working homecare </t>
  </si>
  <si>
    <t>Facilitated Discharge from A&amp;E Senior Social Worker and support worker</t>
  </si>
  <si>
    <t xml:space="preserve">Heathlands ICS trusted assessor </t>
  </si>
  <si>
    <t xml:space="preserve">Home preparation </t>
  </si>
  <si>
    <t>IT grab bags</t>
  </si>
  <si>
    <t>Multi-therapy assistant post Care Homes</t>
  </si>
  <si>
    <t>Pathway 3 practitioner</t>
  </si>
  <si>
    <t>Physiotherapy Intervention in Care Homes</t>
  </si>
  <si>
    <t xml:space="preserve">Temporary accommodation </t>
  </si>
  <si>
    <t>Thames Hospice at Home</t>
  </si>
  <si>
    <t xml:space="preserve">The Ark </t>
  </si>
  <si>
    <t>BEST</t>
  </si>
  <si>
    <t>DTA Housing Officers</t>
  </si>
  <si>
    <t>In house Care Homes - Mental Health</t>
  </si>
  <si>
    <t xml:space="preserve">North Yorkshire County Council </t>
  </si>
  <si>
    <t xml:space="preserve"> Domiciliary care to support hospital discharge</t>
  </si>
  <si>
    <t xml:space="preserve"> Mental Health Multi-Disciplinary/Multi-Agency Discharge Teams supporting discharge</t>
  </si>
  <si>
    <t>2 additional  Trusted Assessors</t>
  </si>
  <si>
    <t xml:space="preserve">24 Hours Funding for Complex Care Patients </t>
  </si>
  <si>
    <t>3 additional social workers</t>
  </si>
  <si>
    <t xml:space="preserve">Adult mental health Emergency Centre 7 day working </t>
  </si>
  <si>
    <t>Case workers/Discharge Facilitators - Supporting Acute IP Wards</t>
  </si>
  <si>
    <t>LA use of staffing overtime enhanced payments  to support discharge schemes</t>
  </si>
  <si>
    <t xml:space="preserve">Market quality
(additional capacity in Care Homes).
</t>
  </si>
  <si>
    <t>MH- Step down beds</t>
  </si>
  <si>
    <t>Recruiting additional therapist  and social workers to be put more reablement  packages of care in place.</t>
  </si>
  <si>
    <t>Urgent Response Service (extending night time care and support provision)</t>
  </si>
  <si>
    <t xml:space="preserve"> Spot Purchase Bed Capacity</t>
  </si>
  <si>
    <t xml:space="preserve">Additional Discharge Roles- jointly between UHSXE and SCFT to enhance the Transfer of Care Hub and ward liaison </t>
  </si>
  <si>
    <t>Additional social work to expand MH capacity</t>
  </si>
  <si>
    <t>Bariatric Bed Provision (Increase dedicated bed provision)</t>
  </si>
  <si>
    <t>Block Residential Dementia Beds (14)</t>
  </si>
  <si>
    <t>Carelink Non Injurious Falls Fallen but not injured, supporting through Carelink</t>
  </si>
  <si>
    <t xml:space="preserve">Dedicated senior decision makers to work with community and social care to enable  weekend discharge team </t>
  </si>
  <si>
    <t xml:space="preserve">Enhanced therapy approach to right size and reable within ICB beds on Pathway 2  </t>
  </si>
  <si>
    <t>High Intensity Users Care Planning</t>
  </si>
  <si>
    <t xml:space="preserve">Homecare / Spot Purchase 
Increase robustness of homecare market or create D2A capacity to support LOS and MRDs in both acute and Community settings including Responsive Services </t>
  </si>
  <si>
    <t>Homecare complex package financial support</t>
  </si>
  <si>
    <t>Homecare Planned Hours (Move to Homecare Planned Hours in support workforce recruitment retention and increased hours</t>
  </si>
  <si>
    <t xml:space="preserve">Homeless Person’s Officer </t>
  </si>
  <si>
    <t>Intermediate care beds (VNG)</t>
  </si>
  <si>
    <t>Level 5 Enhanced Discharge Team  
7 day a week (inc Bank Holidays inc Xmas/New Year) MDT working in Level 5 and onwards to support same day and enhanced  discharge (0-5 day) - this links with BHCC additionality and provides enhanced 
Therapy and VCS support</t>
  </si>
  <si>
    <t>Lindridge ICB Scheme 
4 additional intermediate care/step-down beds</t>
  </si>
  <si>
    <t>Mental Health D2A Case Management (MH Social Worker 3 months agency social worker)</t>
  </si>
  <si>
    <t>Mental Health Expanded D2A Capacity To augment the current D2A capacity which commenced on the 1st November following successful procurement.</t>
  </si>
  <si>
    <t>Moving and Handling Assistant (Reducing double up calls to support discharge and free up Homecare Capacity</t>
  </si>
  <si>
    <t>Overseas Recruitment Financial Support</t>
  </si>
  <si>
    <t>PHG's
Provide personal grants of up to £1,000 to support earlier hospital discharge</t>
  </si>
  <si>
    <t>Project Manager - SPOA for direct referrals across all services for discharge</t>
  </si>
  <si>
    <t xml:space="preserve">Project resource to interface with the 3 LA's / ICB Place areas to link in with all the additional resource eg PHG, NHSE enhanced commission transport, Newhaven Downs and ensure timely information flows from any of the B&amp;H commissioned beds with non Brighton pts </t>
  </si>
  <si>
    <t>Same Day Discharge Team (3 Posts )</t>
  </si>
  <si>
    <t>Additional capacity care homes</t>
  </si>
  <si>
    <t xml:space="preserve">Additional discharge support </t>
  </si>
  <si>
    <t xml:space="preserve">Administration </t>
  </si>
  <si>
    <t>Advance CHC dom care annual pay award to 1 Jan 2023</t>
  </si>
  <si>
    <t>Bed based P3</t>
  </si>
  <si>
    <t>Brokerage administration capacity</t>
  </si>
  <si>
    <t>Crisis response funding for MH/LDA community packages</t>
  </si>
  <si>
    <t>Discharge Support Grant</t>
  </si>
  <si>
    <t xml:space="preserve">Facilitation of discharges during BH and weekends </t>
  </si>
  <si>
    <t>Fast Track EOL CHC beds</t>
  </si>
  <si>
    <t xml:space="preserve">Homeless multiagency team </t>
  </si>
  <si>
    <t xml:space="preserve">Mental Health </t>
  </si>
  <si>
    <t>Mental Health and homelessness</t>
  </si>
  <si>
    <t xml:space="preserve">Night sitting </t>
  </si>
  <si>
    <t>Reablement beds</t>
  </si>
  <si>
    <t xml:space="preserve">Recruitment campaigns </t>
  </si>
  <si>
    <t xml:space="preserve">Redeploy CHC nurses to improve identification of Fast Track EOL cases. </t>
  </si>
  <si>
    <t>Referrals into meal services</t>
  </si>
  <si>
    <t>Supporting complex discharges</t>
  </si>
  <si>
    <t xml:space="preserve">Supporting Complex Discharges </t>
  </si>
  <si>
    <t xml:space="preserve">Supporting homeless patients to be supported with earlier facilitated discharge </t>
  </si>
  <si>
    <t>Supporting step down from D2A</t>
  </si>
  <si>
    <t>System support: extension Medequip 7 days week.</t>
  </si>
  <si>
    <t>TEC</t>
  </si>
  <si>
    <t>Training support</t>
  </si>
  <si>
    <t>workforce Agency</t>
  </si>
  <si>
    <t>1% administration</t>
  </si>
  <si>
    <t>additional social care staff</t>
  </si>
  <si>
    <t>Brokerage for ASC Hospital Discahrge</t>
  </si>
  <si>
    <t>Brokerage for self funders</t>
  </si>
  <si>
    <t>Care Home Occupancy Rates</t>
  </si>
  <si>
    <t>Community inreach capacity for ESD</t>
  </si>
  <si>
    <t>D2A Capacity</t>
  </si>
  <si>
    <t>deep cleans, furniture moves and on-off</t>
  </si>
  <si>
    <t>Dom Care provision over BHs</t>
  </si>
  <si>
    <t>ECH Step Down provision</t>
  </si>
  <si>
    <t>Frailty Navigator</t>
  </si>
  <si>
    <t>Homelessness discharge beds</t>
  </si>
  <si>
    <t>Increase rehab capacity</t>
  </si>
  <si>
    <t>Legal Advice</t>
  </si>
  <si>
    <t xml:space="preserve">MH Flow </t>
  </si>
  <si>
    <t>Residential Care Cost pressures</t>
  </si>
  <si>
    <t xml:space="preserve">Additional Social Worker capacity </t>
  </si>
  <si>
    <t>Additional staff to support with winter/hospital slow</t>
  </si>
  <si>
    <t>Admiral Nurses</t>
  </si>
  <si>
    <t>Care packages</t>
  </si>
  <si>
    <t xml:space="preserve">Digital </t>
  </si>
  <si>
    <t xml:space="preserve">Discharge co-ordinator </t>
  </si>
  <si>
    <t>Discharge to Assess (D2A)</t>
  </si>
  <si>
    <t xml:space="preserve">Service Finding Additional support </t>
  </si>
  <si>
    <t xml:space="preserve">Service Finding- Additional support </t>
  </si>
  <si>
    <t>Service Finding for health funded packages of care</t>
  </si>
  <si>
    <t>Additional AHP / Pharmacy on wards</t>
  </si>
  <si>
    <t xml:space="preserve">Additional Care at home packages </t>
  </si>
  <si>
    <t>Additional D2A beds</t>
  </si>
  <si>
    <t>Additional Home care and placements (d2A overspill)</t>
  </si>
  <si>
    <t>Additional reablement hours</t>
  </si>
  <si>
    <t>Additional SDEC Frailty</t>
  </si>
  <si>
    <t>D2A IMC flow manager post</t>
  </si>
  <si>
    <t>GP in reach to IMC wards</t>
  </si>
  <si>
    <t>Hospice 2 beds</t>
  </si>
  <si>
    <t>One off purchases to support reablement environment on IMC wards</t>
  </si>
  <si>
    <t>Other reablement purchaases to speed discharge</t>
  </si>
  <si>
    <t>Primary Care Capacity</t>
  </si>
  <si>
    <t>Private Transport</t>
  </si>
  <si>
    <t>SDEC frailty</t>
  </si>
  <si>
    <t>Workforce Hub</t>
  </si>
  <si>
    <t>Case Management: Social Work Assessments (S3P02)</t>
  </si>
  <si>
    <t>Additional Capacity</t>
  </si>
  <si>
    <t>Brokerage Capacity</t>
  </si>
  <si>
    <t>Care Home Discharges - Incentivisation</t>
  </si>
  <si>
    <t>Discharge support -  HIU's</t>
  </si>
  <si>
    <t>Discharge support - Hinch</t>
  </si>
  <si>
    <t>Discharge support - Transport</t>
  </si>
  <si>
    <t>Disretionary Housing Grants</t>
  </si>
  <si>
    <t>Home Care Discharges - Incentivisation</t>
  </si>
  <si>
    <t>Intensive Dementia Support</t>
  </si>
  <si>
    <t>Mental Health Discharge Support</t>
  </si>
  <si>
    <t>OOA Discharge Support (Hinch))</t>
  </si>
  <si>
    <t>Public Health Pilot - Strength and Balance</t>
  </si>
  <si>
    <t>Reablement - retention payments</t>
  </si>
  <si>
    <t>Social Care Discharge Capacity</t>
  </si>
  <si>
    <t>Transfer of Care Hub - Digital Solution</t>
  </si>
  <si>
    <t>Transfer of Care Hub - workforce</t>
  </si>
  <si>
    <t>VCS Alliance</t>
  </si>
  <si>
    <t>Workforce</t>
  </si>
  <si>
    <t>1:1 nursing care support</t>
  </si>
  <si>
    <t>Admin</t>
  </si>
  <si>
    <t>Deep clean</t>
  </si>
  <si>
    <t xml:space="preserve">Hampstead Court </t>
  </si>
  <si>
    <t xml:space="preserve">Homeless Health </t>
  </si>
  <si>
    <t xml:space="preserve">Integrated community equipment </t>
  </si>
  <si>
    <t>Mental Health - CMHT and Community Rehab team</t>
  </si>
  <si>
    <t>Mental Health - IDT's</t>
  </si>
  <si>
    <t xml:space="preserve">Mental Health - Intermediate care beds </t>
  </si>
  <si>
    <t xml:space="preserve">Mental Health - System Resilience posts </t>
  </si>
  <si>
    <t xml:space="preserve">P2 - Ruby Beds </t>
  </si>
  <si>
    <t>Admin Costs</t>
  </si>
  <si>
    <t>Clincal Support</t>
  </si>
  <si>
    <t>Discharge Hub</t>
  </si>
  <si>
    <t>Dom Care (ELFT contracts)</t>
  </si>
  <si>
    <t>Dom Care (LA Contracts)</t>
  </si>
  <si>
    <t>Extra Staff (HDS)</t>
  </si>
  <si>
    <t>Local Incentive Payments</t>
  </si>
  <si>
    <t>Patient transport service</t>
  </si>
  <si>
    <t>Transfer of care co-ordinator</t>
  </si>
  <si>
    <t>8 Care Communities priorities and Winter grants 2022</t>
  </si>
  <si>
    <t>Acute Trust Discharge support for ECT &amp; MCHFT</t>
  </si>
  <si>
    <t>Acute Visiting Service &amp; GP out of hours</t>
  </si>
  <si>
    <t>Additional Acute Pharmacy capacity to support hospital flow</t>
  </si>
  <si>
    <t>Additional hospital transport for discharges for evenings &amp; weekends</t>
  </si>
  <si>
    <t>Approved Mental Health Practitioners Cover, evenings &amp; weekends for ECT and MCHFT</t>
  </si>
  <si>
    <t>Care robots to free capacity in the care home market</t>
  </si>
  <si>
    <t>Care4CE mobile nights service to support people at home during the night- aligned to MCHFT</t>
  </si>
  <si>
    <t>Challenging behaviour training for Care Homes</t>
  </si>
  <si>
    <t>Contingency budget for market restructuring and transport - fuel cost support for care at home providers</t>
  </si>
  <si>
    <t>East Cheshire Hospice</t>
  </si>
  <si>
    <t>ED Mental Health In reach specialist Support Workers to support people awaiting discharge</t>
  </si>
  <si>
    <t>Emergency Housing accommodation for prevention and discharge (for homeless people)</t>
  </si>
  <si>
    <t>Hospital Discharge Premium Payment &amp; Prevention Scheme</t>
  </si>
  <si>
    <t>Hot Hub escalation expansion for non-elective and Paediatrics</t>
  </si>
  <si>
    <t xml:space="preserve">Housing Grant to support overseas staff recruitment for existing commissioned providers </t>
  </si>
  <si>
    <t>Housing Support and Recovery in reach support to CWP wards to facilitate discharge</t>
  </si>
  <si>
    <t>Male only unit (8 beds) at Riseley House, Macclesfield, for challenging behaviour</t>
  </si>
  <si>
    <t>Mental Health step down supported living flats (4) 1st Enable in Crewe</t>
  </si>
  <si>
    <t>Occupational Assessment Therapy Flat (Riseley House, Macclesfield) to support indivduals to return home</t>
  </si>
  <si>
    <t>Personal Health Budgets to support discharges</t>
  </si>
  <si>
    <t>Rapid Response Care to support hospital discharge – South of the Borough</t>
  </si>
  <si>
    <t>Short stay beds to support discharges</t>
  </si>
  <si>
    <t>St Pauls Hospital Discharge Support delivered via Community Voluntary Sector</t>
  </si>
  <si>
    <t>Transfer of Care Hub, Nurses and additional Social Workers to support discharges out of ED and out of hospital</t>
  </si>
  <si>
    <t>Winter Access Fund for Primary Care</t>
  </si>
  <si>
    <t xml:space="preserve"> Primary Care/NWAS extension to Vale Royal</t>
  </si>
  <si>
    <t xml:space="preserve">Additional ASC staff to support timely assessment </t>
  </si>
  <si>
    <t>Additional IDT staff to support timely assessment and additional Integrated Brokerage resource</t>
  </si>
  <si>
    <t>Block book 18 Gen nursing / Res Home Beds</t>
  </si>
  <si>
    <t>Block book Care at Home Provider rounds</t>
  </si>
  <si>
    <t xml:space="preserve">Care Market sustainability </t>
  </si>
  <si>
    <t>Community Equipment service</t>
  </si>
  <si>
    <t xml:space="preserve">Continue block booking Pinetum 12 beds </t>
  </si>
  <si>
    <t xml:space="preserve">Expansion of CCICP Bridging service </t>
  </si>
  <si>
    <t>Expansion of COCH Rapid Response Staffing (20wte)</t>
  </si>
  <si>
    <t xml:space="preserve">Expansion of CWAC reablement </t>
  </si>
  <si>
    <t>Extend Community and Voluntary sector support</t>
  </si>
  <si>
    <t>Mental Health Discharge/Step Down Support</t>
  </si>
  <si>
    <t>Mental Health Projects TBC</t>
  </si>
  <si>
    <t>Pooled budget to cover escalation cost of P2/3 (off-contract rates)</t>
  </si>
  <si>
    <t xml:space="preserve">Sustainable P2 and P3- 12 block booked beds 10 Gen nursing 2 Dementia Nursing </t>
  </si>
  <si>
    <t>Additional packages</t>
  </si>
  <si>
    <t xml:space="preserve">Additional packages </t>
  </si>
  <si>
    <t xml:space="preserve">Additional Staff </t>
  </si>
  <si>
    <t>ASC Scheme 10 Proud to Care - Workforce Campaign</t>
  </si>
  <si>
    <t>ASC Scheme 6 Home Care high priority unmet demand purchase</t>
  </si>
  <si>
    <t>ASC Scheme 7 Increase to fair cost of care for home care capacity</t>
  </si>
  <si>
    <t>ASC Scheme 9 Additional assessing and brokerage</t>
  </si>
  <si>
    <t>ICB Scheme 13 Care Home Support</t>
  </si>
  <si>
    <t>ICB Scheme 1a - Commissioning of additional reablement capacity and Home First assessing capacity</t>
  </si>
  <si>
    <t>ICB Scheme 1b - Facilitation of hospital discharges for people with mental health and dementia support needs</t>
  </si>
  <si>
    <t>ICB Scheme 2a Community Hospitals 7 Day Services, Flow &amp; Rehabilitation Programme</t>
  </si>
  <si>
    <t>ICB Scheme 2b Community Hospital Dementia and Complex Care beds &amp; wraparound support</t>
  </si>
  <si>
    <t>ICB Scheme 3a Repurposing and block contracting of 25 complex care and dementia beds</t>
  </si>
  <si>
    <t>ICB Scheme 3b GP Care Home Discharge Support DES</t>
  </si>
  <si>
    <t>ICB Scheme 4 Expansion of Primary Care Dementia Practitioner Scheme</t>
  </si>
  <si>
    <t>ICB Scheme 5 Social Care Workforce Development jointly develop a programme for social care workforce development</t>
  </si>
  <si>
    <t>ICB Scheme 8 Increase to fair cost of care for home care capacity</t>
  </si>
  <si>
    <t>IOS contribution to ICB Scheme 5 Social Care Workforce Development jointly develop a programme for social are workforce development</t>
  </si>
  <si>
    <t>Joint Scheme 11 TEC &amp; Equipment</t>
  </si>
  <si>
    <t>Joint Scheme 12 Fund administration</t>
  </si>
  <si>
    <t>Adult Care Staffing Pressures</t>
  </si>
  <si>
    <t>AMHP Service</t>
  </si>
  <si>
    <t>CAB</t>
  </si>
  <si>
    <t>Care Academy provider support</t>
  </si>
  <si>
    <t>Care Homes discharge and staff support</t>
  </si>
  <si>
    <t>Community Hospital Bed Capacity</t>
  </si>
  <si>
    <t>Discharge System coordinator</t>
  </si>
  <si>
    <t>Discharge/ Recovery Unit</t>
  </si>
  <si>
    <t>Domiciliary Block CHC (uplift)</t>
  </si>
  <si>
    <t>Domiciliary Care additional capacity</t>
  </si>
  <si>
    <t>Domiciliary Care Block ( uplift)</t>
  </si>
  <si>
    <t>IC Bed Increase Capacity</t>
  </si>
  <si>
    <t>MH Discharge Team Support</t>
  </si>
  <si>
    <t>MH/LD Services</t>
  </si>
  <si>
    <t>NEAS ( MH/LD) Transport</t>
  </si>
  <si>
    <t>West Cornforth Step Down Service</t>
  </si>
  <si>
    <t>7 Day Brokerage</t>
  </si>
  <si>
    <t>Additional Care Capacity to support complex discharges</t>
  </si>
  <si>
    <t>Additional OT's to enhance reablement</t>
  </si>
  <si>
    <t>Additional SW's to enhance reablement</t>
  </si>
  <si>
    <t>Additional TL to manage expanded discharge team</t>
  </si>
  <si>
    <t>Community Pathway Coordinators</t>
  </si>
  <si>
    <t>Equipment deliveries</t>
  </si>
  <si>
    <t>Equipment Purchases</t>
  </si>
  <si>
    <t>Expansion of IDT</t>
  </si>
  <si>
    <t>Flow Team Expansion</t>
  </si>
  <si>
    <t>Hospital Team expansion</t>
  </si>
  <si>
    <t>Increase CH provider review capacity</t>
  </si>
  <si>
    <t>Increased flow in CHC pathways</t>
  </si>
  <si>
    <t>Increased Home Support Hours</t>
  </si>
  <si>
    <t>Increased step down bed Capacity</t>
  </si>
  <si>
    <t>MH Discharge</t>
  </si>
  <si>
    <t>Pathway 1 hours</t>
  </si>
  <si>
    <t>Pathway 1 workforce incentives</t>
  </si>
  <si>
    <t>Pathway 2 beds</t>
  </si>
  <si>
    <t>Pathway 3 MDT</t>
  </si>
  <si>
    <t>Physio capacity</t>
  </si>
  <si>
    <t>Removal of Barriers to discharge</t>
  </si>
  <si>
    <t>Response coordination</t>
  </si>
  <si>
    <t>Retention</t>
  </si>
  <si>
    <t>12 additional step down beds</t>
  </si>
  <si>
    <t>Additional community Equipment</t>
  </si>
  <si>
    <t xml:space="preserve">Additional discharge staff in LIFE </t>
  </si>
  <si>
    <t>Additional home treatment capacity</t>
  </si>
  <si>
    <t>Additional pharmacy staff to reduce waits for medication on discharge</t>
  </si>
  <si>
    <t>Advance discharge planning liaison</t>
  </si>
  <si>
    <t>Bed Bureau contribution to SWL</t>
  </si>
  <si>
    <t>Bed Bureau staffing</t>
  </si>
  <si>
    <t>Brokerage and placement staffing</t>
  </si>
  <si>
    <t>CHC staffing</t>
  </si>
  <si>
    <t>Enhanced discharge staff including weekend</t>
  </si>
  <si>
    <t>Enhanced packages (SDS)</t>
  </si>
  <si>
    <t>Enhanced Primary care support to community discharge</t>
  </si>
  <si>
    <t>Extended equipment service to 7 days</t>
  </si>
  <si>
    <t>Extra supported housing units</t>
  </si>
  <si>
    <t>Flow Hub</t>
  </si>
  <si>
    <t>Housing pathway support staff</t>
  </si>
  <si>
    <t>overspill discharge support</t>
  </si>
  <si>
    <t>Responsible commissioner identification support</t>
  </si>
  <si>
    <t xml:space="preserve">Social work staffing </t>
  </si>
  <si>
    <t>Staying Put, increased costs and weekend support</t>
  </si>
  <si>
    <t>Trusted Assessor model for Home Care Providers</t>
  </si>
  <si>
    <t>Winter bed staffng</t>
  </si>
  <si>
    <t>Cumbria</t>
  </si>
  <si>
    <t xml:space="preserve">Additional Coordination and Assessment </t>
  </si>
  <si>
    <t>Additional staffing capacity to support D2A services</t>
  </si>
  <si>
    <t xml:space="preserve">Alternative community support </t>
  </si>
  <si>
    <t>Assistive Technology Equipment and Capacity</t>
  </si>
  <si>
    <t xml:space="preserve">Care Packages </t>
  </si>
  <si>
    <t>CHC Nursing Residential Beds</t>
  </si>
  <si>
    <t xml:space="preserve">Flexible Grant and Carers Support </t>
  </si>
  <si>
    <t>Home First Capacity</t>
  </si>
  <si>
    <t>Improved Assessment and Coordination Capacity for Mental Health services</t>
  </si>
  <si>
    <t>Improved Capacity and Deployment of Domiciliary Support</t>
  </si>
  <si>
    <t>Improved coordination, assessment and harmonisation of D2A Processes</t>
  </si>
  <si>
    <t>Increased capacity of discharge and transport services</t>
  </si>
  <si>
    <t xml:space="preserve">Intermediate Care and Residential Bed Placements </t>
  </si>
  <si>
    <t>Mental Health D2A Beds</t>
  </si>
  <si>
    <t xml:space="preserve">Reablement Coordination and Assessment support </t>
  </si>
  <si>
    <t xml:space="preserve">Acute Hospital MH Liaison Role </t>
  </si>
  <si>
    <t>Additional Intermediate/short stay bed capacity</t>
  </si>
  <si>
    <t>Additional social workers to cover extra activity over winter period</t>
  </si>
  <si>
    <t>ALD specialist clinical in reach support for Greenlight patients</t>
  </si>
  <si>
    <t>CHC Block Hours</t>
  </si>
  <si>
    <t>Expansion of Mental Health Hospital Discharge Service into General Needs Hospitals</t>
  </si>
  <si>
    <t>Hospital in reach nurse via St Teresa's Hospice to support discharge home or into a hospice bed</t>
  </si>
  <si>
    <t>Incentivise recruitment and retention bonus payments</t>
  </si>
  <si>
    <t>Mental Health Funding</t>
  </si>
  <si>
    <t>Mental Health Hospital Discharge Service Expansion</t>
  </si>
  <si>
    <t>Mental Health/ Social Care Discharges - Transport</t>
  </si>
  <si>
    <t>Mileage payments for homecare</t>
  </si>
  <si>
    <t xml:space="preserve">Rapid Response </t>
  </si>
  <si>
    <t>Reviewing Officers</t>
  </si>
  <si>
    <t>Time Banding to increase flow and prevent blockages</t>
  </si>
  <si>
    <t>Additional admissions to PVI homecare</t>
  </si>
  <si>
    <t>Additional admissions to PVI short term residential</t>
  </si>
  <si>
    <t>Additional PVI workforce payment</t>
  </si>
  <si>
    <t>Additional Social Worker/ AHMP to support Radbourne Unit</t>
  </si>
  <si>
    <t>Additional Social Worker/ CCWs to support LRCH ward 5</t>
  </si>
  <si>
    <t>ASCDF Administration</t>
  </si>
  <si>
    <t>Brokerage support for Pathway 3</t>
  </si>
  <si>
    <t>Discharge to Assess packages</t>
  </si>
  <si>
    <t>Florence Nightingale Community Hospital (23 beds)</t>
  </si>
  <si>
    <t>Hospice provision (4 beds)</t>
  </si>
  <si>
    <t>Ilkeston Hospital (14 beds)</t>
  </si>
  <si>
    <t>Local Area Coordination within IDT/ ED at Royal Derby</t>
  </si>
  <si>
    <t>Mental Health Step Down Residential Capacity (8 beds)</t>
  </si>
  <si>
    <t>NEPTS (4 crews per day)</t>
  </si>
  <si>
    <t>Overnight discharge Lounge and Hub facility to allow progression of discharges through the 24 hour period</t>
  </si>
  <si>
    <t>Self-Management Facilitators</t>
  </si>
  <si>
    <t>Spot-purchasing capacity</t>
  </si>
  <si>
    <t>VCSE capacity to suppport discharge</t>
  </si>
  <si>
    <t>Additional 3 direct payment staff in hospitals</t>
  </si>
  <si>
    <t>Additional PVI incentive payment</t>
  </si>
  <si>
    <t>Additional PVI payment over the period</t>
  </si>
  <si>
    <t>Flow for hospitals ccw and management</t>
  </si>
  <si>
    <t>Interim beds across Derbyshire CC locations (10 beds)</t>
  </si>
  <si>
    <t>Patient flow workers</t>
  </si>
  <si>
    <t>HD Agency</t>
  </si>
  <si>
    <t>HD Residential / Nursing</t>
  </si>
  <si>
    <t>Additional capacity for residential placements (ICB contribution)</t>
  </si>
  <si>
    <t>Additional capacity for residential placements (LA contribution)</t>
  </si>
  <si>
    <t xml:space="preserve">Capacity tracker </t>
  </si>
  <si>
    <t xml:space="preserve">Community based equipment </t>
  </si>
  <si>
    <t>Domilliary care to support hospital discharge (ICB contribution)</t>
  </si>
  <si>
    <t>Domilliary care to support hospital discharge (LA contribution)</t>
  </si>
  <si>
    <t xml:space="preserve">Home from hospital support packs </t>
  </si>
  <si>
    <t xml:space="preserve">Increase in mental health provision </t>
  </si>
  <si>
    <t>Pay increase for domicilliary care sector (ICB  contribution)</t>
  </si>
  <si>
    <t>Pay increase for domicilliary care sector (LA contribution)</t>
  </si>
  <si>
    <t xml:space="preserve">Urgent hospital discharge support </t>
  </si>
  <si>
    <t xml:space="preserve">Workforce retention </t>
  </si>
  <si>
    <t>Administration Support</t>
  </si>
  <si>
    <t>Care Allocation resourcing</t>
  </si>
  <si>
    <t>D2A for complex discharges</t>
  </si>
  <si>
    <t>Domiciliary Care Blocks</t>
  </si>
  <si>
    <t>Live In Care Block</t>
  </si>
  <si>
    <t>Nursing beds block</t>
  </si>
  <si>
    <t>Recovery Community Resilience</t>
  </si>
  <si>
    <t>Step up/ step down beds</t>
  </si>
  <si>
    <t>Trusted Assessors</t>
  </si>
  <si>
    <t>Winter surge beds</t>
  </si>
  <si>
    <t xml:space="preserve">Additional back office support </t>
  </si>
  <si>
    <t>Additional beds to support discharge for those patients testing positive for covid</t>
  </si>
  <si>
    <t>Additional discharge 2 Assess joint plan (townships)</t>
  </si>
  <si>
    <t>Additional Intermediate Care bed based capacity</t>
  </si>
  <si>
    <t>Additional Intermediate Care Nurse capapcity</t>
  </si>
  <si>
    <t xml:space="preserve">Additional Pathway 1 </t>
  </si>
  <si>
    <t>Additional Pathway 3 beds</t>
  </si>
  <si>
    <t>Additional pathway 3 beds managed by health teams, patients with nursing needs</t>
  </si>
  <si>
    <t>Additional social work capacity for mental health and LD colleagues</t>
  </si>
  <si>
    <t>Administration time for planning and co-ordination</t>
  </si>
  <si>
    <t>Assessment capacity to review  care packages in peoples own homes.</t>
  </si>
  <si>
    <t>Bridging beds</t>
  </si>
  <si>
    <t>Enhanced neuro-rehabilitation capacity</t>
  </si>
  <si>
    <t>Overtime for dom care workers and social work staff</t>
  </si>
  <si>
    <t>Social work capacity</t>
  </si>
  <si>
    <t>Support for pathway 0</t>
  </si>
  <si>
    <t>Therapy capacity for pathway 3 and spot purchase beds</t>
  </si>
  <si>
    <t>Therapy support in patents own homes</t>
  </si>
  <si>
    <t>Top slice for administration</t>
  </si>
  <si>
    <t>Voluntary sector support for mental health inpatients</t>
  </si>
  <si>
    <t xml:space="preserve">Residential </t>
  </si>
  <si>
    <t>Discharge to care home settings</t>
  </si>
  <si>
    <t>Additional costs associated with step down beds</t>
  </si>
  <si>
    <t>Additional ICT Beds</t>
  </si>
  <si>
    <t>Additional SPOT Purchase patients to support Health Transfer</t>
  </si>
  <si>
    <t>CHC Brokerage</t>
  </si>
  <si>
    <t>CIPHER</t>
  </si>
  <si>
    <t xml:space="preserve">Community equipment for hospital discharge </t>
  </si>
  <si>
    <t>Data Analyst</t>
  </si>
  <si>
    <t>End of Life Step Down Beds</t>
  </si>
  <si>
    <t xml:space="preserve">Enhanced weekend decision making in the Care Market </t>
  </si>
  <si>
    <t>In house service retention</t>
  </si>
  <si>
    <t>Increased Hourly rate to Homecare staff in the East Riding geography</t>
  </si>
  <si>
    <t>Local Transport Solution to support timely discharge</t>
  </si>
  <si>
    <t>Maximising Independence Team</t>
  </si>
  <si>
    <t>Mental Health Crisis Beds (East Riding)</t>
  </si>
  <si>
    <t>Perfect Week - Discharge event</t>
  </si>
  <si>
    <t xml:space="preserve">Reablement telecare / lifeline </t>
  </si>
  <si>
    <t>Senior Nurse Assertive In-reach</t>
  </si>
  <si>
    <t>Social Work input to Mental Health</t>
  </si>
  <si>
    <t>Step down beds - East Riding / Scarborough</t>
  </si>
  <si>
    <t>Utilising Red Cross capacity</t>
  </si>
  <si>
    <t>Winter Step Down Bed (NoF)</t>
  </si>
  <si>
    <t>Winter Step Down Beds (Covid)</t>
  </si>
  <si>
    <t>Winter Step Down Beds (non-covid)</t>
  </si>
  <si>
    <t xml:space="preserve">5 x Adult Social Care bridging beds </t>
  </si>
  <si>
    <t>Acute/
community co-ordinators posts</t>
  </si>
  <si>
    <t>ASC Assessment capacity - existing pressures</t>
  </si>
  <si>
    <t>ASC Assessment capacity - support additional DTA capacity</t>
  </si>
  <si>
    <t xml:space="preserve">Assistive Technologies and Equipment </t>
  </si>
  <si>
    <t xml:space="preserve">Bed based intermediate care services </t>
  </si>
  <si>
    <t>Block purchasing nursing placement resource (Dementia beds_</t>
  </si>
  <si>
    <t>British Red Cross Discharge Support expansion</t>
  </si>
  <si>
    <t>Care Home staff incentive payments</t>
  </si>
  <si>
    <t>Care Homes Overseas Recruitment</t>
  </si>
  <si>
    <t xml:space="preserve">Community Equipment - delivery capacity </t>
  </si>
  <si>
    <t>DTA P3 beds - Additional block</t>
  </si>
  <si>
    <t>DTA P3 beds - additional spot for complex patients</t>
  </si>
  <si>
    <t>DTA P3 beds - additional spot purchases for patients with mental health needs</t>
  </si>
  <si>
    <t>Enhanced Discharge Support</t>
  </si>
  <si>
    <t>Expanded Capacity</t>
  </si>
  <si>
    <t>Expansion of Transfer of Care Discharge Team</t>
  </si>
  <si>
    <t>Extension of Bridging Service</t>
  </si>
  <si>
    <t>Home Care Block</t>
  </si>
  <si>
    <t>Home Care Hours</t>
  </si>
  <si>
    <t>Home Care Overseas Recruitment</t>
  </si>
  <si>
    <t xml:space="preserve">Home Care staff incentive payments </t>
  </si>
  <si>
    <t>Home NIV service expansion to support early discharge for specific group of patients</t>
  </si>
  <si>
    <t>Hospice scheme (St Wilfred's and St Michael's</t>
  </si>
  <si>
    <t>In-reach therapy support  - P1 DTA pathway</t>
  </si>
  <si>
    <t>In-reach therapy support  - P3 DTA pathway</t>
  </si>
  <si>
    <t>Mental Health Advanced Discharge Planning</t>
  </si>
  <si>
    <t>Personal Health Grants</t>
  </si>
  <si>
    <t xml:space="preserve">Weekend Discharge Team </t>
  </si>
  <si>
    <t>2 x Dom care provider</t>
  </si>
  <si>
    <t xml:space="preserve">Accommodation </t>
  </si>
  <si>
    <t>Blocked beds</t>
  </si>
  <si>
    <t xml:space="preserve">Community packages </t>
  </si>
  <si>
    <t xml:space="preserve">Complex Care P2 Placements &amp; Associated Support </t>
  </si>
  <si>
    <t>D2A</t>
  </si>
  <si>
    <t>Emergency utility provision</t>
  </si>
  <si>
    <t xml:space="preserve">Enablement </t>
  </si>
  <si>
    <t>Home care support</t>
  </si>
  <si>
    <t>Home meals</t>
  </si>
  <si>
    <t>Hospital discharge - emergency packs</t>
  </si>
  <si>
    <t xml:space="preserve">Hospital Discharge community resources </t>
  </si>
  <si>
    <t xml:space="preserve">Hospital Discharges </t>
  </si>
  <si>
    <t xml:space="preserve">Residential / Nursing </t>
  </si>
  <si>
    <t>Respite Provision</t>
  </si>
  <si>
    <t>Vouchers</t>
  </si>
  <si>
    <t>Additional AMHP Capacity &amp; Res. Beds</t>
  </si>
  <si>
    <t>Additional Case Coordinators</t>
  </si>
  <si>
    <t xml:space="preserve">Additional Community therapy </t>
  </si>
  <si>
    <t xml:space="preserve">ANPs for Care of Elderley Wards </t>
  </si>
  <si>
    <t>ARC (West Essex)</t>
  </si>
  <si>
    <t>ARC (West Essex) De Vere offer</t>
  </si>
  <si>
    <t>B7 palliative care nurse to support discharge of patients on EOL pathways</t>
  </si>
  <si>
    <t>Basildon - Community Matrons to support early discharge</t>
  </si>
  <si>
    <t>Basildon - Dementia Discharge Support</t>
  </si>
  <si>
    <t>Basildon - DIST</t>
  </si>
  <si>
    <t>Basildon - IRN Beds at Evelyn May</t>
  </si>
  <si>
    <t>Basildon - Pathway 0-1 Welfare Checks</t>
  </si>
  <si>
    <t>Basildon - Pathway Co-ordinators</t>
  </si>
  <si>
    <t>Basildon - Rapid Response Service for Discharge</t>
  </si>
  <si>
    <t>Basildon - Third Sector Support for Discharge</t>
  </si>
  <si>
    <t>Basildon - TOCH development</t>
  </si>
  <si>
    <t>Basildon - Welcome Home Packages</t>
  </si>
  <si>
    <t>Bearing Point Support</t>
  </si>
  <si>
    <t>CCC access to Nerve Centre</t>
  </si>
  <si>
    <t>Clacton UTC additional ANP 10hrs/day 7 days per week</t>
  </si>
  <si>
    <t>Community Support Workers for Virtual Wards</t>
  </si>
  <si>
    <t>Complex discharge support including EoL, frailty and D2A pathways (including inreach) clinical/professional/admin support</t>
  </si>
  <si>
    <t>CPR - CCC Early Alert Coordinator</t>
  </si>
  <si>
    <t>CPR - Dementia Discharge Support</t>
  </si>
  <si>
    <t>CPR - Pathway Light</t>
  </si>
  <si>
    <t>CPR - TOCH Development</t>
  </si>
  <si>
    <t>CPR - TOCH Development (System 1)</t>
  </si>
  <si>
    <t>CPR - Whittingham House  Additional Beds</t>
  </si>
  <si>
    <t>D2A Wrap Around support service</t>
  </si>
  <si>
    <t>Designated Setting</t>
  </si>
  <si>
    <t xml:space="preserve">Discharge Support Fund </t>
  </si>
  <si>
    <t>ECC Admin</t>
  </si>
  <si>
    <t>EoL virtual ward extension</t>
  </si>
  <si>
    <t xml:space="preserve">Extension of Pathway Light </t>
  </si>
  <si>
    <t>Fast track Assistive Technology</t>
  </si>
  <si>
    <t>GP support to D2A beds</t>
  </si>
  <si>
    <t>HCA Discharge Support</t>
  </si>
  <si>
    <t>Home to Assess Service</t>
  </si>
  <si>
    <t>Incentive Payments - Dom Care rapid response</t>
  </si>
  <si>
    <t>Incentive Payments - Dom Care unallocated</t>
  </si>
  <si>
    <t>Incentive Payments - Residential rapid response</t>
  </si>
  <si>
    <t xml:space="preserve">Increase in Swan Bridging </t>
  </si>
  <si>
    <t xml:space="preserve">increased acute Thereapies to support discharge </t>
  </si>
  <si>
    <t>Increased Bridging capacity (care at home) Oct - Mar x 6 posts</t>
  </si>
  <si>
    <t>Investment into care workforce</t>
  </si>
  <si>
    <t>IRAS</t>
  </si>
  <si>
    <t>MH Band 7 (in patient support/Dx out of hospital pathway)</t>
  </si>
  <si>
    <t>Mid Essex - Additional Beds</t>
  </si>
  <si>
    <t>Mid Essex - ARC Therapy</t>
  </si>
  <si>
    <t>Mid Essex - Braintree Dom Hours</t>
  </si>
  <si>
    <t>Mid Essex - Equipment</t>
  </si>
  <si>
    <t>Mid Essex - PSI Beds</t>
  </si>
  <si>
    <t>Mid Essex - TOCH Development</t>
  </si>
  <si>
    <t>Mid Essex Bridging</t>
  </si>
  <si>
    <t>MSE - 7 day clinical cover for Mental Health</t>
  </si>
  <si>
    <t>MSE - Bridging</t>
  </si>
  <si>
    <t>MSE - Enhanced Transport - Customer Relations</t>
  </si>
  <si>
    <t>MSE - Enhanced Transport - Flexible Capacity</t>
  </si>
  <si>
    <t>MSE - Health Block Nursing Beds</t>
  </si>
  <si>
    <t>MSE - Ward Based Reablement</t>
  </si>
  <si>
    <t>Night service extension of ICT to support safe Discharge home</t>
  </si>
  <si>
    <t>OPAT - Expansion IV in the community (Clacton) x1 WTE</t>
  </si>
  <si>
    <t xml:space="preserve">Primary Care virtual ward support </t>
  </si>
  <si>
    <t>Social Prescribers for Virtual Wards</t>
  </si>
  <si>
    <t>Temp increase in ARC</t>
  </si>
  <si>
    <t xml:space="preserve">Therapies and ANP's for Home to Assess or Ramsey </t>
  </si>
  <si>
    <t>Transfer of Care Hub function within the CCC – recruit 4x Community Support Workers for the 4 months of winter.</t>
  </si>
  <si>
    <t xml:space="preserve">Trusted Assessors </t>
  </si>
  <si>
    <t xml:space="preserve">UCRS - ANP Cover x4 – via NHSP agency to support ED discharge </t>
  </si>
  <si>
    <t>Voluntary Sector Discharge Support</t>
  </si>
  <si>
    <t>VSE acute social prescribing, CVS Hospital Discharge Proposal</t>
  </si>
  <si>
    <t xml:space="preserve">Ward Led Enablement </t>
  </si>
  <si>
    <t>Ward led enablement / in reach reablement</t>
  </si>
  <si>
    <t>Administration of Funding</t>
  </si>
  <si>
    <t>Community Discharge to Assess Services</t>
  </si>
  <si>
    <t>Dedicated Step Down Beds</t>
  </si>
  <si>
    <t>Expansion of Reblement Services</t>
  </si>
  <si>
    <t>Home Care Retention &amp; additional hours</t>
  </si>
  <si>
    <t>Hospice at Home</t>
  </si>
  <si>
    <t>Increased Equipment Stock</t>
  </si>
  <si>
    <t>PIC - Additional Overnights</t>
  </si>
  <si>
    <t>Social Care 'Care Academy' Development</t>
  </si>
  <si>
    <t>Therapy and Support Team</t>
  </si>
  <si>
    <t>Additional Extra Care Flats (x4)</t>
  </si>
  <si>
    <t>Ashley &amp; Kingham reablement units</t>
  </si>
  <si>
    <t>BRC/AgeUK Out of Hospital (Pathway 0)</t>
  </si>
  <si>
    <t>Capacity to deliver output from diagnostics</t>
  </si>
  <si>
    <t>Clapham Court Flats</t>
  </si>
  <si>
    <t>Community Equipment Service - Additional Stock/Storage</t>
  </si>
  <si>
    <t>D2A Bed Manager</t>
  </si>
  <si>
    <t>Dom Care Block Offer (x8)</t>
  </si>
  <si>
    <t>Dom care block Offer to support Scheme 3 (above)</t>
  </si>
  <si>
    <t>Gloucestershire Fire &amp; Rescue Service</t>
  </si>
  <si>
    <t>Home Clean Up to Support Discharge</t>
  </si>
  <si>
    <t>Increased Step-Up Support Capacity</t>
  </si>
  <si>
    <t>Licensing for Mapping (Gazeteer)</t>
  </si>
  <si>
    <t>Project Manager</t>
  </si>
  <si>
    <t>QDS Packages (Current)</t>
  </si>
  <si>
    <t xml:space="preserve">QDS Packages (Home First) </t>
  </si>
  <si>
    <t>Reablement and D2A beds - increased capacity</t>
  </si>
  <si>
    <t>Registered Mental Health Nurses</t>
  </si>
  <si>
    <t>Step down and step up capacity - a blended approach to care packages</t>
  </si>
  <si>
    <t>Trusted Assessors to support pathway 2</t>
  </si>
  <si>
    <t>UEC Transformation</t>
  </si>
  <si>
    <t xml:space="preserve">Volunteering </t>
  </si>
  <si>
    <t>7 day working JET</t>
  </si>
  <si>
    <t>Bridge back home</t>
  </si>
  <si>
    <t>Brokerage Support</t>
  </si>
  <si>
    <t>Carer Equipment Service</t>
  </si>
  <si>
    <t>CAT support to HIDT</t>
  </si>
  <si>
    <t>CHC and complex discharges one to one to support discharge</t>
  </si>
  <si>
    <t>Dedicated MH Discharge worker for housing</t>
  </si>
  <si>
    <t>Homecare Discharge to Assess</t>
  </si>
  <si>
    <t>Homeless Winter Monies</t>
  </si>
  <si>
    <t>Mental Health Assessments</t>
  </si>
  <si>
    <t>Mental Health compliance</t>
  </si>
  <si>
    <t>Mental Health Discharge function</t>
  </si>
  <si>
    <t>Mental health workforce capacity support</t>
  </si>
  <si>
    <t>Reablement Independent Living assessors</t>
  </si>
  <si>
    <t>Retention bonus -careworkforce all setting</t>
  </si>
  <si>
    <t>Virtual Wards - Care package costs</t>
  </si>
  <si>
    <t>Virtual Wards - Social care workforce capacity</t>
  </si>
  <si>
    <t xml:space="preserve">Voluntary sector to support hospital flow through support with falls response, </t>
  </si>
  <si>
    <t>Winter Workforce capacity</t>
  </si>
  <si>
    <t>Administration fee</t>
  </si>
  <si>
    <t xml:space="preserve">Age UK East London - Take Home and Settle  Service </t>
  </si>
  <si>
    <t xml:space="preserve">B6 Pharmacy Technician </t>
  </si>
  <si>
    <t xml:space="preserve">Care package costs post 4 weeks </t>
  </si>
  <si>
    <t>Care packages for 4 weeks post discharge</t>
  </si>
  <si>
    <t>CHC Nurse Assessor capacity</t>
  </si>
  <si>
    <t>Crisis Home Treatment Team</t>
  </si>
  <si>
    <t>Discharge Improvement Project</t>
  </si>
  <si>
    <t>Discharge team and hub capacity</t>
  </si>
  <si>
    <t xml:space="preserve">Discharge Team Posts </t>
  </si>
  <si>
    <t xml:space="preserve">Enhancing Discharge </t>
  </si>
  <si>
    <t xml:space="preserve">Goodmayes interim accommodation for working age adults </t>
  </si>
  <si>
    <t>Housing Discharge Fund</t>
  </si>
  <si>
    <t xml:space="preserve">Housing with Care Flats </t>
  </si>
  <si>
    <t xml:space="preserve">Hygiene Services 	</t>
  </si>
  <si>
    <t>Intermediate Care Team</t>
  </si>
  <si>
    <t>Move on Team</t>
  </si>
  <si>
    <t>Peer support workers to support discharge back into the community</t>
  </si>
  <si>
    <t>Pharmacy Capacity</t>
  </si>
  <si>
    <t>Reablement Pilot</t>
  </si>
  <si>
    <t>Rose Court Extra Care- to support interim flats</t>
  </si>
  <si>
    <t>Sundries</t>
  </si>
  <si>
    <t>Workforce training - Lifting and handling</t>
  </si>
  <si>
    <t>Acute Discharge Co-ordination (STH&amp;K)</t>
  </si>
  <si>
    <t>Acute Mental Health - Bed Flow</t>
  </si>
  <si>
    <t>Acute Mental Health Support</t>
  </si>
  <si>
    <t>Care Home - Nursing/ Dementia Nursing (Additional/Redployed Capacity)</t>
  </si>
  <si>
    <t>Care Home - Nursing/ Dementia Nursing (Increased Hours)</t>
  </si>
  <si>
    <t>Care Home - Nursing/ Dementia Nursing (Retention Incentives)</t>
  </si>
  <si>
    <t>Community Telecare &amp; Warden Service</t>
  </si>
  <si>
    <t>Domiciliary Care - Incentives</t>
  </si>
  <si>
    <t>Equipment - Stock Levels</t>
  </si>
  <si>
    <t>Lilycross - Transitional Care Beds</t>
  </si>
  <si>
    <t>Night Service</t>
  </si>
  <si>
    <t>Packages of Care - High Cost</t>
  </si>
  <si>
    <t>Social Work Capacity - Hospital Discharge Teams</t>
  </si>
  <si>
    <t>Social Work Capacity - Later Life &amp; Memory Service (LLAMS)</t>
  </si>
  <si>
    <t>Support at Home (Voluntary Sector &amp; Carers)</t>
  </si>
  <si>
    <t>Transitional Care Capacity</t>
  </si>
  <si>
    <t>Additional Domiciliary Care Assistive Technologies and Equipment</t>
  </si>
  <si>
    <t xml:space="preserve">Additional Domiciliary Care Home Care </t>
  </si>
  <si>
    <t xml:space="preserve">Additional Step down beds Residential/Nursing Placements </t>
  </si>
  <si>
    <t xml:space="preserve">Adminstration </t>
  </si>
  <si>
    <t>Local iniaitative Increase hours worked by existing workforce</t>
  </si>
  <si>
    <t>Local iniative Improve retention of existing workforce</t>
  </si>
  <si>
    <t>Market Quality</t>
  </si>
  <si>
    <t>Beds</t>
  </si>
  <si>
    <t>IIC</t>
  </si>
  <si>
    <t>Processing</t>
  </si>
  <si>
    <t>RSS</t>
  </si>
  <si>
    <t>Utilisation</t>
  </si>
  <si>
    <t>'Funding Without Prejudice': Complex Care P2 Placements in Care Homes &amp; Associated Support</t>
  </si>
  <si>
    <t>Investment in brokerage capacity</t>
  </si>
  <si>
    <t>P1 Reablement Function and Short-Term Care Packages</t>
  </si>
  <si>
    <t>P2 NHS Rehab Intermediate Care Placements</t>
  </si>
  <si>
    <t>Step-Down of Homeless Health Clients</t>
  </si>
  <si>
    <t>Support for Complex MH Hospital Discharge and Intermediate Care Provision</t>
  </si>
  <si>
    <t>Block Beds</t>
  </si>
  <si>
    <t>Enhanced Night Provision (local initiative)</t>
  </si>
  <si>
    <t>Extend Reablement</t>
  </si>
  <si>
    <t>Hopsital Discharges</t>
  </si>
  <si>
    <t>Mental Health Discharge Pathway (AMPH support local initiative)</t>
  </si>
  <si>
    <t>Opening up closed beds (92 res &amp; nursing beds)</t>
  </si>
  <si>
    <t>Step Down &amp; Workforce Support</t>
  </si>
  <si>
    <t>Additional Intermediate Care / Short Stay Bed Capacity</t>
  </si>
  <si>
    <t>Complex Discharge Coordination</t>
  </si>
  <si>
    <t>Expansion of the Tees Mental Health Discharge Service</t>
  </si>
  <si>
    <t>Mental Health Discharge - Transport</t>
  </si>
  <si>
    <t>Purchase two new 4x4 Home Care / Telecare Vehicles</t>
  </si>
  <si>
    <t>Retention of Care Staff</t>
  </si>
  <si>
    <t xml:space="preserve">Tees Community Equipment Services - additional resources to support increased discharge requirements.  </t>
  </si>
  <si>
    <t>Weekend Admissions to Care Homes</t>
  </si>
  <si>
    <t>Enabling recruitment scheme</t>
  </si>
  <si>
    <t>Hospital discharge team supplementary resource</t>
  </si>
  <si>
    <t>Mental health D2A support</t>
  </si>
  <si>
    <t>Sustaining Reablement scheme</t>
  </si>
  <si>
    <t>Winter Mental Health Care Home funding Scheme</t>
  </si>
  <si>
    <t>Winter Mental Health Home Care Scheme</t>
  </si>
  <si>
    <t>Winter Mental Health Nursing Care Scheme</t>
  </si>
  <si>
    <t>Home Care Contracts</t>
  </si>
  <si>
    <t>Nursing Home Beds</t>
  </si>
  <si>
    <t>Residential Care Home Beds</t>
  </si>
  <si>
    <t>Voluntary Sector Community Support</t>
  </si>
  <si>
    <t>Acute admissions physical health response</t>
  </si>
  <si>
    <t>Acute Discharge Runners</t>
  </si>
  <si>
    <t>Additional Assessment capability</t>
  </si>
  <si>
    <t>Additional Case Management</t>
  </si>
  <si>
    <t>Additional Community Beds Hospice</t>
  </si>
  <si>
    <t xml:space="preserve">Additional Discharge Coordinator </t>
  </si>
  <si>
    <t>Additional support to discharges in hospital</t>
  </si>
  <si>
    <t>Care home placement and domiciliary care package</t>
  </si>
  <si>
    <t>Community Beds extended medical cover weekend</t>
  </si>
  <si>
    <t>Delayed discharge due to housing difficulties / appliances</t>
  </si>
  <si>
    <t>Discharge Lead Nurse / team to work with IDT ENHT</t>
  </si>
  <si>
    <t>Discharge lounge at Kingfisher Court</t>
  </si>
  <si>
    <t>Discharge to Assess Therapy provision</t>
  </si>
  <si>
    <t>Early Supported Discharge (Sciensus) /Discharge capacity</t>
  </si>
  <si>
    <t>Equipment and Adaptations support</t>
  </si>
  <si>
    <t>Extended Bridging Service</t>
  </si>
  <si>
    <t>Extending support in Single Point of Contact to manage discharge flow</t>
  </si>
  <si>
    <t>GP Wraparound for DTA beds</t>
  </si>
  <si>
    <t>Increasing community care supply -  enablement at home</t>
  </si>
  <si>
    <t>Increasing community care supply - residential respite</t>
  </si>
  <si>
    <t>Mental Health Beds</t>
  </si>
  <si>
    <t>Non-Weight Bearing Community Beds</t>
  </si>
  <si>
    <t>Oversight of out of area beds</t>
  </si>
  <si>
    <t>Phlebotomy Discharge support workforce</t>
  </si>
  <si>
    <t>Physiotherpay wraparound to DTA beds</t>
  </si>
  <si>
    <t>Staffing resilience in the Integrated Discharge Teams</t>
  </si>
  <si>
    <t>Staffing support for additional Bed capacity</t>
  </si>
  <si>
    <t>Targeted Rural Homecase capacity</t>
  </si>
  <si>
    <t>Therapy Patient Flow Co-ordinator</t>
  </si>
  <si>
    <t>TOCH 7days per week</t>
  </si>
  <si>
    <t>TOCH digital solution</t>
  </si>
  <si>
    <t xml:space="preserve">Workforce support payments to providers </t>
  </si>
  <si>
    <t>Wraparound for Intensive Enablement Beds and Crisis DTA Beds</t>
  </si>
  <si>
    <t>Addressing non-health social issues</t>
  </si>
  <si>
    <t>Bed-based step-down</t>
  </si>
  <si>
    <t>Discharge-related homecare</t>
  </si>
  <si>
    <t>Discharge-related placements</t>
  </si>
  <si>
    <t xml:space="preserve">Housing support </t>
  </si>
  <si>
    <t>Improving MH discharge flow</t>
  </si>
  <si>
    <t>Increased community-based capacity</t>
  </si>
  <si>
    <t>Step-down in-reach</t>
  </si>
  <si>
    <t>Annual Leave Buy Back Scheme</t>
  </si>
  <si>
    <t>Borough Based Partnerships</t>
  </si>
  <si>
    <t>Supporting discharge from hospital</t>
  </si>
  <si>
    <t>D2A Homecare</t>
  </si>
  <si>
    <t>D2A Residential placements</t>
  </si>
  <si>
    <t>Enhanced rates</t>
  </si>
  <si>
    <t>Handyperson</t>
  </si>
  <si>
    <t>Increase in Spot Rates</t>
  </si>
  <si>
    <t>NHS community services Nurses</t>
  </si>
  <si>
    <t>Nursing Step Down Beds</t>
  </si>
  <si>
    <t>Residential Step Down Beds</t>
  </si>
  <si>
    <t>7 day recovery pilot</t>
  </si>
  <si>
    <t>Additional Domiciliary Care Placements</t>
  </si>
  <si>
    <t>Additional Residential Care Placements</t>
  </si>
  <si>
    <t xml:space="preserve">Additional Staff to support discharge </t>
  </si>
  <si>
    <t>ASC workforce retention</t>
  </si>
  <si>
    <t>Block Beds to aid discharge</t>
  </si>
  <si>
    <t>Complex Discharges</t>
  </si>
  <si>
    <t>Food/Utility Vouchers</t>
  </si>
  <si>
    <t xml:space="preserve">MH step downs </t>
  </si>
  <si>
    <t>Personal Health Budgets</t>
  </si>
  <si>
    <t>Specialist MH reablement</t>
  </si>
  <si>
    <t xml:space="preserve">Home Care/Direct Payments </t>
  </si>
  <si>
    <t xml:space="preserve">Market Quality </t>
  </si>
  <si>
    <t xml:space="preserve">Other </t>
  </si>
  <si>
    <t xml:space="preserve">Residential/Nursing Placements </t>
  </si>
  <si>
    <t>Addional MH Sup Living</t>
  </si>
  <si>
    <t>Additional Commissioning Support</t>
  </si>
  <si>
    <t>Additional Homecare Packages</t>
  </si>
  <si>
    <t>Additional In-House Capacity</t>
  </si>
  <si>
    <t>Additional Resi Package</t>
  </si>
  <si>
    <t>Additional Staff to support discharge</t>
  </si>
  <si>
    <t xml:space="preserve">Additional Workforce </t>
  </si>
  <si>
    <t>Admin Resource</t>
  </si>
  <si>
    <t xml:space="preserve">Care Home training </t>
  </si>
  <si>
    <t>Community beds and Community Services with reablement model</t>
  </si>
  <si>
    <t xml:space="preserve">EoLC </t>
  </si>
  <si>
    <t>Equipment and Assistive technology</t>
  </si>
  <si>
    <t>Integrated Discharge Hub and dedicated hospital brokerage staff</t>
  </si>
  <si>
    <t>KEaH - additional capacity</t>
  </si>
  <si>
    <t>Reablement at home (Pathway 1)</t>
  </si>
  <si>
    <t>Voluntary sector support on discharge</t>
  </si>
  <si>
    <t>Winter CPT Working</t>
  </si>
  <si>
    <t xml:space="preserve">Additional SPOT Purchase patients to support Health Transfer </t>
  </si>
  <si>
    <t>Additional support to independent care home providers</t>
  </si>
  <si>
    <t>Additional support to independent care home providers (ICB contribution to scheme 9)</t>
  </si>
  <si>
    <t>Community Wellbeing, early implementation of the 2023-24 National Living Wage</t>
  </si>
  <si>
    <t>Diversionary Pathways - Storey Street</t>
  </si>
  <si>
    <t>Enhanced weekend decision making in the Care Market (Hull and East Riding)</t>
  </si>
  <si>
    <t>Mental Health Crisis Beds</t>
  </si>
  <si>
    <t>Perfect Week discharge event</t>
  </si>
  <si>
    <t>Social work input into mental health</t>
  </si>
  <si>
    <t>Winter Step down beds (neck of femur)</t>
  </si>
  <si>
    <t>Winter Step down beds (non Covid)</t>
  </si>
  <si>
    <t>Additional ASC workforce capacity</t>
  </si>
  <si>
    <t>Additional bed capacity - Kingston</t>
  </si>
  <si>
    <t>Additional bed capacity SWL</t>
  </si>
  <si>
    <t>Additional homecare &amp; 24 hr care capacity</t>
  </si>
  <si>
    <t>Additional Hospital resources</t>
  </si>
  <si>
    <t>Additional Reablement</t>
  </si>
  <si>
    <t>Managing flow - care homes</t>
  </si>
  <si>
    <t>Managing flow - community support</t>
  </si>
  <si>
    <t>Managing flow - specialist support</t>
  </si>
  <si>
    <t>Workforce - incentive &amp; retention</t>
  </si>
  <si>
    <t>Care Home Placements</t>
  </si>
  <si>
    <t>Community Discharge</t>
  </si>
  <si>
    <t xml:space="preserve">Domicillary Care Packages </t>
  </si>
  <si>
    <t xml:space="preserve">Equipment to support discharge </t>
  </si>
  <si>
    <t>Increase specialist bed based intermediate care and reablement capacity at Moorlands Grange</t>
  </si>
  <si>
    <t>Mobile Response capacity to support D2A</t>
  </si>
  <si>
    <t>Staffing</t>
  </si>
  <si>
    <t>Acute Trust (StH&amp;K) Pathway 0 support</t>
  </si>
  <si>
    <t>Care Market Sustainability (workforce recruitment and retention)</t>
  </si>
  <si>
    <t xml:space="preserve">Commission dedicated emergency mental health bed provision </t>
  </si>
  <si>
    <t>Discharge support for Pathway 0 Patients via  3rd sector</t>
  </si>
  <si>
    <t>Falls Pick Up Service</t>
  </si>
  <si>
    <t>Homeless Liaison Support</t>
  </si>
  <si>
    <t>Increase AMHPs Capacity</t>
  </si>
  <si>
    <t>Increase capacity in Reablement and Rapid Response</t>
  </si>
  <si>
    <t>Increase CHC Social Worker Capacity</t>
  </si>
  <si>
    <t>Increased capacity in Hospital Discharge Team</t>
  </si>
  <si>
    <t>Increased flow within intermediate care</t>
  </si>
  <si>
    <t>Nursing Bed Block Contract</t>
  </si>
  <si>
    <t>Occupational Therapy Capacity</t>
  </si>
  <si>
    <t>Single Handed Care</t>
  </si>
  <si>
    <t>Social Care 6 week dishcarge reviews</t>
  </si>
  <si>
    <t>Support Services Recharge (LA)</t>
  </si>
  <si>
    <t>Additional ED-Social Worker</t>
  </si>
  <si>
    <t>Additional services to support discharge</t>
  </si>
  <si>
    <t>Additional therapy support</t>
  </si>
  <si>
    <t>Commissioning of additional care home nursing beds</t>
  </si>
  <si>
    <t>Commissioning of discharge to assess beds</t>
  </si>
  <si>
    <t>Continuing Healthcare (CHC) packages</t>
  </si>
  <si>
    <t>Enhanced support to enable going home</t>
  </si>
  <si>
    <t>Hospital at home additional third party costs</t>
  </si>
  <si>
    <t>Intermediate care social workers</t>
  </si>
  <si>
    <t>Mental health discharges</t>
  </si>
  <si>
    <t>Occupational therapy assessments</t>
  </si>
  <si>
    <t>Retention of social care staff</t>
  </si>
  <si>
    <t>Additional Bed based D2A placements</t>
  </si>
  <si>
    <t>Additional business support to support co-ordination of discharges -  4 MONTHS</t>
  </si>
  <si>
    <t>Additional D2A bed based placements</t>
  </si>
  <si>
    <t>Additional D2A Community based packages</t>
  </si>
  <si>
    <t>Additional hours Social Work and Social Care support officers in Integrated Discharge Team to increase to 7 day working across winter - LCC</t>
  </si>
  <si>
    <t xml:space="preserve">Additional leadership capacity for 4 months to implement clinically ready for discharge </t>
  </si>
  <si>
    <t>Administrative costs</t>
  </si>
  <si>
    <t xml:space="preserve">Administrative costs </t>
  </si>
  <si>
    <t>Crisis Care</t>
  </si>
  <si>
    <t>Harmonise Discharge Processes</t>
  </si>
  <si>
    <t>Hospital Aftercare Service Age UK</t>
  </si>
  <si>
    <t>MH Discharges into community</t>
  </si>
  <si>
    <t>Overtime for Acute/MH/Reablement teams</t>
  </si>
  <si>
    <t>Payments to care homes to encourage weekend admissions from hospital discharge</t>
  </si>
  <si>
    <t>Retention payments to Acute SW teams - LCC</t>
  </si>
  <si>
    <t>RNNA Provision - 4 months</t>
  </si>
  <si>
    <t>Stabilisation support to social care provision</t>
  </si>
  <si>
    <t>Trailblazer service across Winter</t>
  </si>
  <si>
    <t>Various Staffing across acute, care navigation and care staff - recruitment functions</t>
  </si>
  <si>
    <t>1% Admin Fee</t>
  </si>
  <si>
    <t>Adel Manor</t>
  </si>
  <si>
    <t>appropriate technologies for moving and handling</t>
  </si>
  <si>
    <t>care at home</t>
  </si>
  <si>
    <t>Care packages being kept 'live' to allow quicker discharge from a hospital setting</t>
  </si>
  <si>
    <t>case management</t>
  </si>
  <si>
    <t>CHC enhanced funding for care homes</t>
  </si>
  <si>
    <t>Community Staffing</t>
  </si>
  <si>
    <t>enhanced staffing for IC beds</t>
  </si>
  <si>
    <t>enhanced transfer of care function</t>
  </si>
  <si>
    <t>External consultant for review of reablement service</t>
  </si>
  <si>
    <t>Increase capacity in the Homecare Provider market</t>
  </si>
  <si>
    <t>Increase capacity in the Nursing &amp; Residential provider market</t>
  </si>
  <si>
    <t>Increased equipment and driver/fitter capacity</t>
  </si>
  <si>
    <t>Increased Social Work capacity</t>
  </si>
  <si>
    <t>MH Social worker</t>
  </si>
  <si>
    <t>pharmacy</t>
  </si>
  <si>
    <t>Purchase new community equipment to enable quicker discharge</t>
  </si>
  <si>
    <t>short term care homes for recovery and assessment</t>
  </si>
  <si>
    <t>Wharfedale Hospital</t>
  </si>
  <si>
    <t>Bariatric D2A pathway</t>
  </si>
  <si>
    <t>Inspire to Care</t>
  </si>
  <si>
    <t xml:space="preserve">Night Time pilot with LOT 2 framework Dom Care providers </t>
  </si>
  <si>
    <t xml:space="preserve">Reablement training </t>
  </si>
  <si>
    <t>Retention (bonus) scheme</t>
  </si>
  <si>
    <t>Stand-by/on-call payments for providers</t>
  </si>
  <si>
    <t>Administration for retention payments</t>
  </si>
  <si>
    <t>AT for continence for step down from night care</t>
  </si>
  <si>
    <t>Carers incentive payments</t>
  </si>
  <si>
    <t>Covid designated beds</t>
  </si>
  <si>
    <t>Discharge hub expansion</t>
  </si>
  <si>
    <t>Floating Support increase</t>
  </si>
  <si>
    <t>HET capital fund expansion</t>
  </si>
  <si>
    <t>High dependency 1 to 1</t>
  </si>
  <si>
    <t>Incontenance nurses</t>
  </si>
  <si>
    <t>Independent sector increase domcare capacity</t>
  </si>
  <si>
    <t>LA Therapists support</t>
  </si>
  <si>
    <t>Mental Health Brokerage</t>
  </si>
  <si>
    <t>Mental Health Case Management</t>
  </si>
  <si>
    <t>Mental Health reablement capacity</t>
  </si>
  <si>
    <t>Retention payment</t>
  </si>
  <si>
    <t>RVS to support County Patients for discharges</t>
  </si>
  <si>
    <t>S1 module for Mental Health</t>
  </si>
  <si>
    <t>Training and Comms on Home First</t>
  </si>
  <si>
    <t>Training for providers</t>
  </si>
  <si>
    <t>Wrap-around domiciliary care</t>
  </si>
  <si>
    <t>Discharge teams (1)</t>
  </si>
  <si>
    <t>Discharge teams (2)</t>
  </si>
  <si>
    <t>Discharge therapies</t>
  </si>
  <si>
    <t>Enablement HR resource</t>
  </si>
  <si>
    <t>Eqiupment for Discharge</t>
  </si>
  <si>
    <t>Equipment for Reablement</t>
  </si>
  <si>
    <t>Home First - reablement</t>
  </si>
  <si>
    <t>Intensive care at home</t>
  </si>
  <si>
    <t>Mental Health flow</t>
  </si>
  <si>
    <t>Nursing &amp; Residential beds</t>
  </si>
  <si>
    <t>Active Recovery Beds part 2</t>
  </si>
  <si>
    <t xml:space="preserve">Administration to Scheme </t>
  </si>
  <si>
    <t xml:space="preserve">ASC &amp; OT Waiting List </t>
  </si>
  <si>
    <t xml:space="preserve">Home &amp; Health Care Packages </t>
  </si>
  <si>
    <t>Improvement to Acute Hospital Flow</t>
  </si>
  <si>
    <t xml:space="preserve">Intermediate Care Infrastructure </t>
  </si>
  <si>
    <t xml:space="preserve">Sustaining the Workforce </t>
  </si>
  <si>
    <t>7 day working</t>
  </si>
  <si>
    <t>Additional Assessment Capacity</t>
  </si>
  <si>
    <t>Additional step down beds</t>
  </si>
  <si>
    <t xml:space="preserve">End of Life - Clatterbridge </t>
  </si>
  <si>
    <t>Enhanced Support to Care Homes</t>
  </si>
  <si>
    <t>Health &amp; Social Care hubs</t>
  </si>
  <si>
    <t>Homelessness &amp; Hospital discharge</t>
  </si>
  <si>
    <t>Intermediate Care Hubs admission and discharge</t>
  </si>
  <si>
    <t xml:space="preserve">Market Sustainability </t>
  </si>
  <si>
    <t>Nursing Care sustainability</t>
  </si>
  <si>
    <t>Prescribing Support</t>
  </si>
  <si>
    <t xml:space="preserve">Sub acute capacity - Longmoor House </t>
  </si>
  <si>
    <t>Supportng the VCS</t>
  </si>
  <si>
    <t>Tech enabled Care</t>
  </si>
  <si>
    <t xml:space="preserve">Therapy capacity </t>
  </si>
  <si>
    <t>Townsend 10 intermediate care beds</t>
  </si>
  <si>
    <t xml:space="preserve">Vaccine and winter comms campaign </t>
  </si>
  <si>
    <t xml:space="preserve">WIC capacity </t>
  </si>
  <si>
    <t>D2A  Integrated Hospital Discharge Hub</t>
  </si>
  <si>
    <t>D2A Home care</t>
  </si>
  <si>
    <t>D2A private sector retention</t>
  </si>
  <si>
    <t>D2A Reablement</t>
  </si>
  <si>
    <t>D2A Residential &amp; Nursing</t>
  </si>
  <si>
    <t>Dementia Intensive Support Service</t>
  </si>
  <si>
    <t>Discharge co-ordination service</t>
  </si>
  <si>
    <t>Equipment in care homes</t>
  </si>
  <si>
    <t>Night Sit Service</t>
  </si>
  <si>
    <t>Peer support workers</t>
  </si>
  <si>
    <t>Supporting the Domicilliary Care market</t>
  </si>
  <si>
    <t>Voluntary Sector Support</t>
  </si>
  <si>
    <t>Expand and strengthen discharge teams</t>
  </si>
  <si>
    <t>Expand and strengthen Mental Health services</t>
  </si>
  <si>
    <t>Expand and strengthen the Control Room</t>
  </si>
  <si>
    <t xml:space="preserve">Home Care Workforce </t>
  </si>
  <si>
    <t>Pathway 1 to Homecare</t>
  </si>
  <si>
    <t>Pathway 1 to Reablement</t>
  </si>
  <si>
    <t>Pathway 3 Placements</t>
  </si>
  <si>
    <t>Reablement OT capacity expansion</t>
  </si>
  <si>
    <t>Recovery Beds Trial</t>
  </si>
  <si>
    <t>Response Team</t>
  </si>
  <si>
    <t>Specialist Equipment</t>
  </si>
  <si>
    <t>Targeted Accommodation Provision</t>
  </si>
  <si>
    <t xml:space="preserve">Equipment and Assitive Technology </t>
  </si>
  <si>
    <t>Reablement in a Person's own Home</t>
  </si>
  <si>
    <t>Additional capacity for short term placements</t>
  </si>
  <si>
    <t>Additional equipment costs</t>
  </si>
  <si>
    <t>Additional Social worker and out of hours capacity</t>
  </si>
  <si>
    <t>Additional trialling of 1:1 support via D2A</t>
  </si>
  <si>
    <t>HR to support recruitment</t>
  </si>
  <si>
    <t>Inreach drugs and alcohol service</t>
  </si>
  <si>
    <t>Same day discharge support</t>
  </si>
  <si>
    <t>Step down provision for people with MH diagnosis</t>
  </si>
  <si>
    <t>telecare to support discharge</t>
  </si>
  <si>
    <t>Admin Support</t>
  </si>
  <si>
    <t>Block Book Fast-track/end of life beds</t>
  </si>
  <si>
    <t>Block Book LD/MH Complex Needs Beds</t>
  </si>
  <si>
    <t>Carers - Incentive payments for unpaid carers</t>
  </si>
  <si>
    <t>Complex Discharges Co-ordination</t>
  </si>
  <si>
    <t>D2A temporary accommodation for individuals with housing or social needs</t>
  </si>
  <si>
    <t>Discharge to Assess - Residential Care</t>
  </si>
  <si>
    <t>Extension of Discharge Lounge at James Cook University Hospital</t>
  </si>
  <si>
    <t>Fast-track Domiciliary Care Provision</t>
  </si>
  <si>
    <t>Housing &amp; Hosptial Navigator</t>
  </si>
  <si>
    <t>Incentive payments to Dom Care Staff</t>
  </si>
  <si>
    <t>In-Reach Assessment &amp; Support for EOL/Palliative Care Patients</t>
  </si>
  <si>
    <t>Mental Health Hospital Discharge expansion</t>
  </si>
  <si>
    <t>Pool Cars for Community Services Staff</t>
  </si>
  <si>
    <t>Reablement Discharge Co-ordinator</t>
  </si>
  <si>
    <t>Reablement Expansion</t>
  </si>
  <si>
    <t>Residential Reablment</t>
  </si>
  <si>
    <t>Single Handed Care Training</t>
  </si>
  <si>
    <t>Single Point of Access clinical Triage HUB ICT upgrade</t>
  </si>
  <si>
    <t>Support to Implement Enhanced Reablement Service</t>
  </si>
  <si>
    <t>Tees Community Equipment Service (TCES)</t>
  </si>
  <si>
    <t>Telecare &amp; Connect</t>
  </si>
  <si>
    <t>Winter Warmth Support</t>
  </si>
  <si>
    <t>Admin 1%</t>
  </si>
  <si>
    <t>Age UK</t>
  </si>
  <si>
    <t>Carers Grant</t>
  </si>
  <si>
    <t>CNWL MH acute discharges</t>
  </si>
  <si>
    <t>Domiciliary Care Winter incentives</t>
  </si>
  <si>
    <t xml:space="preserve">Golden Hello's </t>
  </si>
  <si>
    <t>Hospital social work team assessors</t>
  </si>
  <si>
    <t>Lavender Lodge Beds</t>
  </si>
  <si>
    <t xml:space="preserve">Long term Care Home placement </t>
  </si>
  <si>
    <t xml:space="preserve">Occupational Therapy </t>
  </si>
  <si>
    <t>Recuperation at home</t>
  </si>
  <si>
    <t xml:space="preserve">Retention Payments </t>
  </si>
  <si>
    <t>Spot Placements</t>
  </si>
  <si>
    <t>ASCDF 1 Assessment Support</t>
  </si>
  <si>
    <t>ASCDF 10 Interim provision within extra care</t>
  </si>
  <si>
    <t>ASCDF 11 Trusted assessors</t>
  </si>
  <si>
    <t>ASCDF 12 GAP</t>
  </si>
  <si>
    <t>ASCDF 13 (1) Home Loans equipment</t>
  </si>
  <si>
    <t>ASCDF 13(2)  Home Loans equipment</t>
  </si>
  <si>
    <t>ASCDF 2 Intermediate Care/Discharge to Assess</t>
  </si>
  <si>
    <t>ASCDF 27 Mental Health Link Worker Team</t>
  </si>
  <si>
    <t xml:space="preserve">ASCDF 28 Data Quality Joint post </t>
  </si>
  <si>
    <t xml:space="preserve">ASCDF 29 Overnight trnasport </t>
  </si>
  <si>
    <t>ASCDF 3 Domiciliary Care sufficiency (Inner and Outer West)</t>
  </si>
  <si>
    <t>ASCDF 4 Domiciliary Care sufficiency (North)</t>
  </si>
  <si>
    <t>ASCDF 5 Domiciliary Care sufficiency (East)</t>
  </si>
  <si>
    <t>ASCDF 6 Dom workforce retention</t>
  </si>
  <si>
    <t>ASCDF 7 Dom workforce recruitment</t>
  </si>
  <si>
    <t>ASCDF 8 Care Services workforce retention</t>
  </si>
  <si>
    <t>ASCDF 9 Equipment into Intermediate Care</t>
  </si>
  <si>
    <t>ASDF 14 Therapists posts to support patients in interim care home beds</t>
  </si>
  <si>
    <t>ASDF 18 (1)Additional block booked care home beds (10)</t>
  </si>
  <si>
    <t>ASDF 18 (2)Additional block booked care home beds (10)</t>
  </si>
  <si>
    <t>ASDF 20 Funding to enable 7 day working for complex care co ordinators</t>
  </si>
  <si>
    <t>ASDF 21 Clinical educator</t>
  </si>
  <si>
    <t xml:space="preserve">ASDF 23 Support for transport for same day discharges </t>
  </si>
  <si>
    <t>ASDF 24 Small grants for Discharge hub</t>
  </si>
  <si>
    <t>ASDF 26 Pharmacy Support</t>
  </si>
  <si>
    <t>Winter support beds</t>
  </si>
  <si>
    <t>Admin Costs 1%</t>
  </si>
  <si>
    <t>Adult MH: B&amp;B, General Needs, housing/Discharge Fund</t>
  </si>
  <si>
    <t xml:space="preserve">Adult MH: Step down and or Crisis House bed </t>
  </si>
  <si>
    <t>Adult MH: Weekend consultant 7-day discharge service</t>
  </si>
  <si>
    <t>CHN Pathways: IDH</t>
  </si>
  <si>
    <t>Equipment for Hospital Discharge</t>
  </si>
  <si>
    <t xml:space="preserve">Extra Brokerage Capacity </t>
  </si>
  <si>
    <t>Hospital Discharge Package Costs</t>
  </si>
  <si>
    <t>Hospital Social Worker Team</t>
  </si>
  <si>
    <t>Interin Commissioning Post (6 Months)</t>
  </si>
  <si>
    <t>Older Adult CH: 3 x B7 social worker in IDH, m-f, 9-5 (2 x agency)</t>
  </si>
  <si>
    <t>Older Adult CH: Housing Officer, b5 m-f 9-5</t>
  </si>
  <si>
    <t xml:space="preserve">Older Adults: Discharge to Assess </t>
  </si>
  <si>
    <t>Pharmacy technician B6</t>
  </si>
  <si>
    <t>7 day working Discharge Planning Team</t>
  </si>
  <si>
    <t>7 day working for discharge lounge</t>
  </si>
  <si>
    <t>Acacium - D2A1 capacity Central Norfolk</t>
  </si>
  <si>
    <t>Reablement to support to discharge step down</t>
  </si>
  <si>
    <t>Acacium - Expansion of West Interim Care Pilot across Central Norfolk</t>
  </si>
  <si>
    <t>Additional bed at All Hallows</t>
  </si>
  <si>
    <t>Additional bed at Dell House</t>
  </si>
  <si>
    <t>Additional discharge ward round consultant cover</t>
  </si>
  <si>
    <t>Beach View Surge</t>
  </si>
  <si>
    <t xml:space="preserve">Bridging the gap
</t>
  </si>
  <si>
    <t>Brokerage (Proactive Sourcing Posts to target discharge)</t>
  </si>
  <si>
    <t>Carers Hardship  Support</t>
  </si>
  <si>
    <t>Clinical Support for Secondary to Primary Care Discharge Interface.</t>
  </si>
  <si>
    <t>Complex Needs Support at Home</t>
  </si>
  <si>
    <t>Core AMHP Provision (CTOs)
&amp; Additional psychiatry and CLDT to Airey Close (step up/down unit)</t>
  </si>
  <si>
    <t>Cresta Lodge - Poringland (Beds)</t>
  </si>
  <si>
    <t>Cresta Lodge - Poringland (Primary Care)</t>
  </si>
  <si>
    <t>Discharge Support Community Nurse</t>
  </si>
  <si>
    <t>Discharge Wellfare Call</t>
  </si>
  <si>
    <t>Distribution / reporting</t>
  </si>
  <si>
    <t>Domiciliary Team</t>
  </si>
  <si>
    <t>Enhanced Discharge - Primary Care</t>
  </si>
  <si>
    <t>Enhanced Primary Care Discharge Support Model</t>
  </si>
  <si>
    <t>Evening Sanctuary Expansion</t>
  </si>
  <si>
    <t>Evolve Beds</t>
  </si>
  <si>
    <t xml:space="preserve">Expand complex discharge team to cover 7 days (Band 5 x2) </t>
  </si>
  <si>
    <t>Fund 6 months of social care capacity for the additional D2A2/3 beds coming on line</t>
  </si>
  <si>
    <t>Glendon House Cromer (Beds)</t>
  </si>
  <si>
    <t>Glendon House Cromer (Primary Care)</t>
  </si>
  <si>
    <t>Hickerthrift</t>
  </si>
  <si>
    <t>Home Support Block Rounds</t>
  </si>
  <si>
    <t xml:space="preserve">Home Support Enhanced Discharge Incentive </t>
  </si>
  <si>
    <t>Home Support Rate Increase  </t>
  </si>
  <si>
    <t>Homeward Bound Discharge Pilot</t>
  </si>
  <si>
    <t>Increase establishment of case managers to ensure ward cover 7 days a week and during periods of leave</t>
  </si>
  <si>
    <t>Insulin Project</t>
  </si>
  <si>
    <t>Overtime for existing staff</t>
  </si>
  <si>
    <t xml:space="preserve">Live in Carers </t>
  </si>
  <si>
    <t>Manor House Blofield (Beds)</t>
  </si>
  <si>
    <t>Manor House Blofield (Primary Care)</t>
  </si>
  <si>
    <t>Mind Psychiatric Liaison Expansion</t>
  </si>
  <si>
    <t>Nordelph ICB Beds</t>
  </si>
  <si>
    <t>Norfolk Interim Care Service (Provider of Last Resort)</t>
  </si>
  <si>
    <t>Orchard House</t>
  </si>
  <si>
    <t>Pathway 2/3 Beds</t>
  </si>
  <si>
    <t>Pharmacy discharge support</t>
  </si>
  <si>
    <t>Place based (ie NN, SN, N) initiatives to avoid admission to hospital and 7 day working to support discharge</t>
  </si>
  <si>
    <t>Pre noon discharge liaison support</t>
  </si>
  <si>
    <t>Priority Patient Review</t>
  </si>
  <si>
    <t xml:space="preserve">Quality Improvement </t>
  </si>
  <si>
    <t>Rapid Access to Integrated Support</t>
  </si>
  <si>
    <t>Replacement dementia beds in the west (cost to include Primary Care - maybe provided by home)</t>
  </si>
  <si>
    <t>Residential Step Down Bed</t>
  </si>
  <si>
    <t xml:space="preserve">Social Prescriber for Pre-Op </t>
  </si>
  <si>
    <t>St Martins Hospital Discharge Liaison</t>
  </si>
  <si>
    <t>Step-down Housing with Care Flats</t>
  </si>
  <si>
    <t>Stroke Reach Project</t>
  </si>
  <si>
    <t xml:space="preserve">Surge Capacity Coordinators </t>
  </si>
  <si>
    <t>Thomas Towell beds</t>
  </si>
  <si>
    <t>Winter Capacity Provision Fund</t>
  </si>
  <si>
    <t>Additional reablement at home capacity</t>
  </si>
  <si>
    <t>Additional residential capacity</t>
  </si>
  <si>
    <t>Additional SAH Capacity</t>
  </si>
  <si>
    <t>Additional VCSE support</t>
  </si>
  <si>
    <t>Bed based reablement additional capacity</t>
  </si>
  <si>
    <t>SAH discharge support teams and enhanced support at home</t>
  </si>
  <si>
    <t>SAH retention of workforce</t>
  </si>
  <si>
    <t>Telehealth /additional Telecare</t>
  </si>
  <si>
    <t xml:space="preserve">Workforce recruitment </t>
  </si>
  <si>
    <t>additional step down residential care - spot purchased</t>
  </si>
  <si>
    <t>contigency</t>
  </si>
  <si>
    <t>new dom care packages</t>
  </si>
  <si>
    <t>Pharmacy technician</t>
  </si>
  <si>
    <t>Range of recruitment and retention initiatives</t>
  </si>
  <si>
    <t>Reasonable admin costs</t>
  </si>
  <si>
    <t>Single coordinator post</t>
  </si>
  <si>
    <t>Social Worker in hospital social work team</t>
  </si>
  <si>
    <t>Targeted assessments</t>
  </si>
  <si>
    <t>Trusted Assessors Dom Care</t>
  </si>
  <si>
    <t>Virtual Homecare/Monitoring</t>
  </si>
  <si>
    <t>Welcome Home Voluntary sector</t>
  </si>
  <si>
    <t>Wheels to work</t>
  </si>
  <si>
    <t>#NOF early discharge pathway</t>
  </si>
  <si>
    <t>Additional brokerage and contracting capacity</t>
  </si>
  <si>
    <t>Additional staff to support onward assessment</t>
  </si>
  <si>
    <t>Age concern consumables</t>
  </si>
  <si>
    <t xml:space="preserve">Capacity for commissioning of bespoke packages of care and additional block or spot contracts as required </t>
  </si>
  <si>
    <t>Dedicated mental health brokerage capacity</t>
  </si>
  <si>
    <t>Discharge Fund Administrator - North</t>
  </si>
  <si>
    <t>Emergency Respite to facilitate discharge</t>
  </si>
  <si>
    <t>Enhanced assessment schemes (North)</t>
  </si>
  <si>
    <t>Expansion of virtual respitatory ward at KGH</t>
  </si>
  <si>
    <t>Increased hourly rate for home care</t>
  </si>
  <si>
    <t>Increased opening hours for KGH discharge lounge</t>
  </si>
  <si>
    <t>NNC complex home care block extension</t>
  </si>
  <si>
    <t>NNC quick pick-up incentive (P1)</t>
  </si>
  <si>
    <t>NNC quick pick-up incentive (P2/3)</t>
  </si>
  <si>
    <t>Older persons mental health DTA bedded capacity</t>
  </si>
  <si>
    <t>Repurposing Thackley Green or SPOT purchasing</t>
  </si>
  <si>
    <t>Senior mental health flow coordinator</t>
  </si>
  <si>
    <t xml:space="preserve">Supported accommodation for acute mental health discharge (North) </t>
  </si>
  <si>
    <t xml:space="preserve">Additional Brokerage capacity </t>
  </si>
  <si>
    <t>Advance CHC dom care annual pay award to 1 Dec 2022</t>
  </si>
  <si>
    <t>Cultural change</t>
  </si>
  <si>
    <t xml:space="preserve">Discharge Support </t>
  </si>
  <si>
    <t>Increase capacity of care home end of life beds to support rapid discharge from hospital / admission avoidance for Fast Track CHC patients</t>
  </si>
  <si>
    <t xml:space="preserve">reablement to support discharge in one's own home </t>
  </si>
  <si>
    <t xml:space="preserve">residential Placements </t>
  </si>
  <si>
    <t xml:space="preserve">supporting Complex Packages </t>
  </si>
  <si>
    <t>Additional Transport - secondary care</t>
  </si>
  <si>
    <t>Additional transport Carepoint</t>
  </si>
  <si>
    <t>Administration - LA</t>
  </si>
  <si>
    <t>Administration ICB</t>
  </si>
  <si>
    <t xml:space="preserve">Bolster capacity for residential care </t>
  </si>
  <si>
    <t>Bolster capacity in homecare/extra care</t>
  </si>
  <si>
    <t>Edith Moffatt Reablement flats</t>
  </si>
  <si>
    <t>Extend contract for 5 additional intermediate care beds</t>
  </si>
  <si>
    <t>Flexible homecare response</t>
  </si>
  <si>
    <t>Howdon Step Down beds</t>
  </si>
  <si>
    <t>Reablement Flats at Havelock Place</t>
  </si>
  <si>
    <t>Step down bed - Howdon Care Centre</t>
  </si>
  <si>
    <t>Support for short term residential placements</t>
  </si>
  <si>
    <t>Welfare Assistance for discharges</t>
  </si>
  <si>
    <t>Additional 1:1 support to assist with complex discharges</t>
  </si>
  <si>
    <t>Additional NYCC schemes</t>
  </si>
  <si>
    <t xml:space="preserve">Ashfield Intermediate Care Beds </t>
  </si>
  <si>
    <t>Benkill / Scorton beds</t>
  </si>
  <si>
    <t>Bridlington Hospital  beds</t>
  </si>
  <si>
    <t>CHC capacity</t>
  </si>
  <si>
    <t>CHC D2A packages</t>
  </si>
  <si>
    <t>CHC Fast Track packages</t>
  </si>
  <si>
    <t xml:space="preserve">Domicilliary Care Capacity </t>
  </si>
  <si>
    <t>Equipment management</t>
  </si>
  <si>
    <t>HDFT discharge schemes</t>
  </si>
  <si>
    <t xml:space="preserve">Home From Hospital capacity </t>
  </si>
  <si>
    <t>Increase assessment capacity</t>
  </si>
  <si>
    <t>Increased discharge to assess bed capacity (Intermediate Care - non chargeable)</t>
  </si>
  <si>
    <t xml:space="preserve">Increased Home care capacity to support discharge </t>
  </si>
  <si>
    <t>Increased Home from Hospital Capacity</t>
  </si>
  <si>
    <t>Increased nursing bed capacity for dementia or complex needs</t>
  </si>
  <si>
    <t>Learning Disabilities</t>
  </si>
  <si>
    <t xml:space="preserve">Living Well support </t>
  </si>
  <si>
    <t>LS&amp;C discharge schemes and related package costs</t>
  </si>
  <si>
    <t>Night nursing service - Scarborough</t>
  </si>
  <si>
    <t>Small schemes (less than £50K</t>
  </si>
  <si>
    <t>STHFT  discharge schemes</t>
  </si>
  <si>
    <t>Vale / Selby contribution to York schemes</t>
  </si>
  <si>
    <t>VSCE transport schemes</t>
  </si>
  <si>
    <t>Administrative overheads</t>
  </si>
  <si>
    <t>Bring forward RLW increase in care homes for older people</t>
  </si>
  <si>
    <t>Bring forward RLW increase in home care</t>
  </si>
  <si>
    <t>Custom solutions for individual care packages.</t>
  </si>
  <si>
    <t>Equipment to support rapid discharge</t>
  </si>
  <si>
    <t>Premium payments to care homes for rapid discharge</t>
  </si>
  <si>
    <t>Short-term care home capacity to support discharge</t>
  </si>
  <si>
    <t>Short-term overnight home care</t>
  </si>
  <si>
    <t>Specialist capacity to support discharges of people with complex dementia care needs.</t>
  </si>
  <si>
    <t>Additional ERS Capacity</t>
  </si>
  <si>
    <t>Agency Staff</t>
  </si>
  <si>
    <t>Block homecare extension</t>
  </si>
  <si>
    <t xml:space="preserve">Brokerage </t>
  </si>
  <si>
    <t>CHS Healthcare/Pulse P1 Discharge Support</t>
  </si>
  <si>
    <t>CQC visits for new providers</t>
  </si>
  <si>
    <t>In reach from specialist services to “pull” patients out of acute, with dedicated patient transport (as same day booking) To support cardiac, diabetes and palliative. Also increase IRS in-reach</t>
  </si>
  <si>
    <t>Incentive  for workforce</t>
  </si>
  <si>
    <t xml:space="preserve">New Packages of Care </t>
  </si>
  <si>
    <t>NUH Care Home Nurse</t>
  </si>
  <si>
    <t>P1 discharge - acute addition - NUH @ Home</t>
  </si>
  <si>
    <t>PHB discharge grants</t>
  </si>
  <si>
    <t>Recruitment Campaign</t>
  </si>
  <si>
    <t>Volunteers Service</t>
  </si>
  <si>
    <t>Workforce retention</t>
  </si>
  <si>
    <t>(All) Surge capacity and block hours</t>
  </si>
  <si>
    <t>(Countywide) Recruitment Campaign</t>
  </si>
  <si>
    <t>(LW) Tapered approach to contract extension</t>
  </si>
  <si>
    <t>Additional capacity in UCR service for the acute community element of the service</t>
  </si>
  <si>
    <t>Additional step up/down beds (Bassetlaw)</t>
  </si>
  <si>
    <t xml:space="preserve">Administrator to support SFH hub and CHC team to allow for P3 pathway </t>
  </si>
  <si>
    <t>County LA Homecare Block</t>
  </si>
  <si>
    <t>In reach services to “pull” patients out of acute trust with dedicated patient transport (Bassetlaw)</t>
  </si>
  <si>
    <t>Increased assessment and reviewing staffing capacity</t>
  </si>
  <si>
    <t>Increased staffing capacity to support flow</t>
  </si>
  <si>
    <t>MSK Rehab (Bassetlaw)</t>
  </si>
  <si>
    <t>New interim beds</t>
  </si>
  <si>
    <t>New package incentives</t>
  </si>
  <si>
    <t>New packages of Care</t>
  </si>
  <si>
    <t>P1 discharge - acute addition - CHS Healthcare/Pulse P1 Discharge Support</t>
  </si>
  <si>
    <t>P1 discharge - DISCO</t>
  </si>
  <si>
    <t>P1 discharge - Early Supported Discharge Team</t>
  </si>
  <si>
    <t>P1 Discharge - interim bed support - Ashmere Beds</t>
  </si>
  <si>
    <t>P1 Discharge - Interim beds support - Chatsworth (Lindhurst)</t>
  </si>
  <si>
    <t>Roving Services OOH (Bassetlaw)</t>
  </si>
  <si>
    <t>Step down provision</t>
  </si>
  <si>
    <t xml:space="preserve">Bank holiday incentives </t>
  </si>
  <si>
    <t>D2A demand</t>
  </si>
  <si>
    <t xml:space="preserve">Demand management </t>
  </si>
  <si>
    <t>Domiciliary care service retention</t>
  </si>
  <si>
    <t>Hospital discharge premium</t>
  </si>
  <si>
    <t>Workforce incentives</t>
  </si>
  <si>
    <t>Care sector resilience</t>
  </si>
  <si>
    <t>D2A beds (ancillary services)</t>
  </si>
  <si>
    <t>D2A beds provision</t>
  </si>
  <si>
    <t>D2A home</t>
  </si>
  <si>
    <t>Discharge planning</t>
  </si>
  <si>
    <t>Mental health step down</t>
  </si>
  <si>
    <t>Transfer of Care Hub workforce</t>
  </si>
  <si>
    <t>Additional care home discharge capacity</t>
  </si>
  <si>
    <t>Dom care increased activity</t>
  </si>
  <si>
    <t>International Recruitment into Care Homes</t>
  </si>
  <si>
    <t>Awaiting Assessment - Dom Care</t>
  </si>
  <si>
    <t>Awaiting Assessment - Nur / Res</t>
  </si>
  <si>
    <t>Care Assessment Capacity</t>
  </si>
  <si>
    <t>Mary Rose Manor (MRM)</t>
  </si>
  <si>
    <t>PRRT Workforce</t>
  </si>
  <si>
    <t>Additional block hours of home care</t>
  </si>
  <si>
    <t>Additional Discharge to Assess (D2A) beds</t>
  </si>
  <si>
    <t>Additional IMHA Advocacy capacity</t>
  </si>
  <si>
    <t>Additional residential/ nursing bed capacity</t>
  </si>
  <si>
    <t>Agency capacity within Social Care; 6 x SW, 1 x OT</t>
  </si>
  <si>
    <t>Agency capacity; 2 x OT to support additional Home Care Hours</t>
  </si>
  <si>
    <t>British Red Cross Settling in Service (Top Up)</t>
  </si>
  <si>
    <t>Contingency for high-cost placements</t>
  </si>
  <si>
    <t>Contract Management and Administration</t>
  </si>
  <si>
    <t>Emergency Duty Team Additional Capacity</t>
  </si>
  <si>
    <t>Ensuring safe home environment on discharge</t>
  </si>
  <si>
    <t>Equipment (incl. Technology Enabled Care)</t>
  </si>
  <si>
    <t>Extra Carers hours support for existing D2A beds</t>
  </si>
  <si>
    <t>Healthcare capacity</t>
  </si>
  <si>
    <t>Mental Health placements</t>
  </si>
  <si>
    <t>Operational Commissioning capacity</t>
  </si>
  <si>
    <t>Risk pool</t>
  </si>
  <si>
    <t>Workforce development and retention</t>
  </si>
  <si>
    <t>Back to baseline lead</t>
  </si>
  <si>
    <t>Capacity Response Piilot</t>
  </si>
  <si>
    <t>Community Care Support and Resilience</t>
  </si>
  <si>
    <t>Delirium Discharge Pilot</t>
  </si>
  <si>
    <t>Discharge to Assess Additional Costs</t>
  </si>
  <si>
    <t>Interim travel payments to care staff</t>
  </si>
  <si>
    <t>Reablement Team Overtime</t>
  </si>
  <si>
    <t>Social Care Flow Lead</t>
  </si>
  <si>
    <t>Additional South West London Integrated Care Board Beds</t>
  </si>
  <si>
    <t>Managing flow and discharges</t>
  </si>
  <si>
    <t>Step down provision for people with a MH diagnosis in acute or acute MH beds</t>
  </si>
  <si>
    <t>Streamlining Hospital Processes - inreach and additional staff to facilitate safe and effective discharge planning</t>
  </si>
  <si>
    <t>#REF!</t>
  </si>
  <si>
    <t>Additional beds (complex and challenging behaviour, including mental health)</t>
  </si>
  <si>
    <t>Additional Support Workers</t>
  </si>
  <si>
    <t>Assessment Home Care (Discharge to Assess)</t>
  </si>
  <si>
    <t xml:space="preserve">Blended Roles </t>
  </si>
  <si>
    <t>Block additional IMC beds (therapy led)</t>
  </si>
  <si>
    <t>Hospital Discharge Placements D2A</t>
  </si>
  <si>
    <t>Increase Domiciliary / Care in the community care capacity</t>
  </si>
  <si>
    <t xml:space="preserve">Increase in Occupational Therapists  (Adult &amp; Social Care Capacity) </t>
  </si>
  <si>
    <t>Reablement - equipment loan store</t>
  </si>
  <si>
    <t>Reablement (STAR's) plus</t>
  </si>
  <si>
    <t xml:space="preserve">Social Worker Capacity </t>
  </si>
  <si>
    <t xml:space="preserve">STARS Reablement Service </t>
  </si>
  <si>
    <t>Supporting MH  hospital discharge</t>
  </si>
  <si>
    <t>Targeted Hardship Fund (cost of living payments)</t>
  </si>
  <si>
    <t xml:space="preserve">Technology </t>
  </si>
  <si>
    <t xml:space="preserve">Workforce Support </t>
  </si>
  <si>
    <t>Befriending Service</t>
  </si>
  <si>
    <t>Care Broker Service</t>
  </si>
  <si>
    <t xml:space="preserve">CHC –  assessments </t>
  </si>
  <si>
    <t>CHC – interim funded beds for complex patients to expediate discharge</t>
  </si>
  <si>
    <t>CHC: Care home provider</t>
  </si>
  <si>
    <t xml:space="preserve">CHC: Home care provider </t>
  </si>
  <si>
    <t>Community Equipment and transport - Medequip/TRFT</t>
  </si>
  <si>
    <t>COT Independent Sector</t>
  </si>
  <si>
    <t xml:space="preserve">Discharge Coordinator </t>
  </si>
  <si>
    <t xml:space="preserve">Discharge Lounge support and Co-ordinators </t>
  </si>
  <si>
    <t>Home Care Bridging Service</t>
  </si>
  <si>
    <t>Hospice  - Care Support Worker</t>
  </si>
  <si>
    <t xml:space="preserve">Hospice  - Hospice at Home </t>
  </si>
  <si>
    <t xml:space="preserve">Hospice - Clinical Nurse Specialist </t>
  </si>
  <si>
    <t>Hospice - Increased Inpatient Unit costs</t>
  </si>
  <si>
    <t>Incentive Payments for Home Care and Residential Care</t>
  </si>
  <si>
    <t>LD Discharges (Specialist Agency)</t>
  </si>
  <si>
    <t>Mental Health Agency Social Workers</t>
  </si>
  <si>
    <t>Pharmacy Cover - weekend (2 hours sat&amp;sun)</t>
  </si>
  <si>
    <t>Provision of Crisis Beds</t>
  </si>
  <si>
    <t xml:space="preserve">S136 cost pressures </t>
  </si>
  <si>
    <t>Step-down beds at Lord Hardy Court</t>
  </si>
  <si>
    <t>Supporting Unpaid Carers</t>
  </si>
  <si>
    <t xml:space="preserve">SYHA Discharge Support </t>
  </si>
  <si>
    <t xml:space="preserve">TRFT Place escalation wheel </t>
  </si>
  <si>
    <t>Trusted Assessor to support Integrated Discharge Team</t>
  </si>
  <si>
    <t>Voluntary Sector - AGE UK</t>
  </si>
  <si>
    <t>Voluntary Sector - VAR</t>
  </si>
  <si>
    <t>Assistive Technology for continence</t>
  </si>
  <si>
    <t>Home First awareness training for ward staff</t>
  </si>
  <si>
    <t xml:space="preserve">Independent sector increase in domiciliary care </t>
  </si>
  <si>
    <t>System One Module for Mental Health</t>
  </si>
  <si>
    <t>Wrap around domiciliary care</t>
  </si>
  <si>
    <t>Care Home and Nursing Home admissions</t>
  </si>
  <si>
    <t xml:space="preserve">Complex Dementia / Complex Behaviour Unit beds </t>
  </si>
  <si>
    <t>Discharge to Assess placements</t>
  </si>
  <si>
    <t>Equipment to enable discharge</t>
  </si>
  <si>
    <t>Increased domiciliary care capacity</t>
  </si>
  <si>
    <t>Maintain domiciliary care capacity</t>
  </si>
  <si>
    <t xml:space="preserve">Reablement at home </t>
  </si>
  <si>
    <t>Staff to provide assessment in D2A capacity</t>
  </si>
  <si>
    <t>Staff to provide support to facilitate hospital discharge</t>
  </si>
  <si>
    <t xml:space="preserve">10 CHC Assessment Block Beds </t>
  </si>
  <si>
    <t>150 Virtual LTC beds</t>
  </si>
  <si>
    <t xml:space="preserve">150 Virtual readmission avoidance beds </t>
  </si>
  <si>
    <t>Beds in community for people who are homeless or NRtPF</t>
  </si>
  <si>
    <t>Bolstering advocacy support</t>
  </si>
  <si>
    <t>Bolstering the Community Offer</t>
  </si>
  <si>
    <t xml:space="preserve">British Red Cross SURG Assistance 2nd site  </t>
  </si>
  <si>
    <t>Contingency for new winter opportunities</t>
  </si>
  <si>
    <t>D2A 6 week support post discharge</t>
  </si>
  <si>
    <t>DBS checks</t>
  </si>
  <si>
    <t xml:space="preserve">Discharge Fix it Fund </t>
  </si>
  <si>
    <t>Discharge Social Workers</t>
  </si>
  <si>
    <t>EAB spot beds</t>
  </si>
  <si>
    <t>Extended discharge aid</t>
  </si>
  <si>
    <t>Falls Lifting Equipment 5 Raizer II Lifting Devices</t>
  </si>
  <si>
    <t>Recruitment event</t>
  </si>
  <si>
    <t>Social work assessment capacity</t>
  </si>
  <si>
    <t>Stores equipment</t>
  </si>
  <si>
    <t xml:space="preserve">Supported discharge Phlebotomy </t>
  </si>
  <si>
    <t>Virtual Ward Communications</t>
  </si>
  <si>
    <t>Winter Equipment</t>
  </si>
  <si>
    <t>Wrap-around care</t>
  </si>
  <si>
    <t>Additional Domiciliary Care Capacity - North Sefton</t>
  </si>
  <si>
    <t>Additional Domiciliary Care Capacity - South Sefton</t>
  </si>
  <si>
    <t>AVS expansion</t>
  </si>
  <si>
    <t xml:space="preserve">Bed co-ordination pilot  </t>
  </si>
  <si>
    <t xml:space="preserve">COPD patient reviews for CH and high-risk admission cohorts.  </t>
  </si>
  <si>
    <t xml:space="preserve">Development of Discharge and Review Hubs </t>
  </si>
  <si>
    <t>Discharge district nurse</t>
  </si>
  <si>
    <t>Enhanced Integrated Brokerage</t>
  </si>
  <si>
    <t xml:space="preserve">Expansion of Therapy Single Handed Care project </t>
  </si>
  <si>
    <t xml:space="preserve">High Cost Packages </t>
  </si>
  <si>
    <t>Home first Dementia</t>
  </si>
  <si>
    <t>Homelessness offer</t>
  </si>
  <si>
    <t>ICRAS – in reach to Southport ED</t>
  </si>
  <si>
    <t xml:space="preserve">Integrated Development </t>
  </si>
  <si>
    <t>Intermediate Care - Medical Cover</t>
  </si>
  <si>
    <t>Mental Health Discharge Recovery</t>
  </si>
  <si>
    <t xml:space="preserve">Mersey Care in reach and outreach </t>
  </si>
  <si>
    <t>One off discharge grants</t>
  </si>
  <si>
    <t>Primary Care overflow and ED streaming</t>
  </si>
  <si>
    <t xml:space="preserve">Service offer development for existing D2A Step up Step down models. </t>
  </si>
  <si>
    <t xml:space="preserve">System flow co-ordinator </t>
  </si>
  <si>
    <t>Virtual Social Care Ward - Wraparound</t>
  </si>
  <si>
    <t>Additional 1:1 package in supported assessment</t>
  </si>
  <si>
    <t>Additional assessors in S2A</t>
  </si>
  <si>
    <t>Additional Brokerage</t>
  </si>
  <si>
    <t>Additional capacity in the home from hospital transport services</t>
  </si>
  <si>
    <t>Additional discharge assessment support</t>
  </si>
  <si>
    <t>Additional EOLC Capacity</t>
  </si>
  <si>
    <t>Additional equipment identified off catalogue</t>
  </si>
  <si>
    <t>Additional Fast Track support</t>
  </si>
  <si>
    <t>Additional Night Visiting Nurses</t>
  </si>
  <si>
    <t>Additional Social Care Managers</t>
  </si>
  <si>
    <t>Administration of ICB led schemes</t>
  </si>
  <si>
    <t>Administration of LA schemes</t>
  </si>
  <si>
    <t>Agency reablement support</t>
  </si>
  <si>
    <t>Care Home Appraisal Support</t>
  </si>
  <si>
    <t>Creation of VCSE bank with SCCCC</t>
  </si>
  <si>
    <t>Expansion of Citywide alarm operating hours</t>
  </si>
  <si>
    <t>External support to look at overall design of dementia support pathways</t>
  </si>
  <si>
    <t>External support to look at overall design of system discharge</t>
  </si>
  <si>
    <t>Familial incentive scheme</t>
  </si>
  <si>
    <t>Frequent attender review</t>
  </si>
  <si>
    <t>Fuller Stocktake scheme expansion</t>
  </si>
  <si>
    <t>HASU discharges</t>
  </si>
  <si>
    <t>Home discharge support from VCSE</t>
  </si>
  <si>
    <t xml:space="preserve">In reach service </t>
  </si>
  <si>
    <t>Mental Health S2A beds</t>
  </si>
  <si>
    <t>Pick up incentives in hard to fill localities</t>
  </si>
  <si>
    <t>Redeployment of STIT management time</t>
  </si>
  <si>
    <t>Repatriation Co-ordinators</t>
  </si>
  <si>
    <t>Repatriation Services</t>
  </si>
  <si>
    <t>Resilience into STIT services</t>
  </si>
  <si>
    <t>Specialist LD/MH discharge co-ordinators</t>
  </si>
  <si>
    <t>Support for Roughsleeper and Vulnerable</t>
  </si>
  <si>
    <t>Techology enabled pharmacy support</t>
  </si>
  <si>
    <t>VCSE activity co-ordinators - in reach</t>
  </si>
  <si>
    <t>VCSE wrap around discharge</t>
  </si>
  <si>
    <t>1% Admin Costs</t>
  </si>
  <si>
    <t>2 Carers in a Car - New Capacity in 2 Further Market Towns</t>
  </si>
  <si>
    <t>Additional Block Domiciliary Care Capacity in Shrewsbury</t>
  </si>
  <si>
    <t>Block Care at Home Contract - Ludlow Area</t>
  </si>
  <si>
    <t>Complex Care Beds</t>
  </si>
  <si>
    <t>Reablement Spot Placement Purchasing - Care Home Placements</t>
  </si>
  <si>
    <t>Reablement Spot Placement Purchasing - Domiciliary Care</t>
  </si>
  <si>
    <t>Therapeutic Input to Support Reablement Domiciliary Care Packages</t>
  </si>
  <si>
    <t>Winter Incentives for Domiciliary Care Packages</t>
  </si>
  <si>
    <t>Additional PBBT capacity</t>
  </si>
  <si>
    <t>Additional SW capacity</t>
  </si>
  <si>
    <t>Follow up wellbeing checks post-discharge</t>
  </si>
  <si>
    <t>Handyperson, repairs, deep cleans, de-clutter</t>
  </si>
  <si>
    <t>Interim Care Beds</t>
  </si>
  <si>
    <t>Interim Care Packages</t>
  </si>
  <si>
    <t>Interim Care Packages (ICB funds)</t>
  </si>
  <si>
    <t>LD discharge liaison and support</t>
  </si>
  <si>
    <t>Support to provider market</t>
  </si>
  <si>
    <t>2 x Agency social workers in mental health team</t>
  </si>
  <si>
    <t>5 x Additional bed capacity till end of March</t>
  </si>
  <si>
    <t>Additional 3 x mental health beds</t>
  </si>
  <si>
    <t>Additional 5 x Pathway 2 beds</t>
  </si>
  <si>
    <t>Additional domiciliary care provision</t>
  </si>
  <si>
    <t>Additional OT capacity to support ERS</t>
  </si>
  <si>
    <t>Additional outsourcing face to face and remote assessments</t>
  </si>
  <si>
    <t>Administration of grant</t>
  </si>
  <si>
    <t>Administration of LA grant</t>
  </si>
  <si>
    <t>CES capacity to support equipment</t>
  </si>
  <si>
    <t>Community Targeted Support (including via voluntary sector)</t>
  </si>
  <si>
    <t>Genie Connect AI system - 30 users</t>
  </si>
  <si>
    <t>Home Discharge Service</t>
  </si>
  <si>
    <t>Hospital agency</t>
  </si>
  <si>
    <t>One-off payment to carers to enable discharge from hospital</t>
  </si>
  <si>
    <t>Overtime of social workers</t>
  </si>
  <si>
    <t>Reablement support in the community</t>
  </si>
  <si>
    <t>Recruitment and retention of care workforce</t>
  </si>
  <si>
    <t>Age Uk pre Hospital discharge reconditioning activities</t>
  </si>
  <si>
    <t>Chat and Map is a service provided by Age UK Somerset. It works by utilising the Age UK 'trusted brand' to start conversations with older people, in their homes, thereby enabling their daily life to be effectively 'mapped'. This mapping covers a range of key activities including nutrition, loneliness, social connections, home warmth, hoarding issues, movement and balance, finances and housing problems.</t>
  </si>
  <si>
    <t>Community Led Navigator Service</t>
  </si>
  <si>
    <t>Consultancy Plus Interim Placement Coordination</t>
  </si>
  <si>
    <t>D2A onsite in-reach</t>
  </si>
  <si>
    <t>Discharge Pathway Facilitator - YDH</t>
  </si>
  <si>
    <t>Discharge Pathway Sister - YDH</t>
  </si>
  <si>
    <t>Discharge Vehicles to support MPH</t>
  </si>
  <si>
    <t>Easy read companion for people with LD in Hospital</t>
  </si>
  <si>
    <t>End of Life, palliative pathway</t>
  </si>
  <si>
    <t>Enhanced DP+ Scheme</t>
  </si>
  <si>
    <t>Funding to provide Taxi's to support discharge from MPH</t>
  </si>
  <si>
    <t>High Cost discharge solutions</t>
  </si>
  <si>
    <t>Home Care admissions same day discharge payment with early discharge project</t>
  </si>
  <si>
    <t>Home Care Pods</t>
  </si>
  <si>
    <t>Incentive payment for care homes to complete care home tracker.</t>
  </si>
  <si>
    <t>Male supported living service</t>
  </si>
  <si>
    <t>Mental Health Care Home Liaison posts</t>
  </si>
  <si>
    <t>Mental Health Care Home Liaison posts x 2 and Dementia Trainers x2</t>
  </si>
  <si>
    <t xml:space="preserve">Micro provider Verification and Training </t>
  </si>
  <si>
    <t>New Starter in care one off payment</t>
  </si>
  <si>
    <t>On call weekend Trusted assessors</t>
  </si>
  <si>
    <t>Overseas recruitment support</t>
  </si>
  <si>
    <t>Project support for oversight of Discharge fund</t>
  </si>
  <si>
    <t>Ready to Go Units - MPH and YDH</t>
  </si>
  <si>
    <t>Self funders brokerage scheme</t>
  </si>
  <si>
    <t>Social Work support in acute and Intermediate Care pathways</t>
  </si>
  <si>
    <t>SPOC Fund for supporting discharge</t>
  </si>
  <si>
    <t>Staffing for extended opening hours in the Discharge Lounge - MPH</t>
  </si>
  <si>
    <t>Temporary GP registrations IC winter beds</t>
  </si>
  <si>
    <t xml:space="preserve">Workforce redeployment capacity from current ICS Reservist Pool &amp; Talent Hub infrastructure costs </t>
  </si>
  <si>
    <t>Additional bank holiday practitioner/ brokerage capacity</t>
  </si>
  <si>
    <t>Additional training for providers</t>
  </si>
  <si>
    <t>Community Falls/ TEc Sirona supporting discharge</t>
  </si>
  <si>
    <t>Domiciliary care recruitment</t>
  </si>
  <si>
    <t>Practical EOL support care homes</t>
  </si>
  <si>
    <t xml:space="preserve">Reablement/discharge capacity </t>
  </si>
  <si>
    <t>Recruitment / retention monies for providers</t>
  </si>
  <si>
    <t>SG hub Additional  Home to Decide capacity</t>
  </si>
  <si>
    <t>SG hub Prompt discharge to existing care packages</t>
  </si>
  <si>
    <t>SG hub: Additional in reach social worker capacity</t>
  </si>
  <si>
    <t>SG hub: additional Tec: equipment and expert advice.</t>
  </si>
  <si>
    <t>Support to ensure programme of work is delivered</t>
  </si>
  <si>
    <t>System support: equipment deployment</t>
  </si>
  <si>
    <t xml:space="preserve">System Support: waking night </t>
  </si>
  <si>
    <t>Warm and Well</t>
  </si>
  <si>
    <t xml:space="preserve">Community intermediate care </t>
  </si>
  <si>
    <t>Winter discharge pressures</t>
  </si>
  <si>
    <t>Additional block beds</t>
  </si>
  <si>
    <t>Case management support to improve flow</t>
  </si>
  <si>
    <t>D2A Homecare packages</t>
  </si>
  <si>
    <t>D2A Nursing Home placements</t>
  </si>
  <si>
    <t>D2A Resdidential Home placements</t>
  </si>
  <si>
    <t>Home Care - recruitment</t>
  </si>
  <si>
    <t>Increase Discharge Processing power</t>
  </si>
  <si>
    <t>Locum Hospital Discharge Team Social Workers</t>
  </si>
  <si>
    <t>Spot purchased beds</t>
  </si>
  <si>
    <t>Spot purchased Home Care packages</t>
  </si>
  <si>
    <t xml:space="preserve">7 Day clinical cover for Mental Health </t>
  </si>
  <si>
    <t>Additional short term residential care beds</t>
  </si>
  <si>
    <t>Additional Social Work capacity</t>
  </si>
  <si>
    <t xml:space="preserve">Designated Setting </t>
  </si>
  <si>
    <t>Enhanced equipment service offer</t>
  </si>
  <si>
    <t xml:space="preserve">Enhanced Transport - Customer </t>
  </si>
  <si>
    <t>Enhanced Transport - Flexible Capacity</t>
  </si>
  <si>
    <t>Health Block Nursing Beds</t>
  </si>
  <si>
    <t>Incentive Scheme</t>
  </si>
  <si>
    <t>Increased capacity in our SED (Southend Enhanced Discharge) Service</t>
  </si>
  <si>
    <t>Ward based Enablement</t>
  </si>
  <si>
    <t>Additional Home Treatment Team (HTT) capacity</t>
  </si>
  <si>
    <t xml:space="preserve">CHC </t>
  </si>
  <si>
    <t>Cost of Living Crisis Worker</t>
  </si>
  <si>
    <t>Discharge reserve</t>
  </si>
  <si>
    <t>Double Handed Care</t>
  </si>
  <si>
    <t>Expand step down housing options (a)</t>
  </si>
  <si>
    <t xml:space="preserve">Expand step down housing options (b) </t>
  </si>
  <si>
    <t>Hospital Buddies</t>
  </si>
  <si>
    <t>Increased Brokerage Support</t>
  </si>
  <si>
    <t>Maximising the use of Extra Care and sheltered accomodation</t>
  </si>
  <si>
    <t>Mental Health Discharge Housing Workers</t>
  </si>
  <si>
    <t>Older Adults Care Navigators  (mental health)</t>
  </si>
  <si>
    <t>Residential Care Charter</t>
  </si>
  <si>
    <t>Retention initiative for OT Workers</t>
  </si>
  <si>
    <t xml:space="preserve">Shared lives support (Q4 2022/23) </t>
  </si>
  <si>
    <t xml:space="preserve">Social worker in Denmark Hill ED </t>
  </si>
  <si>
    <t>Spot purchasing budget Pathway 2 &amp; 3 discharges</t>
  </si>
  <si>
    <t>Supported housing investment to enable discharge</t>
  </si>
  <si>
    <t>Tenancy (Retainment) Support</t>
  </si>
  <si>
    <t>Therapy input discharge support (a)</t>
  </si>
  <si>
    <t>Therapy input discharge support (b)</t>
  </si>
  <si>
    <t>Transfer of Care Assessment Team</t>
  </si>
  <si>
    <t xml:space="preserve">Acute Mental Health Inpateint Unit Bed Flow </t>
  </si>
  <si>
    <t>Complex Care Placements</t>
  </si>
  <si>
    <t>Demential nurse</t>
  </si>
  <si>
    <t>Discharge Co-ordination / Trusted Assessor</t>
  </si>
  <si>
    <t>Discharge lounge resource / in-reach</t>
  </si>
  <si>
    <t xml:space="preserve">Domicilliary Care packeges </t>
  </si>
  <si>
    <t>End of life discharge support and home care</t>
  </si>
  <si>
    <t xml:space="preserve">End of life support to manage SDEC in A&amp;E and discharges from A&amp;E home </t>
  </si>
  <si>
    <t xml:space="preserve">Flexible funding to support bespoke discharge needs of patients. </t>
  </si>
  <si>
    <t>Incentivsing care home transfer</t>
  </si>
  <si>
    <t>Increase GP capacity in UTC to 12 hours per day including extended weekend hours</t>
  </si>
  <si>
    <t>Nurse for IDT</t>
  </si>
  <si>
    <t xml:space="preserve">Oncology same day care </t>
  </si>
  <si>
    <t>Pharmacy supported discharges</t>
  </si>
  <si>
    <t>Primary care enhanced discharge support</t>
  </si>
  <si>
    <t>Transitional Bed Capacity</t>
  </si>
  <si>
    <t>Transport capacity</t>
  </si>
  <si>
    <t xml:space="preserve">Additional HomeFirst capacity </t>
  </si>
  <si>
    <t>Agency OT capacity</t>
  </si>
  <si>
    <t>Capacity buliding payment/bonus to care home staff who work additional hours</t>
  </si>
  <si>
    <t>Capacity buliding payment/bonus to home care staff who work additional hours</t>
  </si>
  <si>
    <t xml:space="preserve">CHC Patient Discharge Information </t>
  </si>
  <si>
    <t>Contingency fund</t>
  </si>
  <si>
    <t xml:space="preserve">D2A discharge coordination </t>
  </si>
  <si>
    <t>Development of Independence at Home Service</t>
  </si>
  <si>
    <t xml:space="preserve">End of Life community packages </t>
  </si>
  <si>
    <t xml:space="preserve">End of Life Hospice Inreach </t>
  </si>
  <si>
    <t>Enhanced delirium/ dementia support (Beds)</t>
  </si>
  <si>
    <t>Enhanced delirium/ dementia support (Homecare)</t>
  </si>
  <si>
    <t>Expansion of Home from Hospital service - South /UHDB</t>
  </si>
  <si>
    <t xml:space="preserve">Flexible transport scheme for homecare providers </t>
  </si>
  <si>
    <t>Home Care winter rotas</t>
  </si>
  <si>
    <t>ICB - Grant Administration Costs</t>
  </si>
  <si>
    <t xml:space="preserve">Increase Step Across Funding to support discharge </t>
  </si>
  <si>
    <t>Increased use of AT to support discharge</t>
  </si>
  <si>
    <t>Interim Housing and Homelessness Discharge adviser</t>
  </si>
  <si>
    <t xml:space="preserve">Investment in training </t>
  </si>
  <si>
    <t>Pathway 2 escalation beds    - Social work assessment capacity</t>
  </si>
  <si>
    <t xml:space="preserve">Pathway 3 admissions </t>
  </si>
  <si>
    <t xml:space="preserve">PHB short term funds </t>
  </si>
  <si>
    <t xml:space="preserve">Plus 7 days payment for Homecare providers </t>
  </si>
  <si>
    <t xml:space="preserve">Point of care testing </t>
  </si>
  <si>
    <t>SCC - Grant Administration Costs</t>
  </si>
  <si>
    <t>Small grants programme to support grass roots organisations to mobilise quickly to support discharge</t>
  </si>
  <si>
    <t xml:space="preserve">Support ASC setting with overseas recruitment </t>
  </si>
  <si>
    <t>Support with winter risk management</t>
  </si>
  <si>
    <t>Targeted recruitment in North Staffordshire</t>
  </si>
  <si>
    <t>Temp Comissioning capacity</t>
  </si>
  <si>
    <t>Temporary payments for BBB to be made available with immediate effect</t>
  </si>
  <si>
    <t xml:space="preserve">Timeliness of referrals from emergency portals </t>
  </si>
  <si>
    <t>Trusted assessor for minor increases to enable restarts from hospitals</t>
  </si>
  <si>
    <t xml:space="preserve">Voluntary sector transport </t>
  </si>
  <si>
    <t xml:space="preserve">Winter communication budget </t>
  </si>
  <si>
    <t xml:space="preserve">Winter Discharge Contigency </t>
  </si>
  <si>
    <t>Additional Pathway 1 Provision</t>
  </si>
  <si>
    <t>Additional Pathway 2 Provision</t>
  </si>
  <si>
    <t>1-1 support for discharge</t>
  </si>
  <si>
    <t>Fund additional care home staff to support weekend and evening discharges</t>
  </si>
  <si>
    <t>Increase hours for D2A/Home Care Service</t>
  </si>
  <si>
    <t>Input from the carers service</t>
  </si>
  <si>
    <t>OneCall to support urgent discharge</t>
  </si>
  <si>
    <t>Pay increase for care staff</t>
  </si>
  <si>
    <t>Uplifting on fuel cost for reablement staff</t>
  </si>
  <si>
    <t xml:space="preserve">Additional Staffing </t>
  </si>
  <si>
    <t xml:space="preserve">Assistive Technology and Equipment </t>
  </si>
  <si>
    <t xml:space="preserve">Care Home Reslience </t>
  </si>
  <si>
    <t xml:space="preserve">Communications budget </t>
  </si>
  <si>
    <t xml:space="preserve">Discharge coordination in D2A beds </t>
  </si>
  <si>
    <t xml:space="preserve">End of Life </t>
  </si>
  <si>
    <t xml:space="preserve">Enhanced delirium/ dementia support </t>
  </si>
  <si>
    <t xml:space="preserve">Flexible winter funding to meet spot purchase demands </t>
  </si>
  <si>
    <t xml:space="preserve">Homecare/ Domiciliary care market resilience </t>
  </si>
  <si>
    <t xml:space="preserve">Increased Falls Service </t>
  </si>
  <si>
    <t xml:space="preserve">Increased voluntary sector services to support hospital discharge and pull from acute settings </t>
  </si>
  <si>
    <t xml:space="preserve">Interim Housing and Homelessness Discharge Advisor </t>
  </si>
  <si>
    <t xml:space="preserve">Interim placements nursing care </t>
  </si>
  <si>
    <t xml:space="preserve">Interim placements residential care </t>
  </si>
  <si>
    <t xml:space="preserve">Recruitment and retention for clinical and non clinical staff and career progression. </t>
  </si>
  <si>
    <t>Market Resilience - care workers</t>
  </si>
  <si>
    <t xml:space="preserve">Market resilience - domiciliary care </t>
  </si>
  <si>
    <t xml:space="preserve">Pathway 3 direct admissions from acute setting </t>
  </si>
  <si>
    <t xml:space="preserve">Patient Discharge Information </t>
  </si>
  <si>
    <t xml:space="preserve">Programme Management Change/ Transformation </t>
  </si>
  <si>
    <t xml:space="preserve">Providing specialist input and support to frontline teams to embed system/ culture and behavioural change to deliver large scale transformation. </t>
  </si>
  <si>
    <t xml:space="preserve">Reablement in persons own home </t>
  </si>
  <si>
    <t xml:space="preserve">SCC Grant Admin Costs </t>
  </si>
  <si>
    <t xml:space="preserve">Support care homes with winter risk management </t>
  </si>
  <si>
    <t xml:space="preserve">Supporting admissions to 24 hour care over 7 days </t>
  </si>
  <si>
    <t xml:space="preserve">Supporting adult social care settings (care homes) with overseas recruitment process </t>
  </si>
  <si>
    <t>Recruitment and retention for clinical and non clinical staff</t>
  </si>
  <si>
    <t>I&amp;E Agency locum support for discharge pathways</t>
  </si>
  <si>
    <t>I&amp;E AirMid Homecare</t>
  </si>
  <si>
    <t>I&amp;E MH D2A beds</t>
  </si>
  <si>
    <t>I&amp;E Winter scheme 24 - Pathway 1 and 2 Transport</t>
  </si>
  <si>
    <t>I&amp;E Winter scheme 25 - Community bed transport</t>
  </si>
  <si>
    <t>I&amp;E Winter Scheme 26 - Reablement</t>
  </si>
  <si>
    <t>I&amp;E Winter Scheme 26a - Reablement beds</t>
  </si>
  <si>
    <t xml:space="preserve">I&amp;E Winter scheme 6 - Stepping Home </t>
  </si>
  <si>
    <t xml:space="preserve">I&amp;E Winter Scheme 8 - Welcome Home programme at Ipswich Hospital extension </t>
  </si>
  <si>
    <t>Waveney 3 bedded supported Housing Scheme</t>
  </si>
  <si>
    <t>Waveney Additional bed at All Hallows</t>
  </si>
  <si>
    <t>Waveney Additional bed at Dell House</t>
  </si>
  <si>
    <t>Waveney Additional discharge ward round consultant cover</t>
  </si>
  <si>
    <t>Waveney Block bed pilot</t>
  </si>
  <si>
    <t xml:space="preserve">Waveney Bridging the gap
</t>
  </si>
  <si>
    <t>Waveney Cassius Discharge Post</t>
  </si>
  <si>
    <t>Waveney Complex Needs Support at Home</t>
  </si>
  <si>
    <t>Waveney Dementia Support</t>
  </si>
  <si>
    <t>Waveney Discharge Wellfare Call</t>
  </si>
  <si>
    <t>Waveney Distribution / reporting</t>
  </si>
  <si>
    <t>Waveney Evening Sanctuary Expansion</t>
  </si>
  <si>
    <t xml:space="preserve">Waveney Expand complex discharge team to cover 7 days (Band 5 x2) </t>
  </si>
  <si>
    <t>Waveney Funded care</t>
  </si>
  <si>
    <t>Waveney Home Based Reablement</t>
  </si>
  <si>
    <t>Waveney Increase establishment of case managers to ensure ward cover 7 days a week and during periods of leave</t>
  </si>
  <si>
    <t>Waveney Intermediate Care Beds</t>
  </si>
  <si>
    <t xml:space="preserve">Waveney Live in Carers </t>
  </si>
  <si>
    <t>Waveney MH bed</t>
  </si>
  <si>
    <t>Waveney Mind Psychiatric Liaison Expansion</t>
  </si>
  <si>
    <t>Waveney Pathway 2/3 Beds</t>
  </si>
  <si>
    <t>Waveney Pathway 2/3 Beds - wellbeing</t>
  </si>
  <si>
    <t>Waveney Place based initiatives to support 7 day working to support discharge</t>
  </si>
  <si>
    <t xml:space="preserve">Waveney Quality Improvement </t>
  </si>
  <si>
    <t>Waveney St Martins Hospital Discharge Liaison</t>
  </si>
  <si>
    <t xml:space="preserve">Waveney Surge Capacity Coordinators </t>
  </si>
  <si>
    <t>West: Additional 10 CAB beds</t>
  </si>
  <si>
    <t>West: Additional Discharge vehicle</t>
  </si>
  <si>
    <t>West: Hybrid CAB Model</t>
  </si>
  <si>
    <t>West: Lofty Heights</t>
  </si>
  <si>
    <t>West: Medequip</t>
  </si>
  <si>
    <t>West: Mental Health D2A beds</t>
  </si>
  <si>
    <t>West: Minor prescription equipment</t>
  </si>
  <si>
    <t>West: Pathway 1 discharge delays</t>
  </si>
  <si>
    <t>West: Suffolk Family Carers</t>
  </si>
  <si>
    <t>Admin Support to Acute Wards</t>
  </si>
  <si>
    <t>Community Equipment Service (CES)</t>
  </si>
  <si>
    <t>Discharge Follow Up</t>
  </si>
  <si>
    <t>Domicillary Care</t>
  </si>
  <si>
    <t>GP Support to Recovery @ Home</t>
  </si>
  <si>
    <t>Increase palliative care support</t>
  </si>
  <si>
    <t>MH Support</t>
  </si>
  <si>
    <t>Travel Time</t>
  </si>
  <si>
    <t>VCS Support</t>
  </si>
  <si>
    <t>ASC discharges into long term care home placements outside of D2A</t>
  </si>
  <si>
    <t>Frimley Discharge to Assess</t>
  </si>
  <si>
    <t>Mental Health discharge</t>
  </si>
  <si>
    <t>Supporting discharge for self-funders</t>
  </si>
  <si>
    <t>Surrey Heartlands Discharge to Assess</t>
  </si>
  <si>
    <t xml:space="preserve">Bed based capacity </t>
  </si>
  <si>
    <t>Commissioning and brokerage</t>
  </si>
  <si>
    <t xml:space="preserve">Home care capacity </t>
  </si>
  <si>
    <t>Unpaid carers</t>
  </si>
  <si>
    <t>BSW Discharge Support Grant</t>
  </si>
  <si>
    <t>BSW LDA Support</t>
  </si>
  <si>
    <t>BSW Mental Health Discharge</t>
  </si>
  <si>
    <t>BSW Mental Health Step Down Support</t>
  </si>
  <si>
    <t>Acute Frailty</t>
  </si>
  <si>
    <t>Discharge Lounge</t>
  </si>
  <si>
    <t>Domicillary Care Market</t>
  </si>
  <si>
    <t>FP10 in UTC/ED</t>
  </si>
  <si>
    <t>Home First Initiatives</t>
  </si>
  <si>
    <t>SDEC</t>
  </si>
  <si>
    <t>ASC Discharge Scheme</t>
  </si>
  <si>
    <t>7 day clinical cover for Mental Health</t>
  </si>
  <si>
    <t>Additional AHMP Capacity</t>
  </si>
  <si>
    <t xml:space="preserve">Additional Bridging Capacity </t>
  </si>
  <si>
    <t>Admin % (1%_</t>
  </si>
  <si>
    <t>Adults Mental Health Practitioner Sessional Cover Payments</t>
  </si>
  <si>
    <t xml:space="preserve">Buffer for ALL Schemes </t>
  </si>
  <si>
    <t>By your side' Increase services</t>
  </si>
  <si>
    <t>Complex Discharge Support</t>
  </si>
  <si>
    <t>Enhanced Transport - Customer Relations</t>
  </si>
  <si>
    <t>Extension to Home Carer Prices</t>
  </si>
  <si>
    <t>OT Funding - Placements/ SW</t>
  </si>
  <si>
    <t>Provider Incentives (1)</t>
  </si>
  <si>
    <t>Provider Incentives (2)</t>
  </si>
  <si>
    <t>Ward Based Reablement</t>
  </si>
  <si>
    <t>Block IC Beds</t>
  </si>
  <si>
    <t>ECS Domiciliary Support</t>
  </si>
  <si>
    <t xml:space="preserve">Hospital Discharge In-Reach </t>
  </si>
  <si>
    <t>QAIT</t>
  </si>
  <si>
    <t>Reablement Support Service</t>
  </si>
  <si>
    <t>Additional packages of care and support</t>
  </si>
  <si>
    <t xml:space="preserve">Community Senior Practitioner for Hospital Discharge Pathway </t>
  </si>
  <si>
    <t>Fast Track/Discharge for people at end of life Coordinator at Royal London</t>
  </si>
  <si>
    <t xml:space="preserve">Hospital Social Workers </t>
  </si>
  <si>
    <t>Increased therapy resource in the Acute Admissions Unit</t>
  </si>
  <si>
    <t>Locality Discharge 2 Assess Social Workers</t>
  </si>
  <si>
    <t xml:space="preserve">Mental health discharges </t>
  </si>
  <si>
    <t xml:space="preserve">Supporting the homeless at the Royal London Hospital </t>
  </si>
  <si>
    <t>Enhancing Homecare capacity</t>
  </si>
  <si>
    <t>Agency staff - health CHC</t>
  </si>
  <si>
    <t>Agency staff social care</t>
  </si>
  <si>
    <t>Homefirst</t>
  </si>
  <si>
    <t>Incentive support to Domiciliary care providers</t>
  </si>
  <si>
    <t>Increased mileage for Independent Domiciliary Care sector</t>
  </si>
  <si>
    <t>Integrated Transfers of Care</t>
  </si>
  <si>
    <t>Local recruitment campaign</t>
  </si>
  <si>
    <t>Social Prescriber</t>
  </si>
  <si>
    <t>Spot Purchase beds</t>
  </si>
  <si>
    <t>VCS - incentives</t>
  </si>
  <si>
    <t>Wakefield Discharge Survey</t>
  </si>
  <si>
    <t>Wakefield equipment service</t>
  </si>
  <si>
    <t>Winter Market incentive</t>
  </si>
  <si>
    <t>Intermediate Care - Bed provision</t>
  </si>
  <si>
    <t>Intermediate Care - Community</t>
  </si>
  <si>
    <t>Intermediate Care - Equipment</t>
  </si>
  <si>
    <t xml:space="preserve">Intermediate Care - Equipment </t>
  </si>
  <si>
    <t>Support</t>
  </si>
  <si>
    <t>Voluntary Sector support for Mental Health</t>
  </si>
  <si>
    <t>Administration of funds</t>
  </si>
  <si>
    <t>CHC</t>
  </si>
  <si>
    <t>Integrated Discharge Hub additional capacity</t>
  </si>
  <si>
    <t>Additional Recovery and reablement bed capacity Pathway 1 and 3)</t>
  </si>
  <si>
    <t>Administration costs - contracting and commissioning</t>
  </si>
  <si>
    <t>Care Home discharge (Pathway 3)</t>
  </si>
  <si>
    <t>Domiciliary Care Capacity/Incentive payments (pathway 0 and 1)</t>
  </si>
  <si>
    <t>Enhanced post discharge offer from Primary and Community Care to facilitate accelerated discharge</t>
  </si>
  <si>
    <t>Facilititate 'returns' to care Care Homes when MFFD (Pathway 0)</t>
  </si>
  <si>
    <t xml:space="preserve">Fast track (palliative Care Beds (Pathways 1 and 3) </t>
  </si>
  <si>
    <t>Hospital Discharge team Capacity (Pathways 0,1,2,3)</t>
  </si>
  <si>
    <t>Intermediate Care at Home</t>
  </si>
  <si>
    <t>LillyCross - transitional care (Pathways 1 and 3)</t>
  </si>
  <si>
    <t>Transport and Discharge facilitation (Pathway 0 and 1)</t>
  </si>
  <si>
    <t xml:space="preserve">Voluntary Sector In-reach support to  A1 Discharge Ward (Pathway 0 and 1) </t>
  </si>
  <si>
    <t>SCF001 - Additional resource to support equipment deliveries</t>
  </si>
  <si>
    <t>SCF0010, 35 and 66 - Dom Care Providers bespoke incentives</t>
  </si>
  <si>
    <t xml:space="preserve">SCF0012 - Weekend Discharge Winter Period Incentive Payment </t>
  </si>
  <si>
    <t>SCF002, SCF003, SCF0011 - Additional D2A P2 bed and therapy capacity</t>
  </si>
  <si>
    <t>SCF006 - Rehabilitation at Home additional capacity</t>
  </si>
  <si>
    <t>SCF008 - Additional dom care packages</t>
  </si>
  <si>
    <t>SCF009 - Hospice and End of Life increased capacity</t>
  </si>
  <si>
    <t>SCF013 - Community Hospital Bed Additional Capacity</t>
  </si>
  <si>
    <t>SCF019 - Finance Support to administer the ASC Discharge Fund</t>
  </si>
  <si>
    <t>SCF020, 33 &amp; 36 Additional resources</t>
  </si>
  <si>
    <t xml:space="preserve">SCF022 - Occupational Therapy support </t>
  </si>
  <si>
    <t>SCF023 - Palliative care services additional capacity</t>
  </si>
  <si>
    <t>SCF025 &amp; 40 - Equipment for the additional D2A P2 therapy and step down beds (schemes 2, 3, 11 &amp; 29) and specialist chairs and wheelchairs to support discharges for P1 stroke patients requiring rehab at home.</t>
  </si>
  <si>
    <t>SCF026 - Additional residential care placement costs</t>
  </si>
  <si>
    <t>SCF027 - Incentives to Residential Care providers</t>
  </si>
  <si>
    <t>SCF028 - Social care assessment bed capacity</t>
  </si>
  <si>
    <t>SCF029 - Additional D2A P2 step down beds and support , for discharges for MH patients</t>
  </si>
  <si>
    <t xml:space="preserve">SCF030 - Designated Settings capacity </t>
  </si>
  <si>
    <t>SCF031 - Weekend Discharges Nursing Homes</t>
  </si>
  <si>
    <t>SCF032 - Additional nursing bed capacity to support complex discharges and nursing assessments for P2/3</t>
  </si>
  <si>
    <t>SCF037 &amp; 38 - Dom Care Provider workforce development</t>
  </si>
  <si>
    <t>SCF068 - Oversight of discharge activity</t>
  </si>
  <si>
    <t xml:space="preserve">Contingency </t>
  </si>
  <si>
    <t>one off payment to familes</t>
  </si>
  <si>
    <t>Recruitment</t>
  </si>
  <si>
    <t xml:space="preserve">Staffing </t>
  </si>
  <si>
    <t>Acute Confusion Beds</t>
  </si>
  <si>
    <t>Care workforce retention payments</t>
  </si>
  <si>
    <t>Community Hospital P1 packages</t>
  </si>
  <si>
    <t>Community Hospital P2 packages</t>
  </si>
  <si>
    <t xml:space="preserve">Coordinators Mental health Step down </t>
  </si>
  <si>
    <t>Discharge Fund Administrator</t>
  </si>
  <si>
    <t>Enhanced assessment</t>
  </si>
  <si>
    <t xml:space="preserve">Mental Health Discharge to Assess </t>
  </si>
  <si>
    <t>NGH P1 Spot Packages</t>
  </si>
  <si>
    <t>NGH P2 Spot Packages</t>
  </si>
  <si>
    <t>P1 Discharge to Assess capacity</t>
  </si>
  <si>
    <t>P2 Discharge to Assess capacity</t>
  </si>
  <si>
    <t>Provider recognition payments</t>
  </si>
  <si>
    <t xml:space="preserve">Reablement Recruitment bonus </t>
  </si>
  <si>
    <t>WS001 - Additional PTS Resource</t>
  </si>
  <si>
    <t>WS002 - Self-funder Placement Support Service (eg. CHS)</t>
  </si>
  <si>
    <t>WS003 - Health Care Assistants Providing Additional Care Capacity in Home First</t>
  </si>
  <si>
    <t>WS004 - Block Contracted Nursing Home Beds for Patients Awaiting Onward Placement (Not Discharge to Assess)</t>
  </si>
  <si>
    <t>WS005 - Personal Health Grants for Hospital Discharge Patients</t>
  </si>
  <si>
    <t>WS006 - Additional Social Work Capacity to Undertake Care Act Assessments Within the Discharge Capacity to Move People On.</t>
  </si>
  <si>
    <t>WS007 - Additional B6 Nurse Locum to Support Clinical Assessment in HF</t>
  </si>
  <si>
    <t>WS008 - Additional DISCOs at UHSx</t>
  </si>
  <si>
    <t xml:space="preserve">WS009 - Complex Discharge Coordinator Admin Role to Support HF Pathway </t>
  </si>
  <si>
    <t xml:space="preserve">WS014 - Dedicated Senior Decision Maker Weekend Discharge Team </t>
  </si>
  <si>
    <t>WS015 - Adult Hospice Non-Specialist End of Life Care (EoLC) Bed Scheme</t>
  </si>
  <si>
    <t>WS016 - Block Purchase Nursing Home Beds</t>
  </si>
  <si>
    <t xml:space="preserve">WS018 - Hospital Discharge Care Additional Hours </t>
  </si>
  <si>
    <t xml:space="preserve">WS019 - D2AR Flex Beds in WSCC Contracted D2AR Contracts </t>
  </si>
  <si>
    <t>WS020 - Block Contract Residential and Nursing Beds</t>
  </si>
  <si>
    <t>WS021 - Domiciliary Care Rounds</t>
  </si>
  <si>
    <t xml:space="preserve">WS022 - Transfer of Care Rounds </t>
  </si>
  <si>
    <t>WS023 - Social Care and External Market Focused International Recruitment</t>
  </si>
  <si>
    <t>WS027 - Enhancing MH Discharge Hub and Placement Finding Team</t>
  </si>
  <si>
    <t>WS028 - Acute/Community Co-ordinators Posts</t>
  </si>
  <si>
    <t>WS029 - High Intensity Users Care Planning</t>
  </si>
  <si>
    <t>WS030 - Employee Incentive</t>
  </si>
  <si>
    <t>WS031 - Tracking, Infrastructure and Contract Support</t>
  </si>
  <si>
    <t xml:space="preserve">WS032 - Care Provision and Associated Resource for D2A MH </t>
  </si>
  <si>
    <t>WS033 - 2 x Dedicated AMHP in ED (SRH/WGH)</t>
  </si>
  <si>
    <t xml:space="preserve">WS034 - Same Day  Discharge Front Door Practitioner   </t>
  </si>
  <si>
    <t>WS035 - Smartwatch Technology Enabled Rehabilitation Following Hip Fracture in Older Adults</t>
  </si>
  <si>
    <t xml:space="preserve">WS037 - EoLC/Palliative Discharge Co-ordinator </t>
  </si>
  <si>
    <t>WS040 - Horsham McMillian - Additional HCAs to Provide Hospice at Home</t>
  </si>
  <si>
    <t>WS041 - Additional Infrastructure Support to ECHO</t>
  </si>
  <si>
    <t>WS043 - SaSH Same Day Emergency Care Discharge Team</t>
  </si>
  <si>
    <t>WS044 - Health Care Assistants Providing Additional Care Capacity in Home First (Additional to WS003)</t>
  </si>
  <si>
    <t>WS045 - Expansion of SaSH at Home</t>
  </si>
  <si>
    <t>WS046 - Additional Qualified Social Work Assessors (Locums)</t>
  </si>
  <si>
    <t>Adult Social Care Workforce Capacity</t>
  </si>
  <si>
    <t>Mental Health Provision</t>
  </si>
  <si>
    <t>Pathway 1 Transfer of Care Hub Model</t>
  </si>
  <si>
    <t>VCSE Capacity and Community Equipment</t>
  </si>
  <si>
    <t>Additional social care practitioners in Reablement team</t>
  </si>
  <si>
    <t>Care Act Assessment backlog</t>
  </si>
  <si>
    <t>Care Market Provider Support</t>
  </si>
  <si>
    <t>Complex needs SPOT beds and associated equipment (physical and mental health)</t>
  </si>
  <si>
    <t>Council front line staff winter incentive scheme</t>
  </si>
  <si>
    <t>Dorothy House bed provision</t>
  </si>
  <si>
    <t>Increase Intensive Enablement Support (MH and LD)</t>
  </si>
  <si>
    <t xml:space="preserve">Mental Health flow coordination </t>
  </si>
  <si>
    <t>Shared Lives Placements</t>
  </si>
  <si>
    <t>Wiltshire Council in-reach to acute and community settings</t>
  </si>
  <si>
    <t>Wiltshire Health and Care in-reach plan to acute hospitals</t>
  </si>
  <si>
    <t>Wiltshire VCS offer and carers support</t>
  </si>
  <si>
    <t xml:space="preserve"> Short Term Support Dom Care </t>
  </si>
  <si>
    <t>Block contract nursing/EMI beds</t>
  </si>
  <si>
    <t>Nursing resource 1 x WTE</t>
  </si>
  <si>
    <t>Physio resource 2xWTE</t>
  </si>
  <si>
    <t>Remote Monitoring</t>
  </si>
  <si>
    <t>Voluntary and community sector to support discharge pathways 0 and 1</t>
  </si>
  <si>
    <t>Care Home Placement Officer</t>
  </si>
  <si>
    <t>Crisis Response Team</t>
  </si>
  <si>
    <t>Dom Care Market Sustainability</t>
  </si>
  <si>
    <t xml:space="preserve">Dom Care Retention Payments </t>
  </si>
  <si>
    <t xml:space="preserve">Frailty Virtual Ward / @ Front Door </t>
  </si>
  <si>
    <t>Heart Failure Discharge Ambulatory Cae</t>
  </si>
  <si>
    <t>IDT Assessment Capacity</t>
  </si>
  <si>
    <t xml:space="preserve">Increased Dom Care Christmas Capacity </t>
  </si>
  <si>
    <t>Leighton Court P2 D2A Beds</t>
  </si>
  <si>
    <t>Mental Health Discharge Schemes</t>
  </si>
  <si>
    <t>P3 Step Down Beds</t>
  </si>
  <si>
    <t>Park House P1 Step Down Beds</t>
  </si>
  <si>
    <t>Primary Care Discharge Support</t>
  </si>
  <si>
    <t>Third Sector Discharge Support</t>
  </si>
  <si>
    <t>Equipment and TEC</t>
  </si>
  <si>
    <t>Home Care Hours (ICB funding share)</t>
  </si>
  <si>
    <t>Home Care Hours (LA funding share)</t>
  </si>
  <si>
    <t>Short/Long Term Beds</t>
  </si>
  <si>
    <t>Specialist Mental Health</t>
  </si>
  <si>
    <t xml:space="preserve">Workforce Development &amp; Retention </t>
  </si>
  <si>
    <t>Additional capacity for locality social work teams to support discharge of out of area hospitals</t>
  </si>
  <si>
    <t>Additional equipment</t>
  </si>
  <si>
    <t xml:space="preserve">Additional Equipment to prevent delayed discharges </t>
  </si>
  <si>
    <t>Additional Pathway 3 Complex needs block beds</t>
  </si>
  <si>
    <t>Additional Pharmacists</t>
  </si>
  <si>
    <t>Admin and Project monitoring</t>
  </si>
  <si>
    <t>Age UK Discharge settlement service</t>
  </si>
  <si>
    <t>Block rehab and Neuro rehab beds</t>
  </si>
  <si>
    <t xml:space="preserve">Block residential care home beds </t>
  </si>
  <si>
    <t>Carers Support Team and Community support e.g. hoarders -Proof of concept</t>
  </si>
  <si>
    <t>Chaperone Service  - Proof of Concept</t>
  </si>
  <si>
    <t>Community OT additional capacity</t>
  </si>
  <si>
    <t>Complex Bed Project - Hampton Court</t>
  </si>
  <si>
    <t>Dedicated SALT Provision in AMU</t>
  </si>
  <si>
    <t>Designated Beds</t>
  </si>
  <si>
    <t>Enhance Homeless discharge pathway</t>
  </si>
  <si>
    <t>Enhance Redcross Winter Surge</t>
  </si>
  <si>
    <t>GP Support to care Homes</t>
  </si>
  <si>
    <t>Home Assisted Reablement Programme</t>
  </si>
  <si>
    <t>Homecare Provider Fund</t>
  </si>
  <si>
    <t>Hospital enhanced Social work and PST</t>
  </si>
  <si>
    <t>ICB Admin</t>
  </si>
  <si>
    <t>Personalised Support Team Brokerage for Pathway 3  - Proof of Concept</t>
  </si>
  <si>
    <t>Provision of bariatric pathway</t>
  </si>
  <si>
    <t>Transport - additional capacity to support system pressures</t>
  </si>
  <si>
    <t>Additional Staff recruitment</t>
  </si>
  <si>
    <t>Extra Care spot purchased bed</t>
  </si>
  <si>
    <t>Here 2 Help front door</t>
  </si>
  <si>
    <t>Innovation fund</t>
  </si>
  <si>
    <t>Neighbourhood Teams</t>
  </si>
  <si>
    <t>Pathway 2 (DTA)</t>
  </si>
  <si>
    <t>PW1 wrap around 24/7 care</t>
  </si>
  <si>
    <t>Additional OT</t>
  </si>
  <si>
    <t>Administration of fund</t>
  </si>
  <si>
    <t>CRT Plus model</t>
  </si>
  <si>
    <t>Dementia Live In Care</t>
  </si>
  <si>
    <t>Expand existing Springfield domiciliary care capacity</t>
  </si>
  <si>
    <t>Maintain existing Springfield domiciliary care capacity</t>
  </si>
  <si>
    <t>Osbourne House block booked beds</t>
  </si>
  <si>
    <t>Residential care beds</t>
  </si>
  <si>
    <t>Time to Think bed</t>
  </si>
  <si>
    <t>Voluntary sector - PTS</t>
  </si>
  <si>
    <t>Voluntary sector - Supported discharge</t>
  </si>
  <si>
    <t>YICT expansion</t>
  </si>
  <si>
    <t>Sub Type</t>
  </si>
  <si>
    <t>Contigency</t>
  </si>
  <si>
    <t>number of additional staff recruited</t>
  </si>
  <si>
    <t>Domiciliary Care Packages</t>
  </si>
  <si>
    <t>Domiciliary Care to support hospital discharge</t>
  </si>
  <si>
    <t>Number of beds</t>
  </si>
  <si>
    <t>hours worked</t>
  </si>
  <si>
    <t>number of staff</t>
  </si>
  <si>
    <t>5. I&amp;E</t>
  </si>
  <si>
    <t>6. Year End Feedback</t>
  </si>
  <si>
    <t>7. iBCF</t>
  </si>
  <si>
    <t>3. National Conditions &amp; s75</t>
  </si>
  <si>
    <t>D165</t>
  </si>
  <si>
    <t>D167</t>
  </si>
  <si>
    <t>D169</t>
  </si>
  <si>
    <t>D171</t>
  </si>
  <si>
    <t>D173</t>
  </si>
  <si>
    <t>D174</t>
  </si>
  <si>
    <t>D176</t>
  </si>
  <si>
    <t>D177</t>
  </si>
  <si>
    <t>C9</t>
  </si>
  <si>
    <t>C10</t>
  </si>
  <si>
    <t>C11</t>
  </si>
  <si>
    <t>C12</t>
  </si>
  <si>
    <t>D9</t>
  </si>
  <si>
    <t>D10</t>
  </si>
  <si>
    <t>D11</t>
  </si>
  <si>
    <t>D12</t>
  </si>
  <si>
    <t>H14</t>
  </si>
  <si>
    <t>H17</t>
  </si>
  <si>
    <t>H18</t>
  </si>
  <si>
    <t>H19</t>
  </si>
  <si>
    <t>I14</t>
  </si>
  <si>
    <t>I17</t>
  </si>
  <si>
    <t>I18</t>
  </si>
  <si>
    <t>I19</t>
  </si>
  <si>
    <t>J14</t>
  </si>
  <si>
    <t>J17</t>
  </si>
  <si>
    <t>J18</t>
  </si>
  <si>
    <t>J19</t>
  </si>
  <si>
    <t>H16</t>
  </si>
  <si>
    <t>I16</t>
  </si>
  <si>
    <t>H27</t>
  </si>
  <si>
    <t>H28</t>
  </si>
  <si>
    <t>I27</t>
  </si>
  <si>
    <t>I28</t>
  </si>
  <si>
    <t>E23</t>
  </si>
  <si>
    <t>F43</t>
  </si>
  <si>
    <t>D45</t>
  </si>
  <si>
    <t>F51</t>
  </si>
  <si>
    <t>D53</t>
  </si>
  <si>
    <t>E35</t>
  </si>
  <si>
    <t>C13</t>
  </si>
  <si>
    <t>C14</t>
  </si>
  <si>
    <t>D13</t>
  </si>
  <si>
    <t>D14</t>
  </si>
  <si>
    <t>C21</t>
  </si>
  <si>
    <t>C22</t>
  </si>
  <si>
    <t>D21</t>
  </si>
  <si>
    <t>D22</t>
  </si>
  <si>
    <t>C25</t>
  </si>
  <si>
    <t>C26</t>
  </si>
  <si>
    <t>D25</t>
  </si>
  <si>
    <t>D26</t>
  </si>
  <si>
    <t>D23</t>
  </si>
  <si>
    <t>D24</t>
  </si>
  <si>
    <t>E24</t>
  </si>
  <si>
    <t>E25</t>
  </si>
  <si>
    <t>B156</t>
  </si>
  <si>
    <t>1) Plans to be jointly agreed?</t>
  </si>
  <si>
    <t>2) Social care from CCG minimum contribution agreed in line with Planning Requirements?</t>
  </si>
  <si>
    <t>3) Agreement to invest in NHS commissioned out of hospital services?</t>
  </si>
  <si>
    <t>4) The CCG and LA have confirmed compliance with these conditions to the HWB?</t>
  </si>
  <si>
    <t>1) Plans to be jointly agreed? If no please detail</t>
  </si>
  <si>
    <t>2) Social care from CCG minimum contribution agreed in line with Planning Requirements? Detail</t>
  </si>
  <si>
    <t>3) Agreement to invest in NHS commissioned out of hospital services? If no please detail</t>
  </si>
  <si>
    <t>4) The CCG and LA have confirmed compliance with these conditions to the HWB? If no please detail</t>
  </si>
  <si>
    <t>Avoidable admissions performance target assesment</t>
  </si>
  <si>
    <t>Discharge to normal place of residence performance target assesment</t>
  </si>
  <si>
    <t>Res Admissions performance target assesment</t>
  </si>
  <si>
    <t>Reablement performance target assesment</t>
  </si>
  <si>
    <t>Avoidable admissions challenges and support needs</t>
  </si>
  <si>
    <t>Discharge to normal place of residence challenges and support needs</t>
  </si>
  <si>
    <t>Res Admissions challenges and support needs</t>
  </si>
  <si>
    <t>Reablement challenges and support needs</t>
  </si>
  <si>
    <t>Avoidable admissions achievements</t>
  </si>
  <si>
    <t>Discharge to normal place of residence achievements</t>
  </si>
  <si>
    <t>Res Admissions achievements</t>
  </si>
  <si>
    <t>Reablement achievements</t>
  </si>
  <si>
    <t>Do you wish to change the additional NHS funding?</t>
  </si>
  <si>
    <t>Do you wish to change the additional LA funding?</t>
  </si>
  <si>
    <t>Actual NHS Additional</t>
  </si>
  <si>
    <t>Actual LA Additional</t>
  </si>
  <si>
    <t>DF Do you wish to change the additional NHS funding?</t>
  </si>
  <si>
    <t>DF Do you wish to change the additional LA funding?</t>
  </si>
  <si>
    <t>DF Actual LA Additional</t>
  </si>
  <si>
    <t>DF Actual ICB Additional</t>
  </si>
  <si>
    <t>Income commentary</t>
  </si>
  <si>
    <t>Do you wish to change the expedniture?</t>
  </si>
  <si>
    <t>Actual Expenidture</t>
  </si>
  <si>
    <t>DF Do you wish to change the expedniture?</t>
  </si>
  <si>
    <t>DF Actual Expenidture</t>
  </si>
  <si>
    <t>Expenditure commentary</t>
  </si>
  <si>
    <t>Statement 1: Delivery of the BCF has improved joint working between health and social care</t>
  </si>
  <si>
    <t>Statement 2: Our BCF schemes were implemented as planned in 2020-21</t>
  </si>
  <si>
    <t>Statement 3: Delivery of BCF plan had a positive impact on the integration of health and social care</t>
  </si>
  <si>
    <t>Statement 1 commentary</t>
  </si>
  <si>
    <t>Statement 2 commentary</t>
  </si>
  <si>
    <t>Statement 3 commentary</t>
  </si>
  <si>
    <t>Success 1</t>
  </si>
  <si>
    <t>Success 2</t>
  </si>
  <si>
    <t>Success 1 commentary</t>
  </si>
  <si>
    <t>Success 2 commentary</t>
  </si>
  <si>
    <t>Challenge 1</t>
  </si>
  <si>
    <t>Challenge 2</t>
  </si>
  <si>
    <t>Challenge 1 commentary</t>
  </si>
  <si>
    <t>Challenge 2 commentary</t>
  </si>
  <si>
    <t>1. Average amount paid to external providers for home care in 2020-21</t>
  </si>
  <si>
    <t>1. Actual average fee rate per actual user for 2021-22</t>
  </si>
  <si>
    <t>2. Average amount paid for external provider care homes without nursing for clients aged 65+ in 2020-21</t>
  </si>
  <si>
    <t>2. Actual average fee rate for external provider care homes without nursing clients aged 65+ for 2021-22</t>
  </si>
  <si>
    <t>3. Average amount paid for external provider care homes with nursing for clients aged 65+ in 2020-21</t>
  </si>
  <si>
    <t>3. Actual average fee rate for external provider care homes with nursing clients aged 65+ for 2021-22</t>
  </si>
  <si>
    <t>4. Additional commentary if your 2019-20 fee is different from that reported at Q2 2019-20</t>
  </si>
  <si>
    <t>E10000006</t>
  </si>
  <si>
    <t>GARY COLLIER</t>
  </si>
  <si>
    <t>gcollier@hillingdon.gov.uk</t>
  </si>
  <si>
    <t>01895 250730</t>
  </si>
  <si>
    <t>Concentration of community resources on discharge impacts on admission avoidance capacity. This is being addressed with transition to new operating model reflected within BCF plan. No support needs identified.</t>
  </si>
  <si>
    <t>There were 1,063 spells in the review period compared to 2,022 in the same period in 2022/23. This would suggest that active care planning at Neighbourhood level is having an impact.</t>
  </si>
  <si>
    <t>P1 process working well and Hillingdon model seen as template for sub-region. Q2 performance an improvement on Q1, although only based on two months' data.</t>
  </si>
  <si>
    <t>The figures submitted for this metric are based on anticipated sequel to action, i.e., what the social care professional believes is likely to happen. This means that the actual number of permanent admissions is below the numerator which will relate to the figure submitted for the Council’s Short and Long-term Support (SALT) return to NHS Digital. Increasing numbers of older people with increased acuity being seen, which can be attributed to covid legacy. 75% of permanent admissions are conversions from short-term, which is an increase from 55% in 2022/23 and is associated with increased acuity and impact on the ability and willingness of carers to cope with their caring role. Number of actual placements projected to to be 223 against projected 360 using ASCOF measure. No support needs identified.</t>
  </si>
  <si>
    <t>Investment via BCF in range of intermediate tier services as well as provision of extra care and rigorous review process, ensures that permanent care home admissions the option of last resort to address assessed need.</t>
  </si>
  <si>
    <t>A challenge with this metric is the increased acuity of older people being discharged. This is being mitigated with therapy input. It should be noted that people who may pass away during the 91 review period still included within the denominator.</t>
  </si>
  <si>
    <t>The 2022/23 fall prevention programme has been expanded in 2023/24 to include a proactive care pilot project to reduce frailty and falls in residents in sheltered housing schemes. Training for care home and extra care housing staff delivered in 2022/23 has been continued in 2023/24.</t>
  </si>
  <si>
    <t>Staff turnover in care settings such as care homes and extra care housing means falls-related training presents an on-going need. Demand can be minimised via a train the trainer approach but effectiveness also affected by staff turnover.</t>
  </si>
  <si>
    <t xml:space="preserve">North West London boroughs revised their demand and capacity estimates in August and as such our figures remain unchanged to the August resubmission. The August refresh revised our figures according to realistic demand and capacity in particular around pathway 0 to reflect people who have support needs. </t>
  </si>
  <si>
    <t>For P1 short-term dom care it should be noted that this is our Briding Care Service and that only 40% of referrals into this service proceed into the Reablement Service, which is delivered by the same provider. It should also be noted that there is a current issue with under-utilisation of bridging and rehab capacity(CNWL Homefirst Service). This is related to issues such as TTAs, transport and equipment that are being addressed. Refer to comment under Q2 concerning discussions concerning arrangements to secure additional block care home beds.</t>
  </si>
  <si>
    <t xml:space="preserve">Hillingdon considers that it has sufficient P1 capacity and it should be noted that many of the people proceeding through to Reablement and the Homefirst rehab service will initially be supported by the Bridging Care Service so that they are able to leave hospital with support. Some people identified as requiring P3 placements could actually be supported in their usual place of residence with an appropriate packages of care. Where demand for reablement/rehab in the community exceeds capacity need can be addressed through domiciliary care provision, although this would be a chargeable service. </t>
  </si>
  <si>
    <t>The national discharge data cannot be split by borough, therefore in our June submission this was cross triangulated with other data sources. Some issues were identified and we worked with the London BCF team to refresh this in August. 
Timeliness and accuracy of data is an issue, i.e., how up to date it is to be able to understand activity. The definition of terms can also present difficulties as they can have different meanings across and within systems and between health and social care.</t>
  </si>
  <si>
    <t>Increasing levels of frailty are necessitating step-down in bed-based provision that does not count as normal place of residence. No support needs identified.</t>
  </si>
  <si>
    <t>Closer working between Bridging Care, reablement and the CNWL Homefirst Team is resulting in timely deployment of therapy input that should have a positive impact on proportion of people discharged remaining at home.</t>
  </si>
  <si>
    <t xml:space="preserve">We have not changed our projections since August, apart from adding in P3 spot purchasing. Our capacity in August submission was largely based on available capacity within community NHS and local authority commissioned services. This was calculated largely by reviewing activity/referral data. 
Negotiations are in progress with a care home provider to secure additional block nursing/nursing dementia beds. These beds have not been factored into our capacity figures as negotiations are at an early stage. We are currently exploring reintroduction of delirium pathway support service to divert people from P3 to P1 and reduce demand on limited care home supply.
</t>
  </si>
  <si>
    <t xml:space="preserve">Care home capacity presents an issue. The sector in Hillingdon consistently has an occupancy rate of approximately 96% and higher when taking into consideration homes that do not accept statutory sector placements or are available only to niche markets, e.g., nuns or actors. In addition, taking out supply for short-term placements limits availability for longer-term need. This has potential length of stay implications for people in short-term placements. </t>
  </si>
  <si>
    <t>We have not changed our projections since August (apart from adding in spot purchasing). However, in the August submission, we used our acute hospital data in conjunction with known local authority and community service data where required to work out a realistic baseline for demand, factoring in winter pressures. P1 Reablement/Rehabilitation figures have been adjusted to reflect that only 40% of Bridging Care Service cases proceed into Reablement.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</si>
</sst>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0.0%"/>
    <numFmt numFmtId="165" formatCode="ddd\ dd/mm/yyyy"/>
    <numFmt numFmtId="166" formatCode="#,##0.0"/>
    <numFmt numFmtId="167" formatCode="&quot;£&quot;#,##0"/>
    <numFmt numFmtId="168" formatCode="0.0"/>
    <numFmt numFmtId="169" formatCode="_-* #,##0.0_-;\-* #,##0.0_-;_-* &quot;-&quot;??_-;_-@_-"/>
    <numFmt numFmtId="170" formatCode="_-* #,##0_-;\-* #,##0_-;_-* &quot;-&quot;??_-;_-@_-"/>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i/>
      <sz val="11"/>
      <color theme="1"/>
      <name val="Calibri"/>
      <family val="2"/>
      <scheme val="minor"/>
    </font>
    <font>
      <b/>
      <sz val="14"/>
      <color theme="0"/>
      <name val="Calibri"/>
      <family val="2"/>
      <scheme val="minor"/>
    </font>
    <font>
      <u/>
      <sz val="11"/>
      <color theme="10"/>
      <name val="Calibri"/>
      <family val="2"/>
      <scheme val="minor"/>
    </font>
    <font>
      <b/>
      <sz val="12"/>
      <color theme="0"/>
      <name val="Calibri"/>
      <family val="2"/>
      <scheme val="minor"/>
    </font>
    <font>
      <sz val="11"/>
      <color theme="4" tint="-0.249977111117893"/>
      <name val="Calibri"/>
      <family val="2"/>
      <scheme val="minor"/>
    </font>
    <font>
      <sz val="11"/>
      <color rgb="FFFF0000"/>
      <name val="Calibri"/>
      <family val="2"/>
      <scheme val="minor"/>
    </font>
    <font>
      <i/>
      <u/>
      <sz val="11"/>
      <color theme="1"/>
      <name val="Calibri"/>
      <family val="2"/>
      <scheme val="minor"/>
    </font>
    <font>
      <b/>
      <u/>
      <sz val="11"/>
      <color theme="1"/>
      <name val="Calibri"/>
      <family val="2"/>
      <scheme val="minor"/>
    </font>
    <font>
      <sz val="8"/>
      <name val="Calibri"/>
      <family val="2"/>
      <scheme val="minor"/>
    </font>
    <font>
      <u/>
      <sz val="11"/>
      <color rgb="FF0000FF"/>
      <name val="Calibri"/>
      <family val="2"/>
      <scheme val="minor"/>
    </font>
    <font>
      <sz val="11"/>
      <name val="Calibri"/>
      <family val="2"/>
      <scheme val="minor"/>
    </font>
    <font>
      <b/>
      <sz val="14"/>
      <color rgb="FFFF0000"/>
      <name val="Calibri"/>
      <family val="2"/>
      <scheme val="minor"/>
    </font>
    <font>
      <sz val="11"/>
      <color rgb="FF000000"/>
      <name val="Arial"/>
      <family val="2"/>
    </font>
    <font>
      <sz val="9"/>
      <color theme="1"/>
      <name val="Calibri"/>
      <family val="2"/>
      <scheme val="minor"/>
    </font>
    <font>
      <sz val="11"/>
      <name val="Arial"/>
      <family val="2"/>
    </font>
    <font>
      <sz val="11"/>
      <color rgb="FF000000"/>
      <name val="Calibri"/>
      <family val="2"/>
      <scheme val="minor"/>
    </font>
    <font>
      <b/>
      <sz val="11"/>
      <color rgb="FFFF0000"/>
      <name val="Calibri"/>
      <family val="2"/>
      <scheme val="minor"/>
    </font>
    <font>
      <b/>
      <sz val="11"/>
      <color rgb="FF1B5E7F"/>
      <name val="Calibri"/>
      <family val="2"/>
      <scheme val="minor"/>
    </font>
    <font>
      <b/>
      <sz val="16"/>
      <color theme="0"/>
      <name val="Calibri"/>
      <family val="2"/>
      <scheme val="minor"/>
    </font>
    <font>
      <b/>
      <sz val="11"/>
      <name val="Calibri"/>
      <family val="2"/>
      <scheme val="minor"/>
    </font>
    <font>
      <sz val="11"/>
      <color rgb="FFFFFFFF"/>
      <name val="Calibri"/>
      <family val="2"/>
      <scheme val="minor"/>
    </font>
    <font>
      <sz val="11"/>
      <color rgb="FF000000"/>
      <name val="Calibri"/>
      <family val="2"/>
    </font>
    <font>
      <b/>
      <sz val="11"/>
      <color rgb="FF000000"/>
      <name val="Calibri"/>
      <family val="2"/>
    </font>
    <font>
      <sz val="11"/>
      <color theme="1"/>
      <name val="Calibri"/>
      <family val="2"/>
    </font>
  </fonts>
  <fills count="22">
    <fill>
      <patternFill patternType="none"/>
    </fill>
    <fill>
      <patternFill patternType="gray125"/>
    </fill>
    <fill>
      <patternFill patternType="solid">
        <fgColor rgb="FF0070C0"/>
        <bgColor indexed="64"/>
      </patternFill>
    </fill>
    <fill>
      <patternFill patternType="solid">
        <fgColor rgb="FFFBFFCD"/>
        <bgColor indexed="64"/>
      </patternFill>
    </fill>
    <fill>
      <patternFill patternType="solid">
        <fgColor rgb="FFFFFF00"/>
        <bgColor indexed="64"/>
      </patternFill>
    </fill>
    <fill>
      <patternFill patternType="solid">
        <fgColor theme="2"/>
        <bgColor indexed="64"/>
      </patternFill>
    </fill>
    <fill>
      <patternFill patternType="solid">
        <fgColor rgb="FFFF0000"/>
        <bgColor indexed="64"/>
      </patternFill>
    </fill>
    <fill>
      <patternFill patternType="solid">
        <fgColor rgb="FFCFDDED"/>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C65911"/>
        <bgColor rgb="FF000000"/>
      </patternFill>
    </fill>
    <fill>
      <patternFill patternType="solid">
        <fgColor rgb="FFCFDDED"/>
        <bgColor rgb="FF000000"/>
      </patternFill>
    </fill>
    <fill>
      <patternFill patternType="solid">
        <fgColor rgb="FFFBFFCD"/>
        <bgColor rgb="FF000000"/>
      </patternFill>
    </fill>
    <fill>
      <patternFill patternType="solid">
        <fgColor rgb="FF1B5E7F"/>
        <bgColor indexed="64"/>
      </patternFill>
    </fill>
    <fill>
      <patternFill patternType="solid">
        <fgColor theme="7" tint="0.79998168889431442"/>
        <bgColor indexed="64"/>
      </patternFill>
    </fill>
    <fill>
      <patternFill patternType="solid">
        <fgColor rgb="FFE1F4F7"/>
        <bgColor indexed="64"/>
      </patternFill>
    </fill>
    <fill>
      <patternFill patternType="solid">
        <fgColor rgb="FF1B5E7F"/>
        <bgColor rgb="FF000000"/>
      </patternFill>
    </fill>
    <fill>
      <patternFill patternType="solid">
        <fgColor rgb="FFFFC000"/>
        <bgColor indexed="64"/>
      </patternFill>
    </fill>
    <fill>
      <patternFill patternType="solid">
        <fgColor rgb="FFE1F4F7"/>
        <bgColor rgb="FF000000"/>
      </patternFill>
    </fill>
    <fill>
      <patternFill patternType="solid">
        <fgColor theme="7" tint="0.79998168889431442"/>
        <bgColor rgb="FF000000"/>
      </patternFill>
    </fill>
    <fill>
      <patternFill patternType="solid">
        <fgColor theme="0"/>
        <bgColor indexed="64"/>
      </patternFill>
    </fill>
    <fill>
      <patternFill patternType="solid">
        <fgColor theme="2" tint="-9.9978637043366805E-2"/>
        <bgColor indexed="64"/>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diagonal/>
    </border>
    <border>
      <left/>
      <right style="thin">
        <color theme="9" tint="0.59996337778862885"/>
      </right>
      <top/>
      <bottom/>
      <diagonal/>
    </border>
    <border>
      <left style="thin">
        <color theme="9" tint="0.59996337778862885"/>
      </left>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8">
    <xf numFmtId="0" fontId="0" fillId="0" borderId="0"/>
    <xf numFmtId="9" fontId="1" fillId="0" borderId="0" applyFont="0" applyFill="0" applyBorder="0" applyAlignment="0" applyProtection="0"/>
    <xf numFmtId="0" fontId="5" fillId="0" borderId="0"/>
    <xf numFmtId="0" fontId="8"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333">
    <xf numFmtId="0" fontId="0" fillId="0" borderId="0" xfId="0"/>
    <xf numFmtId="0" fontId="6" fillId="0" borderId="0" xfId="0" applyFont="1"/>
    <xf numFmtId="0" fontId="3" fillId="0" borderId="6" xfId="0" applyFont="1" applyBorder="1" applyAlignment="1">
      <alignment horizontal="center"/>
    </xf>
    <xf numFmtId="0" fontId="0" fillId="4" borderId="0" xfId="0" applyFill="1"/>
    <xf numFmtId="0" fontId="3" fillId="0" borderId="0" xfId="0" applyFont="1" applyAlignment="1">
      <alignment horizontal="center"/>
    </xf>
    <xf numFmtId="0" fontId="3" fillId="0" borderId="4" xfId="0" applyFont="1" applyBorder="1"/>
    <xf numFmtId="0" fontId="3" fillId="4" borderId="0" xfId="0" applyFont="1" applyFill="1"/>
    <xf numFmtId="0" fontId="0" fillId="0" borderId="8" xfId="0" applyBorder="1"/>
    <xf numFmtId="0" fontId="0" fillId="0" borderId="8" xfId="0" applyBorder="1" applyAlignment="1">
      <alignment vertical="top" wrapText="1"/>
    </xf>
    <xf numFmtId="0" fontId="3" fillId="0" borderId="0" xfId="0" applyFont="1"/>
    <xf numFmtId="0" fontId="0" fillId="0" borderId="0" xfId="0" applyAlignment="1">
      <alignment horizontal="center"/>
    </xf>
    <xf numFmtId="0" fontId="2" fillId="2" borderId="8" xfId="0" applyFont="1" applyFill="1" applyBorder="1"/>
    <xf numFmtId="0" fontId="10" fillId="0" borderId="0" xfId="3" applyFont="1"/>
    <xf numFmtId="0" fontId="4" fillId="6" borderId="4" xfId="0" applyFont="1" applyFill="1" applyBorder="1" applyAlignment="1" applyProtection="1">
      <alignment horizontal="center"/>
      <protection hidden="1"/>
    </xf>
    <xf numFmtId="0" fontId="0" fillId="0" borderId="0" xfId="0" applyAlignment="1">
      <alignment wrapText="1"/>
    </xf>
    <xf numFmtId="0" fontId="12" fillId="0" borderId="0" xfId="0" applyFont="1"/>
    <xf numFmtId="0" fontId="8" fillId="0" borderId="8" xfId="3" applyBorder="1" applyAlignment="1">
      <alignment horizontal="left" vertical="top" wrapText="1"/>
    </xf>
    <xf numFmtId="0" fontId="4" fillId="6" borderId="21" xfId="0" applyFont="1" applyFill="1" applyBorder="1" applyAlignment="1" applyProtection="1">
      <alignment horizontal="center"/>
      <protection hidden="1"/>
    </xf>
    <xf numFmtId="0" fontId="0" fillId="8" borderId="22" xfId="0" applyFill="1" applyBorder="1"/>
    <xf numFmtId="0" fontId="13" fillId="8" borderId="23" xfId="0" applyFont="1" applyFill="1" applyBorder="1" applyAlignment="1">
      <alignment horizontal="center" vertical="top"/>
    </xf>
    <xf numFmtId="0" fontId="0" fillId="8" borderId="24" xfId="0" applyFill="1" applyBorder="1"/>
    <xf numFmtId="0" fontId="0" fillId="8" borderId="25" xfId="0" applyFill="1" applyBorder="1"/>
    <xf numFmtId="0" fontId="0" fillId="8" borderId="0" xfId="0" applyFill="1" applyAlignment="1">
      <alignment horizontal="center" vertical="center"/>
    </xf>
    <xf numFmtId="0" fontId="0" fillId="8" borderId="26" xfId="0" applyFill="1" applyBorder="1"/>
    <xf numFmtId="0" fontId="0" fillId="8" borderId="0" xfId="0" applyFill="1"/>
    <xf numFmtId="0" fontId="0" fillId="8" borderId="27" xfId="0" applyFill="1" applyBorder="1"/>
    <xf numFmtId="0" fontId="0" fillId="8" borderId="28" xfId="0" applyFill="1" applyBorder="1"/>
    <xf numFmtId="0" fontId="0" fillId="8" borderId="29" xfId="0" applyFill="1" applyBorder="1"/>
    <xf numFmtId="0" fontId="4" fillId="6" borderId="21" xfId="0" applyFont="1" applyFill="1" applyBorder="1" applyAlignment="1" applyProtection="1">
      <alignment horizontal="center" vertical="center"/>
      <protection hidden="1"/>
    </xf>
    <xf numFmtId="0" fontId="0" fillId="0" borderId="8" xfId="0" applyBorder="1" applyAlignment="1">
      <alignment horizontal="left" vertical="top" wrapText="1"/>
    </xf>
    <xf numFmtId="0" fontId="0" fillId="0" borderId="8" xfId="0" applyBorder="1" applyAlignment="1">
      <alignment vertical="top"/>
    </xf>
    <xf numFmtId="0" fontId="0" fillId="0" borderId="8" xfId="0" quotePrefix="1" applyBorder="1" applyAlignment="1">
      <alignment horizontal="left" vertical="top" wrapText="1"/>
    </xf>
    <xf numFmtId="0" fontId="15" fillId="0" borderId="8" xfId="3" applyFont="1" applyBorder="1" applyAlignment="1">
      <alignment horizontal="left" vertical="top" wrapText="1"/>
    </xf>
    <xf numFmtId="0" fontId="0" fillId="0" borderId="20" xfId="0" applyBorder="1" applyAlignment="1">
      <alignment horizontal="left" vertical="top" wrapText="1"/>
    </xf>
    <xf numFmtId="3" fontId="0" fillId="0" borderId="0" xfId="0" applyNumberFormat="1"/>
    <xf numFmtId="166" fontId="0" fillId="0" borderId="0" xfId="0" applyNumberFormat="1"/>
    <xf numFmtId="164" fontId="0" fillId="0" borderId="0" xfId="0" applyNumberFormat="1"/>
    <xf numFmtId="0" fontId="3" fillId="0" borderId="0" xfId="0" applyFont="1" applyAlignment="1">
      <alignment horizontal="centerContinuous"/>
    </xf>
    <xf numFmtId="0" fontId="3" fillId="0" borderId="0" xfId="0" applyFont="1" applyAlignment="1">
      <alignment horizontal="right" wrapText="1"/>
    </xf>
    <xf numFmtId="0" fontId="0" fillId="0" borderId="0" xfId="0" applyAlignment="1">
      <alignment horizontal="left" vertical="top" wrapText="1"/>
    </xf>
    <xf numFmtId="0" fontId="16" fillId="0" borderId="20" xfId="0" applyFont="1" applyBorder="1" applyAlignment="1">
      <alignment horizontal="left" vertical="top" wrapText="1"/>
    </xf>
    <xf numFmtId="0" fontId="16" fillId="0" borderId="8" xfId="0" applyFont="1" applyBorder="1" applyAlignment="1">
      <alignment horizontal="left" vertical="top" wrapText="1"/>
    </xf>
    <xf numFmtId="0" fontId="4" fillId="2" borderId="4" xfId="0" applyFont="1" applyFill="1" applyBorder="1" applyAlignment="1">
      <alignment vertical="top" wrapText="1"/>
    </xf>
    <xf numFmtId="0" fontId="16" fillId="3" borderId="30" xfId="0" applyFont="1" applyFill="1" applyBorder="1" applyAlignment="1" applyProtection="1">
      <alignment horizontal="left" vertical="top" wrapText="1"/>
      <protection locked="0"/>
    </xf>
    <xf numFmtId="0" fontId="16" fillId="3" borderId="32"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167" fontId="16" fillId="3" borderId="30" xfId="0" applyNumberFormat="1" applyFont="1" applyFill="1" applyBorder="1" applyAlignment="1" applyProtection="1">
      <alignment horizontal="left" vertical="top" wrapText="1"/>
      <protection locked="0"/>
    </xf>
    <xf numFmtId="167" fontId="16" fillId="3" borderId="32" xfId="0" applyNumberFormat="1" applyFont="1" applyFill="1" applyBorder="1" applyAlignment="1" applyProtection="1">
      <alignment horizontal="left" vertical="top" wrapText="1"/>
      <protection locked="0"/>
    </xf>
    <xf numFmtId="167" fontId="16" fillId="3" borderId="31" xfId="0" applyNumberFormat="1" applyFont="1" applyFill="1" applyBorder="1" applyAlignment="1" applyProtection="1">
      <alignment horizontal="left" vertical="top" wrapText="1"/>
      <protection locked="0"/>
    </xf>
    <xf numFmtId="3" fontId="16" fillId="3" borderId="30" xfId="0" applyNumberFormat="1" applyFont="1" applyFill="1" applyBorder="1" applyAlignment="1" applyProtection="1">
      <alignment horizontal="left" vertical="top" wrapText="1"/>
      <protection locked="0"/>
    </xf>
    <xf numFmtId="3" fontId="16" fillId="3" borderId="32" xfId="0" applyNumberFormat="1" applyFont="1" applyFill="1" applyBorder="1" applyAlignment="1" applyProtection="1">
      <alignment horizontal="left" vertical="top" wrapText="1"/>
      <protection locked="0"/>
    </xf>
    <xf numFmtId="3" fontId="16" fillId="3" borderId="31" xfId="0" applyNumberFormat="1" applyFont="1" applyFill="1" applyBorder="1" applyAlignment="1" applyProtection="1">
      <alignment horizontal="left" vertical="top" wrapText="1"/>
      <protection locked="0"/>
    </xf>
    <xf numFmtId="0" fontId="17" fillId="0" borderId="0" xfId="0" applyFont="1"/>
    <xf numFmtId="167" fontId="0" fillId="0" borderId="0" xfId="0" applyNumberFormat="1"/>
    <xf numFmtId="0" fontId="16" fillId="7" borderId="30" xfId="0" applyFont="1" applyFill="1" applyBorder="1" applyAlignment="1" applyProtection="1">
      <alignment horizontal="left" vertical="top" wrapText="1"/>
      <protection locked="0"/>
    </xf>
    <xf numFmtId="167" fontId="16" fillId="7" borderId="30" xfId="0" applyNumberFormat="1" applyFont="1" applyFill="1" applyBorder="1" applyAlignment="1" applyProtection="1">
      <alignment horizontal="left" vertical="top" wrapText="1"/>
      <protection locked="0"/>
    </xf>
    <xf numFmtId="0" fontId="16" fillId="7" borderId="32" xfId="0" applyFont="1" applyFill="1" applyBorder="1" applyAlignment="1" applyProtection="1">
      <alignment horizontal="left" vertical="top" wrapText="1"/>
      <protection locked="0"/>
    </xf>
    <xf numFmtId="167" fontId="16" fillId="7" borderId="32" xfId="0" applyNumberFormat="1" applyFont="1" applyFill="1" applyBorder="1" applyAlignment="1" applyProtection="1">
      <alignment horizontal="left" vertical="top" wrapText="1"/>
      <protection locked="0"/>
    </xf>
    <xf numFmtId="0" fontId="16" fillId="7" borderId="31" xfId="0" applyFont="1" applyFill="1" applyBorder="1" applyAlignment="1" applyProtection="1">
      <alignment horizontal="left" vertical="top" wrapText="1"/>
      <protection locked="0"/>
    </xf>
    <xf numFmtId="167" fontId="16" fillId="7" borderId="31" xfId="0" applyNumberFormat="1" applyFont="1" applyFill="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167" fontId="16" fillId="0" borderId="0" xfId="0" applyNumberFormat="1" applyFont="1" applyAlignment="1" applyProtection="1">
      <alignment horizontal="left" vertical="top" wrapText="1"/>
      <protection locked="0"/>
    </xf>
    <xf numFmtId="3" fontId="16" fillId="0" borderId="0" xfId="0" applyNumberFormat="1" applyFont="1" applyAlignment="1" applyProtection="1">
      <alignment horizontal="left" vertical="top" wrapText="1"/>
      <protection locked="0"/>
    </xf>
    <xf numFmtId="0" fontId="16" fillId="7" borderId="30" xfId="0" applyFont="1" applyFill="1" applyBorder="1" applyAlignment="1">
      <alignment horizontal="left" vertical="top" wrapText="1"/>
    </xf>
    <xf numFmtId="167" fontId="16" fillId="7" borderId="30" xfId="0" applyNumberFormat="1" applyFont="1" applyFill="1" applyBorder="1" applyAlignment="1">
      <alignment horizontal="left" vertical="top" wrapText="1"/>
    </xf>
    <xf numFmtId="0" fontId="16" fillId="7" borderId="32" xfId="0" applyFont="1" applyFill="1" applyBorder="1" applyAlignment="1">
      <alignment horizontal="left" vertical="top" wrapText="1"/>
    </xf>
    <xf numFmtId="167" fontId="16" fillId="7" borderId="32" xfId="0" applyNumberFormat="1" applyFont="1" applyFill="1" applyBorder="1" applyAlignment="1">
      <alignment horizontal="left" vertical="top" wrapText="1"/>
    </xf>
    <xf numFmtId="0" fontId="16" fillId="7" borderId="31" xfId="0" applyFont="1" applyFill="1" applyBorder="1" applyAlignment="1">
      <alignment horizontal="left" vertical="top" wrapText="1"/>
    </xf>
    <xf numFmtId="167" fontId="16" fillId="7" borderId="31" xfId="0" applyNumberFormat="1" applyFont="1" applyFill="1" applyBorder="1" applyAlignment="1">
      <alignment horizontal="left" vertical="top" wrapText="1"/>
    </xf>
    <xf numFmtId="0" fontId="0" fillId="4" borderId="0" xfId="0" applyFill="1" applyAlignment="1">
      <alignment vertical="top"/>
    </xf>
    <xf numFmtId="6" fontId="20" fillId="11" borderId="32" xfId="0" applyNumberFormat="1" applyFont="1" applyFill="1" applyBorder="1" applyAlignment="1">
      <alignment horizontal="right" vertical="top" wrapText="1"/>
    </xf>
    <xf numFmtId="0" fontId="18" fillId="10" borderId="5" xfId="0" applyFont="1" applyFill="1" applyBorder="1"/>
    <xf numFmtId="6" fontId="20" fillId="11" borderId="30" xfId="0" applyNumberFormat="1" applyFont="1" applyFill="1" applyBorder="1" applyAlignment="1">
      <alignment horizontal="right" vertical="top" wrapText="1"/>
    </xf>
    <xf numFmtId="0" fontId="18" fillId="10" borderId="9" xfId="0" applyFont="1" applyFill="1" applyBorder="1"/>
    <xf numFmtId="0" fontId="18" fillId="10" borderId="11" xfId="0" applyFont="1" applyFill="1" applyBorder="1"/>
    <xf numFmtId="167" fontId="20" fillId="12" borderId="32" xfId="0" applyNumberFormat="1" applyFont="1" applyFill="1" applyBorder="1" applyAlignment="1" applyProtection="1">
      <alignment horizontal="right" vertical="top" wrapText="1"/>
      <protection locked="0"/>
    </xf>
    <xf numFmtId="167" fontId="20" fillId="12" borderId="31" xfId="0" applyNumberFormat="1" applyFont="1" applyFill="1" applyBorder="1" applyAlignment="1" applyProtection="1">
      <alignment horizontal="right" vertical="top" wrapText="1"/>
      <protection locked="0"/>
    </xf>
    <xf numFmtId="0" fontId="0" fillId="0" borderId="17" xfId="0" applyBorder="1"/>
    <xf numFmtId="0" fontId="7" fillId="13" borderId="6" xfId="0" applyFont="1" applyFill="1" applyBorder="1"/>
    <xf numFmtId="0" fontId="2" fillId="13" borderId="8" xfId="0" applyFont="1" applyFill="1" applyBorder="1"/>
    <xf numFmtId="0" fontId="7" fillId="13" borderId="10" xfId="0" applyFont="1" applyFill="1" applyBorder="1" applyAlignment="1" applyProtection="1">
      <alignment horizontal="center"/>
      <protection hidden="1"/>
    </xf>
    <xf numFmtId="0" fontId="0" fillId="14" borderId="8" xfId="0" applyFill="1" applyBorder="1"/>
    <xf numFmtId="0" fontId="0" fillId="15" borderId="8" xfId="0" applyFill="1" applyBorder="1"/>
    <xf numFmtId="165" fontId="0" fillId="15" borderId="20" xfId="0" applyNumberFormat="1" applyFill="1" applyBorder="1" applyAlignment="1" applyProtection="1">
      <alignment horizontal="left"/>
      <protection locked="0"/>
    </xf>
    <xf numFmtId="0" fontId="0" fillId="14" borderId="4" xfId="0" applyFill="1" applyBorder="1" applyProtection="1">
      <protection locked="0"/>
    </xf>
    <xf numFmtId="0" fontId="2" fillId="13" borderId="4" xfId="0" applyFont="1" applyFill="1" applyBorder="1" applyAlignment="1">
      <alignment wrapText="1"/>
    </xf>
    <xf numFmtId="0" fontId="2" fillId="13" borderId="4" xfId="0" applyFont="1" applyFill="1" applyBorder="1" applyAlignment="1">
      <alignment vertical="top" wrapText="1"/>
    </xf>
    <xf numFmtId="0" fontId="0" fillId="14" borderId="4" xfId="0" applyFill="1" applyBorder="1" applyAlignment="1" applyProtection="1">
      <alignment vertical="top"/>
      <protection locked="0"/>
    </xf>
    <xf numFmtId="0" fontId="0" fillId="15" borderId="4" xfId="0" applyFill="1" applyBorder="1" applyAlignment="1" applyProtection="1">
      <alignment vertical="top" wrapText="1"/>
      <protection locked="0"/>
    </xf>
    <xf numFmtId="0" fontId="2" fillId="13" borderId="4" xfId="0" applyFont="1" applyFill="1" applyBorder="1" applyAlignment="1">
      <alignment vertical="center" wrapText="1"/>
    </xf>
    <xf numFmtId="0" fontId="4" fillId="13" borderId="4" xfId="0" applyFont="1" applyFill="1" applyBorder="1" applyAlignment="1">
      <alignment horizontal="left" vertical="center" wrapText="1"/>
    </xf>
    <xf numFmtId="0" fontId="4" fillId="13" borderId="4" xfId="0" applyFont="1" applyFill="1" applyBorder="1" applyAlignment="1">
      <alignment vertical="center" wrapText="1"/>
    </xf>
    <xf numFmtId="0" fontId="0" fillId="14" borderId="4" xfId="0" applyFill="1" applyBorder="1" applyAlignment="1" applyProtection="1">
      <alignment vertical="top" wrapText="1"/>
      <protection locked="0"/>
    </xf>
    <xf numFmtId="166" fontId="0" fillId="15" borderId="17" xfId="0" applyNumberFormat="1" applyFill="1" applyBorder="1" applyAlignment="1" applyProtection="1">
      <alignment vertical="center"/>
      <protection hidden="1"/>
    </xf>
    <xf numFmtId="166" fontId="0" fillId="15" borderId="18" xfId="0" applyNumberFormat="1" applyFill="1" applyBorder="1" applyAlignment="1" applyProtection="1">
      <alignment vertical="center"/>
      <protection hidden="1"/>
    </xf>
    <xf numFmtId="166" fontId="0" fillId="15" borderId="19" xfId="0" applyNumberFormat="1" applyFill="1" applyBorder="1" applyAlignment="1" applyProtection="1">
      <alignment vertical="center"/>
      <protection hidden="1"/>
    </xf>
    <xf numFmtId="164" fontId="0" fillId="15" borderId="17" xfId="0" applyNumberFormat="1" applyFill="1" applyBorder="1" applyAlignment="1" applyProtection="1">
      <alignment vertical="center"/>
      <protection hidden="1"/>
    </xf>
    <xf numFmtId="164" fontId="0" fillId="15" borderId="18" xfId="0" applyNumberFormat="1" applyFill="1" applyBorder="1" applyAlignment="1" applyProtection="1">
      <alignment vertical="center"/>
      <protection hidden="1"/>
    </xf>
    <xf numFmtId="164" fontId="0" fillId="15" borderId="19" xfId="0" applyNumberFormat="1" applyFill="1" applyBorder="1" applyAlignment="1" applyProtection="1">
      <alignment vertical="center"/>
      <protection hidden="1"/>
    </xf>
    <xf numFmtId="0" fontId="7" fillId="0" borderId="9" xfId="0" applyFont="1" applyBorder="1" applyProtection="1">
      <protection hidden="1"/>
    </xf>
    <xf numFmtId="0" fontId="7" fillId="0" borderId="0" xfId="0" applyFont="1" applyProtection="1">
      <protection hidden="1"/>
    </xf>
    <xf numFmtId="0" fontId="21" fillId="0" borderId="15" xfId="0" applyFont="1" applyBorder="1" applyAlignment="1">
      <alignment horizontal="left" wrapText="1"/>
    </xf>
    <xf numFmtId="0" fontId="0" fillId="0" borderId="16" xfId="0" applyBorder="1"/>
    <xf numFmtId="0" fontId="21" fillId="0" borderId="0" xfId="0" applyFont="1" applyAlignment="1">
      <alignment horizontal="center" vertical="top" wrapText="1"/>
    </xf>
    <xf numFmtId="0" fontId="4" fillId="0" borderId="0" xfId="0" applyFont="1" applyAlignment="1">
      <alignment horizontal="right"/>
    </xf>
    <xf numFmtId="17" fontId="9" fillId="13" borderId="14" xfId="0" applyNumberFormat="1" applyFont="1" applyFill="1" applyBorder="1" applyAlignment="1">
      <alignment horizontal="left" wrapText="1"/>
    </xf>
    <xf numFmtId="0" fontId="13" fillId="0" borderId="0" xfId="0" applyFont="1" applyAlignment="1">
      <alignment horizontal="center" vertical="center"/>
    </xf>
    <xf numFmtId="168" fontId="0" fillId="0" borderId="0" xfId="0" applyNumberFormat="1"/>
    <xf numFmtId="0" fontId="2" fillId="0" borderId="12" xfId="0" applyFont="1" applyBorder="1" applyAlignment="1">
      <alignment horizontal="center"/>
    </xf>
    <xf numFmtId="0" fontId="9" fillId="13" borderId="6" xfId="0" applyFont="1" applyFill="1" applyBorder="1" applyAlignment="1">
      <alignment wrapText="1"/>
    </xf>
    <xf numFmtId="0" fontId="9" fillId="13" borderId="34" xfId="0" applyFont="1" applyFill="1" applyBorder="1" applyAlignment="1">
      <alignment wrapText="1"/>
    </xf>
    <xf numFmtId="0" fontId="16" fillId="14" borderId="4" xfId="0" applyFont="1" applyFill="1" applyBorder="1" applyAlignment="1" applyProtection="1">
      <alignment vertical="top"/>
      <protection locked="0"/>
    </xf>
    <xf numFmtId="0" fontId="2" fillId="13" borderId="8" xfId="0" applyFont="1" applyFill="1" applyBorder="1" applyAlignment="1">
      <alignment vertical="top" wrapText="1"/>
    </xf>
    <xf numFmtId="0" fontId="2" fillId="13" borderId="6" xfId="0" applyFont="1" applyFill="1" applyBorder="1" applyAlignment="1">
      <alignment vertical="top" wrapText="1"/>
    </xf>
    <xf numFmtId="0" fontId="0" fillId="14" borderId="6" xfId="0" applyFill="1" applyBorder="1" applyProtection="1">
      <protection locked="0"/>
    </xf>
    <xf numFmtId="0" fontId="9" fillId="13" borderId="36" xfId="0" applyFont="1" applyFill="1" applyBorder="1" applyAlignment="1">
      <alignment wrapText="1"/>
    </xf>
    <xf numFmtId="0" fontId="4" fillId="0" borderId="0" xfId="0" applyFont="1" applyAlignment="1">
      <alignment horizontal="left" vertical="top"/>
    </xf>
    <xf numFmtId="0" fontId="0" fillId="17" borderId="0" xfId="0" applyFill="1"/>
    <xf numFmtId="9" fontId="0" fillId="0" borderId="0" xfId="1" applyFont="1"/>
    <xf numFmtId="0" fontId="4" fillId="0" borderId="9" xfId="0" applyFont="1" applyBorder="1"/>
    <xf numFmtId="0" fontId="4" fillId="0" borderId="0" xfId="0" applyFont="1"/>
    <xf numFmtId="0" fontId="3" fillId="0" borderId="0" xfId="0" applyFont="1" applyAlignment="1">
      <alignment vertical="top"/>
    </xf>
    <xf numFmtId="0" fontId="0" fillId="15" borderId="4" xfId="0" applyFill="1" applyBorder="1"/>
    <xf numFmtId="0" fontId="3" fillId="15" borderId="41" xfId="0" applyFont="1" applyFill="1" applyBorder="1"/>
    <xf numFmtId="0" fontId="3" fillId="15" borderId="42" xfId="0" applyFont="1" applyFill="1" applyBorder="1"/>
    <xf numFmtId="0" fontId="23" fillId="13" borderId="43" xfId="0" applyFont="1" applyFill="1" applyBorder="1"/>
    <xf numFmtId="0" fontId="0" fillId="15" borderId="37" xfId="0" applyFill="1" applyBorder="1"/>
    <xf numFmtId="0" fontId="23" fillId="13" borderId="44" xfId="0" applyFont="1" applyFill="1" applyBorder="1"/>
    <xf numFmtId="0" fontId="0" fillId="15" borderId="34" xfId="0" applyFill="1" applyBorder="1"/>
    <xf numFmtId="0" fontId="0" fillId="15" borderId="36" xfId="0" applyFill="1" applyBorder="1"/>
    <xf numFmtId="0" fontId="2" fillId="13" borderId="40" xfId="0" applyFont="1" applyFill="1" applyBorder="1" applyAlignment="1">
      <alignment vertical="top" wrapText="1"/>
    </xf>
    <xf numFmtId="0" fontId="23" fillId="13" borderId="43" xfId="0" applyFont="1" applyFill="1" applyBorder="1" applyAlignment="1">
      <alignment wrapText="1"/>
    </xf>
    <xf numFmtId="0" fontId="23" fillId="13" borderId="44" xfId="0" applyFont="1" applyFill="1" applyBorder="1" applyAlignment="1">
      <alignment wrapText="1"/>
    </xf>
    <xf numFmtId="0" fontId="2" fillId="13" borderId="40" xfId="0" applyFont="1" applyFill="1" applyBorder="1" applyAlignment="1">
      <alignment wrapText="1"/>
    </xf>
    <xf numFmtId="0" fontId="16" fillId="14" borderId="41" xfId="0" applyFont="1" applyFill="1" applyBorder="1" applyAlignment="1" applyProtection="1">
      <alignment vertical="top"/>
      <protection locked="0"/>
    </xf>
    <xf numFmtId="0" fontId="2" fillId="13" borderId="45" xfId="0" applyFont="1" applyFill="1" applyBorder="1" applyAlignment="1">
      <alignment vertical="top" wrapText="1"/>
    </xf>
    <xf numFmtId="0" fontId="2" fillId="13" borderId="46" xfId="0" applyFont="1" applyFill="1" applyBorder="1" applyAlignment="1">
      <alignment vertical="top" wrapText="1"/>
    </xf>
    <xf numFmtId="0" fontId="22" fillId="0" borderId="0" xfId="0" applyFont="1"/>
    <xf numFmtId="0" fontId="2" fillId="0" borderId="12" xfId="0" applyFont="1" applyBorder="1"/>
    <xf numFmtId="0" fontId="0" fillId="15" borderId="41" xfId="0" applyFill="1" applyBorder="1"/>
    <xf numFmtId="0" fontId="0" fillId="15" borderId="42" xfId="0" applyFill="1" applyBorder="1"/>
    <xf numFmtId="0" fontId="2" fillId="13" borderId="49" xfId="0" applyFont="1" applyFill="1" applyBorder="1" applyAlignment="1">
      <alignment vertical="top" wrapText="1"/>
    </xf>
    <xf numFmtId="0" fontId="2" fillId="13" borderId="50" xfId="0" applyFont="1" applyFill="1" applyBorder="1" applyAlignment="1">
      <alignment vertical="top" wrapText="1"/>
    </xf>
    <xf numFmtId="0" fontId="2" fillId="13" borderId="51" xfId="0" applyFont="1" applyFill="1" applyBorder="1" applyAlignment="1">
      <alignment vertical="top" wrapText="1"/>
    </xf>
    <xf numFmtId="0" fontId="9" fillId="13" borderId="5" xfId="0" applyFont="1" applyFill="1" applyBorder="1" applyAlignment="1">
      <alignment wrapText="1"/>
    </xf>
    <xf numFmtId="0" fontId="3" fillId="15" borderId="52" xfId="0" applyFont="1" applyFill="1" applyBorder="1"/>
    <xf numFmtId="0" fontId="0" fillId="15" borderId="18" xfId="0" applyFill="1" applyBorder="1"/>
    <xf numFmtId="0" fontId="0" fillId="15" borderId="53" xfId="0" applyFill="1" applyBorder="1"/>
    <xf numFmtId="0" fontId="3" fillId="15" borderId="52" xfId="0" applyFont="1" applyFill="1" applyBorder="1" applyAlignment="1">
      <alignment vertical="top"/>
    </xf>
    <xf numFmtId="0" fontId="3" fillId="9" borderId="49" xfId="0" applyFont="1" applyFill="1" applyBorder="1"/>
    <xf numFmtId="0" fontId="0" fillId="9" borderId="7" xfId="0" applyFill="1" applyBorder="1"/>
    <xf numFmtId="0" fontId="0" fillId="9" borderId="54" xfId="0" applyFill="1" applyBorder="1"/>
    <xf numFmtId="17" fontId="9" fillId="13" borderId="55" xfId="0" applyNumberFormat="1" applyFont="1" applyFill="1" applyBorder="1" applyAlignment="1">
      <alignment horizontal="left" wrapText="1"/>
    </xf>
    <xf numFmtId="0" fontId="24" fillId="13" borderId="10" xfId="0" applyFont="1" applyFill="1" applyBorder="1"/>
    <xf numFmtId="0" fontId="25" fillId="0" borderId="0" xfId="0" applyFont="1"/>
    <xf numFmtId="0" fontId="24" fillId="13" borderId="17" xfId="0" applyFont="1" applyFill="1" applyBorder="1"/>
    <xf numFmtId="0" fontId="9" fillId="13" borderId="48" xfId="0" applyFont="1" applyFill="1" applyBorder="1" applyAlignment="1">
      <alignment wrapText="1"/>
    </xf>
    <xf numFmtId="0" fontId="2" fillId="13" borderId="9" xfId="0" applyFont="1" applyFill="1" applyBorder="1" applyAlignment="1">
      <alignment vertical="top" wrapText="1"/>
    </xf>
    <xf numFmtId="0" fontId="2" fillId="13" borderId="5" xfId="0" applyFont="1" applyFill="1" applyBorder="1" applyAlignment="1">
      <alignment vertical="top" wrapText="1"/>
    </xf>
    <xf numFmtId="0" fontId="2" fillId="13" borderId="17" xfId="0" applyFont="1" applyFill="1" applyBorder="1" applyAlignment="1">
      <alignment vertical="top" wrapText="1"/>
    </xf>
    <xf numFmtId="0" fontId="24" fillId="13" borderId="49" xfId="0" applyFont="1" applyFill="1" applyBorder="1"/>
    <xf numFmtId="0" fontId="2" fillId="13" borderId="56" xfId="0" applyFont="1" applyFill="1" applyBorder="1" applyAlignment="1">
      <alignment vertical="top" wrapText="1"/>
    </xf>
    <xf numFmtId="17" fontId="9" fillId="13" borderId="13" xfId="0" applyNumberFormat="1" applyFont="1" applyFill="1" applyBorder="1" applyAlignment="1">
      <alignment horizontal="left" wrapText="1"/>
    </xf>
    <xf numFmtId="0" fontId="4" fillId="6" borderId="57" xfId="0" applyFont="1" applyFill="1" applyBorder="1" applyAlignment="1" applyProtection="1">
      <alignment horizontal="center"/>
      <protection hidden="1"/>
    </xf>
    <xf numFmtId="0" fontId="4" fillId="6" borderId="58" xfId="0" applyFont="1" applyFill="1" applyBorder="1" applyAlignment="1" applyProtection="1">
      <alignment horizontal="center"/>
      <protection hidden="1"/>
    </xf>
    <xf numFmtId="169" fontId="0" fillId="0" borderId="0" xfId="4" applyNumberFormat="1" applyFont="1"/>
    <xf numFmtId="0" fontId="3" fillId="0" borderId="0" xfId="0" applyFont="1" applyAlignment="1">
      <alignment horizontal="right"/>
    </xf>
    <xf numFmtId="0" fontId="2" fillId="13" borderId="20" xfId="0" applyFont="1" applyFill="1" applyBorder="1" applyAlignment="1">
      <alignment vertical="top" wrapText="1"/>
    </xf>
    <xf numFmtId="0" fontId="2" fillId="13" borderId="11" xfId="0" applyFont="1" applyFill="1" applyBorder="1" applyAlignment="1">
      <alignment horizontal="right" vertical="top" wrapText="1"/>
    </xf>
    <xf numFmtId="0" fontId="2" fillId="13" borderId="12" xfId="0" applyFont="1" applyFill="1" applyBorder="1" applyAlignment="1">
      <alignment horizontal="right" vertical="top" wrapText="1"/>
    </xf>
    <xf numFmtId="0" fontId="2" fillId="13" borderId="16" xfId="0" applyFont="1" applyFill="1" applyBorder="1" applyAlignment="1">
      <alignment horizontal="right" vertical="top" wrapText="1"/>
    </xf>
    <xf numFmtId="0" fontId="2" fillId="13" borderId="8" xfId="3" applyFont="1" applyFill="1" applyBorder="1"/>
    <xf numFmtId="0" fontId="2" fillId="16" borderId="8" xfId="3" applyFont="1" applyFill="1" applyBorder="1"/>
    <xf numFmtId="0" fontId="3" fillId="0" borderId="8" xfId="0" quotePrefix="1" applyFont="1" applyBorder="1" applyAlignment="1">
      <alignment horizontal="left" vertical="top" wrapText="1"/>
    </xf>
    <xf numFmtId="0" fontId="24" fillId="13" borderId="18" xfId="0" applyFont="1" applyFill="1" applyBorder="1"/>
    <xf numFmtId="0" fontId="2" fillId="13" borderId="14" xfId="0" applyFont="1" applyFill="1" applyBorder="1" applyAlignment="1">
      <alignment horizontal="right" vertical="top" wrapText="1"/>
    </xf>
    <xf numFmtId="166" fontId="0" fillId="15" borderId="19" xfId="0" applyNumberFormat="1" applyFill="1" applyBorder="1" applyAlignment="1" applyProtection="1">
      <alignment vertical="center" wrapText="1"/>
      <protection hidden="1"/>
    </xf>
    <xf numFmtId="3" fontId="0" fillId="15" borderId="19" xfId="0" applyNumberFormat="1" applyFill="1" applyBorder="1" applyAlignment="1" applyProtection="1">
      <alignment horizontal="right" vertical="center" wrapText="1"/>
      <protection hidden="1"/>
    </xf>
    <xf numFmtId="164" fontId="0" fillId="15" borderId="19" xfId="0" applyNumberFormat="1" applyFill="1" applyBorder="1" applyAlignment="1" applyProtection="1">
      <alignment horizontal="right" vertical="center" wrapText="1"/>
      <protection hidden="1"/>
    </xf>
    <xf numFmtId="0" fontId="2" fillId="13" borderId="17" xfId="0" applyFont="1" applyFill="1" applyBorder="1" applyAlignment="1">
      <alignment horizontal="left" wrapText="1"/>
    </xf>
    <xf numFmtId="0" fontId="2" fillId="13" borderId="18" xfId="0" applyFont="1" applyFill="1" applyBorder="1" applyAlignment="1">
      <alignment horizontal="left" wrapText="1"/>
    </xf>
    <xf numFmtId="0" fontId="2" fillId="13" borderId="19" xfId="0" applyFont="1" applyFill="1" applyBorder="1" applyAlignment="1">
      <alignment horizontal="left" wrapText="1"/>
    </xf>
    <xf numFmtId="0" fontId="2" fillId="13" borderId="0" xfId="0" applyFont="1" applyFill="1"/>
    <xf numFmtId="0" fontId="0" fillId="0" borderId="0" xfId="0" applyAlignment="1">
      <alignment horizontal="left" vertical="top"/>
    </xf>
    <xf numFmtId="0" fontId="2" fillId="13" borderId="8" xfId="0" applyFont="1" applyFill="1" applyBorder="1" applyAlignment="1">
      <alignment horizontal="left" vertical="top" wrapText="1"/>
    </xf>
    <xf numFmtId="0" fontId="26" fillId="16" borderId="4" xfId="0" applyFont="1" applyFill="1" applyBorder="1" applyAlignment="1">
      <alignment vertical="top" wrapText="1"/>
    </xf>
    <xf numFmtId="170" fontId="16" fillId="18" borderId="30" xfId="4" applyNumberFormat="1" applyFont="1" applyFill="1" applyBorder="1" applyAlignment="1">
      <alignment horizontal="left" vertical="top" wrapText="1"/>
    </xf>
    <xf numFmtId="6" fontId="16" fillId="18" borderId="30" xfId="0" applyNumberFormat="1" applyFont="1" applyFill="1" applyBorder="1" applyAlignment="1">
      <alignment horizontal="left" vertical="top" wrapText="1"/>
    </xf>
    <xf numFmtId="0" fontId="16" fillId="18" borderId="30" xfId="0" applyFont="1" applyFill="1" applyBorder="1" applyAlignment="1">
      <alignment horizontal="left" vertical="top" wrapText="1"/>
    </xf>
    <xf numFmtId="1" fontId="16" fillId="18" borderId="30" xfId="0" applyNumberFormat="1" applyFont="1" applyFill="1" applyBorder="1" applyAlignment="1">
      <alignment horizontal="left" vertical="top" wrapText="1"/>
    </xf>
    <xf numFmtId="0" fontId="0" fillId="0" borderId="4" xfId="0" applyBorder="1"/>
    <xf numFmtId="0" fontId="4" fillId="0" borderId="18" xfId="0" applyFont="1" applyBorder="1"/>
    <xf numFmtId="0" fontId="4" fillId="0" borderId="19" xfId="0" applyFont="1" applyBorder="1"/>
    <xf numFmtId="0" fontId="16" fillId="15" borderId="4" xfId="0" applyFont="1" applyFill="1" applyBorder="1" applyAlignment="1">
      <alignment vertical="top"/>
    </xf>
    <xf numFmtId="0" fontId="16" fillId="15" borderId="37" xfId="0" applyFont="1" applyFill="1" applyBorder="1" applyAlignment="1">
      <alignment vertical="top"/>
    </xf>
    <xf numFmtId="0" fontId="16" fillId="15" borderId="34" xfId="0" applyFont="1" applyFill="1" applyBorder="1" applyAlignment="1">
      <alignment vertical="top"/>
    </xf>
    <xf numFmtId="0" fontId="16" fillId="15" borderId="36" xfId="0" applyFont="1" applyFill="1" applyBorder="1" applyAlignment="1">
      <alignment vertical="top"/>
    </xf>
    <xf numFmtId="0" fontId="0" fillId="15" borderId="47" xfId="0" applyFill="1" applyBorder="1" applyAlignment="1">
      <alignment vertical="top" wrapText="1"/>
    </xf>
    <xf numFmtId="0" fontId="0" fillId="15" borderId="17" xfId="0" applyFill="1" applyBorder="1" applyAlignment="1">
      <alignment vertical="top" wrapText="1"/>
    </xf>
    <xf numFmtId="0" fontId="0" fillId="15" borderId="48" xfId="0" applyFill="1" applyBorder="1" applyAlignment="1">
      <alignment vertical="top" wrapText="1"/>
    </xf>
    <xf numFmtId="0" fontId="0" fillId="15" borderId="4" xfId="0" applyFill="1" applyBorder="1" applyProtection="1">
      <protection locked="0"/>
    </xf>
    <xf numFmtId="0" fontId="0" fillId="15" borderId="37" xfId="0" applyFill="1" applyBorder="1" applyProtection="1">
      <protection locked="0"/>
    </xf>
    <xf numFmtId="0" fontId="0" fillId="15" borderId="34" xfId="0" applyFill="1" applyBorder="1" applyProtection="1">
      <protection locked="0"/>
    </xf>
    <xf numFmtId="0" fontId="0" fillId="15" borderId="36" xfId="0" applyFill="1" applyBorder="1" applyProtection="1">
      <protection locked="0"/>
    </xf>
    <xf numFmtId="6" fontId="16" fillId="19" borderId="30" xfId="0" applyNumberFormat="1" applyFont="1" applyFill="1" applyBorder="1" applyAlignment="1" applyProtection="1">
      <alignment horizontal="left" vertical="top" wrapText="1"/>
      <protection locked="0"/>
    </xf>
    <xf numFmtId="0" fontId="16" fillId="19" borderId="30" xfId="0" applyFont="1" applyFill="1" applyBorder="1" applyAlignment="1" applyProtection="1">
      <alignment horizontal="left" vertical="top" wrapText="1"/>
      <protection locked="0"/>
    </xf>
    <xf numFmtId="14" fontId="0" fillId="5" borderId="4" xfId="0" applyNumberFormat="1" applyFill="1" applyBorder="1" applyAlignment="1" applyProtection="1">
      <alignment vertical="top"/>
      <protection locked="0"/>
    </xf>
    <xf numFmtId="0" fontId="0" fillId="15" borderId="37" xfId="0" applyFill="1" applyBorder="1" applyAlignment="1">
      <alignment vertical="top" wrapText="1"/>
    </xf>
    <xf numFmtId="0" fontId="0" fillId="15" borderId="38" xfId="0" applyFill="1" applyBorder="1" applyAlignment="1">
      <alignment vertical="top" wrapText="1"/>
    </xf>
    <xf numFmtId="0" fontId="0" fillId="15" borderId="39" xfId="0" applyFill="1" applyBorder="1" applyAlignment="1">
      <alignment vertical="top" wrapText="1"/>
    </xf>
    <xf numFmtId="0" fontId="4" fillId="20" borderId="0" xfId="0" applyFont="1" applyFill="1"/>
    <xf numFmtId="0" fontId="0" fillId="0" borderId="8" xfId="0" applyBorder="1" applyAlignment="1">
      <alignment wrapText="1"/>
    </xf>
    <xf numFmtId="17" fontId="9" fillId="13" borderId="15" xfId="0" applyNumberFormat="1" applyFont="1" applyFill="1" applyBorder="1" applyAlignment="1">
      <alignment horizontal="left" wrapText="1"/>
    </xf>
    <xf numFmtId="17" fontId="9" fillId="13" borderId="0" xfId="0" applyNumberFormat="1" applyFont="1" applyFill="1" applyAlignment="1">
      <alignment horizontal="left" wrapText="1"/>
    </xf>
    <xf numFmtId="0" fontId="3" fillId="9" borderId="49" xfId="0" applyFont="1" applyFill="1" applyBorder="1" applyAlignment="1">
      <alignment vertical="top"/>
    </xf>
    <xf numFmtId="0" fontId="0" fillId="9" borderId="7" xfId="0" applyFill="1" applyBorder="1" applyAlignment="1">
      <alignment vertical="top"/>
    </xf>
    <xf numFmtId="0" fontId="0" fillId="9" borderId="54" xfId="0" applyFill="1" applyBorder="1" applyAlignment="1">
      <alignment vertical="top"/>
    </xf>
    <xf numFmtId="10" fontId="0" fillId="15" borderId="19" xfId="0" applyNumberFormat="1" applyFill="1" applyBorder="1" applyAlignment="1" applyProtection="1">
      <alignment vertical="center" wrapText="1"/>
      <protection hidden="1"/>
    </xf>
    <xf numFmtId="10" fontId="3" fillId="0" borderId="0" xfId="0" applyNumberFormat="1" applyFont="1" applyAlignment="1">
      <alignment horizontal="right" wrapText="1"/>
    </xf>
    <xf numFmtId="10" fontId="3" fillId="0" borderId="0" xfId="0" applyNumberFormat="1" applyFont="1" applyAlignment="1">
      <alignment horizontal="right"/>
    </xf>
    <xf numFmtId="10" fontId="0" fillId="0" borderId="0" xfId="0" applyNumberFormat="1"/>
    <xf numFmtId="17" fontId="9" fillId="13" borderId="40" xfId="0" applyNumberFormat="1" applyFont="1" applyFill="1" applyBorder="1" applyAlignment="1">
      <alignment horizontal="left" wrapText="1"/>
    </xf>
    <xf numFmtId="17" fontId="9" fillId="13" borderId="60" xfId="0" applyNumberFormat="1" applyFont="1" applyFill="1" applyBorder="1" applyAlignment="1">
      <alignment horizontal="left" wrapText="1"/>
    </xf>
    <xf numFmtId="17" fontId="9" fillId="13" borderId="54" xfId="0" applyNumberFormat="1" applyFont="1" applyFill="1" applyBorder="1" applyAlignment="1">
      <alignment horizontal="left" wrapText="1"/>
    </xf>
    <xf numFmtId="0" fontId="0" fillId="15" borderId="59" xfId="0" applyFill="1" applyBorder="1"/>
    <xf numFmtId="0" fontId="0" fillId="15" borderId="46" xfId="0" applyFill="1" applyBorder="1"/>
    <xf numFmtId="0" fontId="0" fillId="15" borderId="40" xfId="0" applyFill="1" applyBorder="1"/>
    <xf numFmtId="0" fontId="0" fillId="15" borderId="62" xfId="0" applyFill="1" applyBorder="1"/>
    <xf numFmtId="0" fontId="0" fillId="15" borderId="63" xfId="0" applyFill="1" applyBorder="1"/>
    <xf numFmtId="0" fontId="0" fillId="15" borderId="60" xfId="0" applyFill="1" applyBorder="1"/>
    <xf numFmtId="0" fontId="0" fillId="15" borderId="54" xfId="0" applyFill="1" applyBorder="1"/>
    <xf numFmtId="0" fontId="0" fillId="15" borderId="19" xfId="0" applyFill="1" applyBorder="1"/>
    <xf numFmtId="0" fontId="0" fillId="15" borderId="35" xfId="0" applyFill="1" applyBorder="1"/>
    <xf numFmtId="0" fontId="16" fillId="14" borderId="61" xfId="0" applyFont="1" applyFill="1" applyBorder="1" applyAlignment="1" applyProtection="1">
      <alignment vertical="top"/>
      <protection locked="0"/>
    </xf>
    <xf numFmtId="0" fontId="16" fillId="14" borderId="42" xfId="0" applyFont="1" applyFill="1" applyBorder="1" applyAlignment="1" applyProtection="1">
      <alignment vertical="top"/>
      <protection locked="0"/>
    </xf>
    <xf numFmtId="0" fontId="0" fillId="14" borderId="59" xfId="0" applyFill="1" applyBorder="1" applyProtection="1">
      <protection locked="0"/>
    </xf>
    <xf numFmtId="0" fontId="0" fillId="14" borderId="37" xfId="0" applyFill="1" applyBorder="1" applyProtection="1">
      <protection locked="0"/>
    </xf>
    <xf numFmtId="0" fontId="0" fillId="14" borderId="46" xfId="0" applyFill="1" applyBorder="1" applyProtection="1">
      <protection locked="0"/>
    </xf>
    <xf numFmtId="0" fontId="0" fillId="14" borderId="34" xfId="0" applyFill="1" applyBorder="1" applyProtection="1">
      <protection locked="0"/>
    </xf>
    <xf numFmtId="0" fontId="0" fillId="14" borderId="36" xfId="0" applyFill="1" applyBorder="1" applyProtection="1">
      <protection locked="0"/>
    </xf>
    <xf numFmtId="0" fontId="0" fillId="21" borderId="8" xfId="0" applyFill="1" applyBorder="1"/>
    <xf numFmtId="0" fontId="3" fillId="0" borderId="8" xfId="0" applyFont="1" applyBorder="1"/>
    <xf numFmtId="0" fontId="7" fillId="13" borderId="1" xfId="0" applyFont="1" applyFill="1" applyBorder="1" applyAlignment="1" applyProtection="1">
      <alignment horizontal="center"/>
      <protection hidden="1"/>
    </xf>
    <xf numFmtId="0" fontId="7" fillId="13" borderId="3" xfId="0" applyFont="1" applyFill="1" applyBorder="1" applyAlignment="1" applyProtection="1">
      <alignment horizontal="center"/>
      <protection hidden="1"/>
    </xf>
    <xf numFmtId="0" fontId="3" fillId="0" borderId="7" xfId="0" applyFont="1" applyBorder="1" applyAlignment="1">
      <alignment horizontal="center"/>
    </xf>
    <xf numFmtId="0" fontId="0" fillId="14" borderId="4" xfId="0" applyFill="1" applyBorder="1" applyProtection="1">
      <protection locked="0"/>
    </xf>
    <xf numFmtId="0" fontId="8" fillId="14" borderId="4" xfId="3" applyFill="1" applyBorder="1" applyAlignment="1" applyProtection="1">
      <protection locked="0"/>
    </xf>
    <xf numFmtId="0" fontId="2" fillId="13" borderId="4" xfId="0" applyFont="1" applyFill="1" applyBorder="1"/>
    <xf numFmtId="0" fontId="6" fillId="0" borderId="0" xfId="0" quotePrefix="1" applyFont="1" applyAlignment="1">
      <alignment horizontal="left" vertical="top" wrapText="1" indent="1"/>
    </xf>
    <xf numFmtId="0" fontId="0" fillId="14" borderId="17" xfId="0" applyFill="1" applyBorder="1" applyProtection="1">
      <protection locked="0"/>
    </xf>
    <xf numFmtId="0" fontId="0" fillId="14" borderId="18" xfId="0" applyFill="1" applyBorder="1" applyProtection="1">
      <protection locked="0"/>
    </xf>
    <xf numFmtId="0" fontId="0" fillId="14" borderId="19" xfId="0" applyFill="1" applyBorder="1" applyProtection="1">
      <protection locked="0"/>
    </xf>
    <xf numFmtId="0" fontId="8" fillId="5" borderId="4" xfId="3" applyFill="1" applyBorder="1" applyAlignment="1">
      <alignment horizontal="center"/>
    </xf>
    <xf numFmtId="0" fontId="3" fillId="0" borderId="0" xfId="0" applyFont="1" applyAlignment="1">
      <alignment horizontal="center" wrapText="1"/>
    </xf>
    <xf numFmtId="0" fontId="2" fillId="6" borderId="0" xfId="0" applyFont="1" applyFill="1" applyAlignment="1">
      <alignment horizontal="center"/>
    </xf>
    <xf numFmtId="0" fontId="2" fillId="2" borderId="17" xfId="0" applyFont="1" applyFill="1" applyBorder="1"/>
    <xf numFmtId="0" fontId="2" fillId="2" borderId="19" xfId="0" applyFont="1" applyFill="1" applyBorder="1"/>
    <xf numFmtId="0" fontId="0" fillId="3" borderId="4" xfId="0" applyFill="1" applyBorder="1" applyProtection="1">
      <protection locked="0"/>
    </xf>
    <xf numFmtId="0" fontId="2" fillId="13" borderId="17" xfId="0" applyFont="1" applyFill="1" applyBorder="1" applyAlignment="1">
      <alignment wrapText="1"/>
    </xf>
    <xf numFmtId="0" fontId="2" fillId="13" borderId="19" xfId="0" applyFont="1" applyFill="1" applyBorder="1" applyAlignment="1">
      <alignment wrapText="1"/>
    </xf>
    <xf numFmtId="0" fontId="2" fillId="13" borderId="17" xfId="0" applyFont="1" applyFill="1" applyBorder="1"/>
    <xf numFmtId="0" fontId="2" fillId="13" borderId="19" xfId="0" applyFont="1" applyFill="1" applyBorder="1"/>
    <xf numFmtId="0" fontId="11" fillId="0" borderId="5" xfId="0" applyFont="1" applyBorder="1" applyAlignment="1">
      <alignment wrapText="1"/>
    </xf>
    <xf numFmtId="0" fontId="11" fillId="0" borderId="13" xfId="0" applyFont="1" applyBorder="1" applyAlignment="1">
      <alignment wrapText="1"/>
    </xf>
    <xf numFmtId="0" fontId="3" fillId="0" borderId="0" xfId="0" applyFont="1" applyAlignment="1">
      <alignment horizontal="center"/>
    </xf>
    <xf numFmtId="0" fontId="0" fillId="0" borderId="4" xfId="0" applyBorder="1"/>
    <xf numFmtId="3" fontId="0" fillId="15" borderId="17" xfId="0" applyNumberFormat="1" applyFill="1" applyBorder="1" applyAlignment="1" applyProtection="1">
      <alignment horizontal="right" vertical="center"/>
      <protection hidden="1"/>
    </xf>
    <xf numFmtId="3" fontId="0" fillId="15" borderId="18" xfId="0" applyNumberFormat="1" applyFill="1" applyBorder="1" applyAlignment="1" applyProtection="1">
      <alignment horizontal="right" vertical="center"/>
      <protection hidden="1"/>
    </xf>
    <xf numFmtId="3" fontId="0" fillId="15" borderId="19" xfId="0" applyNumberFormat="1" applyFill="1" applyBorder="1" applyAlignment="1" applyProtection="1">
      <alignment horizontal="right" vertical="center"/>
      <protection hidden="1"/>
    </xf>
    <xf numFmtId="164" fontId="0" fillId="15" borderId="17" xfId="0" applyNumberFormat="1" applyFill="1" applyBorder="1" applyAlignment="1" applyProtection="1">
      <alignment horizontal="right" vertical="center"/>
      <protection hidden="1"/>
    </xf>
    <xf numFmtId="164" fontId="0" fillId="15" borderId="18" xfId="0" applyNumberFormat="1" applyFill="1" applyBorder="1" applyAlignment="1" applyProtection="1">
      <alignment horizontal="right" vertical="center"/>
      <protection hidden="1"/>
    </xf>
    <xf numFmtId="164" fontId="0" fillId="15" borderId="19" xfId="0" applyNumberFormat="1" applyFill="1" applyBorder="1" applyAlignment="1" applyProtection="1">
      <alignment horizontal="right" vertical="center"/>
      <protection hidden="1"/>
    </xf>
    <xf numFmtId="0" fontId="0" fillId="0" borderId="17" xfId="0" applyBorder="1"/>
    <xf numFmtId="0" fontId="0" fillId="0" borderId="18" xfId="0" applyBorder="1"/>
    <xf numFmtId="0" fontId="0" fillId="0" borderId="19" xfId="0" applyBorder="1"/>
    <xf numFmtId="0" fontId="7" fillId="13" borderId="2" xfId="0" applyFont="1" applyFill="1" applyBorder="1" applyAlignment="1" applyProtection="1">
      <alignment horizontal="center"/>
      <protection hidden="1"/>
    </xf>
    <xf numFmtId="0" fontId="2" fillId="13" borderId="5" xfId="0" applyFont="1" applyFill="1" applyBorder="1" applyAlignment="1">
      <alignment horizontal="right" vertical="top" wrapText="1"/>
    </xf>
    <xf numFmtId="0" fontId="2" fillId="13" borderId="13" xfId="0" applyFont="1" applyFill="1" applyBorder="1" applyAlignment="1">
      <alignment horizontal="right" vertical="top" wrapText="1"/>
    </xf>
    <xf numFmtId="0" fontId="2" fillId="13" borderId="14" xfId="0" applyFont="1" applyFill="1" applyBorder="1" applyAlignment="1">
      <alignment horizontal="right" vertical="top" wrapText="1"/>
    </xf>
    <xf numFmtId="0" fontId="3"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wrapText="1"/>
    </xf>
    <xf numFmtId="169" fontId="0" fillId="15" borderId="17" xfId="4" applyNumberFormat="1" applyFont="1" applyFill="1" applyBorder="1" applyAlignment="1" applyProtection="1">
      <alignment horizontal="center" vertical="center"/>
      <protection hidden="1"/>
    </xf>
    <xf numFmtId="169" fontId="0" fillId="15" borderId="18" xfId="4" applyNumberFormat="1" applyFont="1" applyFill="1" applyBorder="1" applyAlignment="1" applyProtection="1">
      <alignment horizontal="center" vertical="center"/>
      <protection hidden="1"/>
    </xf>
    <xf numFmtId="169" fontId="0" fillId="15" borderId="19" xfId="4" applyNumberFormat="1" applyFont="1" applyFill="1" applyBorder="1" applyAlignment="1" applyProtection="1">
      <alignment horizontal="center" vertical="center"/>
      <protection hidden="1"/>
    </xf>
    <xf numFmtId="0" fontId="7" fillId="13" borderId="33" xfId="0" applyFont="1" applyFill="1" applyBorder="1" applyAlignment="1" applyProtection="1">
      <alignment horizontal="center"/>
      <protection hidden="1"/>
    </xf>
    <xf numFmtId="0" fontId="27" fillId="0" borderId="5"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0" fillId="14" borderId="17" xfId="0" applyFill="1" applyBorder="1" applyAlignment="1" applyProtection="1">
      <alignment horizontal="left" vertical="top" wrapText="1"/>
      <protection locked="0"/>
    </xf>
    <xf numFmtId="0" fontId="0" fillId="14" borderId="18" xfId="0" applyFill="1" applyBorder="1" applyAlignment="1" applyProtection="1">
      <alignment horizontal="left" vertical="top"/>
      <protection locked="0"/>
    </xf>
    <xf numFmtId="0" fontId="0" fillId="14" borderId="19" xfId="0" applyFill="1" applyBorder="1" applyAlignment="1" applyProtection="1">
      <alignment horizontal="left" vertical="top"/>
      <protection locked="0"/>
    </xf>
    <xf numFmtId="0" fontId="2" fillId="13" borderId="17" xfId="0" applyFont="1" applyFill="1" applyBorder="1" applyAlignment="1">
      <alignment horizontal="left" wrapText="1"/>
    </xf>
    <xf numFmtId="0" fontId="2" fillId="13" borderId="18" xfId="0" applyFont="1" applyFill="1" applyBorder="1" applyAlignment="1">
      <alignment horizontal="left" wrapText="1"/>
    </xf>
    <xf numFmtId="0" fontId="2" fillId="13" borderId="19" xfId="0" applyFont="1" applyFill="1" applyBorder="1" applyAlignment="1">
      <alignment horizontal="left" wrapText="1"/>
    </xf>
    <xf numFmtId="0" fontId="2" fillId="13" borderId="18" xfId="0" applyFont="1" applyFill="1" applyBorder="1" applyAlignment="1">
      <alignment horizontal="left"/>
    </xf>
    <xf numFmtId="0" fontId="2" fillId="13" borderId="19" xfId="0" applyFont="1" applyFill="1" applyBorder="1" applyAlignment="1">
      <alignment horizontal="left"/>
    </xf>
    <xf numFmtId="0" fontId="2" fillId="13" borderId="17" xfId="0" applyFont="1" applyFill="1" applyBorder="1" applyAlignment="1">
      <alignment horizontal="left"/>
    </xf>
    <xf numFmtId="0" fontId="0" fillId="0" borderId="4" xfId="0" applyBorder="1" applyAlignment="1">
      <alignment horizontal="left" vertical="top" wrapText="1"/>
    </xf>
    <xf numFmtId="0" fontId="0" fillId="0" borderId="4" xfId="0" applyBorder="1" applyAlignment="1">
      <alignment horizontal="left" vertical="top"/>
    </xf>
    <xf numFmtId="0" fontId="16" fillId="0" borderId="4" xfId="0" applyFont="1" applyBorder="1" applyAlignment="1">
      <alignment horizontal="left" vertical="top" wrapText="1"/>
    </xf>
    <xf numFmtId="0" fontId="0" fillId="14" borderId="17" xfId="0" applyFill="1" applyBorder="1" applyAlignment="1" applyProtection="1">
      <alignment horizontal="left" vertical="top"/>
      <protection locked="0"/>
    </xf>
    <xf numFmtId="0" fontId="21" fillId="0" borderId="5" xfId="0" applyFont="1" applyBorder="1" applyAlignment="1">
      <alignment horizontal="left" vertical="top" wrapText="1"/>
    </xf>
    <xf numFmtId="0" fontId="0" fillId="0" borderId="6" xfId="0" applyBorder="1" applyAlignment="1">
      <alignment horizontal="left" vertical="top" wrapText="1"/>
    </xf>
    <xf numFmtId="0" fontId="21" fillId="0" borderId="20" xfId="0" applyFont="1" applyBorder="1" applyAlignment="1">
      <alignment horizontal="left" vertical="top" wrapText="1"/>
    </xf>
    <xf numFmtId="0" fontId="29" fillId="0" borderId="5" xfId="0" quotePrefix="1" applyFont="1" applyBorder="1" applyAlignment="1">
      <alignment horizontal="left" vertical="top" wrapText="1"/>
    </xf>
    <xf numFmtId="0" fontId="0" fillId="0" borderId="13" xfId="0" quotePrefix="1" applyBorder="1" applyAlignment="1">
      <alignment horizontal="left" vertical="top" wrapText="1"/>
    </xf>
    <xf numFmtId="0" fontId="0" fillId="0" borderId="14" xfId="0" quotePrefix="1" applyBorder="1" applyAlignment="1">
      <alignment horizontal="left" vertical="top" wrapText="1"/>
    </xf>
    <xf numFmtId="0" fontId="24" fillId="13" borderId="17" xfId="0" applyFont="1" applyFill="1" applyBorder="1" applyAlignment="1">
      <alignment horizontal="left"/>
    </xf>
    <xf numFmtId="0" fontId="24" fillId="13" borderId="18" xfId="0" applyFont="1" applyFill="1" applyBorder="1" applyAlignment="1">
      <alignment horizontal="left"/>
    </xf>
    <xf numFmtId="0" fontId="4" fillId="0" borderId="0" xfId="0" applyFont="1" applyAlignment="1">
      <alignment horizontal="left" vertical="top"/>
    </xf>
    <xf numFmtId="0" fontId="25" fillId="9" borderId="1" xfId="0" applyFont="1" applyFill="1" applyBorder="1" applyAlignment="1">
      <alignment vertical="top" wrapText="1"/>
    </xf>
    <xf numFmtId="0" fontId="25" fillId="9" borderId="2" xfId="0" applyFont="1" applyFill="1" applyBorder="1" applyAlignment="1">
      <alignment vertical="top" wrapText="1"/>
    </xf>
    <xf numFmtId="0" fontId="25" fillId="9" borderId="3" xfId="0" applyFont="1" applyFill="1" applyBorder="1" applyAlignment="1">
      <alignment vertical="top" wrapText="1"/>
    </xf>
    <xf numFmtId="0" fontId="25" fillId="0" borderId="1" xfId="0" applyFont="1" applyBorder="1" applyAlignment="1">
      <alignment vertical="top" wrapText="1"/>
    </xf>
    <xf numFmtId="0" fontId="25" fillId="0" borderId="2" xfId="0" applyFont="1" applyBorder="1" applyAlignment="1">
      <alignment vertical="top" wrapText="1"/>
    </xf>
    <xf numFmtId="0" fontId="25" fillId="0" borderId="3"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2" fillId="0" borderId="17" xfId="0" applyFont="1" applyBorder="1"/>
    <xf numFmtId="0" fontId="22" fillId="0" borderId="18" xfId="0" applyFont="1" applyBorder="1"/>
    <xf numFmtId="0" fontId="22" fillId="0" borderId="19" xfId="0" applyFont="1" applyBorder="1"/>
    <xf numFmtId="0" fontId="24" fillId="13" borderId="35" xfId="0" applyFont="1" applyFill="1" applyBorder="1" applyAlignment="1">
      <alignment horizontal="left"/>
    </xf>
    <xf numFmtId="0" fontId="7" fillId="13" borderId="1" xfId="0" quotePrefix="1" applyFont="1" applyFill="1" applyBorder="1" applyAlignment="1" applyProtection="1">
      <alignment horizontal="center" wrapText="1"/>
      <protection hidden="1"/>
    </xf>
    <xf numFmtId="0" fontId="7" fillId="13" borderId="2" xfId="0" applyFont="1" applyFill="1" applyBorder="1" applyAlignment="1" applyProtection="1">
      <alignment horizontal="center" wrapText="1"/>
      <protection hidden="1"/>
    </xf>
    <xf numFmtId="0" fontId="7" fillId="13" borderId="33" xfId="0" applyFont="1" applyFill="1" applyBorder="1" applyAlignment="1" applyProtection="1">
      <alignment horizontal="center" wrapText="1"/>
      <protection hidden="1"/>
    </xf>
    <xf numFmtId="0" fontId="19" fillId="0" borderId="0" xfId="0" applyFont="1" applyAlignment="1">
      <alignment horizontal="left" wrapText="1"/>
    </xf>
    <xf numFmtId="0" fontId="7" fillId="2" borderId="1" xfId="0" applyFont="1" applyFill="1" applyBorder="1" applyAlignment="1">
      <alignment horizontal="center"/>
    </xf>
    <xf numFmtId="0" fontId="7" fillId="2" borderId="2" xfId="0" applyFont="1" applyFill="1" applyBorder="1" applyAlignment="1">
      <alignment horizontal="center"/>
    </xf>
    <xf numFmtId="0" fontId="7" fillId="2" borderId="3" xfId="0" applyFont="1" applyFill="1" applyBorder="1" applyAlignment="1">
      <alignment horizontal="center"/>
    </xf>
    <xf numFmtId="0" fontId="2" fillId="2" borderId="17"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19" xfId="0" applyFont="1" applyFill="1" applyBorder="1" applyAlignment="1" applyProtection="1">
      <alignment horizontal="left" vertical="top" wrapText="1"/>
      <protection locked="0"/>
    </xf>
  </cellXfs>
  <cellStyles count="8">
    <cellStyle name="Comma" xfId="4" builtinId="3"/>
    <cellStyle name="Comma 2" xfId="6" xr:uid="{8D4FA7FF-B5AC-4874-9EC5-41AC350CD751}"/>
    <cellStyle name="Currency 2" xfId="7" xr:uid="{C176A785-1031-4C01-B694-4F8BAD4B918E}"/>
    <cellStyle name="Hyperlink" xfId="3" builtinId="8"/>
    <cellStyle name="Normal" xfId="0" builtinId="0"/>
    <cellStyle name="Normal 2" xfId="2" xr:uid="{00000000-0005-0000-0000-000004000000}"/>
    <cellStyle name="Normal 2 2" xfId="5" xr:uid="{36046C00-6AB0-4658-8BF3-93757E2C7FAD}"/>
    <cellStyle name="Percent" xfId="1" builtinId="5"/>
  </cellStyles>
  <dxfs count="18">
    <dxf>
      <font>
        <color theme="0"/>
      </font>
      <fill>
        <patternFill>
          <bgColor rgb="FF00B050"/>
        </patternFill>
      </fill>
    </dxf>
    <dxf>
      <font>
        <color theme="0"/>
      </font>
      <fill>
        <patternFill>
          <bgColor rgb="FF00B050"/>
        </patternFill>
      </fill>
    </dxf>
    <dxf>
      <fill>
        <patternFill>
          <bgColor theme="7" tint="0.79998168889431442"/>
        </patternFill>
      </fill>
    </dxf>
    <dxf>
      <fill>
        <patternFill>
          <bgColor theme="0" tint="-0.14996795556505021"/>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auto="1"/>
      </font>
      <fill>
        <patternFill>
          <bgColor theme="7" tint="0.79998168889431442"/>
        </patternFill>
      </fill>
    </dxf>
    <dxf>
      <fill>
        <patternFill>
          <bgColor theme="7" tint="0.79998168889431442"/>
        </patternFill>
      </fill>
    </dxf>
    <dxf>
      <font>
        <color theme="0"/>
      </font>
      <fill>
        <patternFill>
          <bgColor rgb="FF00B050"/>
        </patternFill>
      </fill>
    </dxf>
    <dxf>
      <font>
        <color theme="0"/>
      </font>
      <fill>
        <patternFill>
          <bgColor rgb="FF00B050"/>
        </patternFill>
      </fill>
    </dxf>
    <dxf>
      <font>
        <color auto="1"/>
      </font>
      <fill>
        <patternFill>
          <bgColor theme="7" tint="0.79998168889431442"/>
        </patternFill>
      </fill>
    </dxf>
    <dxf>
      <font>
        <color theme="0"/>
      </font>
      <fill>
        <patternFill>
          <bgColor rgb="FF00B050"/>
        </patternFill>
      </fill>
    </dxf>
    <dxf>
      <font>
        <b/>
        <i val="0"/>
        <color theme="0"/>
      </font>
      <fill>
        <patternFill>
          <bgColor rgb="FF00B050"/>
        </patternFill>
      </fil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1B5E7F"/>
      <color rgb="FFFBFFCD"/>
      <color rgb="FFE1F4F7"/>
      <color rgb="FFCFDDED"/>
      <color rgb="FFFFBEBE"/>
      <color rgb="FFFF8181"/>
      <color rgb="FFFFFB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1019175</xdr:colOff>
      <xdr:row>1</xdr:row>
      <xdr:rowOff>38100</xdr:rowOff>
    </xdr:from>
    <xdr:to>
      <xdr:col>6</xdr:col>
      <xdr:colOff>381000</xdr:colOff>
      <xdr:row>152</xdr:row>
      <xdr:rowOff>133350</xdr:rowOff>
    </xdr:to>
    <xdr:pic>
      <xdr:nvPicPr>
        <xdr:cNvPr id="3" name="Picture 1">
          <a:extLst>
            <a:ext uri="{FF2B5EF4-FFF2-40B4-BE49-F238E27FC236}">
              <a16:creationId xmlns:a16="http://schemas.microsoft.com/office/drawing/2014/main" id="{D5A602ED-D831-4693-9A35-470BEE8E0C93}"/>
            </a:ext>
          </a:extLst>
        </xdr:cNvPr>
        <xdr:cNvPicPr>
          <a:picLocks noChangeAspect="1"/>
        </xdr:cNvPicPr>
      </xdr:nvPicPr>
      <xdr:blipFill>
        <a:blip xmlns:r="http://schemas.openxmlformats.org/officeDocument/2006/relationships" r:embed="rId1"/>
        <a:stretch>
          <a:fillRect/>
        </a:stretch>
      </xdr:blipFill>
      <xdr:spPr>
        <a:xfrm>
          <a:off x="5734050" y="228600"/>
          <a:ext cx="2905125" cy="1040130"/>
        </a:xfrm>
        <a:prstGeom prst="rect">
          <a:avLst/>
        </a:prstGeom>
      </xdr:spPr>
    </xdr:pic>
    <xdr:clientData/>
  </xdr:twoCellAnchor>
  <xdr:twoCellAnchor editAs="oneCell">
    <xdr:from>
      <xdr:col>6</xdr:col>
      <xdr:colOff>1209675</xdr:colOff>
      <xdr:row>0</xdr:row>
      <xdr:rowOff>180975</xdr:rowOff>
    </xdr:from>
    <xdr:to>
      <xdr:col>10</xdr:col>
      <xdr:colOff>59055</xdr:colOff>
      <xdr:row>153</xdr:row>
      <xdr:rowOff>19050</xdr:rowOff>
    </xdr:to>
    <xdr:pic>
      <xdr:nvPicPr>
        <xdr:cNvPr id="5" name="Picture 2">
          <a:extLst>
            <a:ext uri="{FF2B5EF4-FFF2-40B4-BE49-F238E27FC236}">
              <a16:creationId xmlns:a16="http://schemas.microsoft.com/office/drawing/2014/main" id="{D01E0F95-116E-44D6-B843-F1A2DD9AD7CD}"/>
            </a:ext>
            <a:ext uri="{147F2762-F138-4A5C-976F-8EAC2B608ADB}">
              <a16:predDERef xmlns:a16="http://schemas.microsoft.com/office/drawing/2014/main" pred="{3BCC5CBB-3582-12D1-F56F-40C6251A6986}"/>
            </a:ext>
          </a:extLst>
        </xdr:cNvPr>
        <xdr:cNvPicPr>
          <a:picLocks noChangeAspect="1"/>
        </xdr:cNvPicPr>
      </xdr:nvPicPr>
      <xdr:blipFill>
        <a:blip xmlns:r="http://schemas.openxmlformats.org/officeDocument/2006/relationships" r:embed="rId2"/>
        <a:stretch>
          <a:fillRect/>
        </a:stretch>
      </xdr:blipFill>
      <xdr:spPr>
        <a:xfrm>
          <a:off x="9467850" y="180975"/>
          <a:ext cx="1468755" cy="118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KhalilGooljar\Downloads\retarded.xlsx" TargetMode="External"/><Relationship Id="rId1" Type="http://schemas.openxmlformats.org/officeDocument/2006/relationships/externalLinkPath" Target="https://nhsengland-my.sharepoint.com/personal/khalil_gooljar1_england_nhs_uk/Documents/Microsoft%20Teams%20Chat%20Files/retard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Drop Down"/>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ow r="4">
          <cell r="A4">
            <v>35877</v>
          </cell>
        </row>
      </sheetData>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4">
          <cell r="A4">
            <v>35877</v>
          </cell>
        </row>
      </sheetData>
      <sheetData sheetId="184"/>
      <sheetData sheetId="185"/>
      <sheetData sheetId="186"/>
      <sheetData sheetId="187"/>
      <sheetData sheetId="188"/>
      <sheetData sheetId="189"/>
      <sheetData sheetId="190"/>
      <sheetData sheetId="19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uidance"/>
      <sheetName val="2. Cover"/>
      <sheetName val="3. National Conditions"/>
      <sheetName val="4. Metrics"/>
      <sheetName val="Metrics backsheet"/>
      <sheetName val="TrustList"/>
      <sheetName val="5.1 C&amp;D Guidance &amp; Assumptions"/>
      <sheetName val="5.2 C&amp;D Hospital Discharge"/>
      <sheetName val="5.3 C&amp;D Community"/>
      <sheetName val="PathwayLookup"/>
      <sheetName val="BS_HD_Dem"/>
      <sheetName val="BS_HD_Cap"/>
      <sheetName val="BS_Comm_Dem"/>
      <sheetName val="BS_Comm_Cap"/>
      <sheetName val="ASC Discharge Fund-due 2nd May"/>
      <sheetName val="dfplnexp"/>
      <sheetName val="units"/>
      <sheetName val="Backsheet for muncher"/>
      <sheetName val="6. Spend &amp; Activity"/>
    </sheetNames>
    <sheetDataSet>
      <sheetData sheetId="0"/>
      <sheetData sheetId="1">
        <row r="154">
          <cell r="B154" t="str">
            <v>Better Care Fund 2023-25 Quarterly Reporting Template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4" connectionId="2" xr16:uid="{7EC00049-9F60-41DA-AB4D-48F7134F2383}" autoFormatId="16" applyNumberFormats="0" applyBorderFormats="0" applyFontFormats="0" applyPatternFormats="0" applyAlignmentFormats="0" applyWidthHeightFormats="0">
  <queryTableRefresh nextId="26">
    <queryTableFields count="17">
      <queryTableField id="1" name="Name" tableColumnId="1"/>
      <queryTableField id="18" name="Service Area" tableColumnId="2"/>
      <queryTableField id="3" name="01/04/2023" tableColumnId="3"/>
      <queryTableField id="4" name="01/05/2023" tableColumnId="4"/>
      <queryTableField id="5" name="01/06/2023" tableColumnId="5"/>
      <queryTableField id="6" name="01/07/2023" tableColumnId="6"/>
      <queryTableField id="7" name="01/08/2023" tableColumnId="7"/>
      <queryTableField id="8" name="01/09/2023" tableColumnId="8"/>
      <queryTableField id="9" name="01/10/2023" tableColumnId="9"/>
      <queryTableField id="10" name="01/11/2023" tableColumnId="10"/>
      <queryTableField id="11" name="01/12/2023" tableColumnId="11"/>
      <queryTableField id="12" name="01/01/2024" tableColumnId="12"/>
      <queryTableField id="13" name="01/02/2024" tableColumnId="13"/>
      <queryTableField id="20" name="01/03/2024" tableColumnId="15"/>
      <queryTableField id="21" name="ICB" tableColumnId="16"/>
      <queryTableField id="22" name="LA" tableColumnId="17"/>
      <queryTableField id="23" name="Joint" tableColumnId="1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3" xr16:uid="{66E97EC1-367C-4A6E-83A8-D56AA51EC885}" autoFormatId="16" applyNumberFormats="0" applyBorderFormats="0" applyFontFormats="0" applyPatternFormats="0" applyAlignmentFormats="0" applyWidthHeightFormats="0">
  <queryTableRefresh nextId="18">
    <queryTableFields count="14">
      <queryTableField id="14" name="Name" tableColumnId="14"/>
      <queryTableField id="16" name="Service Type" tableColumnId="1"/>
      <queryTableField id="2" name="01/04/2023" tableColumnId="2"/>
      <queryTableField id="3" name="01/05/2023" tableColumnId="3"/>
      <queryTableField id="4" name="01/06/2023" tableColumnId="4"/>
      <queryTableField id="5" name="01/07/2023" tableColumnId="5"/>
      <queryTableField id="6" name="01/08/2023" tableColumnId="6"/>
      <queryTableField id="7" name="01/09/2023" tableColumnId="7"/>
      <queryTableField id="8" name="01/10/2023" tableColumnId="8"/>
      <queryTableField id="9" name="01/11/2023" tableColumnId="9"/>
      <queryTableField id="10" name="01/12/2023" tableColumnId="10"/>
      <queryTableField id="11" name="01/01/2024" tableColumnId="11"/>
      <queryTableField id="12" name="01/02/2024" tableColumnId="12"/>
      <queryTableField id="13" name="01/03/2024" tableColumnId="1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5" connectionId="1" xr16:uid="{73D86AA3-18DC-4B6E-A002-52F7A90CC16B}" autoFormatId="16" applyNumberFormats="0" applyBorderFormats="0" applyFontFormats="0" applyPatternFormats="0" applyAlignmentFormats="0" applyWidthHeightFormats="0">
  <queryTableRefresh nextId="25">
    <queryTableFields count="17">
      <queryTableField id="1" name="Name" tableColumnId="1"/>
      <queryTableField id="18" name="Service Area" tableColumnId="2"/>
      <queryTableField id="3" name="01/04/2023" tableColumnId="3"/>
      <queryTableField id="4" name="01/05/2023" tableColumnId="4"/>
      <queryTableField id="5" name="01/06/2023" tableColumnId="5"/>
      <queryTableField id="6" name="01/07/2023" tableColumnId="6"/>
      <queryTableField id="7" name="01/08/2023" tableColumnId="7"/>
      <queryTableField id="8" name="01/09/2023" tableColumnId="8"/>
      <queryTableField id="9" name="01/10/2023" tableColumnId="9"/>
      <queryTableField id="10" name="01/11/2023" tableColumnId="10"/>
      <queryTableField id="11" name="01/12/2023" tableColumnId="11"/>
      <queryTableField id="12" name="01/01/2024" tableColumnId="12"/>
      <queryTableField id="13" name="01/02/2024" tableColumnId="13"/>
      <queryTableField id="14" name="01/03/2024" tableColumnId="14"/>
      <queryTableField id="20" name="ICB" tableColumnId="16"/>
      <queryTableField id="21" name="LA" tableColumnId="17"/>
      <queryTableField id="22" name="Joint"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D044E6-D8AF-44A8-88B0-DC6255ED5651}" name="Table_Capacity_HD_frontsheet" displayName="Table_Capacity_HD_frontsheet" ref="C1:S1065" tableType="queryTable" totalsRowShown="0">
  <autoFilter ref="C1:S1065" xr:uid="{AB853F6A-22BE-4A92-B7A6-0188E0EC4AD2}"/>
  <sortState xmlns:xlrd2="http://schemas.microsoft.com/office/spreadsheetml/2017/richdata2" ref="C2:S1065">
    <sortCondition ref="C1:C1065"/>
  </sortState>
  <tableColumns count="17">
    <tableColumn id="1" xr3:uid="{C904ABAC-AADF-4252-A31B-505D35DBD063}" uniqueName="1" name="Name" queryTableFieldId="1" dataDxfId="17"/>
    <tableColumn id="2" xr3:uid="{41E5CA4F-241E-4FEB-A1FC-1E58696F99B6}" uniqueName="2" name="Service Area" queryTableFieldId="18" dataDxfId="16"/>
    <tableColumn id="3" xr3:uid="{D753A071-CA2E-47B5-91EE-B463710F9B31}" uniqueName="3" name="01/04/2023" queryTableFieldId="3"/>
    <tableColumn id="4" xr3:uid="{52FD2F1B-507E-48EF-8800-A3F8C4506C4D}" uniqueName="4" name="01/05/2023" queryTableFieldId="4"/>
    <tableColumn id="5" xr3:uid="{83271838-0153-4EE7-A5B5-BAACA89C12C2}" uniqueName="5" name="01/06/2023" queryTableFieldId="5"/>
    <tableColumn id="6" xr3:uid="{4CB7B610-6029-4007-AFE6-E12390A6239E}" uniqueName="6" name="01/07/2023" queryTableFieldId="6"/>
    <tableColumn id="7" xr3:uid="{B43A850A-E44B-45AB-88B6-8105506F103B}" uniqueName="7" name="01/08/2023" queryTableFieldId="7"/>
    <tableColumn id="8" xr3:uid="{C3E04C50-C038-4AFD-85FD-E67017A3FEAE}" uniqueName="8" name="01/09/2023" queryTableFieldId="8"/>
    <tableColumn id="9" xr3:uid="{BD064900-B12D-4EEB-9809-675877B92F4F}" uniqueName="9" name="01/10/2023" queryTableFieldId="9"/>
    <tableColumn id="10" xr3:uid="{10A3AAFA-7350-4776-BAF4-FBE2A9D87B44}" uniqueName="10" name="01/11/2023" queryTableFieldId="10"/>
    <tableColumn id="11" xr3:uid="{68FD2BD8-BC24-4522-AFF0-ADE211F7357F}" uniqueName="11" name="01/12/2023" queryTableFieldId="11"/>
    <tableColumn id="12" xr3:uid="{3473F4A8-D771-459E-A050-52BEA0AD1D4F}" uniqueName="12" name="01/01/2024" queryTableFieldId="12"/>
    <tableColumn id="13" xr3:uid="{CD3BCAEE-C8C1-4B28-8A6E-359EF95E6E85}" uniqueName="13" name="01/02/2024" queryTableFieldId="13"/>
    <tableColumn id="15" xr3:uid="{A586E009-1F0A-4036-8D41-DFBCDEFBE4C1}" uniqueName="15" name="01/03/2024" queryTableFieldId="20"/>
    <tableColumn id="16" xr3:uid="{0383B5BB-3C9C-443B-9D9E-EEC78FC5DC39}" uniqueName="16" name="ICB" queryTableFieldId="21"/>
    <tableColumn id="17" xr3:uid="{02D69C4F-A3AC-469A-A68E-FE22329ED520}" uniqueName="17" name="LA" queryTableFieldId="22"/>
    <tableColumn id="18" xr3:uid="{5A4BEEBB-0340-45D0-A117-1A6A5A1DEE8E}" uniqueName="18" name="Joint" queryTableFieldId="2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7063FF-D740-4111-9477-E11954B2D5EB}" name="Table_Demand___Community_frontsheet" displayName="Table_Demand___Community_frontsheet" ref="C1:P1065" tableType="queryTable" totalsRowShown="0">
  <autoFilter ref="C1:P1065" xr:uid="{CD3FD0D6-3DF1-4169-A36D-B12B6D997F53}"/>
  <sortState xmlns:xlrd2="http://schemas.microsoft.com/office/spreadsheetml/2017/richdata2" ref="C2:P1009">
    <sortCondition ref="C1:C1009"/>
  </sortState>
  <tableColumns count="14">
    <tableColumn id="14" xr3:uid="{57E123EA-A9A3-4468-8E23-23916B31E5FC}" uniqueName="14" name="Name" queryTableFieldId="14" dataDxfId="15"/>
    <tableColumn id="1" xr3:uid="{3ABC6588-BF88-43BE-B892-4FDD1618001B}" uniqueName="1" name="Service Type" queryTableFieldId="16"/>
    <tableColumn id="2" xr3:uid="{EE6D0D3F-333D-4B3E-8A36-3B61575FBD9B}" uniqueName="2" name="01/04/2023" queryTableFieldId="2"/>
    <tableColumn id="3" xr3:uid="{8FC48D89-8B17-4B80-9960-154DBCBFE93F}" uniqueName="3" name="01/05/2023" queryTableFieldId="3"/>
    <tableColumn id="4" xr3:uid="{4215531D-1113-410D-B407-554513004AB2}" uniqueName="4" name="01/06/2023" queryTableFieldId="4"/>
    <tableColumn id="5" xr3:uid="{3EF26C5E-D177-41B4-A1EB-0E4194156BC6}" uniqueName="5" name="01/07/2023" queryTableFieldId="5"/>
    <tableColumn id="6" xr3:uid="{F8B905FD-6B59-4902-95BF-BD055038DB1A}" uniqueName="6" name="01/08/2023" queryTableFieldId="6"/>
    <tableColumn id="7" xr3:uid="{2620A00F-037B-436F-B146-CB66B79CC25B}" uniqueName="7" name="01/09/2023" queryTableFieldId="7"/>
    <tableColumn id="8" xr3:uid="{F5F162D0-8873-4E33-9106-C70F84631A5E}" uniqueName="8" name="01/10/2023" queryTableFieldId="8"/>
    <tableColumn id="9" xr3:uid="{DF87FB08-D779-4FC1-95CD-9EFA5D32A935}" uniqueName="9" name="01/11/2023" queryTableFieldId="9"/>
    <tableColumn id="10" xr3:uid="{A8740B98-EEE9-444F-A8D7-A3A235AAA326}" uniqueName="10" name="01/12/2023" queryTableFieldId="10"/>
    <tableColumn id="11" xr3:uid="{818108E9-D3ED-458A-AC30-0E1C61B325B0}" uniqueName="11" name="01/01/2024" queryTableFieldId="11"/>
    <tableColumn id="12" xr3:uid="{D4BEC8E6-24C6-4B78-B1D8-C36E8DD54674}" uniqueName="12" name="01/02/2024" queryTableFieldId="12"/>
    <tableColumn id="13" xr3:uid="{13996E43-1AEA-4221-A81E-62010C52CD3A}" uniqueName="13" name="01/03/2024" queryTableFieldId="13"/>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0FB0C9E-D58E-4F06-9474-00078264A405}" name="Table_Capacity_Community_frontsheet" displayName="Table_Capacity_Community_frontsheet" ref="C1:S1065" tableType="queryTable" totalsRowShown="0">
  <autoFilter ref="C1:S1065" xr:uid="{70072D1C-87BE-4093-9592-CF327B228637}"/>
  <sortState xmlns:xlrd2="http://schemas.microsoft.com/office/spreadsheetml/2017/richdata2" ref="C2:S1009">
    <sortCondition ref="C1:C1009"/>
  </sortState>
  <tableColumns count="17">
    <tableColumn id="1" xr3:uid="{2287905C-F24F-46C8-9570-82CF5DA16200}" uniqueName="1" name="Name" queryTableFieldId="1" dataDxfId="14"/>
    <tableColumn id="2" xr3:uid="{968DAC2E-D442-48E6-95E3-3C8BBCF44901}" uniqueName="2" name="Service Area" queryTableFieldId="18"/>
    <tableColumn id="3" xr3:uid="{6F12C908-CD20-4CF0-997D-D9E71F464080}" uniqueName="3" name="01/04/2023" queryTableFieldId="3"/>
    <tableColumn id="4" xr3:uid="{AEB64BFF-C80F-409A-BE78-360D0259706C}" uniqueName="4" name="01/05/2023" queryTableFieldId="4"/>
    <tableColumn id="5" xr3:uid="{2219DB3A-2855-4427-BFBA-BF9B519BC0B0}" uniqueName="5" name="01/06/2023" queryTableFieldId="5"/>
    <tableColumn id="6" xr3:uid="{A2AD6CE5-FF93-4784-862F-E65B073240F9}" uniqueName="6" name="01/07/2023" queryTableFieldId="6"/>
    <tableColumn id="7" xr3:uid="{2C67B518-9915-47FB-A245-E36C11E75712}" uniqueName="7" name="01/08/2023" queryTableFieldId="7"/>
    <tableColumn id="8" xr3:uid="{54ECE479-6D83-499F-AEAF-2DF70AB69D27}" uniqueName="8" name="01/09/2023" queryTableFieldId="8"/>
    <tableColumn id="9" xr3:uid="{D8E1624C-EA1E-46DC-9F29-8830405B0C10}" uniqueName="9" name="01/10/2023" queryTableFieldId="9"/>
    <tableColumn id="10" xr3:uid="{6E653E03-A034-46EE-AB1B-DB425B969D69}" uniqueName="10" name="01/11/2023" queryTableFieldId="10"/>
    <tableColumn id="11" xr3:uid="{05B24CA4-82A5-483B-9AA8-F46429B21A72}" uniqueName="11" name="01/12/2023" queryTableFieldId="11"/>
    <tableColumn id="12" xr3:uid="{E0F927A9-2E36-4F06-886C-AC676902E7AC}" uniqueName="12" name="01/01/2024" queryTableFieldId="12"/>
    <tableColumn id="13" xr3:uid="{31386DAA-6968-4DD8-9B35-394E38E6FF14}" uniqueName="13" name="01/02/2024" queryTableFieldId="13"/>
    <tableColumn id="14" xr3:uid="{41C51FC8-3C63-4790-B6D6-CE3194F3A780}" uniqueName="14" name="01/03/2024" queryTableFieldId="14"/>
    <tableColumn id="16" xr3:uid="{7E86778D-A8CA-41B0-AD31-A1F66CB087D8}" uniqueName="16" name="ICB" queryTableFieldId="20"/>
    <tableColumn id="17" xr3:uid="{ABFB0558-894C-47D5-8DA6-C02DCB5E9F2D}" uniqueName="17" name="LA" queryTableFieldId="21"/>
    <tableColumn id="18" xr3:uid="{2CDB7A61-2F9E-4010-B744-034DDF9E40D3}" uniqueName="18" name="Joint" queryTableFieldId="2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gland.nhs.uk/wp-content/uploads/2023/04/PRN00315-better-care-fund-planning-requirements-2023-25.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90BCE-F276-4680-BA5D-BA52F9307008}">
  <sheetPr>
    <pageSetUpPr fitToPage="1"/>
  </sheetPr>
  <dimension ref="A1:C150"/>
  <sheetViews>
    <sheetView showGridLines="0" topLeftCell="A6" zoomScaleNormal="100" workbookViewId="0">
      <selection activeCell="B11" sqref="B11"/>
    </sheetView>
  </sheetViews>
  <sheetFormatPr defaultColWidth="0" defaultRowHeight="14.4" zeroHeight="1" x14ac:dyDescent="0.3"/>
  <cols>
    <col min="1" max="1" width="4.6640625" customWidth="1"/>
    <col min="2" max="2" width="125.6640625" customWidth="1"/>
    <col min="3" max="3" width="4.6640625" customWidth="1"/>
    <col min="4" max="16384" width="8.88671875" hidden="1"/>
  </cols>
  <sheetData>
    <row r="1" spans="2:2" ht="15" thickBot="1" x14ac:dyDescent="0.35"/>
    <row r="2" spans="2:2" ht="18.600000000000001" thickBot="1" x14ac:dyDescent="0.4">
      <c r="B2" s="80" t="str">
        <f>'2. Cover'!B154</f>
        <v>Better Care Fund 2023-25 Quarter 2 Quarterly Reporting Template</v>
      </c>
    </row>
    <row r="3" spans="2:2" x14ac:dyDescent="0.3">
      <c r="B3" s="4" t="s">
        <v>0</v>
      </c>
    </row>
    <row r="4" spans="2:2" x14ac:dyDescent="0.3"/>
    <row r="5" spans="2:2" ht="18" x14ac:dyDescent="0.35">
      <c r="B5" s="78" t="s">
        <v>1</v>
      </c>
    </row>
    <row r="6" spans="2:2" ht="57.6" x14ac:dyDescent="0.3">
      <c r="B6" s="29" t="s">
        <v>2</v>
      </c>
    </row>
    <row r="7" spans="2:2" x14ac:dyDescent="0.3">
      <c r="B7" s="7"/>
    </row>
    <row r="8" spans="2:2" x14ac:dyDescent="0.3">
      <c r="B8" s="29" t="s">
        <v>3</v>
      </c>
    </row>
    <row r="9" spans="2:2" x14ac:dyDescent="0.3">
      <c r="B9" s="29" t="s">
        <v>4</v>
      </c>
    </row>
    <row r="10" spans="2:2" ht="28.8" x14ac:dyDescent="0.3">
      <c r="B10" s="29" t="s">
        <v>5</v>
      </c>
    </row>
    <row r="11" spans="2:2" ht="28.8" x14ac:dyDescent="0.3">
      <c r="B11" s="29" t="s">
        <v>6</v>
      </c>
    </row>
    <row r="12" spans="2:2" x14ac:dyDescent="0.3">
      <c r="B12" s="29" t="s">
        <v>7</v>
      </c>
    </row>
    <row r="13" spans="2:2" x14ac:dyDescent="0.3">
      <c r="B13" s="7"/>
    </row>
    <row r="14" spans="2:2" ht="43.2" x14ac:dyDescent="0.3">
      <c r="B14" s="29" t="s">
        <v>8</v>
      </c>
    </row>
    <row r="15" spans="2:2" x14ac:dyDescent="0.3">
      <c r="B15" s="7"/>
    </row>
    <row r="16" spans="2:2" ht="28.8" x14ac:dyDescent="0.3">
      <c r="B16" s="29" t="s">
        <v>9</v>
      </c>
    </row>
    <row r="17" spans="2:2" x14ac:dyDescent="0.3">
      <c r="B17" s="7"/>
    </row>
    <row r="18" spans="2:2" x14ac:dyDescent="0.3">
      <c r="B18" s="241" t="s">
        <v>10</v>
      </c>
    </row>
    <row r="19" spans="2:2" ht="28.8" x14ac:dyDescent="0.3">
      <c r="B19" s="29" t="s">
        <v>11</v>
      </c>
    </row>
    <row r="20" spans="2:2" x14ac:dyDescent="0.3">
      <c r="B20" s="81" t="s">
        <v>12</v>
      </c>
    </row>
    <row r="21" spans="2:2" x14ac:dyDescent="0.3">
      <c r="B21" s="82" t="s">
        <v>13</v>
      </c>
    </row>
    <row r="22" spans="2:2" x14ac:dyDescent="0.3">
      <c r="B22" s="240" t="s">
        <v>14</v>
      </c>
    </row>
    <row r="23" spans="2:2" x14ac:dyDescent="0.3">
      <c r="B23" s="241" t="s">
        <v>15</v>
      </c>
    </row>
    <row r="24" spans="2:2" ht="30" customHeight="1" x14ac:dyDescent="0.3">
      <c r="B24" s="8" t="s">
        <v>16</v>
      </c>
    </row>
    <row r="25" spans="2:2" ht="19.5" customHeight="1" x14ac:dyDescent="0.3">
      <c r="B25" s="8" t="s">
        <v>17</v>
      </c>
    </row>
    <row r="26" spans="2:2" ht="30" customHeight="1" x14ac:dyDescent="0.3">
      <c r="B26" s="8" t="s">
        <v>18</v>
      </c>
    </row>
    <row r="27" spans="2:2" x14ac:dyDescent="0.3">
      <c r="B27" s="7"/>
    </row>
    <row r="28" spans="2:2" x14ac:dyDescent="0.3">
      <c r="B28" s="7" t="s">
        <v>19</v>
      </c>
    </row>
    <row r="29" spans="2:2" x14ac:dyDescent="0.3">
      <c r="B29" s="7"/>
    </row>
    <row r="30" spans="2:2" x14ac:dyDescent="0.3">
      <c r="B30" s="79" t="s">
        <v>20</v>
      </c>
    </row>
    <row r="31" spans="2:2" ht="28.8" x14ac:dyDescent="0.3">
      <c r="B31" s="8" t="s">
        <v>21</v>
      </c>
    </row>
    <row r="32" spans="2:2" ht="43.2" x14ac:dyDescent="0.3">
      <c r="B32" s="8" t="s">
        <v>22</v>
      </c>
    </row>
    <row r="33" spans="2:2" x14ac:dyDescent="0.3">
      <c r="B33" s="30" t="s">
        <v>23</v>
      </c>
    </row>
    <row r="34" spans="2:2" ht="30" customHeight="1" x14ac:dyDescent="0.3">
      <c r="B34" s="30" t="s">
        <v>24</v>
      </c>
    </row>
    <row r="35" spans="2:2" ht="42" customHeight="1" x14ac:dyDescent="0.3">
      <c r="B35" s="8" t="s">
        <v>25</v>
      </c>
    </row>
    <row r="36" spans="2:2" ht="30" customHeight="1" x14ac:dyDescent="0.3">
      <c r="B36" s="79" t="s">
        <v>26</v>
      </c>
    </row>
    <row r="37" spans="2:2" ht="43.2" x14ac:dyDescent="0.3">
      <c r="B37" s="8" t="s">
        <v>27</v>
      </c>
    </row>
    <row r="38" spans="2:2" x14ac:dyDescent="0.3">
      <c r="B38" s="30" t="s">
        <v>28</v>
      </c>
    </row>
    <row r="39" spans="2:2" ht="43.2" x14ac:dyDescent="0.3">
      <c r="B39" s="8" t="s">
        <v>29</v>
      </c>
    </row>
    <row r="40" spans="2:2" x14ac:dyDescent="0.3">
      <c r="B40" s="79" t="s">
        <v>30</v>
      </c>
    </row>
    <row r="41" spans="2:2" ht="28.8" x14ac:dyDescent="0.3">
      <c r="B41" s="29" t="s">
        <v>31</v>
      </c>
    </row>
    <row r="42" spans="2:2" x14ac:dyDescent="0.3">
      <c r="B42" s="16" t="s">
        <v>32</v>
      </c>
    </row>
    <row r="43" spans="2:2" x14ac:dyDescent="0.3">
      <c r="B43" s="29"/>
    </row>
    <row r="44" spans="2:2" ht="43.2" x14ac:dyDescent="0.3">
      <c r="B44" s="29" t="s">
        <v>33</v>
      </c>
    </row>
    <row r="45" spans="2:2" x14ac:dyDescent="0.3">
      <c r="B45" s="29"/>
    </row>
    <row r="46" spans="2:2" x14ac:dyDescent="0.3">
      <c r="B46" s="29" t="s">
        <v>34</v>
      </c>
    </row>
    <row r="47" spans="2:2" x14ac:dyDescent="0.3">
      <c r="B47" s="29" t="s">
        <v>35</v>
      </c>
    </row>
    <row r="48" spans="2:2" x14ac:dyDescent="0.3">
      <c r="B48" s="29" t="s">
        <v>36</v>
      </c>
    </row>
    <row r="49" spans="2:2" x14ac:dyDescent="0.3">
      <c r="B49" s="29" t="s">
        <v>37</v>
      </c>
    </row>
    <row r="50" spans="2:2" x14ac:dyDescent="0.3">
      <c r="B50" s="29" t="s">
        <v>38</v>
      </c>
    </row>
    <row r="51" spans="2:2" x14ac:dyDescent="0.3">
      <c r="B51" s="79" t="s">
        <v>39</v>
      </c>
    </row>
    <row r="52" spans="2:2" ht="115.2" x14ac:dyDescent="0.3">
      <c r="B52" s="31" t="s">
        <v>40</v>
      </c>
    </row>
    <row r="53" spans="2:2" x14ac:dyDescent="0.3">
      <c r="B53" s="29" t="s">
        <v>41</v>
      </c>
    </row>
    <row r="54" spans="2:2" ht="28.8" x14ac:dyDescent="0.3">
      <c r="B54" s="29" t="s">
        <v>42</v>
      </c>
    </row>
    <row r="55" spans="2:2" ht="28.8" x14ac:dyDescent="0.3">
      <c r="B55" s="29" t="s">
        <v>43</v>
      </c>
    </row>
    <row r="56" spans="2:2" x14ac:dyDescent="0.3">
      <c r="B56" s="29"/>
    </row>
    <row r="57" spans="2:2" ht="100.8" x14ac:dyDescent="0.3">
      <c r="B57" s="31" t="s">
        <v>44</v>
      </c>
    </row>
    <row r="58" spans="2:2" ht="24" customHeight="1" x14ac:dyDescent="0.3">
      <c r="B58" s="31" t="s">
        <v>45</v>
      </c>
    </row>
    <row r="59" spans="2:2" x14ac:dyDescent="0.3">
      <c r="B59" s="31"/>
    </row>
    <row r="60" spans="2:2" ht="36.75" customHeight="1" x14ac:dyDescent="0.3">
      <c r="B60" s="31" t="s">
        <v>46</v>
      </c>
    </row>
    <row r="61" spans="2:2" ht="16.2" customHeight="1" x14ac:dyDescent="0.3">
      <c r="B61" s="79" t="s">
        <v>47</v>
      </c>
    </row>
    <row r="62" spans="2:2" x14ac:dyDescent="0.3">
      <c r="B62" s="31" t="s">
        <v>48</v>
      </c>
    </row>
    <row r="63" spans="2:2" x14ac:dyDescent="0.3">
      <c r="B63" s="31" t="s">
        <v>49</v>
      </c>
    </row>
    <row r="64" spans="2:2" x14ac:dyDescent="0.3">
      <c r="B64" s="173" t="s">
        <v>50</v>
      </c>
    </row>
    <row r="65" spans="2:2" ht="28.8" x14ac:dyDescent="0.3">
      <c r="B65" s="31" t="s">
        <v>51</v>
      </c>
    </row>
    <row r="66" spans="2:2" x14ac:dyDescent="0.3">
      <c r="B66" s="173" t="s">
        <v>52</v>
      </c>
    </row>
    <row r="67" spans="2:2" ht="72" customHeight="1" x14ac:dyDescent="0.3">
      <c r="B67" s="31" t="s">
        <v>53</v>
      </c>
    </row>
    <row r="68" spans="2:2" ht="201" customHeight="1" x14ac:dyDescent="0.3">
      <c r="B68" s="211" t="s">
        <v>54</v>
      </c>
    </row>
    <row r="69" spans="2:2" x14ac:dyDescent="0.3">
      <c r="B69" s="173" t="s">
        <v>55</v>
      </c>
    </row>
    <row r="70" spans="2:2" ht="43.2" x14ac:dyDescent="0.3">
      <c r="B70" s="31" t="s">
        <v>56</v>
      </c>
    </row>
    <row r="71" spans="2:2" ht="38.4" customHeight="1" x14ac:dyDescent="0.3">
      <c r="B71" s="31" t="s">
        <v>57</v>
      </c>
    </row>
    <row r="72" spans="2:2" ht="43.2" x14ac:dyDescent="0.3">
      <c r="B72" s="31" t="s">
        <v>58</v>
      </c>
    </row>
    <row r="73" spans="2:2" x14ac:dyDescent="0.3">
      <c r="B73" s="29"/>
    </row>
    <row r="74" spans="2:2" x14ac:dyDescent="0.3">
      <c r="B74" s="29"/>
    </row>
    <row r="75" spans="2:2" x14ac:dyDescent="0.3">
      <c r="B75" s="29"/>
    </row>
    <row r="76" spans="2:2" x14ac:dyDescent="0.3">
      <c r="B76" s="29"/>
    </row>
    <row r="77" spans="2:2" x14ac:dyDescent="0.3">
      <c r="B77" s="32"/>
    </row>
    <row r="78" spans="2:2" x14ac:dyDescent="0.3">
      <c r="B78" s="29"/>
    </row>
    <row r="79" spans="2:2" x14ac:dyDescent="0.3">
      <c r="B79" s="29"/>
    </row>
    <row r="80" spans="2:2" x14ac:dyDescent="0.3">
      <c r="B80" s="29"/>
    </row>
    <row r="81" spans="2:2" x14ac:dyDescent="0.3">
      <c r="B81" s="29"/>
    </row>
    <row r="82" spans="2:2" x14ac:dyDescent="0.3">
      <c r="B82" s="29"/>
    </row>
    <row r="83" spans="2:2" x14ac:dyDescent="0.3">
      <c r="B83" s="29"/>
    </row>
    <row r="84" spans="2:2" x14ac:dyDescent="0.3">
      <c r="B84" s="29"/>
    </row>
    <row r="85" spans="2:2" x14ac:dyDescent="0.3">
      <c r="B85" s="29"/>
    </row>
    <row r="86" spans="2:2" x14ac:dyDescent="0.3">
      <c r="B86" s="29"/>
    </row>
    <row r="87" spans="2:2" ht="19.95" customHeight="1" x14ac:dyDescent="0.3">
      <c r="B87" s="33"/>
    </row>
    <row r="88" spans="2:2" ht="19.95" hidden="1" customHeight="1" x14ac:dyDescent="0.3">
      <c r="B88" s="11" t="s">
        <v>59</v>
      </c>
    </row>
    <row r="89" spans="2:2" ht="19.95" hidden="1" customHeight="1" x14ac:dyDescent="0.3">
      <c r="B89" s="41" t="s">
        <v>60</v>
      </c>
    </row>
    <row r="90" spans="2:2" ht="19.95" hidden="1" customHeight="1" x14ac:dyDescent="0.3">
      <c r="B90" s="40" t="s">
        <v>61</v>
      </c>
    </row>
    <row r="91" spans="2:2" ht="19.95" customHeight="1" x14ac:dyDescent="0.3">
      <c r="B91" s="39"/>
    </row>
    <row r="92" spans="2:2" ht="19.95" customHeight="1" x14ac:dyDescent="0.3">
      <c r="B92" s="39"/>
    </row>
    <row r="93" spans="2:2" x14ac:dyDescent="0.3"/>
    <row r="94" spans="2:2" x14ac:dyDescent="0.3"/>
    <row r="95" spans="2:2" x14ac:dyDescent="0.3"/>
    <row r="96" spans="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sheetData>
  <sheetProtection algorithmName="SHA-512" hashValue="BUrvKkRv+zK/Xdy4htGEX6tUCDi91UdeqM9VDEPZcXnjRRNTwIxLFWJCjWa+7u+caDFTAhAeHJn4Ini1EHLoPw==" saltValue="527OwPMV+4Rfwh24j4SrKw==" spinCount="100000" sheet="1" objects="1" scenarios="1" formatColumns="0" formatRows="0" autoFilter="0"/>
  <hyperlinks>
    <hyperlink ref="B40" location="'3. National Conditions'!A1" display="3. National Conditions" xr:uid="{B6561BFD-96B9-4617-8A3A-07D62DC611D9}"/>
    <hyperlink ref="B51" location="'4. Metrics'!A1" display="4. Metrics" xr:uid="{5EF68B2F-D56B-4690-B7E2-1608259AD023}"/>
    <hyperlink ref="B42" r:id="rId1" xr:uid="{33F8AA67-AAFB-4B13-8978-B265B4629C20}"/>
    <hyperlink ref="B88" location="'10. CCG-HWB Mapping'!A1" display="10. CCG-HWB Mapping (click to go to sheet)" xr:uid="{A5B776A3-936C-4146-9186-468FC4A1E4B9}"/>
    <hyperlink ref="B61" location="'8. I&amp;E'!A1" display="8. Income and Expenditure" xr:uid="{A6299AD1-B767-4446-9509-A611D6887FB1}"/>
    <hyperlink ref="B30" location="'2. Cover'!A33" display="Checklist ( 2. Cover )" xr:uid="{12EA9DD4-B5A4-4204-BEEC-995D81B8AC61}"/>
    <hyperlink ref="B36" location="'2. Cover'!A1" display="2. Cover" xr:uid="{2C5320F8-3996-4817-8BE0-9D4E53C987E0}"/>
  </hyperlinks>
  <pageMargins left="0.7" right="0.7" top="0.75" bottom="0.75" header="0.3" footer="0.3"/>
  <pageSetup paperSize="9"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4D8A-DBED-4E55-B628-ABCCA949A1A3}">
  <dimension ref="A1:XFB51"/>
  <sheetViews>
    <sheetView showGridLines="0" tabSelected="1" zoomScale="80" zoomScaleNormal="80" workbookViewId="0">
      <selection activeCell="L33" sqref="L33"/>
    </sheetView>
  </sheetViews>
  <sheetFormatPr defaultColWidth="0" defaultRowHeight="0" customHeight="1" zeroHeight="1" x14ac:dyDescent="0.3"/>
  <cols>
    <col min="1" max="1" width="4.5546875" customWidth="1"/>
    <col min="2" max="2" width="2" customWidth="1"/>
    <col min="3" max="3" width="49.5546875" customWidth="1"/>
    <col min="4" max="4" width="51.6640625" customWidth="1"/>
    <col min="5" max="14" width="10.109375" customWidth="1"/>
    <col min="15" max="15" width="11.33203125" customWidth="1"/>
    <col min="16" max="16" width="0.5546875" customWidth="1"/>
    <col min="17" max="17" width="13.109375" customWidth="1"/>
    <col min="18" max="18" width="0.5546875" customWidth="1"/>
    <col min="19" max="19" width="11.33203125" style="120" customWidth="1"/>
    <col min="20" max="20" width="11.33203125" hidden="1"/>
    <col min="21" max="16382" width="9.109375" hidden="1"/>
    <col min="16383" max="16384" width="4.6640625" hidden="1"/>
  </cols>
  <sheetData>
    <row r="1" spans="1:22" ht="14.4" x14ac:dyDescent="0.3">
      <c r="A1" s="120" t="s">
        <v>62</v>
      </c>
    </row>
    <row r="2" spans="1:22" ht="18" x14ac:dyDescent="0.35">
      <c r="C2" s="242" t="s">
        <v>652</v>
      </c>
      <c r="D2" s="285"/>
      <c r="E2" s="100"/>
      <c r="F2" s="100"/>
    </row>
    <row r="3" spans="1:22" ht="14.4" x14ac:dyDescent="0.3">
      <c r="C3" s="9" t="s">
        <v>653</v>
      </c>
    </row>
    <row r="4" spans="1:22" ht="14.4" x14ac:dyDescent="0.3"/>
    <row r="5" spans="1:22" ht="14.4" x14ac:dyDescent="0.3">
      <c r="C5" t="s">
        <v>396</v>
      </c>
      <c r="D5" s="190" t="str" cm="1">
        <f t="array" ref="D5:F5">IF('2. Cover'!D165:F165="&lt;Please select a Health and Wellbeing Board&gt;","Please select in '2. Cover' sheet",'2. Cover'!D165:F165)</f>
        <v>Hillingdon</v>
      </c>
      <c r="E5" s="120">
        <v>0</v>
      </c>
      <c r="F5" s="120">
        <v>0</v>
      </c>
    </row>
    <row r="6" spans="1:22" ht="14.4" x14ac:dyDescent="0.3"/>
    <row r="7" spans="1:22" ht="14.4" x14ac:dyDescent="0.3"/>
    <row r="8" spans="1:22" ht="14.4" x14ac:dyDescent="0.3"/>
    <row r="9" spans="1:22" ht="15" thickBot="1" x14ac:dyDescent="0.35">
      <c r="D9" s="9" t="s">
        <v>702</v>
      </c>
      <c r="E9" s="149" t="s">
        <v>678</v>
      </c>
      <c r="F9" s="150"/>
      <c r="G9" s="150"/>
      <c r="H9" s="150"/>
      <c r="I9" s="151"/>
      <c r="J9" s="154" t="s">
        <v>703</v>
      </c>
    </row>
    <row r="10" spans="1:22" ht="21.6" thickBot="1" x14ac:dyDescent="0.45">
      <c r="D10" s="160" t="s">
        <v>681</v>
      </c>
      <c r="E10" s="221">
        <v>45231</v>
      </c>
      <c r="F10" s="222">
        <v>45261</v>
      </c>
      <c r="G10" s="222">
        <v>45292</v>
      </c>
      <c r="H10" s="222">
        <v>45323</v>
      </c>
      <c r="I10" s="223">
        <v>45352</v>
      </c>
      <c r="J10" s="222">
        <v>45231</v>
      </c>
      <c r="K10" s="222">
        <v>45261</v>
      </c>
      <c r="L10" s="222">
        <v>45292</v>
      </c>
      <c r="M10" s="222">
        <v>45323</v>
      </c>
      <c r="N10" s="223">
        <v>45352</v>
      </c>
    </row>
    <row r="11" spans="1:22" ht="14.4" x14ac:dyDescent="0.3">
      <c r="D11" s="141" t="s">
        <v>704</v>
      </c>
      <c r="E11" s="226">
        <f>E21-E30</f>
        <v>0</v>
      </c>
      <c r="F11" s="227">
        <f t="shared" ref="F11:N12" si="0">F21-F30</f>
        <v>0</v>
      </c>
      <c r="G11" s="227">
        <f t="shared" si="0"/>
        <v>0</v>
      </c>
      <c r="H11" s="227">
        <f t="shared" si="0"/>
        <v>0</v>
      </c>
      <c r="I11" s="228">
        <f t="shared" si="0"/>
        <v>0</v>
      </c>
      <c r="J11" s="229">
        <f>J21-J30</f>
        <v>0</v>
      </c>
      <c r="K11" s="229">
        <f t="shared" si="0"/>
        <v>0</v>
      </c>
      <c r="L11" s="229">
        <f t="shared" si="0"/>
        <v>0</v>
      </c>
      <c r="M11" s="229">
        <f t="shared" si="0"/>
        <v>0</v>
      </c>
      <c r="N11" s="230">
        <f t="shared" si="0"/>
        <v>0</v>
      </c>
    </row>
    <row r="12" spans="1:22" ht="14.4" x14ac:dyDescent="0.3">
      <c r="D12" s="161" t="s">
        <v>705</v>
      </c>
      <c r="E12" s="224">
        <f>E22-E31</f>
        <v>-8</v>
      </c>
      <c r="F12" s="122">
        <f t="shared" si="0"/>
        <v>11</v>
      </c>
      <c r="G12" s="122">
        <f t="shared" si="0"/>
        <v>-19</v>
      </c>
      <c r="H12" s="122">
        <f t="shared" si="0"/>
        <v>-46</v>
      </c>
      <c r="I12" s="126">
        <f t="shared" si="0"/>
        <v>-55</v>
      </c>
      <c r="J12" s="231">
        <f>J22-J31</f>
        <v>-8</v>
      </c>
      <c r="K12" s="231">
        <f t="shared" si="0"/>
        <v>11</v>
      </c>
      <c r="L12" s="231">
        <f t="shared" si="0"/>
        <v>-19</v>
      </c>
      <c r="M12" s="231">
        <f t="shared" si="0"/>
        <v>-46</v>
      </c>
      <c r="N12" s="232">
        <f t="shared" si="0"/>
        <v>-55</v>
      </c>
    </row>
    <row r="13" spans="1:22" ht="14.4" x14ac:dyDescent="0.3">
      <c r="D13" s="161" t="s">
        <v>706</v>
      </c>
      <c r="E13" s="224">
        <f>E23-E32</f>
        <v>-47</v>
      </c>
      <c r="F13" s="122">
        <f t="shared" ref="F13:N13" si="1">F23-F32</f>
        <v>44</v>
      </c>
      <c r="G13" s="122">
        <f t="shared" si="1"/>
        <v>-117</v>
      </c>
      <c r="H13" s="122">
        <f t="shared" si="1"/>
        <v>-68</v>
      </c>
      <c r="I13" s="126">
        <f t="shared" si="1"/>
        <v>-5</v>
      </c>
      <c r="J13" s="122">
        <f t="shared" si="1"/>
        <v>-47</v>
      </c>
      <c r="K13" s="122">
        <f t="shared" si="1"/>
        <v>44</v>
      </c>
      <c r="L13" s="122">
        <f t="shared" si="1"/>
        <v>-21</v>
      </c>
      <c r="M13" s="122">
        <f t="shared" si="1"/>
        <v>-68</v>
      </c>
      <c r="N13" s="122">
        <f t="shared" si="1"/>
        <v>-5</v>
      </c>
    </row>
    <row r="14" spans="1:22" ht="14.4" x14ac:dyDescent="0.3">
      <c r="D14" s="161" t="s">
        <v>707</v>
      </c>
      <c r="E14" s="224">
        <f t="shared" ref="E14:N14" si="2">E24-E33</f>
        <v>-8</v>
      </c>
      <c r="F14" s="122">
        <f t="shared" si="2"/>
        <v>-6</v>
      </c>
      <c r="G14" s="122">
        <f t="shared" si="2"/>
        <v>-2</v>
      </c>
      <c r="H14" s="122">
        <f t="shared" si="2"/>
        <v>-6</v>
      </c>
      <c r="I14" s="126">
        <f t="shared" si="2"/>
        <v>0</v>
      </c>
      <c r="J14" s="122">
        <f t="shared" si="2"/>
        <v>-8</v>
      </c>
      <c r="K14" s="122">
        <f t="shared" si="2"/>
        <v>-6</v>
      </c>
      <c r="L14" s="122">
        <f t="shared" si="2"/>
        <v>-2</v>
      </c>
      <c r="M14" s="122">
        <f t="shared" si="2"/>
        <v>-6</v>
      </c>
      <c r="N14" s="126">
        <f t="shared" si="2"/>
        <v>0</v>
      </c>
    </row>
    <row r="15" spans="1:22" ht="15" thickBot="1" x14ac:dyDescent="0.35">
      <c r="D15" s="143" t="s">
        <v>708</v>
      </c>
      <c r="E15" s="225">
        <f t="shared" ref="E15:N15" si="3">E25-E34</f>
        <v>0</v>
      </c>
      <c r="F15" s="128">
        <f t="shared" si="3"/>
        <v>0</v>
      </c>
      <c r="G15" s="128">
        <f t="shared" si="3"/>
        <v>0</v>
      </c>
      <c r="H15" s="128">
        <f t="shared" si="3"/>
        <v>0</v>
      </c>
      <c r="I15" s="129">
        <f t="shared" si="3"/>
        <v>0</v>
      </c>
      <c r="J15" s="128">
        <f t="shared" si="3"/>
        <v>0</v>
      </c>
      <c r="K15" s="128">
        <f>K25-K34</f>
        <v>0</v>
      </c>
      <c r="L15" s="128">
        <f t="shared" si="3"/>
        <v>0</v>
      </c>
      <c r="M15" s="128">
        <f t="shared" si="3"/>
        <v>0</v>
      </c>
      <c r="N15" s="129">
        <f t="shared" si="3"/>
        <v>0</v>
      </c>
    </row>
    <row r="16" spans="1:22" ht="14.4" x14ac:dyDescent="0.3">
      <c r="I16" s="106"/>
      <c r="V16" t="e">
        <f>SUM(#REF!)</f>
        <v>#REF!</v>
      </c>
    </row>
    <row r="17" spans="3:21" ht="14.4" x14ac:dyDescent="0.3">
      <c r="I17" s="106"/>
    </row>
    <row r="18" spans="3:21" ht="14.4" x14ac:dyDescent="0.3">
      <c r="I18" s="106"/>
      <c r="P18" s="18"/>
      <c r="Q18" s="19" t="s">
        <v>379</v>
      </c>
      <c r="R18" s="19"/>
    </row>
    <row r="19" spans="3:21" ht="23.25" customHeight="1" x14ac:dyDescent="0.4">
      <c r="C19" s="308" t="s">
        <v>709</v>
      </c>
      <c r="D19" s="322"/>
      <c r="E19" s="149" t="s">
        <v>688</v>
      </c>
      <c r="F19" s="150"/>
      <c r="G19" s="150"/>
      <c r="H19" s="150"/>
      <c r="I19" s="151"/>
      <c r="J19" s="137" t="s">
        <v>710</v>
      </c>
      <c r="K19" s="138"/>
      <c r="L19" s="138"/>
      <c r="M19" s="138"/>
      <c r="N19" s="138"/>
      <c r="P19" s="21"/>
      <c r="Q19" s="22" t="s">
        <v>380</v>
      </c>
      <c r="R19" s="22"/>
      <c r="T19">
        <f t="shared" ref="T19:T25" si="4">IF(AND(D19&lt;&gt;"Total",D19&lt;&gt;"(blank)"),1,0)</f>
        <v>1</v>
      </c>
      <c r="U19" t="e">
        <f>IF(AND(J19&lt;&gt;"",#REF!&lt;&gt;"",K19&lt;&gt;"",L19&lt;&gt;"",M19&lt;&gt;"",N19&lt;&gt;""),1,0)</f>
        <v>#REF!</v>
      </c>
    </row>
    <row r="20" spans="3:21" ht="16.2" thickBot="1" x14ac:dyDescent="0.35">
      <c r="C20" s="110" t="s">
        <v>691</v>
      </c>
      <c r="D20" s="115" t="s">
        <v>415</v>
      </c>
      <c r="E20" s="105">
        <v>45231</v>
      </c>
      <c r="F20" s="105">
        <v>45261</v>
      </c>
      <c r="G20" s="105">
        <v>45292</v>
      </c>
      <c r="H20" s="105">
        <v>45323</v>
      </c>
      <c r="I20" s="152">
        <v>45352</v>
      </c>
      <c r="J20" s="105">
        <v>45231</v>
      </c>
      <c r="K20" s="105">
        <v>45261</v>
      </c>
      <c r="L20" s="105">
        <v>45292</v>
      </c>
      <c r="M20" s="105">
        <v>45323</v>
      </c>
      <c r="N20" s="162">
        <v>45352</v>
      </c>
      <c r="P20" s="21"/>
      <c r="Q20" s="22"/>
      <c r="R20" s="22"/>
      <c r="T20">
        <f t="shared" si="4"/>
        <v>1</v>
      </c>
      <c r="U20" t="e">
        <f>IF(AND(#REF!&lt;&gt;"",J20&lt;&gt;"",K20&lt;&gt;"",L20&lt;&gt;"",M20&lt;&gt;"",N20&lt;&gt;""),1,0)</f>
        <v>#REF!</v>
      </c>
    </row>
    <row r="21" spans="3:21" ht="14.4" x14ac:dyDescent="0.3">
      <c r="C21" s="112" t="s">
        <v>704</v>
      </c>
      <c r="D21" s="207" t="s">
        <v>692</v>
      </c>
      <c r="E21" s="193">
        <f>SUMIF(BS_Comm_Cap!$A:$A,'5.3 C&amp;D Community'!$D$5&amp;'5.3 C&amp;D Community'!$C21,BS_Comm_Cap!L:L)</f>
        <v>18</v>
      </c>
      <c r="F21" s="193">
        <f>SUMIF(BS_Comm_Cap!$A:$A,'5.3 C&amp;D Community'!$D$5&amp;'5.3 C&amp;D Community'!$C21,BS_Comm_Cap!M:M)</f>
        <v>18</v>
      </c>
      <c r="G21" s="193">
        <f>SUMIF(BS_Comm_Cap!$A:$A,'5.3 C&amp;D Community'!$D$5&amp;'5.3 C&amp;D Community'!$C21,BS_Comm_Cap!N:N)</f>
        <v>24</v>
      </c>
      <c r="H21" s="193">
        <f>SUMIF(BS_Comm_Cap!$A:$A,'5.3 C&amp;D Community'!$D$5&amp;'5.3 C&amp;D Community'!$C21,BS_Comm_Cap!O:O)</f>
        <v>24</v>
      </c>
      <c r="I21" s="194">
        <f>SUMIF(BS_Comm_Cap!$A:$A,'5.3 C&amp;D Community'!$D$5&amp;'5.3 C&amp;D Community'!$C21,BS_Comm_Cap!P:P)</f>
        <v>24</v>
      </c>
      <c r="J21" s="111">
        <v>18</v>
      </c>
      <c r="K21" s="111">
        <v>18</v>
      </c>
      <c r="L21" s="111">
        <v>24</v>
      </c>
      <c r="M21" s="111">
        <v>24</v>
      </c>
      <c r="N21" s="111">
        <v>24</v>
      </c>
      <c r="P21" s="21"/>
      <c r="Q21" s="164" t="str">
        <f>IF(AND(T21=1,U21=0),"No","Yes")</f>
        <v>Yes</v>
      </c>
      <c r="R21" s="22"/>
      <c r="S21" s="120">
        <f>IF(Q21="No", 1,0)</f>
        <v>0</v>
      </c>
      <c r="T21">
        <f t="shared" si="4"/>
        <v>1</v>
      </c>
      <c r="U21">
        <f>IF(AND(J21&lt;&gt;"",K21&lt;&gt;"",L21&lt;&gt;"",M21&lt;&gt;"",N21&lt;&gt;""),1,0)</f>
        <v>1</v>
      </c>
    </row>
    <row r="22" spans="3:21" ht="14.4" x14ac:dyDescent="0.3">
      <c r="C22" s="113" t="s">
        <v>705</v>
      </c>
      <c r="D22" s="208" t="s">
        <v>692</v>
      </c>
      <c r="E22" s="193">
        <f>SUMIF(BS_Comm_Cap!$A:$A,'5.3 C&amp;D Community'!$D$5&amp;'5.3 C&amp;D Community'!$C22,BS_Comm_Cap!L:L)</f>
        <v>221</v>
      </c>
      <c r="F22" s="193">
        <f>SUMIF(BS_Comm_Cap!$A:$A,'5.3 C&amp;D Community'!$D$5&amp;'5.3 C&amp;D Community'!$C22,BS_Comm_Cap!M:M)</f>
        <v>221</v>
      </c>
      <c r="G22" s="193">
        <f>SUMIF(BS_Comm_Cap!$A:$A,'5.3 C&amp;D Community'!$D$5&amp;'5.3 C&amp;D Community'!$C22,BS_Comm_Cap!N:N)</f>
        <v>221</v>
      </c>
      <c r="H22" s="193">
        <f>SUMIF(BS_Comm_Cap!$A:$A,'5.3 C&amp;D Community'!$D$5&amp;'5.3 C&amp;D Community'!$C22,BS_Comm_Cap!O:O)</f>
        <v>200</v>
      </c>
      <c r="I22" s="194">
        <f>SUMIF(BS_Comm_Cap!$A:$A,'5.3 C&amp;D Community'!$D$5&amp;'5.3 C&amp;D Community'!$C22,BS_Comm_Cap!P:P)</f>
        <v>222</v>
      </c>
      <c r="J22" s="84">
        <v>221</v>
      </c>
      <c r="K22" s="84">
        <v>221</v>
      </c>
      <c r="L22" s="84">
        <v>221</v>
      </c>
      <c r="M22" s="84">
        <v>200</v>
      </c>
      <c r="N22" s="84">
        <v>222</v>
      </c>
      <c r="P22" s="21"/>
      <c r="Q22" s="17" t="str">
        <f>IF(AND(T22=1,U22=0),"No","Yes")</f>
        <v>Yes</v>
      </c>
      <c r="R22" s="22"/>
      <c r="S22" s="120">
        <f t="shared" ref="S22:S34" si="5">IF(Q22="No", 1,0)</f>
        <v>0</v>
      </c>
      <c r="T22">
        <f t="shared" si="4"/>
        <v>1</v>
      </c>
      <c r="U22">
        <f t="shared" ref="U22:U25" si="6">IF(AND(J22&lt;&gt;"",K22&lt;&gt;"",L22&lt;&gt;"",M22&lt;&gt;"",N22&lt;&gt;""),1,0)</f>
        <v>1</v>
      </c>
    </row>
    <row r="23" spans="3:21" ht="14.4" x14ac:dyDescent="0.3">
      <c r="C23" s="86" t="s">
        <v>706</v>
      </c>
      <c r="D23" s="209" t="s">
        <v>692</v>
      </c>
      <c r="E23" s="193">
        <f>SUMIF(BS_Comm_Cap!$A:$A,'5.3 C&amp;D Community'!$D$5&amp;'5.3 C&amp;D Community'!$C23,BS_Comm_Cap!L:L)</f>
        <v>1208</v>
      </c>
      <c r="F23" s="193">
        <f>SUMIF(BS_Comm_Cap!$A:$A,'5.3 C&amp;D Community'!$D$5&amp;'5.3 C&amp;D Community'!$C23,BS_Comm_Cap!M:M)</f>
        <v>1249</v>
      </c>
      <c r="G23" s="193">
        <f>SUMIF(BS_Comm_Cap!$A:$A,'5.3 C&amp;D Community'!$D$5&amp;'5.3 C&amp;D Community'!$C23,BS_Comm_Cap!N:N)</f>
        <v>1249</v>
      </c>
      <c r="H23" s="193">
        <f>SUMIF(BS_Comm_Cap!$A:$A,'5.3 C&amp;D Community'!$D$5&amp;'5.3 C&amp;D Community'!$C23,BS_Comm_Cap!O:O)</f>
        <v>1128</v>
      </c>
      <c r="I23" s="194">
        <f>SUMIF(BS_Comm_Cap!$A:$A,'5.3 C&amp;D Community'!$D$5&amp;'5.3 C&amp;D Community'!$C23,BS_Comm_Cap!P:P)</f>
        <v>1249</v>
      </c>
      <c r="J23" s="84">
        <v>1208</v>
      </c>
      <c r="K23" s="84">
        <v>1249</v>
      </c>
      <c r="L23" s="84">
        <v>1249</v>
      </c>
      <c r="M23" s="84">
        <v>1128</v>
      </c>
      <c r="N23" s="84">
        <v>1249</v>
      </c>
      <c r="P23" s="21"/>
      <c r="Q23" s="17" t="str">
        <f>IF(AND(T23=1,U23=0),"No","Yes")</f>
        <v>Yes</v>
      </c>
      <c r="R23" s="22"/>
      <c r="S23" s="120">
        <f t="shared" si="5"/>
        <v>0</v>
      </c>
      <c r="T23">
        <f t="shared" si="4"/>
        <v>1</v>
      </c>
      <c r="U23">
        <f t="shared" si="6"/>
        <v>1</v>
      </c>
    </row>
    <row r="24" spans="3:21" ht="14.4" x14ac:dyDescent="0.3">
      <c r="C24" s="86" t="s">
        <v>707</v>
      </c>
      <c r="D24" s="207" t="s">
        <v>692</v>
      </c>
      <c r="E24" s="193">
        <f>SUMIF(BS_Comm_Cap!$A:$A,'5.3 C&amp;D Community'!$D$5&amp;'5.3 C&amp;D Community'!$C24,BS_Comm_Cap!L:L)</f>
        <v>0</v>
      </c>
      <c r="F24" s="193">
        <f>SUMIF(BS_Comm_Cap!$A:$A,'5.3 C&amp;D Community'!$D$5&amp;'5.3 C&amp;D Community'!$C24,BS_Comm_Cap!M:M)</f>
        <v>0</v>
      </c>
      <c r="G24" s="193">
        <f>SUMIF(BS_Comm_Cap!$A:$A,'5.3 C&amp;D Community'!$D$5&amp;'5.3 C&amp;D Community'!$C24,BS_Comm_Cap!N:N)</f>
        <v>0</v>
      </c>
      <c r="H24" s="193">
        <f>SUMIF(BS_Comm_Cap!$A:$A,'5.3 C&amp;D Community'!$D$5&amp;'5.3 C&amp;D Community'!$C24,BS_Comm_Cap!O:O)</f>
        <v>0</v>
      </c>
      <c r="I24" s="194">
        <f>SUMIF(BS_Comm_Cap!$A:$A,'5.3 C&amp;D Community'!$D$5&amp;'5.3 C&amp;D Community'!$C24,BS_Comm_Cap!P:P)</f>
        <v>0</v>
      </c>
      <c r="J24" s="84">
        <v>0</v>
      </c>
      <c r="K24" s="84">
        <v>0</v>
      </c>
      <c r="L24" s="84">
        <v>0</v>
      </c>
      <c r="M24" s="84">
        <v>0</v>
      </c>
      <c r="N24" s="84">
        <v>0</v>
      </c>
      <c r="P24" s="21"/>
      <c r="Q24" s="17" t="str">
        <f>IF(AND(T24=1,U24=0),"No","Yes")</f>
        <v>Yes</v>
      </c>
      <c r="R24" s="22"/>
      <c r="S24" s="120">
        <f t="shared" si="5"/>
        <v>0</v>
      </c>
      <c r="T24">
        <f t="shared" si="4"/>
        <v>1</v>
      </c>
      <c r="U24">
        <f t="shared" si="6"/>
        <v>1</v>
      </c>
    </row>
    <row r="25" spans="3:21" ht="14.4" x14ac:dyDescent="0.3">
      <c r="C25" s="86" t="s">
        <v>708</v>
      </c>
      <c r="D25" s="208" t="s">
        <v>692</v>
      </c>
      <c r="E25" s="195">
        <f>SUMIF(BS_Comm_Cap!$A:$A,'5.3 C&amp;D Community'!$D$5&amp;'5.3 C&amp;D Community'!$C25,BS_Comm_Cap!L:L)</f>
        <v>0</v>
      </c>
      <c r="F25" s="195">
        <f>SUMIF(BS_Comm_Cap!$A:$A,'5.3 C&amp;D Community'!$D$5&amp;'5.3 C&amp;D Community'!$C25,BS_Comm_Cap!M:M)</f>
        <v>0</v>
      </c>
      <c r="G25" s="195">
        <f>SUMIF(BS_Comm_Cap!$A:$A,'5.3 C&amp;D Community'!$D$5&amp;'5.3 C&amp;D Community'!$C25,BS_Comm_Cap!N:N)</f>
        <v>0</v>
      </c>
      <c r="H25" s="195">
        <f>SUMIF(BS_Comm_Cap!$A:$A,'5.3 C&amp;D Community'!$D$5&amp;'5.3 C&amp;D Community'!$C25,BS_Comm_Cap!O:O)</f>
        <v>0</v>
      </c>
      <c r="I25" s="196">
        <f>SUMIF(BS_Comm_Cap!$A:$A,'5.3 C&amp;D Community'!$D$5&amp;'5.3 C&amp;D Community'!$C25,BS_Comm_Cap!P:P)</f>
        <v>0</v>
      </c>
      <c r="J25" s="84">
        <v>0</v>
      </c>
      <c r="K25" s="84">
        <v>0</v>
      </c>
      <c r="L25" s="84">
        <v>0</v>
      </c>
      <c r="M25" s="84">
        <v>0</v>
      </c>
      <c r="N25" s="84">
        <v>0</v>
      </c>
      <c r="P25" s="21"/>
      <c r="Q25" s="17" t="str">
        <f>IF(AND(T25=1,U25=0),"No","Yes")</f>
        <v>Yes</v>
      </c>
      <c r="R25" s="22"/>
      <c r="S25" s="120">
        <f t="shared" si="5"/>
        <v>0</v>
      </c>
      <c r="T25">
        <f t="shared" si="4"/>
        <v>1</v>
      </c>
      <c r="U25">
        <f t="shared" si="6"/>
        <v>1</v>
      </c>
    </row>
    <row r="26" spans="3:21" ht="14.4" x14ac:dyDescent="0.3">
      <c r="E26" s="310" t="s">
        <v>711</v>
      </c>
      <c r="F26" s="310"/>
      <c r="G26" s="310"/>
      <c r="H26" s="107"/>
      <c r="P26" s="21"/>
      <c r="Q26" s="22"/>
      <c r="R26" s="22"/>
    </row>
    <row r="27" spans="3:21" ht="14.4" x14ac:dyDescent="0.3">
      <c r="P27" s="21"/>
      <c r="Q27" s="22"/>
      <c r="R27" s="22"/>
    </row>
    <row r="28" spans="3:21" ht="21" x14ac:dyDescent="0.4">
      <c r="D28" s="155" t="s">
        <v>712</v>
      </c>
      <c r="E28" s="149" t="s">
        <v>688</v>
      </c>
      <c r="F28" s="150"/>
      <c r="G28" s="150"/>
      <c r="H28" s="150"/>
      <c r="I28" s="151"/>
      <c r="J28" s="137" t="s">
        <v>694</v>
      </c>
      <c r="K28" s="108"/>
      <c r="L28" s="108"/>
      <c r="M28" s="108"/>
      <c r="N28" s="108"/>
      <c r="P28" s="21"/>
      <c r="Q28" s="22"/>
      <c r="R28" s="22"/>
      <c r="T28" t="s">
        <v>697</v>
      </c>
      <c r="U28" t="s">
        <v>698</v>
      </c>
    </row>
    <row r="29" spans="3:21" ht="16.2" thickBot="1" x14ac:dyDescent="0.35">
      <c r="D29" s="156" t="s">
        <v>713</v>
      </c>
      <c r="E29" s="105">
        <v>45231</v>
      </c>
      <c r="F29" s="105">
        <v>45261</v>
      </c>
      <c r="G29" s="105">
        <v>45292</v>
      </c>
      <c r="H29" s="105">
        <v>45323</v>
      </c>
      <c r="I29" s="152">
        <v>45352</v>
      </c>
      <c r="J29" s="105">
        <v>45231</v>
      </c>
      <c r="K29" s="105">
        <v>45261</v>
      </c>
      <c r="L29" s="105">
        <v>45292</v>
      </c>
      <c r="M29" s="105">
        <v>45323</v>
      </c>
      <c r="N29" s="105">
        <v>45352</v>
      </c>
      <c r="P29" s="21"/>
      <c r="Q29" s="22"/>
      <c r="R29" s="22"/>
      <c r="T29">
        <f t="shared" ref="T29:T35" si="7">IF(AND(D29&lt;&gt;"Total",D29&lt;&gt;"(blank)"),1,0)</f>
        <v>1</v>
      </c>
      <c r="U29" t="e">
        <f>IF(AND(#REF!&lt;&gt;"",J29&lt;&gt;"",K29&lt;&gt;"",L29&lt;&gt;"",M29&lt;&gt;"",N29&lt;&gt;""),1,0)</f>
        <v>#REF!</v>
      </c>
    </row>
    <row r="30" spans="3:21" ht="14.4" x14ac:dyDescent="0.3">
      <c r="D30" s="157" t="s">
        <v>704</v>
      </c>
      <c r="E30" s="193">
        <f>SUMIF(BS_Comm_Dem!$A:$A,'5.3 C&amp;D Community'!$D$5&amp;'5.3 C&amp;D Community'!$D30,BS_Comm_Dem!L:L)</f>
        <v>18</v>
      </c>
      <c r="F30" s="193">
        <f>SUMIF(BS_Comm_Dem!$A:$A,'5.3 C&amp;D Community'!$D$5&amp;'5.3 C&amp;D Community'!$D30,BS_Comm_Dem!M:M)</f>
        <v>18</v>
      </c>
      <c r="G30" s="193">
        <f>SUMIF(BS_Comm_Dem!$A:$A,'5.3 C&amp;D Community'!$D$5&amp;'5.3 C&amp;D Community'!$D30,BS_Comm_Dem!N:N)</f>
        <v>24</v>
      </c>
      <c r="H30" s="193">
        <f>SUMIF(BS_Comm_Dem!$A:$A,'5.3 C&amp;D Community'!$D$5&amp;'5.3 C&amp;D Community'!$D30,BS_Comm_Dem!O:O)</f>
        <v>24</v>
      </c>
      <c r="I30" s="194">
        <f>SUMIF(BS_Comm_Dem!$A:$A,'5.3 C&amp;D Community'!$D$5&amp;'5.3 C&amp;D Community'!$D30,BS_Comm_Dem!P:P)</f>
        <v>24</v>
      </c>
      <c r="J30" s="111">
        <v>18</v>
      </c>
      <c r="K30" s="111">
        <v>18</v>
      </c>
      <c r="L30" s="111">
        <v>24</v>
      </c>
      <c r="M30" s="111">
        <v>24</v>
      </c>
      <c r="N30" s="111">
        <v>24</v>
      </c>
      <c r="P30" s="21"/>
      <c r="Q30" s="17" t="str">
        <f>IF(AND(T30=1,U30=0),"No","Yes")</f>
        <v>Yes</v>
      </c>
      <c r="R30" s="22"/>
      <c r="S30" s="120">
        <f t="shared" si="5"/>
        <v>0</v>
      </c>
      <c r="T30">
        <f t="shared" si="7"/>
        <v>1</v>
      </c>
      <c r="U30">
        <f>IF(AND(J30&lt;&gt;"",K30&lt;&gt;"",L30&lt;&gt;"",M30&lt;&gt;"",N30&lt;&gt;""),1,0)</f>
        <v>1</v>
      </c>
    </row>
    <row r="31" spans="3:21" ht="14.4" x14ac:dyDescent="0.3">
      <c r="D31" s="158" t="s">
        <v>705</v>
      </c>
      <c r="E31" s="193">
        <f>SUMIF(BS_Comm_Dem!$A:$A,'5.3 C&amp;D Community'!$D$5&amp;'5.3 C&amp;D Community'!$D31,BS_Comm_Dem!L:L)</f>
        <v>229</v>
      </c>
      <c r="F31" s="193">
        <f>SUMIF(BS_Comm_Dem!$A:$A,'5.3 C&amp;D Community'!$D$5&amp;'5.3 C&amp;D Community'!$D31,BS_Comm_Dem!M:M)</f>
        <v>210</v>
      </c>
      <c r="G31" s="193">
        <f>SUMIF(BS_Comm_Dem!$A:$A,'5.3 C&amp;D Community'!$D$5&amp;'5.3 C&amp;D Community'!$D31,BS_Comm_Dem!N:N)</f>
        <v>240</v>
      </c>
      <c r="H31" s="193">
        <f>SUMIF(BS_Comm_Dem!$A:$A,'5.3 C&amp;D Community'!$D$5&amp;'5.3 C&amp;D Community'!$D31,BS_Comm_Dem!O:O)</f>
        <v>246</v>
      </c>
      <c r="I31" s="194">
        <f>SUMIF(BS_Comm_Dem!$A:$A,'5.3 C&amp;D Community'!$D$5&amp;'5.3 C&amp;D Community'!$D31,BS_Comm_Dem!P:P)</f>
        <v>277</v>
      </c>
      <c r="J31" s="84">
        <v>229</v>
      </c>
      <c r="K31" s="84">
        <v>210</v>
      </c>
      <c r="L31" s="84">
        <v>240</v>
      </c>
      <c r="M31" s="84">
        <v>246</v>
      </c>
      <c r="N31" s="84">
        <v>277</v>
      </c>
      <c r="P31" s="21"/>
      <c r="Q31" s="17" t="str">
        <f t="shared" ref="Q31:Q32" si="8">IF(AND(T31=1,U31=0),"No","Yes")</f>
        <v>Yes</v>
      </c>
      <c r="R31" s="22"/>
      <c r="S31" s="120">
        <f t="shared" si="5"/>
        <v>0</v>
      </c>
      <c r="T31">
        <f t="shared" si="7"/>
        <v>1</v>
      </c>
      <c r="U31">
        <f t="shared" ref="U31:U35" si="9">IF(AND(J31&lt;&gt;"",K31&lt;&gt;"",L31&lt;&gt;"",M31&lt;&gt;"",N31&lt;&gt;""),1,0)</f>
        <v>1</v>
      </c>
    </row>
    <row r="32" spans="3:21" ht="14.4" x14ac:dyDescent="0.3">
      <c r="D32" s="159" t="s">
        <v>706</v>
      </c>
      <c r="E32" s="193">
        <f>SUMIF(BS_Comm_Dem!$A:$A,'5.3 C&amp;D Community'!$D$5&amp;'5.3 C&amp;D Community'!$D32,BS_Comm_Dem!L:L)</f>
        <v>1255</v>
      </c>
      <c r="F32" s="193">
        <f>SUMIF(BS_Comm_Dem!$A:$A,'5.3 C&amp;D Community'!$D$5&amp;'5.3 C&amp;D Community'!$D32,BS_Comm_Dem!M:M)</f>
        <v>1205</v>
      </c>
      <c r="G32" s="193">
        <f>SUMIF(BS_Comm_Dem!$A:$A,'5.3 C&amp;D Community'!$D$5&amp;'5.3 C&amp;D Community'!$D32,BS_Comm_Dem!N:N)</f>
        <v>1366</v>
      </c>
      <c r="H32" s="193">
        <f>SUMIF(BS_Comm_Dem!$A:$A,'5.3 C&amp;D Community'!$D$5&amp;'5.3 C&amp;D Community'!$D32,BS_Comm_Dem!O:O)</f>
        <v>1196</v>
      </c>
      <c r="I32" s="194">
        <f>SUMIF(BS_Comm_Dem!$A:$A,'5.3 C&amp;D Community'!$D$5&amp;'5.3 C&amp;D Community'!$D32,BS_Comm_Dem!P:P)</f>
        <v>1254</v>
      </c>
      <c r="J32" s="84">
        <v>1255</v>
      </c>
      <c r="K32" s="84">
        <v>1205</v>
      </c>
      <c r="L32" s="84">
        <v>1270</v>
      </c>
      <c r="M32" s="84">
        <v>1196</v>
      </c>
      <c r="N32" s="84">
        <v>1254</v>
      </c>
      <c r="P32" s="21"/>
      <c r="Q32" s="17" t="str">
        <f t="shared" si="8"/>
        <v>Yes</v>
      </c>
      <c r="R32" s="22"/>
      <c r="S32" s="120">
        <f t="shared" si="5"/>
        <v>0</v>
      </c>
      <c r="T32">
        <f t="shared" si="7"/>
        <v>1</v>
      </c>
      <c r="U32">
        <f t="shared" si="9"/>
        <v>1</v>
      </c>
    </row>
    <row r="33" spans="4:21" ht="14.4" x14ac:dyDescent="0.3">
      <c r="D33" s="159" t="s">
        <v>707</v>
      </c>
      <c r="E33" s="193">
        <f>SUMIF(BS_Comm_Dem!$A:$A,'5.3 C&amp;D Community'!$D$5&amp;'5.3 C&amp;D Community'!$D33,BS_Comm_Dem!L:L)</f>
        <v>8</v>
      </c>
      <c r="F33" s="193">
        <f>SUMIF(BS_Comm_Dem!$A:$A,'5.3 C&amp;D Community'!$D$5&amp;'5.3 C&amp;D Community'!$D33,BS_Comm_Dem!M:M)</f>
        <v>6</v>
      </c>
      <c r="G33" s="193">
        <f>SUMIF(BS_Comm_Dem!$A:$A,'5.3 C&amp;D Community'!$D$5&amp;'5.3 C&amp;D Community'!$D33,BS_Comm_Dem!N:N)</f>
        <v>2</v>
      </c>
      <c r="H33" s="193">
        <f>SUMIF(BS_Comm_Dem!$A:$A,'5.3 C&amp;D Community'!$D$5&amp;'5.3 C&amp;D Community'!$D33,BS_Comm_Dem!O:O)</f>
        <v>6</v>
      </c>
      <c r="I33" s="194">
        <f>SUMIF(BS_Comm_Dem!$A:$A,'5.3 C&amp;D Community'!$D$5&amp;'5.3 C&amp;D Community'!$D33,BS_Comm_Dem!P:P)</f>
        <v>0</v>
      </c>
      <c r="J33" s="114">
        <v>8</v>
      </c>
      <c r="K33" s="114">
        <v>6</v>
      </c>
      <c r="L33" s="114">
        <v>2</v>
      </c>
      <c r="M33" s="114">
        <v>6</v>
      </c>
      <c r="N33" s="114">
        <v>0</v>
      </c>
      <c r="P33" s="21"/>
      <c r="Q33" s="17" t="str">
        <f t="shared" ref="Q33:Q34" si="10">IF(AND(T33=1,U33=0),"No","Yes")</f>
        <v>Yes</v>
      </c>
      <c r="R33" s="22"/>
      <c r="S33" s="120">
        <f t="shared" si="5"/>
        <v>0</v>
      </c>
      <c r="T33">
        <f t="shared" si="7"/>
        <v>1</v>
      </c>
      <c r="U33">
        <f t="shared" si="9"/>
        <v>1</v>
      </c>
    </row>
    <row r="34" spans="4:21" ht="14.4" x14ac:dyDescent="0.3">
      <c r="D34" s="159" t="s">
        <v>708</v>
      </c>
      <c r="E34" s="195">
        <f>SUMIF(BS_Comm_Dem!$A:$A,'5.3 C&amp;D Community'!$D$5&amp;'5.3 C&amp;D Community'!$D34,BS_Comm_Dem!L:L)</f>
        <v>0</v>
      </c>
      <c r="F34" s="195">
        <f>SUMIF(BS_Comm_Dem!$A:$A,'5.3 C&amp;D Community'!$D$5&amp;'5.3 C&amp;D Community'!$D34,BS_Comm_Dem!M:M)</f>
        <v>0</v>
      </c>
      <c r="G34" s="195">
        <f>SUMIF(BS_Comm_Dem!$A:$A,'5.3 C&amp;D Community'!$D$5&amp;'5.3 C&amp;D Community'!$D34,BS_Comm_Dem!N:N)</f>
        <v>0</v>
      </c>
      <c r="H34" s="195">
        <f>SUMIF(BS_Comm_Dem!$A:$A,'5.3 C&amp;D Community'!$D$5&amp;'5.3 C&amp;D Community'!$D34,BS_Comm_Dem!O:O)</f>
        <v>0</v>
      </c>
      <c r="I34" s="196">
        <f>SUMIF(BS_Comm_Dem!$A:$A,'5.3 C&amp;D Community'!$D$5&amp;'5.3 C&amp;D Community'!$D34,BS_Comm_Dem!P:P)</f>
        <v>0</v>
      </c>
      <c r="J34" s="84">
        <v>0</v>
      </c>
      <c r="K34" s="84">
        <v>0</v>
      </c>
      <c r="L34" s="84">
        <v>0</v>
      </c>
      <c r="M34" s="84">
        <v>0</v>
      </c>
      <c r="N34" s="84">
        <v>0</v>
      </c>
      <c r="P34" s="21"/>
      <c r="Q34" s="163" t="str">
        <f t="shared" si="10"/>
        <v>Yes</v>
      </c>
      <c r="R34" s="22"/>
      <c r="S34" s="120">
        <f t="shared" si="5"/>
        <v>0</v>
      </c>
      <c r="T34">
        <f t="shared" si="7"/>
        <v>1</v>
      </c>
      <c r="U34">
        <f t="shared" si="9"/>
        <v>1</v>
      </c>
    </row>
    <row r="35" spans="4:21" ht="14.4" x14ac:dyDescent="0.3">
      <c r="P35" s="21"/>
      <c r="Q35" s="22"/>
      <c r="R35" s="22"/>
      <c r="S35" s="120">
        <f>SUM(S21:S34)</f>
        <v>0</v>
      </c>
      <c r="T35">
        <f t="shared" si="7"/>
        <v>1</v>
      </c>
      <c r="U35">
        <f t="shared" si="9"/>
        <v>0</v>
      </c>
    </row>
    <row r="36" spans="4:21" ht="14.4" x14ac:dyDescent="0.3"/>
    <row r="37" spans="4:21" ht="14.4" x14ac:dyDescent="0.3"/>
    <row r="38" spans="4:21" ht="14.4" x14ac:dyDescent="0.3"/>
    <row r="39" spans="4:21" ht="14.4" x14ac:dyDescent="0.3"/>
    <row r="40" spans="4:21" ht="14.4" x14ac:dyDescent="0.3"/>
    <row r="41" spans="4:21" ht="14.4" x14ac:dyDescent="0.3"/>
    <row r="42" spans="4:21" ht="14.4" x14ac:dyDescent="0.3"/>
    <row r="43" spans="4:21" ht="14.4" hidden="1" x14ac:dyDescent="0.3"/>
    <row r="44" spans="4:21" ht="14.4" x14ac:dyDescent="0.3"/>
    <row r="45" spans="4:21" ht="14.4" x14ac:dyDescent="0.3"/>
    <row r="46" spans="4:21" ht="14.4" hidden="1" x14ac:dyDescent="0.3"/>
    <row r="47" spans="4:21" ht="14.4" x14ac:dyDescent="0.3"/>
    <row r="48" spans="4:21" ht="14.4" x14ac:dyDescent="0.3"/>
    <row r="49" ht="14.4" x14ac:dyDescent="0.3"/>
    <row r="50" ht="14.4" x14ac:dyDescent="0.3"/>
    <row r="51" ht="14.4" x14ac:dyDescent="0.3"/>
  </sheetData>
  <sheetProtection algorithmName="SHA-512" hashValue="FQbcg7xGGM9G65pN9Dpy3rCF5PtGgNRVUOikpZrUtS4FwHMHxDuSv+s/gqwSZuIajGXkPSB8wIaLfChq7XbFdQ==" saltValue="sDf3Dc1b1NVHwe0lBBAv4g==" spinCount="100000" sheet="1" objects="1" scenarios="1" formatColumns="0" formatRows="0" selectLockedCells="1" autoFilter="0"/>
  <mergeCells count="3">
    <mergeCell ref="C2:D2"/>
    <mergeCell ref="E26:G26"/>
    <mergeCell ref="C19:D19"/>
  </mergeCells>
  <conditionalFormatting sqref="Q21:Q25 Q30:Q34">
    <cfRule type="cellIs" dxfId="0" priority="1" operator="equal">
      <formula>"Yes"</formula>
    </cfRule>
  </conditionalFormatting>
  <dataValidations count="1">
    <dataValidation type="decimal" operator="greaterThan" allowBlank="1" showInputMessage="1" showErrorMessage="1" error="Please enter a non-negative number" sqref="E21:N25 E30:N34" xr:uid="{B163D3D0-D09D-49E7-9523-2CF837ABE663}">
      <formula1>-1</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94F9-DFC7-4B91-B4FD-02BC127F9C61}">
  <dimension ref="A1:F15"/>
  <sheetViews>
    <sheetView workbookViewId="0">
      <selection activeCell="F8" sqref="F8"/>
    </sheetView>
  </sheetViews>
  <sheetFormatPr defaultRowHeight="14.4" x14ac:dyDescent="0.3"/>
  <cols>
    <col min="1" max="2" width="39.6640625" customWidth="1"/>
    <col min="5" max="6" width="43.44140625" customWidth="1"/>
  </cols>
  <sheetData>
    <row r="1" spans="1:6" s="9" customFormat="1" x14ac:dyDescent="0.3">
      <c r="A1" s="9" t="s">
        <v>714</v>
      </c>
      <c r="B1" s="9" t="s">
        <v>715</v>
      </c>
      <c r="E1" s="9" t="s">
        <v>716</v>
      </c>
      <c r="F1" s="9" t="s">
        <v>717</v>
      </c>
    </row>
    <row r="2" spans="1:6" x14ac:dyDescent="0.3">
      <c r="A2" s="14" t="s">
        <v>682</v>
      </c>
      <c r="B2" s="14" t="s">
        <v>682</v>
      </c>
      <c r="E2" t="s">
        <v>704</v>
      </c>
      <c r="F2" t="s">
        <v>704</v>
      </c>
    </row>
    <row r="3" spans="1:6" ht="28.8" x14ac:dyDescent="0.3">
      <c r="A3" s="14" t="s">
        <v>718</v>
      </c>
      <c r="B3" s="14" t="s">
        <v>683</v>
      </c>
      <c r="E3" t="s">
        <v>705</v>
      </c>
      <c r="F3" t="s">
        <v>705</v>
      </c>
    </row>
    <row r="4" spans="1:6" ht="28.8" x14ac:dyDescent="0.3">
      <c r="A4" s="14" t="s">
        <v>719</v>
      </c>
      <c r="B4" s="14" t="s">
        <v>683</v>
      </c>
      <c r="E4" t="s">
        <v>720</v>
      </c>
      <c r="F4" t="s">
        <v>706</v>
      </c>
    </row>
    <row r="5" spans="1:6" x14ac:dyDescent="0.3">
      <c r="A5" s="14" t="s">
        <v>684</v>
      </c>
      <c r="B5" s="14" t="s">
        <v>684</v>
      </c>
      <c r="E5" t="s">
        <v>721</v>
      </c>
      <c r="F5" t="s">
        <v>706</v>
      </c>
    </row>
    <row r="6" spans="1:6" ht="28.8" x14ac:dyDescent="0.3">
      <c r="A6" s="14" t="s">
        <v>722</v>
      </c>
      <c r="B6" s="14" t="s">
        <v>685</v>
      </c>
      <c r="E6" t="s">
        <v>723</v>
      </c>
      <c r="F6" t="s">
        <v>707</v>
      </c>
    </row>
    <row r="7" spans="1:6" ht="28.8" x14ac:dyDescent="0.3">
      <c r="A7" s="14" t="s">
        <v>724</v>
      </c>
      <c r="B7" s="14" t="s">
        <v>685</v>
      </c>
      <c r="E7" t="s">
        <v>725</v>
      </c>
      <c r="F7" t="s">
        <v>707</v>
      </c>
    </row>
    <row r="8" spans="1:6" ht="43.2" x14ac:dyDescent="0.3">
      <c r="A8" s="14" t="s">
        <v>686</v>
      </c>
      <c r="B8" s="14" t="s">
        <v>686</v>
      </c>
      <c r="E8" t="s">
        <v>708</v>
      </c>
      <c r="F8" t="s">
        <v>708</v>
      </c>
    </row>
    <row r="9" spans="1:6" x14ac:dyDescent="0.3">
      <c r="A9" s="14" t="s">
        <v>726</v>
      </c>
      <c r="B9" s="14" t="s">
        <v>682</v>
      </c>
      <c r="E9" t="s">
        <v>727</v>
      </c>
      <c r="F9" t="s">
        <v>706</v>
      </c>
    </row>
    <row r="10" spans="1:6" ht="28.8" x14ac:dyDescent="0.3">
      <c r="A10" s="14" t="s">
        <v>728</v>
      </c>
      <c r="B10" s="14" t="s">
        <v>683</v>
      </c>
      <c r="E10" t="s">
        <v>729</v>
      </c>
      <c r="F10" t="s">
        <v>706</v>
      </c>
    </row>
    <row r="11" spans="1:6" ht="28.8" x14ac:dyDescent="0.3">
      <c r="A11" s="14" t="s">
        <v>721</v>
      </c>
      <c r="B11" s="14" t="s">
        <v>683</v>
      </c>
    </row>
    <row r="12" spans="1:6" x14ac:dyDescent="0.3">
      <c r="A12" s="14" t="s">
        <v>730</v>
      </c>
      <c r="B12" s="14" t="s">
        <v>684</v>
      </c>
    </row>
    <row r="13" spans="1:6" ht="28.8" x14ac:dyDescent="0.3">
      <c r="A13" s="14" t="s">
        <v>723</v>
      </c>
      <c r="B13" s="14" t="s">
        <v>685</v>
      </c>
    </row>
    <row r="14" spans="1:6" ht="28.8" x14ac:dyDescent="0.3">
      <c r="A14" s="14" t="s">
        <v>725</v>
      </c>
      <c r="B14" s="14" t="s">
        <v>685</v>
      </c>
    </row>
    <row r="15" spans="1:6" ht="43.2" x14ac:dyDescent="0.3">
      <c r="A15" s="14" t="s">
        <v>731</v>
      </c>
      <c r="B15" s="14" t="s">
        <v>686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92A5-284E-4BAE-823D-DE7C0353ED94}">
  <dimension ref="A1:U2437"/>
  <sheetViews>
    <sheetView zoomScale="80" zoomScaleNormal="80" workbookViewId="0">
      <pane ySplit="1" topLeftCell="A2" activePane="bottomLeft" state="frozen"/>
      <selection activeCell="F8" sqref="F8"/>
      <selection pane="bottomLeft"/>
    </sheetView>
  </sheetViews>
  <sheetFormatPr defaultRowHeight="14.4" x14ac:dyDescent="0.3"/>
  <cols>
    <col min="1" max="1" width="86.5546875" customWidth="1"/>
    <col min="3" max="3" width="51.33203125" customWidth="1"/>
    <col min="4" max="4" width="64.44140625" customWidth="1"/>
    <col min="5" max="5" width="28.5546875" style="117" customWidth="1"/>
    <col min="6" max="6" width="55.88671875" customWidth="1"/>
    <col min="7" max="7" width="57.88671875" customWidth="1"/>
    <col min="8" max="18" width="13" bestFit="1" customWidth="1"/>
    <col min="19" max="19" width="13" customWidth="1"/>
    <col min="20" max="20" width="13" bestFit="1" customWidth="1"/>
  </cols>
  <sheetData>
    <row r="1" spans="1:21" s="9" customFormat="1" x14ac:dyDescent="0.3">
      <c r="A1" s="9" t="s">
        <v>732</v>
      </c>
      <c r="B1" s="9" t="s">
        <v>733</v>
      </c>
      <c r="C1" s="9" t="s">
        <v>734</v>
      </c>
      <c r="D1" s="9" t="s">
        <v>735</v>
      </c>
      <c r="E1" s="9" t="s">
        <v>443</v>
      </c>
      <c r="F1" s="9" t="s">
        <v>736</v>
      </c>
      <c r="G1" s="9" t="s">
        <v>695</v>
      </c>
      <c r="H1" s="9" t="s">
        <v>737</v>
      </c>
      <c r="I1" s="9" t="s">
        <v>738</v>
      </c>
      <c r="J1" s="9" t="s">
        <v>739</v>
      </c>
      <c r="K1" s="9" t="s">
        <v>740</v>
      </c>
      <c r="L1" s="9" t="s">
        <v>741</v>
      </c>
      <c r="M1" s="9" t="s">
        <v>742</v>
      </c>
      <c r="N1" s="9" t="s">
        <v>743</v>
      </c>
      <c r="O1" s="9" t="s">
        <v>744</v>
      </c>
      <c r="P1" s="9" t="s">
        <v>745</v>
      </c>
      <c r="Q1" s="9" t="s">
        <v>746</v>
      </c>
      <c r="R1" s="9" t="s">
        <v>747</v>
      </c>
      <c r="S1" s="9" t="s">
        <v>748</v>
      </c>
      <c r="T1" s="9" t="s">
        <v>393</v>
      </c>
      <c r="U1" s="9" t="s">
        <v>749</v>
      </c>
    </row>
    <row r="2" spans="1:21" x14ac:dyDescent="0.3">
      <c r="A2" t="str">
        <f t="shared" ref="A2:A65" si="0">IF(B2="","",E2&amp;D2&amp;B2)</f>
        <v>Barking and DagenhamSocial support (including VCS) (pathway 0)1</v>
      </c>
      <c r="B2">
        <f>IF(C2="","",COUNTIF($C$2:C2,C2))</f>
        <v>1</v>
      </c>
      <c r="C2" t="str">
        <f t="shared" ref="C2:C65" si="1">IF(T2=0,"",E2&amp;G2)</f>
        <v>Barking and DagenhamSocial support (including VCS) (pathway 0)</v>
      </c>
      <c r="D2" t="str">
        <f>VLOOKUP(G2,PathwayLookup!A:B,2,0)</f>
        <v>Social support (including VCS) (pathway 0)</v>
      </c>
      <c r="E2" t="s">
        <v>65</v>
      </c>
      <c r="F2" t="s">
        <v>453</v>
      </c>
      <c r="G2" t="s">
        <v>682</v>
      </c>
      <c r="H2">
        <v>36</v>
      </c>
      <c r="I2">
        <v>39</v>
      </c>
      <c r="J2">
        <v>41</v>
      </c>
      <c r="K2">
        <v>43</v>
      </c>
      <c r="L2">
        <v>45</v>
      </c>
      <c r="M2">
        <v>47</v>
      </c>
      <c r="N2">
        <v>50</v>
      </c>
      <c r="O2">
        <v>52</v>
      </c>
      <c r="P2">
        <v>54</v>
      </c>
      <c r="Q2">
        <v>56</v>
      </c>
      <c r="R2">
        <v>59</v>
      </c>
      <c r="S2">
        <v>61</v>
      </c>
      <c r="T2">
        <f t="shared" ref="T2:T65" si="2">SUM(H2:S2)</f>
        <v>583</v>
      </c>
      <c r="U2">
        <v>1</v>
      </c>
    </row>
    <row r="3" spans="1:21" x14ac:dyDescent="0.3">
      <c r="A3" t="str">
        <f t="shared" si="0"/>
        <v>Barking and DagenhamReablement &amp; Rehabilitation at home  (pathway 1)1</v>
      </c>
      <c r="B3">
        <f>IF(C3="","",COUNTIF($C$2:C3,C3))</f>
        <v>1</v>
      </c>
      <c r="C3" t="str">
        <f t="shared" si="1"/>
        <v>Barking and DagenhamReablement at home  (pathway 1)</v>
      </c>
      <c r="D3" t="str">
        <f>VLOOKUP(G3,PathwayLookup!A:B,2,0)</f>
        <v>Reablement &amp; Rehabilitation at home  (pathway 1)</v>
      </c>
      <c r="E3" t="s">
        <v>65</v>
      </c>
      <c r="F3" t="s">
        <v>453</v>
      </c>
      <c r="G3" t="s">
        <v>718</v>
      </c>
      <c r="H3">
        <v>64</v>
      </c>
      <c r="I3">
        <v>64</v>
      </c>
      <c r="J3">
        <v>64</v>
      </c>
      <c r="K3">
        <v>64</v>
      </c>
      <c r="L3">
        <v>64</v>
      </c>
      <c r="M3">
        <v>64</v>
      </c>
      <c r="N3">
        <v>67</v>
      </c>
      <c r="O3">
        <v>67</v>
      </c>
      <c r="P3">
        <v>67</v>
      </c>
      <c r="Q3">
        <v>67</v>
      </c>
      <c r="R3">
        <v>67</v>
      </c>
      <c r="S3">
        <v>67</v>
      </c>
      <c r="T3">
        <f t="shared" si="2"/>
        <v>786</v>
      </c>
      <c r="U3">
        <v>1</v>
      </c>
    </row>
    <row r="4" spans="1:21" x14ac:dyDescent="0.3">
      <c r="A4" t="str">
        <f t="shared" si="0"/>
        <v>Barking and DagenhamReablement &amp; Rehabilitation at home  (pathway 1)1</v>
      </c>
      <c r="B4">
        <f>IF(C4="","",COUNTIF($C$2:C4,C4))</f>
        <v>1</v>
      </c>
      <c r="C4" t="str">
        <f t="shared" si="1"/>
        <v>Barking and DagenhamRehabilitation at home (pathway 1)</v>
      </c>
      <c r="D4" t="str">
        <f>VLOOKUP(G4,PathwayLookup!A:B,2,0)</f>
        <v>Reablement &amp; Rehabilitation at home  (pathway 1)</v>
      </c>
      <c r="E4" t="s">
        <v>65</v>
      </c>
      <c r="F4" t="s">
        <v>453</v>
      </c>
      <c r="G4" t="s">
        <v>719</v>
      </c>
      <c r="H4">
        <v>19.5</v>
      </c>
      <c r="I4">
        <v>21</v>
      </c>
      <c r="J4">
        <v>20</v>
      </c>
      <c r="K4">
        <v>19.5</v>
      </c>
      <c r="L4">
        <v>20</v>
      </c>
      <c r="M4">
        <v>10</v>
      </c>
      <c r="N4">
        <v>11.7</v>
      </c>
      <c r="O4">
        <v>11.7</v>
      </c>
      <c r="P4">
        <v>13</v>
      </c>
      <c r="Q4">
        <v>21</v>
      </c>
      <c r="R4">
        <v>18</v>
      </c>
      <c r="S4">
        <v>18</v>
      </c>
      <c r="T4">
        <f t="shared" si="2"/>
        <v>203.4</v>
      </c>
      <c r="U4">
        <v>1</v>
      </c>
    </row>
    <row r="5" spans="1:21" x14ac:dyDescent="0.3">
      <c r="A5" t="str">
        <f t="shared" si="0"/>
        <v>Barking and DagenhamReablement &amp; Rehabilitation in a bedded setting (pathway 2)1</v>
      </c>
      <c r="B5">
        <f>IF(C5="","",COUNTIF($C$2:C5,C5))</f>
        <v>1</v>
      </c>
      <c r="C5" t="str">
        <f t="shared" si="1"/>
        <v>Barking and DagenhamRehabilitation in a bedded setting (pathway 2)</v>
      </c>
      <c r="D5" t="str">
        <f>VLOOKUP(G5,PathwayLookup!A:B,2,0)</f>
        <v>Reablement &amp; Rehabilitation in a bedded setting (pathway 2)</v>
      </c>
      <c r="E5" t="s">
        <v>65</v>
      </c>
      <c r="F5" t="s">
        <v>453</v>
      </c>
      <c r="G5" t="s">
        <v>724</v>
      </c>
      <c r="H5">
        <v>15</v>
      </c>
      <c r="I5">
        <v>14</v>
      </c>
      <c r="J5">
        <v>14</v>
      </c>
      <c r="K5">
        <v>14</v>
      </c>
      <c r="L5">
        <v>14</v>
      </c>
      <c r="M5">
        <v>14</v>
      </c>
      <c r="N5">
        <v>14</v>
      </c>
      <c r="O5">
        <v>15</v>
      </c>
      <c r="P5">
        <v>15</v>
      </c>
      <c r="Q5">
        <v>15</v>
      </c>
      <c r="R5">
        <v>15</v>
      </c>
      <c r="S5">
        <v>15</v>
      </c>
      <c r="T5">
        <f t="shared" si="2"/>
        <v>174</v>
      </c>
      <c r="U5">
        <v>1</v>
      </c>
    </row>
    <row r="6" spans="1:21" x14ac:dyDescent="0.3">
      <c r="A6" t="str">
        <f t="shared" si="0"/>
        <v>Barking and DagenhamShort-term residential/nursing care for someone likely to require a longer-term care home placement (pathway 3)1</v>
      </c>
      <c r="B6">
        <f>IF(C6="","",COUNTIF($C$2:C6,C6))</f>
        <v>1</v>
      </c>
      <c r="C6" t="str">
        <f t="shared" si="1"/>
        <v>Barking and DagenhamShort-term residential/nursing care for someone likely to require a longer-term care home placement (pathway 3)</v>
      </c>
      <c r="D6" t="str">
        <f>VLOOKUP(G6,PathwayLookup!A:B,2,0)</f>
        <v>Short-term residential/nursing care for someone likely to require a longer-term care home placement (pathway 3)</v>
      </c>
      <c r="E6" t="s">
        <v>65</v>
      </c>
      <c r="F6" t="s">
        <v>453</v>
      </c>
      <c r="G6" t="s">
        <v>686</v>
      </c>
      <c r="H6">
        <v>3</v>
      </c>
      <c r="I6">
        <v>3</v>
      </c>
      <c r="J6">
        <v>3</v>
      </c>
      <c r="K6">
        <v>3</v>
      </c>
      <c r="L6">
        <v>3</v>
      </c>
      <c r="M6">
        <v>3</v>
      </c>
      <c r="N6">
        <v>3</v>
      </c>
      <c r="O6">
        <v>3</v>
      </c>
      <c r="P6">
        <v>3</v>
      </c>
      <c r="Q6">
        <v>3</v>
      </c>
      <c r="R6">
        <v>3</v>
      </c>
      <c r="S6">
        <v>3</v>
      </c>
      <c r="T6">
        <f t="shared" si="2"/>
        <v>36</v>
      </c>
      <c r="U6">
        <v>1</v>
      </c>
    </row>
    <row r="7" spans="1:21" x14ac:dyDescent="0.3">
      <c r="A7" t="str">
        <f t="shared" si="0"/>
        <v>BarnetSocial support (including VCS) (pathway 0)1</v>
      </c>
      <c r="B7">
        <f>IF(C7="","",COUNTIF($C$2:C7,C7))</f>
        <v>1</v>
      </c>
      <c r="C7" t="str">
        <f t="shared" si="1"/>
        <v>BarnetSocial support (including VCS) (pathway 0)</v>
      </c>
      <c r="D7" t="str">
        <f>VLOOKUP(G7,PathwayLookup!A:B,2,0)</f>
        <v>Social support (including VCS) (pathway 0)</v>
      </c>
      <c r="E7" t="s">
        <v>67</v>
      </c>
      <c r="F7" t="s">
        <v>557</v>
      </c>
      <c r="G7" t="s">
        <v>682</v>
      </c>
      <c r="H7">
        <v>1</v>
      </c>
      <c r="I7">
        <v>1</v>
      </c>
      <c r="J7">
        <v>1</v>
      </c>
      <c r="K7">
        <v>1</v>
      </c>
      <c r="L7">
        <v>1</v>
      </c>
      <c r="M7">
        <v>1</v>
      </c>
      <c r="N7">
        <v>1</v>
      </c>
      <c r="O7">
        <v>1</v>
      </c>
      <c r="P7">
        <v>1</v>
      </c>
      <c r="Q7">
        <v>1</v>
      </c>
      <c r="R7">
        <v>1</v>
      </c>
      <c r="S7">
        <v>1</v>
      </c>
      <c r="T7">
        <f t="shared" si="2"/>
        <v>12</v>
      </c>
      <c r="U7">
        <v>1</v>
      </c>
    </row>
    <row r="8" spans="1:21" x14ac:dyDescent="0.3">
      <c r="A8" t="str">
        <f t="shared" si="0"/>
        <v>BarnetSocial support (including VCS) (pathway 0)2</v>
      </c>
      <c r="B8">
        <f>IF(C8="","",COUNTIF($C$2:C8,C8))</f>
        <v>2</v>
      </c>
      <c r="C8" t="str">
        <f t="shared" si="1"/>
        <v>BarnetSocial support (including VCS) (pathway 0)</v>
      </c>
      <c r="D8" t="str">
        <f>VLOOKUP(G8,PathwayLookup!A:B,2,0)</f>
        <v>Social support (including VCS) (pathway 0)</v>
      </c>
      <c r="E8" t="s">
        <v>67</v>
      </c>
      <c r="F8" t="s">
        <v>578</v>
      </c>
      <c r="G8" t="s">
        <v>682</v>
      </c>
      <c r="H8">
        <v>70</v>
      </c>
      <c r="I8">
        <v>70</v>
      </c>
      <c r="J8">
        <v>70</v>
      </c>
      <c r="K8">
        <v>70</v>
      </c>
      <c r="L8">
        <v>70</v>
      </c>
      <c r="M8">
        <v>70</v>
      </c>
      <c r="N8">
        <v>70</v>
      </c>
      <c r="O8">
        <v>70</v>
      </c>
      <c r="P8">
        <v>70</v>
      </c>
      <c r="Q8">
        <v>70</v>
      </c>
      <c r="R8">
        <v>70</v>
      </c>
      <c r="S8">
        <v>70</v>
      </c>
      <c r="T8">
        <f t="shared" si="2"/>
        <v>840</v>
      </c>
      <c r="U8">
        <v>1</v>
      </c>
    </row>
    <row r="9" spans="1:21" x14ac:dyDescent="0.3">
      <c r="A9" t="str">
        <f t="shared" si="0"/>
        <v>BarnetSocial support (including VCS) (pathway 0)3</v>
      </c>
      <c r="B9">
        <f>IF(C9="","",COUNTIF($C$2:C9,C9))</f>
        <v>3</v>
      </c>
      <c r="C9" t="str">
        <f t="shared" si="1"/>
        <v>BarnetSocial support (including VCS) (pathway 0)</v>
      </c>
      <c r="D9" t="str">
        <f>VLOOKUP(G9,PathwayLookup!A:B,2,0)</f>
        <v>Social support (including VCS) (pathway 0)</v>
      </c>
      <c r="E9" t="s">
        <v>67</v>
      </c>
      <c r="F9" t="s">
        <v>626</v>
      </c>
      <c r="G9" t="s">
        <v>682</v>
      </c>
      <c r="H9">
        <v>1</v>
      </c>
      <c r="I9">
        <v>1</v>
      </c>
      <c r="J9">
        <v>1</v>
      </c>
      <c r="K9">
        <v>1</v>
      </c>
      <c r="L9">
        <v>1</v>
      </c>
      <c r="M9">
        <v>1</v>
      </c>
      <c r="N9">
        <v>1</v>
      </c>
      <c r="O9">
        <v>1</v>
      </c>
      <c r="P9">
        <v>1</v>
      </c>
      <c r="Q9">
        <v>1</v>
      </c>
      <c r="R9">
        <v>1</v>
      </c>
      <c r="S9">
        <v>1</v>
      </c>
      <c r="T9">
        <f t="shared" si="2"/>
        <v>12</v>
      </c>
      <c r="U9">
        <v>1</v>
      </c>
    </row>
    <row r="10" spans="1:21" x14ac:dyDescent="0.3">
      <c r="A10" t="str">
        <f t="shared" si="0"/>
        <v>BarnetSocial support (including VCS) (pathway 0)4</v>
      </c>
      <c r="B10">
        <f>IF(C10="","",COUNTIF($C$2:C10,C10))</f>
        <v>4</v>
      </c>
      <c r="C10" t="str">
        <f t="shared" si="1"/>
        <v>BarnetSocial support (including VCS) (pathway 0)</v>
      </c>
      <c r="D10" t="str">
        <f>VLOOKUP(G10,PathwayLookup!A:B,2,0)</f>
        <v>Social support (including VCS) (pathway 0)</v>
      </c>
      <c r="E10" t="s">
        <v>67</v>
      </c>
      <c r="F10" t="s">
        <v>643</v>
      </c>
      <c r="G10" t="s">
        <v>682</v>
      </c>
      <c r="H10">
        <v>1</v>
      </c>
      <c r="I10">
        <v>1</v>
      </c>
      <c r="J10">
        <v>1</v>
      </c>
      <c r="K10">
        <v>1</v>
      </c>
      <c r="L10">
        <v>1</v>
      </c>
      <c r="M10">
        <v>1</v>
      </c>
      <c r="N10">
        <v>1</v>
      </c>
      <c r="O10">
        <v>1</v>
      </c>
      <c r="P10">
        <v>1</v>
      </c>
      <c r="Q10">
        <v>1</v>
      </c>
      <c r="R10">
        <v>1</v>
      </c>
      <c r="S10">
        <v>1</v>
      </c>
      <c r="T10">
        <f t="shared" si="2"/>
        <v>12</v>
      </c>
      <c r="U10">
        <v>1</v>
      </c>
    </row>
    <row r="11" spans="1:21" x14ac:dyDescent="0.3">
      <c r="A11" t="str">
        <f t="shared" si="0"/>
        <v>BarnetReablement &amp; Rehabilitation at home  (pathway 1)1</v>
      </c>
      <c r="B11">
        <f>IF(C11="","",COUNTIF($C$2:C11,C11))</f>
        <v>1</v>
      </c>
      <c r="C11" t="str">
        <f t="shared" si="1"/>
        <v>BarnetReablement at home  (pathway 1)</v>
      </c>
      <c r="D11" t="str">
        <f>VLOOKUP(G11,PathwayLookup!A:B,2,0)</f>
        <v>Reablement &amp; Rehabilitation at home  (pathway 1)</v>
      </c>
      <c r="E11" t="s">
        <v>67</v>
      </c>
      <c r="F11" t="s">
        <v>557</v>
      </c>
      <c r="G11" t="s">
        <v>718</v>
      </c>
      <c r="H11">
        <v>1</v>
      </c>
      <c r="I11">
        <v>1</v>
      </c>
      <c r="J11">
        <v>1</v>
      </c>
      <c r="K11">
        <v>1</v>
      </c>
      <c r="L11">
        <v>0</v>
      </c>
      <c r="M11">
        <v>1</v>
      </c>
      <c r="N11">
        <v>1</v>
      </c>
      <c r="O11">
        <v>1</v>
      </c>
      <c r="P11">
        <v>1</v>
      </c>
      <c r="Q11">
        <v>2</v>
      </c>
      <c r="R11">
        <v>1</v>
      </c>
      <c r="S11">
        <v>0</v>
      </c>
      <c r="T11">
        <f t="shared" si="2"/>
        <v>11</v>
      </c>
      <c r="U11">
        <v>1</v>
      </c>
    </row>
    <row r="12" spans="1:21" x14ac:dyDescent="0.3">
      <c r="A12" t="str">
        <f t="shared" si="0"/>
        <v>BarnetReablement &amp; Rehabilitation at home  (pathway 1)2</v>
      </c>
      <c r="B12">
        <f>IF(C12="","",COUNTIF($C$2:C12,C12))</f>
        <v>2</v>
      </c>
      <c r="C12" t="str">
        <f t="shared" si="1"/>
        <v>BarnetReablement at home  (pathway 1)</v>
      </c>
      <c r="D12" t="str">
        <f>VLOOKUP(G12,PathwayLookup!A:B,2,0)</f>
        <v>Reablement &amp; Rehabilitation at home  (pathway 1)</v>
      </c>
      <c r="E12" t="s">
        <v>67</v>
      </c>
      <c r="F12" t="s">
        <v>578</v>
      </c>
      <c r="G12" t="s">
        <v>718</v>
      </c>
      <c r="H12">
        <v>195</v>
      </c>
      <c r="I12">
        <v>224</v>
      </c>
      <c r="J12">
        <v>183</v>
      </c>
      <c r="K12">
        <v>166</v>
      </c>
      <c r="L12">
        <v>157</v>
      </c>
      <c r="M12">
        <v>167</v>
      </c>
      <c r="N12">
        <v>167</v>
      </c>
      <c r="O12">
        <v>186</v>
      </c>
      <c r="P12">
        <v>197</v>
      </c>
      <c r="Q12">
        <v>216</v>
      </c>
      <c r="R12">
        <v>185</v>
      </c>
      <c r="S12">
        <v>158</v>
      </c>
      <c r="T12">
        <f t="shared" si="2"/>
        <v>2201</v>
      </c>
      <c r="U12">
        <v>1</v>
      </c>
    </row>
    <row r="13" spans="1:21" x14ac:dyDescent="0.3">
      <c r="A13" t="str">
        <f t="shared" si="0"/>
        <v>BarnetReablement &amp; Rehabilitation at home  (pathway 1)3</v>
      </c>
      <c r="B13">
        <f>IF(C13="","",COUNTIF($C$2:C13,C13))</f>
        <v>3</v>
      </c>
      <c r="C13" t="str">
        <f t="shared" si="1"/>
        <v>BarnetReablement at home  (pathway 1)</v>
      </c>
      <c r="D13" t="str">
        <f>VLOOKUP(G13,PathwayLookup!A:B,2,0)</f>
        <v>Reablement &amp; Rehabilitation at home  (pathway 1)</v>
      </c>
      <c r="E13" t="s">
        <v>67</v>
      </c>
      <c r="F13" t="s">
        <v>626</v>
      </c>
      <c r="G13" t="s">
        <v>718</v>
      </c>
      <c r="H13">
        <v>21</v>
      </c>
      <c r="I13">
        <v>19</v>
      </c>
      <c r="J13">
        <v>17</v>
      </c>
      <c r="K13">
        <v>15</v>
      </c>
      <c r="L13">
        <v>17</v>
      </c>
      <c r="M13">
        <v>19</v>
      </c>
      <c r="N13">
        <v>25</v>
      </c>
      <c r="O13">
        <v>24</v>
      </c>
      <c r="P13">
        <v>24</v>
      </c>
      <c r="Q13">
        <v>22</v>
      </c>
      <c r="R13">
        <v>23</v>
      </c>
      <c r="S13">
        <v>15</v>
      </c>
      <c r="T13">
        <f t="shared" si="2"/>
        <v>241</v>
      </c>
      <c r="U13">
        <v>1</v>
      </c>
    </row>
    <row r="14" spans="1:21" x14ac:dyDescent="0.3">
      <c r="A14" t="str">
        <f t="shared" si="0"/>
        <v>BarnetReablement &amp; Rehabilitation at home  (pathway 1)4</v>
      </c>
      <c r="B14">
        <f>IF(C14="","",COUNTIF($C$2:C14,C14))</f>
        <v>4</v>
      </c>
      <c r="C14" t="str">
        <f t="shared" si="1"/>
        <v>BarnetReablement at home  (pathway 1)</v>
      </c>
      <c r="D14" t="str">
        <f>VLOOKUP(G14,PathwayLookup!A:B,2,0)</f>
        <v>Reablement &amp; Rehabilitation at home  (pathway 1)</v>
      </c>
      <c r="E14" t="s">
        <v>67</v>
      </c>
      <c r="F14" t="s">
        <v>643</v>
      </c>
      <c r="G14" t="s">
        <v>718</v>
      </c>
      <c r="H14">
        <v>13</v>
      </c>
      <c r="I14">
        <v>9</v>
      </c>
      <c r="J14">
        <v>9</v>
      </c>
      <c r="K14">
        <v>7</v>
      </c>
      <c r="L14">
        <v>7</v>
      </c>
      <c r="M14">
        <v>10</v>
      </c>
      <c r="N14">
        <v>10</v>
      </c>
      <c r="O14">
        <v>10</v>
      </c>
      <c r="P14">
        <v>14</v>
      </c>
      <c r="Q14">
        <v>17</v>
      </c>
      <c r="R14">
        <v>9</v>
      </c>
      <c r="S14">
        <v>10</v>
      </c>
      <c r="T14">
        <f t="shared" si="2"/>
        <v>125</v>
      </c>
      <c r="U14">
        <v>1</v>
      </c>
    </row>
    <row r="15" spans="1:21" x14ac:dyDescent="0.3">
      <c r="A15" t="str">
        <f t="shared" si="0"/>
        <v>BarnetReablement &amp; Rehabilitation at home  (pathway 1)1</v>
      </c>
      <c r="B15">
        <f>IF(C15="","",COUNTIF($C$2:C15,C15))</f>
        <v>1</v>
      </c>
      <c r="C15" t="str">
        <f t="shared" si="1"/>
        <v>BarnetRehabilitation at home (pathway 1)</v>
      </c>
      <c r="D15" t="str">
        <f>VLOOKUP(G15,PathwayLookup!A:B,2,0)</f>
        <v>Reablement &amp; Rehabilitation at home  (pathway 1)</v>
      </c>
      <c r="E15" t="s">
        <v>67</v>
      </c>
      <c r="F15" t="s">
        <v>557</v>
      </c>
      <c r="G15" t="s">
        <v>719</v>
      </c>
      <c r="H15">
        <v>0</v>
      </c>
      <c r="I15">
        <v>0</v>
      </c>
      <c r="J15">
        <v>0</v>
      </c>
      <c r="K15">
        <v>1</v>
      </c>
      <c r="L15">
        <v>0</v>
      </c>
      <c r="M15">
        <v>1</v>
      </c>
      <c r="N15">
        <v>0</v>
      </c>
      <c r="O15">
        <v>0</v>
      </c>
      <c r="P15">
        <v>0</v>
      </c>
      <c r="Q15">
        <v>0</v>
      </c>
      <c r="R15">
        <v>0</v>
      </c>
      <c r="S15">
        <v>0</v>
      </c>
      <c r="T15">
        <f t="shared" si="2"/>
        <v>2</v>
      </c>
      <c r="U15">
        <v>1</v>
      </c>
    </row>
    <row r="16" spans="1:21" x14ac:dyDescent="0.3">
      <c r="A16" t="str">
        <f t="shared" si="0"/>
        <v>BarnetReablement &amp; Rehabilitation at home  (pathway 1)2</v>
      </c>
      <c r="B16">
        <f>IF(C16="","",COUNTIF($C$2:C16,C16))</f>
        <v>2</v>
      </c>
      <c r="C16" t="str">
        <f t="shared" si="1"/>
        <v>BarnetRehabilitation at home (pathway 1)</v>
      </c>
      <c r="D16" t="str">
        <f>VLOOKUP(G16,PathwayLookup!A:B,2,0)</f>
        <v>Reablement &amp; Rehabilitation at home  (pathway 1)</v>
      </c>
      <c r="E16" t="s">
        <v>67</v>
      </c>
      <c r="F16" t="s">
        <v>578</v>
      </c>
      <c r="G16" t="s">
        <v>719</v>
      </c>
      <c r="H16">
        <v>48</v>
      </c>
      <c r="I16">
        <v>35</v>
      </c>
      <c r="J16">
        <v>41</v>
      </c>
      <c r="K16">
        <v>114</v>
      </c>
      <c r="L16">
        <v>35</v>
      </c>
      <c r="M16">
        <v>99</v>
      </c>
      <c r="N16">
        <v>42</v>
      </c>
      <c r="O16">
        <v>23</v>
      </c>
      <c r="P16">
        <v>46</v>
      </c>
      <c r="Q16">
        <v>8</v>
      </c>
      <c r="R16">
        <v>45</v>
      </c>
      <c r="S16">
        <v>79</v>
      </c>
      <c r="T16">
        <f t="shared" si="2"/>
        <v>615</v>
      </c>
      <c r="U16">
        <v>1</v>
      </c>
    </row>
    <row r="17" spans="1:21" x14ac:dyDescent="0.3">
      <c r="A17" t="str">
        <f t="shared" si="0"/>
        <v>BarnetReablement &amp; Rehabilitation at home  (pathway 1)3</v>
      </c>
      <c r="B17">
        <f>IF(C17="","",COUNTIF($C$2:C17,C17))</f>
        <v>3</v>
      </c>
      <c r="C17" t="str">
        <f t="shared" si="1"/>
        <v>BarnetRehabilitation at home (pathway 1)</v>
      </c>
      <c r="D17" t="str">
        <f>VLOOKUP(G17,PathwayLookup!A:B,2,0)</f>
        <v>Reablement &amp; Rehabilitation at home  (pathway 1)</v>
      </c>
      <c r="E17" t="s">
        <v>67</v>
      </c>
      <c r="F17" t="s">
        <v>626</v>
      </c>
      <c r="G17" t="s">
        <v>719</v>
      </c>
      <c r="H17">
        <v>6</v>
      </c>
      <c r="I17">
        <v>4</v>
      </c>
      <c r="J17">
        <v>4</v>
      </c>
      <c r="K17">
        <v>11</v>
      </c>
      <c r="L17">
        <v>4</v>
      </c>
      <c r="M17">
        <v>11</v>
      </c>
      <c r="N17">
        <v>7</v>
      </c>
      <c r="O17">
        <v>4</v>
      </c>
      <c r="P17">
        <v>6</v>
      </c>
      <c r="Q17">
        <v>1</v>
      </c>
      <c r="R17">
        <v>7</v>
      </c>
      <c r="S17">
        <v>9</v>
      </c>
      <c r="T17">
        <f t="shared" si="2"/>
        <v>74</v>
      </c>
      <c r="U17">
        <v>1</v>
      </c>
    </row>
    <row r="18" spans="1:21" x14ac:dyDescent="0.3">
      <c r="A18" t="str">
        <f t="shared" si="0"/>
        <v>BarnetReablement &amp; Rehabilitation at home  (pathway 1)4</v>
      </c>
      <c r="B18">
        <f>IF(C18="","",COUNTIF($C$2:C18,C18))</f>
        <v>4</v>
      </c>
      <c r="C18" t="str">
        <f t="shared" si="1"/>
        <v>BarnetRehabilitation at home (pathway 1)</v>
      </c>
      <c r="D18" t="str">
        <f>VLOOKUP(G18,PathwayLookup!A:B,2,0)</f>
        <v>Reablement &amp; Rehabilitation at home  (pathway 1)</v>
      </c>
      <c r="E18" t="s">
        <v>67</v>
      </c>
      <c r="F18" t="s">
        <v>643</v>
      </c>
      <c r="G18" t="s">
        <v>719</v>
      </c>
      <c r="H18">
        <v>3</v>
      </c>
      <c r="I18">
        <v>2</v>
      </c>
      <c r="J18">
        <v>3</v>
      </c>
      <c r="K18">
        <v>6</v>
      </c>
      <c r="L18">
        <v>3</v>
      </c>
      <c r="M18">
        <v>7</v>
      </c>
      <c r="N18">
        <v>3</v>
      </c>
      <c r="O18">
        <v>2</v>
      </c>
      <c r="P18">
        <v>4</v>
      </c>
      <c r="Q18">
        <v>1</v>
      </c>
      <c r="R18">
        <v>3</v>
      </c>
      <c r="S18">
        <v>6</v>
      </c>
      <c r="T18">
        <f t="shared" si="2"/>
        <v>43</v>
      </c>
      <c r="U18">
        <v>1</v>
      </c>
    </row>
    <row r="19" spans="1:21" x14ac:dyDescent="0.3">
      <c r="A19" t="str">
        <f t="shared" si="0"/>
        <v/>
      </c>
      <c r="B19" t="str">
        <f>IF(C19="","",COUNTIF($C$2:C19,C19))</f>
        <v/>
      </c>
      <c r="C19" t="str">
        <f t="shared" si="1"/>
        <v/>
      </c>
      <c r="D19" t="str">
        <f>VLOOKUP(G19,PathwayLookup!A:B,2,0)</f>
        <v>Short term domiciliary care (pathway 1)</v>
      </c>
      <c r="E19" t="s">
        <v>67</v>
      </c>
      <c r="F19" t="s">
        <v>557</v>
      </c>
      <c r="G19" t="s">
        <v>684</v>
      </c>
      <c r="H19">
        <v>0</v>
      </c>
      <c r="I19">
        <v>0</v>
      </c>
      <c r="J19">
        <v>0</v>
      </c>
      <c r="K19">
        <v>0</v>
      </c>
      <c r="L19">
        <v>0</v>
      </c>
      <c r="M19">
        <v>0</v>
      </c>
      <c r="N19">
        <v>0</v>
      </c>
      <c r="O19">
        <v>0</v>
      </c>
      <c r="P19">
        <v>0</v>
      </c>
      <c r="Q19">
        <v>0</v>
      </c>
      <c r="R19">
        <v>0</v>
      </c>
      <c r="S19">
        <v>0</v>
      </c>
      <c r="T19">
        <f t="shared" si="2"/>
        <v>0</v>
      </c>
      <c r="U19">
        <v>1</v>
      </c>
    </row>
    <row r="20" spans="1:21" x14ac:dyDescent="0.3">
      <c r="A20" t="str">
        <f t="shared" si="0"/>
        <v/>
      </c>
      <c r="B20" t="str">
        <f>IF(C20="","",COUNTIF($C$2:C20,C20))</f>
        <v/>
      </c>
      <c r="C20" t="str">
        <f t="shared" si="1"/>
        <v/>
      </c>
      <c r="D20" t="str">
        <f>VLOOKUP(G20,PathwayLookup!A:B,2,0)</f>
        <v>Short term domiciliary care (pathway 1)</v>
      </c>
      <c r="E20" t="s">
        <v>67</v>
      </c>
      <c r="F20" t="s">
        <v>626</v>
      </c>
      <c r="G20" t="s">
        <v>684</v>
      </c>
      <c r="H20">
        <v>0</v>
      </c>
      <c r="I20">
        <v>0</v>
      </c>
      <c r="J20">
        <v>0</v>
      </c>
      <c r="K20">
        <v>0</v>
      </c>
      <c r="L20">
        <v>0</v>
      </c>
      <c r="M20">
        <v>0</v>
      </c>
      <c r="N20">
        <v>0</v>
      </c>
      <c r="O20">
        <v>0</v>
      </c>
      <c r="P20">
        <v>0</v>
      </c>
      <c r="Q20">
        <v>0</v>
      </c>
      <c r="R20">
        <v>0</v>
      </c>
      <c r="S20">
        <v>0</v>
      </c>
      <c r="T20">
        <f t="shared" si="2"/>
        <v>0</v>
      </c>
      <c r="U20">
        <v>1</v>
      </c>
    </row>
    <row r="21" spans="1:21" x14ac:dyDescent="0.3">
      <c r="A21" t="str">
        <f t="shared" si="0"/>
        <v/>
      </c>
      <c r="B21" t="str">
        <f>IF(C21="","",COUNTIF($C$2:C21,C21))</f>
        <v/>
      </c>
      <c r="C21" t="str">
        <f t="shared" si="1"/>
        <v/>
      </c>
      <c r="D21" t="str">
        <f>VLOOKUP(G21,PathwayLookup!A:B,2,0)</f>
        <v>Short term domiciliary care (pathway 1)</v>
      </c>
      <c r="E21" t="s">
        <v>67</v>
      </c>
      <c r="F21" t="s">
        <v>643</v>
      </c>
      <c r="G21" t="s">
        <v>684</v>
      </c>
      <c r="H21">
        <v>0</v>
      </c>
      <c r="I21">
        <v>0</v>
      </c>
      <c r="J21">
        <v>0</v>
      </c>
      <c r="K21">
        <v>0</v>
      </c>
      <c r="L21">
        <v>0</v>
      </c>
      <c r="M21">
        <v>0</v>
      </c>
      <c r="N21">
        <v>0</v>
      </c>
      <c r="O21">
        <v>0</v>
      </c>
      <c r="P21">
        <v>0</v>
      </c>
      <c r="Q21">
        <v>0</v>
      </c>
      <c r="R21">
        <v>0</v>
      </c>
      <c r="S21">
        <v>0</v>
      </c>
      <c r="T21">
        <f t="shared" si="2"/>
        <v>0</v>
      </c>
      <c r="U21">
        <v>1</v>
      </c>
    </row>
    <row r="22" spans="1:21" x14ac:dyDescent="0.3">
      <c r="A22" t="str">
        <f t="shared" si="0"/>
        <v>BarnetReablement &amp; Rehabilitation in a bedded setting (pathway 2)1</v>
      </c>
      <c r="B22">
        <f>IF(C22="","",COUNTIF($C$2:C22,C22))</f>
        <v>1</v>
      </c>
      <c r="C22" t="str">
        <f t="shared" si="1"/>
        <v>BarnetReablement in a bedded setting (pathway 2)</v>
      </c>
      <c r="D22" t="str">
        <f>VLOOKUP(G22,PathwayLookup!A:B,2,0)</f>
        <v>Reablement &amp; Rehabilitation in a bedded setting (pathway 2)</v>
      </c>
      <c r="E22" t="s">
        <v>67</v>
      </c>
      <c r="F22" t="s">
        <v>557</v>
      </c>
      <c r="G22" t="s">
        <v>722</v>
      </c>
      <c r="H22">
        <v>0</v>
      </c>
      <c r="I22">
        <v>1</v>
      </c>
      <c r="J22">
        <v>0</v>
      </c>
      <c r="K22">
        <v>1</v>
      </c>
      <c r="L22">
        <v>0</v>
      </c>
      <c r="M22">
        <v>1</v>
      </c>
      <c r="N22">
        <v>1</v>
      </c>
      <c r="O22">
        <v>0</v>
      </c>
      <c r="P22">
        <v>0</v>
      </c>
      <c r="Q22">
        <v>1</v>
      </c>
      <c r="R22">
        <v>0</v>
      </c>
      <c r="S22">
        <v>0</v>
      </c>
      <c r="T22">
        <f t="shared" si="2"/>
        <v>5</v>
      </c>
      <c r="U22">
        <v>1</v>
      </c>
    </row>
    <row r="23" spans="1:21" x14ac:dyDescent="0.3">
      <c r="A23" t="str">
        <f t="shared" si="0"/>
        <v>BarnetReablement &amp; Rehabilitation in a bedded setting (pathway 2)2</v>
      </c>
      <c r="B23">
        <f>IF(C23="","",COUNTIF($C$2:C23,C23))</f>
        <v>2</v>
      </c>
      <c r="C23" t="str">
        <f t="shared" si="1"/>
        <v>BarnetReablement in a bedded setting (pathway 2)</v>
      </c>
      <c r="D23" t="str">
        <f>VLOOKUP(G23,PathwayLookup!A:B,2,0)</f>
        <v>Reablement &amp; Rehabilitation in a bedded setting (pathway 2)</v>
      </c>
      <c r="E23" t="s">
        <v>67</v>
      </c>
      <c r="F23" t="s">
        <v>578</v>
      </c>
      <c r="G23" t="s">
        <v>722</v>
      </c>
      <c r="H23">
        <v>35</v>
      </c>
      <c r="I23">
        <v>28</v>
      </c>
      <c r="J23">
        <v>27</v>
      </c>
      <c r="K23">
        <v>35</v>
      </c>
      <c r="L23">
        <v>23</v>
      </c>
      <c r="M23">
        <v>29</v>
      </c>
      <c r="N23">
        <v>30</v>
      </c>
      <c r="O23">
        <v>32</v>
      </c>
      <c r="P23">
        <v>36</v>
      </c>
      <c r="Q23">
        <v>33</v>
      </c>
      <c r="R23">
        <v>31</v>
      </c>
      <c r="S23">
        <v>28</v>
      </c>
      <c r="T23">
        <f t="shared" si="2"/>
        <v>367</v>
      </c>
      <c r="U23">
        <v>1</v>
      </c>
    </row>
    <row r="24" spans="1:21" x14ac:dyDescent="0.3">
      <c r="A24" t="str">
        <f t="shared" si="0"/>
        <v>BarnetReablement &amp; Rehabilitation in a bedded setting (pathway 2)3</v>
      </c>
      <c r="B24">
        <f>IF(C24="","",COUNTIF($C$2:C24,C24))</f>
        <v>3</v>
      </c>
      <c r="C24" t="str">
        <f t="shared" si="1"/>
        <v>BarnetReablement in a bedded setting (pathway 2)</v>
      </c>
      <c r="D24" t="str">
        <f>VLOOKUP(G24,PathwayLookup!A:B,2,0)</f>
        <v>Reablement &amp; Rehabilitation in a bedded setting (pathway 2)</v>
      </c>
      <c r="E24" t="s">
        <v>67</v>
      </c>
      <c r="F24" t="s">
        <v>626</v>
      </c>
      <c r="G24" t="s">
        <v>722</v>
      </c>
      <c r="H24">
        <v>4</v>
      </c>
      <c r="I24">
        <v>3</v>
      </c>
      <c r="J24">
        <v>3</v>
      </c>
      <c r="K24">
        <v>5</v>
      </c>
      <c r="L24">
        <v>5</v>
      </c>
      <c r="M24">
        <v>4</v>
      </c>
      <c r="N24">
        <v>4</v>
      </c>
      <c r="O24">
        <v>5</v>
      </c>
      <c r="P24">
        <v>5</v>
      </c>
      <c r="Q24">
        <v>5</v>
      </c>
      <c r="R24">
        <v>4</v>
      </c>
      <c r="S24">
        <v>4</v>
      </c>
      <c r="T24">
        <f t="shared" si="2"/>
        <v>51</v>
      </c>
      <c r="U24">
        <v>1</v>
      </c>
    </row>
    <row r="25" spans="1:21" x14ac:dyDescent="0.3">
      <c r="A25" t="str">
        <f t="shared" si="0"/>
        <v>BarnetReablement &amp; Rehabilitation in a bedded setting (pathway 2)4</v>
      </c>
      <c r="B25">
        <f>IF(C25="","",COUNTIF($C$2:C25,C25))</f>
        <v>4</v>
      </c>
      <c r="C25" t="str">
        <f t="shared" si="1"/>
        <v>BarnetReablement in a bedded setting (pathway 2)</v>
      </c>
      <c r="D25" t="str">
        <f>VLOOKUP(G25,PathwayLookup!A:B,2,0)</f>
        <v>Reablement &amp; Rehabilitation in a bedded setting (pathway 2)</v>
      </c>
      <c r="E25" t="s">
        <v>67</v>
      </c>
      <c r="F25" t="s">
        <v>643</v>
      </c>
      <c r="G25" t="s">
        <v>722</v>
      </c>
      <c r="H25">
        <v>2</v>
      </c>
      <c r="I25">
        <v>1</v>
      </c>
      <c r="J25">
        <v>2</v>
      </c>
      <c r="K25">
        <v>1</v>
      </c>
      <c r="L25">
        <v>1</v>
      </c>
      <c r="M25">
        <v>1</v>
      </c>
      <c r="N25">
        <v>1</v>
      </c>
      <c r="O25">
        <v>2</v>
      </c>
      <c r="P25">
        <v>2</v>
      </c>
      <c r="Q25">
        <v>2</v>
      </c>
      <c r="R25">
        <v>2</v>
      </c>
      <c r="S25">
        <v>1</v>
      </c>
      <c r="T25">
        <f t="shared" si="2"/>
        <v>18</v>
      </c>
      <c r="U25">
        <v>1</v>
      </c>
    </row>
    <row r="26" spans="1:21" x14ac:dyDescent="0.3">
      <c r="A26" t="str">
        <f t="shared" si="0"/>
        <v>BarnetReablement &amp; Rehabilitation in a bedded setting (pathway 2)1</v>
      </c>
      <c r="B26">
        <f>IF(C26="","",COUNTIF($C$2:C26,C26))</f>
        <v>1</v>
      </c>
      <c r="C26" t="str">
        <f t="shared" si="1"/>
        <v>BarnetRehabilitation in a bedded setting (pathway 2)</v>
      </c>
      <c r="D26" t="str">
        <f>VLOOKUP(G26,PathwayLookup!A:B,2,0)</f>
        <v>Reablement &amp; Rehabilitation in a bedded setting (pathway 2)</v>
      </c>
      <c r="E26" t="s">
        <v>67</v>
      </c>
      <c r="F26" t="s">
        <v>557</v>
      </c>
      <c r="G26" t="s">
        <v>724</v>
      </c>
      <c r="H26">
        <v>0</v>
      </c>
      <c r="I26">
        <v>1</v>
      </c>
      <c r="J26">
        <v>0</v>
      </c>
      <c r="K26">
        <v>1</v>
      </c>
      <c r="L26">
        <v>0</v>
      </c>
      <c r="M26">
        <v>1</v>
      </c>
      <c r="N26">
        <v>1</v>
      </c>
      <c r="O26">
        <v>0</v>
      </c>
      <c r="P26">
        <v>0</v>
      </c>
      <c r="Q26">
        <v>1</v>
      </c>
      <c r="R26">
        <v>0</v>
      </c>
      <c r="S26">
        <v>0</v>
      </c>
      <c r="T26">
        <f t="shared" si="2"/>
        <v>5</v>
      </c>
      <c r="U26">
        <v>1</v>
      </c>
    </row>
    <row r="27" spans="1:21" x14ac:dyDescent="0.3">
      <c r="A27" t="str">
        <f t="shared" si="0"/>
        <v>BarnetReablement &amp; Rehabilitation in a bedded setting (pathway 2)2</v>
      </c>
      <c r="B27">
        <f>IF(C27="","",COUNTIF($C$2:C27,C27))</f>
        <v>2</v>
      </c>
      <c r="C27" t="str">
        <f t="shared" si="1"/>
        <v>BarnetRehabilitation in a bedded setting (pathway 2)</v>
      </c>
      <c r="D27" t="str">
        <f>VLOOKUP(G27,PathwayLookup!A:B,2,0)</f>
        <v>Reablement &amp; Rehabilitation in a bedded setting (pathway 2)</v>
      </c>
      <c r="E27" t="s">
        <v>67</v>
      </c>
      <c r="F27" t="s">
        <v>578</v>
      </c>
      <c r="G27" t="s">
        <v>724</v>
      </c>
      <c r="H27">
        <v>35</v>
      </c>
      <c r="I27">
        <v>28</v>
      </c>
      <c r="J27">
        <v>27</v>
      </c>
      <c r="K27">
        <v>35</v>
      </c>
      <c r="L27">
        <v>23</v>
      </c>
      <c r="M27">
        <v>29</v>
      </c>
      <c r="N27">
        <v>30</v>
      </c>
      <c r="O27">
        <v>32</v>
      </c>
      <c r="P27">
        <v>36</v>
      </c>
      <c r="Q27">
        <v>33</v>
      </c>
      <c r="R27">
        <v>31</v>
      </c>
      <c r="S27">
        <v>28</v>
      </c>
      <c r="T27">
        <f t="shared" si="2"/>
        <v>367</v>
      </c>
      <c r="U27">
        <v>1</v>
      </c>
    </row>
    <row r="28" spans="1:21" x14ac:dyDescent="0.3">
      <c r="A28" t="str">
        <f t="shared" si="0"/>
        <v>BarnetReablement &amp; Rehabilitation in a bedded setting (pathway 2)3</v>
      </c>
      <c r="B28">
        <f>IF(C28="","",COUNTIF($C$2:C28,C28))</f>
        <v>3</v>
      </c>
      <c r="C28" t="str">
        <f t="shared" si="1"/>
        <v>BarnetRehabilitation in a bedded setting (pathway 2)</v>
      </c>
      <c r="D28" t="str">
        <f>VLOOKUP(G28,PathwayLookup!A:B,2,0)</f>
        <v>Reablement &amp; Rehabilitation in a bedded setting (pathway 2)</v>
      </c>
      <c r="E28" t="s">
        <v>67</v>
      </c>
      <c r="F28" t="s">
        <v>626</v>
      </c>
      <c r="G28" t="s">
        <v>724</v>
      </c>
      <c r="H28">
        <v>4</v>
      </c>
      <c r="I28">
        <v>3</v>
      </c>
      <c r="J28">
        <v>3</v>
      </c>
      <c r="K28">
        <v>5</v>
      </c>
      <c r="L28">
        <v>5</v>
      </c>
      <c r="M28">
        <v>4</v>
      </c>
      <c r="N28">
        <v>4</v>
      </c>
      <c r="O28">
        <v>5</v>
      </c>
      <c r="P28">
        <v>5</v>
      </c>
      <c r="Q28">
        <v>5</v>
      </c>
      <c r="R28">
        <v>4</v>
      </c>
      <c r="S28">
        <v>4</v>
      </c>
      <c r="T28">
        <f t="shared" si="2"/>
        <v>51</v>
      </c>
      <c r="U28">
        <v>1</v>
      </c>
    </row>
    <row r="29" spans="1:21" x14ac:dyDescent="0.3">
      <c r="A29" t="str">
        <f t="shared" si="0"/>
        <v>BarnetReablement &amp; Rehabilitation in a bedded setting (pathway 2)4</v>
      </c>
      <c r="B29">
        <f>IF(C29="","",COUNTIF($C$2:C29,C29))</f>
        <v>4</v>
      </c>
      <c r="C29" t="str">
        <f t="shared" si="1"/>
        <v>BarnetRehabilitation in a bedded setting (pathway 2)</v>
      </c>
      <c r="D29" t="str">
        <f>VLOOKUP(G29,PathwayLookup!A:B,2,0)</f>
        <v>Reablement &amp; Rehabilitation in a bedded setting (pathway 2)</v>
      </c>
      <c r="E29" t="s">
        <v>67</v>
      </c>
      <c r="F29" t="s">
        <v>643</v>
      </c>
      <c r="G29" t="s">
        <v>724</v>
      </c>
      <c r="H29">
        <v>2</v>
      </c>
      <c r="I29">
        <v>1</v>
      </c>
      <c r="J29">
        <v>2</v>
      </c>
      <c r="K29">
        <v>1</v>
      </c>
      <c r="L29">
        <v>1</v>
      </c>
      <c r="M29">
        <v>1</v>
      </c>
      <c r="N29">
        <v>1</v>
      </c>
      <c r="O29">
        <v>2</v>
      </c>
      <c r="P29">
        <v>2</v>
      </c>
      <c r="Q29">
        <v>2</v>
      </c>
      <c r="R29">
        <v>2</v>
      </c>
      <c r="S29">
        <v>1</v>
      </c>
      <c r="T29">
        <f t="shared" si="2"/>
        <v>18</v>
      </c>
      <c r="U29">
        <v>1</v>
      </c>
    </row>
    <row r="30" spans="1:21" x14ac:dyDescent="0.3">
      <c r="A30" t="str">
        <f t="shared" si="0"/>
        <v>BarnetShort-term residential/nursing care for someone likely to require a longer-term care home placement (pathway 3)1</v>
      </c>
      <c r="B30">
        <f>IF(C30="","",COUNTIF($C$2:C30,C30))</f>
        <v>1</v>
      </c>
      <c r="C30" t="str">
        <f t="shared" si="1"/>
        <v>BarnetShort-term residential/nursing care for someone likely to require a longer-term care home placement (pathway 3)</v>
      </c>
      <c r="D30" t="str">
        <f>VLOOKUP(G30,PathwayLookup!A:B,2,0)</f>
        <v>Short-term residential/nursing care for someone likely to require a longer-term care home placement (pathway 3)</v>
      </c>
      <c r="E30" t="s">
        <v>67</v>
      </c>
      <c r="F30" t="s">
        <v>557</v>
      </c>
      <c r="G30" t="s">
        <v>686</v>
      </c>
      <c r="H30">
        <v>0</v>
      </c>
      <c r="I30">
        <v>0</v>
      </c>
      <c r="J30">
        <v>0</v>
      </c>
      <c r="K30">
        <v>0</v>
      </c>
      <c r="L30">
        <v>0</v>
      </c>
      <c r="M30">
        <v>0</v>
      </c>
      <c r="N30">
        <v>0</v>
      </c>
      <c r="O30">
        <v>0</v>
      </c>
      <c r="P30">
        <v>0</v>
      </c>
      <c r="Q30">
        <v>0</v>
      </c>
      <c r="R30">
        <v>0</v>
      </c>
      <c r="S30">
        <v>1</v>
      </c>
      <c r="T30">
        <f t="shared" si="2"/>
        <v>1</v>
      </c>
      <c r="U30">
        <v>1</v>
      </c>
    </row>
    <row r="31" spans="1:21" x14ac:dyDescent="0.3">
      <c r="A31" t="str">
        <f t="shared" si="0"/>
        <v>BarnetShort-term residential/nursing care for someone likely to require a longer-term care home placement (pathway 3)2</v>
      </c>
      <c r="B31">
        <f>IF(C31="","",COUNTIF($C$2:C31,C31))</f>
        <v>2</v>
      </c>
      <c r="C31" t="str">
        <f t="shared" si="1"/>
        <v>BarnetShort-term residential/nursing care for someone likely to require a longer-term care home placement (pathway 3)</v>
      </c>
      <c r="D31" t="str">
        <f>VLOOKUP(G31,PathwayLookup!A:B,2,0)</f>
        <v>Short-term residential/nursing care for someone likely to require a longer-term care home placement (pathway 3)</v>
      </c>
      <c r="E31" t="s">
        <v>67</v>
      </c>
      <c r="F31" t="s">
        <v>578</v>
      </c>
      <c r="G31" t="s">
        <v>686</v>
      </c>
      <c r="H31">
        <v>25</v>
      </c>
      <c r="I31">
        <v>23</v>
      </c>
      <c r="J31">
        <v>12</v>
      </c>
      <c r="K31">
        <v>21</v>
      </c>
      <c r="L31">
        <v>19</v>
      </c>
      <c r="M31">
        <v>20</v>
      </c>
      <c r="N31">
        <v>29</v>
      </c>
      <c r="O31">
        <v>23</v>
      </c>
      <c r="P31">
        <v>27</v>
      </c>
      <c r="Q31">
        <v>29</v>
      </c>
      <c r="R31">
        <v>22</v>
      </c>
      <c r="S31">
        <v>26</v>
      </c>
      <c r="T31">
        <f t="shared" si="2"/>
        <v>276</v>
      </c>
      <c r="U31">
        <v>1</v>
      </c>
    </row>
    <row r="32" spans="1:21" x14ac:dyDescent="0.3">
      <c r="A32" t="str">
        <f t="shared" si="0"/>
        <v>BarnetShort-term residential/nursing care for someone likely to require a longer-term care home placement (pathway 3)3</v>
      </c>
      <c r="B32">
        <f>IF(C32="","",COUNTIF($C$2:C32,C32))</f>
        <v>3</v>
      </c>
      <c r="C32" t="str">
        <f t="shared" si="1"/>
        <v>BarnetShort-term residential/nursing care for someone likely to require a longer-term care home placement (pathway 3)</v>
      </c>
      <c r="D32" t="str">
        <f>VLOOKUP(G32,PathwayLookup!A:B,2,0)</f>
        <v>Short-term residential/nursing care for someone likely to require a longer-term care home placement (pathway 3)</v>
      </c>
      <c r="E32" t="s">
        <v>67</v>
      </c>
      <c r="F32" t="s">
        <v>626</v>
      </c>
      <c r="G32" t="s">
        <v>686</v>
      </c>
      <c r="H32">
        <v>2</v>
      </c>
      <c r="I32">
        <v>1</v>
      </c>
      <c r="J32">
        <v>0</v>
      </c>
      <c r="K32">
        <v>1</v>
      </c>
      <c r="L32">
        <v>1</v>
      </c>
      <c r="M32">
        <v>0</v>
      </c>
      <c r="N32">
        <v>1</v>
      </c>
      <c r="O32">
        <v>1</v>
      </c>
      <c r="P32">
        <v>1</v>
      </c>
      <c r="Q32">
        <v>1</v>
      </c>
      <c r="R32">
        <v>1</v>
      </c>
      <c r="S32">
        <v>1</v>
      </c>
      <c r="T32">
        <f t="shared" si="2"/>
        <v>11</v>
      </c>
      <c r="U32">
        <v>1</v>
      </c>
    </row>
    <row r="33" spans="1:21" x14ac:dyDescent="0.3">
      <c r="A33" t="str">
        <f t="shared" si="0"/>
        <v>BarnetShort-term residential/nursing care for someone likely to require a longer-term care home placement (pathway 3)4</v>
      </c>
      <c r="B33">
        <f>IF(C33="","",COUNTIF($C$2:C33,C33))</f>
        <v>4</v>
      </c>
      <c r="C33" t="str">
        <f t="shared" si="1"/>
        <v>BarnetShort-term residential/nursing care for someone likely to require a longer-term care home placement (pathway 3)</v>
      </c>
      <c r="D33" t="str">
        <f>VLOOKUP(G33,PathwayLookup!A:B,2,0)</f>
        <v>Short-term residential/nursing care for someone likely to require a longer-term care home placement (pathway 3)</v>
      </c>
      <c r="E33" t="s">
        <v>67</v>
      </c>
      <c r="F33" t="s">
        <v>643</v>
      </c>
      <c r="G33" t="s">
        <v>686</v>
      </c>
      <c r="H33">
        <v>3</v>
      </c>
      <c r="I33">
        <v>2</v>
      </c>
      <c r="J33">
        <v>1</v>
      </c>
      <c r="K33">
        <v>3</v>
      </c>
      <c r="L33">
        <v>2</v>
      </c>
      <c r="M33">
        <v>2</v>
      </c>
      <c r="N33">
        <v>2</v>
      </c>
      <c r="O33">
        <v>4</v>
      </c>
      <c r="P33">
        <v>4</v>
      </c>
      <c r="Q33">
        <v>3</v>
      </c>
      <c r="R33">
        <v>3</v>
      </c>
      <c r="S33">
        <v>2</v>
      </c>
      <c r="T33">
        <f t="shared" si="2"/>
        <v>31</v>
      </c>
      <c r="U33">
        <v>1</v>
      </c>
    </row>
    <row r="34" spans="1:21" x14ac:dyDescent="0.3">
      <c r="A34" t="str">
        <f t="shared" si="0"/>
        <v>BarnsleySocial support (including VCS) (pathway 0)1</v>
      </c>
      <c r="B34">
        <f>IF(C34="","",COUNTIF($C$2:C34,C34))</f>
        <v>1</v>
      </c>
      <c r="C34" t="str">
        <f t="shared" si="1"/>
        <v>BarnsleySocial support (including VCS) (pathway 0)</v>
      </c>
      <c r="D34" t="str">
        <f>VLOOKUP(G34,PathwayLookup!A:B,2,0)</f>
        <v>Social support (including VCS) (pathway 0)</v>
      </c>
      <c r="E34" t="s">
        <v>69</v>
      </c>
      <c r="F34" t="s">
        <v>455</v>
      </c>
      <c r="G34" t="s">
        <v>682</v>
      </c>
      <c r="H34">
        <v>1620</v>
      </c>
      <c r="I34">
        <v>1674</v>
      </c>
      <c r="J34">
        <v>1620</v>
      </c>
      <c r="K34">
        <v>1674</v>
      </c>
      <c r="L34">
        <v>1674</v>
      </c>
      <c r="M34">
        <v>1620</v>
      </c>
      <c r="N34">
        <v>1674</v>
      </c>
      <c r="O34">
        <v>1620</v>
      </c>
      <c r="P34">
        <v>1674</v>
      </c>
      <c r="Q34">
        <v>1674</v>
      </c>
      <c r="R34">
        <v>1512</v>
      </c>
      <c r="S34">
        <v>1674</v>
      </c>
      <c r="T34">
        <f t="shared" si="2"/>
        <v>19710</v>
      </c>
      <c r="U34">
        <v>1</v>
      </c>
    </row>
    <row r="35" spans="1:21" x14ac:dyDescent="0.3">
      <c r="A35" t="str">
        <f t="shared" si="0"/>
        <v>BarnsleySocial support (including VCS) (pathway 0)2</v>
      </c>
      <c r="B35">
        <f>IF(C35="","",COUNTIF($C$2:C35,C35))</f>
        <v>2</v>
      </c>
      <c r="C35" t="str">
        <f t="shared" si="1"/>
        <v>BarnsleySocial support (including VCS) (pathway 0)</v>
      </c>
      <c r="D35" t="str">
        <f>VLOOKUP(G35,PathwayLookup!A:B,2,0)</f>
        <v>Social support (including VCS) (pathway 0)</v>
      </c>
      <c r="E35" t="s">
        <v>69</v>
      </c>
      <c r="F35" t="s">
        <v>651</v>
      </c>
      <c r="G35" t="s">
        <v>682</v>
      </c>
      <c r="H35">
        <v>186</v>
      </c>
      <c r="I35">
        <v>192</v>
      </c>
      <c r="J35">
        <v>186</v>
      </c>
      <c r="K35">
        <v>192</v>
      </c>
      <c r="L35">
        <v>192</v>
      </c>
      <c r="M35">
        <v>186</v>
      </c>
      <c r="N35">
        <v>192</v>
      </c>
      <c r="O35">
        <v>186</v>
      </c>
      <c r="P35">
        <v>192</v>
      </c>
      <c r="Q35">
        <v>192</v>
      </c>
      <c r="R35">
        <v>174</v>
      </c>
      <c r="S35">
        <v>192</v>
      </c>
      <c r="T35">
        <f t="shared" si="2"/>
        <v>2262</v>
      </c>
      <c r="U35">
        <v>1</v>
      </c>
    </row>
    <row r="36" spans="1:21" x14ac:dyDescent="0.3">
      <c r="A36" t="str">
        <f t="shared" si="0"/>
        <v>BarnsleyReablement &amp; Rehabilitation at home  (pathway 1)1</v>
      </c>
      <c r="B36">
        <f>IF(C36="","",COUNTIF($C$2:C36,C36))</f>
        <v>1</v>
      </c>
      <c r="C36" t="str">
        <f t="shared" si="1"/>
        <v>BarnsleyReablement at home  (pathway 1)</v>
      </c>
      <c r="D36" t="str">
        <f>VLOOKUP(G36,PathwayLookup!A:B,2,0)</f>
        <v>Reablement &amp; Rehabilitation at home  (pathway 1)</v>
      </c>
      <c r="E36" t="s">
        <v>69</v>
      </c>
      <c r="F36" t="s">
        <v>455</v>
      </c>
      <c r="G36" t="s">
        <v>718</v>
      </c>
      <c r="H36">
        <v>83</v>
      </c>
      <c r="I36">
        <v>83</v>
      </c>
      <c r="J36">
        <v>83</v>
      </c>
      <c r="K36">
        <v>83</v>
      </c>
      <c r="L36">
        <v>83</v>
      </c>
      <c r="M36">
        <v>83</v>
      </c>
      <c r="N36">
        <v>83</v>
      </c>
      <c r="O36">
        <v>83</v>
      </c>
      <c r="P36">
        <v>83</v>
      </c>
      <c r="Q36">
        <v>83</v>
      </c>
      <c r="R36">
        <v>83</v>
      </c>
      <c r="S36">
        <v>83</v>
      </c>
      <c r="T36">
        <f t="shared" si="2"/>
        <v>996</v>
      </c>
      <c r="U36">
        <v>1</v>
      </c>
    </row>
    <row r="37" spans="1:21" x14ac:dyDescent="0.3">
      <c r="A37" t="str">
        <f t="shared" si="0"/>
        <v>BarnsleyReablement &amp; Rehabilitation at home  (pathway 1)1</v>
      </c>
      <c r="B37">
        <f>IF(C37="","",COUNTIF($C$2:C37,C37))</f>
        <v>1</v>
      </c>
      <c r="C37" t="str">
        <f t="shared" si="1"/>
        <v>BarnsleyRehabilitation at home (pathway 1)</v>
      </c>
      <c r="D37" t="str">
        <f>VLOOKUP(G37,PathwayLookup!A:B,2,0)</f>
        <v>Reablement &amp; Rehabilitation at home  (pathway 1)</v>
      </c>
      <c r="E37" t="s">
        <v>69</v>
      </c>
      <c r="F37" t="s">
        <v>455</v>
      </c>
      <c r="G37" t="s">
        <v>719</v>
      </c>
      <c r="H37">
        <v>136</v>
      </c>
      <c r="I37">
        <v>141</v>
      </c>
      <c r="J37">
        <v>136</v>
      </c>
      <c r="K37">
        <v>141</v>
      </c>
      <c r="L37">
        <v>141</v>
      </c>
      <c r="M37">
        <v>136</v>
      </c>
      <c r="N37">
        <v>141</v>
      </c>
      <c r="O37">
        <v>136</v>
      </c>
      <c r="P37">
        <v>141</v>
      </c>
      <c r="Q37">
        <v>141</v>
      </c>
      <c r="R37">
        <v>127</v>
      </c>
      <c r="S37">
        <v>141</v>
      </c>
      <c r="T37">
        <f t="shared" si="2"/>
        <v>1658</v>
      </c>
      <c r="U37">
        <v>1</v>
      </c>
    </row>
    <row r="38" spans="1:21" x14ac:dyDescent="0.3">
      <c r="A38" t="str">
        <f t="shared" si="0"/>
        <v>BarnsleyReablement &amp; Rehabilitation at home  (pathway 1)2</v>
      </c>
      <c r="B38">
        <f>IF(C38="","",COUNTIF($C$2:C38,C38))</f>
        <v>2</v>
      </c>
      <c r="C38" t="str">
        <f t="shared" si="1"/>
        <v>BarnsleyRehabilitation at home (pathway 1)</v>
      </c>
      <c r="D38" t="str">
        <f>VLOOKUP(G38,PathwayLookup!A:B,2,0)</f>
        <v>Reablement &amp; Rehabilitation at home  (pathway 1)</v>
      </c>
      <c r="E38" t="s">
        <v>69</v>
      </c>
      <c r="F38" t="s">
        <v>651</v>
      </c>
      <c r="G38" t="s">
        <v>719</v>
      </c>
      <c r="H38">
        <v>24</v>
      </c>
      <c r="I38">
        <v>25</v>
      </c>
      <c r="J38">
        <v>24</v>
      </c>
      <c r="K38">
        <v>25</v>
      </c>
      <c r="L38">
        <v>25</v>
      </c>
      <c r="M38">
        <v>24</v>
      </c>
      <c r="N38">
        <v>25</v>
      </c>
      <c r="O38">
        <v>24</v>
      </c>
      <c r="P38">
        <v>25</v>
      </c>
      <c r="Q38">
        <v>25</v>
      </c>
      <c r="R38">
        <v>23</v>
      </c>
      <c r="S38">
        <v>25</v>
      </c>
      <c r="T38">
        <f t="shared" si="2"/>
        <v>294</v>
      </c>
      <c r="U38">
        <v>1</v>
      </c>
    </row>
    <row r="39" spans="1:21" x14ac:dyDescent="0.3">
      <c r="A39" t="str">
        <f t="shared" si="0"/>
        <v>BarnsleyReablement &amp; Rehabilitation in a bedded setting (pathway 2)1</v>
      </c>
      <c r="B39">
        <f>IF(C39="","",COUNTIF($C$2:C39,C39))</f>
        <v>1</v>
      </c>
      <c r="C39" t="str">
        <f t="shared" si="1"/>
        <v>BarnsleyRehabilitation in a bedded setting (pathway 2)</v>
      </c>
      <c r="D39" t="str">
        <f>VLOOKUP(G39,PathwayLookup!A:B,2,0)</f>
        <v>Reablement &amp; Rehabilitation in a bedded setting (pathway 2)</v>
      </c>
      <c r="E39" t="s">
        <v>69</v>
      </c>
      <c r="F39" t="s">
        <v>455</v>
      </c>
      <c r="G39" t="s">
        <v>724</v>
      </c>
      <c r="H39">
        <v>150</v>
      </c>
      <c r="I39">
        <v>155</v>
      </c>
      <c r="J39">
        <v>150</v>
      </c>
      <c r="K39">
        <v>155</v>
      </c>
      <c r="L39">
        <v>155</v>
      </c>
      <c r="M39">
        <v>150</v>
      </c>
      <c r="N39">
        <v>155</v>
      </c>
      <c r="O39">
        <v>150</v>
      </c>
      <c r="P39">
        <v>155</v>
      </c>
      <c r="Q39">
        <v>155</v>
      </c>
      <c r="R39">
        <v>140</v>
      </c>
      <c r="S39">
        <v>155</v>
      </c>
      <c r="T39">
        <f t="shared" si="2"/>
        <v>1825</v>
      </c>
      <c r="U39">
        <v>1</v>
      </c>
    </row>
    <row r="40" spans="1:21" x14ac:dyDescent="0.3">
      <c r="A40" t="str">
        <f t="shared" si="0"/>
        <v>BarnsleyReablement &amp; Rehabilitation in a bedded setting (pathway 2)2</v>
      </c>
      <c r="B40">
        <f>IF(C40="","",COUNTIF($C$2:C40,C40))</f>
        <v>2</v>
      </c>
      <c r="C40" t="str">
        <f t="shared" si="1"/>
        <v>BarnsleyRehabilitation in a bedded setting (pathway 2)</v>
      </c>
      <c r="D40" t="str">
        <f>VLOOKUP(G40,PathwayLookup!A:B,2,0)</f>
        <v>Reablement &amp; Rehabilitation in a bedded setting (pathway 2)</v>
      </c>
      <c r="E40" t="s">
        <v>69</v>
      </c>
      <c r="F40" t="s">
        <v>651</v>
      </c>
      <c r="G40" t="s">
        <v>724</v>
      </c>
      <c r="H40">
        <v>17</v>
      </c>
      <c r="I40">
        <v>18</v>
      </c>
      <c r="J40">
        <v>17</v>
      </c>
      <c r="K40">
        <v>18</v>
      </c>
      <c r="L40">
        <v>18</v>
      </c>
      <c r="M40">
        <v>17</v>
      </c>
      <c r="N40">
        <v>18</v>
      </c>
      <c r="O40">
        <v>17</v>
      </c>
      <c r="P40">
        <v>18</v>
      </c>
      <c r="Q40">
        <v>18</v>
      </c>
      <c r="R40">
        <v>16</v>
      </c>
      <c r="S40">
        <v>18</v>
      </c>
      <c r="T40">
        <f t="shared" si="2"/>
        <v>210</v>
      </c>
      <c r="U40">
        <v>1</v>
      </c>
    </row>
    <row r="41" spans="1:21" x14ac:dyDescent="0.3">
      <c r="A41" t="str">
        <f t="shared" si="0"/>
        <v/>
      </c>
      <c r="B41" t="str">
        <f>IF(C41="","",COUNTIF($C$2:C41,C41))</f>
        <v/>
      </c>
      <c r="C41" t="str">
        <f t="shared" si="1"/>
        <v/>
      </c>
      <c r="D41" t="str">
        <f>VLOOKUP(G41,PathwayLookup!A:B,2,0)</f>
        <v>Social support (including VCS) (pathway 0)</v>
      </c>
      <c r="E41" t="s">
        <v>71</v>
      </c>
      <c r="F41" t="s">
        <v>582</v>
      </c>
      <c r="G41" t="s">
        <v>682</v>
      </c>
      <c r="H41">
        <v>0</v>
      </c>
      <c r="I41">
        <v>0</v>
      </c>
      <c r="J41">
        <v>0</v>
      </c>
      <c r="K41">
        <v>0</v>
      </c>
      <c r="L41">
        <v>0</v>
      </c>
      <c r="M41">
        <v>0</v>
      </c>
      <c r="N41">
        <v>0</v>
      </c>
      <c r="O41">
        <v>0</v>
      </c>
      <c r="P41">
        <v>0</v>
      </c>
      <c r="Q41">
        <v>0</v>
      </c>
      <c r="R41">
        <v>0</v>
      </c>
      <c r="S41">
        <v>0</v>
      </c>
      <c r="T41">
        <f t="shared" si="2"/>
        <v>0</v>
      </c>
      <c r="U41">
        <v>1</v>
      </c>
    </row>
    <row r="42" spans="1:21" x14ac:dyDescent="0.3">
      <c r="A42" t="str">
        <f t="shared" si="0"/>
        <v>Bath and North East SomersetReablement &amp; Rehabilitation at home  (pathway 1)1</v>
      </c>
      <c r="B42">
        <f>IF(C42="","",COUNTIF($C$2:C42,C42))</f>
        <v>1</v>
      </c>
      <c r="C42" t="str">
        <f t="shared" si="1"/>
        <v>Bath and North East SomersetReablement at home  (pathway 1)</v>
      </c>
      <c r="D42" t="str">
        <f>VLOOKUP(G42,PathwayLookup!A:B,2,0)</f>
        <v>Reablement &amp; Rehabilitation at home  (pathway 1)</v>
      </c>
      <c r="E42" t="s">
        <v>71</v>
      </c>
      <c r="F42" t="s">
        <v>582</v>
      </c>
      <c r="G42" t="s">
        <v>718</v>
      </c>
      <c r="H42">
        <v>202</v>
      </c>
      <c r="I42">
        <v>210</v>
      </c>
      <c r="J42">
        <v>200</v>
      </c>
      <c r="K42">
        <v>210</v>
      </c>
      <c r="L42">
        <v>212</v>
      </c>
      <c r="M42">
        <v>196</v>
      </c>
      <c r="N42">
        <v>194</v>
      </c>
      <c r="O42">
        <v>201</v>
      </c>
      <c r="P42">
        <v>201</v>
      </c>
      <c r="Q42">
        <v>207</v>
      </c>
      <c r="R42">
        <v>188</v>
      </c>
      <c r="S42">
        <v>205</v>
      </c>
      <c r="T42">
        <f t="shared" si="2"/>
        <v>2426</v>
      </c>
      <c r="U42">
        <v>1</v>
      </c>
    </row>
    <row r="43" spans="1:21" x14ac:dyDescent="0.3">
      <c r="A43" t="str">
        <f t="shared" si="0"/>
        <v/>
      </c>
      <c r="B43" t="str">
        <f>IF(C43="","",COUNTIF($C$2:C43,C43))</f>
        <v/>
      </c>
      <c r="C43" t="str">
        <f t="shared" si="1"/>
        <v/>
      </c>
      <c r="D43" t="str">
        <f>VLOOKUP(G43,PathwayLookup!A:B,2,0)</f>
        <v>Reablement &amp; Rehabilitation at home  (pathway 1)</v>
      </c>
      <c r="E43" t="s">
        <v>71</v>
      </c>
      <c r="F43" t="s">
        <v>582</v>
      </c>
      <c r="G43" t="s">
        <v>719</v>
      </c>
      <c r="H43">
        <v>0</v>
      </c>
      <c r="I43">
        <v>0</v>
      </c>
      <c r="J43">
        <v>0</v>
      </c>
      <c r="K43">
        <v>0</v>
      </c>
      <c r="L43">
        <v>0</v>
      </c>
      <c r="M43">
        <v>0</v>
      </c>
      <c r="N43">
        <v>0</v>
      </c>
      <c r="O43">
        <v>0</v>
      </c>
      <c r="P43">
        <v>0</v>
      </c>
      <c r="Q43">
        <v>0</v>
      </c>
      <c r="R43">
        <v>0</v>
      </c>
      <c r="S43">
        <v>0</v>
      </c>
      <c r="T43">
        <f t="shared" si="2"/>
        <v>0</v>
      </c>
      <c r="U43">
        <v>1</v>
      </c>
    </row>
    <row r="44" spans="1:21" x14ac:dyDescent="0.3">
      <c r="A44" t="str">
        <f t="shared" si="0"/>
        <v>Bath and North East SomersetShort term domiciliary care (pathway 1)1</v>
      </c>
      <c r="B44">
        <f>IF(C44="","",COUNTIF($C$2:C44,C44))</f>
        <v>1</v>
      </c>
      <c r="C44" t="str">
        <f t="shared" si="1"/>
        <v>Bath and North East SomersetShort term domiciliary care (pathway 1)</v>
      </c>
      <c r="D44" t="str">
        <f>VLOOKUP(G44,PathwayLookup!A:B,2,0)</f>
        <v>Short term domiciliary care (pathway 1)</v>
      </c>
      <c r="E44" t="s">
        <v>71</v>
      </c>
      <c r="F44" t="s">
        <v>582</v>
      </c>
      <c r="G44" t="s">
        <v>684</v>
      </c>
      <c r="H44">
        <v>46</v>
      </c>
      <c r="I44">
        <v>46</v>
      </c>
      <c r="J44">
        <v>46</v>
      </c>
      <c r="K44">
        <v>46</v>
      </c>
      <c r="L44">
        <v>46</v>
      </c>
      <c r="M44">
        <v>46</v>
      </c>
      <c r="N44">
        <v>46</v>
      </c>
      <c r="O44">
        <v>47</v>
      </c>
      <c r="P44">
        <v>47</v>
      </c>
      <c r="Q44">
        <v>47</v>
      </c>
      <c r="R44">
        <v>46</v>
      </c>
      <c r="S44">
        <v>46</v>
      </c>
      <c r="T44">
        <f t="shared" si="2"/>
        <v>555</v>
      </c>
      <c r="U44">
        <v>1</v>
      </c>
    </row>
    <row r="45" spans="1:21" x14ac:dyDescent="0.3">
      <c r="A45" t="str">
        <f t="shared" si="0"/>
        <v>Bath and North East SomersetReablement &amp; Rehabilitation in a bedded setting (pathway 2)1</v>
      </c>
      <c r="B45">
        <f>IF(C45="","",COUNTIF($C$2:C45,C45))</f>
        <v>1</v>
      </c>
      <c r="C45" t="str">
        <f t="shared" si="1"/>
        <v>Bath and North East SomersetReablement in a bedded setting (pathway 2)</v>
      </c>
      <c r="D45" t="str">
        <f>VLOOKUP(G45,PathwayLookup!A:B,2,0)</f>
        <v>Reablement &amp; Rehabilitation in a bedded setting (pathway 2)</v>
      </c>
      <c r="E45" t="s">
        <v>71</v>
      </c>
      <c r="F45" t="s">
        <v>582</v>
      </c>
      <c r="G45" t="s">
        <v>722</v>
      </c>
      <c r="H45">
        <v>10</v>
      </c>
      <c r="I45">
        <v>10</v>
      </c>
      <c r="J45">
        <v>8</v>
      </c>
      <c r="K45">
        <v>9</v>
      </c>
      <c r="L45">
        <v>10</v>
      </c>
      <c r="M45">
        <v>8</v>
      </c>
      <c r="N45">
        <v>7</v>
      </c>
      <c r="O45">
        <v>11</v>
      </c>
      <c r="P45">
        <v>9</v>
      </c>
      <c r="Q45">
        <v>11</v>
      </c>
      <c r="R45">
        <v>10</v>
      </c>
      <c r="S45">
        <v>12</v>
      </c>
      <c r="T45">
        <f t="shared" si="2"/>
        <v>115</v>
      </c>
      <c r="U45">
        <v>1</v>
      </c>
    </row>
    <row r="46" spans="1:21" x14ac:dyDescent="0.3">
      <c r="A46" t="str">
        <f t="shared" si="0"/>
        <v/>
      </c>
      <c r="B46" t="str">
        <f>IF(C46="","",COUNTIF($C$2:C46,C46))</f>
        <v/>
      </c>
      <c r="C46" t="str">
        <f t="shared" si="1"/>
        <v/>
      </c>
      <c r="D46" t="str">
        <f>VLOOKUP(G46,PathwayLookup!A:B,2,0)</f>
        <v>Reablement &amp; Rehabilitation in a bedded setting (pathway 2)</v>
      </c>
      <c r="E46" t="s">
        <v>71</v>
      </c>
      <c r="F46" t="s">
        <v>582</v>
      </c>
      <c r="G46" t="s">
        <v>724</v>
      </c>
      <c r="H46">
        <v>0</v>
      </c>
      <c r="I46">
        <v>0</v>
      </c>
      <c r="J46">
        <v>0</v>
      </c>
      <c r="K46">
        <v>0</v>
      </c>
      <c r="L46">
        <v>0</v>
      </c>
      <c r="M46">
        <v>0</v>
      </c>
      <c r="N46">
        <v>0</v>
      </c>
      <c r="O46">
        <v>0</v>
      </c>
      <c r="P46">
        <v>0</v>
      </c>
      <c r="Q46">
        <v>0</v>
      </c>
      <c r="R46">
        <v>0</v>
      </c>
      <c r="S46">
        <v>0</v>
      </c>
      <c r="T46">
        <f t="shared" si="2"/>
        <v>0</v>
      </c>
      <c r="U46">
        <v>1</v>
      </c>
    </row>
    <row r="47" spans="1:21" x14ac:dyDescent="0.3">
      <c r="A47" t="str">
        <f t="shared" si="0"/>
        <v>Bath and North East SomersetShort-term residential/nursing care for someone likely to require a longer-term care home placement (pathway 3)1</v>
      </c>
      <c r="B47">
        <f>IF(C47="","",COUNTIF($C$2:C47,C47))</f>
        <v>1</v>
      </c>
      <c r="C47" t="str">
        <f t="shared" si="1"/>
        <v>Bath and North East SomersetShort-term residential/nursing care for someone likely to require a longer-term care home placement (pathway 3)</v>
      </c>
      <c r="D47" t="str">
        <f>VLOOKUP(G47,PathwayLookup!A:B,2,0)</f>
        <v>Short-term residential/nursing care for someone likely to require a longer-term care home placement (pathway 3)</v>
      </c>
      <c r="E47" t="s">
        <v>71</v>
      </c>
      <c r="F47" t="s">
        <v>582</v>
      </c>
      <c r="G47" t="s">
        <v>686</v>
      </c>
      <c r="H47">
        <v>17</v>
      </c>
      <c r="I47">
        <v>18</v>
      </c>
      <c r="J47">
        <v>17</v>
      </c>
      <c r="K47">
        <v>18</v>
      </c>
      <c r="L47">
        <v>17</v>
      </c>
      <c r="M47">
        <v>17</v>
      </c>
      <c r="N47">
        <v>18</v>
      </c>
      <c r="O47">
        <v>17</v>
      </c>
      <c r="P47">
        <v>18</v>
      </c>
      <c r="Q47">
        <v>17</v>
      </c>
      <c r="R47">
        <v>15</v>
      </c>
      <c r="S47">
        <v>18</v>
      </c>
      <c r="T47">
        <f t="shared" si="2"/>
        <v>207</v>
      </c>
      <c r="U47">
        <v>1</v>
      </c>
    </row>
    <row r="48" spans="1:21" x14ac:dyDescent="0.3">
      <c r="A48" t="str">
        <f t="shared" si="0"/>
        <v>BedfordSocial support (including VCS) (pathway 0)1</v>
      </c>
      <c r="B48">
        <f>IF(C48="","",COUNTIF($C$2:C48,C48))</f>
        <v>1</v>
      </c>
      <c r="C48" t="str">
        <f t="shared" si="1"/>
        <v>BedfordSocial support (including VCS) (pathway 0)</v>
      </c>
      <c r="D48" t="str">
        <f>VLOOKUP(G48,PathwayLookup!A:B,2,0)</f>
        <v>Social support (including VCS) (pathway 0)</v>
      </c>
      <c r="E48" t="s">
        <v>73</v>
      </c>
      <c r="F48" t="s">
        <v>457</v>
      </c>
      <c r="G48" t="s">
        <v>682</v>
      </c>
      <c r="H48">
        <v>1</v>
      </c>
      <c r="I48">
        <v>1</v>
      </c>
      <c r="J48">
        <v>2</v>
      </c>
      <c r="K48">
        <v>1</v>
      </c>
      <c r="L48">
        <v>2</v>
      </c>
      <c r="M48">
        <v>1</v>
      </c>
      <c r="N48">
        <v>1</v>
      </c>
      <c r="O48">
        <v>1</v>
      </c>
      <c r="P48">
        <v>1</v>
      </c>
      <c r="Q48">
        <v>3</v>
      </c>
      <c r="R48">
        <v>2</v>
      </c>
      <c r="S48">
        <v>5</v>
      </c>
      <c r="T48">
        <f t="shared" si="2"/>
        <v>21</v>
      </c>
      <c r="U48">
        <v>1</v>
      </c>
    </row>
    <row r="49" spans="1:21" x14ac:dyDescent="0.3">
      <c r="A49" t="str">
        <f t="shared" si="0"/>
        <v>BedfordReablement &amp; Rehabilitation at home  (pathway 1)1</v>
      </c>
      <c r="B49">
        <f>IF(C49="","",COUNTIF($C$2:C49,C49))</f>
        <v>1</v>
      </c>
      <c r="C49" t="str">
        <f t="shared" si="1"/>
        <v>BedfordReablement at home  (pathway 1)</v>
      </c>
      <c r="D49" t="str">
        <f>VLOOKUP(G49,PathwayLookup!A:B,2,0)</f>
        <v>Reablement &amp; Rehabilitation at home  (pathway 1)</v>
      </c>
      <c r="E49" t="s">
        <v>73</v>
      </c>
      <c r="F49" t="s">
        <v>457</v>
      </c>
      <c r="G49" t="s">
        <v>718</v>
      </c>
      <c r="H49">
        <v>22</v>
      </c>
      <c r="I49">
        <v>17</v>
      </c>
      <c r="J49">
        <v>20</v>
      </c>
      <c r="K49">
        <v>15</v>
      </c>
      <c r="L49">
        <v>20</v>
      </c>
      <c r="M49">
        <v>11</v>
      </c>
      <c r="N49">
        <v>18</v>
      </c>
      <c r="O49">
        <v>20</v>
      </c>
      <c r="P49">
        <v>25</v>
      </c>
      <c r="Q49">
        <v>23</v>
      </c>
      <c r="R49">
        <v>15</v>
      </c>
      <c r="S49">
        <v>25</v>
      </c>
      <c r="T49">
        <f t="shared" si="2"/>
        <v>231</v>
      </c>
      <c r="U49">
        <v>1</v>
      </c>
    </row>
    <row r="50" spans="1:21" x14ac:dyDescent="0.3">
      <c r="A50" t="str">
        <f t="shared" si="0"/>
        <v/>
      </c>
      <c r="B50" t="str">
        <f>IF(C50="","",COUNTIF($C$2:C50,C50))</f>
        <v/>
      </c>
      <c r="C50" t="str">
        <f t="shared" si="1"/>
        <v/>
      </c>
      <c r="D50" t="str">
        <f>VLOOKUP(G50,PathwayLookup!A:B,2,0)</f>
        <v>Reablement &amp; Rehabilitation at home  (pathway 1)</v>
      </c>
      <c r="E50" t="s">
        <v>73</v>
      </c>
      <c r="F50" t="s">
        <v>457</v>
      </c>
      <c r="G50" t="s">
        <v>719</v>
      </c>
      <c r="H50">
        <v>0</v>
      </c>
      <c r="I50">
        <v>0</v>
      </c>
      <c r="J50">
        <v>0</v>
      </c>
      <c r="K50">
        <v>0</v>
      </c>
      <c r="L50">
        <v>0</v>
      </c>
      <c r="M50">
        <v>0</v>
      </c>
      <c r="N50">
        <v>0</v>
      </c>
      <c r="O50">
        <v>0</v>
      </c>
      <c r="P50">
        <v>0</v>
      </c>
      <c r="Q50">
        <v>0</v>
      </c>
      <c r="R50">
        <v>0</v>
      </c>
      <c r="S50">
        <v>0</v>
      </c>
      <c r="T50">
        <f t="shared" si="2"/>
        <v>0</v>
      </c>
      <c r="U50">
        <v>1</v>
      </c>
    </row>
    <row r="51" spans="1:21" x14ac:dyDescent="0.3">
      <c r="A51" t="str">
        <f t="shared" si="0"/>
        <v>BedfordShort term domiciliary care (pathway 1)1</v>
      </c>
      <c r="B51">
        <f>IF(C51="","",COUNTIF($C$2:C51,C51))</f>
        <v>1</v>
      </c>
      <c r="C51" t="str">
        <f t="shared" si="1"/>
        <v>BedfordShort term domiciliary care (pathway 1)</v>
      </c>
      <c r="D51" t="str">
        <f>VLOOKUP(G51,PathwayLookup!A:B,2,0)</f>
        <v>Short term domiciliary care (pathway 1)</v>
      </c>
      <c r="E51" t="s">
        <v>73</v>
      </c>
      <c r="F51" t="s">
        <v>457</v>
      </c>
      <c r="G51" t="s">
        <v>684</v>
      </c>
      <c r="H51">
        <v>5</v>
      </c>
      <c r="I51">
        <v>1</v>
      </c>
      <c r="J51">
        <v>1</v>
      </c>
      <c r="K51">
        <v>6</v>
      </c>
      <c r="L51">
        <v>2</v>
      </c>
      <c r="M51">
        <v>3</v>
      </c>
      <c r="N51">
        <v>1</v>
      </c>
      <c r="O51">
        <v>2</v>
      </c>
      <c r="P51">
        <v>2</v>
      </c>
      <c r="Q51">
        <v>3</v>
      </c>
      <c r="R51">
        <v>0</v>
      </c>
      <c r="S51">
        <v>1</v>
      </c>
      <c r="T51">
        <f t="shared" si="2"/>
        <v>27</v>
      </c>
      <c r="U51">
        <v>1</v>
      </c>
    </row>
    <row r="52" spans="1:21" x14ac:dyDescent="0.3">
      <c r="A52" t="str">
        <f t="shared" si="0"/>
        <v>BedfordReablement &amp; Rehabilitation in a bedded setting (pathway 2)1</v>
      </c>
      <c r="B52">
        <f>IF(C52="","",COUNTIF($C$2:C52,C52))</f>
        <v>1</v>
      </c>
      <c r="C52" t="str">
        <f t="shared" si="1"/>
        <v>BedfordReablement in a bedded setting (pathway 2)</v>
      </c>
      <c r="D52" t="str">
        <f>VLOOKUP(G52,PathwayLookup!A:B,2,0)</f>
        <v>Reablement &amp; Rehabilitation in a bedded setting (pathway 2)</v>
      </c>
      <c r="E52" t="s">
        <v>73</v>
      </c>
      <c r="F52" t="s">
        <v>457</v>
      </c>
      <c r="G52" t="s">
        <v>722</v>
      </c>
      <c r="H52">
        <v>16</v>
      </c>
      <c r="I52">
        <v>16</v>
      </c>
      <c r="J52">
        <v>16</v>
      </c>
      <c r="K52">
        <v>16</v>
      </c>
      <c r="L52">
        <v>16</v>
      </c>
      <c r="M52">
        <v>16</v>
      </c>
      <c r="N52">
        <v>16</v>
      </c>
      <c r="O52">
        <v>16</v>
      </c>
      <c r="P52">
        <v>16</v>
      </c>
      <c r="Q52">
        <v>16</v>
      </c>
      <c r="R52">
        <v>16</v>
      </c>
      <c r="S52">
        <v>16</v>
      </c>
      <c r="T52">
        <f t="shared" si="2"/>
        <v>192</v>
      </c>
      <c r="U52">
        <v>1</v>
      </c>
    </row>
    <row r="53" spans="1:21" x14ac:dyDescent="0.3">
      <c r="A53" t="str">
        <f t="shared" si="0"/>
        <v>BedfordReablement &amp; Rehabilitation in a bedded setting (pathway 2)1</v>
      </c>
      <c r="B53">
        <f>IF(C53="","",COUNTIF($C$2:C53,C53))</f>
        <v>1</v>
      </c>
      <c r="C53" t="str">
        <f t="shared" si="1"/>
        <v>BedfordRehabilitation in a bedded setting (pathway 2)</v>
      </c>
      <c r="D53" t="str">
        <f>VLOOKUP(G53,PathwayLookup!A:B,2,0)</f>
        <v>Reablement &amp; Rehabilitation in a bedded setting (pathway 2)</v>
      </c>
      <c r="E53" t="s">
        <v>73</v>
      </c>
      <c r="F53" t="s">
        <v>457</v>
      </c>
      <c r="G53" t="s">
        <v>724</v>
      </c>
      <c r="H53">
        <v>10</v>
      </c>
      <c r="I53">
        <v>10</v>
      </c>
      <c r="J53">
        <v>13</v>
      </c>
      <c r="K53">
        <v>11</v>
      </c>
      <c r="L53">
        <v>11</v>
      </c>
      <c r="M53">
        <v>11</v>
      </c>
      <c r="N53">
        <v>10</v>
      </c>
      <c r="O53">
        <v>10</v>
      </c>
      <c r="P53">
        <v>12</v>
      </c>
      <c r="Q53">
        <v>11</v>
      </c>
      <c r="R53">
        <v>11</v>
      </c>
      <c r="S53">
        <v>10</v>
      </c>
      <c r="T53">
        <f t="shared" si="2"/>
        <v>130</v>
      </c>
      <c r="U53">
        <v>1</v>
      </c>
    </row>
    <row r="54" spans="1:21" x14ac:dyDescent="0.3">
      <c r="A54" t="str">
        <f t="shared" si="0"/>
        <v/>
      </c>
      <c r="B54" t="str">
        <f>IF(C54="","",COUNTIF($C$2:C54,C54))</f>
        <v/>
      </c>
      <c r="C54" t="str">
        <f t="shared" si="1"/>
        <v/>
      </c>
      <c r="D54" t="str">
        <f>VLOOKUP(G54,PathwayLookup!A:B,2,0)</f>
        <v>Short-term residential/nursing care for someone likely to require a longer-term care home placement (pathway 3)</v>
      </c>
      <c r="E54" t="s">
        <v>73</v>
      </c>
      <c r="F54" t="s">
        <v>457</v>
      </c>
      <c r="G54" t="s">
        <v>686</v>
      </c>
      <c r="H54">
        <v>0</v>
      </c>
      <c r="I54">
        <v>0</v>
      </c>
      <c r="J54">
        <v>0</v>
      </c>
      <c r="K54">
        <v>0</v>
      </c>
      <c r="L54">
        <v>0</v>
      </c>
      <c r="M54">
        <v>0</v>
      </c>
      <c r="N54">
        <v>0</v>
      </c>
      <c r="O54">
        <v>0</v>
      </c>
      <c r="P54">
        <v>0</v>
      </c>
      <c r="Q54">
        <v>0</v>
      </c>
      <c r="R54">
        <v>0</v>
      </c>
      <c r="S54">
        <v>0</v>
      </c>
      <c r="T54">
        <f t="shared" si="2"/>
        <v>0</v>
      </c>
      <c r="U54">
        <v>1</v>
      </c>
    </row>
    <row r="55" spans="1:21" x14ac:dyDescent="0.3">
      <c r="A55" t="str">
        <f t="shared" si="0"/>
        <v>BexleySocial support (including VCS) (pathway 0)1</v>
      </c>
      <c r="B55">
        <f>IF(C55="","",COUNTIF($C$2:C55,C55))</f>
        <v>1</v>
      </c>
      <c r="C55" t="str">
        <f t="shared" si="1"/>
        <v>BexleySocial support (including VCS) (pathway 0)</v>
      </c>
      <c r="D55" t="str">
        <f>VLOOKUP(G55,PathwayLookup!A:B,2,0)</f>
        <v>Social support (including VCS) (pathway 0)</v>
      </c>
      <c r="E55" t="s">
        <v>75</v>
      </c>
      <c r="F55" t="s">
        <v>485</v>
      </c>
      <c r="G55" t="s">
        <v>682</v>
      </c>
      <c r="H55">
        <v>486</v>
      </c>
      <c r="I55">
        <v>577</v>
      </c>
      <c r="J55">
        <v>541</v>
      </c>
      <c r="K55">
        <v>511</v>
      </c>
      <c r="L55">
        <v>575</v>
      </c>
      <c r="M55">
        <v>497</v>
      </c>
      <c r="N55">
        <v>530</v>
      </c>
      <c r="O55">
        <v>504</v>
      </c>
      <c r="P55">
        <v>445</v>
      </c>
      <c r="Q55">
        <v>543</v>
      </c>
      <c r="R55">
        <v>531</v>
      </c>
      <c r="S55">
        <v>517</v>
      </c>
      <c r="T55">
        <f t="shared" si="2"/>
        <v>6257</v>
      </c>
      <c r="U55">
        <v>1</v>
      </c>
    </row>
    <row r="56" spans="1:21" x14ac:dyDescent="0.3">
      <c r="A56" t="str">
        <f t="shared" si="0"/>
        <v>BexleySocial support (including VCS) (pathway 0)2</v>
      </c>
      <c r="B56">
        <f>IF(C56="","",COUNTIF($C$2:C56,C56))</f>
        <v>2</v>
      </c>
      <c r="C56" t="str">
        <f t="shared" si="1"/>
        <v>BexleySocial support (including VCS) (pathway 0)</v>
      </c>
      <c r="D56" t="str">
        <f>VLOOKUP(G56,PathwayLookup!A:B,2,0)</f>
        <v>Social support (including VCS) (pathway 0)</v>
      </c>
      <c r="E56" t="s">
        <v>75</v>
      </c>
      <c r="F56" t="s">
        <v>510</v>
      </c>
      <c r="G56" t="s">
        <v>682</v>
      </c>
      <c r="H56">
        <v>91</v>
      </c>
      <c r="I56">
        <v>108</v>
      </c>
      <c r="J56">
        <v>101</v>
      </c>
      <c r="K56">
        <v>96</v>
      </c>
      <c r="L56">
        <v>108</v>
      </c>
      <c r="M56">
        <v>93</v>
      </c>
      <c r="N56">
        <v>99</v>
      </c>
      <c r="O56">
        <v>94</v>
      </c>
      <c r="P56">
        <v>83</v>
      </c>
      <c r="Q56">
        <v>101</v>
      </c>
      <c r="R56">
        <v>99</v>
      </c>
      <c r="S56">
        <v>97</v>
      </c>
      <c r="T56">
        <f t="shared" si="2"/>
        <v>1170</v>
      </c>
      <c r="U56">
        <v>1</v>
      </c>
    </row>
    <row r="57" spans="1:21" x14ac:dyDescent="0.3">
      <c r="A57" t="str">
        <f t="shared" si="0"/>
        <v>BexleySocial support (including VCS) (pathway 0)3</v>
      </c>
      <c r="B57">
        <f>IF(C57="","",COUNTIF($C$2:C57,C57))</f>
        <v>3</v>
      </c>
      <c r="C57" t="str">
        <f t="shared" si="1"/>
        <v>BexleySocial support (including VCS) (pathway 0)</v>
      </c>
      <c r="D57" t="str">
        <f>VLOOKUP(G57,PathwayLookup!A:B,2,0)</f>
        <v>Social support (including VCS) (pathway 0)</v>
      </c>
      <c r="E57" t="s">
        <v>75</v>
      </c>
      <c r="F57" t="s">
        <v>526</v>
      </c>
      <c r="G57" t="s">
        <v>682</v>
      </c>
      <c r="H57">
        <v>329</v>
      </c>
      <c r="I57">
        <v>390</v>
      </c>
      <c r="J57">
        <v>366</v>
      </c>
      <c r="K57">
        <v>346</v>
      </c>
      <c r="L57">
        <v>389</v>
      </c>
      <c r="M57">
        <v>336</v>
      </c>
      <c r="N57">
        <v>358</v>
      </c>
      <c r="O57">
        <v>341</v>
      </c>
      <c r="P57">
        <v>301</v>
      </c>
      <c r="Q57">
        <v>367</v>
      </c>
      <c r="R57">
        <v>359</v>
      </c>
      <c r="S57">
        <v>350</v>
      </c>
      <c r="T57">
        <f t="shared" si="2"/>
        <v>4232</v>
      </c>
      <c r="U57">
        <v>1</v>
      </c>
    </row>
    <row r="58" spans="1:21" x14ac:dyDescent="0.3">
      <c r="A58" t="str">
        <f t="shared" si="0"/>
        <v>BexleySocial support (including VCS) (pathway 0)4</v>
      </c>
      <c r="B58">
        <f>IF(C58="","",COUNTIF($C$2:C58,C58))</f>
        <v>4</v>
      </c>
      <c r="C58" t="str">
        <f t="shared" si="1"/>
        <v>BexleySocial support (including VCS) (pathway 0)</v>
      </c>
      <c r="D58" t="str">
        <f>VLOOKUP(G58,PathwayLookup!A:B,2,0)</f>
        <v>Social support (including VCS) (pathway 0)</v>
      </c>
      <c r="E58" t="s">
        <v>75</v>
      </c>
      <c r="F58" t="s">
        <v>534</v>
      </c>
      <c r="G58" t="s">
        <v>682</v>
      </c>
      <c r="H58">
        <v>1044</v>
      </c>
      <c r="I58">
        <v>1239</v>
      </c>
      <c r="J58">
        <v>1161</v>
      </c>
      <c r="K58">
        <v>1098</v>
      </c>
      <c r="L58">
        <v>1235</v>
      </c>
      <c r="M58">
        <v>1067</v>
      </c>
      <c r="N58">
        <v>1137</v>
      </c>
      <c r="O58">
        <v>1082</v>
      </c>
      <c r="P58">
        <v>955</v>
      </c>
      <c r="Q58">
        <v>1165</v>
      </c>
      <c r="R58">
        <v>1140</v>
      </c>
      <c r="S58">
        <v>1110</v>
      </c>
      <c r="T58">
        <f t="shared" si="2"/>
        <v>13433</v>
      </c>
      <c r="U58">
        <v>1</v>
      </c>
    </row>
    <row r="59" spans="1:21" x14ac:dyDescent="0.3">
      <c r="A59" t="str">
        <f t="shared" si="0"/>
        <v>BexleySocial support (including VCS) (pathway 0)5</v>
      </c>
      <c r="B59">
        <f>IF(C59="","",COUNTIF($C$2:C59,C59))</f>
        <v>5</v>
      </c>
      <c r="C59" t="str">
        <f t="shared" si="1"/>
        <v>BexleySocial support (including VCS) (pathway 0)</v>
      </c>
      <c r="D59" t="str">
        <f>VLOOKUP(G59,PathwayLookup!A:B,2,0)</f>
        <v>Social support (including VCS) (pathway 0)</v>
      </c>
      <c r="E59" t="s">
        <v>75</v>
      </c>
      <c r="F59" t="s">
        <v>651</v>
      </c>
      <c r="G59" t="s">
        <v>682</v>
      </c>
      <c r="H59">
        <v>93</v>
      </c>
      <c r="I59">
        <v>112</v>
      </c>
      <c r="J59">
        <v>104</v>
      </c>
      <c r="K59">
        <v>98</v>
      </c>
      <c r="L59">
        <v>112</v>
      </c>
      <c r="M59">
        <v>96</v>
      </c>
      <c r="N59">
        <v>102</v>
      </c>
      <c r="O59">
        <v>97</v>
      </c>
      <c r="P59">
        <v>86</v>
      </c>
      <c r="Q59">
        <v>105</v>
      </c>
      <c r="R59">
        <v>104</v>
      </c>
      <c r="S59">
        <v>100</v>
      </c>
      <c r="T59">
        <f t="shared" si="2"/>
        <v>1209</v>
      </c>
      <c r="U59">
        <v>1</v>
      </c>
    </row>
    <row r="60" spans="1:21" x14ac:dyDescent="0.3">
      <c r="A60" t="str">
        <f t="shared" si="0"/>
        <v>BexleyReablement &amp; Rehabilitation at home  (pathway 1)1</v>
      </c>
      <c r="B60">
        <f>IF(C60="","",COUNTIF($C$2:C60,C60))</f>
        <v>1</v>
      </c>
      <c r="C60" t="str">
        <f t="shared" si="1"/>
        <v>BexleyReablement at home  (pathway 1)</v>
      </c>
      <c r="D60" t="str">
        <f>VLOOKUP(G60,PathwayLookup!A:B,2,0)</f>
        <v>Reablement &amp; Rehabilitation at home  (pathway 1)</v>
      </c>
      <c r="E60" t="s">
        <v>75</v>
      </c>
      <c r="F60" t="s">
        <v>485</v>
      </c>
      <c r="G60" t="s">
        <v>718</v>
      </c>
      <c r="H60">
        <v>26</v>
      </c>
      <c r="I60">
        <v>31</v>
      </c>
      <c r="J60">
        <v>29</v>
      </c>
      <c r="K60">
        <v>27</v>
      </c>
      <c r="L60">
        <v>31</v>
      </c>
      <c r="M60">
        <v>26</v>
      </c>
      <c r="N60">
        <v>28</v>
      </c>
      <c r="O60">
        <v>27</v>
      </c>
      <c r="P60">
        <v>24</v>
      </c>
      <c r="Q60">
        <v>29</v>
      </c>
      <c r="R60">
        <v>28</v>
      </c>
      <c r="S60">
        <v>28</v>
      </c>
      <c r="T60">
        <f t="shared" si="2"/>
        <v>334</v>
      </c>
      <c r="U60">
        <v>1</v>
      </c>
    </row>
    <row r="61" spans="1:21" x14ac:dyDescent="0.3">
      <c r="A61" t="str">
        <f t="shared" si="0"/>
        <v>BexleyReablement &amp; Rehabilitation at home  (pathway 1)2</v>
      </c>
      <c r="B61">
        <f>IF(C61="","",COUNTIF($C$2:C61,C61))</f>
        <v>2</v>
      </c>
      <c r="C61" t="str">
        <f t="shared" si="1"/>
        <v>BexleyReablement at home  (pathway 1)</v>
      </c>
      <c r="D61" t="str">
        <f>VLOOKUP(G61,PathwayLookup!A:B,2,0)</f>
        <v>Reablement &amp; Rehabilitation at home  (pathway 1)</v>
      </c>
      <c r="E61" t="s">
        <v>75</v>
      </c>
      <c r="F61" t="s">
        <v>510</v>
      </c>
      <c r="G61" t="s">
        <v>718</v>
      </c>
      <c r="H61">
        <v>5</v>
      </c>
      <c r="I61">
        <v>6</v>
      </c>
      <c r="J61">
        <v>5</v>
      </c>
      <c r="K61">
        <v>5</v>
      </c>
      <c r="L61">
        <v>6</v>
      </c>
      <c r="M61">
        <v>5</v>
      </c>
      <c r="N61">
        <v>5</v>
      </c>
      <c r="O61">
        <v>5</v>
      </c>
      <c r="P61">
        <v>4</v>
      </c>
      <c r="Q61">
        <v>5</v>
      </c>
      <c r="R61">
        <v>5</v>
      </c>
      <c r="S61">
        <v>5</v>
      </c>
      <c r="T61">
        <f t="shared" si="2"/>
        <v>61</v>
      </c>
      <c r="U61">
        <v>1</v>
      </c>
    </row>
    <row r="62" spans="1:21" x14ac:dyDescent="0.3">
      <c r="A62" t="str">
        <f t="shared" si="0"/>
        <v>BexleyReablement &amp; Rehabilitation at home  (pathway 1)3</v>
      </c>
      <c r="B62">
        <f>IF(C62="","",COUNTIF($C$2:C62,C62))</f>
        <v>3</v>
      </c>
      <c r="C62" t="str">
        <f t="shared" si="1"/>
        <v>BexleyReablement at home  (pathway 1)</v>
      </c>
      <c r="D62" t="str">
        <f>VLOOKUP(G62,PathwayLookup!A:B,2,0)</f>
        <v>Reablement &amp; Rehabilitation at home  (pathway 1)</v>
      </c>
      <c r="E62" t="s">
        <v>75</v>
      </c>
      <c r="F62" t="s">
        <v>526</v>
      </c>
      <c r="G62" t="s">
        <v>718</v>
      </c>
      <c r="H62">
        <v>17</v>
      </c>
      <c r="I62">
        <v>21</v>
      </c>
      <c r="J62">
        <v>19</v>
      </c>
      <c r="K62">
        <v>18</v>
      </c>
      <c r="L62">
        <v>21</v>
      </c>
      <c r="M62">
        <v>18</v>
      </c>
      <c r="N62">
        <v>19</v>
      </c>
      <c r="O62">
        <v>18</v>
      </c>
      <c r="P62">
        <v>16</v>
      </c>
      <c r="Q62">
        <v>20</v>
      </c>
      <c r="R62">
        <v>19</v>
      </c>
      <c r="S62">
        <v>19</v>
      </c>
      <c r="T62">
        <f t="shared" si="2"/>
        <v>225</v>
      </c>
      <c r="U62">
        <v>1</v>
      </c>
    </row>
    <row r="63" spans="1:21" x14ac:dyDescent="0.3">
      <c r="A63" t="str">
        <f t="shared" si="0"/>
        <v>BexleyReablement &amp; Rehabilitation at home  (pathway 1)4</v>
      </c>
      <c r="B63">
        <f>IF(C63="","",COUNTIF($C$2:C63,C63))</f>
        <v>4</v>
      </c>
      <c r="C63" t="str">
        <f t="shared" si="1"/>
        <v>BexleyReablement at home  (pathway 1)</v>
      </c>
      <c r="D63" t="str">
        <f>VLOOKUP(G63,PathwayLookup!A:B,2,0)</f>
        <v>Reablement &amp; Rehabilitation at home  (pathway 1)</v>
      </c>
      <c r="E63" t="s">
        <v>75</v>
      </c>
      <c r="F63" t="s">
        <v>534</v>
      </c>
      <c r="G63" t="s">
        <v>718</v>
      </c>
      <c r="H63">
        <v>56</v>
      </c>
      <c r="I63">
        <v>66</v>
      </c>
      <c r="J63">
        <v>62</v>
      </c>
      <c r="K63">
        <v>58</v>
      </c>
      <c r="L63">
        <v>66</v>
      </c>
      <c r="M63">
        <v>57</v>
      </c>
      <c r="N63">
        <v>61</v>
      </c>
      <c r="O63">
        <v>58</v>
      </c>
      <c r="P63">
        <v>51</v>
      </c>
      <c r="Q63">
        <v>62</v>
      </c>
      <c r="R63">
        <v>61</v>
      </c>
      <c r="S63">
        <v>59</v>
      </c>
      <c r="T63">
        <f t="shared" si="2"/>
        <v>717</v>
      </c>
      <c r="U63">
        <v>1</v>
      </c>
    </row>
    <row r="64" spans="1:21" x14ac:dyDescent="0.3">
      <c r="A64" t="str">
        <f t="shared" si="0"/>
        <v>BexleyReablement &amp; Rehabilitation at home  (pathway 1)5</v>
      </c>
      <c r="B64">
        <f>IF(C64="","",COUNTIF($C$2:C64,C64))</f>
        <v>5</v>
      </c>
      <c r="C64" t="str">
        <f t="shared" si="1"/>
        <v>BexleyReablement at home  (pathway 1)</v>
      </c>
      <c r="D64" t="str">
        <f>VLOOKUP(G64,PathwayLookup!A:B,2,0)</f>
        <v>Reablement &amp; Rehabilitation at home  (pathway 1)</v>
      </c>
      <c r="E64" t="s">
        <v>75</v>
      </c>
      <c r="F64" t="s">
        <v>651</v>
      </c>
      <c r="G64" t="s">
        <v>718</v>
      </c>
      <c r="H64">
        <v>5</v>
      </c>
      <c r="I64">
        <v>5</v>
      </c>
      <c r="J64">
        <v>5</v>
      </c>
      <c r="K64">
        <v>6</v>
      </c>
      <c r="L64">
        <v>5</v>
      </c>
      <c r="M64">
        <v>5</v>
      </c>
      <c r="N64">
        <v>6</v>
      </c>
      <c r="O64">
        <v>5</v>
      </c>
      <c r="P64">
        <v>5</v>
      </c>
      <c r="Q64">
        <v>5</v>
      </c>
      <c r="R64">
        <v>6</v>
      </c>
      <c r="S64">
        <v>5</v>
      </c>
      <c r="T64">
        <f t="shared" si="2"/>
        <v>63</v>
      </c>
      <c r="U64">
        <v>1</v>
      </c>
    </row>
    <row r="65" spans="1:21" x14ac:dyDescent="0.3">
      <c r="A65" t="str">
        <f t="shared" si="0"/>
        <v>BexleyReablement &amp; Rehabilitation at home  (pathway 1)1</v>
      </c>
      <c r="B65">
        <f>IF(C65="","",COUNTIF($C$2:C65,C65))</f>
        <v>1</v>
      </c>
      <c r="C65" t="str">
        <f t="shared" si="1"/>
        <v>BexleyRehabilitation at home (pathway 1)</v>
      </c>
      <c r="D65" t="str">
        <f>VLOOKUP(G65,PathwayLookup!A:B,2,0)</f>
        <v>Reablement &amp; Rehabilitation at home  (pathway 1)</v>
      </c>
      <c r="E65" t="s">
        <v>75</v>
      </c>
      <c r="F65" t="s">
        <v>485</v>
      </c>
      <c r="G65" t="s">
        <v>719</v>
      </c>
      <c r="H65">
        <v>14</v>
      </c>
      <c r="I65">
        <v>14</v>
      </c>
      <c r="J65">
        <v>14</v>
      </c>
      <c r="K65">
        <v>14</v>
      </c>
      <c r="L65">
        <v>14</v>
      </c>
      <c r="M65">
        <v>14</v>
      </c>
      <c r="N65">
        <v>14</v>
      </c>
      <c r="O65">
        <v>14</v>
      </c>
      <c r="P65">
        <v>14</v>
      </c>
      <c r="Q65">
        <v>14</v>
      </c>
      <c r="R65">
        <v>14</v>
      </c>
      <c r="S65">
        <v>14</v>
      </c>
      <c r="T65">
        <f t="shared" si="2"/>
        <v>168</v>
      </c>
      <c r="U65">
        <v>1</v>
      </c>
    </row>
    <row r="66" spans="1:21" x14ac:dyDescent="0.3">
      <c r="A66" t="str">
        <f t="shared" ref="A66:A129" si="3">IF(B66="","",E66&amp;D66&amp;B66)</f>
        <v>BexleyReablement &amp; Rehabilitation at home  (pathway 1)2</v>
      </c>
      <c r="B66">
        <f>IF(C66="","",COUNTIF($C$2:C66,C66))</f>
        <v>2</v>
      </c>
      <c r="C66" t="str">
        <f t="shared" ref="C66:C129" si="4">IF(T66=0,"",E66&amp;G66)</f>
        <v>BexleyRehabilitation at home (pathway 1)</v>
      </c>
      <c r="D66" t="str">
        <f>VLOOKUP(G66,PathwayLookup!A:B,2,0)</f>
        <v>Reablement &amp; Rehabilitation at home  (pathway 1)</v>
      </c>
      <c r="E66" t="s">
        <v>75</v>
      </c>
      <c r="F66" t="s">
        <v>510</v>
      </c>
      <c r="G66" t="s">
        <v>719</v>
      </c>
      <c r="H66">
        <v>3</v>
      </c>
      <c r="I66">
        <v>3</v>
      </c>
      <c r="J66">
        <v>3</v>
      </c>
      <c r="K66">
        <v>3</v>
      </c>
      <c r="L66">
        <v>3</v>
      </c>
      <c r="M66">
        <v>3</v>
      </c>
      <c r="N66">
        <v>3</v>
      </c>
      <c r="O66">
        <v>3</v>
      </c>
      <c r="P66">
        <v>3</v>
      </c>
      <c r="Q66">
        <v>3</v>
      </c>
      <c r="R66">
        <v>3</v>
      </c>
      <c r="S66">
        <v>3</v>
      </c>
      <c r="T66">
        <f t="shared" ref="T66:T129" si="5">SUM(H66:S66)</f>
        <v>36</v>
      </c>
      <c r="U66">
        <v>1</v>
      </c>
    </row>
    <row r="67" spans="1:21" x14ac:dyDescent="0.3">
      <c r="A67" t="str">
        <f t="shared" si="3"/>
        <v>BexleyReablement &amp; Rehabilitation at home  (pathway 1)3</v>
      </c>
      <c r="B67">
        <f>IF(C67="","",COUNTIF($C$2:C67,C67))</f>
        <v>3</v>
      </c>
      <c r="C67" t="str">
        <f t="shared" si="4"/>
        <v>BexleyRehabilitation at home (pathway 1)</v>
      </c>
      <c r="D67" t="str">
        <f>VLOOKUP(G67,PathwayLookup!A:B,2,0)</f>
        <v>Reablement &amp; Rehabilitation at home  (pathway 1)</v>
      </c>
      <c r="E67" t="s">
        <v>75</v>
      </c>
      <c r="F67" t="s">
        <v>526</v>
      </c>
      <c r="G67" t="s">
        <v>719</v>
      </c>
      <c r="H67">
        <v>9</v>
      </c>
      <c r="I67">
        <v>9</v>
      </c>
      <c r="J67">
        <v>9</v>
      </c>
      <c r="K67">
        <v>9</v>
      </c>
      <c r="L67">
        <v>9</v>
      </c>
      <c r="M67">
        <v>9</v>
      </c>
      <c r="N67">
        <v>9</v>
      </c>
      <c r="O67">
        <v>9</v>
      </c>
      <c r="P67">
        <v>9</v>
      </c>
      <c r="Q67">
        <v>9</v>
      </c>
      <c r="R67">
        <v>9</v>
      </c>
      <c r="S67">
        <v>9</v>
      </c>
      <c r="T67">
        <f t="shared" si="5"/>
        <v>108</v>
      </c>
      <c r="U67">
        <v>1</v>
      </c>
    </row>
    <row r="68" spans="1:21" x14ac:dyDescent="0.3">
      <c r="A68" t="str">
        <f t="shared" si="3"/>
        <v>BexleyReablement &amp; Rehabilitation at home  (pathway 1)4</v>
      </c>
      <c r="B68">
        <f>IF(C68="","",COUNTIF($C$2:C68,C68))</f>
        <v>4</v>
      </c>
      <c r="C68" t="str">
        <f t="shared" si="4"/>
        <v>BexleyRehabilitation at home (pathway 1)</v>
      </c>
      <c r="D68" t="str">
        <f>VLOOKUP(G68,PathwayLookup!A:B,2,0)</f>
        <v>Reablement &amp; Rehabilitation at home  (pathway 1)</v>
      </c>
      <c r="E68" t="s">
        <v>75</v>
      </c>
      <c r="F68" t="s">
        <v>534</v>
      </c>
      <c r="G68" t="s">
        <v>719</v>
      </c>
      <c r="H68">
        <v>30</v>
      </c>
      <c r="I68">
        <v>30</v>
      </c>
      <c r="J68">
        <v>30</v>
      </c>
      <c r="K68">
        <v>30</v>
      </c>
      <c r="L68">
        <v>30</v>
      </c>
      <c r="M68">
        <v>30</v>
      </c>
      <c r="N68">
        <v>30</v>
      </c>
      <c r="O68">
        <v>30</v>
      </c>
      <c r="P68">
        <v>30</v>
      </c>
      <c r="Q68">
        <v>30</v>
      </c>
      <c r="R68">
        <v>30</v>
      </c>
      <c r="S68">
        <v>30</v>
      </c>
      <c r="T68">
        <f t="shared" si="5"/>
        <v>360</v>
      </c>
      <c r="U68">
        <v>1</v>
      </c>
    </row>
    <row r="69" spans="1:21" x14ac:dyDescent="0.3">
      <c r="A69" t="str">
        <f t="shared" si="3"/>
        <v>BexleyReablement &amp; Rehabilitation at home  (pathway 1)5</v>
      </c>
      <c r="B69">
        <f>IF(C69="","",COUNTIF($C$2:C69,C69))</f>
        <v>5</v>
      </c>
      <c r="C69" t="str">
        <f t="shared" si="4"/>
        <v>BexleyRehabilitation at home (pathway 1)</v>
      </c>
      <c r="D69" t="str">
        <f>VLOOKUP(G69,PathwayLookup!A:B,2,0)</f>
        <v>Reablement &amp; Rehabilitation at home  (pathway 1)</v>
      </c>
      <c r="E69" t="s">
        <v>75</v>
      </c>
      <c r="F69" t="s">
        <v>651</v>
      </c>
      <c r="G69" t="s">
        <v>719</v>
      </c>
      <c r="H69">
        <v>3</v>
      </c>
      <c r="I69">
        <v>3</v>
      </c>
      <c r="J69">
        <v>3</v>
      </c>
      <c r="K69">
        <v>3</v>
      </c>
      <c r="L69">
        <v>3</v>
      </c>
      <c r="M69">
        <v>3</v>
      </c>
      <c r="N69">
        <v>3</v>
      </c>
      <c r="O69">
        <v>3</v>
      </c>
      <c r="P69">
        <v>3</v>
      </c>
      <c r="Q69">
        <v>3</v>
      </c>
      <c r="R69">
        <v>3</v>
      </c>
      <c r="S69">
        <v>3</v>
      </c>
      <c r="T69">
        <f t="shared" si="5"/>
        <v>36</v>
      </c>
      <c r="U69">
        <v>1</v>
      </c>
    </row>
    <row r="70" spans="1:21" x14ac:dyDescent="0.3">
      <c r="A70" t="str">
        <f t="shared" si="3"/>
        <v>BexleyShort term domiciliary care (pathway 1)1</v>
      </c>
      <c r="B70">
        <f>IF(C70="","",COUNTIF($C$2:C70,C70))</f>
        <v>1</v>
      </c>
      <c r="C70" t="str">
        <f t="shared" si="4"/>
        <v>BexleyShort term domiciliary care (pathway 1)</v>
      </c>
      <c r="D70" t="str">
        <f>VLOOKUP(G70,PathwayLookup!A:B,2,0)</f>
        <v>Short term domiciliary care (pathway 1)</v>
      </c>
      <c r="E70" t="s">
        <v>75</v>
      </c>
      <c r="F70" t="s">
        <v>485</v>
      </c>
      <c r="G70" t="s">
        <v>684</v>
      </c>
      <c r="H70">
        <v>8</v>
      </c>
      <c r="I70">
        <v>10</v>
      </c>
      <c r="J70">
        <v>9</v>
      </c>
      <c r="K70">
        <v>9</v>
      </c>
      <c r="L70">
        <v>10</v>
      </c>
      <c r="M70">
        <v>9</v>
      </c>
      <c r="N70">
        <v>9</v>
      </c>
      <c r="O70">
        <v>8</v>
      </c>
      <c r="P70">
        <v>8</v>
      </c>
      <c r="Q70">
        <v>9</v>
      </c>
      <c r="R70">
        <v>9</v>
      </c>
      <c r="S70">
        <v>9</v>
      </c>
      <c r="T70">
        <f t="shared" si="5"/>
        <v>107</v>
      </c>
      <c r="U70">
        <v>1</v>
      </c>
    </row>
    <row r="71" spans="1:21" x14ac:dyDescent="0.3">
      <c r="A71" t="str">
        <f t="shared" si="3"/>
        <v>BexleyShort term domiciliary care (pathway 1)2</v>
      </c>
      <c r="B71">
        <f>IF(C71="","",COUNTIF($C$2:C71,C71))</f>
        <v>2</v>
      </c>
      <c r="C71" t="str">
        <f t="shared" si="4"/>
        <v>BexleyShort term domiciliary care (pathway 1)</v>
      </c>
      <c r="D71" t="str">
        <f>VLOOKUP(G71,PathwayLookup!A:B,2,0)</f>
        <v>Short term domiciliary care (pathway 1)</v>
      </c>
      <c r="E71" t="s">
        <v>75</v>
      </c>
      <c r="F71" t="s">
        <v>510</v>
      </c>
      <c r="G71" t="s">
        <v>684</v>
      </c>
      <c r="H71">
        <v>1</v>
      </c>
      <c r="I71">
        <v>2</v>
      </c>
      <c r="J71">
        <v>2</v>
      </c>
      <c r="K71">
        <v>1</v>
      </c>
      <c r="L71">
        <v>2</v>
      </c>
      <c r="M71">
        <v>1</v>
      </c>
      <c r="N71">
        <v>2</v>
      </c>
      <c r="O71">
        <v>2</v>
      </c>
      <c r="P71">
        <v>1</v>
      </c>
      <c r="Q71">
        <v>2</v>
      </c>
      <c r="R71">
        <v>2</v>
      </c>
      <c r="S71">
        <v>2</v>
      </c>
      <c r="T71">
        <f t="shared" si="5"/>
        <v>20</v>
      </c>
      <c r="U71">
        <v>1</v>
      </c>
    </row>
    <row r="72" spans="1:21" x14ac:dyDescent="0.3">
      <c r="A72" t="str">
        <f t="shared" si="3"/>
        <v>BexleyShort term domiciliary care (pathway 1)3</v>
      </c>
      <c r="B72">
        <f>IF(C72="","",COUNTIF($C$2:C72,C72))</f>
        <v>3</v>
      </c>
      <c r="C72" t="str">
        <f t="shared" si="4"/>
        <v>BexleyShort term domiciliary care (pathway 1)</v>
      </c>
      <c r="D72" t="str">
        <f>VLOOKUP(G72,PathwayLookup!A:B,2,0)</f>
        <v>Short term domiciliary care (pathway 1)</v>
      </c>
      <c r="E72" t="s">
        <v>75</v>
      </c>
      <c r="F72" t="s">
        <v>526</v>
      </c>
      <c r="G72" t="s">
        <v>684</v>
      </c>
      <c r="H72">
        <v>5</v>
      </c>
      <c r="I72">
        <v>7</v>
      </c>
      <c r="J72">
        <v>6</v>
      </c>
      <c r="K72">
        <v>6</v>
      </c>
      <c r="L72">
        <v>7</v>
      </c>
      <c r="M72">
        <v>6</v>
      </c>
      <c r="N72">
        <v>6</v>
      </c>
      <c r="O72">
        <v>6</v>
      </c>
      <c r="P72">
        <v>5</v>
      </c>
      <c r="Q72">
        <v>6</v>
      </c>
      <c r="R72">
        <v>6</v>
      </c>
      <c r="S72">
        <v>6</v>
      </c>
      <c r="T72">
        <f t="shared" si="5"/>
        <v>72</v>
      </c>
      <c r="U72">
        <v>1</v>
      </c>
    </row>
    <row r="73" spans="1:21" x14ac:dyDescent="0.3">
      <c r="A73" t="str">
        <f t="shared" si="3"/>
        <v>BexleyShort term domiciliary care (pathway 1)4</v>
      </c>
      <c r="B73">
        <f>IF(C73="","",COUNTIF($C$2:C73,C73))</f>
        <v>4</v>
      </c>
      <c r="C73" t="str">
        <f t="shared" si="4"/>
        <v>BexleyShort term domiciliary care (pathway 1)</v>
      </c>
      <c r="D73" t="str">
        <f>VLOOKUP(G73,PathwayLookup!A:B,2,0)</f>
        <v>Short term domiciliary care (pathway 1)</v>
      </c>
      <c r="E73" t="s">
        <v>75</v>
      </c>
      <c r="F73" t="s">
        <v>534</v>
      </c>
      <c r="G73" t="s">
        <v>684</v>
      </c>
      <c r="H73">
        <v>18</v>
      </c>
      <c r="I73">
        <v>21</v>
      </c>
      <c r="J73">
        <v>20</v>
      </c>
      <c r="K73">
        <v>19</v>
      </c>
      <c r="L73">
        <v>21</v>
      </c>
      <c r="M73">
        <v>18</v>
      </c>
      <c r="N73">
        <v>19</v>
      </c>
      <c r="O73">
        <v>19</v>
      </c>
      <c r="P73">
        <v>16</v>
      </c>
      <c r="Q73">
        <v>20</v>
      </c>
      <c r="R73">
        <v>20</v>
      </c>
      <c r="S73">
        <v>19</v>
      </c>
      <c r="T73">
        <f t="shared" si="5"/>
        <v>230</v>
      </c>
      <c r="U73">
        <v>1</v>
      </c>
    </row>
    <row r="74" spans="1:21" x14ac:dyDescent="0.3">
      <c r="A74" t="str">
        <f t="shared" si="3"/>
        <v>BexleyShort term domiciliary care (pathway 1)5</v>
      </c>
      <c r="B74">
        <f>IF(C74="","",COUNTIF($C$2:C74,C74))</f>
        <v>5</v>
      </c>
      <c r="C74" t="str">
        <f t="shared" si="4"/>
        <v>BexleyShort term domiciliary care (pathway 1)</v>
      </c>
      <c r="D74" t="str">
        <f>VLOOKUP(G74,PathwayLookup!A:B,2,0)</f>
        <v>Short term domiciliary care (pathway 1)</v>
      </c>
      <c r="E74" t="s">
        <v>75</v>
      </c>
      <c r="F74" t="s">
        <v>651</v>
      </c>
      <c r="G74" t="s">
        <v>684</v>
      </c>
      <c r="H74">
        <v>1</v>
      </c>
      <c r="I74">
        <v>2</v>
      </c>
      <c r="J74">
        <v>2</v>
      </c>
      <c r="K74">
        <v>2</v>
      </c>
      <c r="L74">
        <v>2</v>
      </c>
      <c r="M74">
        <v>1</v>
      </c>
      <c r="N74">
        <v>2</v>
      </c>
      <c r="O74">
        <v>2</v>
      </c>
      <c r="P74">
        <v>1</v>
      </c>
      <c r="Q74">
        <v>2</v>
      </c>
      <c r="R74">
        <v>2</v>
      </c>
      <c r="S74">
        <v>2</v>
      </c>
      <c r="T74">
        <f t="shared" si="5"/>
        <v>21</v>
      </c>
      <c r="U74">
        <v>1</v>
      </c>
    </row>
    <row r="75" spans="1:21" x14ac:dyDescent="0.3">
      <c r="A75" t="str">
        <f t="shared" si="3"/>
        <v>BexleyReablement &amp; Rehabilitation in a bedded setting (pathway 2)1</v>
      </c>
      <c r="B75">
        <f>IF(C75="","",COUNTIF($C$2:C75,C75))</f>
        <v>1</v>
      </c>
      <c r="C75" t="str">
        <f t="shared" si="4"/>
        <v>BexleyReablement in a bedded setting (pathway 2)</v>
      </c>
      <c r="D75" t="str">
        <f>VLOOKUP(G75,PathwayLookup!A:B,2,0)</f>
        <v>Reablement &amp; Rehabilitation in a bedded setting (pathway 2)</v>
      </c>
      <c r="E75" t="s">
        <v>75</v>
      </c>
      <c r="F75" t="s">
        <v>485</v>
      </c>
      <c r="G75" t="s">
        <v>722</v>
      </c>
      <c r="H75">
        <v>2</v>
      </c>
      <c r="I75">
        <v>3</v>
      </c>
      <c r="J75">
        <v>3</v>
      </c>
      <c r="K75">
        <v>2</v>
      </c>
      <c r="L75">
        <v>3</v>
      </c>
      <c r="M75">
        <v>3</v>
      </c>
      <c r="N75">
        <v>2</v>
      </c>
      <c r="O75">
        <v>2</v>
      </c>
      <c r="P75">
        <v>2</v>
      </c>
      <c r="Q75">
        <v>2</v>
      </c>
      <c r="R75">
        <v>2</v>
      </c>
      <c r="S75">
        <v>3</v>
      </c>
      <c r="T75">
        <f t="shared" si="5"/>
        <v>29</v>
      </c>
      <c r="U75">
        <v>1</v>
      </c>
    </row>
    <row r="76" spans="1:21" x14ac:dyDescent="0.3">
      <c r="A76" t="str">
        <f t="shared" si="3"/>
        <v>BexleyReablement &amp; Rehabilitation in a bedded setting (pathway 2)2</v>
      </c>
      <c r="B76">
        <f>IF(C76="","",COUNTIF($C$2:C76,C76))</f>
        <v>2</v>
      </c>
      <c r="C76" t="str">
        <f t="shared" si="4"/>
        <v>BexleyReablement in a bedded setting (pathway 2)</v>
      </c>
      <c r="D76" t="str">
        <f>VLOOKUP(G76,PathwayLookup!A:B,2,0)</f>
        <v>Reablement &amp; Rehabilitation in a bedded setting (pathway 2)</v>
      </c>
      <c r="E76" t="s">
        <v>75</v>
      </c>
      <c r="F76" t="s">
        <v>510</v>
      </c>
      <c r="G76" t="s">
        <v>722</v>
      </c>
      <c r="H76">
        <v>0</v>
      </c>
      <c r="I76">
        <v>0</v>
      </c>
      <c r="J76">
        <v>1</v>
      </c>
      <c r="K76">
        <v>0</v>
      </c>
      <c r="L76">
        <v>0</v>
      </c>
      <c r="M76">
        <v>1</v>
      </c>
      <c r="N76">
        <v>0</v>
      </c>
      <c r="O76">
        <v>0</v>
      </c>
      <c r="P76">
        <v>1</v>
      </c>
      <c r="Q76">
        <v>0</v>
      </c>
      <c r="R76">
        <v>1</v>
      </c>
      <c r="S76">
        <v>1</v>
      </c>
      <c r="T76">
        <f t="shared" si="5"/>
        <v>5</v>
      </c>
      <c r="U76">
        <v>1</v>
      </c>
    </row>
    <row r="77" spans="1:21" x14ac:dyDescent="0.3">
      <c r="A77" t="str">
        <f t="shared" si="3"/>
        <v>BexleyReablement &amp; Rehabilitation in a bedded setting (pathway 2)3</v>
      </c>
      <c r="B77">
        <f>IF(C77="","",COUNTIF($C$2:C77,C77))</f>
        <v>3</v>
      </c>
      <c r="C77" t="str">
        <f t="shared" si="4"/>
        <v>BexleyReablement in a bedded setting (pathway 2)</v>
      </c>
      <c r="D77" t="str">
        <f>VLOOKUP(G77,PathwayLookup!A:B,2,0)</f>
        <v>Reablement &amp; Rehabilitation in a bedded setting (pathway 2)</v>
      </c>
      <c r="E77" t="s">
        <v>75</v>
      </c>
      <c r="F77" t="s">
        <v>526</v>
      </c>
      <c r="G77" t="s">
        <v>722</v>
      </c>
      <c r="H77">
        <v>1</v>
      </c>
      <c r="I77">
        <v>1</v>
      </c>
      <c r="J77">
        <v>2</v>
      </c>
      <c r="K77">
        <v>2</v>
      </c>
      <c r="L77">
        <v>1</v>
      </c>
      <c r="M77">
        <v>1</v>
      </c>
      <c r="N77">
        <v>2</v>
      </c>
      <c r="O77">
        <v>2</v>
      </c>
      <c r="P77">
        <v>1</v>
      </c>
      <c r="Q77">
        <v>2</v>
      </c>
      <c r="R77">
        <v>2</v>
      </c>
      <c r="S77">
        <v>2</v>
      </c>
      <c r="T77">
        <f t="shared" si="5"/>
        <v>19</v>
      </c>
      <c r="U77">
        <v>1</v>
      </c>
    </row>
    <row r="78" spans="1:21" x14ac:dyDescent="0.3">
      <c r="A78" t="str">
        <f t="shared" si="3"/>
        <v>BexleyReablement &amp; Rehabilitation in a bedded setting (pathway 2)4</v>
      </c>
      <c r="B78">
        <f>IF(C78="","",COUNTIF($C$2:C78,C78))</f>
        <v>4</v>
      </c>
      <c r="C78" t="str">
        <f t="shared" si="4"/>
        <v>BexleyReablement in a bedded setting (pathway 2)</v>
      </c>
      <c r="D78" t="str">
        <f>VLOOKUP(G78,PathwayLookup!A:B,2,0)</f>
        <v>Reablement &amp; Rehabilitation in a bedded setting (pathway 2)</v>
      </c>
      <c r="E78" t="s">
        <v>75</v>
      </c>
      <c r="F78" t="s">
        <v>534</v>
      </c>
      <c r="G78" t="s">
        <v>722</v>
      </c>
      <c r="H78">
        <v>5</v>
      </c>
      <c r="I78">
        <v>6</v>
      </c>
      <c r="J78">
        <v>5</v>
      </c>
      <c r="K78">
        <v>5</v>
      </c>
      <c r="L78">
        <v>6</v>
      </c>
      <c r="M78">
        <v>5</v>
      </c>
      <c r="N78">
        <v>5</v>
      </c>
      <c r="O78">
        <v>5</v>
      </c>
      <c r="P78">
        <v>4</v>
      </c>
      <c r="Q78">
        <v>5</v>
      </c>
      <c r="R78">
        <v>5</v>
      </c>
      <c r="S78">
        <v>5</v>
      </c>
      <c r="T78">
        <f t="shared" si="5"/>
        <v>61</v>
      </c>
      <c r="U78">
        <v>1</v>
      </c>
    </row>
    <row r="79" spans="1:21" x14ac:dyDescent="0.3">
      <c r="A79" t="str">
        <f t="shared" si="3"/>
        <v>BexleyReablement &amp; Rehabilitation in a bedded setting (pathway 2)5</v>
      </c>
      <c r="B79">
        <f>IF(C79="","",COUNTIF($C$2:C79,C79))</f>
        <v>5</v>
      </c>
      <c r="C79" t="str">
        <f t="shared" si="4"/>
        <v>BexleyReablement in a bedded setting (pathway 2)</v>
      </c>
      <c r="D79" t="str">
        <f>VLOOKUP(G79,PathwayLookup!A:B,2,0)</f>
        <v>Reablement &amp; Rehabilitation in a bedded setting (pathway 2)</v>
      </c>
      <c r="E79" t="s">
        <v>75</v>
      </c>
      <c r="F79" t="s">
        <v>651</v>
      </c>
      <c r="G79" t="s">
        <v>722</v>
      </c>
      <c r="H79">
        <v>0</v>
      </c>
      <c r="I79">
        <v>1</v>
      </c>
      <c r="J79">
        <v>0</v>
      </c>
      <c r="K79">
        <v>0</v>
      </c>
      <c r="L79">
        <v>1</v>
      </c>
      <c r="M79">
        <v>0</v>
      </c>
      <c r="N79">
        <v>1</v>
      </c>
      <c r="O79">
        <v>0</v>
      </c>
      <c r="P79">
        <v>0</v>
      </c>
      <c r="Q79">
        <v>1</v>
      </c>
      <c r="R79">
        <v>1</v>
      </c>
      <c r="S79">
        <v>1</v>
      </c>
      <c r="T79">
        <f t="shared" si="5"/>
        <v>6</v>
      </c>
      <c r="U79">
        <v>1</v>
      </c>
    </row>
    <row r="80" spans="1:21" x14ac:dyDescent="0.3">
      <c r="A80" t="str">
        <f t="shared" si="3"/>
        <v>BexleyReablement &amp; Rehabilitation in a bedded setting (pathway 2)1</v>
      </c>
      <c r="B80">
        <f>IF(C80="","",COUNTIF($C$2:C80,C80))</f>
        <v>1</v>
      </c>
      <c r="C80" t="str">
        <f t="shared" si="4"/>
        <v>BexleyRehabilitation in a bedded setting (pathway 2)</v>
      </c>
      <c r="D80" t="str">
        <f>VLOOKUP(G80,PathwayLookup!A:B,2,0)</f>
        <v>Reablement &amp; Rehabilitation in a bedded setting (pathway 2)</v>
      </c>
      <c r="E80" t="s">
        <v>75</v>
      </c>
      <c r="F80" t="s">
        <v>485</v>
      </c>
      <c r="G80" t="s">
        <v>724</v>
      </c>
      <c r="H80">
        <v>5</v>
      </c>
      <c r="I80">
        <v>5</v>
      </c>
      <c r="J80">
        <v>5</v>
      </c>
      <c r="K80">
        <v>5</v>
      </c>
      <c r="L80">
        <v>5</v>
      </c>
      <c r="M80">
        <v>5</v>
      </c>
      <c r="N80">
        <v>5</v>
      </c>
      <c r="O80">
        <v>5</v>
      </c>
      <c r="P80">
        <v>5</v>
      </c>
      <c r="Q80">
        <v>5</v>
      </c>
      <c r="R80">
        <v>5</v>
      </c>
      <c r="S80">
        <v>5</v>
      </c>
      <c r="T80">
        <f t="shared" si="5"/>
        <v>60</v>
      </c>
      <c r="U80">
        <v>1</v>
      </c>
    </row>
    <row r="81" spans="1:21" x14ac:dyDescent="0.3">
      <c r="A81" t="str">
        <f t="shared" si="3"/>
        <v>BexleyReablement &amp; Rehabilitation in a bedded setting (pathway 2)2</v>
      </c>
      <c r="B81">
        <f>IF(C81="","",COUNTIF($C$2:C81,C81))</f>
        <v>2</v>
      </c>
      <c r="C81" t="str">
        <f t="shared" si="4"/>
        <v>BexleyRehabilitation in a bedded setting (pathway 2)</v>
      </c>
      <c r="D81" t="str">
        <f>VLOOKUP(G81,PathwayLookup!A:B,2,0)</f>
        <v>Reablement &amp; Rehabilitation in a bedded setting (pathway 2)</v>
      </c>
      <c r="E81" t="s">
        <v>75</v>
      </c>
      <c r="F81" t="s">
        <v>510</v>
      </c>
      <c r="G81" t="s">
        <v>724</v>
      </c>
      <c r="H81">
        <v>1</v>
      </c>
      <c r="I81">
        <v>1</v>
      </c>
      <c r="J81">
        <v>1</v>
      </c>
      <c r="K81">
        <v>1</v>
      </c>
      <c r="L81">
        <v>1</v>
      </c>
      <c r="M81">
        <v>1</v>
      </c>
      <c r="N81">
        <v>1</v>
      </c>
      <c r="O81">
        <v>1</v>
      </c>
      <c r="P81">
        <v>1</v>
      </c>
      <c r="Q81">
        <v>1</v>
      </c>
      <c r="R81">
        <v>1</v>
      </c>
      <c r="S81">
        <v>1</v>
      </c>
      <c r="T81">
        <f t="shared" si="5"/>
        <v>12</v>
      </c>
      <c r="U81">
        <v>1</v>
      </c>
    </row>
    <row r="82" spans="1:21" x14ac:dyDescent="0.3">
      <c r="A82" t="str">
        <f t="shared" si="3"/>
        <v>BexleyReablement &amp; Rehabilitation in a bedded setting (pathway 2)3</v>
      </c>
      <c r="B82">
        <f>IF(C82="","",COUNTIF($C$2:C82,C82))</f>
        <v>3</v>
      </c>
      <c r="C82" t="str">
        <f t="shared" si="4"/>
        <v>BexleyRehabilitation in a bedded setting (pathway 2)</v>
      </c>
      <c r="D82" t="str">
        <f>VLOOKUP(G82,PathwayLookup!A:B,2,0)</f>
        <v>Reablement &amp; Rehabilitation in a bedded setting (pathway 2)</v>
      </c>
      <c r="E82" t="s">
        <v>75</v>
      </c>
      <c r="F82" t="s">
        <v>526</v>
      </c>
      <c r="G82" t="s">
        <v>724</v>
      </c>
      <c r="H82">
        <v>4</v>
      </c>
      <c r="I82">
        <v>4</v>
      </c>
      <c r="J82">
        <v>4</v>
      </c>
      <c r="K82">
        <v>4</v>
      </c>
      <c r="L82">
        <v>4</v>
      </c>
      <c r="M82">
        <v>4</v>
      </c>
      <c r="N82">
        <v>4</v>
      </c>
      <c r="O82">
        <v>4</v>
      </c>
      <c r="P82">
        <v>4</v>
      </c>
      <c r="Q82">
        <v>4</v>
      </c>
      <c r="R82">
        <v>4</v>
      </c>
      <c r="S82">
        <v>4</v>
      </c>
      <c r="T82">
        <f t="shared" si="5"/>
        <v>48</v>
      </c>
      <c r="U82">
        <v>1</v>
      </c>
    </row>
    <row r="83" spans="1:21" x14ac:dyDescent="0.3">
      <c r="A83" t="str">
        <f t="shared" si="3"/>
        <v>BexleyReablement &amp; Rehabilitation in a bedded setting (pathway 2)4</v>
      </c>
      <c r="B83">
        <f>IF(C83="","",COUNTIF($C$2:C83,C83))</f>
        <v>4</v>
      </c>
      <c r="C83" t="str">
        <f t="shared" si="4"/>
        <v>BexleyRehabilitation in a bedded setting (pathway 2)</v>
      </c>
      <c r="D83" t="str">
        <f>VLOOKUP(G83,PathwayLookup!A:B,2,0)</f>
        <v>Reablement &amp; Rehabilitation in a bedded setting (pathway 2)</v>
      </c>
      <c r="E83" t="s">
        <v>75</v>
      </c>
      <c r="F83" t="s">
        <v>534</v>
      </c>
      <c r="G83" t="s">
        <v>724</v>
      </c>
      <c r="H83">
        <v>11</v>
      </c>
      <c r="I83">
        <v>11</v>
      </c>
      <c r="J83">
        <v>11</v>
      </c>
      <c r="K83">
        <v>11</v>
      </c>
      <c r="L83">
        <v>11</v>
      </c>
      <c r="M83">
        <v>11</v>
      </c>
      <c r="N83">
        <v>11</v>
      </c>
      <c r="O83">
        <v>11</v>
      </c>
      <c r="P83">
        <v>11</v>
      </c>
      <c r="Q83">
        <v>11</v>
      </c>
      <c r="R83">
        <v>11</v>
      </c>
      <c r="S83">
        <v>11</v>
      </c>
      <c r="T83">
        <f t="shared" si="5"/>
        <v>132</v>
      </c>
      <c r="U83">
        <v>1</v>
      </c>
    </row>
    <row r="84" spans="1:21" x14ac:dyDescent="0.3">
      <c r="A84" t="str">
        <f t="shared" si="3"/>
        <v>BexleyReablement &amp; Rehabilitation in a bedded setting (pathway 2)5</v>
      </c>
      <c r="B84">
        <f>IF(C84="","",COUNTIF($C$2:C84,C84))</f>
        <v>5</v>
      </c>
      <c r="C84" t="str">
        <f t="shared" si="4"/>
        <v>BexleyRehabilitation in a bedded setting (pathway 2)</v>
      </c>
      <c r="D84" t="str">
        <f>VLOOKUP(G84,PathwayLookup!A:B,2,0)</f>
        <v>Reablement &amp; Rehabilitation in a bedded setting (pathway 2)</v>
      </c>
      <c r="E84" t="s">
        <v>75</v>
      </c>
      <c r="F84" t="s">
        <v>651</v>
      </c>
      <c r="G84" t="s">
        <v>724</v>
      </c>
      <c r="H84">
        <v>1</v>
      </c>
      <c r="I84">
        <v>1</v>
      </c>
      <c r="J84">
        <v>1</v>
      </c>
      <c r="K84">
        <v>1</v>
      </c>
      <c r="L84">
        <v>1</v>
      </c>
      <c r="M84">
        <v>1</v>
      </c>
      <c r="N84">
        <v>1</v>
      </c>
      <c r="O84">
        <v>1</v>
      </c>
      <c r="P84">
        <v>1</v>
      </c>
      <c r="Q84">
        <v>1</v>
      </c>
      <c r="R84">
        <v>1</v>
      </c>
      <c r="S84">
        <v>1</v>
      </c>
      <c r="T84">
        <f t="shared" si="5"/>
        <v>12</v>
      </c>
      <c r="U84">
        <v>1</v>
      </c>
    </row>
    <row r="85" spans="1:21" x14ac:dyDescent="0.3">
      <c r="A85" t="str">
        <f t="shared" si="3"/>
        <v>BexleyShort-term residential/nursing care for someone likely to require a longer-term care home placement (pathway 3)1</v>
      </c>
      <c r="B85">
        <f>IF(C85="","",COUNTIF($C$2:C85,C85))</f>
        <v>1</v>
      </c>
      <c r="C85" t="str">
        <f t="shared" si="4"/>
        <v>BexleyShort-term residential/nursing care for someone likely to require a longer-term care home placement (pathway 3)</v>
      </c>
      <c r="D85" t="str">
        <f>VLOOKUP(G85,PathwayLookup!A:B,2,0)</f>
        <v>Short-term residential/nursing care for someone likely to require a longer-term care home placement (pathway 3)</v>
      </c>
      <c r="E85" t="s">
        <v>75</v>
      </c>
      <c r="F85" t="s">
        <v>485</v>
      </c>
      <c r="G85" t="s">
        <v>686</v>
      </c>
      <c r="H85">
        <v>2</v>
      </c>
      <c r="I85">
        <v>3</v>
      </c>
      <c r="J85">
        <v>3</v>
      </c>
      <c r="K85">
        <v>3</v>
      </c>
      <c r="L85">
        <v>3</v>
      </c>
      <c r="M85">
        <v>2</v>
      </c>
      <c r="N85">
        <v>3</v>
      </c>
      <c r="O85">
        <v>2</v>
      </c>
      <c r="P85">
        <v>2</v>
      </c>
      <c r="Q85">
        <v>3</v>
      </c>
      <c r="R85">
        <v>3</v>
      </c>
      <c r="S85">
        <v>3</v>
      </c>
      <c r="T85">
        <f t="shared" si="5"/>
        <v>32</v>
      </c>
      <c r="U85">
        <v>1</v>
      </c>
    </row>
    <row r="86" spans="1:21" x14ac:dyDescent="0.3">
      <c r="A86" t="str">
        <f t="shared" si="3"/>
        <v>BexleyShort-term residential/nursing care for someone likely to require a longer-term care home placement (pathway 3)2</v>
      </c>
      <c r="B86">
        <f>IF(C86="","",COUNTIF($C$2:C86,C86))</f>
        <v>2</v>
      </c>
      <c r="C86" t="str">
        <f t="shared" si="4"/>
        <v>BexleyShort-term residential/nursing care for someone likely to require a longer-term care home placement (pathway 3)</v>
      </c>
      <c r="D86" t="str">
        <f>VLOOKUP(G86,PathwayLookup!A:B,2,0)</f>
        <v>Short-term residential/nursing care for someone likely to require a longer-term care home placement (pathway 3)</v>
      </c>
      <c r="E86" t="s">
        <v>75</v>
      </c>
      <c r="F86" t="s">
        <v>510</v>
      </c>
      <c r="G86" t="s">
        <v>686</v>
      </c>
      <c r="H86">
        <v>1</v>
      </c>
      <c r="I86">
        <v>0</v>
      </c>
      <c r="J86">
        <v>1</v>
      </c>
      <c r="K86">
        <v>0</v>
      </c>
      <c r="L86">
        <v>1</v>
      </c>
      <c r="M86">
        <v>0</v>
      </c>
      <c r="N86">
        <v>1</v>
      </c>
      <c r="O86">
        <v>0</v>
      </c>
      <c r="P86">
        <v>1</v>
      </c>
      <c r="Q86">
        <v>0</v>
      </c>
      <c r="R86">
        <v>1</v>
      </c>
      <c r="S86">
        <v>0</v>
      </c>
      <c r="T86">
        <f t="shared" si="5"/>
        <v>6</v>
      </c>
      <c r="U86">
        <v>1</v>
      </c>
    </row>
    <row r="87" spans="1:21" x14ac:dyDescent="0.3">
      <c r="A87" t="str">
        <f t="shared" si="3"/>
        <v>BexleyShort-term residential/nursing care for someone likely to require a longer-term care home placement (pathway 3)3</v>
      </c>
      <c r="B87">
        <f>IF(C87="","",COUNTIF($C$2:C87,C87))</f>
        <v>3</v>
      </c>
      <c r="C87" t="str">
        <f t="shared" si="4"/>
        <v>BexleyShort-term residential/nursing care for someone likely to require a longer-term care home placement (pathway 3)</v>
      </c>
      <c r="D87" t="str">
        <f>VLOOKUP(G87,PathwayLookup!A:B,2,0)</f>
        <v>Short-term residential/nursing care for someone likely to require a longer-term care home placement (pathway 3)</v>
      </c>
      <c r="E87" t="s">
        <v>75</v>
      </c>
      <c r="F87" t="s">
        <v>526</v>
      </c>
      <c r="G87" t="s">
        <v>686</v>
      </c>
      <c r="H87">
        <v>2</v>
      </c>
      <c r="I87">
        <v>2</v>
      </c>
      <c r="J87">
        <v>2</v>
      </c>
      <c r="K87">
        <v>2</v>
      </c>
      <c r="L87">
        <v>2</v>
      </c>
      <c r="M87">
        <v>2</v>
      </c>
      <c r="N87">
        <v>2</v>
      </c>
      <c r="O87">
        <v>2</v>
      </c>
      <c r="P87">
        <v>1</v>
      </c>
      <c r="Q87">
        <v>2</v>
      </c>
      <c r="R87">
        <v>2</v>
      </c>
      <c r="S87">
        <v>2</v>
      </c>
      <c r="T87">
        <f t="shared" si="5"/>
        <v>23</v>
      </c>
      <c r="U87">
        <v>1</v>
      </c>
    </row>
    <row r="88" spans="1:21" x14ac:dyDescent="0.3">
      <c r="A88" t="str">
        <f t="shared" si="3"/>
        <v>BexleyShort-term residential/nursing care for someone likely to require a longer-term care home placement (pathway 3)4</v>
      </c>
      <c r="B88">
        <f>IF(C88="","",COUNTIF($C$2:C88,C88))</f>
        <v>4</v>
      </c>
      <c r="C88" t="str">
        <f t="shared" si="4"/>
        <v>BexleyShort-term residential/nursing care for someone likely to require a longer-term care home placement (pathway 3)</v>
      </c>
      <c r="D88" t="str">
        <f>VLOOKUP(G88,PathwayLookup!A:B,2,0)</f>
        <v>Short-term residential/nursing care for someone likely to require a longer-term care home placement (pathway 3)</v>
      </c>
      <c r="E88" t="s">
        <v>75</v>
      </c>
      <c r="F88" t="s">
        <v>534</v>
      </c>
      <c r="G88" t="s">
        <v>686</v>
      </c>
      <c r="H88">
        <v>5</v>
      </c>
      <c r="I88">
        <v>6</v>
      </c>
      <c r="J88">
        <v>6</v>
      </c>
      <c r="K88">
        <v>5</v>
      </c>
      <c r="L88">
        <v>6</v>
      </c>
      <c r="M88">
        <v>5</v>
      </c>
      <c r="N88">
        <v>6</v>
      </c>
      <c r="O88">
        <v>5</v>
      </c>
      <c r="P88">
        <v>5</v>
      </c>
      <c r="Q88">
        <v>6</v>
      </c>
      <c r="R88">
        <v>6</v>
      </c>
      <c r="S88">
        <v>5</v>
      </c>
      <c r="T88">
        <f t="shared" si="5"/>
        <v>66</v>
      </c>
      <c r="U88">
        <v>1</v>
      </c>
    </row>
    <row r="89" spans="1:21" x14ac:dyDescent="0.3">
      <c r="A89" t="str">
        <f t="shared" si="3"/>
        <v>BexleyShort-term residential/nursing care for someone likely to require a longer-term care home placement (pathway 3)5</v>
      </c>
      <c r="B89">
        <f>IF(C89="","",COUNTIF($C$2:C89,C89))</f>
        <v>5</v>
      </c>
      <c r="C89" t="str">
        <f t="shared" si="4"/>
        <v>BexleyShort-term residential/nursing care for someone likely to require a longer-term care home placement (pathway 3)</v>
      </c>
      <c r="D89" t="str">
        <f>VLOOKUP(G89,PathwayLookup!A:B,2,0)</f>
        <v>Short-term residential/nursing care for someone likely to require a longer-term care home placement (pathway 3)</v>
      </c>
      <c r="E89" t="s">
        <v>75</v>
      </c>
      <c r="F89" t="s">
        <v>651</v>
      </c>
      <c r="G89" t="s">
        <v>686</v>
      </c>
      <c r="H89">
        <v>0</v>
      </c>
      <c r="I89">
        <v>0</v>
      </c>
      <c r="J89">
        <v>0</v>
      </c>
      <c r="K89">
        <v>0</v>
      </c>
      <c r="L89">
        <v>0</v>
      </c>
      <c r="M89">
        <v>0</v>
      </c>
      <c r="N89">
        <v>1</v>
      </c>
      <c r="O89">
        <v>0</v>
      </c>
      <c r="P89">
        <v>0</v>
      </c>
      <c r="Q89">
        <v>1</v>
      </c>
      <c r="R89">
        <v>1</v>
      </c>
      <c r="S89">
        <v>0</v>
      </c>
      <c r="T89">
        <f t="shared" si="5"/>
        <v>3</v>
      </c>
      <c r="U89">
        <v>1</v>
      </c>
    </row>
    <row r="90" spans="1:21" x14ac:dyDescent="0.3">
      <c r="A90" t="str">
        <f t="shared" si="3"/>
        <v>BirminghamSocial support (including VCS) (pathway 0)1</v>
      </c>
      <c r="B90">
        <f>IF(C90="","",COUNTIF($C$2:C90,C90))</f>
        <v>1</v>
      </c>
      <c r="C90" t="str">
        <f t="shared" si="4"/>
        <v>BirminghamSocial support (including VCS) (pathway 0)</v>
      </c>
      <c r="D90" t="str">
        <f>VLOOKUP(G90,PathwayLookup!A:B,2,0)</f>
        <v>Social support (including VCS) (pathway 0)</v>
      </c>
      <c r="E90" t="s">
        <v>77</v>
      </c>
      <c r="F90" t="s">
        <v>628</v>
      </c>
      <c r="G90" t="s">
        <v>682</v>
      </c>
      <c r="H90">
        <v>101</v>
      </c>
      <c r="I90">
        <v>101</v>
      </c>
      <c r="J90">
        <v>101</v>
      </c>
      <c r="K90">
        <v>101</v>
      </c>
      <c r="L90">
        <v>102</v>
      </c>
      <c r="M90">
        <v>101</v>
      </c>
      <c r="N90">
        <v>100</v>
      </c>
      <c r="O90">
        <v>114</v>
      </c>
      <c r="P90">
        <v>114</v>
      </c>
      <c r="Q90">
        <v>112</v>
      </c>
      <c r="R90">
        <v>114</v>
      </c>
      <c r="S90">
        <v>114</v>
      </c>
      <c r="T90">
        <f t="shared" si="5"/>
        <v>1275</v>
      </c>
      <c r="U90">
        <v>1</v>
      </c>
    </row>
    <row r="91" spans="1:21" x14ac:dyDescent="0.3">
      <c r="A91" t="str">
        <f t="shared" si="3"/>
        <v>BirminghamSocial support (including VCS) (pathway 0)2</v>
      </c>
      <c r="B91">
        <f>IF(C91="","",COUNTIF($C$2:C91,C91))</f>
        <v>2</v>
      </c>
      <c r="C91" t="str">
        <f t="shared" si="4"/>
        <v>BirminghamSocial support (including VCS) (pathway 0)</v>
      </c>
      <c r="D91" t="str">
        <f>VLOOKUP(G91,PathwayLookup!A:B,2,0)</f>
        <v>Social support (including VCS) (pathway 0)</v>
      </c>
      <c r="E91" t="s">
        <v>77</v>
      </c>
      <c r="F91" t="s">
        <v>651</v>
      </c>
      <c r="G91" t="s">
        <v>682</v>
      </c>
      <c r="H91">
        <v>14</v>
      </c>
      <c r="I91">
        <v>14</v>
      </c>
      <c r="J91">
        <v>14</v>
      </c>
      <c r="K91">
        <v>14</v>
      </c>
      <c r="L91">
        <v>13</v>
      </c>
      <c r="M91">
        <v>14</v>
      </c>
      <c r="N91">
        <v>15</v>
      </c>
      <c r="O91">
        <v>16</v>
      </c>
      <c r="P91">
        <v>16</v>
      </c>
      <c r="Q91">
        <v>18</v>
      </c>
      <c r="R91">
        <v>16</v>
      </c>
      <c r="S91">
        <v>16</v>
      </c>
      <c r="T91">
        <f t="shared" si="5"/>
        <v>180</v>
      </c>
      <c r="U91">
        <v>1</v>
      </c>
    </row>
    <row r="92" spans="1:21" x14ac:dyDescent="0.3">
      <c r="A92" t="str">
        <f t="shared" si="3"/>
        <v>BirminghamReablement &amp; Rehabilitation at home  (pathway 1)1</v>
      </c>
      <c r="B92">
        <f>IF(C92="","",COUNTIF($C$2:C92,C92))</f>
        <v>1</v>
      </c>
      <c r="C92" t="str">
        <f t="shared" si="4"/>
        <v>BirminghamReablement at home  (pathway 1)</v>
      </c>
      <c r="D92" t="str">
        <f>VLOOKUP(G92,PathwayLookup!A:B,2,0)</f>
        <v>Reablement &amp; Rehabilitation at home  (pathway 1)</v>
      </c>
      <c r="E92" t="s">
        <v>77</v>
      </c>
      <c r="F92" t="s">
        <v>628</v>
      </c>
      <c r="G92" t="s">
        <v>718</v>
      </c>
      <c r="H92">
        <v>119</v>
      </c>
      <c r="I92">
        <v>159</v>
      </c>
      <c r="J92">
        <v>130</v>
      </c>
      <c r="K92">
        <v>124</v>
      </c>
      <c r="L92">
        <v>139</v>
      </c>
      <c r="M92">
        <v>134</v>
      </c>
      <c r="N92">
        <v>148</v>
      </c>
      <c r="O92">
        <v>164</v>
      </c>
      <c r="P92">
        <v>134</v>
      </c>
      <c r="Q92">
        <v>128</v>
      </c>
      <c r="R92">
        <v>105</v>
      </c>
      <c r="S92">
        <v>151</v>
      </c>
      <c r="T92">
        <f t="shared" si="5"/>
        <v>1635</v>
      </c>
      <c r="U92">
        <v>1</v>
      </c>
    </row>
    <row r="93" spans="1:21" x14ac:dyDescent="0.3">
      <c r="A93" t="str">
        <f t="shared" si="3"/>
        <v>BirminghamReablement &amp; Rehabilitation at home  (pathway 1)2</v>
      </c>
      <c r="B93">
        <f>IF(C93="","",COUNTIF($C$2:C93,C93))</f>
        <v>2</v>
      </c>
      <c r="C93" t="str">
        <f t="shared" si="4"/>
        <v>BirminghamReablement at home  (pathway 1)</v>
      </c>
      <c r="D93" t="str">
        <f>VLOOKUP(G93,PathwayLookup!A:B,2,0)</f>
        <v>Reablement &amp; Rehabilitation at home  (pathway 1)</v>
      </c>
      <c r="E93" t="s">
        <v>77</v>
      </c>
      <c r="F93" t="s">
        <v>651</v>
      </c>
      <c r="G93" t="s">
        <v>718</v>
      </c>
      <c r="H93">
        <v>16</v>
      </c>
      <c r="I93">
        <v>22</v>
      </c>
      <c r="J93">
        <v>18</v>
      </c>
      <c r="K93">
        <v>18</v>
      </c>
      <c r="L93">
        <v>18</v>
      </c>
      <c r="M93">
        <v>19</v>
      </c>
      <c r="N93">
        <v>22</v>
      </c>
      <c r="O93">
        <v>23</v>
      </c>
      <c r="P93">
        <v>19</v>
      </c>
      <c r="Q93">
        <v>20</v>
      </c>
      <c r="R93">
        <v>15</v>
      </c>
      <c r="S93">
        <v>21</v>
      </c>
      <c r="T93">
        <f t="shared" si="5"/>
        <v>231</v>
      </c>
      <c r="U93">
        <v>1</v>
      </c>
    </row>
    <row r="94" spans="1:21" x14ac:dyDescent="0.3">
      <c r="A94" t="str">
        <f t="shared" si="3"/>
        <v>BirminghamReablement &amp; Rehabilitation at home  (pathway 1)1</v>
      </c>
      <c r="B94">
        <f>IF(C94="","",COUNTIF($C$2:C94,C94))</f>
        <v>1</v>
      </c>
      <c r="C94" t="str">
        <f t="shared" si="4"/>
        <v>BirminghamRehabilitation at home (pathway 1)</v>
      </c>
      <c r="D94" t="str">
        <f>VLOOKUP(G94,PathwayLookup!A:B,2,0)</f>
        <v>Reablement &amp; Rehabilitation at home  (pathway 1)</v>
      </c>
      <c r="E94" t="s">
        <v>77</v>
      </c>
      <c r="F94" t="s">
        <v>628</v>
      </c>
      <c r="G94" t="s">
        <v>719</v>
      </c>
      <c r="H94">
        <v>421</v>
      </c>
      <c r="I94">
        <v>455</v>
      </c>
      <c r="J94">
        <v>461</v>
      </c>
      <c r="K94">
        <v>459</v>
      </c>
      <c r="L94">
        <v>485</v>
      </c>
      <c r="M94">
        <v>410</v>
      </c>
      <c r="N94">
        <v>484</v>
      </c>
      <c r="O94">
        <v>476</v>
      </c>
      <c r="P94">
        <v>443</v>
      </c>
      <c r="Q94">
        <v>505</v>
      </c>
      <c r="R94">
        <v>401</v>
      </c>
      <c r="S94">
        <v>473</v>
      </c>
      <c r="T94">
        <f t="shared" si="5"/>
        <v>5473</v>
      </c>
      <c r="U94">
        <v>1</v>
      </c>
    </row>
    <row r="95" spans="1:21" x14ac:dyDescent="0.3">
      <c r="A95" t="str">
        <f t="shared" si="3"/>
        <v>BirminghamReablement &amp; Rehabilitation at home  (pathway 1)2</v>
      </c>
      <c r="B95">
        <f>IF(C95="","",COUNTIF($C$2:C95,C95))</f>
        <v>2</v>
      </c>
      <c r="C95" t="str">
        <f t="shared" si="4"/>
        <v>BirminghamRehabilitation at home (pathway 1)</v>
      </c>
      <c r="D95" t="str">
        <f>VLOOKUP(G95,PathwayLookup!A:B,2,0)</f>
        <v>Reablement &amp; Rehabilitation at home  (pathway 1)</v>
      </c>
      <c r="E95" t="s">
        <v>77</v>
      </c>
      <c r="F95" t="s">
        <v>651</v>
      </c>
      <c r="G95" t="s">
        <v>719</v>
      </c>
      <c r="H95">
        <v>57</v>
      </c>
      <c r="I95">
        <v>61</v>
      </c>
      <c r="J95">
        <v>64</v>
      </c>
      <c r="K95">
        <v>66</v>
      </c>
      <c r="L95">
        <v>62</v>
      </c>
      <c r="M95">
        <v>59</v>
      </c>
      <c r="N95">
        <v>71</v>
      </c>
      <c r="O95">
        <v>68</v>
      </c>
      <c r="P95">
        <v>61</v>
      </c>
      <c r="Q95">
        <v>79</v>
      </c>
      <c r="R95">
        <v>58</v>
      </c>
      <c r="S95">
        <v>65</v>
      </c>
      <c r="T95">
        <f t="shared" si="5"/>
        <v>771</v>
      </c>
      <c r="U95">
        <v>1</v>
      </c>
    </row>
    <row r="96" spans="1:21" x14ac:dyDescent="0.3">
      <c r="A96" t="str">
        <f t="shared" si="3"/>
        <v>BirminghamReablement &amp; Rehabilitation in a bedded setting (pathway 2)1</v>
      </c>
      <c r="B96">
        <f>IF(C96="","",COUNTIF($C$2:C96,C96))</f>
        <v>1</v>
      </c>
      <c r="C96" t="str">
        <f t="shared" si="4"/>
        <v>BirminghamRehabilitation in a bedded setting (pathway 2)</v>
      </c>
      <c r="D96" t="str">
        <f>VLOOKUP(G96,PathwayLookup!A:B,2,0)</f>
        <v>Reablement &amp; Rehabilitation in a bedded setting (pathway 2)</v>
      </c>
      <c r="E96" t="s">
        <v>77</v>
      </c>
      <c r="F96" t="s">
        <v>628</v>
      </c>
      <c r="G96" t="s">
        <v>724</v>
      </c>
      <c r="H96">
        <v>327</v>
      </c>
      <c r="I96">
        <v>345</v>
      </c>
      <c r="J96">
        <v>330</v>
      </c>
      <c r="K96">
        <v>266</v>
      </c>
      <c r="L96">
        <v>316</v>
      </c>
      <c r="M96">
        <v>285</v>
      </c>
      <c r="N96">
        <v>323</v>
      </c>
      <c r="O96">
        <v>352</v>
      </c>
      <c r="P96">
        <v>353</v>
      </c>
      <c r="Q96">
        <v>355</v>
      </c>
      <c r="R96">
        <v>335</v>
      </c>
      <c r="S96">
        <v>375</v>
      </c>
      <c r="T96">
        <f t="shared" si="5"/>
        <v>3962</v>
      </c>
      <c r="U96">
        <v>1</v>
      </c>
    </row>
    <row r="97" spans="1:21" x14ac:dyDescent="0.3">
      <c r="A97" t="str">
        <f t="shared" si="3"/>
        <v>BirminghamReablement &amp; Rehabilitation in a bedded setting (pathway 2)2</v>
      </c>
      <c r="B97">
        <f>IF(C97="","",COUNTIF($C$2:C97,C97))</f>
        <v>2</v>
      </c>
      <c r="C97" t="str">
        <f t="shared" si="4"/>
        <v>BirminghamRehabilitation in a bedded setting (pathway 2)</v>
      </c>
      <c r="D97" t="str">
        <f>VLOOKUP(G97,PathwayLookup!A:B,2,0)</f>
        <v>Reablement &amp; Rehabilitation in a bedded setting (pathway 2)</v>
      </c>
      <c r="E97" t="s">
        <v>77</v>
      </c>
      <c r="F97" t="s">
        <v>651</v>
      </c>
      <c r="G97" t="s">
        <v>724</v>
      </c>
      <c r="H97">
        <v>44</v>
      </c>
      <c r="I97">
        <v>47</v>
      </c>
      <c r="J97">
        <v>45</v>
      </c>
      <c r="K97">
        <v>38</v>
      </c>
      <c r="L97">
        <v>40</v>
      </c>
      <c r="M97">
        <v>41</v>
      </c>
      <c r="N97">
        <v>48</v>
      </c>
      <c r="O97">
        <v>50</v>
      </c>
      <c r="P97">
        <v>49</v>
      </c>
      <c r="Q97">
        <v>56</v>
      </c>
      <c r="R97">
        <v>48</v>
      </c>
      <c r="S97">
        <v>52</v>
      </c>
      <c r="T97">
        <f t="shared" si="5"/>
        <v>558</v>
      </c>
      <c r="U97">
        <v>1</v>
      </c>
    </row>
    <row r="98" spans="1:21" x14ac:dyDescent="0.3">
      <c r="A98" t="str">
        <f t="shared" si="3"/>
        <v>BirminghamShort-term residential/nursing care for someone likely to require a longer-term care home placement (pathway 3)1</v>
      </c>
      <c r="B98">
        <f>IF(C98="","",COUNTIF($C$2:C98,C98))</f>
        <v>1</v>
      </c>
      <c r="C98" t="str">
        <f t="shared" si="4"/>
        <v>BirminghamShort-term residential/nursing care for someone likely to require a longer-term care home placement (pathway 3)</v>
      </c>
      <c r="D98" t="str">
        <f>VLOOKUP(G98,PathwayLookup!A:B,2,0)</f>
        <v>Short-term residential/nursing care for someone likely to require a longer-term care home placement (pathway 3)</v>
      </c>
      <c r="E98" t="s">
        <v>77</v>
      </c>
      <c r="F98" t="s">
        <v>628</v>
      </c>
      <c r="G98" t="s">
        <v>686</v>
      </c>
      <c r="H98">
        <v>3</v>
      </c>
      <c r="I98">
        <v>3</v>
      </c>
      <c r="J98">
        <v>3</v>
      </c>
      <c r="K98">
        <v>3</v>
      </c>
      <c r="L98">
        <v>3</v>
      </c>
      <c r="M98">
        <v>3</v>
      </c>
      <c r="N98">
        <v>3</v>
      </c>
      <c r="O98">
        <v>3</v>
      </c>
      <c r="P98">
        <v>3</v>
      </c>
      <c r="Q98">
        <v>3</v>
      </c>
      <c r="R98">
        <v>3</v>
      </c>
      <c r="S98">
        <v>3</v>
      </c>
      <c r="T98">
        <f t="shared" si="5"/>
        <v>36</v>
      </c>
      <c r="U98">
        <v>1</v>
      </c>
    </row>
    <row r="99" spans="1:21" x14ac:dyDescent="0.3">
      <c r="A99" t="str">
        <f t="shared" si="3"/>
        <v/>
      </c>
      <c r="B99" t="str">
        <f>IF(C99="","",COUNTIF($C$2:C99,C99))</f>
        <v/>
      </c>
      <c r="C99" t="str">
        <f t="shared" si="4"/>
        <v/>
      </c>
      <c r="D99" t="str">
        <f>VLOOKUP(G99,PathwayLookup!A:B,2,0)</f>
        <v>Short-term residential/nursing care for someone likely to require a longer-term care home placement (pathway 3)</v>
      </c>
      <c r="E99" t="s">
        <v>77</v>
      </c>
      <c r="F99" t="s">
        <v>651</v>
      </c>
      <c r="G99" t="s">
        <v>686</v>
      </c>
      <c r="H99">
        <v>0</v>
      </c>
      <c r="I99">
        <v>0</v>
      </c>
      <c r="J99">
        <v>0</v>
      </c>
      <c r="K99">
        <v>0</v>
      </c>
      <c r="L99">
        <v>0</v>
      </c>
      <c r="M99">
        <v>0</v>
      </c>
      <c r="N99">
        <v>0</v>
      </c>
      <c r="O99">
        <v>0</v>
      </c>
      <c r="P99">
        <v>0</v>
      </c>
      <c r="Q99">
        <v>0</v>
      </c>
      <c r="R99">
        <v>0</v>
      </c>
      <c r="S99">
        <v>0</v>
      </c>
      <c r="T99">
        <f t="shared" si="5"/>
        <v>0</v>
      </c>
      <c r="U99">
        <v>1</v>
      </c>
    </row>
    <row r="100" spans="1:21" x14ac:dyDescent="0.3">
      <c r="A100" t="str">
        <f t="shared" si="3"/>
        <v>Blackburn with DarwenSocial support (including VCS) (pathway 0)1</v>
      </c>
      <c r="B100">
        <f>IF(C100="","",COUNTIF($C$2:C100,C100))</f>
        <v>1</v>
      </c>
      <c r="C100" t="str">
        <f t="shared" si="4"/>
        <v>Blackburn with DarwenSocial support (including VCS) (pathway 0)</v>
      </c>
      <c r="D100" t="str">
        <f>VLOOKUP(G100,PathwayLookup!A:B,2,0)</f>
        <v>Social support (including VCS) (pathway 0)</v>
      </c>
      <c r="E100" t="s">
        <v>79</v>
      </c>
      <c r="F100" t="s">
        <v>496</v>
      </c>
      <c r="G100" t="s">
        <v>682</v>
      </c>
      <c r="H100">
        <v>1426</v>
      </c>
      <c r="I100">
        <v>1608</v>
      </c>
      <c r="J100">
        <v>1542</v>
      </c>
      <c r="K100">
        <v>1472</v>
      </c>
      <c r="L100">
        <v>1392</v>
      </c>
      <c r="M100">
        <v>1423</v>
      </c>
      <c r="N100">
        <v>1514</v>
      </c>
      <c r="O100">
        <v>1572</v>
      </c>
      <c r="P100">
        <v>1567</v>
      </c>
      <c r="Q100">
        <v>1472</v>
      </c>
      <c r="R100">
        <v>1371</v>
      </c>
      <c r="S100">
        <v>1518</v>
      </c>
      <c r="T100">
        <f t="shared" si="5"/>
        <v>17877</v>
      </c>
      <c r="U100">
        <v>1</v>
      </c>
    </row>
    <row r="101" spans="1:21" x14ac:dyDescent="0.3">
      <c r="A101" t="str">
        <f t="shared" si="3"/>
        <v>Blackburn with DarwenReablement &amp; Rehabilitation at home  (pathway 1)1</v>
      </c>
      <c r="B101">
        <f>IF(C101="","",COUNTIF($C$2:C101,C101))</f>
        <v>1</v>
      </c>
      <c r="C101" t="str">
        <f t="shared" si="4"/>
        <v>Blackburn with DarwenReablement at home  (pathway 1)</v>
      </c>
      <c r="D101" t="str">
        <f>VLOOKUP(G101,PathwayLookup!A:B,2,0)</f>
        <v>Reablement &amp; Rehabilitation at home  (pathway 1)</v>
      </c>
      <c r="E101" t="s">
        <v>79</v>
      </c>
      <c r="F101" t="s">
        <v>496</v>
      </c>
      <c r="G101" t="s">
        <v>718</v>
      </c>
      <c r="H101">
        <v>39</v>
      </c>
      <c r="I101">
        <v>33</v>
      </c>
      <c r="J101">
        <v>48</v>
      </c>
      <c r="K101">
        <v>46</v>
      </c>
      <c r="L101">
        <v>50</v>
      </c>
      <c r="M101">
        <v>48</v>
      </c>
      <c r="N101">
        <v>87</v>
      </c>
      <c r="O101">
        <v>82</v>
      </c>
      <c r="P101">
        <v>76</v>
      </c>
      <c r="Q101">
        <v>71</v>
      </c>
      <c r="R101">
        <v>53</v>
      </c>
      <c r="S101">
        <v>59</v>
      </c>
      <c r="T101">
        <f t="shared" si="5"/>
        <v>692</v>
      </c>
      <c r="U101">
        <v>1</v>
      </c>
    </row>
    <row r="102" spans="1:21" x14ac:dyDescent="0.3">
      <c r="A102" t="str">
        <f t="shared" si="3"/>
        <v/>
      </c>
      <c r="B102" t="str">
        <f>IF(C102="","",COUNTIF($C$2:C102,C102))</f>
        <v/>
      </c>
      <c r="C102" t="str">
        <f t="shared" si="4"/>
        <v/>
      </c>
      <c r="D102" t="str">
        <f>VLOOKUP(G102,PathwayLookup!A:B,2,0)</f>
        <v>Reablement &amp; Rehabilitation at home  (pathway 1)</v>
      </c>
      <c r="E102" t="s">
        <v>79</v>
      </c>
      <c r="F102" t="s">
        <v>496</v>
      </c>
      <c r="G102" t="s">
        <v>719</v>
      </c>
      <c r="H102">
        <v>0</v>
      </c>
      <c r="I102">
        <v>0</v>
      </c>
      <c r="J102">
        <v>0</v>
      </c>
      <c r="K102">
        <v>0</v>
      </c>
      <c r="L102">
        <v>0</v>
      </c>
      <c r="M102">
        <v>0</v>
      </c>
      <c r="N102">
        <v>0</v>
      </c>
      <c r="O102">
        <v>0</v>
      </c>
      <c r="P102">
        <v>0</v>
      </c>
      <c r="Q102">
        <v>0</v>
      </c>
      <c r="R102">
        <v>0</v>
      </c>
      <c r="S102">
        <v>0</v>
      </c>
      <c r="T102">
        <f t="shared" si="5"/>
        <v>0</v>
      </c>
      <c r="U102">
        <v>1</v>
      </c>
    </row>
    <row r="103" spans="1:21" x14ac:dyDescent="0.3">
      <c r="A103" t="str">
        <f t="shared" si="3"/>
        <v/>
      </c>
      <c r="B103" t="str">
        <f>IF(C103="","",COUNTIF($C$2:C103,C103))</f>
        <v/>
      </c>
      <c r="C103" t="str">
        <f t="shared" si="4"/>
        <v/>
      </c>
      <c r="D103" t="str">
        <f>VLOOKUP(G103,PathwayLookup!A:B,2,0)</f>
        <v>Short term domiciliary care (pathway 1)</v>
      </c>
      <c r="E103" t="s">
        <v>79</v>
      </c>
      <c r="F103" t="s">
        <v>496</v>
      </c>
      <c r="G103" t="s">
        <v>684</v>
      </c>
      <c r="H103">
        <v>0</v>
      </c>
      <c r="I103">
        <v>0</v>
      </c>
      <c r="J103">
        <v>0</v>
      </c>
      <c r="K103">
        <v>0</v>
      </c>
      <c r="L103">
        <v>0</v>
      </c>
      <c r="M103">
        <v>0</v>
      </c>
      <c r="N103">
        <v>0</v>
      </c>
      <c r="O103">
        <v>0</v>
      </c>
      <c r="P103">
        <v>0</v>
      </c>
      <c r="Q103">
        <v>0</v>
      </c>
      <c r="R103">
        <v>0</v>
      </c>
      <c r="S103">
        <v>0</v>
      </c>
      <c r="T103">
        <f t="shared" si="5"/>
        <v>0</v>
      </c>
      <c r="U103">
        <v>1</v>
      </c>
    </row>
    <row r="104" spans="1:21" x14ac:dyDescent="0.3">
      <c r="A104" t="str">
        <f t="shared" si="3"/>
        <v>Blackburn with DarwenReablement &amp; Rehabilitation in a bedded setting (pathway 2)1</v>
      </c>
      <c r="B104">
        <f>IF(C104="","",COUNTIF($C$2:C104,C104))</f>
        <v>1</v>
      </c>
      <c r="C104" t="str">
        <f t="shared" si="4"/>
        <v>Blackburn with DarwenReablement in a bedded setting (pathway 2)</v>
      </c>
      <c r="D104" t="str">
        <f>VLOOKUP(G104,PathwayLookup!A:B,2,0)</f>
        <v>Reablement &amp; Rehabilitation in a bedded setting (pathway 2)</v>
      </c>
      <c r="E104" t="s">
        <v>79</v>
      </c>
      <c r="F104" t="s">
        <v>496</v>
      </c>
      <c r="G104" t="s">
        <v>722</v>
      </c>
      <c r="H104">
        <v>47</v>
      </c>
      <c r="I104">
        <v>42</v>
      </c>
      <c r="J104">
        <v>52</v>
      </c>
      <c r="K104">
        <v>64</v>
      </c>
      <c r="L104">
        <v>52</v>
      </c>
      <c r="M104">
        <v>52</v>
      </c>
      <c r="N104">
        <v>57</v>
      </c>
      <c r="O104">
        <v>67</v>
      </c>
      <c r="P104">
        <v>86</v>
      </c>
      <c r="Q104">
        <v>82</v>
      </c>
      <c r="R104">
        <v>55</v>
      </c>
      <c r="S104">
        <v>61</v>
      </c>
      <c r="T104">
        <f t="shared" si="5"/>
        <v>717</v>
      </c>
      <c r="U104">
        <v>1</v>
      </c>
    </row>
    <row r="105" spans="1:21" x14ac:dyDescent="0.3">
      <c r="A105" t="str">
        <f t="shared" si="3"/>
        <v/>
      </c>
      <c r="B105" t="str">
        <f>IF(C105="","",COUNTIF($C$2:C105,C105))</f>
        <v/>
      </c>
      <c r="C105" t="str">
        <f t="shared" si="4"/>
        <v/>
      </c>
      <c r="D105" t="str">
        <f>VLOOKUP(G105,PathwayLookup!A:B,2,0)</f>
        <v>Reablement &amp; Rehabilitation in a bedded setting (pathway 2)</v>
      </c>
      <c r="E105" t="s">
        <v>79</v>
      </c>
      <c r="F105" t="s">
        <v>496</v>
      </c>
      <c r="G105" t="s">
        <v>724</v>
      </c>
      <c r="H105">
        <v>0</v>
      </c>
      <c r="I105">
        <v>0</v>
      </c>
      <c r="J105">
        <v>0</v>
      </c>
      <c r="K105">
        <v>0</v>
      </c>
      <c r="L105">
        <v>0</v>
      </c>
      <c r="M105">
        <v>0</v>
      </c>
      <c r="N105">
        <v>0</v>
      </c>
      <c r="O105">
        <v>0</v>
      </c>
      <c r="P105">
        <v>0</v>
      </c>
      <c r="Q105">
        <v>0</v>
      </c>
      <c r="R105">
        <v>0</v>
      </c>
      <c r="S105">
        <v>0</v>
      </c>
      <c r="T105">
        <f t="shared" si="5"/>
        <v>0</v>
      </c>
      <c r="U105">
        <v>1</v>
      </c>
    </row>
    <row r="106" spans="1:21" x14ac:dyDescent="0.3">
      <c r="A106" t="str">
        <f t="shared" si="3"/>
        <v>Blackburn with DarwenShort-term residential/nursing care for someone likely to require a longer-term care home placement (pathway 3)1</v>
      </c>
      <c r="B106">
        <f>IF(C106="","",COUNTIF($C$2:C106,C106))</f>
        <v>1</v>
      </c>
      <c r="C106" t="str">
        <f t="shared" si="4"/>
        <v>Blackburn with DarwenShort-term residential/nursing care for someone likely to require a longer-term care home placement (pathway 3)</v>
      </c>
      <c r="D106" t="str">
        <f>VLOOKUP(G106,PathwayLookup!A:B,2,0)</f>
        <v>Short-term residential/nursing care for someone likely to require a longer-term care home placement (pathway 3)</v>
      </c>
      <c r="E106" t="s">
        <v>79</v>
      </c>
      <c r="F106" t="s">
        <v>496</v>
      </c>
      <c r="G106" t="s">
        <v>686</v>
      </c>
      <c r="H106">
        <v>9</v>
      </c>
      <c r="I106">
        <v>10</v>
      </c>
      <c r="J106">
        <v>7</v>
      </c>
      <c r="K106">
        <v>2</v>
      </c>
      <c r="L106">
        <v>6</v>
      </c>
      <c r="M106">
        <v>6</v>
      </c>
      <c r="N106">
        <v>11</v>
      </c>
      <c r="O106">
        <v>5</v>
      </c>
      <c r="P106">
        <v>7</v>
      </c>
      <c r="Q106">
        <v>2</v>
      </c>
      <c r="R106">
        <v>2</v>
      </c>
      <c r="S106">
        <v>6</v>
      </c>
      <c r="T106">
        <f t="shared" si="5"/>
        <v>73</v>
      </c>
      <c r="U106">
        <v>1</v>
      </c>
    </row>
    <row r="107" spans="1:21" x14ac:dyDescent="0.3">
      <c r="A107" t="str">
        <f t="shared" si="3"/>
        <v>BlackpoolSocial support (including VCS) (pathway 0)1</v>
      </c>
      <c r="B107">
        <f>IF(C107="","",COUNTIF($C$2:C107,C107))</f>
        <v>1</v>
      </c>
      <c r="C107" t="str">
        <f t="shared" si="4"/>
        <v>BlackpoolSocial support (including VCS) (pathway 0)</v>
      </c>
      <c r="D107" t="str">
        <f>VLOOKUP(G107,PathwayLookup!A:B,2,0)</f>
        <v>Social support (including VCS) (pathway 0)</v>
      </c>
      <c r="E107" t="s">
        <v>81</v>
      </c>
      <c r="F107" t="s">
        <v>463</v>
      </c>
      <c r="G107" t="s">
        <v>682</v>
      </c>
      <c r="H107">
        <v>53</v>
      </c>
      <c r="I107">
        <v>53</v>
      </c>
      <c r="J107">
        <v>53</v>
      </c>
      <c r="K107">
        <v>53</v>
      </c>
      <c r="L107">
        <v>53</v>
      </c>
      <c r="M107">
        <v>53</v>
      </c>
      <c r="N107">
        <v>53</v>
      </c>
      <c r="O107">
        <v>53</v>
      </c>
      <c r="P107">
        <v>53</v>
      </c>
      <c r="Q107">
        <v>53</v>
      </c>
      <c r="R107">
        <v>53</v>
      </c>
      <c r="S107">
        <v>53</v>
      </c>
      <c r="T107">
        <f t="shared" si="5"/>
        <v>636</v>
      </c>
      <c r="U107">
        <v>1</v>
      </c>
    </row>
    <row r="108" spans="1:21" x14ac:dyDescent="0.3">
      <c r="A108" t="str">
        <f t="shared" si="3"/>
        <v/>
      </c>
      <c r="B108" t="str">
        <f>IF(C108="","",COUNTIF($C$2:C108,C108))</f>
        <v/>
      </c>
      <c r="C108" t="str">
        <f t="shared" si="4"/>
        <v/>
      </c>
      <c r="D108" t="str">
        <f>VLOOKUP(G108,PathwayLookup!A:B,2,0)</f>
        <v>Reablement &amp; Rehabilitation at home  (pathway 1)</v>
      </c>
      <c r="E108" t="s">
        <v>81</v>
      </c>
      <c r="F108" t="s">
        <v>463</v>
      </c>
      <c r="G108" t="s">
        <v>718</v>
      </c>
      <c r="H108">
        <v>0</v>
      </c>
      <c r="I108">
        <v>0</v>
      </c>
      <c r="J108">
        <v>0</v>
      </c>
      <c r="K108">
        <v>0</v>
      </c>
      <c r="L108">
        <v>0</v>
      </c>
      <c r="M108">
        <v>0</v>
      </c>
      <c r="N108">
        <v>0</v>
      </c>
      <c r="O108">
        <v>0</v>
      </c>
      <c r="P108">
        <v>0</v>
      </c>
      <c r="Q108">
        <v>0</v>
      </c>
      <c r="R108">
        <v>0</v>
      </c>
      <c r="S108">
        <v>0</v>
      </c>
      <c r="T108">
        <f t="shared" si="5"/>
        <v>0</v>
      </c>
      <c r="U108">
        <v>1</v>
      </c>
    </row>
    <row r="109" spans="1:21" x14ac:dyDescent="0.3">
      <c r="A109" t="str">
        <f t="shared" si="3"/>
        <v/>
      </c>
      <c r="B109" t="str">
        <f>IF(C109="","",COUNTIF($C$2:C109,C109))</f>
        <v/>
      </c>
      <c r="C109" t="str">
        <f t="shared" si="4"/>
        <v/>
      </c>
      <c r="D109" t="str">
        <f>VLOOKUP(G109,PathwayLookup!A:B,2,0)</f>
        <v>Reablement &amp; Rehabilitation at home  (pathway 1)</v>
      </c>
      <c r="E109" t="s">
        <v>81</v>
      </c>
      <c r="F109" t="s">
        <v>463</v>
      </c>
      <c r="G109" t="s">
        <v>719</v>
      </c>
      <c r="H109">
        <v>0</v>
      </c>
      <c r="I109">
        <v>0</v>
      </c>
      <c r="J109">
        <v>0</v>
      </c>
      <c r="K109">
        <v>0</v>
      </c>
      <c r="L109">
        <v>0</v>
      </c>
      <c r="M109">
        <v>0</v>
      </c>
      <c r="N109">
        <v>0</v>
      </c>
      <c r="O109">
        <v>0</v>
      </c>
      <c r="P109">
        <v>0</v>
      </c>
      <c r="Q109">
        <v>0</v>
      </c>
      <c r="R109">
        <v>0</v>
      </c>
      <c r="S109">
        <v>0</v>
      </c>
      <c r="T109">
        <f t="shared" si="5"/>
        <v>0</v>
      </c>
      <c r="U109">
        <v>1</v>
      </c>
    </row>
    <row r="110" spans="1:21" x14ac:dyDescent="0.3">
      <c r="A110" t="str">
        <f t="shared" si="3"/>
        <v>BlackpoolShort term domiciliary care (pathway 1)1</v>
      </c>
      <c r="B110">
        <f>IF(C110="","",COUNTIF($C$2:C110,C110))</f>
        <v>1</v>
      </c>
      <c r="C110" t="str">
        <f t="shared" si="4"/>
        <v>BlackpoolShort term domiciliary care (pathway 1)</v>
      </c>
      <c r="D110" t="str">
        <f>VLOOKUP(G110,PathwayLookup!A:B,2,0)</f>
        <v>Short term domiciliary care (pathway 1)</v>
      </c>
      <c r="E110" t="s">
        <v>81</v>
      </c>
      <c r="F110" t="s">
        <v>463</v>
      </c>
      <c r="G110" t="s">
        <v>684</v>
      </c>
      <c r="H110">
        <v>74</v>
      </c>
      <c r="I110">
        <v>78</v>
      </c>
      <c r="J110">
        <v>76</v>
      </c>
      <c r="K110">
        <v>78</v>
      </c>
      <c r="L110">
        <v>78</v>
      </c>
      <c r="M110">
        <v>76</v>
      </c>
      <c r="N110">
        <v>78</v>
      </c>
      <c r="O110">
        <v>76</v>
      </c>
      <c r="P110">
        <v>77</v>
      </c>
      <c r="Q110">
        <v>78</v>
      </c>
      <c r="R110">
        <v>73</v>
      </c>
      <c r="S110">
        <v>78</v>
      </c>
      <c r="T110">
        <f t="shared" si="5"/>
        <v>920</v>
      </c>
      <c r="U110">
        <v>1</v>
      </c>
    </row>
    <row r="111" spans="1:21" x14ac:dyDescent="0.3">
      <c r="A111" t="str">
        <f t="shared" si="3"/>
        <v>BlackpoolReablement &amp; Rehabilitation in a bedded setting (pathway 2)1</v>
      </c>
      <c r="B111">
        <f>IF(C111="","",COUNTIF($C$2:C111,C111))</f>
        <v>1</v>
      </c>
      <c r="C111" t="str">
        <f t="shared" si="4"/>
        <v>BlackpoolReablement in a bedded setting (pathway 2)</v>
      </c>
      <c r="D111" t="str">
        <f>VLOOKUP(G111,PathwayLookup!A:B,2,0)</f>
        <v>Reablement &amp; Rehabilitation in a bedded setting (pathway 2)</v>
      </c>
      <c r="E111" t="s">
        <v>81</v>
      </c>
      <c r="F111" t="s">
        <v>463</v>
      </c>
      <c r="G111" t="s">
        <v>722</v>
      </c>
      <c r="H111">
        <v>32</v>
      </c>
      <c r="I111">
        <v>32</v>
      </c>
      <c r="J111">
        <v>32</v>
      </c>
      <c r="K111">
        <v>32</v>
      </c>
      <c r="L111">
        <v>32</v>
      </c>
      <c r="M111">
        <v>32</v>
      </c>
      <c r="N111">
        <v>32</v>
      </c>
      <c r="O111">
        <v>32</v>
      </c>
      <c r="P111">
        <v>32</v>
      </c>
      <c r="Q111">
        <v>32</v>
      </c>
      <c r="R111">
        <v>32</v>
      </c>
      <c r="S111">
        <v>32</v>
      </c>
      <c r="T111">
        <f t="shared" si="5"/>
        <v>384</v>
      </c>
      <c r="U111">
        <v>1</v>
      </c>
    </row>
    <row r="112" spans="1:21" x14ac:dyDescent="0.3">
      <c r="A112" t="str">
        <f t="shared" si="3"/>
        <v>BlackpoolReablement &amp; Rehabilitation in a bedded setting (pathway 2)1</v>
      </c>
      <c r="B112">
        <f>IF(C112="","",COUNTIF($C$2:C112,C112))</f>
        <v>1</v>
      </c>
      <c r="C112" t="str">
        <f t="shared" si="4"/>
        <v>BlackpoolRehabilitation in a bedded setting (pathway 2)</v>
      </c>
      <c r="D112" t="str">
        <f>VLOOKUP(G112,PathwayLookup!A:B,2,0)</f>
        <v>Reablement &amp; Rehabilitation in a bedded setting (pathway 2)</v>
      </c>
      <c r="E112" t="s">
        <v>81</v>
      </c>
      <c r="F112" t="s">
        <v>463</v>
      </c>
      <c r="G112" t="s">
        <v>724</v>
      </c>
      <c r="H112">
        <v>16</v>
      </c>
      <c r="I112">
        <v>16</v>
      </c>
      <c r="J112">
        <v>16</v>
      </c>
      <c r="K112">
        <v>16</v>
      </c>
      <c r="L112">
        <v>16</v>
      </c>
      <c r="M112">
        <v>16</v>
      </c>
      <c r="N112">
        <v>16</v>
      </c>
      <c r="O112">
        <v>16</v>
      </c>
      <c r="P112">
        <v>16</v>
      </c>
      <c r="Q112">
        <v>16</v>
      </c>
      <c r="R112">
        <v>16</v>
      </c>
      <c r="S112">
        <v>16</v>
      </c>
      <c r="T112">
        <f t="shared" si="5"/>
        <v>192</v>
      </c>
      <c r="U112">
        <v>1</v>
      </c>
    </row>
    <row r="113" spans="1:21" x14ac:dyDescent="0.3">
      <c r="A113" t="str">
        <f t="shared" si="3"/>
        <v>BlackpoolShort-term residential/nursing care for someone likely to require a longer-term care home placement (pathway 3)1</v>
      </c>
      <c r="B113">
        <f>IF(C113="","",COUNTIF($C$2:C113,C113))</f>
        <v>1</v>
      </c>
      <c r="C113" t="str">
        <f t="shared" si="4"/>
        <v>BlackpoolShort-term residential/nursing care for someone likely to require a longer-term care home placement (pathway 3)</v>
      </c>
      <c r="D113" t="str">
        <f>VLOOKUP(G113,PathwayLookup!A:B,2,0)</f>
        <v>Short-term residential/nursing care for someone likely to require a longer-term care home placement (pathway 3)</v>
      </c>
      <c r="E113" t="s">
        <v>81</v>
      </c>
      <c r="F113" t="s">
        <v>463</v>
      </c>
      <c r="G113" t="s">
        <v>686</v>
      </c>
      <c r="H113">
        <v>5</v>
      </c>
      <c r="I113">
        <v>5</v>
      </c>
      <c r="J113">
        <v>5</v>
      </c>
      <c r="K113">
        <v>5</v>
      </c>
      <c r="L113">
        <v>5</v>
      </c>
      <c r="M113">
        <v>5</v>
      </c>
      <c r="N113">
        <v>5</v>
      </c>
      <c r="O113">
        <v>5</v>
      </c>
      <c r="P113">
        <v>5</v>
      </c>
      <c r="Q113">
        <v>5</v>
      </c>
      <c r="R113">
        <v>5</v>
      </c>
      <c r="S113">
        <v>5</v>
      </c>
      <c r="T113">
        <f t="shared" si="5"/>
        <v>60</v>
      </c>
      <c r="U113">
        <v>1</v>
      </c>
    </row>
    <row r="114" spans="1:21" x14ac:dyDescent="0.3">
      <c r="A114" t="str">
        <f t="shared" si="3"/>
        <v>BoltonSocial support (including VCS) (pathway 0)1</v>
      </c>
      <c r="B114">
        <f>IF(C114="","",COUNTIF($C$2:C114,C114))</f>
        <v>1</v>
      </c>
      <c r="C114" t="str">
        <f t="shared" si="4"/>
        <v>BoltonSocial support (including VCS) (pathway 0)</v>
      </c>
      <c r="D114" t="str">
        <f>VLOOKUP(G114,PathwayLookup!A:B,2,0)</f>
        <v>Social support (including VCS) (pathway 0)</v>
      </c>
      <c r="E114" t="s">
        <v>83</v>
      </c>
      <c r="F114" t="s">
        <v>464</v>
      </c>
      <c r="G114" t="s">
        <v>682</v>
      </c>
      <c r="H114">
        <v>70</v>
      </c>
      <c r="I114">
        <v>70</v>
      </c>
      <c r="J114">
        <v>70</v>
      </c>
      <c r="K114">
        <v>70</v>
      </c>
      <c r="L114">
        <v>70</v>
      </c>
      <c r="M114">
        <v>70</v>
      </c>
      <c r="N114">
        <v>70</v>
      </c>
      <c r="O114">
        <v>70</v>
      </c>
      <c r="P114">
        <v>70</v>
      </c>
      <c r="Q114">
        <v>70</v>
      </c>
      <c r="R114">
        <v>70</v>
      </c>
      <c r="S114">
        <v>70</v>
      </c>
      <c r="T114">
        <f t="shared" si="5"/>
        <v>840</v>
      </c>
      <c r="U114">
        <v>1</v>
      </c>
    </row>
    <row r="115" spans="1:21" x14ac:dyDescent="0.3">
      <c r="A115" t="str">
        <f t="shared" si="3"/>
        <v/>
      </c>
      <c r="B115" t="str">
        <f>IF(C115="","",COUNTIF($C$2:C115,C115))</f>
        <v/>
      </c>
      <c r="C115" t="str">
        <f t="shared" si="4"/>
        <v/>
      </c>
      <c r="D115" t="str">
        <f>VLOOKUP(G115,PathwayLookup!A:B,2,0)</f>
        <v>Reablement &amp; Rehabilitation at home  (pathway 1)</v>
      </c>
      <c r="E115" t="s">
        <v>83</v>
      </c>
      <c r="F115" t="s">
        <v>464</v>
      </c>
      <c r="G115" t="s">
        <v>718</v>
      </c>
      <c r="H115">
        <v>0</v>
      </c>
      <c r="I115">
        <v>0</v>
      </c>
      <c r="J115">
        <v>0</v>
      </c>
      <c r="K115">
        <v>0</v>
      </c>
      <c r="L115">
        <v>0</v>
      </c>
      <c r="M115">
        <v>0</v>
      </c>
      <c r="N115">
        <v>0</v>
      </c>
      <c r="O115">
        <v>0</v>
      </c>
      <c r="P115">
        <v>0</v>
      </c>
      <c r="Q115">
        <v>0</v>
      </c>
      <c r="R115">
        <v>0</v>
      </c>
      <c r="S115">
        <v>0</v>
      </c>
      <c r="T115">
        <f t="shared" si="5"/>
        <v>0</v>
      </c>
      <c r="U115">
        <v>1</v>
      </c>
    </row>
    <row r="116" spans="1:21" x14ac:dyDescent="0.3">
      <c r="A116" t="str">
        <f t="shared" si="3"/>
        <v>BoltonReablement &amp; Rehabilitation at home  (pathway 1)1</v>
      </c>
      <c r="B116">
        <f>IF(C116="","",COUNTIF($C$2:C116,C116))</f>
        <v>1</v>
      </c>
      <c r="C116" t="str">
        <f t="shared" si="4"/>
        <v>BoltonRehabilitation at home (pathway 1)</v>
      </c>
      <c r="D116" t="str">
        <f>VLOOKUP(G116,PathwayLookup!A:B,2,0)</f>
        <v>Reablement &amp; Rehabilitation at home  (pathway 1)</v>
      </c>
      <c r="E116" t="s">
        <v>83</v>
      </c>
      <c r="F116" t="s">
        <v>464</v>
      </c>
      <c r="G116" t="s">
        <v>719</v>
      </c>
      <c r="H116">
        <v>135</v>
      </c>
      <c r="I116">
        <v>135</v>
      </c>
      <c r="J116">
        <v>135</v>
      </c>
      <c r="K116">
        <v>135</v>
      </c>
      <c r="L116">
        <v>135</v>
      </c>
      <c r="M116">
        <v>135</v>
      </c>
      <c r="N116">
        <v>135</v>
      </c>
      <c r="O116">
        <v>135</v>
      </c>
      <c r="P116">
        <v>135</v>
      </c>
      <c r="Q116">
        <v>135</v>
      </c>
      <c r="R116">
        <v>135</v>
      </c>
      <c r="S116">
        <v>135</v>
      </c>
      <c r="T116">
        <f t="shared" si="5"/>
        <v>1620</v>
      </c>
      <c r="U116">
        <v>1</v>
      </c>
    </row>
    <row r="117" spans="1:21" x14ac:dyDescent="0.3">
      <c r="A117" t="str">
        <f t="shared" si="3"/>
        <v>BoltonShort term domiciliary care (pathway 1)1</v>
      </c>
      <c r="B117">
        <f>IF(C117="","",COUNTIF($C$2:C117,C117))</f>
        <v>1</v>
      </c>
      <c r="C117" t="str">
        <f t="shared" si="4"/>
        <v>BoltonShort term domiciliary care (pathway 1)</v>
      </c>
      <c r="D117" t="str">
        <f>VLOOKUP(G117,PathwayLookup!A:B,2,0)</f>
        <v>Short term domiciliary care (pathway 1)</v>
      </c>
      <c r="E117" t="s">
        <v>83</v>
      </c>
      <c r="F117" t="s">
        <v>464</v>
      </c>
      <c r="G117" t="s">
        <v>684</v>
      </c>
      <c r="H117">
        <v>40</v>
      </c>
      <c r="I117">
        <v>40</v>
      </c>
      <c r="J117">
        <v>40</v>
      </c>
      <c r="K117">
        <v>40</v>
      </c>
      <c r="L117">
        <v>40</v>
      </c>
      <c r="M117">
        <v>40</v>
      </c>
      <c r="N117">
        <v>40</v>
      </c>
      <c r="O117">
        <v>40</v>
      </c>
      <c r="P117">
        <v>40</v>
      </c>
      <c r="Q117">
        <v>40</v>
      </c>
      <c r="R117">
        <v>40</v>
      </c>
      <c r="S117">
        <v>40</v>
      </c>
      <c r="T117">
        <f t="shared" si="5"/>
        <v>480</v>
      </c>
      <c r="U117">
        <v>1</v>
      </c>
    </row>
    <row r="118" spans="1:21" x14ac:dyDescent="0.3">
      <c r="A118" t="str">
        <f t="shared" si="3"/>
        <v/>
      </c>
      <c r="B118" t="str">
        <f>IF(C118="","",COUNTIF($C$2:C118,C118))</f>
        <v/>
      </c>
      <c r="C118" t="str">
        <f t="shared" si="4"/>
        <v/>
      </c>
      <c r="D118" t="str">
        <f>VLOOKUP(G118,PathwayLookup!A:B,2,0)</f>
        <v>Reablement &amp; Rehabilitation in a bedded setting (pathway 2)</v>
      </c>
      <c r="E118" t="s">
        <v>83</v>
      </c>
      <c r="F118" t="s">
        <v>464</v>
      </c>
      <c r="G118" t="s">
        <v>722</v>
      </c>
      <c r="H118">
        <v>0</v>
      </c>
      <c r="I118">
        <v>0</v>
      </c>
      <c r="J118">
        <v>0</v>
      </c>
      <c r="K118">
        <v>0</v>
      </c>
      <c r="L118">
        <v>0</v>
      </c>
      <c r="M118">
        <v>0</v>
      </c>
      <c r="N118">
        <v>0</v>
      </c>
      <c r="O118">
        <v>0</v>
      </c>
      <c r="P118">
        <v>0</v>
      </c>
      <c r="Q118">
        <v>0</v>
      </c>
      <c r="R118">
        <v>0</v>
      </c>
      <c r="S118">
        <v>0</v>
      </c>
      <c r="T118">
        <f t="shared" si="5"/>
        <v>0</v>
      </c>
      <c r="U118">
        <v>1</v>
      </c>
    </row>
    <row r="119" spans="1:21" x14ac:dyDescent="0.3">
      <c r="A119" t="str">
        <f t="shared" si="3"/>
        <v>BoltonReablement &amp; Rehabilitation in a bedded setting (pathway 2)1</v>
      </c>
      <c r="B119">
        <f>IF(C119="","",COUNTIF($C$2:C119,C119))</f>
        <v>1</v>
      </c>
      <c r="C119" t="str">
        <f t="shared" si="4"/>
        <v>BoltonRehabilitation in a bedded setting (pathway 2)</v>
      </c>
      <c r="D119" t="str">
        <f>VLOOKUP(G119,PathwayLookup!A:B,2,0)</f>
        <v>Reablement &amp; Rehabilitation in a bedded setting (pathway 2)</v>
      </c>
      <c r="E119" t="s">
        <v>83</v>
      </c>
      <c r="F119" t="s">
        <v>464</v>
      </c>
      <c r="G119" t="s">
        <v>724</v>
      </c>
      <c r="H119">
        <v>85</v>
      </c>
      <c r="I119">
        <v>85</v>
      </c>
      <c r="J119">
        <v>85</v>
      </c>
      <c r="K119">
        <v>85</v>
      </c>
      <c r="L119">
        <v>85</v>
      </c>
      <c r="M119">
        <v>85</v>
      </c>
      <c r="N119">
        <v>85</v>
      </c>
      <c r="O119">
        <v>85</v>
      </c>
      <c r="P119">
        <v>85</v>
      </c>
      <c r="Q119">
        <v>85</v>
      </c>
      <c r="R119">
        <v>85</v>
      </c>
      <c r="S119">
        <v>85</v>
      </c>
      <c r="T119">
        <f t="shared" si="5"/>
        <v>1020</v>
      </c>
      <c r="U119">
        <v>1</v>
      </c>
    </row>
    <row r="120" spans="1:21" x14ac:dyDescent="0.3">
      <c r="A120" t="str">
        <f t="shared" si="3"/>
        <v>BoltonShort-term residential/nursing care for someone likely to require a longer-term care home placement (pathway 3)1</v>
      </c>
      <c r="B120">
        <f>IF(C120="","",COUNTIF($C$2:C120,C120))</f>
        <v>1</v>
      </c>
      <c r="C120" t="str">
        <f t="shared" si="4"/>
        <v>BoltonShort-term residential/nursing care for someone likely to require a longer-term care home placement (pathway 3)</v>
      </c>
      <c r="D120" t="str">
        <f>VLOOKUP(G120,PathwayLookup!A:B,2,0)</f>
        <v>Short-term residential/nursing care for someone likely to require a longer-term care home placement (pathway 3)</v>
      </c>
      <c r="E120" t="s">
        <v>83</v>
      </c>
      <c r="F120" t="s">
        <v>464</v>
      </c>
      <c r="G120" t="s">
        <v>686</v>
      </c>
      <c r="H120">
        <v>2</v>
      </c>
      <c r="I120">
        <v>2</v>
      </c>
      <c r="J120">
        <v>2</v>
      </c>
      <c r="K120">
        <v>2</v>
      </c>
      <c r="L120">
        <v>2</v>
      </c>
      <c r="M120">
        <v>2</v>
      </c>
      <c r="N120">
        <v>2</v>
      </c>
      <c r="O120">
        <v>2</v>
      </c>
      <c r="P120">
        <v>2</v>
      </c>
      <c r="Q120">
        <v>2</v>
      </c>
      <c r="R120">
        <v>2</v>
      </c>
      <c r="S120">
        <v>2</v>
      </c>
      <c r="T120">
        <f t="shared" si="5"/>
        <v>24</v>
      </c>
      <c r="U120">
        <v>1</v>
      </c>
    </row>
    <row r="121" spans="1:21" x14ac:dyDescent="0.3">
      <c r="A121" t="str">
        <f t="shared" si="3"/>
        <v>Bournemouth, Christchurch and PooleSocial support (including VCS) (pathway 0)1</v>
      </c>
      <c r="B121">
        <f>IF(C121="","",COUNTIF($C$2:C121,C121))</f>
        <v>1</v>
      </c>
      <c r="C121" t="str">
        <f t="shared" si="4"/>
        <v>Bournemouth, Christchurch and PooleSocial support (including VCS) (pathway 0)</v>
      </c>
      <c r="D121" t="str">
        <f>VLOOKUP(G121,PathwayLookup!A:B,2,0)</f>
        <v>Social support (including VCS) (pathway 0)</v>
      </c>
      <c r="E121" t="s">
        <v>85</v>
      </c>
      <c r="F121" t="s">
        <v>491</v>
      </c>
      <c r="G121" t="s">
        <v>682</v>
      </c>
      <c r="H121">
        <v>3</v>
      </c>
      <c r="I121">
        <v>3</v>
      </c>
      <c r="J121">
        <v>3</v>
      </c>
      <c r="K121">
        <v>3</v>
      </c>
      <c r="L121">
        <v>3</v>
      </c>
      <c r="M121">
        <v>3</v>
      </c>
      <c r="N121">
        <v>3</v>
      </c>
      <c r="O121">
        <v>3</v>
      </c>
      <c r="P121">
        <v>3</v>
      </c>
      <c r="Q121">
        <v>3</v>
      </c>
      <c r="R121">
        <v>3</v>
      </c>
      <c r="S121">
        <v>3</v>
      </c>
      <c r="T121">
        <f t="shared" si="5"/>
        <v>36</v>
      </c>
      <c r="U121">
        <v>1</v>
      </c>
    </row>
    <row r="122" spans="1:21" x14ac:dyDescent="0.3">
      <c r="A122" t="str">
        <f t="shared" si="3"/>
        <v>Bournemouth, Christchurch and PooleSocial support (including VCS) (pathway 0)2</v>
      </c>
      <c r="B122">
        <f>IF(C122="","",COUNTIF($C$2:C122,C122))</f>
        <v>2</v>
      </c>
      <c r="C122" t="str">
        <f t="shared" si="4"/>
        <v>Bournemouth, Christchurch and PooleSocial support (including VCS) (pathway 0)</v>
      </c>
      <c r="D122" t="str">
        <f>VLOOKUP(G122,PathwayLookup!A:B,2,0)</f>
        <v>Social support (including VCS) (pathway 0)</v>
      </c>
      <c r="E122" t="s">
        <v>85</v>
      </c>
      <c r="F122" t="s">
        <v>631</v>
      </c>
      <c r="G122" t="s">
        <v>682</v>
      </c>
      <c r="H122">
        <v>34</v>
      </c>
      <c r="I122">
        <v>34</v>
      </c>
      <c r="J122">
        <v>34</v>
      </c>
      <c r="K122">
        <v>34</v>
      </c>
      <c r="L122">
        <v>34</v>
      </c>
      <c r="M122">
        <v>34</v>
      </c>
      <c r="N122">
        <v>34</v>
      </c>
      <c r="O122">
        <v>34</v>
      </c>
      <c r="P122">
        <v>34</v>
      </c>
      <c r="Q122">
        <v>34</v>
      </c>
      <c r="R122">
        <v>34</v>
      </c>
      <c r="S122">
        <v>34</v>
      </c>
      <c r="T122">
        <f t="shared" si="5"/>
        <v>408</v>
      </c>
      <c r="U122">
        <v>1</v>
      </c>
    </row>
    <row r="123" spans="1:21" x14ac:dyDescent="0.3">
      <c r="A123" t="str">
        <f t="shared" si="3"/>
        <v>Bournemouth, Christchurch and PooleSocial support (including VCS) (pathway 0)3</v>
      </c>
      <c r="B123">
        <f>IF(C123="","",COUNTIF($C$2:C123,C123))</f>
        <v>3</v>
      </c>
      <c r="C123" t="str">
        <f t="shared" si="4"/>
        <v>Bournemouth, Christchurch and PooleSocial support (including VCS) (pathway 0)</v>
      </c>
      <c r="D123" t="str">
        <f>VLOOKUP(G123,PathwayLookup!A:B,2,0)</f>
        <v>Social support (including VCS) (pathway 0)</v>
      </c>
      <c r="E123" t="s">
        <v>85</v>
      </c>
      <c r="F123" t="s">
        <v>651</v>
      </c>
      <c r="G123" t="s">
        <v>682</v>
      </c>
      <c r="H123">
        <v>1</v>
      </c>
      <c r="I123">
        <v>1</v>
      </c>
      <c r="J123">
        <v>1</v>
      </c>
      <c r="K123">
        <v>1</v>
      </c>
      <c r="L123">
        <v>1</v>
      </c>
      <c r="M123">
        <v>1</v>
      </c>
      <c r="N123">
        <v>1</v>
      </c>
      <c r="O123">
        <v>1</v>
      </c>
      <c r="P123">
        <v>1</v>
      </c>
      <c r="Q123">
        <v>1</v>
      </c>
      <c r="R123">
        <v>1</v>
      </c>
      <c r="S123">
        <v>1</v>
      </c>
      <c r="T123">
        <f t="shared" si="5"/>
        <v>12</v>
      </c>
      <c r="U123">
        <v>1</v>
      </c>
    </row>
    <row r="124" spans="1:21" x14ac:dyDescent="0.3">
      <c r="A124" t="str">
        <f t="shared" si="3"/>
        <v>Bournemouth, Christchurch and PooleReablement &amp; Rehabilitation at home  (pathway 1)1</v>
      </c>
      <c r="B124">
        <f>IF(C124="","",COUNTIF($C$2:C124,C124))</f>
        <v>1</v>
      </c>
      <c r="C124" t="str">
        <f t="shared" si="4"/>
        <v>Bournemouth, Christchurch and PooleReablement at home  (pathway 1)</v>
      </c>
      <c r="D124" t="str">
        <f>VLOOKUP(G124,PathwayLookup!A:B,2,0)</f>
        <v>Reablement &amp; Rehabilitation at home  (pathway 1)</v>
      </c>
      <c r="E124" t="s">
        <v>85</v>
      </c>
      <c r="F124" t="s">
        <v>491</v>
      </c>
      <c r="G124" t="s">
        <v>718</v>
      </c>
      <c r="H124">
        <v>1</v>
      </c>
      <c r="I124">
        <v>1</v>
      </c>
      <c r="J124">
        <v>1</v>
      </c>
      <c r="K124">
        <v>1</v>
      </c>
      <c r="L124">
        <v>1</v>
      </c>
      <c r="M124">
        <v>1</v>
      </c>
      <c r="N124">
        <v>1</v>
      </c>
      <c r="O124">
        <v>1</v>
      </c>
      <c r="P124">
        <v>1</v>
      </c>
      <c r="Q124">
        <v>1</v>
      </c>
      <c r="R124">
        <v>1</v>
      </c>
      <c r="S124">
        <v>1</v>
      </c>
      <c r="T124">
        <f t="shared" si="5"/>
        <v>12</v>
      </c>
      <c r="U124">
        <v>1</v>
      </c>
    </row>
    <row r="125" spans="1:21" x14ac:dyDescent="0.3">
      <c r="A125" t="str">
        <f t="shared" si="3"/>
        <v>Bournemouth, Christchurch and PooleReablement &amp; Rehabilitation at home  (pathway 1)2</v>
      </c>
      <c r="B125">
        <f>IF(C125="","",COUNTIF($C$2:C125,C125))</f>
        <v>2</v>
      </c>
      <c r="C125" t="str">
        <f t="shared" si="4"/>
        <v>Bournemouth, Christchurch and PooleReablement at home  (pathway 1)</v>
      </c>
      <c r="D125" t="str">
        <f>VLOOKUP(G125,PathwayLookup!A:B,2,0)</f>
        <v>Reablement &amp; Rehabilitation at home  (pathway 1)</v>
      </c>
      <c r="E125" t="s">
        <v>85</v>
      </c>
      <c r="F125" t="s">
        <v>631</v>
      </c>
      <c r="G125" t="s">
        <v>718</v>
      </c>
      <c r="H125">
        <v>13</v>
      </c>
      <c r="I125">
        <v>13</v>
      </c>
      <c r="J125">
        <v>12</v>
      </c>
      <c r="K125">
        <v>13</v>
      </c>
      <c r="L125">
        <v>11</v>
      </c>
      <c r="M125">
        <v>11</v>
      </c>
      <c r="N125">
        <v>12</v>
      </c>
      <c r="O125">
        <v>13</v>
      </c>
      <c r="P125">
        <v>11</v>
      </c>
      <c r="Q125">
        <v>12</v>
      </c>
      <c r="R125">
        <v>13</v>
      </c>
      <c r="S125">
        <v>15</v>
      </c>
      <c r="T125">
        <f t="shared" si="5"/>
        <v>149</v>
      </c>
      <c r="U125">
        <v>1</v>
      </c>
    </row>
    <row r="126" spans="1:21" x14ac:dyDescent="0.3">
      <c r="A126" t="str">
        <f t="shared" si="3"/>
        <v/>
      </c>
      <c r="B126" t="str">
        <f>IF(C126="","",COUNTIF($C$2:C126,C126))</f>
        <v/>
      </c>
      <c r="C126" t="str">
        <f t="shared" si="4"/>
        <v/>
      </c>
      <c r="D126" t="str">
        <f>VLOOKUP(G126,PathwayLookup!A:B,2,0)</f>
        <v>Reablement &amp; Rehabilitation at home  (pathway 1)</v>
      </c>
      <c r="E126" t="s">
        <v>85</v>
      </c>
      <c r="F126" t="s">
        <v>651</v>
      </c>
      <c r="G126" t="s">
        <v>718</v>
      </c>
      <c r="H126">
        <v>0</v>
      </c>
      <c r="I126">
        <v>0</v>
      </c>
      <c r="J126">
        <v>0</v>
      </c>
      <c r="K126">
        <v>0</v>
      </c>
      <c r="L126">
        <v>0</v>
      </c>
      <c r="M126">
        <v>0</v>
      </c>
      <c r="N126">
        <v>0</v>
      </c>
      <c r="O126">
        <v>0</v>
      </c>
      <c r="P126">
        <v>0</v>
      </c>
      <c r="Q126">
        <v>0</v>
      </c>
      <c r="R126">
        <v>0</v>
      </c>
      <c r="S126">
        <v>0</v>
      </c>
      <c r="T126">
        <f t="shared" si="5"/>
        <v>0</v>
      </c>
      <c r="U126">
        <v>1</v>
      </c>
    </row>
    <row r="127" spans="1:21" x14ac:dyDescent="0.3">
      <c r="A127" t="str">
        <f t="shared" si="3"/>
        <v>Bournemouth, Christchurch and PooleReablement &amp; Rehabilitation at home  (pathway 1)1</v>
      </c>
      <c r="B127">
        <f>IF(C127="","",COUNTIF($C$2:C127,C127))</f>
        <v>1</v>
      </c>
      <c r="C127" t="str">
        <f t="shared" si="4"/>
        <v>Bournemouth, Christchurch and PooleRehabilitation at home (pathway 1)</v>
      </c>
      <c r="D127" t="str">
        <f>VLOOKUP(G127,PathwayLookup!A:B,2,0)</f>
        <v>Reablement &amp; Rehabilitation at home  (pathway 1)</v>
      </c>
      <c r="E127" t="s">
        <v>85</v>
      </c>
      <c r="F127" t="s">
        <v>491</v>
      </c>
      <c r="G127" t="s">
        <v>719</v>
      </c>
      <c r="H127">
        <v>10</v>
      </c>
      <c r="I127">
        <v>10</v>
      </c>
      <c r="J127">
        <v>9</v>
      </c>
      <c r="K127">
        <v>10</v>
      </c>
      <c r="L127">
        <v>9</v>
      </c>
      <c r="M127">
        <v>9</v>
      </c>
      <c r="N127">
        <v>9</v>
      </c>
      <c r="O127">
        <v>10</v>
      </c>
      <c r="P127">
        <v>9</v>
      </c>
      <c r="Q127">
        <v>10</v>
      </c>
      <c r="R127">
        <v>10</v>
      </c>
      <c r="S127">
        <v>12</v>
      </c>
      <c r="T127">
        <f t="shared" si="5"/>
        <v>117</v>
      </c>
      <c r="U127">
        <v>1</v>
      </c>
    </row>
    <row r="128" spans="1:21" x14ac:dyDescent="0.3">
      <c r="A128" t="str">
        <f t="shared" si="3"/>
        <v>Bournemouth, Christchurch and PooleReablement &amp; Rehabilitation at home  (pathway 1)2</v>
      </c>
      <c r="B128">
        <f>IF(C128="","",COUNTIF($C$2:C128,C128))</f>
        <v>2</v>
      </c>
      <c r="C128" t="str">
        <f t="shared" si="4"/>
        <v>Bournemouth, Christchurch and PooleRehabilitation at home (pathway 1)</v>
      </c>
      <c r="D128" t="str">
        <f>VLOOKUP(G128,PathwayLookup!A:B,2,0)</f>
        <v>Reablement &amp; Rehabilitation at home  (pathway 1)</v>
      </c>
      <c r="E128" t="s">
        <v>85</v>
      </c>
      <c r="F128" t="s">
        <v>631</v>
      </c>
      <c r="G128" t="s">
        <v>719</v>
      </c>
      <c r="H128">
        <v>117</v>
      </c>
      <c r="I128">
        <v>118</v>
      </c>
      <c r="J128">
        <v>102</v>
      </c>
      <c r="K128">
        <v>113</v>
      </c>
      <c r="L128">
        <v>97</v>
      </c>
      <c r="M128">
        <v>97</v>
      </c>
      <c r="N128">
        <v>100</v>
      </c>
      <c r="O128">
        <v>115</v>
      </c>
      <c r="P128">
        <v>97</v>
      </c>
      <c r="Q128">
        <v>108</v>
      </c>
      <c r="R128">
        <v>112</v>
      </c>
      <c r="S128">
        <v>131</v>
      </c>
      <c r="T128">
        <f t="shared" si="5"/>
        <v>1307</v>
      </c>
      <c r="U128">
        <v>1</v>
      </c>
    </row>
    <row r="129" spans="1:21" x14ac:dyDescent="0.3">
      <c r="A129" t="str">
        <f t="shared" si="3"/>
        <v>Bournemouth, Christchurch and PooleReablement &amp; Rehabilitation at home  (pathway 1)3</v>
      </c>
      <c r="B129">
        <f>IF(C129="","",COUNTIF($C$2:C129,C129))</f>
        <v>3</v>
      </c>
      <c r="C129" t="str">
        <f t="shared" si="4"/>
        <v>Bournemouth, Christchurch and PooleRehabilitation at home (pathway 1)</v>
      </c>
      <c r="D129" t="str">
        <f>VLOOKUP(G129,PathwayLookup!A:B,2,0)</f>
        <v>Reablement &amp; Rehabilitation at home  (pathway 1)</v>
      </c>
      <c r="E129" t="s">
        <v>85</v>
      </c>
      <c r="F129" t="s">
        <v>651</v>
      </c>
      <c r="G129" t="s">
        <v>719</v>
      </c>
      <c r="H129">
        <v>3</v>
      </c>
      <c r="I129">
        <v>3</v>
      </c>
      <c r="J129">
        <v>2</v>
      </c>
      <c r="K129">
        <v>3</v>
      </c>
      <c r="L129">
        <v>2</v>
      </c>
      <c r="M129">
        <v>2</v>
      </c>
      <c r="N129">
        <v>2</v>
      </c>
      <c r="O129">
        <v>3</v>
      </c>
      <c r="P129">
        <v>2</v>
      </c>
      <c r="Q129">
        <v>2</v>
      </c>
      <c r="R129">
        <v>2</v>
      </c>
      <c r="S129">
        <v>3</v>
      </c>
      <c r="T129">
        <f t="shared" si="5"/>
        <v>29</v>
      </c>
      <c r="U129">
        <v>1</v>
      </c>
    </row>
    <row r="130" spans="1:21" x14ac:dyDescent="0.3">
      <c r="A130" t="str">
        <f t="shared" ref="A130:A193" si="6">IF(B130="","",E130&amp;D130&amp;B130)</f>
        <v>Bournemouth, Christchurch and PooleShort term domiciliary care (pathway 1)1</v>
      </c>
      <c r="B130">
        <f>IF(C130="","",COUNTIF($C$2:C130,C130))</f>
        <v>1</v>
      </c>
      <c r="C130" t="str">
        <f t="shared" ref="C130:C193" si="7">IF(T130=0,"",E130&amp;G130)</f>
        <v>Bournemouth, Christchurch and PooleShort term domiciliary care (pathway 1)</v>
      </c>
      <c r="D130" t="str">
        <f>VLOOKUP(G130,PathwayLookup!A:B,2,0)</f>
        <v>Short term domiciliary care (pathway 1)</v>
      </c>
      <c r="E130" t="s">
        <v>85</v>
      </c>
      <c r="F130" t="s">
        <v>491</v>
      </c>
      <c r="G130" t="s">
        <v>684</v>
      </c>
      <c r="H130">
        <v>4</v>
      </c>
      <c r="I130">
        <v>4</v>
      </c>
      <c r="J130">
        <v>3</v>
      </c>
      <c r="K130">
        <v>4</v>
      </c>
      <c r="L130">
        <v>3</v>
      </c>
      <c r="M130">
        <v>3</v>
      </c>
      <c r="N130">
        <v>3</v>
      </c>
      <c r="O130">
        <v>4</v>
      </c>
      <c r="P130">
        <v>3</v>
      </c>
      <c r="Q130">
        <v>4</v>
      </c>
      <c r="R130">
        <v>4</v>
      </c>
      <c r="S130">
        <v>4</v>
      </c>
      <c r="T130">
        <f t="shared" ref="T130:T193" si="8">SUM(H130:S130)</f>
        <v>43</v>
      </c>
      <c r="U130">
        <v>1</v>
      </c>
    </row>
    <row r="131" spans="1:21" x14ac:dyDescent="0.3">
      <c r="A131" t="str">
        <f t="shared" si="6"/>
        <v>Bournemouth, Christchurch and PooleShort term domiciliary care (pathway 1)2</v>
      </c>
      <c r="B131">
        <f>IF(C131="","",COUNTIF($C$2:C131,C131))</f>
        <v>2</v>
      </c>
      <c r="C131" t="str">
        <f t="shared" si="7"/>
        <v>Bournemouth, Christchurch and PooleShort term domiciliary care (pathway 1)</v>
      </c>
      <c r="D131" t="str">
        <f>VLOOKUP(G131,PathwayLookup!A:B,2,0)</f>
        <v>Short term domiciliary care (pathway 1)</v>
      </c>
      <c r="E131" t="s">
        <v>85</v>
      </c>
      <c r="F131" t="s">
        <v>631</v>
      </c>
      <c r="G131" t="s">
        <v>684</v>
      </c>
      <c r="H131">
        <v>42</v>
      </c>
      <c r="I131">
        <v>43</v>
      </c>
      <c r="J131">
        <v>37</v>
      </c>
      <c r="K131">
        <v>41</v>
      </c>
      <c r="L131">
        <v>35</v>
      </c>
      <c r="M131">
        <v>35</v>
      </c>
      <c r="N131">
        <v>36</v>
      </c>
      <c r="O131">
        <v>41</v>
      </c>
      <c r="P131">
        <v>35</v>
      </c>
      <c r="Q131">
        <v>40</v>
      </c>
      <c r="R131">
        <v>41</v>
      </c>
      <c r="S131">
        <v>48</v>
      </c>
      <c r="T131">
        <f t="shared" si="8"/>
        <v>474</v>
      </c>
      <c r="U131">
        <v>1</v>
      </c>
    </row>
    <row r="132" spans="1:21" x14ac:dyDescent="0.3">
      <c r="A132" t="str">
        <f t="shared" si="6"/>
        <v>Bournemouth, Christchurch and PooleShort term domiciliary care (pathway 1)3</v>
      </c>
      <c r="B132">
        <f>IF(C132="","",COUNTIF($C$2:C132,C132))</f>
        <v>3</v>
      </c>
      <c r="C132" t="str">
        <f t="shared" si="7"/>
        <v>Bournemouth, Christchurch and PooleShort term domiciliary care (pathway 1)</v>
      </c>
      <c r="D132" t="str">
        <f>VLOOKUP(G132,PathwayLookup!A:B,2,0)</f>
        <v>Short term domiciliary care (pathway 1)</v>
      </c>
      <c r="E132" t="s">
        <v>85</v>
      </c>
      <c r="F132" t="s">
        <v>651</v>
      </c>
      <c r="G132" t="s">
        <v>684</v>
      </c>
      <c r="H132">
        <v>1</v>
      </c>
      <c r="I132">
        <v>1</v>
      </c>
      <c r="J132">
        <v>1</v>
      </c>
      <c r="K132">
        <v>1</v>
      </c>
      <c r="L132">
        <v>1</v>
      </c>
      <c r="M132">
        <v>1</v>
      </c>
      <c r="N132">
        <v>1</v>
      </c>
      <c r="O132">
        <v>1</v>
      </c>
      <c r="P132">
        <v>1</v>
      </c>
      <c r="Q132">
        <v>1</v>
      </c>
      <c r="R132">
        <v>1</v>
      </c>
      <c r="S132">
        <v>1</v>
      </c>
      <c r="T132">
        <f t="shared" si="8"/>
        <v>12</v>
      </c>
      <c r="U132">
        <v>1</v>
      </c>
    </row>
    <row r="133" spans="1:21" x14ac:dyDescent="0.3">
      <c r="A133" t="str">
        <f t="shared" si="6"/>
        <v>Bournemouth, Christchurch and PooleReablement &amp; Rehabilitation in a bedded setting (pathway 2)1</v>
      </c>
      <c r="B133">
        <f>IF(C133="","",COUNTIF($C$2:C133,C133))</f>
        <v>1</v>
      </c>
      <c r="C133" t="str">
        <f t="shared" si="7"/>
        <v>Bournemouth, Christchurch and PooleReablement in a bedded setting (pathway 2)</v>
      </c>
      <c r="D133" t="str">
        <f>VLOOKUP(G133,PathwayLookup!A:B,2,0)</f>
        <v>Reablement &amp; Rehabilitation in a bedded setting (pathway 2)</v>
      </c>
      <c r="E133" t="s">
        <v>85</v>
      </c>
      <c r="F133" t="s">
        <v>491</v>
      </c>
      <c r="G133" t="s">
        <v>722</v>
      </c>
      <c r="H133">
        <v>4</v>
      </c>
      <c r="I133">
        <v>4</v>
      </c>
      <c r="J133">
        <v>4</v>
      </c>
      <c r="K133">
        <v>3</v>
      </c>
      <c r="L133">
        <v>3</v>
      </c>
      <c r="M133">
        <v>3</v>
      </c>
      <c r="N133">
        <v>4</v>
      </c>
      <c r="O133">
        <v>4</v>
      </c>
      <c r="P133">
        <v>4</v>
      </c>
      <c r="Q133">
        <v>5</v>
      </c>
      <c r="R133">
        <v>4</v>
      </c>
      <c r="S133">
        <v>4</v>
      </c>
      <c r="T133">
        <f t="shared" si="8"/>
        <v>46</v>
      </c>
      <c r="U133">
        <v>1</v>
      </c>
    </row>
    <row r="134" spans="1:21" x14ac:dyDescent="0.3">
      <c r="A134" t="str">
        <f t="shared" si="6"/>
        <v>Bournemouth, Christchurch and PooleReablement &amp; Rehabilitation in a bedded setting (pathway 2)2</v>
      </c>
      <c r="B134">
        <f>IF(C134="","",COUNTIF($C$2:C134,C134))</f>
        <v>2</v>
      </c>
      <c r="C134" t="str">
        <f t="shared" si="7"/>
        <v>Bournemouth, Christchurch and PooleReablement in a bedded setting (pathway 2)</v>
      </c>
      <c r="D134" t="str">
        <f>VLOOKUP(G134,PathwayLookup!A:B,2,0)</f>
        <v>Reablement &amp; Rehabilitation in a bedded setting (pathway 2)</v>
      </c>
      <c r="E134" t="s">
        <v>85</v>
      </c>
      <c r="F134" t="s">
        <v>631</v>
      </c>
      <c r="G134" t="s">
        <v>722</v>
      </c>
      <c r="H134">
        <v>42</v>
      </c>
      <c r="I134">
        <v>48</v>
      </c>
      <c r="J134">
        <v>40</v>
      </c>
      <c r="K134">
        <v>32</v>
      </c>
      <c r="L134">
        <v>33</v>
      </c>
      <c r="M134">
        <v>32</v>
      </c>
      <c r="N134">
        <v>42</v>
      </c>
      <c r="O134">
        <v>41</v>
      </c>
      <c r="P134">
        <v>49</v>
      </c>
      <c r="Q134">
        <v>56</v>
      </c>
      <c r="R134">
        <v>49</v>
      </c>
      <c r="S134">
        <v>48</v>
      </c>
      <c r="T134">
        <f t="shared" si="8"/>
        <v>512</v>
      </c>
      <c r="U134">
        <v>1</v>
      </c>
    </row>
    <row r="135" spans="1:21" x14ac:dyDescent="0.3">
      <c r="A135" t="str">
        <f t="shared" si="6"/>
        <v>Bournemouth, Christchurch and PooleReablement &amp; Rehabilitation in a bedded setting (pathway 2)3</v>
      </c>
      <c r="B135">
        <f>IF(C135="","",COUNTIF($C$2:C135,C135))</f>
        <v>3</v>
      </c>
      <c r="C135" t="str">
        <f t="shared" si="7"/>
        <v>Bournemouth, Christchurch and PooleReablement in a bedded setting (pathway 2)</v>
      </c>
      <c r="D135" t="str">
        <f>VLOOKUP(G135,PathwayLookup!A:B,2,0)</f>
        <v>Reablement &amp; Rehabilitation in a bedded setting (pathway 2)</v>
      </c>
      <c r="E135" t="s">
        <v>85</v>
      </c>
      <c r="F135" t="s">
        <v>651</v>
      </c>
      <c r="G135" t="s">
        <v>722</v>
      </c>
      <c r="H135">
        <v>1</v>
      </c>
      <c r="I135">
        <v>1</v>
      </c>
      <c r="J135">
        <v>1</v>
      </c>
      <c r="K135">
        <v>1</v>
      </c>
      <c r="L135">
        <v>1</v>
      </c>
      <c r="M135">
        <v>1</v>
      </c>
      <c r="N135">
        <v>1</v>
      </c>
      <c r="O135">
        <v>1</v>
      </c>
      <c r="P135">
        <v>1</v>
      </c>
      <c r="Q135">
        <v>1</v>
      </c>
      <c r="R135">
        <v>1</v>
      </c>
      <c r="S135">
        <v>1</v>
      </c>
      <c r="T135">
        <f t="shared" si="8"/>
        <v>12</v>
      </c>
      <c r="U135">
        <v>1</v>
      </c>
    </row>
    <row r="136" spans="1:21" x14ac:dyDescent="0.3">
      <c r="A136" t="str">
        <f t="shared" si="6"/>
        <v>Bournemouth, Christchurch and PooleReablement &amp; Rehabilitation in a bedded setting (pathway 2)1</v>
      </c>
      <c r="B136">
        <f>IF(C136="","",COUNTIF($C$2:C136,C136))</f>
        <v>1</v>
      </c>
      <c r="C136" t="str">
        <f t="shared" si="7"/>
        <v>Bournemouth, Christchurch and PooleRehabilitation in a bedded setting (pathway 2)</v>
      </c>
      <c r="D136" t="str">
        <f>VLOOKUP(G136,PathwayLookup!A:B,2,0)</f>
        <v>Reablement &amp; Rehabilitation in a bedded setting (pathway 2)</v>
      </c>
      <c r="E136" t="s">
        <v>85</v>
      </c>
      <c r="F136" t="s">
        <v>491</v>
      </c>
      <c r="G136" t="s">
        <v>724</v>
      </c>
      <c r="H136">
        <v>4</v>
      </c>
      <c r="I136">
        <v>5</v>
      </c>
      <c r="J136">
        <v>4</v>
      </c>
      <c r="K136">
        <v>3</v>
      </c>
      <c r="L136">
        <v>3</v>
      </c>
      <c r="M136">
        <v>3</v>
      </c>
      <c r="N136">
        <v>4</v>
      </c>
      <c r="O136">
        <v>4</v>
      </c>
      <c r="P136">
        <v>5</v>
      </c>
      <c r="Q136">
        <v>6</v>
      </c>
      <c r="R136">
        <v>5</v>
      </c>
      <c r="S136">
        <v>5</v>
      </c>
      <c r="T136">
        <f t="shared" si="8"/>
        <v>51</v>
      </c>
      <c r="U136">
        <v>1</v>
      </c>
    </row>
    <row r="137" spans="1:21" x14ac:dyDescent="0.3">
      <c r="A137" t="str">
        <f t="shared" si="6"/>
        <v>Bournemouth, Christchurch and PooleReablement &amp; Rehabilitation in a bedded setting (pathway 2)2</v>
      </c>
      <c r="B137">
        <f>IF(C137="","",COUNTIF($C$2:C137,C137))</f>
        <v>2</v>
      </c>
      <c r="C137" t="str">
        <f t="shared" si="7"/>
        <v>Bournemouth, Christchurch and PooleRehabilitation in a bedded setting (pathway 2)</v>
      </c>
      <c r="D137" t="str">
        <f>VLOOKUP(G137,PathwayLookup!A:B,2,0)</f>
        <v>Reablement &amp; Rehabilitation in a bedded setting (pathway 2)</v>
      </c>
      <c r="E137" t="s">
        <v>85</v>
      </c>
      <c r="F137" t="s">
        <v>631</v>
      </c>
      <c r="G137" t="s">
        <v>724</v>
      </c>
      <c r="H137">
        <v>50</v>
      </c>
      <c r="I137">
        <v>57</v>
      </c>
      <c r="J137">
        <v>47</v>
      </c>
      <c r="K137">
        <v>38</v>
      </c>
      <c r="L137">
        <v>39</v>
      </c>
      <c r="M137">
        <v>38</v>
      </c>
      <c r="N137">
        <v>50</v>
      </c>
      <c r="O137">
        <v>50</v>
      </c>
      <c r="P137">
        <v>57</v>
      </c>
      <c r="Q137">
        <v>66</v>
      </c>
      <c r="R137">
        <v>58</v>
      </c>
      <c r="S137">
        <v>56</v>
      </c>
      <c r="T137">
        <f t="shared" si="8"/>
        <v>606</v>
      </c>
      <c r="U137">
        <v>1</v>
      </c>
    </row>
    <row r="138" spans="1:21" x14ac:dyDescent="0.3">
      <c r="A138" t="str">
        <f t="shared" si="6"/>
        <v>Bournemouth, Christchurch and PooleReablement &amp; Rehabilitation in a bedded setting (pathway 2)3</v>
      </c>
      <c r="B138">
        <f>IF(C138="","",COUNTIF($C$2:C138,C138))</f>
        <v>3</v>
      </c>
      <c r="C138" t="str">
        <f t="shared" si="7"/>
        <v>Bournemouth, Christchurch and PooleRehabilitation in a bedded setting (pathway 2)</v>
      </c>
      <c r="D138" t="str">
        <f>VLOOKUP(G138,PathwayLookup!A:B,2,0)</f>
        <v>Reablement &amp; Rehabilitation in a bedded setting (pathway 2)</v>
      </c>
      <c r="E138" t="s">
        <v>85</v>
      </c>
      <c r="F138" t="s">
        <v>651</v>
      </c>
      <c r="G138" t="s">
        <v>724</v>
      </c>
      <c r="H138">
        <v>1</v>
      </c>
      <c r="I138">
        <v>1</v>
      </c>
      <c r="J138">
        <v>1</v>
      </c>
      <c r="K138">
        <v>1</v>
      </c>
      <c r="L138">
        <v>1</v>
      </c>
      <c r="M138">
        <v>1</v>
      </c>
      <c r="N138">
        <v>1</v>
      </c>
      <c r="O138">
        <v>1</v>
      </c>
      <c r="P138">
        <v>1</v>
      </c>
      <c r="Q138">
        <v>1</v>
      </c>
      <c r="R138">
        <v>1</v>
      </c>
      <c r="S138">
        <v>1</v>
      </c>
      <c r="T138">
        <f t="shared" si="8"/>
        <v>12</v>
      </c>
      <c r="U138">
        <v>1</v>
      </c>
    </row>
    <row r="139" spans="1:21" x14ac:dyDescent="0.3">
      <c r="A139" t="str">
        <f t="shared" si="6"/>
        <v>Bournemouth, Christchurch and PooleShort-term residential/nursing care for someone likely to require a longer-term care home placement (pathway 3)1</v>
      </c>
      <c r="B139">
        <f>IF(C139="","",COUNTIF($C$2:C139,C139))</f>
        <v>1</v>
      </c>
      <c r="C139" t="str">
        <f t="shared" si="7"/>
        <v>Bournemouth, Christchurch and PooleShort-term residential/nursing care for someone likely to require a longer-term care home placement (pathway 3)</v>
      </c>
      <c r="D139" t="str">
        <f>VLOOKUP(G139,PathwayLookup!A:B,2,0)</f>
        <v>Short-term residential/nursing care for someone likely to require a longer-term care home placement (pathway 3)</v>
      </c>
      <c r="E139" t="s">
        <v>85</v>
      </c>
      <c r="F139" t="s">
        <v>491</v>
      </c>
      <c r="G139" t="s">
        <v>686</v>
      </c>
      <c r="H139">
        <v>2</v>
      </c>
      <c r="I139">
        <v>1</v>
      </c>
      <c r="J139">
        <v>1</v>
      </c>
      <c r="K139">
        <v>1</v>
      </c>
      <c r="L139">
        <v>1</v>
      </c>
      <c r="M139">
        <v>0</v>
      </c>
      <c r="N139">
        <v>1</v>
      </c>
      <c r="O139">
        <v>1</v>
      </c>
      <c r="P139">
        <v>1</v>
      </c>
      <c r="Q139">
        <v>1</v>
      </c>
      <c r="R139">
        <v>1</v>
      </c>
      <c r="S139">
        <v>1</v>
      </c>
      <c r="T139">
        <f t="shared" si="8"/>
        <v>12</v>
      </c>
      <c r="U139">
        <v>1</v>
      </c>
    </row>
    <row r="140" spans="1:21" x14ac:dyDescent="0.3">
      <c r="A140" t="str">
        <f t="shared" si="6"/>
        <v>Bournemouth, Christchurch and PooleShort-term residential/nursing care for someone likely to require a longer-term care home placement (pathway 3)2</v>
      </c>
      <c r="B140">
        <f>IF(C140="","",COUNTIF($C$2:C140,C140))</f>
        <v>2</v>
      </c>
      <c r="C140" t="str">
        <f t="shared" si="7"/>
        <v>Bournemouth, Christchurch and PooleShort-term residential/nursing care for someone likely to require a longer-term care home placement (pathway 3)</v>
      </c>
      <c r="D140" t="str">
        <f>VLOOKUP(G140,PathwayLookup!A:B,2,0)</f>
        <v>Short-term residential/nursing care for someone likely to require a longer-term care home placement (pathway 3)</v>
      </c>
      <c r="E140" t="s">
        <v>85</v>
      </c>
      <c r="F140" t="s">
        <v>631</v>
      </c>
      <c r="G140" t="s">
        <v>686</v>
      </c>
      <c r="H140">
        <v>17</v>
      </c>
      <c r="I140">
        <v>7</v>
      </c>
      <c r="J140">
        <v>11</v>
      </c>
      <c r="K140">
        <v>11</v>
      </c>
      <c r="L140">
        <v>15</v>
      </c>
      <c r="M140">
        <v>4</v>
      </c>
      <c r="N140">
        <v>9</v>
      </c>
      <c r="O140">
        <v>12</v>
      </c>
      <c r="P140">
        <v>14</v>
      </c>
      <c r="Q140">
        <v>13</v>
      </c>
      <c r="R140">
        <v>13</v>
      </c>
      <c r="S140">
        <v>14</v>
      </c>
      <c r="T140">
        <f t="shared" si="8"/>
        <v>140</v>
      </c>
      <c r="U140">
        <v>1</v>
      </c>
    </row>
    <row r="141" spans="1:21" x14ac:dyDescent="0.3">
      <c r="A141" t="str">
        <f t="shared" si="6"/>
        <v/>
      </c>
      <c r="B141" t="str">
        <f>IF(C141="","",COUNTIF($C$2:C141,C141))</f>
        <v/>
      </c>
      <c r="C141" t="str">
        <f t="shared" si="7"/>
        <v/>
      </c>
      <c r="D141" t="str">
        <f>VLOOKUP(G141,PathwayLookup!A:B,2,0)</f>
        <v>Short-term residential/nursing care for someone likely to require a longer-term care home placement (pathway 3)</v>
      </c>
      <c r="E141" t="s">
        <v>85</v>
      </c>
      <c r="F141" t="s">
        <v>651</v>
      </c>
      <c r="G141" t="s">
        <v>686</v>
      </c>
      <c r="H141">
        <v>0</v>
      </c>
      <c r="I141">
        <v>0</v>
      </c>
      <c r="J141">
        <v>0</v>
      </c>
      <c r="K141">
        <v>0</v>
      </c>
      <c r="L141">
        <v>0</v>
      </c>
      <c r="M141">
        <v>0</v>
      </c>
      <c r="N141">
        <v>0</v>
      </c>
      <c r="O141">
        <v>0</v>
      </c>
      <c r="P141">
        <v>0</v>
      </c>
      <c r="Q141">
        <v>0</v>
      </c>
      <c r="R141">
        <v>0</v>
      </c>
      <c r="S141">
        <v>0</v>
      </c>
      <c r="T141">
        <f t="shared" si="8"/>
        <v>0</v>
      </c>
      <c r="U141">
        <v>1</v>
      </c>
    </row>
    <row r="142" spans="1:21" x14ac:dyDescent="0.3">
      <c r="A142" t="str">
        <f t="shared" si="6"/>
        <v>Bracknell ForestSocial support (including VCS) (pathway 0)1</v>
      </c>
      <c r="B142">
        <f>IF(C142="","",COUNTIF($C$2:C142,C142))</f>
        <v>1</v>
      </c>
      <c r="C142" t="str">
        <f t="shared" si="7"/>
        <v>Bracknell ForestSocial support (including VCS) (pathway 0)</v>
      </c>
      <c r="D142" t="str">
        <f>VLOOKUP(G142,PathwayLookup!A:B,2,0)</f>
        <v>Social support (including VCS) (pathway 0)</v>
      </c>
      <c r="E142" t="s">
        <v>87</v>
      </c>
      <c r="F142" t="s">
        <v>502</v>
      </c>
      <c r="G142" t="s">
        <v>682</v>
      </c>
      <c r="H142">
        <v>18</v>
      </c>
      <c r="I142">
        <v>18</v>
      </c>
      <c r="J142">
        <v>17</v>
      </c>
      <c r="K142">
        <v>17</v>
      </c>
      <c r="L142">
        <v>17</v>
      </c>
      <c r="M142">
        <v>18</v>
      </c>
      <c r="N142">
        <v>19</v>
      </c>
      <c r="O142">
        <v>19</v>
      </c>
      <c r="P142">
        <v>20</v>
      </c>
      <c r="Q142">
        <v>21</v>
      </c>
      <c r="R142">
        <v>21</v>
      </c>
      <c r="S142">
        <v>20</v>
      </c>
      <c r="T142">
        <f t="shared" si="8"/>
        <v>225</v>
      </c>
      <c r="U142">
        <v>1</v>
      </c>
    </row>
    <row r="143" spans="1:21" x14ac:dyDescent="0.3">
      <c r="A143" t="str">
        <f t="shared" si="6"/>
        <v>Bracknell ForestSocial support (including VCS) (pathway 0)2</v>
      </c>
      <c r="B143">
        <f>IF(C143="","",COUNTIF($C$2:C143,C143))</f>
        <v>2</v>
      </c>
      <c r="C143" t="str">
        <f t="shared" si="7"/>
        <v>Bracknell ForestSocial support (including VCS) (pathway 0)</v>
      </c>
      <c r="D143" t="str">
        <f>VLOOKUP(G143,PathwayLookup!A:B,2,0)</f>
        <v>Social support (including VCS) (pathway 0)</v>
      </c>
      <c r="E143" t="s">
        <v>87</v>
      </c>
      <c r="F143" t="s">
        <v>575</v>
      </c>
      <c r="G143" t="s">
        <v>682</v>
      </c>
      <c r="H143">
        <v>2</v>
      </c>
      <c r="I143">
        <v>2</v>
      </c>
      <c r="J143">
        <v>2</v>
      </c>
      <c r="K143">
        <v>2</v>
      </c>
      <c r="L143">
        <v>2</v>
      </c>
      <c r="M143">
        <v>2</v>
      </c>
      <c r="N143">
        <v>3</v>
      </c>
      <c r="O143">
        <v>3</v>
      </c>
      <c r="P143">
        <v>3</v>
      </c>
      <c r="Q143">
        <v>3</v>
      </c>
      <c r="R143">
        <v>3</v>
      </c>
      <c r="S143">
        <v>3</v>
      </c>
      <c r="T143">
        <f t="shared" si="8"/>
        <v>30</v>
      </c>
      <c r="U143">
        <v>1</v>
      </c>
    </row>
    <row r="144" spans="1:21" x14ac:dyDescent="0.3">
      <c r="A144" t="str">
        <f t="shared" si="6"/>
        <v>Bracknell ForestReablement &amp; Rehabilitation at home  (pathway 1)1</v>
      </c>
      <c r="B144">
        <f>IF(C144="","",COUNTIF($C$2:C144,C144))</f>
        <v>1</v>
      </c>
      <c r="C144" t="str">
        <f t="shared" si="7"/>
        <v>Bracknell ForestReablement at home  (pathway 1)</v>
      </c>
      <c r="D144" t="str">
        <f>VLOOKUP(G144,PathwayLookup!A:B,2,0)</f>
        <v>Reablement &amp; Rehabilitation at home  (pathway 1)</v>
      </c>
      <c r="E144" t="s">
        <v>87</v>
      </c>
      <c r="F144" t="s">
        <v>502</v>
      </c>
      <c r="G144" t="s">
        <v>718</v>
      </c>
      <c r="H144">
        <v>22</v>
      </c>
      <c r="I144">
        <v>18</v>
      </c>
      <c r="J144">
        <v>26</v>
      </c>
      <c r="K144">
        <v>21</v>
      </c>
      <c r="L144">
        <v>22</v>
      </c>
      <c r="M144">
        <v>21</v>
      </c>
      <c r="N144">
        <v>23</v>
      </c>
      <c r="O144">
        <v>21</v>
      </c>
      <c r="P144">
        <v>23</v>
      </c>
      <c r="Q144">
        <v>24</v>
      </c>
      <c r="R144">
        <v>25</v>
      </c>
      <c r="S144">
        <v>27</v>
      </c>
      <c r="T144">
        <f t="shared" si="8"/>
        <v>273</v>
      </c>
      <c r="U144">
        <v>1</v>
      </c>
    </row>
    <row r="145" spans="1:21" x14ac:dyDescent="0.3">
      <c r="A145" t="str">
        <f t="shared" si="6"/>
        <v>Bracknell ForestReablement &amp; Rehabilitation at home  (pathway 1)2</v>
      </c>
      <c r="B145">
        <f>IF(C145="","",COUNTIF($C$2:C145,C145))</f>
        <v>2</v>
      </c>
      <c r="C145" t="str">
        <f t="shared" si="7"/>
        <v>Bracknell ForestReablement at home  (pathway 1)</v>
      </c>
      <c r="D145" t="str">
        <f>VLOOKUP(G145,PathwayLookup!A:B,2,0)</f>
        <v>Reablement &amp; Rehabilitation at home  (pathway 1)</v>
      </c>
      <c r="E145" t="s">
        <v>87</v>
      </c>
      <c r="F145" t="s">
        <v>575</v>
      </c>
      <c r="G145" t="s">
        <v>718</v>
      </c>
      <c r="H145">
        <v>3</v>
      </c>
      <c r="I145">
        <v>2</v>
      </c>
      <c r="J145">
        <v>4</v>
      </c>
      <c r="K145">
        <v>5</v>
      </c>
      <c r="L145">
        <v>5</v>
      </c>
      <c r="M145">
        <v>4</v>
      </c>
      <c r="N145">
        <v>5</v>
      </c>
      <c r="O145">
        <v>4</v>
      </c>
      <c r="P145">
        <v>5</v>
      </c>
      <c r="Q145">
        <v>5</v>
      </c>
      <c r="R145">
        <v>4</v>
      </c>
      <c r="S145">
        <v>5</v>
      </c>
      <c r="T145">
        <f t="shared" si="8"/>
        <v>51</v>
      </c>
      <c r="U145">
        <v>1</v>
      </c>
    </row>
    <row r="146" spans="1:21" x14ac:dyDescent="0.3">
      <c r="A146" t="str">
        <f t="shared" si="6"/>
        <v/>
      </c>
      <c r="B146" t="str">
        <f>IF(C146="","",COUNTIF($C$2:C146,C146))</f>
        <v/>
      </c>
      <c r="C146" t="str">
        <f t="shared" si="7"/>
        <v/>
      </c>
      <c r="D146" t="str">
        <f>VLOOKUP(G146,PathwayLookup!A:B,2,0)</f>
        <v>Reablement &amp; Rehabilitation at home  (pathway 1)</v>
      </c>
      <c r="E146" t="s">
        <v>87</v>
      </c>
      <c r="F146" t="s">
        <v>502</v>
      </c>
      <c r="G146" t="s">
        <v>719</v>
      </c>
      <c r="H146">
        <v>0</v>
      </c>
      <c r="I146">
        <v>0</v>
      </c>
      <c r="J146">
        <v>0</v>
      </c>
      <c r="K146">
        <v>0</v>
      </c>
      <c r="L146">
        <v>0</v>
      </c>
      <c r="M146">
        <v>0</v>
      </c>
      <c r="N146">
        <v>0</v>
      </c>
      <c r="O146">
        <v>0</v>
      </c>
      <c r="P146">
        <v>0</v>
      </c>
      <c r="Q146">
        <v>0</v>
      </c>
      <c r="R146">
        <v>0</v>
      </c>
      <c r="S146">
        <v>0</v>
      </c>
      <c r="T146">
        <f t="shared" si="8"/>
        <v>0</v>
      </c>
      <c r="U146">
        <v>1</v>
      </c>
    </row>
    <row r="147" spans="1:21" x14ac:dyDescent="0.3">
      <c r="A147" t="str">
        <f t="shared" si="6"/>
        <v/>
      </c>
      <c r="B147" t="str">
        <f>IF(C147="","",COUNTIF($C$2:C147,C147))</f>
        <v/>
      </c>
      <c r="C147" t="str">
        <f t="shared" si="7"/>
        <v/>
      </c>
      <c r="D147" t="str">
        <f>VLOOKUP(G147,PathwayLookup!A:B,2,0)</f>
        <v>Reablement &amp; Rehabilitation at home  (pathway 1)</v>
      </c>
      <c r="E147" t="s">
        <v>87</v>
      </c>
      <c r="F147" t="s">
        <v>575</v>
      </c>
      <c r="G147" t="s">
        <v>719</v>
      </c>
      <c r="H147">
        <v>0</v>
      </c>
      <c r="I147">
        <v>0</v>
      </c>
      <c r="J147">
        <v>0</v>
      </c>
      <c r="K147">
        <v>0</v>
      </c>
      <c r="L147">
        <v>0</v>
      </c>
      <c r="M147">
        <v>0</v>
      </c>
      <c r="N147">
        <v>0</v>
      </c>
      <c r="O147">
        <v>0</v>
      </c>
      <c r="P147">
        <v>0</v>
      </c>
      <c r="Q147">
        <v>0</v>
      </c>
      <c r="R147">
        <v>0</v>
      </c>
      <c r="S147">
        <v>0</v>
      </c>
      <c r="T147">
        <f t="shared" si="8"/>
        <v>0</v>
      </c>
      <c r="U147">
        <v>1</v>
      </c>
    </row>
    <row r="148" spans="1:21" x14ac:dyDescent="0.3">
      <c r="A148" t="str">
        <f t="shared" si="6"/>
        <v>Bracknell ForestShort term domiciliary care (pathway 1)1</v>
      </c>
      <c r="B148">
        <f>IF(C148="","",COUNTIF($C$2:C148,C148))</f>
        <v>1</v>
      </c>
      <c r="C148" t="str">
        <f t="shared" si="7"/>
        <v>Bracknell ForestShort term domiciliary care (pathway 1)</v>
      </c>
      <c r="D148" t="str">
        <f>VLOOKUP(G148,PathwayLookup!A:B,2,0)</f>
        <v>Short term domiciliary care (pathway 1)</v>
      </c>
      <c r="E148" t="s">
        <v>87</v>
      </c>
      <c r="F148" t="s">
        <v>502</v>
      </c>
      <c r="G148" t="s">
        <v>684</v>
      </c>
      <c r="H148">
        <v>990</v>
      </c>
      <c r="I148">
        <v>990</v>
      </c>
      <c r="J148">
        <v>990</v>
      </c>
      <c r="K148">
        <v>990</v>
      </c>
      <c r="L148">
        <v>990</v>
      </c>
      <c r="M148">
        <v>990</v>
      </c>
      <c r="N148">
        <v>1170</v>
      </c>
      <c r="O148">
        <v>1170</v>
      </c>
      <c r="P148">
        <v>1170</v>
      </c>
      <c r="Q148">
        <v>1170</v>
      </c>
      <c r="R148">
        <v>1170</v>
      </c>
      <c r="S148">
        <v>1170</v>
      </c>
      <c r="T148">
        <f t="shared" si="8"/>
        <v>12960</v>
      </c>
      <c r="U148">
        <v>1</v>
      </c>
    </row>
    <row r="149" spans="1:21" x14ac:dyDescent="0.3">
      <c r="A149" t="str">
        <f t="shared" si="6"/>
        <v>Bracknell ForestShort term domiciliary care (pathway 1)2</v>
      </c>
      <c r="B149">
        <f>IF(C149="","",COUNTIF($C$2:C149,C149))</f>
        <v>2</v>
      </c>
      <c r="C149" t="str">
        <f t="shared" si="7"/>
        <v>Bracknell ForestShort term domiciliary care (pathway 1)</v>
      </c>
      <c r="D149" t="str">
        <f>VLOOKUP(G149,PathwayLookup!A:B,2,0)</f>
        <v>Short term domiciliary care (pathway 1)</v>
      </c>
      <c r="E149" t="s">
        <v>87</v>
      </c>
      <c r="F149" t="s">
        <v>575</v>
      </c>
      <c r="G149" t="s">
        <v>684</v>
      </c>
      <c r="H149">
        <v>110</v>
      </c>
      <c r="I149">
        <v>110</v>
      </c>
      <c r="J149">
        <v>110</v>
      </c>
      <c r="K149">
        <v>110</v>
      </c>
      <c r="L149">
        <v>110</v>
      </c>
      <c r="M149">
        <v>110</v>
      </c>
      <c r="N149">
        <v>130</v>
      </c>
      <c r="O149">
        <v>130</v>
      </c>
      <c r="P149">
        <v>130</v>
      </c>
      <c r="Q149">
        <v>130</v>
      </c>
      <c r="R149">
        <v>130</v>
      </c>
      <c r="S149">
        <v>130</v>
      </c>
      <c r="T149">
        <f t="shared" si="8"/>
        <v>1440</v>
      </c>
      <c r="U149">
        <v>1</v>
      </c>
    </row>
    <row r="150" spans="1:21" x14ac:dyDescent="0.3">
      <c r="A150" t="str">
        <f t="shared" si="6"/>
        <v>Bracknell ForestReablement &amp; Rehabilitation in a bedded setting (pathway 2)1</v>
      </c>
      <c r="B150">
        <f>IF(C150="","",COUNTIF($C$2:C150,C150))</f>
        <v>1</v>
      </c>
      <c r="C150" t="str">
        <f t="shared" si="7"/>
        <v>Bracknell ForestReablement in a bedded setting (pathway 2)</v>
      </c>
      <c r="D150" t="str">
        <f>VLOOKUP(G150,PathwayLookup!A:B,2,0)</f>
        <v>Reablement &amp; Rehabilitation in a bedded setting (pathway 2)</v>
      </c>
      <c r="E150" t="s">
        <v>87</v>
      </c>
      <c r="F150" t="s">
        <v>502</v>
      </c>
      <c r="G150" t="s">
        <v>722</v>
      </c>
      <c r="H150">
        <v>33</v>
      </c>
      <c r="I150">
        <v>40</v>
      </c>
      <c r="J150">
        <v>36</v>
      </c>
      <c r="K150">
        <v>53</v>
      </c>
      <c r="L150">
        <v>48</v>
      </c>
      <c r="M150">
        <v>52</v>
      </c>
      <c r="N150">
        <v>42</v>
      </c>
      <c r="O150">
        <v>39</v>
      </c>
      <c r="P150">
        <v>37</v>
      </c>
      <c r="Q150">
        <v>37</v>
      </c>
      <c r="R150">
        <v>34</v>
      </c>
      <c r="S150">
        <v>42</v>
      </c>
      <c r="T150">
        <f t="shared" si="8"/>
        <v>493</v>
      </c>
      <c r="U150">
        <v>1</v>
      </c>
    </row>
    <row r="151" spans="1:21" x14ac:dyDescent="0.3">
      <c r="A151" t="str">
        <f t="shared" si="6"/>
        <v>Bracknell ForestReablement &amp; Rehabilitation in a bedded setting (pathway 2)2</v>
      </c>
      <c r="B151">
        <f>IF(C151="","",COUNTIF($C$2:C151,C151))</f>
        <v>2</v>
      </c>
      <c r="C151" t="str">
        <f t="shared" si="7"/>
        <v>Bracknell ForestReablement in a bedded setting (pathway 2)</v>
      </c>
      <c r="D151" t="str">
        <f>VLOOKUP(G151,PathwayLookup!A:B,2,0)</f>
        <v>Reablement &amp; Rehabilitation in a bedded setting (pathway 2)</v>
      </c>
      <c r="E151" t="s">
        <v>87</v>
      </c>
      <c r="F151" t="s">
        <v>575</v>
      </c>
      <c r="G151" t="s">
        <v>722</v>
      </c>
      <c r="H151">
        <v>7</v>
      </c>
      <c r="I151">
        <v>7</v>
      </c>
      <c r="J151">
        <v>6</v>
      </c>
      <c r="K151">
        <v>7</v>
      </c>
      <c r="L151">
        <v>7</v>
      </c>
      <c r="M151">
        <v>7</v>
      </c>
      <c r="N151">
        <v>7</v>
      </c>
      <c r="O151">
        <v>7</v>
      </c>
      <c r="P151">
        <v>6</v>
      </c>
      <c r="Q151">
        <v>7</v>
      </c>
      <c r="R151">
        <v>5</v>
      </c>
      <c r="S151">
        <v>7</v>
      </c>
      <c r="T151">
        <f t="shared" si="8"/>
        <v>80</v>
      </c>
      <c r="U151">
        <v>1</v>
      </c>
    </row>
    <row r="152" spans="1:21" x14ac:dyDescent="0.3">
      <c r="A152" t="str">
        <f t="shared" si="6"/>
        <v/>
      </c>
      <c r="B152" t="str">
        <f>IF(C152="","",COUNTIF($C$2:C152,C152))</f>
        <v/>
      </c>
      <c r="C152" t="str">
        <f t="shared" si="7"/>
        <v/>
      </c>
      <c r="D152" t="str">
        <f>VLOOKUP(G152,PathwayLookup!A:B,2,0)</f>
        <v>Reablement &amp; Rehabilitation in a bedded setting (pathway 2)</v>
      </c>
      <c r="E152" t="s">
        <v>87</v>
      </c>
      <c r="F152" t="s">
        <v>502</v>
      </c>
      <c r="G152" t="s">
        <v>724</v>
      </c>
      <c r="H152">
        <v>0</v>
      </c>
      <c r="I152">
        <v>0</v>
      </c>
      <c r="J152">
        <v>0</v>
      </c>
      <c r="K152">
        <v>0</v>
      </c>
      <c r="L152">
        <v>0</v>
      </c>
      <c r="M152">
        <v>0</v>
      </c>
      <c r="N152">
        <v>0</v>
      </c>
      <c r="O152">
        <v>0</v>
      </c>
      <c r="P152">
        <v>0</v>
      </c>
      <c r="Q152">
        <v>0</v>
      </c>
      <c r="R152">
        <v>0</v>
      </c>
      <c r="S152">
        <v>0</v>
      </c>
      <c r="T152">
        <f t="shared" si="8"/>
        <v>0</v>
      </c>
      <c r="U152">
        <v>1</v>
      </c>
    </row>
    <row r="153" spans="1:21" x14ac:dyDescent="0.3">
      <c r="A153" t="str">
        <f t="shared" si="6"/>
        <v/>
      </c>
      <c r="B153" t="str">
        <f>IF(C153="","",COUNTIF($C$2:C153,C153))</f>
        <v/>
      </c>
      <c r="C153" t="str">
        <f t="shared" si="7"/>
        <v/>
      </c>
      <c r="D153" t="str">
        <f>VLOOKUP(G153,PathwayLookup!A:B,2,0)</f>
        <v>Reablement &amp; Rehabilitation in a bedded setting (pathway 2)</v>
      </c>
      <c r="E153" t="s">
        <v>87</v>
      </c>
      <c r="F153" t="s">
        <v>575</v>
      </c>
      <c r="G153" t="s">
        <v>724</v>
      </c>
      <c r="H153">
        <v>0</v>
      </c>
      <c r="I153">
        <v>0</v>
      </c>
      <c r="J153">
        <v>0</v>
      </c>
      <c r="K153">
        <v>0</v>
      </c>
      <c r="L153">
        <v>0</v>
      </c>
      <c r="M153">
        <v>0</v>
      </c>
      <c r="N153">
        <v>0</v>
      </c>
      <c r="O153">
        <v>0</v>
      </c>
      <c r="P153">
        <v>0</v>
      </c>
      <c r="Q153">
        <v>0</v>
      </c>
      <c r="R153">
        <v>0</v>
      </c>
      <c r="S153">
        <v>0</v>
      </c>
      <c r="T153">
        <f t="shared" si="8"/>
        <v>0</v>
      </c>
      <c r="U153">
        <v>1</v>
      </c>
    </row>
    <row r="154" spans="1:21" x14ac:dyDescent="0.3">
      <c r="A154" t="str">
        <f t="shared" si="6"/>
        <v>Bracknell ForestShort-term residential/nursing care for someone likely to require a longer-term care home placement (pathway 3)1</v>
      </c>
      <c r="B154">
        <f>IF(C154="","",COUNTIF($C$2:C154,C154))</f>
        <v>1</v>
      </c>
      <c r="C154" t="str">
        <f t="shared" si="7"/>
        <v>Bracknell ForestShort-term residential/nursing care for someone likely to require a longer-term care home placement (pathway 3)</v>
      </c>
      <c r="D154" t="str">
        <f>VLOOKUP(G154,PathwayLookup!A:B,2,0)</f>
        <v>Short-term residential/nursing care for someone likely to require a longer-term care home placement (pathway 3)</v>
      </c>
      <c r="E154" t="s">
        <v>87</v>
      </c>
      <c r="F154" t="s">
        <v>502</v>
      </c>
      <c r="G154" t="s">
        <v>686</v>
      </c>
      <c r="H154">
        <v>7</v>
      </c>
      <c r="I154">
        <v>8</v>
      </c>
      <c r="J154">
        <v>7</v>
      </c>
      <c r="K154">
        <v>7</v>
      </c>
      <c r="L154">
        <v>7</v>
      </c>
      <c r="M154">
        <v>7</v>
      </c>
      <c r="N154">
        <v>8</v>
      </c>
      <c r="O154">
        <v>5</v>
      </c>
      <c r="P154">
        <v>8</v>
      </c>
      <c r="Q154">
        <v>8</v>
      </c>
      <c r="R154">
        <v>6</v>
      </c>
      <c r="S154">
        <v>4</v>
      </c>
      <c r="T154">
        <f t="shared" si="8"/>
        <v>82</v>
      </c>
      <c r="U154">
        <v>1</v>
      </c>
    </row>
    <row r="155" spans="1:21" x14ac:dyDescent="0.3">
      <c r="A155" t="str">
        <f t="shared" si="6"/>
        <v>Bracknell ForestShort-term residential/nursing care for someone likely to require a longer-term care home placement (pathway 3)2</v>
      </c>
      <c r="B155">
        <f>IF(C155="","",COUNTIF($C$2:C155,C155))</f>
        <v>2</v>
      </c>
      <c r="C155" t="str">
        <f t="shared" si="7"/>
        <v>Bracknell ForestShort-term residential/nursing care for someone likely to require a longer-term care home placement (pathway 3)</v>
      </c>
      <c r="D155" t="str">
        <f>VLOOKUP(G155,PathwayLookup!A:B,2,0)</f>
        <v>Short-term residential/nursing care for someone likely to require a longer-term care home placement (pathway 3)</v>
      </c>
      <c r="E155" t="s">
        <v>87</v>
      </c>
      <c r="F155" t="s">
        <v>575</v>
      </c>
      <c r="G155" t="s">
        <v>686</v>
      </c>
      <c r="H155">
        <v>1</v>
      </c>
      <c r="I155">
        <v>1</v>
      </c>
      <c r="J155">
        <v>1</v>
      </c>
      <c r="K155">
        <v>2</v>
      </c>
      <c r="L155">
        <v>2</v>
      </c>
      <c r="M155">
        <v>2</v>
      </c>
      <c r="N155">
        <v>2</v>
      </c>
      <c r="O155">
        <v>1</v>
      </c>
      <c r="P155">
        <v>1</v>
      </c>
      <c r="Q155">
        <v>2</v>
      </c>
      <c r="R155">
        <v>1</v>
      </c>
      <c r="S155">
        <v>1</v>
      </c>
      <c r="T155">
        <f t="shared" si="8"/>
        <v>17</v>
      </c>
      <c r="U155">
        <v>1</v>
      </c>
    </row>
    <row r="156" spans="1:21" x14ac:dyDescent="0.3">
      <c r="A156" t="str">
        <f t="shared" si="6"/>
        <v>BradfordSocial support (including VCS) (pathway 0)1</v>
      </c>
      <c r="B156">
        <f>IF(C156="","",COUNTIF($C$2:C156,C156))</f>
        <v>1</v>
      </c>
      <c r="C156" t="str">
        <f t="shared" si="7"/>
        <v>BradfordSocial support (including VCS) (pathway 0)</v>
      </c>
      <c r="D156" t="str">
        <f>VLOOKUP(G156,PathwayLookup!A:B,2,0)</f>
        <v>Social support (including VCS) (pathway 0)</v>
      </c>
      <c r="E156" t="s">
        <v>89</v>
      </c>
      <c r="F156" t="s">
        <v>449</v>
      </c>
      <c r="G156" t="s">
        <v>682</v>
      </c>
      <c r="H156">
        <v>114</v>
      </c>
      <c r="I156">
        <v>114</v>
      </c>
      <c r="J156">
        <v>114</v>
      </c>
      <c r="K156">
        <v>114</v>
      </c>
      <c r="L156">
        <v>114</v>
      </c>
      <c r="M156">
        <v>114</v>
      </c>
      <c r="N156">
        <v>114</v>
      </c>
      <c r="O156">
        <v>114</v>
      </c>
      <c r="P156">
        <v>114</v>
      </c>
      <c r="Q156">
        <v>114</v>
      </c>
      <c r="R156">
        <v>114</v>
      </c>
      <c r="S156">
        <v>114</v>
      </c>
      <c r="T156">
        <f t="shared" si="8"/>
        <v>1368</v>
      </c>
      <c r="U156">
        <v>1</v>
      </c>
    </row>
    <row r="157" spans="1:21" x14ac:dyDescent="0.3">
      <c r="A157" t="str">
        <f t="shared" si="6"/>
        <v>BradfordSocial support (including VCS) (pathway 0)2</v>
      </c>
      <c r="B157">
        <f>IF(C157="","",COUNTIF($C$2:C157,C157))</f>
        <v>2</v>
      </c>
      <c r="C157" t="str">
        <f t="shared" si="7"/>
        <v>BradfordSocial support (including VCS) (pathway 0)</v>
      </c>
      <c r="D157" t="str">
        <f>VLOOKUP(G157,PathwayLookup!A:B,2,0)</f>
        <v>Social support (including VCS) (pathway 0)</v>
      </c>
      <c r="E157" t="s">
        <v>89</v>
      </c>
      <c r="F157" t="s">
        <v>466</v>
      </c>
      <c r="G157" t="s">
        <v>682</v>
      </c>
      <c r="H157">
        <v>116</v>
      </c>
      <c r="I157">
        <v>116</v>
      </c>
      <c r="J157">
        <v>116</v>
      </c>
      <c r="K157">
        <v>116</v>
      </c>
      <c r="L157">
        <v>116</v>
      </c>
      <c r="M157">
        <v>116</v>
      </c>
      <c r="N157">
        <v>116</v>
      </c>
      <c r="O157">
        <v>116</v>
      </c>
      <c r="P157">
        <v>116</v>
      </c>
      <c r="Q157">
        <v>116</v>
      </c>
      <c r="R157">
        <v>116</v>
      </c>
      <c r="S157">
        <v>116</v>
      </c>
      <c r="T157">
        <f t="shared" si="8"/>
        <v>1392</v>
      </c>
      <c r="U157">
        <v>1</v>
      </c>
    </row>
    <row r="158" spans="1:21" x14ac:dyDescent="0.3">
      <c r="A158" t="str">
        <f t="shared" si="6"/>
        <v>BradfordReablement &amp; Rehabilitation at home  (pathway 1)1</v>
      </c>
      <c r="B158">
        <f>IF(C158="","",COUNTIF($C$2:C158,C158))</f>
        <v>1</v>
      </c>
      <c r="C158" t="str">
        <f t="shared" si="7"/>
        <v>BradfordReablement at home  (pathway 1)</v>
      </c>
      <c r="D158" t="str">
        <f>VLOOKUP(G158,PathwayLookup!A:B,2,0)</f>
        <v>Reablement &amp; Rehabilitation at home  (pathway 1)</v>
      </c>
      <c r="E158" t="s">
        <v>89</v>
      </c>
      <c r="F158" t="s">
        <v>449</v>
      </c>
      <c r="G158" t="s">
        <v>718</v>
      </c>
      <c r="H158">
        <v>29</v>
      </c>
      <c r="I158">
        <v>29</v>
      </c>
      <c r="J158">
        <v>29</v>
      </c>
      <c r="K158">
        <v>29</v>
      </c>
      <c r="L158">
        <v>29</v>
      </c>
      <c r="M158">
        <v>29</v>
      </c>
      <c r="N158">
        <v>29</v>
      </c>
      <c r="O158">
        <v>29</v>
      </c>
      <c r="P158">
        <v>29</v>
      </c>
      <c r="Q158">
        <v>29</v>
      </c>
      <c r="R158">
        <v>29</v>
      </c>
      <c r="S158">
        <v>29</v>
      </c>
      <c r="T158">
        <f t="shared" si="8"/>
        <v>348</v>
      </c>
      <c r="U158">
        <v>1</v>
      </c>
    </row>
    <row r="159" spans="1:21" x14ac:dyDescent="0.3">
      <c r="A159" t="str">
        <f t="shared" si="6"/>
        <v>BradfordReablement &amp; Rehabilitation at home  (pathway 1)2</v>
      </c>
      <c r="B159">
        <f>IF(C159="","",COUNTIF($C$2:C159,C159))</f>
        <v>2</v>
      </c>
      <c r="C159" t="str">
        <f t="shared" si="7"/>
        <v>BradfordReablement at home  (pathway 1)</v>
      </c>
      <c r="D159" t="str">
        <f>VLOOKUP(G159,PathwayLookup!A:B,2,0)</f>
        <v>Reablement &amp; Rehabilitation at home  (pathway 1)</v>
      </c>
      <c r="E159" t="s">
        <v>89</v>
      </c>
      <c r="F159" t="s">
        <v>466</v>
      </c>
      <c r="G159" t="s">
        <v>718</v>
      </c>
      <c r="H159">
        <v>86</v>
      </c>
      <c r="I159">
        <v>86</v>
      </c>
      <c r="J159">
        <v>86</v>
      </c>
      <c r="K159">
        <v>86</v>
      </c>
      <c r="L159">
        <v>86</v>
      </c>
      <c r="M159">
        <v>86</v>
      </c>
      <c r="N159">
        <v>86</v>
      </c>
      <c r="O159">
        <v>86</v>
      </c>
      <c r="P159">
        <v>86</v>
      </c>
      <c r="Q159">
        <v>86</v>
      </c>
      <c r="R159">
        <v>86</v>
      </c>
      <c r="S159">
        <v>86</v>
      </c>
      <c r="T159">
        <f t="shared" si="8"/>
        <v>1032</v>
      </c>
      <c r="U159">
        <v>1</v>
      </c>
    </row>
    <row r="160" spans="1:21" x14ac:dyDescent="0.3">
      <c r="A160" t="str">
        <f t="shared" si="6"/>
        <v>BradfordReablement &amp; Rehabilitation in a bedded setting (pathway 2)1</v>
      </c>
      <c r="B160">
        <f>IF(C160="","",COUNTIF($C$2:C160,C160))</f>
        <v>1</v>
      </c>
      <c r="C160" t="str">
        <f t="shared" si="7"/>
        <v>BradfordReablement in a bedded setting (pathway 2)</v>
      </c>
      <c r="D160" t="str">
        <f>VLOOKUP(G160,PathwayLookup!A:B,2,0)</f>
        <v>Reablement &amp; Rehabilitation in a bedded setting (pathway 2)</v>
      </c>
      <c r="E160" t="s">
        <v>89</v>
      </c>
      <c r="F160" t="s">
        <v>449</v>
      </c>
      <c r="G160" t="s">
        <v>722</v>
      </c>
      <c r="H160">
        <v>7</v>
      </c>
      <c r="I160">
        <v>7</v>
      </c>
      <c r="J160">
        <v>7</v>
      </c>
      <c r="K160">
        <v>7</v>
      </c>
      <c r="L160">
        <v>7</v>
      </c>
      <c r="M160">
        <v>7</v>
      </c>
      <c r="N160">
        <v>7</v>
      </c>
      <c r="O160">
        <v>7</v>
      </c>
      <c r="P160">
        <v>7</v>
      </c>
      <c r="Q160">
        <v>7</v>
      </c>
      <c r="R160">
        <v>7</v>
      </c>
      <c r="S160">
        <v>7</v>
      </c>
      <c r="T160">
        <f t="shared" si="8"/>
        <v>84</v>
      </c>
      <c r="U160">
        <v>1</v>
      </c>
    </row>
    <row r="161" spans="1:21" x14ac:dyDescent="0.3">
      <c r="A161" t="str">
        <f t="shared" si="6"/>
        <v>BradfordReablement &amp; Rehabilitation in a bedded setting (pathway 2)2</v>
      </c>
      <c r="B161">
        <f>IF(C161="","",COUNTIF($C$2:C161,C161))</f>
        <v>2</v>
      </c>
      <c r="C161" t="str">
        <f t="shared" si="7"/>
        <v>BradfordReablement in a bedded setting (pathway 2)</v>
      </c>
      <c r="D161" t="str">
        <f>VLOOKUP(G161,PathwayLookup!A:B,2,0)</f>
        <v>Reablement &amp; Rehabilitation in a bedded setting (pathway 2)</v>
      </c>
      <c r="E161" t="s">
        <v>89</v>
      </c>
      <c r="F161" t="s">
        <v>466</v>
      </c>
      <c r="G161" t="s">
        <v>722</v>
      </c>
      <c r="H161">
        <v>21</v>
      </c>
      <c r="I161">
        <v>21</v>
      </c>
      <c r="J161">
        <v>21</v>
      </c>
      <c r="K161">
        <v>21</v>
      </c>
      <c r="L161">
        <v>21</v>
      </c>
      <c r="M161">
        <v>21</v>
      </c>
      <c r="N161">
        <v>21</v>
      </c>
      <c r="O161">
        <v>21</v>
      </c>
      <c r="P161">
        <v>21</v>
      </c>
      <c r="Q161">
        <v>21</v>
      </c>
      <c r="R161">
        <v>21</v>
      </c>
      <c r="S161">
        <v>21</v>
      </c>
      <c r="T161">
        <f t="shared" si="8"/>
        <v>252</v>
      </c>
      <c r="U161">
        <v>1</v>
      </c>
    </row>
    <row r="162" spans="1:21" x14ac:dyDescent="0.3">
      <c r="A162" t="str">
        <f t="shared" si="6"/>
        <v>BradfordReablement &amp; Rehabilitation in a bedded setting (pathway 2)1</v>
      </c>
      <c r="B162">
        <f>IF(C162="","",COUNTIF($C$2:C162,C162))</f>
        <v>1</v>
      </c>
      <c r="C162" t="str">
        <f t="shared" si="7"/>
        <v>BradfordRehabilitation in a bedded setting (pathway 2)</v>
      </c>
      <c r="D162" t="str">
        <f>VLOOKUP(G162,PathwayLookup!A:B,2,0)</f>
        <v>Reablement &amp; Rehabilitation in a bedded setting (pathway 2)</v>
      </c>
      <c r="E162" t="s">
        <v>89</v>
      </c>
      <c r="F162" t="s">
        <v>449</v>
      </c>
      <c r="G162" t="s">
        <v>724</v>
      </c>
      <c r="H162">
        <v>5</v>
      </c>
      <c r="I162">
        <v>5</v>
      </c>
      <c r="J162">
        <v>5</v>
      </c>
      <c r="K162">
        <v>5</v>
      </c>
      <c r="L162">
        <v>5</v>
      </c>
      <c r="M162">
        <v>5</v>
      </c>
      <c r="N162">
        <v>5</v>
      </c>
      <c r="O162">
        <v>5</v>
      </c>
      <c r="P162">
        <v>5</v>
      </c>
      <c r="Q162">
        <v>5</v>
      </c>
      <c r="R162">
        <v>5</v>
      </c>
      <c r="S162">
        <v>5</v>
      </c>
      <c r="T162">
        <f t="shared" si="8"/>
        <v>60</v>
      </c>
      <c r="U162">
        <v>1</v>
      </c>
    </row>
    <row r="163" spans="1:21" x14ac:dyDescent="0.3">
      <c r="A163" t="str">
        <f t="shared" si="6"/>
        <v>BradfordReablement &amp; Rehabilitation in a bedded setting (pathway 2)2</v>
      </c>
      <c r="B163">
        <f>IF(C163="","",COUNTIF($C$2:C163,C163))</f>
        <v>2</v>
      </c>
      <c r="C163" t="str">
        <f t="shared" si="7"/>
        <v>BradfordRehabilitation in a bedded setting (pathway 2)</v>
      </c>
      <c r="D163" t="str">
        <f>VLOOKUP(G163,PathwayLookup!A:B,2,0)</f>
        <v>Reablement &amp; Rehabilitation in a bedded setting (pathway 2)</v>
      </c>
      <c r="E163" t="s">
        <v>89</v>
      </c>
      <c r="F163" t="s">
        <v>466</v>
      </c>
      <c r="G163" t="s">
        <v>724</v>
      </c>
      <c r="H163">
        <v>14</v>
      </c>
      <c r="I163">
        <v>14</v>
      </c>
      <c r="J163">
        <v>14</v>
      </c>
      <c r="K163">
        <v>14</v>
      </c>
      <c r="L163">
        <v>14</v>
      </c>
      <c r="M163">
        <v>14</v>
      </c>
      <c r="N163">
        <v>14</v>
      </c>
      <c r="O163">
        <v>14</v>
      </c>
      <c r="P163">
        <v>14</v>
      </c>
      <c r="Q163">
        <v>14</v>
      </c>
      <c r="R163">
        <v>14</v>
      </c>
      <c r="S163">
        <v>14</v>
      </c>
      <c r="T163">
        <f t="shared" si="8"/>
        <v>168</v>
      </c>
      <c r="U163">
        <v>1</v>
      </c>
    </row>
    <row r="164" spans="1:21" x14ac:dyDescent="0.3">
      <c r="A164" t="str">
        <f t="shared" si="6"/>
        <v>BradfordShort-term residential/nursing care for someone likely to require a longer-term care home placement (pathway 3)1</v>
      </c>
      <c r="B164">
        <f>IF(C164="","",COUNTIF($C$2:C164,C164))</f>
        <v>1</v>
      </c>
      <c r="C164" t="str">
        <f t="shared" si="7"/>
        <v>BradfordShort-term residential/nursing care for someone likely to require a longer-term care home placement (pathway 3)</v>
      </c>
      <c r="D164" t="str">
        <f>VLOOKUP(G164,PathwayLookup!A:B,2,0)</f>
        <v>Short-term residential/nursing care for someone likely to require a longer-term care home placement (pathway 3)</v>
      </c>
      <c r="E164" t="s">
        <v>89</v>
      </c>
      <c r="F164" t="s">
        <v>449</v>
      </c>
      <c r="G164" t="s">
        <v>686</v>
      </c>
      <c r="H164">
        <v>11</v>
      </c>
      <c r="I164">
        <v>11</v>
      </c>
      <c r="J164">
        <v>11</v>
      </c>
      <c r="K164">
        <v>11</v>
      </c>
      <c r="L164">
        <v>11</v>
      </c>
      <c r="M164">
        <v>11</v>
      </c>
      <c r="N164">
        <v>11</v>
      </c>
      <c r="O164">
        <v>11</v>
      </c>
      <c r="P164">
        <v>11</v>
      </c>
      <c r="Q164">
        <v>11</v>
      </c>
      <c r="R164">
        <v>11</v>
      </c>
      <c r="S164">
        <v>11</v>
      </c>
      <c r="T164">
        <f t="shared" si="8"/>
        <v>132</v>
      </c>
      <c r="U164">
        <v>1</v>
      </c>
    </row>
    <row r="165" spans="1:21" x14ac:dyDescent="0.3">
      <c r="A165" t="str">
        <f t="shared" si="6"/>
        <v>BradfordShort-term residential/nursing care for someone likely to require a longer-term care home placement (pathway 3)2</v>
      </c>
      <c r="B165">
        <f>IF(C165="","",COUNTIF($C$2:C165,C165))</f>
        <v>2</v>
      </c>
      <c r="C165" t="str">
        <f t="shared" si="7"/>
        <v>BradfordShort-term residential/nursing care for someone likely to require a longer-term care home placement (pathway 3)</v>
      </c>
      <c r="D165" t="str">
        <f>VLOOKUP(G165,PathwayLookup!A:B,2,0)</f>
        <v>Short-term residential/nursing care for someone likely to require a longer-term care home placement (pathway 3)</v>
      </c>
      <c r="E165" t="s">
        <v>89</v>
      </c>
      <c r="F165" t="s">
        <v>466</v>
      </c>
      <c r="G165" t="s">
        <v>686</v>
      </c>
      <c r="H165">
        <v>32</v>
      </c>
      <c r="I165">
        <v>32</v>
      </c>
      <c r="J165">
        <v>32</v>
      </c>
      <c r="K165">
        <v>32</v>
      </c>
      <c r="L165">
        <v>32</v>
      </c>
      <c r="M165">
        <v>32</v>
      </c>
      <c r="N165">
        <v>32</v>
      </c>
      <c r="O165">
        <v>32</v>
      </c>
      <c r="P165">
        <v>32</v>
      </c>
      <c r="Q165">
        <v>32</v>
      </c>
      <c r="R165">
        <v>32</v>
      </c>
      <c r="S165">
        <v>32</v>
      </c>
      <c r="T165">
        <f t="shared" si="8"/>
        <v>384</v>
      </c>
      <c r="U165">
        <v>1</v>
      </c>
    </row>
    <row r="166" spans="1:21" x14ac:dyDescent="0.3">
      <c r="A166" t="str">
        <f t="shared" si="6"/>
        <v>BrentSocial support (including VCS) (pathway 0)1</v>
      </c>
      <c r="B166">
        <f>IF(C166="","",COUNTIF($C$2:C166,C166))</f>
        <v>1</v>
      </c>
      <c r="C166" t="str">
        <f t="shared" si="7"/>
        <v>BrentSocial support (including VCS) (pathway 0)</v>
      </c>
      <c r="D166" t="str">
        <f>VLOOKUP(G166,PathwayLookup!A:B,2,0)</f>
        <v>Social support (including VCS) (pathway 0)</v>
      </c>
      <c r="E166" t="s">
        <v>91</v>
      </c>
      <c r="F166" t="s">
        <v>476</v>
      </c>
      <c r="G166" t="s">
        <v>682</v>
      </c>
      <c r="H166">
        <v>44</v>
      </c>
      <c r="I166">
        <v>58</v>
      </c>
      <c r="J166">
        <v>44</v>
      </c>
      <c r="K166">
        <v>56</v>
      </c>
      <c r="L166">
        <v>74</v>
      </c>
      <c r="M166">
        <v>52</v>
      </c>
      <c r="N166">
        <v>64</v>
      </c>
      <c r="O166">
        <v>57</v>
      </c>
      <c r="P166">
        <v>53</v>
      </c>
      <c r="Q166">
        <v>66</v>
      </c>
      <c r="R166">
        <v>59</v>
      </c>
      <c r="S166">
        <v>57</v>
      </c>
      <c r="T166">
        <f t="shared" si="8"/>
        <v>684</v>
      </c>
      <c r="U166">
        <v>1</v>
      </c>
    </row>
    <row r="167" spans="1:21" x14ac:dyDescent="0.3">
      <c r="A167" t="str">
        <f t="shared" si="6"/>
        <v>BrentSocial support (including VCS) (pathway 0)2</v>
      </c>
      <c r="B167">
        <f>IF(C167="","",COUNTIF($C$2:C167,C167))</f>
        <v>2</v>
      </c>
      <c r="C167" t="str">
        <f t="shared" si="7"/>
        <v>BrentSocial support (including VCS) (pathway 0)</v>
      </c>
      <c r="D167" t="str">
        <f>VLOOKUP(G167,PathwayLookup!A:B,2,0)</f>
        <v>Social support (including VCS) (pathway 0)</v>
      </c>
      <c r="E167" t="s">
        <v>91</v>
      </c>
      <c r="F167" t="s">
        <v>520</v>
      </c>
      <c r="G167" t="s">
        <v>682</v>
      </c>
      <c r="H167">
        <v>735</v>
      </c>
      <c r="I167">
        <v>794</v>
      </c>
      <c r="J167">
        <v>754</v>
      </c>
      <c r="K167">
        <v>805</v>
      </c>
      <c r="L167">
        <v>754</v>
      </c>
      <c r="M167">
        <v>720</v>
      </c>
      <c r="N167">
        <v>816</v>
      </c>
      <c r="O167">
        <v>776</v>
      </c>
      <c r="P167">
        <v>754</v>
      </c>
      <c r="Q167">
        <v>787</v>
      </c>
      <c r="R167">
        <v>749</v>
      </c>
      <c r="S167">
        <v>828</v>
      </c>
      <c r="T167">
        <f t="shared" si="8"/>
        <v>9272</v>
      </c>
      <c r="U167">
        <v>1</v>
      </c>
    </row>
    <row r="168" spans="1:21" x14ac:dyDescent="0.3">
      <c r="A168" t="str">
        <f t="shared" si="6"/>
        <v>BrentSocial support (including VCS) (pathway 0)3</v>
      </c>
      <c r="B168">
        <f>IF(C168="","",COUNTIF($C$2:C168,C168))</f>
        <v>3</v>
      </c>
      <c r="C168" t="str">
        <f t="shared" si="7"/>
        <v>BrentSocial support (including VCS) (pathway 0)</v>
      </c>
      <c r="D168" t="str">
        <f>VLOOKUP(G168,PathwayLookup!A:B,2,0)</f>
        <v>Social support (including VCS) (pathway 0)</v>
      </c>
      <c r="E168" t="s">
        <v>91</v>
      </c>
      <c r="F168" t="s">
        <v>540</v>
      </c>
      <c r="G168" t="s">
        <v>682</v>
      </c>
      <c r="H168">
        <v>1578</v>
      </c>
      <c r="I168">
        <v>1712</v>
      </c>
      <c r="J168">
        <v>1708</v>
      </c>
      <c r="K168">
        <v>1777</v>
      </c>
      <c r="L168">
        <v>1688</v>
      </c>
      <c r="M168">
        <v>1775</v>
      </c>
      <c r="N168">
        <v>1734</v>
      </c>
      <c r="O168">
        <v>1777</v>
      </c>
      <c r="P168">
        <v>1673</v>
      </c>
      <c r="Q168">
        <v>1732</v>
      </c>
      <c r="R168">
        <v>1646</v>
      </c>
      <c r="S168">
        <v>1770</v>
      </c>
      <c r="T168">
        <f t="shared" si="8"/>
        <v>20570</v>
      </c>
      <c r="U168">
        <v>1</v>
      </c>
    </row>
    <row r="169" spans="1:21" x14ac:dyDescent="0.3">
      <c r="A169" t="str">
        <f t="shared" si="6"/>
        <v>BrentSocial support (including VCS) (pathway 0)4</v>
      </c>
      <c r="B169">
        <f>IF(C169="","",COUNTIF($C$2:C169,C169))</f>
        <v>4</v>
      </c>
      <c r="C169" t="str">
        <f t="shared" si="7"/>
        <v>BrentSocial support (including VCS) (pathway 0)</v>
      </c>
      <c r="D169" t="str">
        <f>VLOOKUP(G169,PathwayLookup!A:B,2,0)</f>
        <v>Social support (including VCS) (pathway 0)</v>
      </c>
      <c r="E169" t="s">
        <v>91</v>
      </c>
      <c r="F169" t="s">
        <v>613</v>
      </c>
      <c r="G169" t="s">
        <v>682</v>
      </c>
      <c r="H169">
        <v>12</v>
      </c>
      <c r="I169">
        <v>16</v>
      </c>
      <c r="J169">
        <v>16</v>
      </c>
      <c r="K169">
        <v>13</v>
      </c>
      <c r="L169">
        <v>9</v>
      </c>
      <c r="M169">
        <v>5</v>
      </c>
      <c r="N169">
        <v>10</v>
      </c>
      <c r="O169">
        <v>13</v>
      </c>
      <c r="P169">
        <v>8</v>
      </c>
      <c r="Q169">
        <v>21</v>
      </c>
      <c r="R169">
        <v>16</v>
      </c>
      <c r="S169">
        <v>20</v>
      </c>
      <c r="T169">
        <f t="shared" si="8"/>
        <v>159</v>
      </c>
      <c r="U169">
        <v>1</v>
      </c>
    </row>
    <row r="170" spans="1:21" x14ac:dyDescent="0.3">
      <c r="A170" t="str">
        <f t="shared" si="6"/>
        <v>BrentReablement &amp; Rehabilitation at home  (pathway 1)1</v>
      </c>
      <c r="B170">
        <f>IF(C170="","",COUNTIF($C$2:C170,C170))</f>
        <v>1</v>
      </c>
      <c r="C170" t="str">
        <f t="shared" si="7"/>
        <v>BrentReablement at home  (pathway 1)</v>
      </c>
      <c r="D170" t="str">
        <f>VLOOKUP(G170,PathwayLookup!A:B,2,0)</f>
        <v>Reablement &amp; Rehabilitation at home  (pathway 1)</v>
      </c>
      <c r="E170" t="s">
        <v>91</v>
      </c>
      <c r="F170" t="s">
        <v>476</v>
      </c>
      <c r="G170" t="s">
        <v>718</v>
      </c>
      <c r="H170">
        <v>2</v>
      </c>
      <c r="I170">
        <v>3</v>
      </c>
      <c r="J170">
        <v>2</v>
      </c>
      <c r="K170">
        <v>3</v>
      </c>
      <c r="L170">
        <v>4</v>
      </c>
      <c r="M170">
        <v>3</v>
      </c>
      <c r="N170">
        <v>3</v>
      </c>
      <c r="O170">
        <v>3</v>
      </c>
      <c r="P170">
        <v>3</v>
      </c>
      <c r="Q170">
        <v>3</v>
      </c>
      <c r="R170">
        <v>3</v>
      </c>
      <c r="S170">
        <v>3</v>
      </c>
      <c r="T170">
        <f t="shared" si="8"/>
        <v>35</v>
      </c>
      <c r="U170">
        <v>1</v>
      </c>
    </row>
    <row r="171" spans="1:21" x14ac:dyDescent="0.3">
      <c r="A171" t="str">
        <f t="shared" si="6"/>
        <v>BrentReablement &amp; Rehabilitation at home  (pathway 1)2</v>
      </c>
      <c r="B171">
        <f>IF(C171="","",COUNTIF($C$2:C171,C171))</f>
        <v>2</v>
      </c>
      <c r="C171" t="str">
        <f t="shared" si="7"/>
        <v>BrentReablement at home  (pathway 1)</v>
      </c>
      <c r="D171" t="str">
        <f>VLOOKUP(G171,PathwayLookup!A:B,2,0)</f>
        <v>Reablement &amp; Rehabilitation at home  (pathway 1)</v>
      </c>
      <c r="E171" t="s">
        <v>91</v>
      </c>
      <c r="F171" t="s">
        <v>520</v>
      </c>
      <c r="G171" t="s">
        <v>718</v>
      </c>
      <c r="H171">
        <v>36</v>
      </c>
      <c r="I171">
        <v>38</v>
      </c>
      <c r="J171">
        <v>37</v>
      </c>
      <c r="K171">
        <v>39</v>
      </c>
      <c r="L171">
        <v>37</v>
      </c>
      <c r="M171">
        <v>35</v>
      </c>
      <c r="N171">
        <v>40</v>
      </c>
      <c r="O171">
        <v>39</v>
      </c>
      <c r="P171">
        <v>37</v>
      </c>
      <c r="Q171">
        <v>39</v>
      </c>
      <c r="R171">
        <v>37</v>
      </c>
      <c r="S171">
        <v>41</v>
      </c>
      <c r="T171">
        <f t="shared" si="8"/>
        <v>455</v>
      </c>
      <c r="U171">
        <v>1</v>
      </c>
    </row>
    <row r="172" spans="1:21" x14ac:dyDescent="0.3">
      <c r="A172" t="str">
        <f t="shared" si="6"/>
        <v>BrentReablement &amp; Rehabilitation at home  (pathway 1)3</v>
      </c>
      <c r="B172">
        <f>IF(C172="","",COUNTIF($C$2:C172,C172))</f>
        <v>3</v>
      </c>
      <c r="C172" t="str">
        <f t="shared" si="7"/>
        <v>BrentReablement at home  (pathway 1)</v>
      </c>
      <c r="D172" t="str">
        <f>VLOOKUP(G172,PathwayLookup!A:B,2,0)</f>
        <v>Reablement &amp; Rehabilitation at home  (pathway 1)</v>
      </c>
      <c r="E172" t="s">
        <v>91</v>
      </c>
      <c r="F172" t="s">
        <v>540</v>
      </c>
      <c r="G172" t="s">
        <v>718</v>
      </c>
      <c r="H172">
        <v>77</v>
      </c>
      <c r="I172">
        <v>84</v>
      </c>
      <c r="J172">
        <v>84</v>
      </c>
      <c r="K172">
        <v>87</v>
      </c>
      <c r="L172">
        <v>83</v>
      </c>
      <c r="M172">
        <v>87</v>
      </c>
      <c r="N172">
        <v>85</v>
      </c>
      <c r="O172">
        <v>87</v>
      </c>
      <c r="P172">
        <v>82</v>
      </c>
      <c r="Q172">
        <v>85</v>
      </c>
      <c r="R172">
        <v>81</v>
      </c>
      <c r="S172">
        <v>87</v>
      </c>
      <c r="T172">
        <f t="shared" si="8"/>
        <v>1009</v>
      </c>
      <c r="U172">
        <v>1</v>
      </c>
    </row>
    <row r="173" spans="1:21" x14ac:dyDescent="0.3">
      <c r="A173" t="str">
        <f t="shared" si="6"/>
        <v>BrentReablement &amp; Rehabilitation at home  (pathway 1)4</v>
      </c>
      <c r="B173">
        <f>IF(C173="","",COUNTIF($C$2:C173,C173))</f>
        <v>4</v>
      </c>
      <c r="C173" t="str">
        <f t="shared" si="7"/>
        <v>BrentReablement at home  (pathway 1)</v>
      </c>
      <c r="D173" t="str">
        <f>VLOOKUP(G173,PathwayLookup!A:B,2,0)</f>
        <v>Reablement &amp; Rehabilitation at home  (pathway 1)</v>
      </c>
      <c r="E173" t="s">
        <v>91</v>
      </c>
      <c r="F173" t="s">
        <v>613</v>
      </c>
      <c r="G173" t="s">
        <v>718</v>
      </c>
      <c r="H173">
        <v>0</v>
      </c>
      <c r="I173">
        <v>1</v>
      </c>
      <c r="J173">
        <v>1</v>
      </c>
      <c r="K173">
        <v>1</v>
      </c>
      <c r="L173">
        <v>0</v>
      </c>
      <c r="M173">
        <v>0</v>
      </c>
      <c r="N173">
        <v>0</v>
      </c>
      <c r="O173">
        <v>1</v>
      </c>
      <c r="P173">
        <v>0</v>
      </c>
      <c r="Q173">
        <v>1</v>
      </c>
      <c r="R173">
        <v>1</v>
      </c>
      <c r="S173">
        <v>1</v>
      </c>
      <c r="T173">
        <f t="shared" si="8"/>
        <v>7</v>
      </c>
      <c r="U173">
        <v>1</v>
      </c>
    </row>
    <row r="174" spans="1:21" x14ac:dyDescent="0.3">
      <c r="A174" t="str">
        <f t="shared" si="6"/>
        <v>BrentReablement &amp; Rehabilitation at home  (pathway 1)1</v>
      </c>
      <c r="B174">
        <f>IF(C174="","",COUNTIF($C$2:C174,C174))</f>
        <v>1</v>
      </c>
      <c r="C174" t="str">
        <f t="shared" si="7"/>
        <v>BrentRehabilitation at home (pathway 1)</v>
      </c>
      <c r="D174" t="str">
        <f>VLOOKUP(G174,PathwayLookup!A:B,2,0)</f>
        <v>Reablement &amp; Rehabilitation at home  (pathway 1)</v>
      </c>
      <c r="E174" t="s">
        <v>91</v>
      </c>
      <c r="F174" t="s">
        <v>476</v>
      </c>
      <c r="G174" t="s">
        <v>719</v>
      </c>
      <c r="H174">
        <v>2</v>
      </c>
      <c r="I174">
        <v>3</v>
      </c>
      <c r="J174">
        <v>2</v>
      </c>
      <c r="K174">
        <v>3</v>
      </c>
      <c r="L174">
        <v>4</v>
      </c>
      <c r="M174">
        <v>3</v>
      </c>
      <c r="N174">
        <v>3</v>
      </c>
      <c r="O174">
        <v>3</v>
      </c>
      <c r="P174">
        <v>3</v>
      </c>
      <c r="Q174">
        <v>3</v>
      </c>
      <c r="R174">
        <v>3</v>
      </c>
      <c r="S174">
        <v>3</v>
      </c>
      <c r="T174">
        <f t="shared" si="8"/>
        <v>35</v>
      </c>
      <c r="U174">
        <v>1</v>
      </c>
    </row>
    <row r="175" spans="1:21" x14ac:dyDescent="0.3">
      <c r="A175" t="str">
        <f t="shared" si="6"/>
        <v>BrentReablement &amp; Rehabilitation at home  (pathway 1)2</v>
      </c>
      <c r="B175">
        <f>IF(C175="","",COUNTIF($C$2:C175,C175))</f>
        <v>2</v>
      </c>
      <c r="C175" t="str">
        <f t="shared" si="7"/>
        <v>BrentRehabilitation at home (pathway 1)</v>
      </c>
      <c r="D175" t="str">
        <f>VLOOKUP(G175,PathwayLookup!A:B,2,0)</f>
        <v>Reablement &amp; Rehabilitation at home  (pathway 1)</v>
      </c>
      <c r="E175" t="s">
        <v>91</v>
      </c>
      <c r="F175" t="s">
        <v>520</v>
      </c>
      <c r="G175" t="s">
        <v>719</v>
      </c>
      <c r="H175">
        <v>36</v>
      </c>
      <c r="I175">
        <v>38</v>
      </c>
      <c r="J175">
        <v>37</v>
      </c>
      <c r="K175">
        <v>39</v>
      </c>
      <c r="L175">
        <v>37</v>
      </c>
      <c r="M175">
        <v>35</v>
      </c>
      <c r="N175">
        <v>40</v>
      </c>
      <c r="O175">
        <v>39</v>
      </c>
      <c r="P175">
        <v>37</v>
      </c>
      <c r="Q175">
        <v>39</v>
      </c>
      <c r="R175">
        <v>37</v>
      </c>
      <c r="S175">
        <v>41</v>
      </c>
      <c r="T175">
        <f t="shared" si="8"/>
        <v>455</v>
      </c>
      <c r="U175">
        <v>1</v>
      </c>
    </row>
    <row r="176" spans="1:21" x14ac:dyDescent="0.3">
      <c r="A176" t="str">
        <f t="shared" si="6"/>
        <v>BrentReablement &amp; Rehabilitation at home  (pathway 1)3</v>
      </c>
      <c r="B176">
        <f>IF(C176="","",COUNTIF($C$2:C176,C176))</f>
        <v>3</v>
      </c>
      <c r="C176" t="str">
        <f t="shared" si="7"/>
        <v>BrentRehabilitation at home (pathway 1)</v>
      </c>
      <c r="D176" t="str">
        <f>VLOOKUP(G176,PathwayLookup!A:B,2,0)</f>
        <v>Reablement &amp; Rehabilitation at home  (pathway 1)</v>
      </c>
      <c r="E176" t="s">
        <v>91</v>
      </c>
      <c r="F176" t="s">
        <v>540</v>
      </c>
      <c r="G176" t="s">
        <v>719</v>
      </c>
      <c r="H176">
        <v>77</v>
      </c>
      <c r="I176">
        <v>84</v>
      </c>
      <c r="J176">
        <v>84</v>
      </c>
      <c r="K176">
        <v>87</v>
      </c>
      <c r="L176">
        <v>83</v>
      </c>
      <c r="M176">
        <v>87</v>
      </c>
      <c r="N176">
        <v>85</v>
      </c>
      <c r="O176">
        <v>87</v>
      </c>
      <c r="P176">
        <v>82</v>
      </c>
      <c r="Q176">
        <v>85</v>
      </c>
      <c r="R176">
        <v>81</v>
      </c>
      <c r="S176">
        <v>87</v>
      </c>
      <c r="T176">
        <f t="shared" si="8"/>
        <v>1009</v>
      </c>
      <c r="U176">
        <v>1</v>
      </c>
    </row>
    <row r="177" spans="1:21" x14ac:dyDescent="0.3">
      <c r="A177" t="str">
        <f t="shared" si="6"/>
        <v>BrentReablement &amp; Rehabilitation at home  (pathway 1)4</v>
      </c>
      <c r="B177">
        <f>IF(C177="","",COUNTIF($C$2:C177,C177))</f>
        <v>4</v>
      </c>
      <c r="C177" t="str">
        <f t="shared" si="7"/>
        <v>BrentRehabilitation at home (pathway 1)</v>
      </c>
      <c r="D177" t="str">
        <f>VLOOKUP(G177,PathwayLookup!A:B,2,0)</f>
        <v>Reablement &amp; Rehabilitation at home  (pathway 1)</v>
      </c>
      <c r="E177" t="s">
        <v>91</v>
      </c>
      <c r="F177" t="s">
        <v>613</v>
      </c>
      <c r="G177" t="s">
        <v>719</v>
      </c>
      <c r="H177">
        <v>0</v>
      </c>
      <c r="I177">
        <v>1</v>
      </c>
      <c r="J177">
        <v>1</v>
      </c>
      <c r="K177">
        <v>1</v>
      </c>
      <c r="L177">
        <v>0</v>
      </c>
      <c r="M177">
        <v>0</v>
      </c>
      <c r="N177">
        <v>0</v>
      </c>
      <c r="O177">
        <v>1</v>
      </c>
      <c r="P177">
        <v>0</v>
      </c>
      <c r="Q177">
        <v>1</v>
      </c>
      <c r="R177">
        <v>1</v>
      </c>
      <c r="S177">
        <v>1</v>
      </c>
      <c r="T177">
        <f t="shared" si="8"/>
        <v>7</v>
      </c>
      <c r="U177">
        <v>1</v>
      </c>
    </row>
    <row r="178" spans="1:21" x14ac:dyDescent="0.3">
      <c r="A178" t="str">
        <f t="shared" si="6"/>
        <v>BrentShort term domiciliary care (pathway 1)1</v>
      </c>
      <c r="B178">
        <f>IF(C178="","",COUNTIF($C$2:C178,C178))</f>
        <v>1</v>
      </c>
      <c r="C178" t="str">
        <f t="shared" si="7"/>
        <v>BrentShort term domiciliary care (pathway 1)</v>
      </c>
      <c r="D178" t="str">
        <f>VLOOKUP(G178,PathwayLookup!A:B,2,0)</f>
        <v>Short term domiciliary care (pathway 1)</v>
      </c>
      <c r="E178" t="s">
        <v>91</v>
      </c>
      <c r="F178" t="s">
        <v>476</v>
      </c>
      <c r="G178" t="s">
        <v>684</v>
      </c>
      <c r="H178">
        <v>2</v>
      </c>
      <c r="I178">
        <v>3</v>
      </c>
      <c r="J178">
        <v>2</v>
      </c>
      <c r="K178">
        <v>3</v>
      </c>
      <c r="L178">
        <v>4</v>
      </c>
      <c r="M178">
        <v>3</v>
      </c>
      <c r="N178">
        <v>3</v>
      </c>
      <c r="O178">
        <v>3</v>
      </c>
      <c r="P178">
        <v>3</v>
      </c>
      <c r="Q178">
        <v>3</v>
      </c>
      <c r="R178">
        <v>3</v>
      </c>
      <c r="S178">
        <v>3</v>
      </c>
      <c r="T178">
        <f t="shared" si="8"/>
        <v>35</v>
      </c>
      <c r="U178">
        <v>1</v>
      </c>
    </row>
    <row r="179" spans="1:21" x14ac:dyDescent="0.3">
      <c r="A179" t="str">
        <f t="shared" si="6"/>
        <v>BrentShort term domiciliary care (pathway 1)2</v>
      </c>
      <c r="B179">
        <f>IF(C179="","",COUNTIF($C$2:C179,C179))</f>
        <v>2</v>
      </c>
      <c r="C179" t="str">
        <f t="shared" si="7"/>
        <v>BrentShort term domiciliary care (pathway 1)</v>
      </c>
      <c r="D179" t="str">
        <f>VLOOKUP(G179,PathwayLookup!A:B,2,0)</f>
        <v>Short term domiciliary care (pathway 1)</v>
      </c>
      <c r="E179" t="s">
        <v>91</v>
      </c>
      <c r="F179" t="s">
        <v>520</v>
      </c>
      <c r="G179" t="s">
        <v>684</v>
      </c>
      <c r="H179">
        <v>36</v>
      </c>
      <c r="I179">
        <v>38</v>
      </c>
      <c r="J179">
        <v>37</v>
      </c>
      <c r="K179">
        <v>39</v>
      </c>
      <c r="L179">
        <v>37</v>
      </c>
      <c r="M179">
        <v>35</v>
      </c>
      <c r="N179">
        <v>40</v>
      </c>
      <c r="O179">
        <v>39</v>
      </c>
      <c r="P179">
        <v>37</v>
      </c>
      <c r="Q179">
        <v>39</v>
      </c>
      <c r="R179">
        <v>37</v>
      </c>
      <c r="S179">
        <v>41</v>
      </c>
      <c r="T179">
        <f t="shared" si="8"/>
        <v>455</v>
      </c>
      <c r="U179">
        <v>1</v>
      </c>
    </row>
    <row r="180" spans="1:21" x14ac:dyDescent="0.3">
      <c r="A180" t="str">
        <f t="shared" si="6"/>
        <v>BrentShort term domiciliary care (pathway 1)3</v>
      </c>
      <c r="B180">
        <f>IF(C180="","",COUNTIF($C$2:C180,C180))</f>
        <v>3</v>
      </c>
      <c r="C180" t="str">
        <f t="shared" si="7"/>
        <v>BrentShort term domiciliary care (pathway 1)</v>
      </c>
      <c r="D180" t="str">
        <f>VLOOKUP(G180,PathwayLookup!A:B,2,0)</f>
        <v>Short term domiciliary care (pathway 1)</v>
      </c>
      <c r="E180" t="s">
        <v>91</v>
      </c>
      <c r="F180" t="s">
        <v>540</v>
      </c>
      <c r="G180" t="s">
        <v>684</v>
      </c>
      <c r="H180">
        <v>77</v>
      </c>
      <c r="I180">
        <v>84</v>
      </c>
      <c r="J180">
        <v>84</v>
      </c>
      <c r="K180">
        <v>86</v>
      </c>
      <c r="L180">
        <v>83</v>
      </c>
      <c r="M180">
        <v>86</v>
      </c>
      <c r="N180">
        <v>85</v>
      </c>
      <c r="O180">
        <v>87</v>
      </c>
      <c r="P180">
        <v>82</v>
      </c>
      <c r="Q180">
        <v>84</v>
      </c>
      <c r="R180">
        <v>81</v>
      </c>
      <c r="S180">
        <v>87</v>
      </c>
      <c r="T180">
        <f t="shared" si="8"/>
        <v>1006</v>
      </c>
      <c r="U180">
        <v>1</v>
      </c>
    </row>
    <row r="181" spans="1:21" x14ac:dyDescent="0.3">
      <c r="A181" t="str">
        <f t="shared" si="6"/>
        <v>BrentShort term domiciliary care (pathway 1)4</v>
      </c>
      <c r="B181">
        <f>IF(C181="","",COUNTIF($C$2:C181,C181))</f>
        <v>4</v>
      </c>
      <c r="C181" t="str">
        <f t="shared" si="7"/>
        <v>BrentShort term domiciliary care (pathway 1)</v>
      </c>
      <c r="D181" t="str">
        <f>VLOOKUP(G181,PathwayLookup!A:B,2,0)</f>
        <v>Short term domiciliary care (pathway 1)</v>
      </c>
      <c r="E181" t="s">
        <v>91</v>
      </c>
      <c r="F181" t="s">
        <v>613</v>
      </c>
      <c r="G181" t="s">
        <v>684</v>
      </c>
      <c r="H181">
        <v>0</v>
      </c>
      <c r="I181">
        <v>1</v>
      </c>
      <c r="J181">
        <v>1</v>
      </c>
      <c r="K181">
        <v>1</v>
      </c>
      <c r="L181">
        <v>0</v>
      </c>
      <c r="M181">
        <v>0</v>
      </c>
      <c r="N181">
        <v>0</v>
      </c>
      <c r="O181">
        <v>0</v>
      </c>
      <c r="P181">
        <v>0</v>
      </c>
      <c r="Q181">
        <v>1</v>
      </c>
      <c r="R181">
        <v>1</v>
      </c>
      <c r="S181">
        <v>1</v>
      </c>
      <c r="T181">
        <f t="shared" si="8"/>
        <v>6</v>
      </c>
      <c r="U181">
        <v>1</v>
      </c>
    </row>
    <row r="182" spans="1:21" x14ac:dyDescent="0.3">
      <c r="A182" t="str">
        <f t="shared" si="6"/>
        <v/>
      </c>
      <c r="B182" t="str">
        <f>IF(C182="","",COUNTIF($C$2:C182,C182))</f>
        <v/>
      </c>
      <c r="C182" t="str">
        <f t="shared" si="7"/>
        <v/>
      </c>
      <c r="D182" t="str">
        <f>VLOOKUP(G182,PathwayLookup!A:B,2,0)</f>
        <v>Reablement &amp; Rehabilitation in a bedded setting (pathway 2)</v>
      </c>
      <c r="E182" t="s">
        <v>91</v>
      </c>
      <c r="F182" t="s">
        <v>476</v>
      </c>
      <c r="G182" t="s">
        <v>722</v>
      </c>
      <c r="H182">
        <v>0</v>
      </c>
      <c r="I182">
        <v>0</v>
      </c>
      <c r="J182">
        <v>0</v>
      </c>
      <c r="K182">
        <v>0</v>
      </c>
      <c r="L182">
        <v>0</v>
      </c>
      <c r="M182">
        <v>0</v>
      </c>
      <c r="N182">
        <v>0</v>
      </c>
      <c r="O182">
        <v>0</v>
      </c>
      <c r="P182">
        <v>0</v>
      </c>
      <c r="Q182">
        <v>0</v>
      </c>
      <c r="R182">
        <v>0</v>
      </c>
      <c r="S182">
        <v>0</v>
      </c>
      <c r="T182">
        <f t="shared" si="8"/>
        <v>0</v>
      </c>
      <c r="U182">
        <v>1</v>
      </c>
    </row>
    <row r="183" spans="1:21" x14ac:dyDescent="0.3">
      <c r="A183" t="str">
        <f t="shared" si="6"/>
        <v/>
      </c>
      <c r="B183" t="str">
        <f>IF(C183="","",COUNTIF($C$2:C183,C183))</f>
        <v/>
      </c>
      <c r="C183" t="str">
        <f t="shared" si="7"/>
        <v/>
      </c>
      <c r="D183" t="str">
        <f>VLOOKUP(G183,PathwayLookup!A:B,2,0)</f>
        <v>Reablement &amp; Rehabilitation in a bedded setting (pathway 2)</v>
      </c>
      <c r="E183" t="s">
        <v>91</v>
      </c>
      <c r="F183" t="s">
        <v>520</v>
      </c>
      <c r="G183" t="s">
        <v>722</v>
      </c>
      <c r="H183">
        <v>0</v>
      </c>
      <c r="I183">
        <v>0</v>
      </c>
      <c r="J183">
        <v>0</v>
      </c>
      <c r="K183">
        <v>0</v>
      </c>
      <c r="L183">
        <v>0</v>
      </c>
      <c r="M183">
        <v>0</v>
      </c>
      <c r="N183">
        <v>0</v>
      </c>
      <c r="O183">
        <v>0</v>
      </c>
      <c r="P183">
        <v>0</v>
      </c>
      <c r="Q183">
        <v>0</v>
      </c>
      <c r="R183">
        <v>0</v>
      </c>
      <c r="S183">
        <v>0</v>
      </c>
      <c r="T183">
        <f t="shared" si="8"/>
        <v>0</v>
      </c>
      <c r="U183">
        <v>1</v>
      </c>
    </row>
    <row r="184" spans="1:21" x14ac:dyDescent="0.3">
      <c r="A184" t="str">
        <f t="shared" si="6"/>
        <v/>
      </c>
      <c r="B184" t="str">
        <f>IF(C184="","",COUNTIF($C$2:C184,C184))</f>
        <v/>
      </c>
      <c r="C184" t="str">
        <f t="shared" si="7"/>
        <v/>
      </c>
      <c r="D184" t="str">
        <f>VLOOKUP(G184,PathwayLookup!A:B,2,0)</f>
        <v>Reablement &amp; Rehabilitation in a bedded setting (pathway 2)</v>
      </c>
      <c r="E184" t="s">
        <v>91</v>
      </c>
      <c r="F184" t="s">
        <v>540</v>
      </c>
      <c r="G184" t="s">
        <v>722</v>
      </c>
      <c r="H184">
        <v>0</v>
      </c>
      <c r="I184">
        <v>0</v>
      </c>
      <c r="J184">
        <v>0</v>
      </c>
      <c r="K184">
        <v>0</v>
      </c>
      <c r="L184">
        <v>0</v>
      </c>
      <c r="M184">
        <v>0</v>
      </c>
      <c r="N184">
        <v>0</v>
      </c>
      <c r="O184">
        <v>0</v>
      </c>
      <c r="P184">
        <v>0</v>
      </c>
      <c r="Q184">
        <v>0</v>
      </c>
      <c r="R184">
        <v>0</v>
      </c>
      <c r="S184">
        <v>0</v>
      </c>
      <c r="T184">
        <f t="shared" si="8"/>
        <v>0</v>
      </c>
      <c r="U184">
        <v>1</v>
      </c>
    </row>
    <row r="185" spans="1:21" x14ac:dyDescent="0.3">
      <c r="A185" t="str">
        <f t="shared" si="6"/>
        <v/>
      </c>
      <c r="B185" t="str">
        <f>IF(C185="","",COUNTIF($C$2:C185,C185))</f>
        <v/>
      </c>
      <c r="C185" t="str">
        <f t="shared" si="7"/>
        <v/>
      </c>
      <c r="D185" t="str">
        <f>VLOOKUP(G185,PathwayLookup!A:B,2,0)</f>
        <v>Reablement &amp; Rehabilitation in a bedded setting (pathway 2)</v>
      </c>
      <c r="E185" t="s">
        <v>91</v>
      </c>
      <c r="F185" t="s">
        <v>613</v>
      </c>
      <c r="G185" t="s">
        <v>722</v>
      </c>
      <c r="H185">
        <v>0</v>
      </c>
      <c r="I185">
        <v>0</v>
      </c>
      <c r="J185">
        <v>0</v>
      </c>
      <c r="K185">
        <v>0</v>
      </c>
      <c r="L185">
        <v>0</v>
      </c>
      <c r="M185">
        <v>0</v>
      </c>
      <c r="N185">
        <v>0</v>
      </c>
      <c r="O185">
        <v>0</v>
      </c>
      <c r="P185">
        <v>0</v>
      </c>
      <c r="Q185">
        <v>0</v>
      </c>
      <c r="R185">
        <v>0</v>
      </c>
      <c r="S185">
        <v>0</v>
      </c>
      <c r="T185">
        <f t="shared" si="8"/>
        <v>0</v>
      </c>
      <c r="U185">
        <v>1</v>
      </c>
    </row>
    <row r="186" spans="1:21" x14ac:dyDescent="0.3">
      <c r="A186" t="str">
        <f t="shared" si="6"/>
        <v>BrentReablement &amp; Rehabilitation in a bedded setting (pathway 2)1</v>
      </c>
      <c r="B186">
        <f>IF(C186="","",COUNTIF($C$2:C186,C186))</f>
        <v>1</v>
      </c>
      <c r="C186" t="str">
        <f t="shared" si="7"/>
        <v>BrentRehabilitation in a bedded setting (pathway 2)</v>
      </c>
      <c r="D186" t="str">
        <f>VLOOKUP(G186,PathwayLookup!A:B,2,0)</f>
        <v>Reablement &amp; Rehabilitation in a bedded setting (pathway 2)</v>
      </c>
      <c r="E186" t="s">
        <v>91</v>
      </c>
      <c r="F186" t="s">
        <v>476</v>
      </c>
      <c r="G186" t="s">
        <v>724</v>
      </c>
      <c r="H186">
        <v>1</v>
      </c>
      <c r="I186">
        <v>1</v>
      </c>
      <c r="J186">
        <v>1</v>
      </c>
      <c r="K186">
        <v>1</v>
      </c>
      <c r="L186">
        <v>1</v>
      </c>
      <c r="M186">
        <v>1</v>
      </c>
      <c r="N186">
        <v>1</v>
      </c>
      <c r="O186">
        <v>1</v>
      </c>
      <c r="P186">
        <v>1</v>
      </c>
      <c r="Q186">
        <v>1</v>
      </c>
      <c r="R186">
        <v>1</v>
      </c>
      <c r="S186">
        <v>1</v>
      </c>
      <c r="T186">
        <f t="shared" si="8"/>
        <v>12</v>
      </c>
      <c r="U186">
        <v>1</v>
      </c>
    </row>
    <row r="187" spans="1:21" x14ac:dyDescent="0.3">
      <c r="A187" t="str">
        <f t="shared" si="6"/>
        <v>BrentReablement &amp; Rehabilitation in a bedded setting (pathway 2)2</v>
      </c>
      <c r="B187">
        <f>IF(C187="","",COUNTIF($C$2:C187,C187))</f>
        <v>2</v>
      </c>
      <c r="C187" t="str">
        <f t="shared" si="7"/>
        <v>BrentRehabilitation in a bedded setting (pathway 2)</v>
      </c>
      <c r="D187" t="str">
        <f>VLOOKUP(G187,PathwayLookup!A:B,2,0)</f>
        <v>Reablement &amp; Rehabilitation in a bedded setting (pathway 2)</v>
      </c>
      <c r="E187" t="s">
        <v>91</v>
      </c>
      <c r="F187" t="s">
        <v>520</v>
      </c>
      <c r="G187" t="s">
        <v>724</v>
      </c>
      <c r="H187">
        <v>15</v>
      </c>
      <c r="I187">
        <v>17</v>
      </c>
      <c r="J187">
        <v>16</v>
      </c>
      <c r="K187">
        <v>17</v>
      </c>
      <c r="L187">
        <v>16</v>
      </c>
      <c r="M187">
        <v>15</v>
      </c>
      <c r="N187">
        <v>17</v>
      </c>
      <c r="O187">
        <v>16</v>
      </c>
      <c r="P187">
        <v>16</v>
      </c>
      <c r="Q187">
        <v>16</v>
      </c>
      <c r="R187">
        <v>15</v>
      </c>
      <c r="S187">
        <v>17</v>
      </c>
      <c r="T187">
        <f t="shared" si="8"/>
        <v>193</v>
      </c>
      <c r="U187">
        <v>1</v>
      </c>
    </row>
    <row r="188" spans="1:21" x14ac:dyDescent="0.3">
      <c r="A188" t="str">
        <f t="shared" si="6"/>
        <v>BrentReablement &amp; Rehabilitation in a bedded setting (pathway 2)3</v>
      </c>
      <c r="B188">
        <f>IF(C188="","",COUNTIF($C$2:C188,C188))</f>
        <v>3</v>
      </c>
      <c r="C188" t="str">
        <f t="shared" si="7"/>
        <v>BrentRehabilitation in a bedded setting (pathway 2)</v>
      </c>
      <c r="D188" t="str">
        <f>VLOOKUP(G188,PathwayLookup!A:B,2,0)</f>
        <v>Reablement &amp; Rehabilitation in a bedded setting (pathway 2)</v>
      </c>
      <c r="E188" t="s">
        <v>91</v>
      </c>
      <c r="F188" t="s">
        <v>540</v>
      </c>
      <c r="G188" t="s">
        <v>724</v>
      </c>
      <c r="H188">
        <v>33</v>
      </c>
      <c r="I188">
        <v>35</v>
      </c>
      <c r="J188">
        <v>35</v>
      </c>
      <c r="K188">
        <v>37</v>
      </c>
      <c r="L188">
        <v>35</v>
      </c>
      <c r="M188">
        <v>36</v>
      </c>
      <c r="N188">
        <v>36</v>
      </c>
      <c r="O188">
        <v>37</v>
      </c>
      <c r="P188">
        <v>34</v>
      </c>
      <c r="Q188">
        <v>36</v>
      </c>
      <c r="R188">
        <v>34</v>
      </c>
      <c r="S188">
        <v>36</v>
      </c>
      <c r="T188">
        <f t="shared" si="8"/>
        <v>424</v>
      </c>
      <c r="U188">
        <v>1</v>
      </c>
    </row>
    <row r="189" spans="1:21" x14ac:dyDescent="0.3">
      <c r="A189" t="str">
        <f t="shared" si="6"/>
        <v>BrentReablement &amp; Rehabilitation in a bedded setting (pathway 2)4</v>
      </c>
      <c r="B189">
        <f>IF(C189="","",COUNTIF($C$2:C189,C189))</f>
        <v>4</v>
      </c>
      <c r="C189" t="str">
        <f t="shared" si="7"/>
        <v>BrentRehabilitation in a bedded setting (pathway 2)</v>
      </c>
      <c r="D189" t="str">
        <f>VLOOKUP(G189,PathwayLookup!A:B,2,0)</f>
        <v>Reablement &amp; Rehabilitation in a bedded setting (pathway 2)</v>
      </c>
      <c r="E189" t="s">
        <v>91</v>
      </c>
      <c r="F189" t="s">
        <v>613</v>
      </c>
      <c r="G189" t="s">
        <v>724</v>
      </c>
      <c r="H189">
        <v>1</v>
      </c>
      <c r="I189">
        <v>1</v>
      </c>
      <c r="J189">
        <v>1</v>
      </c>
      <c r="K189">
        <v>0</v>
      </c>
      <c r="L189">
        <v>0</v>
      </c>
      <c r="M189">
        <v>0</v>
      </c>
      <c r="N189">
        <v>0</v>
      </c>
      <c r="O189">
        <v>1</v>
      </c>
      <c r="P189">
        <v>1</v>
      </c>
      <c r="Q189">
        <v>1</v>
      </c>
      <c r="R189">
        <v>1</v>
      </c>
      <c r="S189">
        <v>1</v>
      </c>
      <c r="T189">
        <f t="shared" si="8"/>
        <v>8</v>
      </c>
      <c r="U189">
        <v>1</v>
      </c>
    </row>
    <row r="190" spans="1:21" x14ac:dyDescent="0.3">
      <c r="A190" t="str">
        <f t="shared" si="6"/>
        <v>BrentShort-term residential/nursing care for someone likely to require a longer-term care home placement (pathway 3)1</v>
      </c>
      <c r="B190">
        <f>IF(C190="","",COUNTIF($C$2:C190,C190))</f>
        <v>1</v>
      </c>
      <c r="C190" t="str">
        <f t="shared" si="7"/>
        <v>BrentShort-term residential/nursing care for someone likely to require a longer-term care home placement (pathway 3)</v>
      </c>
      <c r="D190" t="str">
        <f>VLOOKUP(G190,PathwayLookup!A:B,2,0)</f>
        <v>Short-term residential/nursing care for someone likely to require a longer-term care home placement (pathway 3)</v>
      </c>
      <c r="E190" t="s">
        <v>91</v>
      </c>
      <c r="F190" t="s">
        <v>476</v>
      </c>
      <c r="G190" t="s">
        <v>686</v>
      </c>
      <c r="H190">
        <v>1</v>
      </c>
      <c r="I190">
        <v>2</v>
      </c>
      <c r="J190">
        <v>1</v>
      </c>
      <c r="K190">
        <v>2</v>
      </c>
      <c r="L190">
        <v>2</v>
      </c>
      <c r="M190">
        <v>2</v>
      </c>
      <c r="N190">
        <v>2</v>
      </c>
      <c r="O190">
        <v>2</v>
      </c>
      <c r="P190">
        <v>2</v>
      </c>
      <c r="Q190">
        <v>2</v>
      </c>
      <c r="R190">
        <v>2</v>
      </c>
      <c r="S190">
        <v>2</v>
      </c>
      <c r="T190">
        <f t="shared" si="8"/>
        <v>22</v>
      </c>
      <c r="U190">
        <v>1</v>
      </c>
    </row>
    <row r="191" spans="1:21" x14ac:dyDescent="0.3">
      <c r="A191" t="str">
        <f t="shared" si="6"/>
        <v>BrentShort-term residential/nursing care for someone likely to require a longer-term care home placement (pathway 3)2</v>
      </c>
      <c r="B191">
        <f>IF(C191="","",COUNTIF($C$2:C191,C191))</f>
        <v>2</v>
      </c>
      <c r="C191" t="str">
        <f t="shared" si="7"/>
        <v>BrentShort-term residential/nursing care for someone likely to require a longer-term care home placement (pathway 3)</v>
      </c>
      <c r="D191" t="str">
        <f>VLOOKUP(G191,PathwayLookup!A:B,2,0)</f>
        <v>Short-term residential/nursing care for someone likely to require a longer-term care home placement (pathway 3)</v>
      </c>
      <c r="E191" t="s">
        <v>91</v>
      </c>
      <c r="F191" t="s">
        <v>520</v>
      </c>
      <c r="G191" t="s">
        <v>686</v>
      </c>
      <c r="H191">
        <v>22</v>
      </c>
      <c r="I191">
        <v>23</v>
      </c>
      <c r="J191">
        <v>22</v>
      </c>
      <c r="K191">
        <v>24</v>
      </c>
      <c r="L191">
        <v>22</v>
      </c>
      <c r="M191">
        <v>22</v>
      </c>
      <c r="N191">
        <v>24</v>
      </c>
      <c r="O191">
        <v>23</v>
      </c>
      <c r="P191">
        <v>22</v>
      </c>
      <c r="Q191">
        <v>23</v>
      </c>
      <c r="R191">
        <v>22</v>
      </c>
      <c r="S191">
        <v>24</v>
      </c>
      <c r="T191">
        <f t="shared" si="8"/>
        <v>273</v>
      </c>
      <c r="U191">
        <v>1</v>
      </c>
    </row>
    <row r="192" spans="1:21" x14ac:dyDescent="0.3">
      <c r="A192" t="str">
        <f t="shared" si="6"/>
        <v>BrentShort-term residential/nursing care for someone likely to require a longer-term care home placement (pathway 3)3</v>
      </c>
      <c r="B192">
        <f>IF(C192="","",COUNTIF($C$2:C192,C192))</f>
        <v>3</v>
      </c>
      <c r="C192" t="str">
        <f t="shared" si="7"/>
        <v>BrentShort-term residential/nursing care for someone likely to require a longer-term care home placement (pathway 3)</v>
      </c>
      <c r="D192" t="str">
        <f>VLOOKUP(G192,PathwayLookup!A:B,2,0)</f>
        <v>Short-term residential/nursing care for someone likely to require a longer-term care home placement (pathway 3)</v>
      </c>
      <c r="E192" t="s">
        <v>91</v>
      </c>
      <c r="F192" t="s">
        <v>540</v>
      </c>
      <c r="G192" t="s">
        <v>686</v>
      </c>
      <c r="H192">
        <v>47</v>
      </c>
      <c r="I192">
        <v>50</v>
      </c>
      <c r="J192">
        <v>50</v>
      </c>
      <c r="K192">
        <v>52</v>
      </c>
      <c r="L192">
        <v>50</v>
      </c>
      <c r="M192">
        <v>52</v>
      </c>
      <c r="N192">
        <v>51</v>
      </c>
      <c r="O192">
        <v>52</v>
      </c>
      <c r="P192">
        <v>49</v>
      </c>
      <c r="Q192">
        <v>51</v>
      </c>
      <c r="R192">
        <v>48</v>
      </c>
      <c r="S192">
        <v>52</v>
      </c>
      <c r="T192">
        <f t="shared" si="8"/>
        <v>604</v>
      </c>
      <c r="U192">
        <v>1</v>
      </c>
    </row>
    <row r="193" spans="1:21" x14ac:dyDescent="0.3">
      <c r="A193" t="str">
        <f t="shared" si="6"/>
        <v>BrentShort-term residential/nursing care for someone likely to require a longer-term care home placement (pathway 3)4</v>
      </c>
      <c r="B193">
        <f>IF(C193="","",COUNTIF($C$2:C193,C193))</f>
        <v>4</v>
      </c>
      <c r="C193" t="str">
        <f t="shared" si="7"/>
        <v>BrentShort-term residential/nursing care for someone likely to require a longer-term care home placement (pathway 3)</v>
      </c>
      <c r="D193" t="str">
        <f>VLOOKUP(G193,PathwayLookup!A:B,2,0)</f>
        <v>Short-term residential/nursing care for someone likely to require a longer-term care home placement (pathway 3)</v>
      </c>
      <c r="E193" t="s">
        <v>91</v>
      </c>
      <c r="F193" t="s">
        <v>613</v>
      </c>
      <c r="G193" t="s">
        <v>686</v>
      </c>
      <c r="H193">
        <v>1</v>
      </c>
      <c r="I193">
        <v>1</v>
      </c>
      <c r="J193">
        <v>1</v>
      </c>
      <c r="K193">
        <v>0</v>
      </c>
      <c r="L193">
        <v>0</v>
      </c>
      <c r="M193">
        <v>0</v>
      </c>
      <c r="N193">
        <v>0</v>
      </c>
      <c r="O193">
        <v>1</v>
      </c>
      <c r="P193">
        <v>1</v>
      </c>
      <c r="Q193">
        <v>1</v>
      </c>
      <c r="R193">
        <v>1</v>
      </c>
      <c r="S193">
        <v>1</v>
      </c>
      <c r="T193">
        <f t="shared" si="8"/>
        <v>8</v>
      </c>
      <c r="U193">
        <v>1</v>
      </c>
    </row>
    <row r="194" spans="1:21" x14ac:dyDescent="0.3">
      <c r="A194" t="str">
        <f t="shared" ref="A194:A257" si="9">IF(B194="","",E194&amp;D194&amp;B194)</f>
        <v>Bristol, City ofSocial support (including VCS) (pathway 0)1</v>
      </c>
      <c r="B194">
        <f>IF(C194="","",COUNTIF($C$2:C194,C194))</f>
        <v>1</v>
      </c>
      <c r="C194" t="str">
        <f t="shared" ref="C194:C257" si="10">IF(T194=0,"",E194&amp;G194)</f>
        <v>Bristol, City ofSocial support (including VCS) (pathway 0)</v>
      </c>
      <c r="D194" t="str">
        <f>VLOOKUP(G194,PathwayLookup!A:B,2,0)</f>
        <v>Social support (including VCS) (pathway 0)</v>
      </c>
      <c r="E194" t="s">
        <v>95</v>
      </c>
      <c r="F194" t="s">
        <v>554</v>
      </c>
      <c r="G194" t="s">
        <v>682</v>
      </c>
      <c r="H194">
        <v>322</v>
      </c>
      <c r="I194">
        <v>322</v>
      </c>
      <c r="J194">
        <v>322</v>
      </c>
      <c r="K194">
        <v>322</v>
      </c>
      <c r="L194">
        <v>322</v>
      </c>
      <c r="M194">
        <v>322</v>
      </c>
      <c r="N194">
        <v>322</v>
      </c>
      <c r="O194">
        <v>322</v>
      </c>
      <c r="P194">
        <v>322</v>
      </c>
      <c r="Q194">
        <v>319</v>
      </c>
      <c r="R194">
        <v>319</v>
      </c>
      <c r="S194">
        <v>319</v>
      </c>
      <c r="T194">
        <f t="shared" ref="T194:T257" si="11">SUM(H194:S194)</f>
        <v>3855</v>
      </c>
      <c r="U194">
        <v>1</v>
      </c>
    </row>
    <row r="195" spans="1:21" x14ac:dyDescent="0.3">
      <c r="A195" t="str">
        <f t="shared" si="9"/>
        <v>Bristol, City ofSocial support (including VCS) (pathway 0)2</v>
      </c>
      <c r="B195">
        <f>IF(C195="","",COUNTIF($C$2:C195,C195))</f>
        <v>2</v>
      </c>
      <c r="C195" t="str">
        <f t="shared" si="10"/>
        <v>Bristol, City ofSocial support (including VCS) (pathway 0)</v>
      </c>
      <c r="D195" t="str">
        <f>VLOOKUP(G195,PathwayLookup!A:B,2,0)</f>
        <v>Social support (including VCS) (pathway 0)</v>
      </c>
      <c r="E195" t="s">
        <v>95</v>
      </c>
      <c r="F195" t="s">
        <v>629</v>
      </c>
      <c r="G195" t="s">
        <v>682</v>
      </c>
      <c r="H195">
        <v>261</v>
      </c>
      <c r="I195">
        <v>261</v>
      </c>
      <c r="J195">
        <v>261</v>
      </c>
      <c r="K195">
        <v>261</v>
      </c>
      <c r="L195">
        <v>261</v>
      </c>
      <c r="M195">
        <v>261</v>
      </c>
      <c r="N195">
        <v>261</v>
      </c>
      <c r="O195">
        <v>261</v>
      </c>
      <c r="P195">
        <v>261</v>
      </c>
      <c r="Q195">
        <v>260</v>
      </c>
      <c r="R195">
        <v>260</v>
      </c>
      <c r="S195">
        <v>260</v>
      </c>
      <c r="T195">
        <f t="shared" si="11"/>
        <v>3129</v>
      </c>
      <c r="U195">
        <v>1</v>
      </c>
    </row>
    <row r="196" spans="1:21" x14ac:dyDescent="0.3">
      <c r="A196" t="str">
        <f t="shared" si="9"/>
        <v>Bristol, City ofReablement &amp; Rehabilitation at home  (pathway 1)1</v>
      </c>
      <c r="B196">
        <f>IF(C196="","",COUNTIF($C$2:C196,C196))</f>
        <v>1</v>
      </c>
      <c r="C196" t="str">
        <f t="shared" si="10"/>
        <v>Bristol, City ofReablement at home  (pathway 1)</v>
      </c>
      <c r="D196" t="str">
        <f>VLOOKUP(G196,PathwayLookup!A:B,2,0)</f>
        <v>Reablement &amp; Rehabilitation at home  (pathway 1)</v>
      </c>
      <c r="E196" t="s">
        <v>95</v>
      </c>
      <c r="F196" t="s">
        <v>554</v>
      </c>
      <c r="G196" t="s">
        <v>718</v>
      </c>
      <c r="H196">
        <v>46</v>
      </c>
      <c r="I196">
        <v>44</v>
      </c>
      <c r="J196">
        <v>44</v>
      </c>
      <c r="K196">
        <v>41</v>
      </c>
      <c r="L196">
        <v>40</v>
      </c>
      <c r="M196">
        <v>40</v>
      </c>
      <c r="N196">
        <v>40</v>
      </c>
      <c r="O196">
        <v>42</v>
      </c>
      <c r="P196">
        <v>43</v>
      </c>
      <c r="Q196">
        <v>44</v>
      </c>
      <c r="R196">
        <v>43</v>
      </c>
      <c r="S196">
        <v>39</v>
      </c>
      <c r="T196">
        <f t="shared" si="11"/>
        <v>506</v>
      </c>
      <c r="U196">
        <v>1</v>
      </c>
    </row>
    <row r="197" spans="1:21" x14ac:dyDescent="0.3">
      <c r="A197" t="str">
        <f t="shared" si="9"/>
        <v>Bristol, City ofReablement &amp; Rehabilitation at home  (pathway 1)2</v>
      </c>
      <c r="B197">
        <f>IF(C197="","",COUNTIF($C$2:C197,C197))</f>
        <v>2</v>
      </c>
      <c r="C197" t="str">
        <f t="shared" si="10"/>
        <v>Bristol, City ofReablement at home  (pathway 1)</v>
      </c>
      <c r="D197" t="str">
        <f>VLOOKUP(G197,PathwayLookup!A:B,2,0)</f>
        <v>Reablement &amp; Rehabilitation at home  (pathway 1)</v>
      </c>
      <c r="E197" t="s">
        <v>95</v>
      </c>
      <c r="F197" t="s">
        <v>629</v>
      </c>
      <c r="G197" t="s">
        <v>718</v>
      </c>
      <c r="H197">
        <v>37</v>
      </c>
      <c r="I197">
        <v>36</v>
      </c>
      <c r="J197">
        <v>35</v>
      </c>
      <c r="K197">
        <v>34</v>
      </c>
      <c r="L197">
        <v>32</v>
      </c>
      <c r="M197">
        <v>32</v>
      </c>
      <c r="N197">
        <v>32</v>
      </c>
      <c r="O197">
        <v>35</v>
      </c>
      <c r="P197">
        <v>35</v>
      </c>
      <c r="Q197">
        <v>35</v>
      </c>
      <c r="R197">
        <v>35</v>
      </c>
      <c r="S197">
        <v>31</v>
      </c>
      <c r="T197">
        <f t="shared" si="11"/>
        <v>409</v>
      </c>
      <c r="U197">
        <v>1</v>
      </c>
    </row>
    <row r="198" spans="1:21" x14ac:dyDescent="0.3">
      <c r="A198" t="str">
        <f t="shared" si="9"/>
        <v>Bristol, City ofReablement &amp; Rehabilitation at home  (pathway 1)1</v>
      </c>
      <c r="B198">
        <f>IF(C198="","",COUNTIF($C$2:C198,C198))</f>
        <v>1</v>
      </c>
      <c r="C198" t="str">
        <f t="shared" si="10"/>
        <v>Bristol, City ofRehabilitation at home (pathway 1)</v>
      </c>
      <c r="D198" t="str">
        <f>VLOOKUP(G198,PathwayLookup!A:B,2,0)</f>
        <v>Reablement &amp; Rehabilitation at home  (pathway 1)</v>
      </c>
      <c r="E198" t="s">
        <v>95</v>
      </c>
      <c r="F198" t="s">
        <v>554</v>
      </c>
      <c r="G198" t="s">
        <v>719</v>
      </c>
      <c r="H198">
        <v>115</v>
      </c>
      <c r="I198">
        <v>119</v>
      </c>
      <c r="J198">
        <v>115</v>
      </c>
      <c r="K198">
        <v>116</v>
      </c>
      <c r="L198">
        <v>116</v>
      </c>
      <c r="M198">
        <v>112</v>
      </c>
      <c r="N198">
        <v>113</v>
      </c>
      <c r="O198">
        <v>110</v>
      </c>
      <c r="P198">
        <v>113</v>
      </c>
      <c r="Q198">
        <v>113</v>
      </c>
      <c r="R198">
        <v>106</v>
      </c>
      <c r="S198">
        <v>113</v>
      </c>
      <c r="T198">
        <f t="shared" si="11"/>
        <v>1361</v>
      </c>
      <c r="U198">
        <v>1</v>
      </c>
    </row>
    <row r="199" spans="1:21" x14ac:dyDescent="0.3">
      <c r="A199" t="str">
        <f t="shared" si="9"/>
        <v>Bristol, City ofReablement &amp; Rehabilitation at home  (pathway 1)2</v>
      </c>
      <c r="B199">
        <f>IF(C199="","",COUNTIF($C$2:C199,C199))</f>
        <v>2</v>
      </c>
      <c r="C199" t="str">
        <f t="shared" si="10"/>
        <v>Bristol, City ofRehabilitation at home (pathway 1)</v>
      </c>
      <c r="D199" t="str">
        <f>VLOOKUP(G199,PathwayLookup!A:B,2,0)</f>
        <v>Reablement &amp; Rehabilitation at home  (pathway 1)</v>
      </c>
      <c r="E199" t="s">
        <v>95</v>
      </c>
      <c r="F199" t="s">
        <v>629</v>
      </c>
      <c r="G199" t="s">
        <v>719</v>
      </c>
      <c r="H199">
        <v>94</v>
      </c>
      <c r="I199">
        <v>97</v>
      </c>
      <c r="J199">
        <v>94</v>
      </c>
      <c r="K199">
        <v>94</v>
      </c>
      <c r="L199">
        <v>94</v>
      </c>
      <c r="M199">
        <v>91</v>
      </c>
      <c r="N199">
        <v>92</v>
      </c>
      <c r="O199">
        <v>89</v>
      </c>
      <c r="P199">
        <v>92</v>
      </c>
      <c r="Q199">
        <v>92</v>
      </c>
      <c r="R199">
        <v>86</v>
      </c>
      <c r="S199">
        <v>92</v>
      </c>
      <c r="T199">
        <f t="shared" si="11"/>
        <v>1107</v>
      </c>
      <c r="U199">
        <v>1</v>
      </c>
    </row>
    <row r="200" spans="1:21" x14ac:dyDescent="0.3">
      <c r="A200" t="str">
        <f t="shared" si="9"/>
        <v/>
      </c>
      <c r="B200" t="str">
        <f>IF(C200="","",COUNTIF($C$2:C200,C200))</f>
        <v/>
      </c>
      <c r="C200" t="str">
        <f t="shared" si="10"/>
        <v/>
      </c>
      <c r="D200" t="str">
        <f>VLOOKUP(G200,PathwayLookup!A:B,2,0)</f>
        <v>Reablement &amp; Rehabilitation in a bedded setting (pathway 2)</v>
      </c>
      <c r="E200" t="s">
        <v>95</v>
      </c>
      <c r="F200" t="s">
        <v>554</v>
      </c>
      <c r="G200" t="s">
        <v>722</v>
      </c>
      <c r="H200">
        <v>0</v>
      </c>
      <c r="I200">
        <v>0</v>
      </c>
      <c r="J200">
        <v>0</v>
      </c>
      <c r="K200">
        <v>0</v>
      </c>
      <c r="L200">
        <v>0</v>
      </c>
      <c r="M200">
        <v>0</v>
      </c>
      <c r="N200">
        <v>0</v>
      </c>
      <c r="O200">
        <v>0</v>
      </c>
      <c r="P200">
        <v>0</v>
      </c>
      <c r="Q200">
        <v>0</v>
      </c>
      <c r="R200">
        <v>0</v>
      </c>
      <c r="S200">
        <v>0</v>
      </c>
      <c r="T200">
        <f t="shared" si="11"/>
        <v>0</v>
      </c>
      <c r="U200">
        <v>1</v>
      </c>
    </row>
    <row r="201" spans="1:21" x14ac:dyDescent="0.3">
      <c r="A201" t="str">
        <f t="shared" si="9"/>
        <v/>
      </c>
      <c r="B201" t="str">
        <f>IF(C201="","",COUNTIF($C$2:C201,C201))</f>
        <v/>
      </c>
      <c r="C201" t="str">
        <f t="shared" si="10"/>
        <v/>
      </c>
      <c r="D201" t="str">
        <f>VLOOKUP(G201,PathwayLookup!A:B,2,0)</f>
        <v>Reablement &amp; Rehabilitation in a bedded setting (pathway 2)</v>
      </c>
      <c r="E201" t="s">
        <v>95</v>
      </c>
      <c r="F201" t="s">
        <v>629</v>
      </c>
      <c r="G201" t="s">
        <v>722</v>
      </c>
      <c r="H201">
        <v>0</v>
      </c>
      <c r="I201">
        <v>0</v>
      </c>
      <c r="J201">
        <v>0</v>
      </c>
      <c r="K201">
        <v>0</v>
      </c>
      <c r="L201">
        <v>0</v>
      </c>
      <c r="M201">
        <v>0</v>
      </c>
      <c r="N201">
        <v>0</v>
      </c>
      <c r="O201">
        <v>0</v>
      </c>
      <c r="P201">
        <v>0</v>
      </c>
      <c r="Q201">
        <v>0</v>
      </c>
      <c r="R201">
        <v>0</v>
      </c>
      <c r="S201">
        <v>0</v>
      </c>
      <c r="T201">
        <f t="shared" si="11"/>
        <v>0</v>
      </c>
      <c r="U201">
        <v>1</v>
      </c>
    </row>
    <row r="202" spans="1:21" x14ac:dyDescent="0.3">
      <c r="A202" t="str">
        <f t="shared" si="9"/>
        <v>Bristol, City ofReablement &amp; Rehabilitation in a bedded setting (pathway 2)1</v>
      </c>
      <c r="B202">
        <f>IF(C202="","",COUNTIF($C$2:C202,C202))</f>
        <v>1</v>
      </c>
      <c r="C202" t="str">
        <f t="shared" si="10"/>
        <v>Bristol, City ofRehabilitation in a bedded setting (pathway 2)</v>
      </c>
      <c r="D202" t="str">
        <f>VLOOKUP(G202,PathwayLookup!A:B,2,0)</f>
        <v>Reablement &amp; Rehabilitation in a bedded setting (pathway 2)</v>
      </c>
      <c r="E202" t="s">
        <v>95</v>
      </c>
      <c r="F202" t="s">
        <v>554</v>
      </c>
      <c r="G202" t="s">
        <v>724</v>
      </c>
      <c r="H202">
        <v>33</v>
      </c>
      <c r="I202">
        <v>35</v>
      </c>
      <c r="J202">
        <v>33</v>
      </c>
      <c r="K202">
        <v>34</v>
      </c>
      <c r="L202">
        <v>34</v>
      </c>
      <c r="M202">
        <v>33</v>
      </c>
      <c r="N202">
        <v>33</v>
      </c>
      <c r="O202">
        <v>32</v>
      </c>
      <c r="P202">
        <v>33</v>
      </c>
      <c r="Q202">
        <v>33</v>
      </c>
      <c r="R202">
        <v>31</v>
      </c>
      <c r="S202">
        <v>33</v>
      </c>
      <c r="T202">
        <f t="shared" si="11"/>
        <v>397</v>
      </c>
      <c r="U202">
        <v>1</v>
      </c>
    </row>
    <row r="203" spans="1:21" x14ac:dyDescent="0.3">
      <c r="A203" t="str">
        <f t="shared" si="9"/>
        <v>Bristol, City ofReablement &amp; Rehabilitation in a bedded setting (pathway 2)2</v>
      </c>
      <c r="B203">
        <f>IF(C203="","",COUNTIF($C$2:C203,C203))</f>
        <v>2</v>
      </c>
      <c r="C203" t="str">
        <f t="shared" si="10"/>
        <v>Bristol, City ofRehabilitation in a bedded setting (pathway 2)</v>
      </c>
      <c r="D203" t="str">
        <f>VLOOKUP(G203,PathwayLookup!A:B,2,0)</f>
        <v>Reablement &amp; Rehabilitation in a bedded setting (pathway 2)</v>
      </c>
      <c r="E203" t="s">
        <v>95</v>
      </c>
      <c r="F203" t="s">
        <v>629</v>
      </c>
      <c r="G203" t="s">
        <v>724</v>
      </c>
      <c r="H203">
        <v>19</v>
      </c>
      <c r="I203">
        <v>20</v>
      </c>
      <c r="J203">
        <v>19</v>
      </c>
      <c r="K203">
        <v>20</v>
      </c>
      <c r="L203">
        <v>20</v>
      </c>
      <c r="M203">
        <v>19</v>
      </c>
      <c r="N203">
        <v>20</v>
      </c>
      <c r="O203">
        <v>19</v>
      </c>
      <c r="P203">
        <v>20</v>
      </c>
      <c r="Q203">
        <v>20</v>
      </c>
      <c r="R203">
        <v>19</v>
      </c>
      <c r="S203">
        <v>20</v>
      </c>
      <c r="T203">
        <f t="shared" si="11"/>
        <v>235</v>
      </c>
      <c r="U203">
        <v>1</v>
      </c>
    </row>
    <row r="204" spans="1:21" x14ac:dyDescent="0.3">
      <c r="A204" t="str">
        <f t="shared" si="9"/>
        <v>Bristol, City ofShort-term residential/nursing care for someone likely to require a longer-term care home placement (pathway 3)1</v>
      </c>
      <c r="B204">
        <f>IF(C204="","",COUNTIF($C$2:C204,C204))</f>
        <v>1</v>
      </c>
      <c r="C204" t="str">
        <f t="shared" si="10"/>
        <v>Bristol, City ofShort-term residential/nursing care for someone likely to require a longer-term care home placement (pathway 3)</v>
      </c>
      <c r="D204" t="str">
        <f>VLOOKUP(G204,PathwayLookup!A:B,2,0)</f>
        <v>Short-term residential/nursing care for someone likely to require a longer-term care home placement (pathway 3)</v>
      </c>
      <c r="E204" t="s">
        <v>95</v>
      </c>
      <c r="F204" t="s">
        <v>554</v>
      </c>
      <c r="G204" t="s">
        <v>686</v>
      </c>
      <c r="H204">
        <v>19</v>
      </c>
      <c r="I204">
        <v>19</v>
      </c>
      <c r="J204">
        <v>19</v>
      </c>
      <c r="K204">
        <v>18</v>
      </c>
      <c r="L204">
        <v>18</v>
      </c>
      <c r="M204">
        <v>18</v>
      </c>
      <c r="N204">
        <v>17</v>
      </c>
      <c r="O204">
        <v>17</v>
      </c>
      <c r="P204">
        <v>17</v>
      </c>
      <c r="Q204">
        <v>17</v>
      </c>
      <c r="R204">
        <v>16</v>
      </c>
      <c r="S204">
        <v>17</v>
      </c>
      <c r="T204">
        <f t="shared" si="11"/>
        <v>212</v>
      </c>
      <c r="U204">
        <v>1</v>
      </c>
    </row>
    <row r="205" spans="1:21" x14ac:dyDescent="0.3">
      <c r="A205" t="str">
        <f t="shared" si="9"/>
        <v>Bristol, City ofShort-term residential/nursing care for someone likely to require a longer-term care home placement (pathway 3)2</v>
      </c>
      <c r="B205">
        <f>IF(C205="","",COUNTIF($C$2:C205,C205))</f>
        <v>2</v>
      </c>
      <c r="C205" t="str">
        <f t="shared" si="10"/>
        <v>Bristol, City ofShort-term residential/nursing care for someone likely to require a longer-term care home placement (pathway 3)</v>
      </c>
      <c r="D205" t="str">
        <f>VLOOKUP(G205,PathwayLookup!A:B,2,0)</f>
        <v>Short-term residential/nursing care for someone likely to require a longer-term care home placement (pathway 3)</v>
      </c>
      <c r="E205" t="s">
        <v>95</v>
      </c>
      <c r="F205" t="s">
        <v>629</v>
      </c>
      <c r="G205" t="s">
        <v>686</v>
      </c>
      <c r="H205">
        <v>19</v>
      </c>
      <c r="I205">
        <v>20</v>
      </c>
      <c r="J205">
        <v>19</v>
      </c>
      <c r="K205">
        <v>19</v>
      </c>
      <c r="L205">
        <v>19</v>
      </c>
      <c r="M205">
        <v>19</v>
      </c>
      <c r="N205">
        <v>17</v>
      </c>
      <c r="O205">
        <v>17</v>
      </c>
      <c r="P205">
        <v>17</v>
      </c>
      <c r="Q205">
        <v>17</v>
      </c>
      <c r="R205">
        <v>16</v>
      </c>
      <c r="S205">
        <v>17</v>
      </c>
      <c r="T205">
        <f t="shared" si="11"/>
        <v>216</v>
      </c>
      <c r="U205">
        <v>1</v>
      </c>
    </row>
    <row r="206" spans="1:21" x14ac:dyDescent="0.3">
      <c r="A206" t="str">
        <f t="shared" si="9"/>
        <v>BromleySocial support (including VCS) (pathway 0)1</v>
      </c>
      <c r="B206">
        <f>IF(C206="","",COUNTIF($C$2:C206,C206))</f>
        <v>1</v>
      </c>
      <c r="C206" t="str">
        <f t="shared" si="10"/>
        <v>BromleySocial support (including VCS) (pathway 0)</v>
      </c>
      <c r="D206" t="str">
        <f>VLOOKUP(G206,PathwayLookup!A:B,2,0)</f>
        <v>Social support (including VCS) (pathway 0)</v>
      </c>
      <c r="E206" t="s">
        <v>97</v>
      </c>
      <c r="F206" t="s">
        <v>526</v>
      </c>
      <c r="G206" t="s">
        <v>682</v>
      </c>
      <c r="H206">
        <v>280</v>
      </c>
      <c r="I206">
        <v>290</v>
      </c>
      <c r="J206">
        <v>306</v>
      </c>
      <c r="K206">
        <v>275</v>
      </c>
      <c r="L206">
        <v>280</v>
      </c>
      <c r="M206">
        <v>300</v>
      </c>
      <c r="N206">
        <v>296</v>
      </c>
      <c r="O206">
        <v>297</v>
      </c>
      <c r="P206">
        <v>291</v>
      </c>
      <c r="Q206">
        <v>280</v>
      </c>
      <c r="R206">
        <v>288</v>
      </c>
      <c r="S206">
        <v>300</v>
      </c>
      <c r="T206">
        <f t="shared" si="11"/>
        <v>3483</v>
      </c>
      <c r="U206">
        <v>1</v>
      </c>
    </row>
    <row r="207" spans="1:21" x14ac:dyDescent="0.3">
      <c r="A207" t="str">
        <f t="shared" si="9"/>
        <v>BromleySocial support (including VCS) (pathway 0)2</v>
      </c>
      <c r="B207">
        <f>IF(C207="","",COUNTIF($C$2:C207,C207))</f>
        <v>2</v>
      </c>
      <c r="C207" t="str">
        <f t="shared" si="10"/>
        <v>BromleySocial support (including VCS) (pathway 0)</v>
      </c>
      <c r="D207" t="str">
        <f>VLOOKUP(G207,PathwayLookup!A:B,2,0)</f>
        <v>Social support (including VCS) (pathway 0)</v>
      </c>
      <c r="E207" t="s">
        <v>97</v>
      </c>
      <c r="F207" t="s">
        <v>651</v>
      </c>
      <c r="G207" t="s">
        <v>682</v>
      </c>
      <c r="H207">
        <v>17</v>
      </c>
      <c r="I207">
        <v>23</v>
      </c>
      <c r="J207">
        <v>11</v>
      </c>
      <c r="K207">
        <v>15</v>
      </c>
      <c r="L207">
        <v>17</v>
      </c>
      <c r="M207">
        <v>42</v>
      </c>
      <c r="N207">
        <v>17</v>
      </c>
      <c r="O207">
        <v>23</v>
      </c>
      <c r="P207">
        <v>14</v>
      </c>
      <c r="Q207">
        <v>12</v>
      </c>
      <c r="R207">
        <v>15</v>
      </c>
      <c r="S207">
        <v>14</v>
      </c>
      <c r="T207">
        <f t="shared" si="11"/>
        <v>220</v>
      </c>
      <c r="U207">
        <v>1</v>
      </c>
    </row>
    <row r="208" spans="1:21" x14ac:dyDescent="0.3">
      <c r="A208" t="str">
        <f t="shared" si="9"/>
        <v>BromleySocial support (including VCS) (pathway 0)3</v>
      </c>
      <c r="B208">
        <f>IF(C208="","",COUNTIF($C$2:C208,C208))</f>
        <v>3</v>
      </c>
      <c r="C208" t="str">
        <f t="shared" si="10"/>
        <v>BromleySocial support (including VCS) (pathway 0)</v>
      </c>
      <c r="D208" t="str">
        <f>VLOOKUP(G208,PathwayLookup!A:B,2,0)</f>
        <v>Social support (including VCS) (pathway 0)</v>
      </c>
      <c r="E208" t="s">
        <v>97</v>
      </c>
      <c r="F208" t="s">
        <v>651</v>
      </c>
      <c r="G208" t="s">
        <v>682</v>
      </c>
      <c r="H208">
        <v>297</v>
      </c>
      <c r="I208">
        <v>313</v>
      </c>
      <c r="J208">
        <v>317</v>
      </c>
      <c r="K208">
        <v>290</v>
      </c>
      <c r="L208">
        <v>297</v>
      </c>
      <c r="M208">
        <v>342</v>
      </c>
      <c r="N208">
        <v>313</v>
      </c>
      <c r="O208">
        <v>320</v>
      </c>
      <c r="P208">
        <v>305</v>
      </c>
      <c r="Q208">
        <v>292</v>
      </c>
      <c r="R208">
        <v>303</v>
      </c>
      <c r="S208">
        <v>314</v>
      </c>
      <c r="T208">
        <f t="shared" si="11"/>
        <v>3703</v>
      </c>
      <c r="U208">
        <v>1</v>
      </c>
    </row>
    <row r="209" spans="1:21" x14ac:dyDescent="0.3">
      <c r="A209" t="str">
        <f t="shared" si="9"/>
        <v>BromleyReablement &amp; Rehabilitation at home  (pathway 1)1</v>
      </c>
      <c r="B209">
        <f>IF(C209="","",COUNTIF($C$2:C209,C209))</f>
        <v>1</v>
      </c>
      <c r="C209" t="str">
        <f t="shared" si="10"/>
        <v>BromleyReablement at home  (pathway 1)</v>
      </c>
      <c r="D209" t="str">
        <f>VLOOKUP(G209,PathwayLookup!A:B,2,0)</f>
        <v>Reablement &amp; Rehabilitation at home  (pathway 1)</v>
      </c>
      <c r="E209" t="s">
        <v>97</v>
      </c>
      <c r="F209" t="s">
        <v>526</v>
      </c>
      <c r="G209" t="s">
        <v>718</v>
      </c>
      <c r="H209">
        <v>15</v>
      </c>
      <c r="I209">
        <v>15</v>
      </c>
      <c r="J209">
        <v>15</v>
      </c>
      <c r="K209">
        <v>20</v>
      </c>
      <c r="L209">
        <v>20</v>
      </c>
      <c r="M209">
        <v>25</v>
      </c>
      <c r="N209">
        <v>15</v>
      </c>
      <c r="O209">
        <v>20</v>
      </c>
      <c r="P209">
        <v>25</v>
      </c>
      <c r="Q209">
        <v>22</v>
      </c>
      <c r="R209">
        <v>20</v>
      </c>
      <c r="S209">
        <v>25</v>
      </c>
      <c r="T209">
        <f t="shared" si="11"/>
        <v>237</v>
      </c>
      <c r="U209">
        <v>1</v>
      </c>
    </row>
    <row r="210" spans="1:21" x14ac:dyDescent="0.3">
      <c r="A210" t="str">
        <f t="shared" si="9"/>
        <v>BromleyReablement &amp; Rehabilitation at home  (pathway 1)2</v>
      </c>
      <c r="B210">
        <f>IF(C210="","",COUNTIF($C$2:C210,C210))</f>
        <v>2</v>
      </c>
      <c r="C210" t="str">
        <f t="shared" si="10"/>
        <v>BromleyReablement at home  (pathway 1)</v>
      </c>
      <c r="D210" t="str">
        <f>VLOOKUP(G210,PathwayLookup!A:B,2,0)</f>
        <v>Reablement &amp; Rehabilitation at home  (pathway 1)</v>
      </c>
      <c r="E210" t="s">
        <v>97</v>
      </c>
      <c r="F210" t="s">
        <v>651</v>
      </c>
      <c r="G210" t="s">
        <v>718</v>
      </c>
      <c r="H210">
        <v>3</v>
      </c>
      <c r="I210">
        <v>3</v>
      </c>
      <c r="J210">
        <v>3</v>
      </c>
      <c r="K210">
        <v>3</v>
      </c>
      <c r="L210">
        <v>3</v>
      </c>
      <c r="M210">
        <v>4</v>
      </c>
      <c r="N210">
        <v>3</v>
      </c>
      <c r="O210">
        <v>4</v>
      </c>
      <c r="P210">
        <v>4</v>
      </c>
      <c r="Q210">
        <v>4</v>
      </c>
      <c r="R210">
        <v>3</v>
      </c>
      <c r="S210">
        <v>3</v>
      </c>
      <c r="T210">
        <f t="shared" si="11"/>
        <v>40</v>
      </c>
      <c r="U210">
        <v>1</v>
      </c>
    </row>
    <row r="211" spans="1:21" x14ac:dyDescent="0.3">
      <c r="A211" t="str">
        <f t="shared" si="9"/>
        <v>BromleyReablement &amp; Rehabilitation at home  (pathway 1)1</v>
      </c>
      <c r="B211">
        <f>IF(C211="","",COUNTIF($C$2:C211,C211))</f>
        <v>1</v>
      </c>
      <c r="C211" t="str">
        <f t="shared" si="10"/>
        <v>BromleyRehabilitation at home (pathway 1)</v>
      </c>
      <c r="D211" t="str">
        <f>VLOOKUP(G211,PathwayLookup!A:B,2,0)</f>
        <v>Reablement &amp; Rehabilitation at home  (pathway 1)</v>
      </c>
      <c r="E211" t="s">
        <v>97</v>
      </c>
      <c r="F211" t="s">
        <v>526</v>
      </c>
      <c r="G211" t="s">
        <v>719</v>
      </c>
      <c r="H211">
        <v>50</v>
      </c>
      <c r="I211">
        <v>50</v>
      </c>
      <c r="J211">
        <v>50</v>
      </c>
      <c r="K211">
        <v>50</v>
      </c>
      <c r="L211">
        <v>50</v>
      </c>
      <c r="M211">
        <v>50</v>
      </c>
      <c r="N211">
        <v>55</v>
      </c>
      <c r="O211">
        <v>60</v>
      </c>
      <c r="P211">
        <v>55</v>
      </c>
      <c r="Q211">
        <v>60</v>
      </c>
      <c r="R211">
        <v>60</v>
      </c>
      <c r="S211">
        <v>50</v>
      </c>
      <c r="T211">
        <f t="shared" si="11"/>
        <v>640</v>
      </c>
      <c r="U211">
        <v>1</v>
      </c>
    </row>
    <row r="212" spans="1:21" x14ac:dyDescent="0.3">
      <c r="A212" t="str">
        <f t="shared" si="9"/>
        <v>BromleyReablement &amp; Rehabilitation at home  (pathway 1)2</v>
      </c>
      <c r="B212">
        <f>IF(C212="","",COUNTIF($C$2:C212,C212))</f>
        <v>2</v>
      </c>
      <c r="C212" t="str">
        <f t="shared" si="10"/>
        <v>BromleyRehabilitation at home (pathway 1)</v>
      </c>
      <c r="D212" t="str">
        <f>VLOOKUP(G212,PathwayLookup!A:B,2,0)</f>
        <v>Reablement &amp; Rehabilitation at home  (pathway 1)</v>
      </c>
      <c r="E212" t="s">
        <v>97</v>
      </c>
      <c r="F212" t="s">
        <v>651</v>
      </c>
      <c r="G212" t="s">
        <v>719</v>
      </c>
      <c r="H212">
        <v>10</v>
      </c>
      <c r="I212">
        <v>10</v>
      </c>
      <c r="J212">
        <v>10</v>
      </c>
      <c r="K212">
        <v>10</v>
      </c>
      <c r="L212">
        <v>10</v>
      </c>
      <c r="M212">
        <v>10</v>
      </c>
      <c r="N212">
        <v>10</v>
      </c>
      <c r="O212">
        <v>10</v>
      </c>
      <c r="P212">
        <v>10</v>
      </c>
      <c r="Q212">
        <v>10</v>
      </c>
      <c r="R212">
        <v>10</v>
      </c>
      <c r="S212">
        <v>10</v>
      </c>
      <c r="T212">
        <f t="shared" si="11"/>
        <v>120</v>
      </c>
      <c r="U212">
        <v>1</v>
      </c>
    </row>
    <row r="213" spans="1:21" x14ac:dyDescent="0.3">
      <c r="A213" t="str">
        <f t="shared" si="9"/>
        <v>BromleyReablement &amp; Rehabilitation in a bedded setting (pathway 2)1</v>
      </c>
      <c r="B213">
        <f>IF(C213="","",COUNTIF($C$2:C213,C213))</f>
        <v>1</v>
      </c>
      <c r="C213" t="str">
        <f t="shared" si="10"/>
        <v>BromleyReablement in a bedded setting (pathway 2)</v>
      </c>
      <c r="D213" t="str">
        <f>VLOOKUP(G213,PathwayLookup!A:B,2,0)</f>
        <v>Reablement &amp; Rehabilitation in a bedded setting (pathway 2)</v>
      </c>
      <c r="E213" t="s">
        <v>97</v>
      </c>
      <c r="F213" t="s">
        <v>526</v>
      </c>
      <c r="G213" t="s">
        <v>722</v>
      </c>
      <c r="H213">
        <v>3</v>
      </c>
      <c r="I213">
        <v>3</v>
      </c>
      <c r="J213">
        <v>3</v>
      </c>
      <c r="K213">
        <v>3</v>
      </c>
      <c r="L213">
        <v>3</v>
      </c>
      <c r="M213">
        <v>3</v>
      </c>
      <c r="N213">
        <v>3</v>
      </c>
      <c r="O213">
        <v>3</v>
      </c>
      <c r="P213">
        <v>3</v>
      </c>
      <c r="Q213">
        <v>3</v>
      </c>
      <c r="R213">
        <v>3</v>
      </c>
      <c r="S213">
        <v>3</v>
      </c>
      <c r="T213">
        <f t="shared" si="11"/>
        <v>36</v>
      </c>
      <c r="U213">
        <v>1</v>
      </c>
    </row>
    <row r="214" spans="1:21" x14ac:dyDescent="0.3">
      <c r="A214" t="str">
        <f t="shared" si="9"/>
        <v>BromleyReablement &amp; Rehabilitation in a bedded setting (pathway 2)1</v>
      </c>
      <c r="B214">
        <f>IF(C214="","",COUNTIF($C$2:C214,C214))</f>
        <v>1</v>
      </c>
      <c r="C214" t="str">
        <f t="shared" si="10"/>
        <v>BromleyRehabilitation in a bedded setting (pathway 2)</v>
      </c>
      <c r="D214" t="str">
        <f>VLOOKUP(G214,PathwayLookup!A:B,2,0)</f>
        <v>Reablement &amp; Rehabilitation in a bedded setting (pathway 2)</v>
      </c>
      <c r="E214" t="s">
        <v>97</v>
      </c>
      <c r="F214" t="s">
        <v>526</v>
      </c>
      <c r="G214" t="s">
        <v>724</v>
      </c>
      <c r="H214">
        <v>9</v>
      </c>
      <c r="I214">
        <v>9</v>
      </c>
      <c r="J214">
        <v>9</v>
      </c>
      <c r="K214">
        <v>9</v>
      </c>
      <c r="L214">
        <v>9</v>
      </c>
      <c r="M214">
        <v>9</v>
      </c>
      <c r="N214">
        <v>9</v>
      </c>
      <c r="O214">
        <v>9</v>
      </c>
      <c r="P214">
        <v>9</v>
      </c>
      <c r="Q214">
        <v>9</v>
      </c>
      <c r="R214">
        <v>9</v>
      </c>
      <c r="S214">
        <v>9</v>
      </c>
      <c r="T214">
        <f t="shared" si="11"/>
        <v>108</v>
      </c>
      <c r="U214">
        <v>1</v>
      </c>
    </row>
    <row r="215" spans="1:21" x14ac:dyDescent="0.3">
      <c r="A215" t="str">
        <f t="shared" si="9"/>
        <v>BromleyReablement &amp; Rehabilitation in a bedded setting (pathway 2)2</v>
      </c>
      <c r="B215">
        <f>IF(C215="","",COUNTIF($C$2:C215,C215))</f>
        <v>2</v>
      </c>
      <c r="C215" t="str">
        <f t="shared" si="10"/>
        <v>BromleyRehabilitation in a bedded setting (pathway 2)</v>
      </c>
      <c r="D215" t="str">
        <f>VLOOKUP(G215,PathwayLookup!A:B,2,0)</f>
        <v>Reablement &amp; Rehabilitation in a bedded setting (pathway 2)</v>
      </c>
      <c r="E215" t="s">
        <v>97</v>
      </c>
      <c r="F215" t="s">
        <v>651</v>
      </c>
      <c r="G215" t="s">
        <v>724</v>
      </c>
      <c r="H215">
        <v>2</v>
      </c>
      <c r="I215">
        <v>2</v>
      </c>
      <c r="J215">
        <v>2</v>
      </c>
      <c r="K215">
        <v>2</v>
      </c>
      <c r="L215">
        <v>2</v>
      </c>
      <c r="M215">
        <v>2</v>
      </c>
      <c r="N215">
        <v>2</v>
      </c>
      <c r="O215">
        <v>2</v>
      </c>
      <c r="P215">
        <v>2</v>
      </c>
      <c r="Q215">
        <v>2</v>
      </c>
      <c r="R215">
        <v>2</v>
      </c>
      <c r="S215">
        <v>2</v>
      </c>
      <c r="T215">
        <f t="shared" si="11"/>
        <v>24</v>
      </c>
      <c r="U215">
        <v>1</v>
      </c>
    </row>
    <row r="216" spans="1:21" x14ac:dyDescent="0.3">
      <c r="A216" t="str">
        <f t="shared" si="9"/>
        <v>BromleyShort term domiciliary care (pathway 1)1</v>
      </c>
      <c r="B216">
        <f>IF(C216="","",COUNTIF($C$2:C216,C216))</f>
        <v>1</v>
      </c>
      <c r="C216" t="str">
        <f t="shared" si="10"/>
        <v>BromleyShort term domiciliary care (pathway 1)</v>
      </c>
      <c r="D216" t="str">
        <f>VLOOKUP(G216,PathwayLookup!A:B,2,0)</f>
        <v>Short term domiciliary care (pathway 1)</v>
      </c>
      <c r="E216" t="s">
        <v>97</v>
      </c>
      <c r="F216" t="s">
        <v>526</v>
      </c>
      <c r="G216" t="s">
        <v>684</v>
      </c>
      <c r="H216">
        <v>80</v>
      </c>
      <c r="I216">
        <v>110</v>
      </c>
      <c r="J216">
        <v>90</v>
      </c>
      <c r="K216">
        <v>90</v>
      </c>
      <c r="L216">
        <v>80</v>
      </c>
      <c r="M216">
        <v>110</v>
      </c>
      <c r="N216">
        <v>100</v>
      </c>
      <c r="O216">
        <v>70</v>
      </c>
      <c r="P216">
        <v>110</v>
      </c>
      <c r="Q216">
        <v>125</v>
      </c>
      <c r="R216">
        <v>70</v>
      </c>
      <c r="S216">
        <v>100</v>
      </c>
      <c r="T216">
        <f t="shared" si="11"/>
        <v>1135</v>
      </c>
      <c r="U216">
        <v>1</v>
      </c>
    </row>
    <row r="217" spans="1:21" x14ac:dyDescent="0.3">
      <c r="A217" t="str">
        <f t="shared" si="9"/>
        <v>BromleyShort term domiciliary care (pathway 1)2</v>
      </c>
      <c r="B217">
        <f>IF(C217="","",COUNTIF($C$2:C217,C217))</f>
        <v>2</v>
      </c>
      <c r="C217" t="str">
        <f t="shared" si="10"/>
        <v>BromleyShort term domiciliary care (pathway 1)</v>
      </c>
      <c r="D217" t="str">
        <f>VLOOKUP(G217,PathwayLookup!A:B,2,0)</f>
        <v>Short term domiciliary care (pathway 1)</v>
      </c>
      <c r="E217" t="s">
        <v>97</v>
      </c>
      <c r="F217" t="s">
        <v>651</v>
      </c>
      <c r="G217" t="s">
        <v>684</v>
      </c>
      <c r="H217">
        <v>10</v>
      </c>
      <c r="I217">
        <v>10</v>
      </c>
      <c r="J217">
        <v>10</v>
      </c>
      <c r="K217">
        <v>10</v>
      </c>
      <c r="L217">
        <v>10</v>
      </c>
      <c r="M217">
        <v>10</v>
      </c>
      <c r="N217">
        <v>10</v>
      </c>
      <c r="O217">
        <v>10</v>
      </c>
      <c r="P217">
        <v>10</v>
      </c>
      <c r="Q217">
        <v>10</v>
      </c>
      <c r="R217">
        <v>10</v>
      </c>
      <c r="S217">
        <v>10</v>
      </c>
      <c r="T217">
        <f t="shared" si="11"/>
        <v>120</v>
      </c>
      <c r="U217">
        <v>1</v>
      </c>
    </row>
    <row r="218" spans="1:21" x14ac:dyDescent="0.3">
      <c r="A218" t="str">
        <f t="shared" si="9"/>
        <v>BromleyShort-term residential/nursing care for someone likely to require a longer-term care home placement (pathway 3)1</v>
      </c>
      <c r="B218">
        <f>IF(C218="","",COUNTIF($C$2:C218,C218))</f>
        <v>1</v>
      </c>
      <c r="C218" t="str">
        <f t="shared" si="10"/>
        <v>BromleyShort-term residential/nursing care for someone likely to require a longer-term care home placement (pathway 3)</v>
      </c>
      <c r="D218" t="str">
        <f>VLOOKUP(G218,PathwayLookup!A:B,2,0)</f>
        <v>Short-term residential/nursing care for someone likely to require a longer-term care home placement (pathway 3)</v>
      </c>
      <c r="E218" t="s">
        <v>97</v>
      </c>
      <c r="F218" t="s">
        <v>526</v>
      </c>
      <c r="G218" t="s">
        <v>686</v>
      </c>
      <c r="H218">
        <v>14</v>
      </c>
      <c r="I218">
        <v>16</v>
      </c>
      <c r="J218">
        <v>15</v>
      </c>
      <c r="K218">
        <v>13</v>
      </c>
      <c r="L218">
        <v>12</v>
      </c>
      <c r="M218">
        <v>10</v>
      </c>
      <c r="N218">
        <v>12</v>
      </c>
      <c r="O218">
        <v>8</v>
      </c>
      <c r="P218">
        <v>16</v>
      </c>
      <c r="Q218">
        <v>14</v>
      </c>
      <c r="R218">
        <v>8</v>
      </c>
      <c r="S218">
        <v>15</v>
      </c>
      <c r="T218">
        <f t="shared" si="11"/>
        <v>153</v>
      </c>
      <c r="U218">
        <v>1</v>
      </c>
    </row>
    <row r="219" spans="1:21" x14ac:dyDescent="0.3">
      <c r="A219" t="str">
        <f t="shared" si="9"/>
        <v>BromleyShort-term residential/nursing care for someone likely to require a longer-term care home placement (pathway 3)2</v>
      </c>
      <c r="B219">
        <f>IF(C219="","",COUNTIF($C$2:C219,C219))</f>
        <v>2</v>
      </c>
      <c r="C219" t="str">
        <f t="shared" si="10"/>
        <v>BromleyShort-term residential/nursing care for someone likely to require a longer-term care home placement (pathway 3)</v>
      </c>
      <c r="D219" t="str">
        <f>VLOOKUP(G219,PathwayLookup!A:B,2,0)</f>
        <v>Short-term residential/nursing care for someone likely to require a longer-term care home placement (pathway 3)</v>
      </c>
      <c r="E219" t="s">
        <v>97</v>
      </c>
      <c r="F219" t="s">
        <v>651</v>
      </c>
      <c r="G219" t="s">
        <v>686</v>
      </c>
      <c r="H219">
        <v>2</v>
      </c>
      <c r="I219">
        <v>2</v>
      </c>
      <c r="J219">
        <v>2</v>
      </c>
      <c r="K219">
        <v>2</v>
      </c>
      <c r="L219">
        <v>2</v>
      </c>
      <c r="M219">
        <v>2</v>
      </c>
      <c r="N219">
        <v>2</v>
      </c>
      <c r="O219">
        <v>2</v>
      </c>
      <c r="P219">
        <v>2</v>
      </c>
      <c r="Q219">
        <v>2</v>
      </c>
      <c r="R219">
        <v>2</v>
      </c>
      <c r="S219">
        <v>2</v>
      </c>
      <c r="T219">
        <f t="shared" si="11"/>
        <v>24</v>
      </c>
      <c r="U219">
        <v>1</v>
      </c>
    </row>
    <row r="220" spans="1:21" x14ac:dyDescent="0.3">
      <c r="A220" t="str">
        <f t="shared" si="9"/>
        <v>BuckinghamshireSocial support (including VCS) (pathway 0)1</v>
      </c>
      <c r="B220">
        <f>IF(C220="","",COUNTIF($C$2:C220,C220))</f>
        <v>1</v>
      </c>
      <c r="C220" t="str">
        <f t="shared" si="10"/>
        <v>BuckinghamshireSocial support (including VCS) (pathway 0)</v>
      </c>
      <c r="D220" t="str">
        <f>VLOOKUP(G220,PathwayLookup!A:B,2,0)</f>
        <v>Social support (including VCS) (pathway 0)</v>
      </c>
      <c r="E220" t="s">
        <v>99</v>
      </c>
      <c r="F220" t="s">
        <v>468</v>
      </c>
      <c r="G220" t="s">
        <v>682</v>
      </c>
      <c r="H220">
        <v>80</v>
      </c>
      <c r="I220">
        <v>90</v>
      </c>
      <c r="J220">
        <v>121</v>
      </c>
      <c r="K220">
        <v>76</v>
      </c>
      <c r="L220">
        <v>100</v>
      </c>
      <c r="M220">
        <v>86</v>
      </c>
      <c r="N220">
        <v>119</v>
      </c>
      <c r="O220">
        <v>109</v>
      </c>
      <c r="P220">
        <v>137</v>
      </c>
      <c r="Q220">
        <v>113</v>
      </c>
      <c r="R220">
        <v>97</v>
      </c>
      <c r="S220">
        <v>102</v>
      </c>
      <c r="T220">
        <f t="shared" si="11"/>
        <v>1230</v>
      </c>
      <c r="U220">
        <v>1</v>
      </c>
    </row>
    <row r="221" spans="1:21" x14ac:dyDescent="0.3">
      <c r="A221" t="str">
        <f t="shared" si="9"/>
        <v>BuckinghamshireSocial support (including VCS) (pathway 0)2</v>
      </c>
      <c r="B221">
        <f>IF(C221="","",COUNTIF($C$2:C221,C221))</f>
        <v>2</v>
      </c>
      <c r="C221" t="str">
        <f t="shared" si="10"/>
        <v>BuckinghamshireSocial support (including VCS) (pathway 0)</v>
      </c>
      <c r="D221" t="str">
        <f>VLOOKUP(G221,PathwayLookup!A:B,2,0)</f>
        <v>Social support (including VCS) (pathway 0)</v>
      </c>
      <c r="E221" t="s">
        <v>99</v>
      </c>
      <c r="F221" t="s">
        <v>502</v>
      </c>
      <c r="G221" t="s">
        <v>682</v>
      </c>
      <c r="H221">
        <v>40</v>
      </c>
      <c r="I221">
        <v>68</v>
      </c>
      <c r="J221">
        <v>49</v>
      </c>
      <c r="K221">
        <v>60</v>
      </c>
      <c r="L221">
        <v>80</v>
      </c>
      <c r="M221">
        <v>61</v>
      </c>
      <c r="N221">
        <v>66</v>
      </c>
      <c r="O221">
        <v>59</v>
      </c>
      <c r="P221">
        <v>47</v>
      </c>
      <c r="Q221">
        <v>56</v>
      </c>
      <c r="R221">
        <v>54</v>
      </c>
      <c r="S221">
        <v>72</v>
      </c>
      <c r="T221">
        <f t="shared" si="11"/>
        <v>712</v>
      </c>
      <c r="U221">
        <v>1</v>
      </c>
    </row>
    <row r="222" spans="1:21" x14ac:dyDescent="0.3">
      <c r="A222" t="str">
        <f t="shared" si="9"/>
        <v/>
      </c>
      <c r="B222" t="str">
        <f>IF(C222="","",COUNTIF($C$2:C222,C222))</f>
        <v/>
      </c>
      <c r="C222" t="str">
        <f t="shared" si="10"/>
        <v/>
      </c>
      <c r="D222" t="str">
        <f>VLOOKUP(G222,PathwayLookup!A:B,2,0)</f>
        <v>Social support (including VCS) (pathway 0)</v>
      </c>
      <c r="E222" t="s">
        <v>99</v>
      </c>
      <c r="F222" t="s">
        <v>651</v>
      </c>
      <c r="G222" t="s">
        <v>682</v>
      </c>
      <c r="H222">
        <v>0</v>
      </c>
      <c r="I222">
        <v>0</v>
      </c>
      <c r="J222">
        <v>0</v>
      </c>
      <c r="K222">
        <v>0</v>
      </c>
      <c r="L222">
        <v>0</v>
      </c>
      <c r="M222">
        <v>0</v>
      </c>
      <c r="N222">
        <v>0</v>
      </c>
      <c r="O222">
        <v>0</v>
      </c>
      <c r="P222">
        <v>0</v>
      </c>
      <c r="Q222">
        <v>0</v>
      </c>
      <c r="R222">
        <v>0</v>
      </c>
      <c r="S222">
        <v>0</v>
      </c>
      <c r="T222">
        <f t="shared" si="11"/>
        <v>0</v>
      </c>
      <c r="U222">
        <v>1</v>
      </c>
    </row>
    <row r="223" spans="1:21" x14ac:dyDescent="0.3">
      <c r="A223" t="str">
        <f t="shared" si="9"/>
        <v>BuckinghamshireReablement &amp; Rehabilitation at home  (pathway 1)1</v>
      </c>
      <c r="B223">
        <f>IF(C223="","",COUNTIF($C$2:C223,C223))</f>
        <v>1</v>
      </c>
      <c r="C223" t="str">
        <f t="shared" si="10"/>
        <v>BuckinghamshireReablement at home  (pathway 1)</v>
      </c>
      <c r="D223" t="str">
        <f>VLOOKUP(G223,PathwayLookup!A:B,2,0)</f>
        <v>Reablement &amp; Rehabilitation at home  (pathway 1)</v>
      </c>
      <c r="E223" t="s">
        <v>99</v>
      </c>
      <c r="F223" t="s">
        <v>468</v>
      </c>
      <c r="G223" t="s">
        <v>718</v>
      </c>
      <c r="H223">
        <v>27</v>
      </c>
      <c r="I223">
        <v>27</v>
      </c>
      <c r="J223">
        <v>29</v>
      </c>
      <c r="K223">
        <v>29</v>
      </c>
      <c r="L223">
        <v>32</v>
      </c>
      <c r="M223">
        <v>32</v>
      </c>
      <c r="N223">
        <v>36</v>
      </c>
      <c r="O223">
        <v>37</v>
      </c>
      <c r="P223">
        <v>40</v>
      </c>
      <c r="Q223">
        <v>42</v>
      </c>
      <c r="R223">
        <v>43</v>
      </c>
      <c r="S223">
        <v>43</v>
      </c>
      <c r="T223">
        <f t="shared" si="11"/>
        <v>417</v>
      </c>
      <c r="U223">
        <v>1</v>
      </c>
    </row>
    <row r="224" spans="1:21" x14ac:dyDescent="0.3">
      <c r="A224" t="str">
        <f t="shared" si="9"/>
        <v>BuckinghamshireReablement &amp; Rehabilitation at home  (pathway 1)2</v>
      </c>
      <c r="B224">
        <f>IF(C224="","",COUNTIF($C$2:C224,C224))</f>
        <v>2</v>
      </c>
      <c r="C224" t="str">
        <f t="shared" si="10"/>
        <v>BuckinghamshireReablement at home  (pathway 1)</v>
      </c>
      <c r="D224" t="str">
        <f>VLOOKUP(G224,PathwayLookup!A:B,2,0)</f>
        <v>Reablement &amp; Rehabilitation at home  (pathway 1)</v>
      </c>
      <c r="E224" t="s">
        <v>99</v>
      </c>
      <c r="F224" t="s">
        <v>502</v>
      </c>
      <c r="G224" t="s">
        <v>718</v>
      </c>
      <c r="H224">
        <v>12</v>
      </c>
      <c r="I224">
        <v>12</v>
      </c>
      <c r="J224">
        <v>12</v>
      </c>
      <c r="K224">
        <v>12</v>
      </c>
      <c r="L224">
        <v>14</v>
      </c>
      <c r="M224">
        <v>14</v>
      </c>
      <c r="N224">
        <v>15</v>
      </c>
      <c r="O224">
        <v>16</v>
      </c>
      <c r="P224">
        <v>16</v>
      </c>
      <c r="Q224">
        <v>17</v>
      </c>
      <c r="R224">
        <v>19</v>
      </c>
      <c r="S224">
        <v>19</v>
      </c>
      <c r="T224">
        <f t="shared" si="11"/>
        <v>178</v>
      </c>
      <c r="U224">
        <v>1</v>
      </c>
    </row>
    <row r="225" spans="1:21" x14ac:dyDescent="0.3">
      <c r="A225" t="str">
        <f t="shared" si="9"/>
        <v>BuckinghamshireReablement &amp; Rehabilitation at home  (pathway 1)3</v>
      </c>
      <c r="B225">
        <f>IF(C225="","",COUNTIF($C$2:C225,C225))</f>
        <v>3</v>
      </c>
      <c r="C225" t="str">
        <f t="shared" si="10"/>
        <v>BuckinghamshireReablement at home  (pathway 1)</v>
      </c>
      <c r="D225" t="str">
        <f>VLOOKUP(G225,PathwayLookup!A:B,2,0)</f>
        <v>Reablement &amp; Rehabilitation at home  (pathway 1)</v>
      </c>
      <c r="E225" t="s">
        <v>99</v>
      </c>
      <c r="F225" t="s">
        <v>651</v>
      </c>
      <c r="G225" t="s">
        <v>718</v>
      </c>
      <c r="H225">
        <v>5</v>
      </c>
      <c r="I225">
        <v>5</v>
      </c>
      <c r="J225">
        <v>5</v>
      </c>
      <c r="K225">
        <v>5</v>
      </c>
      <c r="L225">
        <v>8</v>
      </c>
      <c r="M225">
        <v>8</v>
      </c>
      <c r="N225">
        <v>9</v>
      </c>
      <c r="O225">
        <v>10</v>
      </c>
      <c r="P225">
        <v>10</v>
      </c>
      <c r="Q225">
        <v>10</v>
      </c>
      <c r="R225">
        <v>10</v>
      </c>
      <c r="S225">
        <v>10</v>
      </c>
      <c r="T225">
        <f t="shared" si="11"/>
        <v>95</v>
      </c>
      <c r="U225">
        <v>1</v>
      </c>
    </row>
    <row r="226" spans="1:21" x14ac:dyDescent="0.3">
      <c r="A226" t="str">
        <f t="shared" si="9"/>
        <v>BuckinghamshireReablement &amp; Rehabilitation at home  (pathway 1)1</v>
      </c>
      <c r="B226">
        <f>IF(C226="","",COUNTIF($C$2:C226,C226))</f>
        <v>1</v>
      </c>
      <c r="C226" t="str">
        <f t="shared" si="10"/>
        <v>BuckinghamshireRehabilitation at home (pathway 1)</v>
      </c>
      <c r="D226" t="str">
        <f>VLOOKUP(G226,PathwayLookup!A:B,2,0)</f>
        <v>Reablement &amp; Rehabilitation at home  (pathway 1)</v>
      </c>
      <c r="E226" t="s">
        <v>99</v>
      </c>
      <c r="F226" t="s">
        <v>468</v>
      </c>
      <c r="G226" t="s">
        <v>719</v>
      </c>
      <c r="H226">
        <v>126</v>
      </c>
      <c r="I226">
        <v>119</v>
      </c>
      <c r="J226">
        <v>109</v>
      </c>
      <c r="K226">
        <v>111</v>
      </c>
      <c r="L226">
        <v>104</v>
      </c>
      <c r="M226">
        <v>131</v>
      </c>
      <c r="N226">
        <v>128</v>
      </c>
      <c r="O226">
        <v>109</v>
      </c>
      <c r="P226">
        <v>92</v>
      </c>
      <c r="Q226">
        <v>121</v>
      </c>
      <c r="R226">
        <v>129</v>
      </c>
      <c r="S226">
        <v>135</v>
      </c>
      <c r="T226">
        <f t="shared" si="11"/>
        <v>1414</v>
      </c>
      <c r="U226">
        <v>1</v>
      </c>
    </row>
    <row r="227" spans="1:21" x14ac:dyDescent="0.3">
      <c r="A227" t="str">
        <f t="shared" si="9"/>
        <v>BuckinghamshireReablement &amp; Rehabilitation at home  (pathway 1)2</v>
      </c>
      <c r="B227">
        <f>IF(C227="","",COUNTIF($C$2:C227,C227))</f>
        <v>2</v>
      </c>
      <c r="C227" t="str">
        <f t="shared" si="10"/>
        <v>BuckinghamshireRehabilitation at home (pathway 1)</v>
      </c>
      <c r="D227" t="str">
        <f>VLOOKUP(G227,PathwayLookup!A:B,2,0)</f>
        <v>Reablement &amp; Rehabilitation at home  (pathway 1)</v>
      </c>
      <c r="E227" t="s">
        <v>99</v>
      </c>
      <c r="F227" t="s">
        <v>502</v>
      </c>
      <c r="G227" t="s">
        <v>719</v>
      </c>
      <c r="H227">
        <v>63</v>
      </c>
      <c r="I227">
        <v>59</v>
      </c>
      <c r="J227">
        <v>55</v>
      </c>
      <c r="K227">
        <v>56</v>
      </c>
      <c r="L227">
        <v>52</v>
      </c>
      <c r="M227">
        <v>66</v>
      </c>
      <c r="N227">
        <v>64</v>
      </c>
      <c r="O227">
        <v>55</v>
      </c>
      <c r="P227">
        <v>46</v>
      </c>
      <c r="Q227">
        <v>61</v>
      </c>
      <c r="R227">
        <v>65</v>
      </c>
      <c r="S227">
        <v>68</v>
      </c>
      <c r="T227">
        <f t="shared" si="11"/>
        <v>710</v>
      </c>
      <c r="U227">
        <v>1</v>
      </c>
    </row>
    <row r="228" spans="1:21" x14ac:dyDescent="0.3">
      <c r="A228" t="str">
        <f t="shared" si="9"/>
        <v/>
      </c>
      <c r="B228" t="str">
        <f>IF(C228="","",COUNTIF($C$2:C228,C228))</f>
        <v/>
      </c>
      <c r="C228" t="str">
        <f t="shared" si="10"/>
        <v/>
      </c>
      <c r="D228" t="str">
        <f>VLOOKUP(G228,PathwayLookup!A:B,2,0)</f>
        <v>Reablement &amp; Rehabilitation at home  (pathway 1)</v>
      </c>
      <c r="E228" t="s">
        <v>99</v>
      </c>
      <c r="F228" t="s">
        <v>651</v>
      </c>
      <c r="G228" t="s">
        <v>719</v>
      </c>
      <c r="H228">
        <v>0</v>
      </c>
      <c r="I228">
        <v>0</v>
      </c>
      <c r="J228">
        <v>0</v>
      </c>
      <c r="K228">
        <v>0</v>
      </c>
      <c r="L228">
        <v>0</v>
      </c>
      <c r="M228">
        <v>0</v>
      </c>
      <c r="N228">
        <v>0</v>
      </c>
      <c r="O228">
        <v>0</v>
      </c>
      <c r="P228">
        <v>0</v>
      </c>
      <c r="Q228">
        <v>0</v>
      </c>
      <c r="R228">
        <v>0</v>
      </c>
      <c r="S228">
        <v>0</v>
      </c>
      <c r="T228">
        <f t="shared" si="11"/>
        <v>0</v>
      </c>
      <c r="U228">
        <v>1</v>
      </c>
    </row>
    <row r="229" spans="1:21" x14ac:dyDescent="0.3">
      <c r="A229" t="str">
        <f t="shared" si="9"/>
        <v>BuckinghamshireShort term domiciliary care (pathway 1)1</v>
      </c>
      <c r="B229">
        <f>IF(C229="","",COUNTIF($C$2:C229,C229))</f>
        <v>1</v>
      </c>
      <c r="C229" t="str">
        <f t="shared" si="10"/>
        <v>BuckinghamshireShort term domiciliary care (pathway 1)</v>
      </c>
      <c r="D229" t="str">
        <f>VLOOKUP(G229,PathwayLookup!A:B,2,0)</f>
        <v>Short term domiciliary care (pathway 1)</v>
      </c>
      <c r="E229" t="s">
        <v>99</v>
      </c>
      <c r="F229" t="s">
        <v>468</v>
      </c>
      <c r="G229" t="s">
        <v>684</v>
      </c>
      <c r="H229">
        <v>67</v>
      </c>
      <c r="I229">
        <v>80</v>
      </c>
      <c r="J229">
        <v>86</v>
      </c>
      <c r="K229">
        <v>71</v>
      </c>
      <c r="L229">
        <v>95</v>
      </c>
      <c r="M229">
        <v>58</v>
      </c>
      <c r="N229">
        <v>78</v>
      </c>
      <c r="O229">
        <v>90</v>
      </c>
      <c r="P229">
        <v>89</v>
      </c>
      <c r="Q229">
        <v>94</v>
      </c>
      <c r="R229">
        <v>76</v>
      </c>
      <c r="S229">
        <v>94</v>
      </c>
      <c r="T229">
        <f t="shared" si="11"/>
        <v>978</v>
      </c>
      <c r="U229">
        <v>1</v>
      </c>
    </row>
    <row r="230" spans="1:21" x14ac:dyDescent="0.3">
      <c r="A230" t="str">
        <f t="shared" si="9"/>
        <v>BuckinghamshireShort term domiciliary care (pathway 1)2</v>
      </c>
      <c r="B230">
        <f>IF(C230="","",COUNTIF($C$2:C230,C230))</f>
        <v>2</v>
      </c>
      <c r="C230" t="str">
        <f t="shared" si="10"/>
        <v>BuckinghamshireShort term domiciliary care (pathway 1)</v>
      </c>
      <c r="D230" t="str">
        <f>VLOOKUP(G230,PathwayLookup!A:B,2,0)</f>
        <v>Short term domiciliary care (pathway 1)</v>
      </c>
      <c r="E230" t="s">
        <v>99</v>
      </c>
      <c r="F230" t="s">
        <v>502</v>
      </c>
      <c r="G230" t="s">
        <v>684</v>
      </c>
      <c r="H230">
        <v>25</v>
      </c>
      <c r="I230">
        <v>47</v>
      </c>
      <c r="J230">
        <v>43</v>
      </c>
      <c r="K230">
        <v>36</v>
      </c>
      <c r="L230">
        <v>46</v>
      </c>
      <c r="M230">
        <v>29</v>
      </c>
      <c r="N230">
        <v>29</v>
      </c>
      <c r="O230">
        <v>49</v>
      </c>
      <c r="P230">
        <v>48</v>
      </c>
      <c r="Q230">
        <v>37</v>
      </c>
      <c r="R230">
        <v>39</v>
      </c>
      <c r="S230">
        <v>25</v>
      </c>
      <c r="T230">
        <f t="shared" si="11"/>
        <v>453</v>
      </c>
      <c r="U230">
        <v>1</v>
      </c>
    </row>
    <row r="231" spans="1:21" x14ac:dyDescent="0.3">
      <c r="A231" t="str">
        <f t="shared" si="9"/>
        <v>BuckinghamshireShort term domiciliary care (pathway 1)3</v>
      </c>
      <c r="B231">
        <f>IF(C231="","",COUNTIF($C$2:C231,C231))</f>
        <v>3</v>
      </c>
      <c r="C231" t="str">
        <f t="shared" si="10"/>
        <v>BuckinghamshireShort term domiciliary care (pathway 1)</v>
      </c>
      <c r="D231" t="str">
        <f>VLOOKUP(G231,PathwayLookup!A:B,2,0)</f>
        <v>Short term domiciliary care (pathway 1)</v>
      </c>
      <c r="E231" t="s">
        <v>99</v>
      </c>
      <c r="F231" t="s">
        <v>651</v>
      </c>
      <c r="G231" t="s">
        <v>684</v>
      </c>
      <c r="H231">
        <v>9</v>
      </c>
      <c r="I231">
        <v>18</v>
      </c>
      <c r="J231">
        <v>13</v>
      </c>
      <c r="K231">
        <v>11</v>
      </c>
      <c r="L231">
        <v>14</v>
      </c>
      <c r="M231">
        <v>10</v>
      </c>
      <c r="N231">
        <v>15</v>
      </c>
      <c r="O231">
        <v>21</v>
      </c>
      <c r="P231">
        <v>22</v>
      </c>
      <c r="Q231">
        <v>12</v>
      </c>
      <c r="R231">
        <v>11</v>
      </c>
      <c r="S231">
        <v>19</v>
      </c>
      <c r="T231">
        <f t="shared" si="11"/>
        <v>175</v>
      </c>
      <c r="U231">
        <v>1</v>
      </c>
    </row>
    <row r="232" spans="1:21" x14ac:dyDescent="0.3">
      <c r="A232" t="str">
        <f t="shared" si="9"/>
        <v>BuckinghamshireReablement &amp; Rehabilitation in a bedded setting (pathway 2)1</v>
      </c>
      <c r="B232">
        <f>IF(C232="","",COUNTIF($C$2:C232,C232))</f>
        <v>1</v>
      </c>
      <c r="C232" t="str">
        <f t="shared" si="10"/>
        <v>BuckinghamshireReablement in a bedded setting (pathway 2)</v>
      </c>
      <c r="D232" t="str">
        <f>VLOOKUP(G232,PathwayLookup!A:B,2,0)</f>
        <v>Reablement &amp; Rehabilitation in a bedded setting (pathway 2)</v>
      </c>
      <c r="E232" t="s">
        <v>99</v>
      </c>
      <c r="F232" t="s">
        <v>468</v>
      </c>
      <c r="G232" t="s">
        <v>722</v>
      </c>
      <c r="H232">
        <v>28</v>
      </c>
      <c r="I232">
        <v>32</v>
      </c>
      <c r="J232">
        <v>12</v>
      </c>
      <c r="K232">
        <v>21</v>
      </c>
      <c r="L232">
        <v>15</v>
      </c>
      <c r="M232">
        <v>6</v>
      </c>
      <c r="N232">
        <v>62</v>
      </c>
      <c r="O232">
        <v>60</v>
      </c>
      <c r="P232">
        <v>89</v>
      </c>
      <c r="Q232">
        <v>56</v>
      </c>
      <c r="R232">
        <v>57</v>
      </c>
      <c r="S232">
        <v>71</v>
      </c>
      <c r="T232">
        <f t="shared" si="11"/>
        <v>509</v>
      </c>
      <c r="U232">
        <v>1</v>
      </c>
    </row>
    <row r="233" spans="1:21" x14ac:dyDescent="0.3">
      <c r="A233" t="str">
        <f t="shared" si="9"/>
        <v>BuckinghamshireReablement &amp; Rehabilitation in a bedded setting (pathway 2)2</v>
      </c>
      <c r="B233">
        <f>IF(C233="","",COUNTIF($C$2:C233,C233))</f>
        <v>2</v>
      </c>
      <c r="C233" t="str">
        <f t="shared" si="10"/>
        <v>BuckinghamshireReablement in a bedded setting (pathway 2)</v>
      </c>
      <c r="D233" t="str">
        <f>VLOOKUP(G233,PathwayLookup!A:B,2,0)</f>
        <v>Reablement &amp; Rehabilitation in a bedded setting (pathway 2)</v>
      </c>
      <c r="E233" t="s">
        <v>99</v>
      </c>
      <c r="F233" t="s">
        <v>502</v>
      </c>
      <c r="G233" t="s">
        <v>722</v>
      </c>
      <c r="H233">
        <v>11</v>
      </c>
      <c r="I233">
        <v>7</v>
      </c>
      <c r="J233">
        <v>7</v>
      </c>
      <c r="K233">
        <v>5</v>
      </c>
      <c r="L233">
        <v>5</v>
      </c>
      <c r="M233">
        <v>6</v>
      </c>
      <c r="N233">
        <v>3</v>
      </c>
      <c r="O233">
        <v>8</v>
      </c>
      <c r="P233">
        <v>10</v>
      </c>
      <c r="Q233">
        <v>4</v>
      </c>
      <c r="R233">
        <v>8</v>
      </c>
      <c r="S233">
        <v>7</v>
      </c>
      <c r="T233">
        <f t="shared" si="11"/>
        <v>81</v>
      </c>
      <c r="U233">
        <v>1</v>
      </c>
    </row>
    <row r="234" spans="1:21" x14ac:dyDescent="0.3">
      <c r="A234" t="str">
        <f t="shared" si="9"/>
        <v>BuckinghamshireReablement &amp; Rehabilitation in a bedded setting (pathway 2)3</v>
      </c>
      <c r="B234">
        <f>IF(C234="","",COUNTIF($C$2:C234,C234))</f>
        <v>3</v>
      </c>
      <c r="C234" t="str">
        <f t="shared" si="10"/>
        <v>BuckinghamshireReablement in a bedded setting (pathway 2)</v>
      </c>
      <c r="D234" t="str">
        <f>VLOOKUP(G234,PathwayLookup!A:B,2,0)</f>
        <v>Reablement &amp; Rehabilitation in a bedded setting (pathway 2)</v>
      </c>
      <c r="E234" t="s">
        <v>99</v>
      </c>
      <c r="F234" t="s">
        <v>651</v>
      </c>
      <c r="G234" t="s">
        <v>722</v>
      </c>
      <c r="H234">
        <v>7</v>
      </c>
      <c r="I234">
        <v>4</v>
      </c>
      <c r="J234">
        <v>3</v>
      </c>
      <c r="K234">
        <v>2</v>
      </c>
      <c r="L234">
        <v>4</v>
      </c>
      <c r="M234">
        <v>1</v>
      </c>
      <c r="N234">
        <v>1</v>
      </c>
      <c r="O234">
        <v>0</v>
      </c>
      <c r="P234">
        <v>1</v>
      </c>
      <c r="Q234">
        <v>1</v>
      </c>
      <c r="R234">
        <v>4</v>
      </c>
      <c r="S234">
        <v>3</v>
      </c>
      <c r="T234">
        <f t="shared" si="11"/>
        <v>31</v>
      </c>
      <c r="U234">
        <v>1</v>
      </c>
    </row>
    <row r="235" spans="1:21" x14ac:dyDescent="0.3">
      <c r="A235" t="str">
        <f t="shared" si="9"/>
        <v>BuckinghamshireReablement &amp; Rehabilitation in a bedded setting (pathway 2)1</v>
      </c>
      <c r="B235">
        <f>IF(C235="","",COUNTIF($C$2:C235,C235))</f>
        <v>1</v>
      </c>
      <c r="C235" t="str">
        <f t="shared" si="10"/>
        <v>BuckinghamshireRehabilitation in a bedded setting (pathway 2)</v>
      </c>
      <c r="D235" t="str">
        <f>VLOOKUP(G235,PathwayLookup!A:B,2,0)</f>
        <v>Reablement &amp; Rehabilitation in a bedded setting (pathway 2)</v>
      </c>
      <c r="E235" t="s">
        <v>99</v>
      </c>
      <c r="F235" t="s">
        <v>468</v>
      </c>
      <c r="G235" t="s">
        <v>724</v>
      </c>
      <c r="H235">
        <v>149</v>
      </c>
      <c r="I235">
        <v>122</v>
      </c>
      <c r="J235">
        <v>122</v>
      </c>
      <c r="K235">
        <v>121</v>
      </c>
      <c r="L235">
        <v>116</v>
      </c>
      <c r="M235">
        <v>127</v>
      </c>
      <c r="N235">
        <v>111</v>
      </c>
      <c r="O235">
        <v>131</v>
      </c>
      <c r="P235">
        <v>121</v>
      </c>
      <c r="Q235">
        <v>117</v>
      </c>
      <c r="R235">
        <v>134</v>
      </c>
      <c r="S235">
        <v>131</v>
      </c>
      <c r="T235">
        <f t="shared" si="11"/>
        <v>1502</v>
      </c>
      <c r="U235">
        <v>1</v>
      </c>
    </row>
    <row r="236" spans="1:21" x14ac:dyDescent="0.3">
      <c r="A236" t="str">
        <f t="shared" si="9"/>
        <v/>
      </c>
      <c r="B236" t="str">
        <f>IF(C236="","",COUNTIF($C$2:C236,C236))</f>
        <v/>
      </c>
      <c r="C236" t="str">
        <f t="shared" si="10"/>
        <v/>
      </c>
      <c r="D236" t="str">
        <f>VLOOKUP(G236,PathwayLookup!A:B,2,0)</f>
        <v>Reablement &amp; Rehabilitation in a bedded setting (pathway 2)</v>
      </c>
      <c r="E236" t="s">
        <v>99</v>
      </c>
      <c r="F236" t="s">
        <v>502</v>
      </c>
      <c r="G236" t="s">
        <v>724</v>
      </c>
      <c r="H236">
        <v>0</v>
      </c>
      <c r="I236">
        <v>0</v>
      </c>
      <c r="J236">
        <v>0</v>
      </c>
      <c r="K236">
        <v>0</v>
      </c>
      <c r="L236">
        <v>0</v>
      </c>
      <c r="M236">
        <v>0</v>
      </c>
      <c r="N236">
        <v>0</v>
      </c>
      <c r="O236">
        <v>0</v>
      </c>
      <c r="P236">
        <v>0</v>
      </c>
      <c r="Q236">
        <v>0</v>
      </c>
      <c r="R236">
        <v>0</v>
      </c>
      <c r="S236">
        <v>0</v>
      </c>
      <c r="T236">
        <f t="shared" si="11"/>
        <v>0</v>
      </c>
      <c r="U236">
        <v>1</v>
      </c>
    </row>
    <row r="237" spans="1:21" x14ac:dyDescent="0.3">
      <c r="A237" t="str">
        <f t="shared" si="9"/>
        <v/>
      </c>
      <c r="B237" t="str">
        <f>IF(C237="","",COUNTIF($C$2:C237,C237))</f>
        <v/>
      </c>
      <c r="C237" t="str">
        <f t="shared" si="10"/>
        <v/>
      </c>
      <c r="D237" t="str">
        <f>VLOOKUP(G237,PathwayLookup!A:B,2,0)</f>
        <v>Reablement &amp; Rehabilitation in a bedded setting (pathway 2)</v>
      </c>
      <c r="E237" t="s">
        <v>99</v>
      </c>
      <c r="F237" t="s">
        <v>651</v>
      </c>
      <c r="G237" t="s">
        <v>724</v>
      </c>
      <c r="H237">
        <v>0</v>
      </c>
      <c r="I237">
        <v>0</v>
      </c>
      <c r="J237">
        <v>0</v>
      </c>
      <c r="K237">
        <v>0</v>
      </c>
      <c r="L237">
        <v>0</v>
      </c>
      <c r="M237">
        <v>0</v>
      </c>
      <c r="N237">
        <v>0</v>
      </c>
      <c r="O237">
        <v>0</v>
      </c>
      <c r="P237">
        <v>0</v>
      </c>
      <c r="Q237">
        <v>0</v>
      </c>
      <c r="R237">
        <v>0</v>
      </c>
      <c r="S237">
        <v>0</v>
      </c>
      <c r="T237">
        <f t="shared" si="11"/>
        <v>0</v>
      </c>
      <c r="U237">
        <v>1</v>
      </c>
    </row>
    <row r="238" spans="1:21" x14ac:dyDescent="0.3">
      <c r="A238" t="str">
        <f t="shared" si="9"/>
        <v/>
      </c>
      <c r="B238" t="str">
        <f>IF(C238="","",COUNTIF($C$2:C238,C238))</f>
        <v/>
      </c>
      <c r="C238" t="str">
        <f t="shared" si="10"/>
        <v/>
      </c>
      <c r="D238" t="str">
        <f>VLOOKUP(G238,PathwayLookup!A:B,2,0)</f>
        <v>Short-term residential/nursing care for someone likely to require a longer-term care home placement (pathway 3)</v>
      </c>
      <c r="E238" t="s">
        <v>99</v>
      </c>
      <c r="F238" t="s">
        <v>468</v>
      </c>
      <c r="G238" t="s">
        <v>686</v>
      </c>
      <c r="H238">
        <v>0</v>
      </c>
      <c r="I238">
        <v>0</v>
      </c>
      <c r="J238">
        <v>0</v>
      </c>
      <c r="K238">
        <v>0</v>
      </c>
      <c r="L238">
        <v>0</v>
      </c>
      <c r="M238">
        <v>0</v>
      </c>
      <c r="N238">
        <v>0</v>
      </c>
      <c r="O238">
        <v>0</v>
      </c>
      <c r="P238">
        <v>0</v>
      </c>
      <c r="Q238">
        <v>0</v>
      </c>
      <c r="R238">
        <v>0</v>
      </c>
      <c r="S238">
        <v>0</v>
      </c>
      <c r="T238">
        <f t="shared" si="11"/>
        <v>0</v>
      </c>
      <c r="U238">
        <v>1</v>
      </c>
    </row>
    <row r="239" spans="1:21" x14ac:dyDescent="0.3">
      <c r="A239" t="str">
        <f t="shared" si="9"/>
        <v/>
      </c>
      <c r="B239" t="str">
        <f>IF(C239="","",COUNTIF($C$2:C239,C239))</f>
        <v/>
      </c>
      <c r="C239" t="str">
        <f t="shared" si="10"/>
        <v/>
      </c>
      <c r="D239" t="str">
        <f>VLOOKUP(G239,PathwayLookup!A:B,2,0)</f>
        <v>Short-term residential/nursing care for someone likely to require a longer-term care home placement (pathway 3)</v>
      </c>
      <c r="E239" t="s">
        <v>99</v>
      </c>
      <c r="F239" t="s">
        <v>502</v>
      </c>
      <c r="G239" t="s">
        <v>686</v>
      </c>
      <c r="H239">
        <v>0</v>
      </c>
      <c r="I239">
        <v>0</v>
      </c>
      <c r="J239">
        <v>0</v>
      </c>
      <c r="K239">
        <v>0</v>
      </c>
      <c r="L239">
        <v>0</v>
      </c>
      <c r="M239">
        <v>0</v>
      </c>
      <c r="N239">
        <v>0</v>
      </c>
      <c r="O239">
        <v>0</v>
      </c>
      <c r="P239">
        <v>0</v>
      </c>
      <c r="Q239">
        <v>0</v>
      </c>
      <c r="R239">
        <v>0</v>
      </c>
      <c r="S239">
        <v>0</v>
      </c>
      <c r="T239">
        <f t="shared" si="11"/>
        <v>0</v>
      </c>
      <c r="U239">
        <v>1</v>
      </c>
    </row>
    <row r="240" spans="1:21" x14ac:dyDescent="0.3">
      <c r="A240" t="str">
        <f t="shared" si="9"/>
        <v/>
      </c>
      <c r="B240" t="str">
        <f>IF(C240="","",COUNTIF($C$2:C240,C240))</f>
        <v/>
      </c>
      <c r="C240" t="str">
        <f t="shared" si="10"/>
        <v/>
      </c>
      <c r="D240" t="str">
        <f>VLOOKUP(G240,PathwayLookup!A:B,2,0)</f>
        <v>Short-term residential/nursing care for someone likely to require a longer-term care home placement (pathway 3)</v>
      </c>
      <c r="E240" t="s">
        <v>99</v>
      </c>
      <c r="F240" t="s">
        <v>651</v>
      </c>
      <c r="G240" t="s">
        <v>686</v>
      </c>
      <c r="H240">
        <v>0</v>
      </c>
      <c r="I240">
        <v>0</v>
      </c>
      <c r="J240">
        <v>0</v>
      </c>
      <c r="K240">
        <v>0</v>
      </c>
      <c r="L240">
        <v>0</v>
      </c>
      <c r="M240">
        <v>0</v>
      </c>
      <c r="N240">
        <v>0</v>
      </c>
      <c r="O240">
        <v>0</v>
      </c>
      <c r="P240">
        <v>0</v>
      </c>
      <c r="Q240">
        <v>0</v>
      </c>
      <c r="R240">
        <v>0</v>
      </c>
      <c r="S240">
        <v>0</v>
      </c>
      <c r="T240">
        <f t="shared" si="11"/>
        <v>0</v>
      </c>
      <c r="U240">
        <v>1</v>
      </c>
    </row>
    <row r="241" spans="1:21" x14ac:dyDescent="0.3">
      <c r="A241" t="str">
        <f t="shared" si="9"/>
        <v>BurySocial support (including VCS) (pathway 0)1</v>
      </c>
      <c r="B241">
        <f>IF(C241="","",COUNTIF($C$2:C241,C241))</f>
        <v>1</v>
      </c>
      <c r="C241" t="str">
        <f t="shared" si="10"/>
        <v>BurySocial support (including VCS) (pathway 0)</v>
      </c>
      <c r="D241" t="str">
        <f>VLOOKUP(G241,PathwayLookup!A:B,2,0)</f>
        <v>Social support (including VCS) (pathway 0)</v>
      </c>
      <c r="E241" t="s">
        <v>101</v>
      </c>
      <c r="F241" t="s">
        <v>448</v>
      </c>
      <c r="G241" t="s">
        <v>682</v>
      </c>
      <c r="H241">
        <v>31</v>
      </c>
      <c r="I241">
        <v>55</v>
      </c>
      <c r="J241">
        <v>48</v>
      </c>
      <c r="K241">
        <v>40</v>
      </c>
      <c r="L241">
        <v>44</v>
      </c>
      <c r="M241">
        <v>48</v>
      </c>
      <c r="N241">
        <v>48</v>
      </c>
      <c r="O241">
        <v>48</v>
      </c>
      <c r="P241">
        <v>48</v>
      </c>
      <c r="Q241">
        <v>50</v>
      </c>
      <c r="R241">
        <v>40</v>
      </c>
      <c r="S241">
        <v>30</v>
      </c>
      <c r="T241">
        <f t="shared" si="11"/>
        <v>530</v>
      </c>
      <c r="U241">
        <v>1</v>
      </c>
    </row>
    <row r="242" spans="1:21" x14ac:dyDescent="0.3">
      <c r="A242" t="str">
        <f t="shared" si="9"/>
        <v>BuryReablement &amp; Rehabilitation at home  (pathway 1)1</v>
      </c>
      <c r="B242">
        <f>IF(C242="","",COUNTIF($C$2:C242,C242))</f>
        <v>1</v>
      </c>
      <c r="C242" t="str">
        <f t="shared" si="10"/>
        <v>BuryReablement at home  (pathway 1)</v>
      </c>
      <c r="D242" t="str">
        <f>VLOOKUP(G242,PathwayLookup!A:B,2,0)</f>
        <v>Reablement &amp; Rehabilitation at home  (pathway 1)</v>
      </c>
      <c r="E242" t="s">
        <v>101</v>
      </c>
      <c r="F242" t="s">
        <v>448</v>
      </c>
      <c r="G242" t="s">
        <v>718</v>
      </c>
      <c r="H242">
        <v>33</v>
      </c>
      <c r="I242">
        <v>38</v>
      </c>
      <c r="J242">
        <v>44</v>
      </c>
      <c r="K242">
        <v>22</v>
      </c>
      <c r="L242">
        <v>39</v>
      </c>
      <c r="M242">
        <v>28</v>
      </c>
      <c r="N242">
        <v>38</v>
      </c>
      <c r="O242">
        <v>77</v>
      </c>
      <c r="P242">
        <v>57</v>
      </c>
      <c r="Q242">
        <v>87</v>
      </c>
      <c r="R242">
        <v>34</v>
      </c>
      <c r="S242">
        <v>99</v>
      </c>
      <c r="T242">
        <f t="shared" si="11"/>
        <v>596</v>
      </c>
      <c r="U242">
        <v>1</v>
      </c>
    </row>
    <row r="243" spans="1:21" x14ac:dyDescent="0.3">
      <c r="A243" t="str">
        <f t="shared" si="9"/>
        <v>BuryReablement &amp; Rehabilitation at home  (pathway 1)1</v>
      </c>
      <c r="B243">
        <f>IF(C243="","",COUNTIF($C$2:C243,C243))</f>
        <v>1</v>
      </c>
      <c r="C243" t="str">
        <f t="shared" si="10"/>
        <v>BuryRehabilitation at home (pathway 1)</v>
      </c>
      <c r="D243" t="str">
        <f>VLOOKUP(G243,PathwayLookup!A:B,2,0)</f>
        <v>Reablement &amp; Rehabilitation at home  (pathway 1)</v>
      </c>
      <c r="E243" t="s">
        <v>101</v>
      </c>
      <c r="F243" t="s">
        <v>448</v>
      </c>
      <c r="G243" t="s">
        <v>719</v>
      </c>
      <c r="H243">
        <v>24</v>
      </c>
      <c r="I243">
        <v>43</v>
      </c>
      <c r="J243">
        <v>23</v>
      </c>
      <c r="K243">
        <v>33</v>
      </c>
      <c r="L243">
        <v>54</v>
      </c>
      <c r="M243">
        <v>23</v>
      </c>
      <c r="N243">
        <v>18</v>
      </c>
      <c r="O243">
        <v>23</v>
      </c>
      <c r="P243">
        <v>43</v>
      </c>
      <c r="Q243">
        <v>21</v>
      </c>
      <c r="R243">
        <v>34</v>
      </c>
      <c r="S243">
        <v>24</v>
      </c>
      <c r="T243">
        <f t="shared" si="11"/>
        <v>363</v>
      </c>
      <c r="U243">
        <v>1</v>
      </c>
    </row>
    <row r="244" spans="1:21" x14ac:dyDescent="0.3">
      <c r="A244" t="str">
        <f t="shared" si="9"/>
        <v>BuryShort term domiciliary care (pathway 1)1</v>
      </c>
      <c r="B244">
        <f>IF(C244="","",COUNTIF($C$2:C244,C244))</f>
        <v>1</v>
      </c>
      <c r="C244" t="str">
        <f t="shared" si="10"/>
        <v>BuryShort term domiciliary care (pathway 1)</v>
      </c>
      <c r="D244" t="str">
        <f>VLOOKUP(G244,PathwayLookup!A:B,2,0)</f>
        <v>Short term domiciliary care (pathway 1)</v>
      </c>
      <c r="E244" t="s">
        <v>101</v>
      </c>
      <c r="F244" t="s">
        <v>448</v>
      </c>
      <c r="G244" t="s">
        <v>684</v>
      </c>
      <c r="H244">
        <v>162</v>
      </c>
      <c r="I244">
        <v>233</v>
      </c>
      <c r="J244">
        <v>204</v>
      </c>
      <c r="K244">
        <v>230</v>
      </c>
      <c r="L244">
        <v>300</v>
      </c>
      <c r="M244">
        <v>230</v>
      </c>
      <c r="N244">
        <v>230</v>
      </c>
      <c r="O244">
        <v>230</v>
      </c>
      <c r="P244">
        <v>245</v>
      </c>
      <c r="Q244">
        <v>186</v>
      </c>
      <c r="R244">
        <v>230</v>
      </c>
      <c r="S244">
        <v>230</v>
      </c>
      <c r="T244">
        <f t="shared" si="11"/>
        <v>2710</v>
      </c>
      <c r="U244">
        <v>1</v>
      </c>
    </row>
    <row r="245" spans="1:21" x14ac:dyDescent="0.3">
      <c r="A245" t="str">
        <f t="shared" si="9"/>
        <v>BuryReablement &amp; Rehabilitation in a bedded setting (pathway 2)1</v>
      </c>
      <c r="B245">
        <f>IF(C245="","",COUNTIF($C$2:C245,C245))</f>
        <v>1</v>
      </c>
      <c r="C245" t="str">
        <f t="shared" si="10"/>
        <v>BuryReablement in a bedded setting (pathway 2)</v>
      </c>
      <c r="D245" t="str">
        <f>VLOOKUP(G245,PathwayLookup!A:B,2,0)</f>
        <v>Reablement &amp; Rehabilitation in a bedded setting (pathway 2)</v>
      </c>
      <c r="E245" t="s">
        <v>101</v>
      </c>
      <c r="F245" t="s">
        <v>448</v>
      </c>
      <c r="G245" t="s">
        <v>722</v>
      </c>
      <c r="H245">
        <v>53</v>
      </c>
      <c r="I245">
        <v>34</v>
      </c>
      <c r="J245">
        <v>48</v>
      </c>
      <c r="K245">
        <v>45</v>
      </c>
      <c r="L245">
        <v>33</v>
      </c>
      <c r="M245">
        <v>44</v>
      </c>
      <c r="N245">
        <v>36.299999999999997</v>
      </c>
      <c r="O245">
        <v>66</v>
      </c>
      <c r="P245">
        <v>70</v>
      </c>
      <c r="Q245">
        <v>80</v>
      </c>
      <c r="R245">
        <v>86</v>
      </c>
      <c r="S245">
        <v>99</v>
      </c>
      <c r="T245">
        <f t="shared" si="11"/>
        <v>694.3</v>
      </c>
      <c r="U245">
        <v>1</v>
      </c>
    </row>
    <row r="246" spans="1:21" x14ac:dyDescent="0.3">
      <c r="A246" t="str">
        <f t="shared" si="9"/>
        <v>BuryReablement &amp; Rehabilitation in a bedded setting (pathway 2)1</v>
      </c>
      <c r="B246">
        <f>IF(C246="","",COUNTIF($C$2:C246,C246))</f>
        <v>1</v>
      </c>
      <c r="C246" t="str">
        <f t="shared" si="10"/>
        <v>BuryRehabilitation in a bedded setting (pathway 2)</v>
      </c>
      <c r="D246" t="str">
        <f>VLOOKUP(G246,PathwayLookup!A:B,2,0)</f>
        <v>Reablement &amp; Rehabilitation in a bedded setting (pathway 2)</v>
      </c>
      <c r="E246" t="s">
        <v>101</v>
      </c>
      <c r="F246" t="s">
        <v>448</v>
      </c>
      <c r="G246" t="s">
        <v>724</v>
      </c>
      <c r="H246">
        <v>12</v>
      </c>
      <c r="I246">
        <v>8</v>
      </c>
      <c r="J246">
        <v>16</v>
      </c>
      <c r="K246">
        <v>19</v>
      </c>
      <c r="L246">
        <v>16</v>
      </c>
      <c r="M246">
        <v>12</v>
      </c>
      <c r="N246">
        <v>12</v>
      </c>
      <c r="O246">
        <v>16</v>
      </c>
      <c r="P246">
        <v>16</v>
      </c>
      <c r="Q246">
        <v>20</v>
      </c>
      <c r="R246">
        <v>20</v>
      </c>
      <c r="S246">
        <v>20</v>
      </c>
      <c r="T246">
        <f t="shared" si="11"/>
        <v>187</v>
      </c>
      <c r="U246">
        <v>1</v>
      </c>
    </row>
    <row r="247" spans="1:21" x14ac:dyDescent="0.3">
      <c r="A247" t="str">
        <f t="shared" si="9"/>
        <v>BuryShort-term residential/nursing care for someone likely to require a longer-term care home placement (pathway 3)1</v>
      </c>
      <c r="B247">
        <f>IF(C247="","",COUNTIF($C$2:C247,C247))</f>
        <v>1</v>
      </c>
      <c r="C247" t="str">
        <f t="shared" si="10"/>
        <v>BuryShort-term residential/nursing care for someone likely to require a longer-term care home placement (pathway 3)</v>
      </c>
      <c r="D247" t="str">
        <f>VLOOKUP(G247,PathwayLookup!A:B,2,0)</f>
        <v>Short-term residential/nursing care for someone likely to require a longer-term care home placement (pathway 3)</v>
      </c>
      <c r="E247" t="s">
        <v>101</v>
      </c>
      <c r="F247" t="s">
        <v>448</v>
      </c>
      <c r="G247" t="s">
        <v>686</v>
      </c>
      <c r="H247">
        <v>6</v>
      </c>
      <c r="I247">
        <v>6</v>
      </c>
      <c r="J247">
        <v>6</v>
      </c>
      <c r="K247">
        <v>6</v>
      </c>
      <c r="L247">
        <v>6</v>
      </c>
      <c r="M247">
        <v>6</v>
      </c>
      <c r="N247">
        <v>9</v>
      </c>
      <c r="O247">
        <v>10</v>
      </c>
      <c r="P247">
        <v>5</v>
      </c>
      <c r="Q247">
        <v>6</v>
      </c>
      <c r="R247">
        <v>7</v>
      </c>
      <c r="S247">
        <v>6</v>
      </c>
      <c r="T247">
        <f t="shared" si="11"/>
        <v>79</v>
      </c>
      <c r="U247">
        <v>1</v>
      </c>
    </row>
    <row r="248" spans="1:21" x14ac:dyDescent="0.3">
      <c r="A248" t="str">
        <f t="shared" si="9"/>
        <v>CalderdaleSocial support (including VCS) (pathway 0)1</v>
      </c>
      <c r="B248">
        <f>IF(C248="","",COUNTIF($C$2:C248,C248))</f>
        <v>1</v>
      </c>
      <c r="C248" t="str">
        <f t="shared" si="10"/>
        <v>CalderdaleSocial support (including VCS) (pathway 0)</v>
      </c>
      <c r="D248" t="str">
        <f>VLOOKUP(G248,PathwayLookup!A:B,2,0)</f>
        <v>Social support (including VCS) (pathway 0)</v>
      </c>
      <c r="E248" t="s">
        <v>103</v>
      </c>
      <c r="F248" t="s">
        <v>469</v>
      </c>
      <c r="G248" t="s">
        <v>682</v>
      </c>
      <c r="H248">
        <v>1064</v>
      </c>
      <c r="I248">
        <v>1099</v>
      </c>
      <c r="J248">
        <v>1064</v>
      </c>
      <c r="K248">
        <v>1099</v>
      </c>
      <c r="L248">
        <v>1099</v>
      </c>
      <c r="M248">
        <v>1064</v>
      </c>
      <c r="N248">
        <v>1099</v>
      </c>
      <c r="O248">
        <v>1064</v>
      </c>
      <c r="P248">
        <v>1099</v>
      </c>
      <c r="Q248">
        <v>1099</v>
      </c>
      <c r="R248">
        <v>1028</v>
      </c>
      <c r="S248">
        <v>1099</v>
      </c>
      <c r="T248">
        <f t="shared" si="11"/>
        <v>12977</v>
      </c>
      <c r="U248">
        <v>1</v>
      </c>
    </row>
    <row r="249" spans="1:21" x14ac:dyDescent="0.3">
      <c r="A249" t="str">
        <f t="shared" si="9"/>
        <v>CalderdaleReablement &amp; Rehabilitation at home  (pathway 1)1</v>
      </c>
      <c r="B249">
        <f>IF(C249="","",COUNTIF($C$2:C249,C249))</f>
        <v>1</v>
      </c>
      <c r="C249" t="str">
        <f t="shared" si="10"/>
        <v>CalderdaleReablement at home  (pathway 1)</v>
      </c>
      <c r="D249" t="str">
        <f>VLOOKUP(G249,PathwayLookup!A:B,2,0)</f>
        <v>Reablement &amp; Rehabilitation at home  (pathway 1)</v>
      </c>
      <c r="E249" t="s">
        <v>103</v>
      </c>
      <c r="F249" t="s">
        <v>469</v>
      </c>
      <c r="G249" t="s">
        <v>718</v>
      </c>
      <c r="H249">
        <v>32</v>
      </c>
      <c r="I249">
        <v>43</v>
      </c>
      <c r="J249">
        <v>37</v>
      </c>
      <c r="K249">
        <v>24</v>
      </c>
      <c r="L249">
        <v>20</v>
      </c>
      <c r="M249">
        <v>44</v>
      </c>
      <c r="N249">
        <v>24</v>
      </c>
      <c r="O249">
        <v>23</v>
      </c>
      <c r="P249">
        <v>36</v>
      </c>
      <c r="Q249">
        <v>47</v>
      </c>
      <c r="R249">
        <v>36</v>
      </c>
      <c r="S249">
        <v>59</v>
      </c>
      <c r="T249">
        <f t="shared" si="11"/>
        <v>425</v>
      </c>
      <c r="U249">
        <v>1</v>
      </c>
    </row>
    <row r="250" spans="1:21" x14ac:dyDescent="0.3">
      <c r="A250" t="str">
        <f t="shared" si="9"/>
        <v>CalderdaleReablement &amp; Rehabilitation at home  (pathway 1)1</v>
      </c>
      <c r="B250">
        <f>IF(C250="","",COUNTIF($C$2:C250,C250))</f>
        <v>1</v>
      </c>
      <c r="C250" t="str">
        <f t="shared" si="10"/>
        <v>CalderdaleRehabilitation at home (pathway 1)</v>
      </c>
      <c r="D250" t="str">
        <f>VLOOKUP(G250,PathwayLookup!A:B,2,0)</f>
        <v>Reablement &amp; Rehabilitation at home  (pathway 1)</v>
      </c>
      <c r="E250" t="s">
        <v>103</v>
      </c>
      <c r="F250" t="s">
        <v>469</v>
      </c>
      <c r="G250" t="s">
        <v>719</v>
      </c>
      <c r="H250">
        <v>34</v>
      </c>
      <c r="I250">
        <v>33</v>
      </c>
      <c r="J250">
        <v>34</v>
      </c>
      <c r="K250">
        <v>33</v>
      </c>
      <c r="L250">
        <v>34</v>
      </c>
      <c r="M250">
        <v>34</v>
      </c>
      <c r="N250">
        <v>33</v>
      </c>
      <c r="O250">
        <v>34</v>
      </c>
      <c r="P250">
        <v>33</v>
      </c>
      <c r="Q250">
        <v>34</v>
      </c>
      <c r="R250">
        <v>34</v>
      </c>
      <c r="S250">
        <v>32</v>
      </c>
      <c r="T250">
        <f t="shared" si="11"/>
        <v>402</v>
      </c>
      <c r="U250">
        <v>1</v>
      </c>
    </row>
    <row r="251" spans="1:21" x14ac:dyDescent="0.3">
      <c r="A251" t="str">
        <f t="shared" si="9"/>
        <v>CalderdaleShort term domiciliary care (pathway 1)1</v>
      </c>
      <c r="B251">
        <f>IF(C251="","",COUNTIF($C$2:C251,C251))</f>
        <v>1</v>
      </c>
      <c r="C251" t="str">
        <f t="shared" si="10"/>
        <v>CalderdaleShort term domiciliary care (pathway 1)</v>
      </c>
      <c r="D251" t="str">
        <f>VLOOKUP(G251,PathwayLookup!A:B,2,0)</f>
        <v>Short term domiciliary care (pathway 1)</v>
      </c>
      <c r="E251" t="s">
        <v>103</v>
      </c>
      <c r="F251" t="s">
        <v>469</v>
      </c>
      <c r="G251" t="s">
        <v>684</v>
      </c>
      <c r="H251">
        <v>41</v>
      </c>
      <c r="I251">
        <v>37</v>
      </c>
      <c r="J251">
        <v>36</v>
      </c>
      <c r="K251">
        <v>26</v>
      </c>
      <c r="L251">
        <v>30</v>
      </c>
      <c r="M251">
        <v>33</v>
      </c>
      <c r="N251">
        <v>30</v>
      </c>
      <c r="O251">
        <v>31</v>
      </c>
      <c r="P251">
        <v>45</v>
      </c>
      <c r="Q251">
        <v>56</v>
      </c>
      <c r="R251">
        <v>60</v>
      </c>
      <c r="S251">
        <v>57</v>
      </c>
      <c r="T251">
        <f t="shared" si="11"/>
        <v>482</v>
      </c>
      <c r="U251">
        <v>1</v>
      </c>
    </row>
    <row r="252" spans="1:21" x14ac:dyDescent="0.3">
      <c r="A252" t="str">
        <f t="shared" si="9"/>
        <v>CalderdaleReablement &amp; Rehabilitation in a bedded setting (pathway 2)1</v>
      </c>
      <c r="B252">
        <f>IF(C252="","",COUNTIF($C$2:C252,C252))</f>
        <v>1</v>
      </c>
      <c r="C252" t="str">
        <f t="shared" si="10"/>
        <v>CalderdaleReablement in a bedded setting (pathway 2)</v>
      </c>
      <c r="D252" t="str">
        <f>VLOOKUP(G252,PathwayLookup!A:B,2,0)</f>
        <v>Reablement &amp; Rehabilitation in a bedded setting (pathway 2)</v>
      </c>
      <c r="E252" t="s">
        <v>103</v>
      </c>
      <c r="F252" t="s">
        <v>469</v>
      </c>
      <c r="G252" t="s">
        <v>722</v>
      </c>
      <c r="H252">
        <v>50</v>
      </c>
      <c r="I252">
        <v>52</v>
      </c>
      <c r="J252">
        <v>51</v>
      </c>
      <c r="K252">
        <v>54</v>
      </c>
      <c r="L252">
        <v>51</v>
      </c>
      <c r="M252">
        <v>54</v>
      </c>
      <c r="N252">
        <v>53</v>
      </c>
      <c r="O252">
        <v>55</v>
      </c>
      <c r="P252">
        <v>57</v>
      </c>
      <c r="Q252">
        <v>54</v>
      </c>
      <c r="R252">
        <v>52</v>
      </c>
      <c r="S252">
        <v>50</v>
      </c>
      <c r="T252">
        <f t="shared" si="11"/>
        <v>633</v>
      </c>
      <c r="U252">
        <v>1</v>
      </c>
    </row>
    <row r="253" spans="1:21" x14ac:dyDescent="0.3">
      <c r="A253" t="str">
        <f t="shared" si="9"/>
        <v>CalderdaleReablement &amp; Rehabilitation in a bedded setting (pathway 2)1</v>
      </c>
      <c r="B253">
        <f>IF(C253="","",COUNTIF($C$2:C253,C253))</f>
        <v>1</v>
      </c>
      <c r="C253" t="str">
        <f t="shared" si="10"/>
        <v>CalderdaleRehabilitation in a bedded setting (pathway 2)</v>
      </c>
      <c r="D253" t="str">
        <f>VLOOKUP(G253,PathwayLookup!A:B,2,0)</f>
        <v>Reablement &amp; Rehabilitation in a bedded setting (pathway 2)</v>
      </c>
      <c r="E253" t="s">
        <v>103</v>
      </c>
      <c r="F253" t="s">
        <v>469</v>
      </c>
      <c r="G253" t="s">
        <v>724</v>
      </c>
      <c r="H253">
        <v>20</v>
      </c>
      <c r="I253">
        <v>12</v>
      </c>
      <c r="J253">
        <v>12</v>
      </c>
      <c r="K253">
        <v>10</v>
      </c>
      <c r="L253">
        <v>10</v>
      </c>
      <c r="M253">
        <v>11</v>
      </c>
      <c r="N253">
        <v>12</v>
      </c>
      <c r="O253">
        <v>12</v>
      </c>
      <c r="P253">
        <v>12</v>
      </c>
      <c r="Q253">
        <v>12</v>
      </c>
      <c r="R253">
        <v>11</v>
      </c>
      <c r="S253">
        <v>12</v>
      </c>
      <c r="T253">
        <f t="shared" si="11"/>
        <v>146</v>
      </c>
      <c r="U253">
        <v>1</v>
      </c>
    </row>
    <row r="254" spans="1:21" x14ac:dyDescent="0.3">
      <c r="A254" t="str">
        <f t="shared" si="9"/>
        <v>CalderdaleShort-term residential/nursing care for someone likely to require a longer-term care home placement (pathway 3)1</v>
      </c>
      <c r="B254">
        <f>IF(C254="","",COUNTIF($C$2:C254,C254))</f>
        <v>1</v>
      </c>
      <c r="C254" t="str">
        <f t="shared" si="10"/>
        <v>CalderdaleShort-term residential/nursing care for someone likely to require a longer-term care home placement (pathway 3)</v>
      </c>
      <c r="D254" t="str">
        <f>VLOOKUP(G254,PathwayLookup!A:B,2,0)</f>
        <v>Short-term residential/nursing care for someone likely to require a longer-term care home placement (pathway 3)</v>
      </c>
      <c r="E254" t="s">
        <v>103</v>
      </c>
      <c r="F254" t="s">
        <v>469</v>
      </c>
      <c r="G254" t="s">
        <v>686</v>
      </c>
      <c r="H254">
        <v>5</v>
      </c>
      <c r="I254">
        <v>4</v>
      </c>
      <c r="J254">
        <v>3</v>
      </c>
      <c r="K254">
        <v>5</v>
      </c>
      <c r="L254">
        <v>6</v>
      </c>
      <c r="M254">
        <v>4</v>
      </c>
      <c r="N254">
        <v>6</v>
      </c>
      <c r="O254">
        <v>6</v>
      </c>
      <c r="P254">
        <v>8</v>
      </c>
      <c r="Q254">
        <v>7</v>
      </c>
      <c r="R254">
        <v>6</v>
      </c>
      <c r="S254">
        <v>4</v>
      </c>
      <c r="T254">
        <f t="shared" si="11"/>
        <v>64</v>
      </c>
      <c r="U254">
        <v>1</v>
      </c>
    </row>
    <row r="255" spans="1:21" x14ac:dyDescent="0.3">
      <c r="A255" t="str">
        <f t="shared" si="9"/>
        <v>CambridgeshireSocial support (including VCS) (pathway 0)1</v>
      </c>
      <c r="B255">
        <f>IF(C255="","",COUNTIF($C$2:C255,C255))</f>
        <v>1</v>
      </c>
      <c r="C255" t="str">
        <f t="shared" si="10"/>
        <v>CambridgeshireSocial support (including VCS) (pathway 0)</v>
      </c>
      <c r="D255" t="str">
        <f>VLOOKUP(G255,PathwayLookup!A:B,2,0)</f>
        <v>Social support (including VCS) (pathway 0)</v>
      </c>
      <c r="E255" t="s">
        <v>105</v>
      </c>
      <c r="F255" t="s">
        <v>470</v>
      </c>
      <c r="G255" t="s">
        <v>682</v>
      </c>
      <c r="H255">
        <v>53</v>
      </c>
      <c r="I255">
        <v>60</v>
      </c>
      <c r="J255">
        <v>55</v>
      </c>
      <c r="K255">
        <v>47</v>
      </c>
      <c r="L255">
        <v>53</v>
      </c>
      <c r="M255">
        <v>43</v>
      </c>
      <c r="N255">
        <v>64</v>
      </c>
      <c r="O255">
        <v>93</v>
      </c>
      <c r="P255">
        <v>68</v>
      </c>
      <c r="Q255">
        <v>64</v>
      </c>
      <c r="R255">
        <v>53</v>
      </c>
      <c r="S255">
        <v>62</v>
      </c>
      <c r="T255">
        <f t="shared" si="11"/>
        <v>715</v>
      </c>
      <c r="U255">
        <v>1</v>
      </c>
    </row>
    <row r="256" spans="1:21" x14ac:dyDescent="0.3">
      <c r="A256" t="str">
        <f t="shared" si="9"/>
        <v>CambridgeshireSocial support (including VCS) (pathway 0)2</v>
      </c>
      <c r="B256">
        <f>IF(C256="","",COUNTIF($C$2:C256,C256))</f>
        <v>2</v>
      </c>
      <c r="C256" t="str">
        <f t="shared" si="10"/>
        <v>CambridgeshireSocial support (including VCS) (pathway 0)</v>
      </c>
      <c r="D256" t="str">
        <f>VLOOKUP(G256,PathwayLookup!A:B,2,0)</f>
        <v>Social support (including VCS) (pathway 0)</v>
      </c>
      <c r="E256" t="s">
        <v>105</v>
      </c>
      <c r="F256" t="s">
        <v>560</v>
      </c>
      <c r="G256" t="s">
        <v>682</v>
      </c>
      <c r="H256">
        <v>17</v>
      </c>
      <c r="I256">
        <v>17</v>
      </c>
      <c r="J256">
        <v>17</v>
      </c>
      <c r="K256">
        <v>17</v>
      </c>
      <c r="L256">
        <v>15</v>
      </c>
      <c r="M256">
        <v>17</v>
      </c>
      <c r="N256">
        <v>16</v>
      </c>
      <c r="O256">
        <v>20</v>
      </c>
      <c r="P256">
        <v>19</v>
      </c>
      <c r="Q256">
        <v>19</v>
      </c>
      <c r="R256">
        <v>10</v>
      </c>
      <c r="S256">
        <v>21</v>
      </c>
      <c r="T256">
        <f t="shared" si="11"/>
        <v>205</v>
      </c>
      <c r="U256">
        <v>1</v>
      </c>
    </row>
    <row r="257" spans="1:21" x14ac:dyDescent="0.3">
      <c r="A257" t="str">
        <f t="shared" si="9"/>
        <v>CambridgeshireReablement &amp; Rehabilitation at home  (pathway 1)1</v>
      </c>
      <c r="B257">
        <f>IF(C257="","",COUNTIF($C$2:C257,C257))</f>
        <v>1</v>
      </c>
      <c r="C257" t="str">
        <f t="shared" si="10"/>
        <v>CambridgeshireReablement at home  (pathway 1)</v>
      </c>
      <c r="D257" t="str">
        <f>VLOOKUP(G257,PathwayLookup!A:B,2,0)</f>
        <v>Reablement &amp; Rehabilitation at home  (pathway 1)</v>
      </c>
      <c r="E257" t="s">
        <v>105</v>
      </c>
      <c r="F257" t="s">
        <v>470</v>
      </c>
      <c r="G257" t="s">
        <v>718</v>
      </c>
      <c r="H257">
        <v>194</v>
      </c>
      <c r="I257">
        <v>199</v>
      </c>
      <c r="J257">
        <v>181</v>
      </c>
      <c r="K257">
        <v>188</v>
      </c>
      <c r="L257">
        <v>179</v>
      </c>
      <c r="M257">
        <v>182</v>
      </c>
      <c r="N257">
        <v>193</v>
      </c>
      <c r="O257">
        <v>169</v>
      </c>
      <c r="P257">
        <v>192</v>
      </c>
      <c r="Q257">
        <v>217</v>
      </c>
      <c r="R257">
        <v>176</v>
      </c>
      <c r="S257">
        <v>204</v>
      </c>
      <c r="T257">
        <f t="shared" si="11"/>
        <v>2274</v>
      </c>
      <c r="U257">
        <v>1</v>
      </c>
    </row>
    <row r="258" spans="1:21" x14ac:dyDescent="0.3">
      <c r="A258" t="str">
        <f t="shared" ref="A258:A321" si="12">IF(B258="","",E258&amp;D258&amp;B258)</f>
        <v>CambridgeshireReablement &amp; Rehabilitation at home  (pathway 1)2</v>
      </c>
      <c r="B258">
        <f>IF(C258="","",COUNTIF($C$2:C258,C258))</f>
        <v>2</v>
      </c>
      <c r="C258" t="str">
        <f t="shared" ref="C258:C321" si="13">IF(T258=0,"",E258&amp;G258)</f>
        <v>CambridgeshireReablement at home  (pathway 1)</v>
      </c>
      <c r="D258" t="str">
        <f>VLOOKUP(G258,PathwayLookup!A:B,2,0)</f>
        <v>Reablement &amp; Rehabilitation at home  (pathway 1)</v>
      </c>
      <c r="E258" t="s">
        <v>105</v>
      </c>
      <c r="F258" t="s">
        <v>560</v>
      </c>
      <c r="G258" t="s">
        <v>718</v>
      </c>
      <c r="H258">
        <v>61</v>
      </c>
      <c r="I258">
        <v>63</v>
      </c>
      <c r="J258">
        <v>57</v>
      </c>
      <c r="K258">
        <v>60</v>
      </c>
      <c r="L258">
        <v>56</v>
      </c>
      <c r="M258">
        <v>58</v>
      </c>
      <c r="N258">
        <v>61</v>
      </c>
      <c r="O258">
        <v>54</v>
      </c>
      <c r="P258">
        <v>60</v>
      </c>
      <c r="Q258">
        <v>68</v>
      </c>
      <c r="R258">
        <v>55</v>
      </c>
      <c r="S258">
        <v>64</v>
      </c>
      <c r="T258">
        <f t="shared" ref="T258:T321" si="14">SUM(H258:S258)</f>
        <v>717</v>
      </c>
      <c r="U258">
        <v>1</v>
      </c>
    </row>
    <row r="259" spans="1:21" x14ac:dyDescent="0.3">
      <c r="A259" t="str">
        <f t="shared" si="12"/>
        <v>CambridgeshireReablement &amp; Rehabilitation at home  (pathway 1)1</v>
      </c>
      <c r="B259">
        <f>IF(C259="","",COUNTIF($C$2:C259,C259))</f>
        <v>1</v>
      </c>
      <c r="C259" t="str">
        <f t="shared" si="13"/>
        <v>CambridgeshireRehabilitation at home (pathway 1)</v>
      </c>
      <c r="D259" t="str">
        <f>VLOOKUP(G259,PathwayLookup!A:B,2,0)</f>
        <v>Reablement &amp; Rehabilitation at home  (pathway 1)</v>
      </c>
      <c r="E259" t="s">
        <v>105</v>
      </c>
      <c r="F259" t="s">
        <v>470</v>
      </c>
      <c r="G259" t="s">
        <v>719</v>
      </c>
      <c r="H259">
        <v>114</v>
      </c>
      <c r="I259">
        <v>111</v>
      </c>
      <c r="J259">
        <v>71</v>
      </c>
      <c r="K259">
        <v>72</v>
      </c>
      <c r="L259">
        <v>93</v>
      </c>
      <c r="M259">
        <v>98</v>
      </c>
      <c r="N259">
        <v>87</v>
      </c>
      <c r="O259">
        <v>110</v>
      </c>
      <c r="P259">
        <v>88</v>
      </c>
      <c r="Q259">
        <v>63</v>
      </c>
      <c r="R259">
        <v>104</v>
      </c>
      <c r="S259">
        <v>76</v>
      </c>
      <c r="T259">
        <f t="shared" si="14"/>
        <v>1087</v>
      </c>
      <c r="U259">
        <v>1</v>
      </c>
    </row>
    <row r="260" spans="1:21" x14ac:dyDescent="0.3">
      <c r="A260" t="str">
        <f t="shared" si="12"/>
        <v>CambridgeshireReablement &amp; Rehabilitation at home  (pathway 1)2</v>
      </c>
      <c r="B260">
        <f>IF(C260="","",COUNTIF($C$2:C260,C260))</f>
        <v>2</v>
      </c>
      <c r="C260" t="str">
        <f t="shared" si="13"/>
        <v>CambridgeshireRehabilitation at home (pathway 1)</v>
      </c>
      <c r="D260" t="str">
        <f>VLOOKUP(G260,PathwayLookup!A:B,2,0)</f>
        <v>Reablement &amp; Rehabilitation at home  (pathway 1)</v>
      </c>
      <c r="E260" t="s">
        <v>105</v>
      </c>
      <c r="F260" t="s">
        <v>560</v>
      </c>
      <c r="G260" t="s">
        <v>719</v>
      </c>
      <c r="H260">
        <v>202</v>
      </c>
      <c r="I260">
        <v>183</v>
      </c>
      <c r="J260">
        <v>155</v>
      </c>
      <c r="K260">
        <v>164</v>
      </c>
      <c r="L260">
        <v>171</v>
      </c>
      <c r="M260">
        <v>175</v>
      </c>
      <c r="N260">
        <v>176</v>
      </c>
      <c r="O260">
        <v>181</v>
      </c>
      <c r="P260">
        <v>178</v>
      </c>
      <c r="Q260">
        <v>169</v>
      </c>
      <c r="R260">
        <v>162</v>
      </c>
      <c r="S260">
        <v>162</v>
      </c>
      <c r="T260">
        <f t="shared" si="14"/>
        <v>2078</v>
      </c>
      <c r="U260">
        <v>1</v>
      </c>
    </row>
    <row r="261" spans="1:21" x14ac:dyDescent="0.3">
      <c r="A261" t="str">
        <f t="shared" si="12"/>
        <v/>
      </c>
      <c r="B261" t="str">
        <f>IF(C261="","",COUNTIF($C$2:C261,C261))</f>
        <v/>
      </c>
      <c r="C261" t="str">
        <f t="shared" si="13"/>
        <v/>
      </c>
      <c r="D261" t="str">
        <f>VLOOKUP(G261,PathwayLookup!A:B,2,0)</f>
        <v>Short term domiciliary care (pathway 1)</v>
      </c>
      <c r="E261" t="s">
        <v>105</v>
      </c>
      <c r="F261" t="s">
        <v>470</v>
      </c>
      <c r="G261" t="s">
        <v>684</v>
      </c>
      <c r="H261">
        <v>0</v>
      </c>
      <c r="I261">
        <v>0</v>
      </c>
      <c r="J261">
        <v>0</v>
      </c>
      <c r="K261">
        <v>0</v>
      </c>
      <c r="L261">
        <v>0</v>
      </c>
      <c r="M261">
        <v>0</v>
      </c>
      <c r="N261">
        <v>0</v>
      </c>
      <c r="O261">
        <v>0</v>
      </c>
      <c r="P261">
        <v>0</v>
      </c>
      <c r="Q261">
        <v>0</v>
      </c>
      <c r="R261">
        <v>0</v>
      </c>
      <c r="S261">
        <v>0</v>
      </c>
      <c r="T261">
        <f t="shared" si="14"/>
        <v>0</v>
      </c>
      <c r="U261">
        <v>1</v>
      </c>
    </row>
    <row r="262" spans="1:21" x14ac:dyDescent="0.3">
      <c r="A262" t="str">
        <f t="shared" si="12"/>
        <v/>
      </c>
      <c r="B262" t="str">
        <f>IF(C262="","",COUNTIF($C$2:C262,C262))</f>
        <v/>
      </c>
      <c r="C262" t="str">
        <f t="shared" si="13"/>
        <v/>
      </c>
      <c r="D262" t="str">
        <f>VLOOKUP(G262,PathwayLookup!A:B,2,0)</f>
        <v>Short term domiciliary care (pathway 1)</v>
      </c>
      <c r="E262" t="s">
        <v>105</v>
      </c>
      <c r="F262" t="s">
        <v>560</v>
      </c>
      <c r="G262" t="s">
        <v>684</v>
      </c>
      <c r="H262">
        <v>0</v>
      </c>
      <c r="I262">
        <v>0</v>
      </c>
      <c r="J262">
        <v>0</v>
      </c>
      <c r="K262">
        <v>0</v>
      </c>
      <c r="L262">
        <v>0</v>
      </c>
      <c r="M262">
        <v>0</v>
      </c>
      <c r="N262">
        <v>0</v>
      </c>
      <c r="O262">
        <v>0</v>
      </c>
      <c r="P262">
        <v>0</v>
      </c>
      <c r="Q262">
        <v>0</v>
      </c>
      <c r="R262">
        <v>0</v>
      </c>
      <c r="S262">
        <v>0</v>
      </c>
      <c r="T262">
        <f t="shared" si="14"/>
        <v>0</v>
      </c>
      <c r="U262">
        <v>1</v>
      </c>
    </row>
    <row r="263" spans="1:21" x14ac:dyDescent="0.3">
      <c r="A263" t="str">
        <f t="shared" si="12"/>
        <v/>
      </c>
      <c r="B263" t="str">
        <f>IF(C263="","",COUNTIF($C$2:C263,C263))</f>
        <v/>
      </c>
      <c r="C263" t="str">
        <f t="shared" si="13"/>
        <v/>
      </c>
      <c r="D263" t="str">
        <f>VLOOKUP(G263,PathwayLookup!A:B,2,0)</f>
        <v>Reablement &amp; Rehabilitation in a bedded setting (pathway 2)</v>
      </c>
      <c r="E263" t="s">
        <v>105</v>
      </c>
      <c r="F263" t="s">
        <v>470</v>
      </c>
      <c r="G263" t="s">
        <v>722</v>
      </c>
      <c r="H263">
        <v>0</v>
      </c>
      <c r="I263">
        <v>0</v>
      </c>
      <c r="J263">
        <v>0</v>
      </c>
      <c r="K263">
        <v>0</v>
      </c>
      <c r="L263">
        <v>0</v>
      </c>
      <c r="M263">
        <v>0</v>
      </c>
      <c r="N263">
        <v>0</v>
      </c>
      <c r="O263">
        <v>0</v>
      </c>
      <c r="P263">
        <v>0</v>
      </c>
      <c r="Q263">
        <v>0</v>
      </c>
      <c r="R263">
        <v>0</v>
      </c>
      <c r="S263">
        <v>0</v>
      </c>
      <c r="T263">
        <f t="shared" si="14"/>
        <v>0</v>
      </c>
      <c r="U263">
        <v>1</v>
      </c>
    </row>
    <row r="264" spans="1:21" x14ac:dyDescent="0.3">
      <c r="A264" t="str">
        <f t="shared" si="12"/>
        <v/>
      </c>
      <c r="B264" t="str">
        <f>IF(C264="","",COUNTIF($C$2:C264,C264))</f>
        <v/>
      </c>
      <c r="C264" t="str">
        <f t="shared" si="13"/>
        <v/>
      </c>
      <c r="D264" t="str">
        <f>VLOOKUP(G264,PathwayLookup!A:B,2,0)</f>
        <v>Reablement &amp; Rehabilitation in a bedded setting (pathway 2)</v>
      </c>
      <c r="E264" t="s">
        <v>105</v>
      </c>
      <c r="F264" t="s">
        <v>560</v>
      </c>
      <c r="G264" t="s">
        <v>722</v>
      </c>
      <c r="H264">
        <v>0</v>
      </c>
      <c r="I264">
        <v>0</v>
      </c>
      <c r="J264">
        <v>0</v>
      </c>
      <c r="K264">
        <v>0</v>
      </c>
      <c r="L264">
        <v>0</v>
      </c>
      <c r="M264">
        <v>0</v>
      </c>
      <c r="N264">
        <v>0</v>
      </c>
      <c r="O264">
        <v>0</v>
      </c>
      <c r="P264">
        <v>0</v>
      </c>
      <c r="Q264">
        <v>0</v>
      </c>
      <c r="R264">
        <v>0</v>
      </c>
      <c r="S264">
        <v>0</v>
      </c>
      <c r="T264">
        <f t="shared" si="14"/>
        <v>0</v>
      </c>
      <c r="U264">
        <v>1</v>
      </c>
    </row>
    <row r="265" spans="1:21" x14ac:dyDescent="0.3">
      <c r="A265" t="str">
        <f t="shared" si="12"/>
        <v>CambridgeshireReablement &amp; Rehabilitation in a bedded setting (pathway 2)1</v>
      </c>
      <c r="B265">
        <f>IF(C265="","",COUNTIF($C$2:C265,C265))</f>
        <v>1</v>
      </c>
      <c r="C265" t="str">
        <f t="shared" si="13"/>
        <v>CambridgeshireRehabilitation in a bedded setting (pathway 2)</v>
      </c>
      <c r="D265" t="str">
        <f>VLOOKUP(G265,PathwayLookup!A:B,2,0)</f>
        <v>Reablement &amp; Rehabilitation in a bedded setting (pathway 2)</v>
      </c>
      <c r="E265" t="s">
        <v>105</v>
      </c>
      <c r="F265" t="s">
        <v>470</v>
      </c>
      <c r="G265" t="s">
        <v>724</v>
      </c>
      <c r="H265">
        <v>76</v>
      </c>
      <c r="I265">
        <v>75</v>
      </c>
      <c r="J265">
        <v>67</v>
      </c>
      <c r="K265">
        <v>74</v>
      </c>
      <c r="L265">
        <v>70</v>
      </c>
      <c r="M265">
        <v>72</v>
      </c>
      <c r="N265">
        <v>60</v>
      </c>
      <c r="O265">
        <v>70</v>
      </c>
      <c r="P265">
        <v>70</v>
      </c>
      <c r="Q265">
        <v>70</v>
      </c>
      <c r="R265">
        <v>70</v>
      </c>
      <c r="S265">
        <v>70</v>
      </c>
      <c r="T265">
        <f t="shared" si="14"/>
        <v>844</v>
      </c>
      <c r="U265">
        <v>1</v>
      </c>
    </row>
    <row r="266" spans="1:21" x14ac:dyDescent="0.3">
      <c r="A266" t="str">
        <f t="shared" si="12"/>
        <v>CambridgeshireReablement &amp; Rehabilitation in a bedded setting (pathway 2)2</v>
      </c>
      <c r="B266">
        <f>IF(C266="","",COUNTIF($C$2:C266,C266))</f>
        <v>2</v>
      </c>
      <c r="C266" t="str">
        <f t="shared" si="13"/>
        <v>CambridgeshireRehabilitation in a bedded setting (pathway 2)</v>
      </c>
      <c r="D266" t="str">
        <f>VLOOKUP(G266,PathwayLookup!A:B,2,0)</f>
        <v>Reablement &amp; Rehabilitation in a bedded setting (pathway 2)</v>
      </c>
      <c r="E266" t="s">
        <v>105</v>
      </c>
      <c r="F266" t="s">
        <v>560</v>
      </c>
      <c r="G266" t="s">
        <v>724</v>
      </c>
      <c r="H266">
        <v>41</v>
      </c>
      <c r="I266">
        <v>40</v>
      </c>
      <c r="J266">
        <v>36</v>
      </c>
      <c r="K266">
        <v>40</v>
      </c>
      <c r="L266">
        <v>38</v>
      </c>
      <c r="M266">
        <v>39</v>
      </c>
      <c r="N266">
        <v>32</v>
      </c>
      <c r="O266">
        <v>38</v>
      </c>
      <c r="P266">
        <v>38</v>
      </c>
      <c r="Q266">
        <v>38</v>
      </c>
      <c r="R266">
        <v>38</v>
      </c>
      <c r="S266">
        <v>38</v>
      </c>
      <c r="T266">
        <f t="shared" si="14"/>
        <v>456</v>
      </c>
      <c r="U266">
        <v>1</v>
      </c>
    </row>
    <row r="267" spans="1:21" x14ac:dyDescent="0.3">
      <c r="A267" t="str">
        <f t="shared" si="12"/>
        <v>CambridgeshireShort-term residential/nursing care for someone likely to require a longer-term care home placement (pathway 3)1</v>
      </c>
      <c r="B267">
        <f>IF(C267="","",COUNTIF($C$2:C267,C267))</f>
        <v>1</v>
      </c>
      <c r="C267" t="str">
        <f t="shared" si="13"/>
        <v>CambridgeshireShort-term residential/nursing care for someone likely to require a longer-term care home placement (pathway 3)</v>
      </c>
      <c r="D267" t="str">
        <f>VLOOKUP(G267,PathwayLookup!A:B,2,0)</f>
        <v>Short-term residential/nursing care for someone likely to require a longer-term care home placement (pathway 3)</v>
      </c>
      <c r="E267" t="s">
        <v>105</v>
      </c>
      <c r="F267" t="s">
        <v>470</v>
      </c>
      <c r="G267" t="s">
        <v>686</v>
      </c>
      <c r="H267">
        <v>128</v>
      </c>
      <c r="I267">
        <v>121</v>
      </c>
      <c r="J267">
        <v>183</v>
      </c>
      <c r="K267">
        <v>206</v>
      </c>
      <c r="L267">
        <v>206</v>
      </c>
      <c r="M267">
        <v>182</v>
      </c>
      <c r="N267">
        <v>190</v>
      </c>
      <c r="O267">
        <v>224</v>
      </c>
      <c r="P267">
        <v>190</v>
      </c>
      <c r="Q267">
        <v>155</v>
      </c>
      <c r="R267">
        <v>181</v>
      </c>
      <c r="S267">
        <v>201</v>
      </c>
      <c r="T267">
        <f t="shared" si="14"/>
        <v>2167</v>
      </c>
      <c r="U267">
        <v>1</v>
      </c>
    </row>
    <row r="268" spans="1:21" x14ac:dyDescent="0.3">
      <c r="A268" t="str">
        <f t="shared" si="12"/>
        <v>CambridgeshireShort-term residential/nursing care for someone likely to require a longer-term care home placement (pathway 3)2</v>
      </c>
      <c r="B268">
        <f>IF(C268="","",COUNTIF($C$2:C268,C268))</f>
        <v>2</v>
      </c>
      <c r="C268" t="str">
        <f t="shared" si="13"/>
        <v>CambridgeshireShort-term residential/nursing care for someone likely to require a longer-term care home placement (pathway 3)</v>
      </c>
      <c r="D268" t="str">
        <f>VLOOKUP(G268,PathwayLookup!A:B,2,0)</f>
        <v>Short-term residential/nursing care for someone likely to require a longer-term care home placement (pathway 3)</v>
      </c>
      <c r="E268" t="s">
        <v>105</v>
      </c>
      <c r="F268" t="s">
        <v>560</v>
      </c>
      <c r="G268" t="s">
        <v>686</v>
      </c>
      <c r="H268">
        <v>12</v>
      </c>
      <c r="I268">
        <v>13</v>
      </c>
      <c r="J268">
        <v>12</v>
      </c>
      <c r="K268">
        <v>12</v>
      </c>
      <c r="L268">
        <v>12</v>
      </c>
      <c r="M268">
        <v>12</v>
      </c>
      <c r="N268">
        <v>12</v>
      </c>
      <c r="O268">
        <v>12</v>
      </c>
      <c r="P268">
        <v>12</v>
      </c>
      <c r="Q268">
        <v>12</v>
      </c>
      <c r="R268">
        <v>12</v>
      </c>
      <c r="S268">
        <v>12</v>
      </c>
      <c r="T268">
        <f t="shared" si="14"/>
        <v>145</v>
      </c>
      <c r="U268">
        <v>1</v>
      </c>
    </row>
    <row r="269" spans="1:21" x14ac:dyDescent="0.3">
      <c r="A269" t="str">
        <f t="shared" si="12"/>
        <v/>
      </c>
      <c r="B269" t="str">
        <f>IF(C269="","",COUNTIF($C$2:C269,C269))</f>
        <v/>
      </c>
      <c r="C269" t="str">
        <f t="shared" si="13"/>
        <v/>
      </c>
      <c r="D269" t="str">
        <f>VLOOKUP(G269,PathwayLookup!A:B,2,0)</f>
        <v>Social support (including VCS) (pathway 0)</v>
      </c>
      <c r="E269" t="s">
        <v>107</v>
      </c>
      <c r="F269" t="s">
        <v>751</v>
      </c>
      <c r="G269" t="s">
        <v>682</v>
      </c>
      <c r="H269">
        <v>0</v>
      </c>
      <c r="I269">
        <v>0</v>
      </c>
      <c r="J269">
        <v>0</v>
      </c>
      <c r="K269">
        <v>0</v>
      </c>
      <c r="L269">
        <v>0</v>
      </c>
      <c r="M269">
        <v>0</v>
      </c>
      <c r="N269">
        <v>0</v>
      </c>
      <c r="O269">
        <v>0</v>
      </c>
      <c r="P269">
        <v>0</v>
      </c>
      <c r="Q269">
        <v>0</v>
      </c>
      <c r="R269">
        <v>0</v>
      </c>
      <c r="S269">
        <v>0</v>
      </c>
      <c r="T269">
        <f t="shared" si="14"/>
        <v>0</v>
      </c>
      <c r="U269">
        <v>1</v>
      </c>
    </row>
    <row r="270" spans="1:21" x14ac:dyDescent="0.3">
      <c r="A270" t="str">
        <f t="shared" si="12"/>
        <v/>
      </c>
      <c r="B270" t="str">
        <f>IF(C270="","",COUNTIF($C$2:C270,C270))</f>
        <v/>
      </c>
      <c r="C270" t="str">
        <f t="shared" si="13"/>
        <v/>
      </c>
      <c r="D270" t="str">
        <f>VLOOKUP(G270,PathwayLookup!A:B,2,0)</f>
        <v>Reablement &amp; Rehabilitation at home  (pathway 1)</v>
      </c>
      <c r="E270" t="s">
        <v>107</v>
      </c>
      <c r="F270" t="s">
        <v>448</v>
      </c>
      <c r="G270" t="s">
        <v>718</v>
      </c>
      <c r="H270">
        <v>0</v>
      </c>
      <c r="I270">
        <v>0</v>
      </c>
      <c r="J270">
        <v>0</v>
      </c>
      <c r="K270">
        <v>0</v>
      </c>
      <c r="L270">
        <v>0</v>
      </c>
      <c r="M270">
        <v>0</v>
      </c>
      <c r="N270">
        <v>0</v>
      </c>
      <c r="O270">
        <v>0</v>
      </c>
      <c r="P270">
        <v>0</v>
      </c>
      <c r="Q270">
        <v>0</v>
      </c>
      <c r="R270">
        <v>0</v>
      </c>
      <c r="S270">
        <v>0</v>
      </c>
      <c r="T270">
        <f t="shared" si="14"/>
        <v>0</v>
      </c>
      <c r="U270">
        <v>1</v>
      </c>
    </row>
    <row r="271" spans="1:21" x14ac:dyDescent="0.3">
      <c r="A271" t="str">
        <f t="shared" si="12"/>
        <v>CamdenReablement &amp; Rehabilitation at home  (pathway 1)1</v>
      </c>
      <c r="B271">
        <f>IF(C271="","",COUNTIF($C$2:C271,C271))</f>
        <v>1</v>
      </c>
      <c r="C271" t="str">
        <f t="shared" si="13"/>
        <v>CamdenReablement at home  (pathway 1)</v>
      </c>
      <c r="D271" t="str">
        <f>VLOOKUP(G271,PathwayLookup!A:B,2,0)</f>
        <v>Reablement &amp; Rehabilitation at home  (pathway 1)</v>
      </c>
      <c r="E271" t="s">
        <v>107</v>
      </c>
      <c r="F271" t="s">
        <v>578</v>
      </c>
      <c r="G271" t="s">
        <v>718</v>
      </c>
      <c r="H271">
        <v>38</v>
      </c>
      <c r="I271">
        <v>46</v>
      </c>
      <c r="J271">
        <v>34</v>
      </c>
      <c r="K271">
        <v>41</v>
      </c>
      <c r="L271">
        <v>32</v>
      </c>
      <c r="M271">
        <v>41</v>
      </c>
      <c r="N271">
        <v>35</v>
      </c>
      <c r="O271">
        <v>35</v>
      </c>
      <c r="P271">
        <v>41</v>
      </c>
      <c r="Q271">
        <v>35</v>
      </c>
      <c r="R271">
        <v>32</v>
      </c>
      <c r="S271">
        <v>40</v>
      </c>
      <c r="T271">
        <f t="shared" si="14"/>
        <v>450</v>
      </c>
      <c r="U271">
        <v>1</v>
      </c>
    </row>
    <row r="272" spans="1:21" x14ac:dyDescent="0.3">
      <c r="A272" t="str">
        <f t="shared" si="12"/>
        <v>CamdenReablement &amp; Rehabilitation at home  (pathway 1)2</v>
      </c>
      <c r="B272">
        <f>IF(C272="","",COUNTIF($C$2:C272,C272))</f>
        <v>2</v>
      </c>
      <c r="C272" t="str">
        <f t="shared" si="13"/>
        <v>CamdenReablement at home  (pathway 1)</v>
      </c>
      <c r="D272" t="str">
        <f>VLOOKUP(G272,PathwayLookup!A:B,2,0)</f>
        <v>Reablement &amp; Rehabilitation at home  (pathway 1)</v>
      </c>
      <c r="E272" t="s">
        <v>107</v>
      </c>
      <c r="F272" t="s">
        <v>626</v>
      </c>
      <c r="G272" t="s">
        <v>718</v>
      </c>
      <c r="H272">
        <v>31</v>
      </c>
      <c r="I272">
        <v>33</v>
      </c>
      <c r="J272">
        <v>28</v>
      </c>
      <c r="K272">
        <v>35</v>
      </c>
      <c r="L272">
        <v>26</v>
      </c>
      <c r="M272">
        <v>34</v>
      </c>
      <c r="N272">
        <v>25</v>
      </c>
      <c r="O272">
        <v>25</v>
      </c>
      <c r="P272">
        <v>25</v>
      </c>
      <c r="Q272">
        <v>21</v>
      </c>
      <c r="R272">
        <v>27</v>
      </c>
      <c r="S272">
        <v>24</v>
      </c>
      <c r="T272">
        <f t="shared" si="14"/>
        <v>334</v>
      </c>
      <c r="U272">
        <v>1</v>
      </c>
    </row>
    <row r="273" spans="1:21" x14ac:dyDescent="0.3">
      <c r="A273" t="str">
        <f t="shared" si="12"/>
        <v>CamdenReablement &amp; Rehabilitation at home  (pathway 1)3</v>
      </c>
      <c r="B273">
        <f>IF(C273="","",COUNTIF($C$2:C273,C273))</f>
        <v>3</v>
      </c>
      <c r="C273" t="str">
        <f t="shared" si="13"/>
        <v>CamdenReablement at home  (pathway 1)</v>
      </c>
      <c r="D273" t="str">
        <f>VLOOKUP(G273,PathwayLookup!A:B,2,0)</f>
        <v>Reablement &amp; Rehabilitation at home  (pathway 1)</v>
      </c>
      <c r="E273" t="s">
        <v>107</v>
      </c>
      <c r="F273" t="s">
        <v>643</v>
      </c>
      <c r="G273" t="s">
        <v>718</v>
      </c>
      <c r="H273">
        <v>3</v>
      </c>
      <c r="I273">
        <v>2</v>
      </c>
      <c r="J273">
        <v>1</v>
      </c>
      <c r="K273">
        <v>3</v>
      </c>
      <c r="L273">
        <v>4</v>
      </c>
      <c r="M273">
        <v>5</v>
      </c>
      <c r="N273">
        <v>1</v>
      </c>
      <c r="O273">
        <v>4</v>
      </c>
      <c r="P273">
        <v>2</v>
      </c>
      <c r="Q273">
        <v>3</v>
      </c>
      <c r="R273">
        <v>3</v>
      </c>
      <c r="S273">
        <v>2</v>
      </c>
      <c r="T273">
        <f t="shared" si="14"/>
        <v>33</v>
      </c>
      <c r="U273">
        <v>1</v>
      </c>
    </row>
    <row r="274" spans="1:21" x14ac:dyDescent="0.3">
      <c r="A274" t="str">
        <f t="shared" si="12"/>
        <v/>
      </c>
      <c r="B274" t="str">
        <f>IF(C274="","",COUNTIF($C$2:C274,C274))</f>
        <v/>
      </c>
      <c r="C274" t="str">
        <f t="shared" si="13"/>
        <v/>
      </c>
      <c r="D274" t="str">
        <f>VLOOKUP(G274,PathwayLookup!A:B,2,0)</f>
        <v>Reablement &amp; Rehabilitation at home  (pathway 1)</v>
      </c>
      <c r="E274" t="s">
        <v>107</v>
      </c>
      <c r="F274" t="s">
        <v>448</v>
      </c>
      <c r="G274" t="s">
        <v>719</v>
      </c>
      <c r="H274">
        <v>0</v>
      </c>
      <c r="I274">
        <v>0</v>
      </c>
      <c r="J274">
        <v>0</v>
      </c>
      <c r="K274">
        <v>0</v>
      </c>
      <c r="L274">
        <v>0</v>
      </c>
      <c r="M274">
        <v>0</v>
      </c>
      <c r="N274">
        <v>0</v>
      </c>
      <c r="O274">
        <v>0</v>
      </c>
      <c r="P274">
        <v>0</v>
      </c>
      <c r="Q274">
        <v>0</v>
      </c>
      <c r="R274">
        <v>0</v>
      </c>
      <c r="S274">
        <v>0</v>
      </c>
      <c r="T274">
        <f t="shared" si="14"/>
        <v>0</v>
      </c>
      <c r="U274">
        <v>1</v>
      </c>
    </row>
    <row r="275" spans="1:21" x14ac:dyDescent="0.3">
      <c r="A275" t="str">
        <f t="shared" si="12"/>
        <v>CamdenReablement &amp; Rehabilitation at home  (pathway 1)1</v>
      </c>
      <c r="B275">
        <f>IF(C275="","",COUNTIF($C$2:C275,C275))</f>
        <v>1</v>
      </c>
      <c r="C275" t="str">
        <f t="shared" si="13"/>
        <v>CamdenRehabilitation at home (pathway 1)</v>
      </c>
      <c r="D275" t="str">
        <f>VLOOKUP(G275,PathwayLookup!A:B,2,0)</f>
        <v>Reablement &amp; Rehabilitation at home  (pathway 1)</v>
      </c>
      <c r="E275" t="s">
        <v>107</v>
      </c>
      <c r="F275" t="s">
        <v>578</v>
      </c>
      <c r="G275" t="s">
        <v>719</v>
      </c>
      <c r="H275">
        <v>8</v>
      </c>
      <c r="I275">
        <v>8</v>
      </c>
      <c r="J275">
        <v>8</v>
      </c>
      <c r="K275">
        <v>8</v>
      </c>
      <c r="L275">
        <v>8</v>
      </c>
      <c r="M275">
        <v>8</v>
      </c>
      <c r="N275">
        <v>8</v>
      </c>
      <c r="O275">
        <v>8</v>
      </c>
      <c r="P275">
        <v>8</v>
      </c>
      <c r="Q275">
        <v>8</v>
      </c>
      <c r="R275">
        <v>7</v>
      </c>
      <c r="S275">
        <v>8</v>
      </c>
      <c r="T275">
        <f t="shared" si="14"/>
        <v>95</v>
      </c>
      <c r="U275">
        <v>1</v>
      </c>
    </row>
    <row r="276" spans="1:21" x14ac:dyDescent="0.3">
      <c r="A276" t="str">
        <f t="shared" si="12"/>
        <v>CamdenReablement &amp; Rehabilitation at home  (pathway 1)2</v>
      </c>
      <c r="B276">
        <f>IF(C276="","",COUNTIF($C$2:C276,C276))</f>
        <v>2</v>
      </c>
      <c r="C276" t="str">
        <f t="shared" si="13"/>
        <v>CamdenRehabilitation at home (pathway 1)</v>
      </c>
      <c r="D276" t="str">
        <f>VLOOKUP(G276,PathwayLookup!A:B,2,0)</f>
        <v>Reablement &amp; Rehabilitation at home  (pathway 1)</v>
      </c>
      <c r="E276" t="s">
        <v>107</v>
      </c>
      <c r="F276" t="s">
        <v>626</v>
      </c>
      <c r="G276" t="s">
        <v>719</v>
      </c>
      <c r="H276">
        <v>4</v>
      </c>
      <c r="I276">
        <v>5</v>
      </c>
      <c r="J276">
        <v>4</v>
      </c>
      <c r="K276">
        <v>5</v>
      </c>
      <c r="L276">
        <v>5</v>
      </c>
      <c r="M276">
        <v>4</v>
      </c>
      <c r="N276">
        <v>5</v>
      </c>
      <c r="O276">
        <v>4</v>
      </c>
      <c r="P276">
        <v>5</v>
      </c>
      <c r="Q276">
        <v>5</v>
      </c>
      <c r="R276">
        <v>4</v>
      </c>
      <c r="S276">
        <v>5</v>
      </c>
      <c r="T276">
        <f t="shared" si="14"/>
        <v>55</v>
      </c>
      <c r="U276">
        <v>1</v>
      </c>
    </row>
    <row r="277" spans="1:21" x14ac:dyDescent="0.3">
      <c r="A277" t="str">
        <f t="shared" si="12"/>
        <v/>
      </c>
      <c r="B277" t="str">
        <f>IF(C277="","",COUNTIF($C$2:C277,C277))</f>
        <v/>
      </c>
      <c r="C277" t="str">
        <f t="shared" si="13"/>
        <v/>
      </c>
      <c r="D277" t="str">
        <f>VLOOKUP(G277,PathwayLookup!A:B,2,0)</f>
        <v>Reablement &amp; Rehabilitation at home  (pathway 1)</v>
      </c>
      <c r="E277" t="s">
        <v>107</v>
      </c>
      <c r="F277" t="s">
        <v>651</v>
      </c>
      <c r="G277" t="s">
        <v>719</v>
      </c>
      <c r="H277">
        <v>0</v>
      </c>
      <c r="I277">
        <v>0</v>
      </c>
      <c r="J277">
        <v>0</v>
      </c>
      <c r="K277">
        <v>0</v>
      </c>
      <c r="L277">
        <v>0</v>
      </c>
      <c r="M277">
        <v>0</v>
      </c>
      <c r="N277">
        <v>0</v>
      </c>
      <c r="O277">
        <v>0</v>
      </c>
      <c r="P277">
        <v>0</v>
      </c>
      <c r="Q277">
        <v>0</v>
      </c>
      <c r="R277">
        <v>0</v>
      </c>
      <c r="S277">
        <v>0</v>
      </c>
      <c r="T277">
        <f t="shared" si="14"/>
        <v>0</v>
      </c>
      <c r="U277">
        <v>1</v>
      </c>
    </row>
    <row r="278" spans="1:21" x14ac:dyDescent="0.3">
      <c r="A278" t="str">
        <f t="shared" si="12"/>
        <v>CamdenShort term domiciliary care (pathway 1)1</v>
      </c>
      <c r="B278">
        <f>IF(C278="","",COUNTIF($C$2:C278,C278))</f>
        <v>1</v>
      </c>
      <c r="C278" t="str">
        <f t="shared" si="13"/>
        <v>CamdenShort term domiciliary care (pathway 1)</v>
      </c>
      <c r="D278" t="str">
        <f>VLOOKUP(G278,PathwayLookup!A:B,2,0)</f>
        <v>Short term domiciliary care (pathway 1)</v>
      </c>
      <c r="E278" t="s">
        <v>107</v>
      </c>
      <c r="F278" t="s">
        <v>578</v>
      </c>
      <c r="G278" t="s">
        <v>684</v>
      </c>
      <c r="H278">
        <v>49</v>
      </c>
      <c r="I278">
        <v>46</v>
      </c>
      <c r="J278">
        <v>41</v>
      </c>
      <c r="K278">
        <v>53</v>
      </c>
      <c r="L278">
        <v>32</v>
      </c>
      <c r="M278">
        <v>52</v>
      </c>
      <c r="N278">
        <v>38</v>
      </c>
      <c r="O278">
        <v>43</v>
      </c>
      <c r="P278">
        <v>58</v>
      </c>
      <c r="Q278">
        <v>64</v>
      </c>
      <c r="R278">
        <v>66</v>
      </c>
      <c r="S278">
        <v>60</v>
      </c>
      <c r="T278">
        <f t="shared" si="14"/>
        <v>602</v>
      </c>
      <c r="U278">
        <v>1</v>
      </c>
    </row>
    <row r="279" spans="1:21" x14ac:dyDescent="0.3">
      <c r="A279" t="str">
        <f t="shared" si="12"/>
        <v>CamdenShort term domiciliary care (pathway 1)2</v>
      </c>
      <c r="B279">
        <f>IF(C279="","",COUNTIF($C$2:C279,C279))</f>
        <v>2</v>
      </c>
      <c r="C279" t="str">
        <f t="shared" si="13"/>
        <v>CamdenShort term domiciliary care (pathway 1)</v>
      </c>
      <c r="D279" t="str">
        <f>VLOOKUP(G279,PathwayLookup!A:B,2,0)</f>
        <v>Short term domiciliary care (pathway 1)</v>
      </c>
      <c r="E279" t="s">
        <v>107</v>
      </c>
      <c r="F279" t="s">
        <v>626</v>
      </c>
      <c r="G279" t="s">
        <v>684</v>
      </c>
      <c r="H279">
        <v>30</v>
      </c>
      <c r="I279">
        <v>16</v>
      </c>
      <c r="J279">
        <v>18</v>
      </c>
      <c r="K279">
        <v>22</v>
      </c>
      <c r="L279">
        <v>19</v>
      </c>
      <c r="M279">
        <v>31</v>
      </c>
      <c r="N279">
        <v>42</v>
      </c>
      <c r="O279">
        <v>30</v>
      </c>
      <c r="P279">
        <v>41</v>
      </c>
      <c r="Q279">
        <v>35</v>
      </c>
      <c r="R279">
        <v>40</v>
      </c>
      <c r="S279">
        <v>31</v>
      </c>
      <c r="T279">
        <f t="shared" si="14"/>
        <v>355</v>
      </c>
      <c r="U279">
        <v>1</v>
      </c>
    </row>
    <row r="280" spans="1:21" x14ac:dyDescent="0.3">
      <c r="A280" t="str">
        <f t="shared" si="12"/>
        <v>CamdenShort term domiciliary care (pathway 1)3</v>
      </c>
      <c r="B280">
        <f>IF(C280="","",COUNTIF($C$2:C280,C280))</f>
        <v>3</v>
      </c>
      <c r="C280" t="str">
        <f t="shared" si="13"/>
        <v>CamdenShort term domiciliary care (pathway 1)</v>
      </c>
      <c r="D280" t="str">
        <f>VLOOKUP(G280,PathwayLookup!A:B,2,0)</f>
        <v>Short term domiciliary care (pathway 1)</v>
      </c>
      <c r="E280" t="s">
        <v>107</v>
      </c>
      <c r="F280" t="s">
        <v>643</v>
      </c>
      <c r="G280" t="s">
        <v>684</v>
      </c>
      <c r="H280">
        <v>4</v>
      </c>
      <c r="I280">
        <v>3</v>
      </c>
      <c r="J280">
        <v>5</v>
      </c>
      <c r="K280">
        <v>3</v>
      </c>
      <c r="L280">
        <v>1</v>
      </c>
      <c r="M280">
        <v>2</v>
      </c>
      <c r="N280">
        <v>4</v>
      </c>
      <c r="O280">
        <v>2</v>
      </c>
      <c r="P280">
        <v>5</v>
      </c>
      <c r="Q280">
        <v>4</v>
      </c>
      <c r="R280">
        <v>2</v>
      </c>
      <c r="S280">
        <v>4</v>
      </c>
      <c r="T280">
        <f t="shared" si="14"/>
        <v>39</v>
      </c>
      <c r="U280">
        <v>1</v>
      </c>
    </row>
    <row r="281" spans="1:21" x14ac:dyDescent="0.3">
      <c r="A281" t="str">
        <f t="shared" si="12"/>
        <v/>
      </c>
      <c r="B281" t="str">
        <f>IF(C281="","",COUNTIF($C$2:C281,C281))</f>
        <v/>
      </c>
      <c r="C281" t="str">
        <f t="shared" si="13"/>
        <v/>
      </c>
      <c r="D281" t="str">
        <f>VLOOKUP(G281,PathwayLookup!A:B,2,0)</f>
        <v>Short term domiciliary care (pathway 1)</v>
      </c>
      <c r="E281" t="s">
        <v>107</v>
      </c>
      <c r="F281" t="s">
        <v>651</v>
      </c>
      <c r="G281" t="s">
        <v>684</v>
      </c>
      <c r="H281">
        <v>0</v>
      </c>
      <c r="I281">
        <v>0</v>
      </c>
      <c r="J281">
        <v>0</v>
      </c>
      <c r="K281">
        <v>0</v>
      </c>
      <c r="L281">
        <v>0</v>
      </c>
      <c r="M281">
        <v>0</v>
      </c>
      <c r="N281">
        <v>0</v>
      </c>
      <c r="O281">
        <v>0</v>
      </c>
      <c r="P281">
        <v>0</v>
      </c>
      <c r="Q281">
        <v>0</v>
      </c>
      <c r="R281">
        <v>0</v>
      </c>
      <c r="S281">
        <v>0</v>
      </c>
      <c r="T281">
        <f t="shared" si="14"/>
        <v>0</v>
      </c>
      <c r="U281">
        <v>1</v>
      </c>
    </row>
    <row r="282" spans="1:21" x14ac:dyDescent="0.3">
      <c r="A282" t="str">
        <f t="shared" si="12"/>
        <v>CamdenReablement &amp; Rehabilitation in a bedded setting (pathway 2)1</v>
      </c>
      <c r="B282">
        <f>IF(C282="","",COUNTIF($C$2:C282,C282))</f>
        <v>1</v>
      </c>
      <c r="C282" t="str">
        <f t="shared" si="13"/>
        <v>CamdenReablement in a bedded setting (pathway 2)</v>
      </c>
      <c r="D282" t="str">
        <f>VLOOKUP(G282,PathwayLookup!A:B,2,0)</f>
        <v>Reablement &amp; Rehabilitation in a bedded setting (pathway 2)</v>
      </c>
      <c r="E282" t="s">
        <v>107</v>
      </c>
      <c r="F282" t="s">
        <v>578</v>
      </c>
      <c r="G282" t="s">
        <v>722</v>
      </c>
      <c r="H282">
        <v>2</v>
      </c>
      <c r="I282">
        <v>2</v>
      </c>
      <c r="J282">
        <v>2</v>
      </c>
      <c r="K282">
        <v>2</v>
      </c>
      <c r="L282">
        <v>2</v>
      </c>
      <c r="M282">
        <v>2</v>
      </c>
      <c r="N282">
        <v>2</v>
      </c>
      <c r="O282">
        <v>2</v>
      </c>
      <c r="P282">
        <v>2</v>
      </c>
      <c r="Q282">
        <v>2</v>
      </c>
      <c r="R282">
        <v>2</v>
      </c>
      <c r="S282">
        <v>2</v>
      </c>
      <c r="T282">
        <f t="shared" si="14"/>
        <v>24</v>
      </c>
      <c r="U282">
        <v>1</v>
      </c>
    </row>
    <row r="283" spans="1:21" x14ac:dyDescent="0.3">
      <c r="A283" t="str">
        <f t="shared" si="12"/>
        <v>CamdenReablement &amp; Rehabilitation in a bedded setting (pathway 2)2</v>
      </c>
      <c r="B283">
        <f>IF(C283="","",COUNTIF($C$2:C283,C283))</f>
        <v>2</v>
      </c>
      <c r="C283" t="str">
        <f t="shared" si="13"/>
        <v>CamdenReablement in a bedded setting (pathway 2)</v>
      </c>
      <c r="D283" t="str">
        <f>VLOOKUP(G283,PathwayLookup!A:B,2,0)</f>
        <v>Reablement &amp; Rehabilitation in a bedded setting (pathway 2)</v>
      </c>
      <c r="E283" t="s">
        <v>107</v>
      </c>
      <c r="F283" t="s">
        <v>626</v>
      </c>
      <c r="G283" t="s">
        <v>722</v>
      </c>
      <c r="H283">
        <v>3</v>
      </c>
      <c r="I283">
        <v>3</v>
      </c>
      <c r="J283">
        <v>3</v>
      </c>
      <c r="K283">
        <v>3</v>
      </c>
      <c r="L283">
        <v>3</v>
      </c>
      <c r="M283">
        <v>3</v>
      </c>
      <c r="N283">
        <v>3</v>
      </c>
      <c r="O283">
        <v>3</v>
      </c>
      <c r="P283">
        <v>3</v>
      </c>
      <c r="Q283">
        <v>3</v>
      </c>
      <c r="R283">
        <v>3</v>
      </c>
      <c r="S283">
        <v>3</v>
      </c>
      <c r="T283">
        <f t="shared" si="14"/>
        <v>36</v>
      </c>
      <c r="U283">
        <v>1</v>
      </c>
    </row>
    <row r="284" spans="1:21" x14ac:dyDescent="0.3">
      <c r="A284" t="str">
        <f t="shared" si="12"/>
        <v/>
      </c>
      <c r="B284" t="str">
        <f>IF(C284="","",COUNTIF($C$2:C284,C284))</f>
        <v/>
      </c>
      <c r="C284" t="str">
        <f t="shared" si="13"/>
        <v/>
      </c>
      <c r="D284" t="str">
        <f>VLOOKUP(G284,PathwayLookup!A:B,2,0)</f>
        <v>Reablement &amp; Rehabilitation in a bedded setting (pathway 2)</v>
      </c>
      <c r="E284" t="s">
        <v>107</v>
      </c>
      <c r="F284" t="s">
        <v>643</v>
      </c>
      <c r="G284" t="s">
        <v>722</v>
      </c>
      <c r="H284">
        <v>0</v>
      </c>
      <c r="I284">
        <v>0</v>
      </c>
      <c r="J284">
        <v>0</v>
      </c>
      <c r="K284">
        <v>0</v>
      </c>
      <c r="L284">
        <v>0</v>
      </c>
      <c r="M284">
        <v>0</v>
      </c>
      <c r="N284">
        <v>0</v>
      </c>
      <c r="O284">
        <v>0</v>
      </c>
      <c r="P284">
        <v>0</v>
      </c>
      <c r="Q284">
        <v>0</v>
      </c>
      <c r="R284">
        <v>0</v>
      </c>
      <c r="S284">
        <v>0</v>
      </c>
      <c r="T284">
        <f t="shared" si="14"/>
        <v>0</v>
      </c>
      <c r="U284">
        <v>1</v>
      </c>
    </row>
    <row r="285" spans="1:21" x14ac:dyDescent="0.3">
      <c r="A285" t="str">
        <f t="shared" si="12"/>
        <v/>
      </c>
      <c r="B285" t="str">
        <f>IF(C285="","",COUNTIF($C$2:C285,C285))</f>
        <v/>
      </c>
      <c r="C285" t="str">
        <f t="shared" si="13"/>
        <v/>
      </c>
      <c r="D285" t="str">
        <f>VLOOKUP(G285,PathwayLookup!A:B,2,0)</f>
        <v>Reablement &amp; Rehabilitation in a bedded setting (pathway 2)</v>
      </c>
      <c r="E285" t="s">
        <v>107</v>
      </c>
      <c r="F285" t="s">
        <v>651</v>
      </c>
      <c r="G285" t="s">
        <v>722</v>
      </c>
      <c r="H285">
        <v>0</v>
      </c>
      <c r="I285">
        <v>0</v>
      </c>
      <c r="J285">
        <v>0</v>
      </c>
      <c r="K285">
        <v>0</v>
      </c>
      <c r="L285">
        <v>0</v>
      </c>
      <c r="M285">
        <v>0</v>
      </c>
      <c r="N285">
        <v>0</v>
      </c>
      <c r="O285">
        <v>0</v>
      </c>
      <c r="P285">
        <v>0</v>
      </c>
      <c r="Q285">
        <v>0</v>
      </c>
      <c r="R285">
        <v>0</v>
      </c>
      <c r="S285">
        <v>0</v>
      </c>
      <c r="T285">
        <f t="shared" si="14"/>
        <v>0</v>
      </c>
      <c r="U285">
        <v>1</v>
      </c>
    </row>
    <row r="286" spans="1:21" x14ac:dyDescent="0.3">
      <c r="A286" t="str">
        <f t="shared" si="12"/>
        <v>CamdenReablement &amp; Rehabilitation in a bedded setting (pathway 2)1</v>
      </c>
      <c r="B286">
        <f>IF(C286="","",COUNTIF($C$2:C286,C286))</f>
        <v>1</v>
      </c>
      <c r="C286" t="str">
        <f t="shared" si="13"/>
        <v>CamdenRehabilitation in a bedded setting (pathway 2)</v>
      </c>
      <c r="D286" t="str">
        <f>VLOOKUP(G286,PathwayLookup!A:B,2,0)</f>
        <v>Reablement &amp; Rehabilitation in a bedded setting (pathway 2)</v>
      </c>
      <c r="E286" t="s">
        <v>107</v>
      </c>
      <c r="F286" t="s">
        <v>454</v>
      </c>
      <c r="G286" t="s">
        <v>724</v>
      </c>
      <c r="H286">
        <v>1</v>
      </c>
      <c r="I286">
        <v>1</v>
      </c>
      <c r="J286">
        <v>1</v>
      </c>
      <c r="K286">
        <v>1</v>
      </c>
      <c r="L286">
        <v>1</v>
      </c>
      <c r="M286">
        <v>1</v>
      </c>
      <c r="N286">
        <v>1</v>
      </c>
      <c r="O286">
        <v>1</v>
      </c>
      <c r="P286">
        <v>1</v>
      </c>
      <c r="Q286">
        <v>1</v>
      </c>
      <c r="R286">
        <v>1</v>
      </c>
      <c r="S286">
        <v>1</v>
      </c>
      <c r="T286">
        <f t="shared" si="14"/>
        <v>12</v>
      </c>
      <c r="U286">
        <v>1</v>
      </c>
    </row>
    <row r="287" spans="1:21" x14ac:dyDescent="0.3">
      <c r="A287" t="str">
        <f t="shared" si="12"/>
        <v>CamdenReablement &amp; Rehabilitation in a bedded setting (pathway 2)2</v>
      </c>
      <c r="B287">
        <f>IF(C287="","",COUNTIF($C$2:C287,C287))</f>
        <v>2</v>
      </c>
      <c r="C287" t="str">
        <f t="shared" si="13"/>
        <v>CamdenRehabilitation in a bedded setting (pathway 2)</v>
      </c>
      <c r="D287" t="str">
        <f>VLOOKUP(G287,PathwayLookup!A:B,2,0)</f>
        <v>Reablement &amp; Rehabilitation in a bedded setting (pathway 2)</v>
      </c>
      <c r="E287" t="s">
        <v>107</v>
      </c>
      <c r="F287" t="s">
        <v>578</v>
      </c>
      <c r="G287" t="s">
        <v>724</v>
      </c>
      <c r="H287">
        <v>13</v>
      </c>
      <c r="I287">
        <v>15</v>
      </c>
      <c r="J287">
        <v>11</v>
      </c>
      <c r="K287">
        <v>12</v>
      </c>
      <c r="L287">
        <v>10</v>
      </c>
      <c r="M287">
        <v>14</v>
      </c>
      <c r="N287">
        <v>10</v>
      </c>
      <c r="O287">
        <v>14</v>
      </c>
      <c r="P287">
        <v>15</v>
      </c>
      <c r="Q287">
        <v>21</v>
      </c>
      <c r="R287">
        <v>16</v>
      </c>
      <c r="S287">
        <v>18</v>
      </c>
      <c r="T287">
        <f t="shared" si="14"/>
        <v>169</v>
      </c>
      <c r="U287">
        <v>1</v>
      </c>
    </row>
    <row r="288" spans="1:21" x14ac:dyDescent="0.3">
      <c r="A288" t="str">
        <f t="shared" si="12"/>
        <v>CamdenReablement &amp; Rehabilitation in a bedded setting (pathway 2)3</v>
      </c>
      <c r="B288">
        <f>IF(C288="","",COUNTIF($C$2:C288,C288))</f>
        <v>3</v>
      </c>
      <c r="C288" t="str">
        <f t="shared" si="13"/>
        <v>CamdenRehabilitation in a bedded setting (pathway 2)</v>
      </c>
      <c r="D288" t="str">
        <f>VLOOKUP(G288,PathwayLookup!A:B,2,0)</f>
        <v>Reablement &amp; Rehabilitation in a bedded setting (pathway 2)</v>
      </c>
      <c r="E288" t="s">
        <v>107</v>
      </c>
      <c r="F288" t="s">
        <v>626</v>
      </c>
      <c r="G288" t="s">
        <v>724</v>
      </c>
      <c r="H288">
        <v>15</v>
      </c>
      <c r="I288">
        <v>15</v>
      </c>
      <c r="J288">
        <v>12</v>
      </c>
      <c r="K288">
        <v>21</v>
      </c>
      <c r="L288">
        <v>17</v>
      </c>
      <c r="M288">
        <v>17</v>
      </c>
      <c r="N288">
        <v>16</v>
      </c>
      <c r="O288">
        <v>20</v>
      </c>
      <c r="P288">
        <v>22</v>
      </c>
      <c r="Q288">
        <v>23</v>
      </c>
      <c r="R288">
        <v>19</v>
      </c>
      <c r="S288">
        <v>15</v>
      </c>
      <c r="T288">
        <f t="shared" si="14"/>
        <v>212</v>
      </c>
      <c r="U288">
        <v>1</v>
      </c>
    </row>
    <row r="289" spans="1:21" x14ac:dyDescent="0.3">
      <c r="A289" t="str">
        <f t="shared" si="12"/>
        <v>CamdenReablement &amp; Rehabilitation in a bedded setting (pathway 2)4</v>
      </c>
      <c r="B289">
        <f>IF(C289="","",COUNTIF($C$2:C289,C289))</f>
        <v>4</v>
      </c>
      <c r="C289" t="str">
        <f t="shared" si="13"/>
        <v>CamdenRehabilitation in a bedded setting (pathway 2)</v>
      </c>
      <c r="D289" t="str">
        <f>VLOOKUP(G289,PathwayLookup!A:B,2,0)</f>
        <v>Reablement &amp; Rehabilitation in a bedded setting (pathway 2)</v>
      </c>
      <c r="E289" t="s">
        <v>107</v>
      </c>
      <c r="F289" t="s">
        <v>643</v>
      </c>
      <c r="G289" t="s">
        <v>724</v>
      </c>
      <c r="H289">
        <v>1</v>
      </c>
      <c r="I289">
        <v>1</v>
      </c>
      <c r="J289">
        <v>2</v>
      </c>
      <c r="K289">
        <v>2</v>
      </c>
      <c r="L289">
        <v>1</v>
      </c>
      <c r="M289">
        <v>1</v>
      </c>
      <c r="N289">
        <v>1</v>
      </c>
      <c r="O289">
        <v>1</v>
      </c>
      <c r="P289">
        <v>1</v>
      </c>
      <c r="Q289">
        <v>1</v>
      </c>
      <c r="R289">
        <v>1</v>
      </c>
      <c r="S289">
        <v>1</v>
      </c>
      <c r="T289">
        <f t="shared" si="14"/>
        <v>14</v>
      </c>
      <c r="U289">
        <v>1</v>
      </c>
    </row>
    <row r="290" spans="1:21" x14ac:dyDescent="0.3">
      <c r="A290" t="str">
        <f t="shared" si="12"/>
        <v>CamdenShort-term residential/nursing care for someone likely to require a longer-term care home placement (pathway 3)1</v>
      </c>
      <c r="B290">
        <f>IF(C290="","",COUNTIF($C$2:C290,C290))</f>
        <v>1</v>
      </c>
      <c r="C290" t="str">
        <f t="shared" si="13"/>
        <v>CamdenShort-term residential/nursing care for someone likely to require a longer-term care home placement (pathway 3)</v>
      </c>
      <c r="D290" t="str">
        <f>VLOOKUP(G290,PathwayLookup!A:B,2,0)</f>
        <v>Short-term residential/nursing care for someone likely to require a longer-term care home placement (pathway 3)</v>
      </c>
      <c r="E290" t="s">
        <v>107</v>
      </c>
      <c r="F290" t="s">
        <v>578</v>
      </c>
      <c r="G290" t="s">
        <v>686</v>
      </c>
      <c r="H290">
        <v>6</v>
      </c>
      <c r="I290">
        <v>11</v>
      </c>
      <c r="J290">
        <v>5</v>
      </c>
      <c r="K290">
        <v>7</v>
      </c>
      <c r="L290">
        <v>9</v>
      </c>
      <c r="M290">
        <v>7</v>
      </c>
      <c r="N290">
        <v>11</v>
      </c>
      <c r="O290">
        <v>9</v>
      </c>
      <c r="P290">
        <v>9</v>
      </c>
      <c r="Q290">
        <v>15</v>
      </c>
      <c r="R290">
        <v>8</v>
      </c>
      <c r="S290">
        <v>11</v>
      </c>
      <c r="T290">
        <f t="shared" si="14"/>
        <v>108</v>
      </c>
      <c r="U290">
        <v>1</v>
      </c>
    </row>
    <row r="291" spans="1:21" x14ac:dyDescent="0.3">
      <c r="A291" t="str">
        <f t="shared" si="12"/>
        <v>CamdenShort-term residential/nursing care for someone likely to require a longer-term care home placement (pathway 3)2</v>
      </c>
      <c r="B291">
        <f>IF(C291="","",COUNTIF($C$2:C291,C291))</f>
        <v>2</v>
      </c>
      <c r="C291" t="str">
        <f t="shared" si="13"/>
        <v>CamdenShort-term residential/nursing care for someone likely to require a longer-term care home placement (pathway 3)</v>
      </c>
      <c r="D291" t="str">
        <f>VLOOKUP(G291,PathwayLookup!A:B,2,0)</f>
        <v>Short-term residential/nursing care for someone likely to require a longer-term care home placement (pathway 3)</v>
      </c>
      <c r="E291" t="s">
        <v>107</v>
      </c>
      <c r="F291" t="s">
        <v>626</v>
      </c>
      <c r="G291" t="s">
        <v>686</v>
      </c>
      <c r="H291">
        <v>5</v>
      </c>
      <c r="I291">
        <v>2</v>
      </c>
      <c r="J291">
        <v>1</v>
      </c>
      <c r="K291">
        <v>2</v>
      </c>
      <c r="L291">
        <v>2</v>
      </c>
      <c r="M291">
        <v>1</v>
      </c>
      <c r="N291">
        <v>2</v>
      </c>
      <c r="O291">
        <v>3</v>
      </c>
      <c r="P291">
        <v>2</v>
      </c>
      <c r="Q291">
        <v>2</v>
      </c>
      <c r="R291">
        <v>3</v>
      </c>
      <c r="S291">
        <v>2</v>
      </c>
      <c r="T291">
        <f t="shared" si="14"/>
        <v>27</v>
      </c>
      <c r="U291">
        <v>1</v>
      </c>
    </row>
    <row r="292" spans="1:21" x14ac:dyDescent="0.3">
      <c r="A292" t="str">
        <f t="shared" si="12"/>
        <v>CamdenShort-term residential/nursing care for someone likely to require a longer-term care home placement (pathway 3)3</v>
      </c>
      <c r="B292">
        <f>IF(C292="","",COUNTIF($C$2:C292,C292))</f>
        <v>3</v>
      </c>
      <c r="C292" t="str">
        <f t="shared" si="13"/>
        <v>CamdenShort-term residential/nursing care for someone likely to require a longer-term care home placement (pathway 3)</v>
      </c>
      <c r="D292" t="str">
        <f>VLOOKUP(G292,PathwayLookup!A:B,2,0)</f>
        <v>Short-term residential/nursing care for someone likely to require a longer-term care home placement (pathway 3)</v>
      </c>
      <c r="E292" t="s">
        <v>107</v>
      </c>
      <c r="F292" t="s">
        <v>643</v>
      </c>
      <c r="G292" t="s">
        <v>686</v>
      </c>
      <c r="H292">
        <v>1</v>
      </c>
      <c r="I292">
        <v>1</v>
      </c>
      <c r="J292">
        <v>1</v>
      </c>
      <c r="K292">
        <v>2</v>
      </c>
      <c r="L292">
        <v>1</v>
      </c>
      <c r="M292">
        <v>1</v>
      </c>
      <c r="N292">
        <v>1</v>
      </c>
      <c r="O292">
        <v>2</v>
      </c>
      <c r="P292">
        <v>1</v>
      </c>
      <c r="Q292">
        <v>1</v>
      </c>
      <c r="R292">
        <v>1</v>
      </c>
      <c r="S292">
        <v>1</v>
      </c>
      <c r="T292">
        <f t="shared" si="14"/>
        <v>14</v>
      </c>
      <c r="U292">
        <v>1</v>
      </c>
    </row>
    <row r="293" spans="1:21" x14ac:dyDescent="0.3">
      <c r="A293" t="str">
        <f t="shared" si="12"/>
        <v>Central BedfordshireSocial support (including VCS) (pathway 0)1</v>
      </c>
      <c r="B293">
        <f>IF(C293="","",COUNTIF($C$2:C293,C293))</f>
        <v>1</v>
      </c>
      <c r="C293" t="str">
        <f t="shared" si="13"/>
        <v>Central BedfordshireSocial support (including VCS) (pathway 0)</v>
      </c>
      <c r="D293" t="str">
        <f>VLOOKUP(G293,PathwayLookup!A:B,2,0)</f>
        <v>Social support (including VCS) (pathway 0)</v>
      </c>
      <c r="E293" t="s">
        <v>109</v>
      </c>
      <c r="F293" t="s">
        <v>457</v>
      </c>
      <c r="G293" t="s">
        <v>682</v>
      </c>
      <c r="H293">
        <v>758</v>
      </c>
      <c r="I293">
        <v>849</v>
      </c>
      <c r="J293">
        <v>758</v>
      </c>
      <c r="K293">
        <v>812</v>
      </c>
      <c r="L293">
        <v>781</v>
      </c>
      <c r="M293">
        <v>766</v>
      </c>
      <c r="N293">
        <v>728</v>
      </c>
      <c r="O293">
        <v>728</v>
      </c>
      <c r="P293">
        <v>736</v>
      </c>
      <c r="Q293">
        <v>736</v>
      </c>
      <c r="R293">
        <v>675</v>
      </c>
      <c r="S293">
        <v>774</v>
      </c>
      <c r="T293">
        <f t="shared" si="14"/>
        <v>9101</v>
      </c>
      <c r="U293">
        <v>1</v>
      </c>
    </row>
    <row r="294" spans="1:21" x14ac:dyDescent="0.3">
      <c r="A294" t="str">
        <f t="shared" si="12"/>
        <v/>
      </c>
      <c r="B294" t="str">
        <f>IF(C294="","",COUNTIF($C$2:C294,C294))</f>
        <v/>
      </c>
      <c r="C294" t="str">
        <f t="shared" si="13"/>
        <v/>
      </c>
      <c r="D294" t="str">
        <f>VLOOKUP(G294,PathwayLookup!A:B,2,0)</f>
        <v>Social support (including VCS) (pathway 0)</v>
      </c>
      <c r="E294" t="s">
        <v>109</v>
      </c>
      <c r="F294" t="s">
        <v>651</v>
      </c>
      <c r="G294" t="s">
        <v>682</v>
      </c>
      <c r="H294">
        <v>0</v>
      </c>
      <c r="I294">
        <v>0</v>
      </c>
      <c r="J294">
        <v>0</v>
      </c>
      <c r="K294">
        <v>0</v>
      </c>
      <c r="L294">
        <v>0</v>
      </c>
      <c r="M294">
        <v>0</v>
      </c>
      <c r="N294">
        <v>0</v>
      </c>
      <c r="O294">
        <v>0</v>
      </c>
      <c r="P294">
        <v>0</v>
      </c>
      <c r="Q294">
        <v>0</v>
      </c>
      <c r="R294">
        <v>0</v>
      </c>
      <c r="S294">
        <v>0</v>
      </c>
      <c r="T294">
        <f t="shared" si="14"/>
        <v>0</v>
      </c>
      <c r="U294">
        <v>1</v>
      </c>
    </row>
    <row r="295" spans="1:21" x14ac:dyDescent="0.3">
      <c r="A295" t="str">
        <f t="shared" si="12"/>
        <v>Central BedfordshireReablement &amp; Rehabilitation at home  (pathway 1)1</v>
      </c>
      <c r="B295">
        <f>IF(C295="","",COUNTIF($C$2:C295,C295))</f>
        <v>1</v>
      </c>
      <c r="C295" t="str">
        <f t="shared" si="13"/>
        <v>Central BedfordshireReablement at home  (pathway 1)</v>
      </c>
      <c r="D295" t="str">
        <f>VLOOKUP(G295,PathwayLookup!A:B,2,0)</f>
        <v>Reablement &amp; Rehabilitation at home  (pathway 1)</v>
      </c>
      <c r="E295" t="s">
        <v>109</v>
      </c>
      <c r="F295" t="s">
        <v>457</v>
      </c>
      <c r="G295" t="s">
        <v>718</v>
      </c>
      <c r="H295">
        <v>47</v>
      </c>
      <c r="I295">
        <v>45</v>
      </c>
      <c r="J295">
        <v>48</v>
      </c>
      <c r="K295">
        <v>35</v>
      </c>
      <c r="L295">
        <v>48</v>
      </c>
      <c r="M295">
        <v>38</v>
      </c>
      <c r="N295">
        <v>40</v>
      </c>
      <c r="O295">
        <v>42</v>
      </c>
      <c r="P295">
        <v>40</v>
      </c>
      <c r="Q295">
        <v>47</v>
      </c>
      <c r="R295">
        <v>35</v>
      </c>
      <c r="S295">
        <v>35</v>
      </c>
      <c r="T295">
        <f t="shared" si="14"/>
        <v>500</v>
      </c>
      <c r="U295">
        <v>1</v>
      </c>
    </row>
    <row r="296" spans="1:21" x14ac:dyDescent="0.3">
      <c r="A296" t="str">
        <f t="shared" si="12"/>
        <v>Central BedfordshireReablement &amp; Rehabilitation at home  (pathway 1)2</v>
      </c>
      <c r="B296">
        <f>IF(C296="","",COUNTIF($C$2:C296,C296))</f>
        <v>2</v>
      </c>
      <c r="C296" t="str">
        <f t="shared" si="13"/>
        <v>Central BedfordshireReablement at home  (pathway 1)</v>
      </c>
      <c r="D296" t="str">
        <f>VLOOKUP(G296,PathwayLookup!A:B,2,0)</f>
        <v>Reablement &amp; Rehabilitation at home  (pathway 1)</v>
      </c>
      <c r="E296" t="s">
        <v>109</v>
      </c>
      <c r="F296" t="s">
        <v>651</v>
      </c>
      <c r="G296" t="s">
        <v>718</v>
      </c>
      <c r="H296">
        <v>16</v>
      </c>
      <c r="I296">
        <v>13</v>
      </c>
      <c r="J296">
        <v>12</v>
      </c>
      <c r="K296">
        <v>8</v>
      </c>
      <c r="L296">
        <v>12</v>
      </c>
      <c r="M296">
        <v>15</v>
      </c>
      <c r="N296">
        <v>12</v>
      </c>
      <c r="O296">
        <v>16</v>
      </c>
      <c r="P296">
        <v>12</v>
      </c>
      <c r="Q296">
        <v>6</v>
      </c>
      <c r="R296">
        <v>11</v>
      </c>
      <c r="S296">
        <v>15</v>
      </c>
      <c r="T296">
        <f t="shared" si="14"/>
        <v>148</v>
      </c>
      <c r="U296">
        <v>1</v>
      </c>
    </row>
    <row r="297" spans="1:21" x14ac:dyDescent="0.3">
      <c r="A297" t="str">
        <f t="shared" si="12"/>
        <v/>
      </c>
      <c r="B297" t="str">
        <f>IF(C297="","",COUNTIF($C$2:C297,C297))</f>
        <v/>
      </c>
      <c r="C297" t="str">
        <f t="shared" si="13"/>
        <v/>
      </c>
      <c r="D297" t="str">
        <f>VLOOKUP(G297,PathwayLookup!A:B,2,0)</f>
        <v>Reablement &amp; Rehabilitation at home  (pathway 1)</v>
      </c>
      <c r="E297" t="s">
        <v>109</v>
      </c>
      <c r="F297" t="s">
        <v>457</v>
      </c>
      <c r="G297" t="s">
        <v>719</v>
      </c>
      <c r="H297">
        <v>0</v>
      </c>
      <c r="I297">
        <v>0</v>
      </c>
      <c r="J297">
        <v>0</v>
      </c>
      <c r="K297">
        <v>0</v>
      </c>
      <c r="L297">
        <v>0</v>
      </c>
      <c r="M297">
        <v>0</v>
      </c>
      <c r="N297">
        <v>0</v>
      </c>
      <c r="O297">
        <v>0</v>
      </c>
      <c r="P297">
        <v>0</v>
      </c>
      <c r="Q297">
        <v>0</v>
      </c>
      <c r="R297">
        <v>0</v>
      </c>
      <c r="S297">
        <v>0</v>
      </c>
      <c r="T297">
        <f t="shared" si="14"/>
        <v>0</v>
      </c>
      <c r="U297">
        <v>1</v>
      </c>
    </row>
    <row r="298" spans="1:21" x14ac:dyDescent="0.3">
      <c r="A298" t="str">
        <f t="shared" si="12"/>
        <v/>
      </c>
      <c r="B298" t="str">
        <f>IF(C298="","",COUNTIF($C$2:C298,C298))</f>
        <v/>
      </c>
      <c r="C298" t="str">
        <f t="shared" si="13"/>
        <v/>
      </c>
      <c r="D298" t="str">
        <f>VLOOKUP(G298,PathwayLookup!A:B,2,0)</f>
        <v>Reablement &amp; Rehabilitation at home  (pathway 1)</v>
      </c>
      <c r="E298" t="s">
        <v>109</v>
      </c>
      <c r="F298" t="s">
        <v>651</v>
      </c>
      <c r="G298" t="s">
        <v>719</v>
      </c>
      <c r="H298">
        <v>0</v>
      </c>
      <c r="I298">
        <v>0</v>
      </c>
      <c r="J298">
        <v>0</v>
      </c>
      <c r="K298">
        <v>0</v>
      </c>
      <c r="L298">
        <v>0</v>
      </c>
      <c r="M298">
        <v>0</v>
      </c>
      <c r="N298">
        <v>0</v>
      </c>
      <c r="O298">
        <v>0</v>
      </c>
      <c r="P298">
        <v>0</v>
      </c>
      <c r="Q298">
        <v>0</v>
      </c>
      <c r="R298">
        <v>0</v>
      </c>
      <c r="S298">
        <v>0</v>
      </c>
      <c r="T298">
        <f t="shared" si="14"/>
        <v>0</v>
      </c>
      <c r="U298">
        <v>1</v>
      </c>
    </row>
    <row r="299" spans="1:21" x14ac:dyDescent="0.3">
      <c r="A299" t="str">
        <f t="shared" si="12"/>
        <v>Central BedfordshireShort term domiciliary care (pathway 1)1</v>
      </c>
      <c r="B299">
        <f>IF(C299="","",COUNTIF($C$2:C299,C299))</f>
        <v>1</v>
      </c>
      <c r="C299" t="str">
        <f t="shared" si="13"/>
        <v>Central BedfordshireShort term domiciliary care (pathway 1)</v>
      </c>
      <c r="D299" t="str">
        <f>VLOOKUP(G299,PathwayLookup!A:B,2,0)</f>
        <v>Short term domiciliary care (pathway 1)</v>
      </c>
      <c r="E299" t="s">
        <v>109</v>
      </c>
      <c r="F299" t="s">
        <v>457</v>
      </c>
      <c r="G299" t="s">
        <v>684</v>
      </c>
      <c r="H299">
        <v>69</v>
      </c>
      <c r="I299">
        <v>66</v>
      </c>
      <c r="J299">
        <v>71</v>
      </c>
      <c r="K299">
        <v>52</v>
      </c>
      <c r="L299">
        <v>71</v>
      </c>
      <c r="M299">
        <v>56</v>
      </c>
      <c r="N299">
        <v>59</v>
      </c>
      <c r="O299">
        <v>62</v>
      </c>
      <c r="P299">
        <v>59</v>
      </c>
      <c r="Q299">
        <v>69</v>
      </c>
      <c r="R299">
        <v>52</v>
      </c>
      <c r="S299">
        <v>52</v>
      </c>
      <c r="T299">
        <f t="shared" si="14"/>
        <v>738</v>
      </c>
      <c r="U299">
        <v>1</v>
      </c>
    </row>
    <row r="300" spans="1:21" x14ac:dyDescent="0.3">
      <c r="A300" t="str">
        <f t="shared" si="12"/>
        <v>Central BedfordshireShort term domiciliary care (pathway 1)2</v>
      </c>
      <c r="B300">
        <f>IF(C300="","",COUNTIF($C$2:C300,C300))</f>
        <v>2</v>
      </c>
      <c r="C300" t="str">
        <f t="shared" si="13"/>
        <v>Central BedfordshireShort term domiciliary care (pathway 1)</v>
      </c>
      <c r="D300" t="str">
        <f>VLOOKUP(G300,PathwayLookup!A:B,2,0)</f>
        <v>Short term domiciliary care (pathway 1)</v>
      </c>
      <c r="E300" t="s">
        <v>109</v>
      </c>
      <c r="F300" t="s">
        <v>651</v>
      </c>
      <c r="G300" t="s">
        <v>684</v>
      </c>
      <c r="H300">
        <v>27</v>
      </c>
      <c r="I300">
        <v>22</v>
      </c>
      <c r="J300">
        <v>20</v>
      </c>
      <c r="K300">
        <v>13</v>
      </c>
      <c r="L300">
        <v>20</v>
      </c>
      <c r="M300">
        <v>25</v>
      </c>
      <c r="N300">
        <v>20</v>
      </c>
      <c r="O300">
        <v>0</v>
      </c>
      <c r="P300">
        <v>20</v>
      </c>
      <c r="Q300">
        <v>10</v>
      </c>
      <c r="R300">
        <v>18</v>
      </c>
      <c r="S300">
        <v>25</v>
      </c>
      <c r="T300">
        <f t="shared" si="14"/>
        <v>220</v>
      </c>
      <c r="U300">
        <v>1</v>
      </c>
    </row>
    <row r="301" spans="1:21" x14ac:dyDescent="0.3">
      <c r="A301" t="str">
        <f t="shared" si="12"/>
        <v>Central BedfordshireReablement &amp; Rehabilitation in a bedded setting (pathway 2)1</v>
      </c>
      <c r="B301">
        <f>IF(C301="","",COUNTIF($C$2:C301,C301))</f>
        <v>1</v>
      </c>
      <c r="C301" t="str">
        <f t="shared" si="13"/>
        <v>Central BedfordshireReablement in a bedded setting (pathway 2)</v>
      </c>
      <c r="D301" t="str">
        <f>VLOOKUP(G301,PathwayLookup!A:B,2,0)</f>
        <v>Reablement &amp; Rehabilitation in a bedded setting (pathway 2)</v>
      </c>
      <c r="E301" t="s">
        <v>109</v>
      </c>
      <c r="F301" t="s">
        <v>457</v>
      </c>
      <c r="G301" t="s">
        <v>722</v>
      </c>
      <c r="H301">
        <v>8</v>
      </c>
      <c r="I301">
        <v>7</v>
      </c>
      <c r="J301">
        <v>8</v>
      </c>
      <c r="K301">
        <v>13</v>
      </c>
      <c r="L301">
        <v>10</v>
      </c>
      <c r="M301">
        <v>6</v>
      </c>
      <c r="N301">
        <v>14</v>
      </c>
      <c r="O301">
        <v>8</v>
      </c>
      <c r="P301">
        <v>12</v>
      </c>
      <c r="Q301">
        <v>9</v>
      </c>
      <c r="R301">
        <v>11</v>
      </c>
      <c r="S301">
        <v>9</v>
      </c>
      <c r="T301">
        <f t="shared" si="14"/>
        <v>115</v>
      </c>
      <c r="U301">
        <v>1</v>
      </c>
    </row>
    <row r="302" spans="1:21" x14ac:dyDescent="0.3">
      <c r="A302" t="str">
        <f t="shared" si="12"/>
        <v>Central BedfordshireReablement &amp; Rehabilitation in a bedded setting (pathway 2)2</v>
      </c>
      <c r="B302">
        <f>IF(C302="","",COUNTIF($C$2:C302,C302))</f>
        <v>2</v>
      </c>
      <c r="C302" t="str">
        <f t="shared" si="13"/>
        <v>Central BedfordshireReablement in a bedded setting (pathway 2)</v>
      </c>
      <c r="D302" t="str">
        <f>VLOOKUP(G302,PathwayLookup!A:B,2,0)</f>
        <v>Reablement &amp; Rehabilitation in a bedded setting (pathway 2)</v>
      </c>
      <c r="E302" t="s">
        <v>109</v>
      </c>
      <c r="F302" t="s">
        <v>651</v>
      </c>
      <c r="G302" t="s">
        <v>722</v>
      </c>
      <c r="H302">
        <v>2</v>
      </c>
      <c r="I302">
        <v>1</v>
      </c>
      <c r="J302">
        <v>2</v>
      </c>
      <c r="K302">
        <v>2</v>
      </c>
      <c r="L302">
        <v>1</v>
      </c>
      <c r="M302">
        <v>3</v>
      </c>
      <c r="N302">
        <v>2</v>
      </c>
      <c r="O302">
        <v>1</v>
      </c>
      <c r="P302">
        <v>2</v>
      </c>
      <c r="Q302">
        <v>2</v>
      </c>
      <c r="R302">
        <v>1</v>
      </c>
      <c r="S302">
        <v>1</v>
      </c>
      <c r="T302">
        <f t="shared" si="14"/>
        <v>20</v>
      </c>
      <c r="U302">
        <v>1</v>
      </c>
    </row>
    <row r="303" spans="1:21" x14ac:dyDescent="0.3">
      <c r="A303" t="str">
        <f t="shared" si="12"/>
        <v/>
      </c>
      <c r="B303" t="str">
        <f>IF(C303="","",COUNTIF($C$2:C303,C303))</f>
        <v/>
      </c>
      <c r="C303" t="str">
        <f t="shared" si="13"/>
        <v/>
      </c>
      <c r="D303" t="str">
        <f>VLOOKUP(G303,PathwayLookup!A:B,2,0)</f>
        <v>Reablement &amp; Rehabilitation in a bedded setting (pathway 2)</v>
      </c>
      <c r="E303" t="s">
        <v>109</v>
      </c>
      <c r="F303" t="s">
        <v>457</v>
      </c>
      <c r="G303" t="s">
        <v>724</v>
      </c>
      <c r="H303">
        <v>0</v>
      </c>
      <c r="I303">
        <v>0</v>
      </c>
      <c r="J303">
        <v>0</v>
      </c>
      <c r="K303">
        <v>0</v>
      </c>
      <c r="L303">
        <v>0</v>
      </c>
      <c r="M303">
        <v>0</v>
      </c>
      <c r="N303">
        <v>0</v>
      </c>
      <c r="O303">
        <v>0</v>
      </c>
      <c r="P303">
        <v>0</v>
      </c>
      <c r="Q303">
        <v>0</v>
      </c>
      <c r="R303">
        <v>0</v>
      </c>
      <c r="S303">
        <v>0</v>
      </c>
      <c r="T303">
        <f t="shared" si="14"/>
        <v>0</v>
      </c>
      <c r="U303">
        <v>1</v>
      </c>
    </row>
    <row r="304" spans="1:21" x14ac:dyDescent="0.3">
      <c r="A304" t="str">
        <f t="shared" si="12"/>
        <v/>
      </c>
      <c r="B304" t="str">
        <f>IF(C304="","",COUNTIF($C$2:C304,C304))</f>
        <v/>
      </c>
      <c r="C304" t="str">
        <f t="shared" si="13"/>
        <v/>
      </c>
      <c r="D304" t="str">
        <f>VLOOKUP(G304,PathwayLookup!A:B,2,0)</f>
        <v>Reablement &amp; Rehabilitation in a bedded setting (pathway 2)</v>
      </c>
      <c r="E304" t="s">
        <v>109</v>
      </c>
      <c r="F304" t="s">
        <v>651</v>
      </c>
      <c r="G304" t="s">
        <v>724</v>
      </c>
      <c r="H304">
        <v>0</v>
      </c>
      <c r="I304">
        <v>0</v>
      </c>
      <c r="J304">
        <v>0</v>
      </c>
      <c r="K304">
        <v>0</v>
      </c>
      <c r="L304">
        <v>0</v>
      </c>
      <c r="M304">
        <v>0</v>
      </c>
      <c r="N304">
        <v>0</v>
      </c>
      <c r="O304">
        <v>0</v>
      </c>
      <c r="P304">
        <v>0</v>
      </c>
      <c r="Q304">
        <v>0</v>
      </c>
      <c r="R304">
        <v>0</v>
      </c>
      <c r="S304">
        <v>0</v>
      </c>
      <c r="T304">
        <f t="shared" si="14"/>
        <v>0</v>
      </c>
      <c r="U304">
        <v>1</v>
      </c>
    </row>
    <row r="305" spans="1:21" x14ac:dyDescent="0.3">
      <c r="A305" t="str">
        <f t="shared" si="12"/>
        <v>Central BedfordshireShort-term residential/nursing care for someone likely to require a longer-term care home placement (pathway 3)1</v>
      </c>
      <c r="B305">
        <f>IF(C305="","",COUNTIF($C$2:C305,C305))</f>
        <v>1</v>
      </c>
      <c r="C305" t="str">
        <f t="shared" si="13"/>
        <v>Central BedfordshireShort-term residential/nursing care for someone likely to require a longer-term care home placement (pathway 3)</v>
      </c>
      <c r="D305" t="str">
        <f>VLOOKUP(G305,PathwayLookup!A:B,2,0)</f>
        <v>Short-term residential/nursing care for someone likely to require a longer-term care home placement (pathway 3)</v>
      </c>
      <c r="E305" t="s">
        <v>109</v>
      </c>
      <c r="F305" t="s">
        <v>457</v>
      </c>
      <c r="G305" t="s">
        <v>686</v>
      </c>
      <c r="H305">
        <v>41</v>
      </c>
      <c r="I305">
        <v>36</v>
      </c>
      <c r="J305">
        <v>39</v>
      </c>
      <c r="K305">
        <v>34</v>
      </c>
      <c r="L305">
        <v>27</v>
      </c>
      <c r="M305">
        <v>31</v>
      </c>
      <c r="N305">
        <v>36</v>
      </c>
      <c r="O305">
        <v>29</v>
      </c>
      <c r="P305">
        <v>37</v>
      </c>
      <c r="Q305">
        <v>37</v>
      </c>
      <c r="R305">
        <v>35</v>
      </c>
      <c r="S305">
        <v>38</v>
      </c>
      <c r="T305">
        <f t="shared" si="14"/>
        <v>420</v>
      </c>
      <c r="U305">
        <v>1</v>
      </c>
    </row>
    <row r="306" spans="1:21" x14ac:dyDescent="0.3">
      <c r="A306" t="str">
        <f t="shared" si="12"/>
        <v/>
      </c>
      <c r="B306" t="str">
        <f>IF(C306="","",COUNTIF($C$2:C306,C306))</f>
        <v/>
      </c>
      <c r="C306" t="str">
        <f t="shared" si="13"/>
        <v/>
      </c>
      <c r="D306" t="str">
        <f>VLOOKUP(G306,PathwayLookup!A:B,2,0)</f>
        <v>Short-term residential/nursing care for someone likely to require a longer-term care home placement (pathway 3)</v>
      </c>
      <c r="E306" t="s">
        <v>109</v>
      </c>
      <c r="F306" t="s">
        <v>651</v>
      </c>
      <c r="G306" t="s">
        <v>686</v>
      </c>
      <c r="H306">
        <v>0</v>
      </c>
      <c r="I306">
        <v>0</v>
      </c>
      <c r="J306">
        <v>0</v>
      </c>
      <c r="K306">
        <v>0</v>
      </c>
      <c r="L306">
        <v>0</v>
      </c>
      <c r="M306">
        <v>0</v>
      </c>
      <c r="N306">
        <v>0</v>
      </c>
      <c r="O306">
        <v>0</v>
      </c>
      <c r="P306">
        <v>0</v>
      </c>
      <c r="Q306">
        <v>0</v>
      </c>
      <c r="R306">
        <v>0</v>
      </c>
      <c r="S306">
        <v>0</v>
      </c>
      <c r="T306">
        <f t="shared" si="14"/>
        <v>0</v>
      </c>
      <c r="U306">
        <v>1</v>
      </c>
    </row>
    <row r="307" spans="1:21" x14ac:dyDescent="0.3">
      <c r="A307" t="str">
        <f t="shared" si="12"/>
        <v>Cheshire EastReablement &amp; Rehabilitation at home  (pathway 1)1</v>
      </c>
      <c r="B307">
        <f>IF(C307="","",COUNTIF($C$2:C307,C307))</f>
        <v>1</v>
      </c>
      <c r="C307" t="str">
        <f t="shared" si="13"/>
        <v>Cheshire EastReablement at home  (pathway 1)</v>
      </c>
      <c r="D307" t="str">
        <f>VLOOKUP(G307,PathwayLookup!A:B,2,0)</f>
        <v>Reablement &amp; Rehabilitation at home  (pathway 1)</v>
      </c>
      <c r="E307" t="s">
        <v>111</v>
      </c>
      <c r="F307" t="s">
        <v>448</v>
      </c>
      <c r="G307" t="s">
        <v>718</v>
      </c>
      <c r="H307">
        <v>44</v>
      </c>
      <c r="I307">
        <v>44</v>
      </c>
      <c r="J307">
        <v>47</v>
      </c>
      <c r="K307">
        <v>48</v>
      </c>
      <c r="L307">
        <v>47</v>
      </c>
      <c r="M307">
        <v>48</v>
      </c>
      <c r="N307">
        <v>49</v>
      </c>
      <c r="O307">
        <v>51</v>
      </c>
      <c r="P307">
        <v>50</v>
      </c>
      <c r="Q307">
        <v>43</v>
      </c>
      <c r="R307">
        <v>44</v>
      </c>
      <c r="S307">
        <v>43</v>
      </c>
      <c r="T307">
        <f t="shared" si="14"/>
        <v>558</v>
      </c>
      <c r="U307">
        <v>1</v>
      </c>
    </row>
    <row r="308" spans="1:21" x14ac:dyDescent="0.3">
      <c r="A308" t="str">
        <f t="shared" si="12"/>
        <v>Cheshire EastReablement &amp; Rehabilitation at home  (pathway 1)1</v>
      </c>
      <c r="B308">
        <f>IF(C308="","",COUNTIF($C$2:C308,C308))</f>
        <v>1</v>
      </c>
      <c r="C308" t="str">
        <f t="shared" si="13"/>
        <v>Cheshire EastRehabilitation at home (pathway 1)</v>
      </c>
      <c r="D308" t="str">
        <f>VLOOKUP(G308,PathwayLookup!A:B,2,0)</f>
        <v>Reablement &amp; Rehabilitation at home  (pathway 1)</v>
      </c>
      <c r="E308" t="s">
        <v>111</v>
      </c>
      <c r="F308" t="s">
        <v>448</v>
      </c>
      <c r="G308" t="s">
        <v>719</v>
      </c>
      <c r="H308">
        <v>10</v>
      </c>
      <c r="I308">
        <v>11</v>
      </c>
      <c r="J308">
        <v>13</v>
      </c>
      <c r="K308">
        <v>13</v>
      </c>
      <c r="L308">
        <v>13</v>
      </c>
      <c r="M308">
        <v>13</v>
      </c>
      <c r="N308">
        <v>13</v>
      </c>
      <c r="O308">
        <v>14</v>
      </c>
      <c r="P308">
        <v>14</v>
      </c>
      <c r="Q308">
        <v>11</v>
      </c>
      <c r="R308">
        <v>11</v>
      </c>
      <c r="S308">
        <v>2</v>
      </c>
      <c r="T308">
        <f t="shared" si="14"/>
        <v>138</v>
      </c>
      <c r="U308">
        <v>1</v>
      </c>
    </row>
    <row r="309" spans="1:21" x14ac:dyDescent="0.3">
      <c r="A309" t="str">
        <f t="shared" si="12"/>
        <v>Cheshire EastReablement &amp; Rehabilitation in a bedded setting (pathway 2)1</v>
      </c>
      <c r="B309">
        <f>IF(C309="","",COUNTIF($C$2:C309,C309))</f>
        <v>1</v>
      </c>
      <c r="C309" t="str">
        <f t="shared" si="13"/>
        <v>Cheshire EastRehabilitation in a bedded setting (pathway 2)</v>
      </c>
      <c r="D309" t="str">
        <f>VLOOKUP(G309,PathwayLookup!A:B,2,0)</f>
        <v>Reablement &amp; Rehabilitation in a bedded setting (pathway 2)</v>
      </c>
      <c r="E309" t="s">
        <v>111</v>
      </c>
      <c r="F309" t="s">
        <v>448</v>
      </c>
      <c r="G309" t="s">
        <v>724</v>
      </c>
      <c r="H309">
        <v>126</v>
      </c>
      <c r="I309">
        <v>128</v>
      </c>
      <c r="J309">
        <v>136</v>
      </c>
      <c r="K309">
        <v>140</v>
      </c>
      <c r="L309">
        <v>134</v>
      </c>
      <c r="M309">
        <v>140</v>
      </c>
      <c r="N309">
        <v>142</v>
      </c>
      <c r="O309">
        <v>148</v>
      </c>
      <c r="P309">
        <v>142</v>
      </c>
      <c r="Q309">
        <v>124</v>
      </c>
      <c r="R309">
        <v>126</v>
      </c>
      <c r="S309">
        <v>124</v>
      </c>
      <c r="T309">
        <f t="shared" si="14"/>
        <v>1610</v>
      </c>
      <c r="U309">
        <v>1</v>
      </c>
    </row>
    <row r="310" spans="1:21" x14ac:dyDescent="0.3">
      <c r="A310" t="str">
        <f t="shared" si="12"/>
        <v>Cheshire EastShort-term residential/nursing care for someone likely to require a longer-term care home placement (pathway 3)1</v>
      </c>
      <c r="B310">
        <f>IF(C310="","",COUNTIF($C$2:C310,C310))</f>
        <v>1</v>
      </c>
      <c r="C310" t="str">
        <f t="shared" si="13"/>
        <v>Cheshire EastShort-term residential/nursing care for someone likely to require a longer-term care home placement (pathway 3)</v>
      </c>
      <c r="D310" t="str">
        <f>VLOOKUP(G310,PathwayLookup!A:B,2,0)</f>
        <v>Short-term residential/nursing care for someone likely to require a longer-term care home placement (pathway 3)</v>
      </c>
      <c r="E310" t="s">
        <v>111</v>
      </c>
      <c r="F310" t="s">
        <v>448</v>
      </c>
      <c r="G310" t="s">
        <v>686</v>
      </c>
      <c r="H310">
        <v>19</v>
      </c>
      <c r="I310">
        <v>20</v>
      </c>
      <c r="J310">
        <v>21</v>
      </c>
      <c r="K310">
        <v>22</v>
      </c>
      <c r="L310">
        <v>20</v>
      </c>
      <c r="M310">
        <v>22</v>
      </c>
      <c r="N310">
        <v>22</v>
      </c>
      <c r="O310">
        <v>23</v>
      </c>
      <c r="P310">
        <v>21</v>
      </c>
      <c r="Q310">
        <v>19</v>
      </c>
      <c r="R310">
        <v>19</v>
      </c>
      <c r="S310">
        <v>19</v>
      </c>
      <c r="T310">
        <f t="shared" si="14"/>
        <v>247</v>
      </c>
      <c r="U310">
        <v>1</v>
      </c>
    </row>
    <row r="311" spans="1:21" x14ac:dyDescent="0.3">
      <c r="A311" t="str">
        <f t="shared" si="12"/>
        <v>Cheshire West and ChesterSocial support (including VCS) (pathway 0)1</v>
      </c>
      <c r="B311">
        <f>IF(C311="","",COUNTIF($C$2:C311,C311))</f>
        <v>1</v>
      </c>
      <c r="C311" t="str">
        <f t="shared" si="13"/>
        <v>Cheshire West and ChesterSocial support (including VCS) (pathway 0)</v>
      </c>
      <c r="D311" t="str">
        <f>VLOOKUP(G311,PathwayLookup!A:B,2,0)</f>
        <v>Social support (including VCS) (pathway 0)</v>
      </c>
      <c r="E311" t="s">
        <v>113</v>
      </c>
      <c r="F311" t="s">
        <v>480</v>
      </c>
      <c r="G311" t="s">
        <v>682</v>
      </c>
      <c r="H311">
        <v>714</v>
      </c>
      <c r="I311">
        <v>707</v>
      </c>
      <c r="J311">
        <v>730</v>
      </c>
      <c r="K311">
        <v>730</v>
      </c>
      <c r="L311">
        <v>730</v>
      </c>
      <c r="M311">
        <v>706</v>
      </c>
      <c r="N311">
        <v>753</v>
      </c>
      <c r="O311">
        <v>800</v>
      </c>
      <c r="P311">
        <v>800</v>
      </c>
      <c r="Q311">
        <v>730</v>
      </c>
      <c r="R311">
        <v>659</v>
      </c>
      <c r="S311">
        <v>659</v>
      </c>
      <c r="T311">
        <f t="shared" si="14"/>
        <v>8718</v>
      </c>
      <c r="U311">
        <v>1</v>
      </c>
    </row>
    <row r="312" spans="1:21" x14ac:dyDescent="0.3">
      <c r="A312" t="str">
        <f t="shared" si="12"/>
        <v>Cheshire West and ChesterSocial support (including VCS) (pathway 0)2</v>
      </c>
      <c r="B312">
        <f>IF(C312="","",COUNTIF($C$2:C312,C312))</f>
        <v>2</v>
      </c>
      <c r="C312" t="str">
        <f t="shared" si="13"/>
        <v>Cheshire West and ChesterSocial support (including VCS) (pathway 0)</v>
      </c>
      <c r="D312" t="str">
        <f>VLOOKUP(G312,PathwayLookup!A:B,2,0)</f>
        <v>Social support (including VCS) (pathway 0)</v>
      </c>
      <c r="E312" t="s">
        <v>113</v>
      </c>
      <c r="F312" t="s">
        <v>546</v>
      </c>
      <c r="G312" t="s">
        <v>682</v>
      </c>
      <c r="H312">
        <v>586</v>
      </c>
      <c r="I312">
        <v>653</v>
      </c>
      <c r="J312">
        <v>636</v>
      </c>
      <c r="K312">
        <v>636</v>
      </c>
      <c r="L312">
        <v>636</v>
      </c>
      <c r="M312">
        <v>616</v>
      </c>
      <c r="N312">
        <v>657</v>
      </c>
      <c r="O312">
        <v>698</v>
      </c>
      <c r="P312">
        <v>698</v>
      </c>
      <c r="Q312">
        <v>636</v>
      </c>
      <c r="R312">
        <v>575</v>
      </c>
      <c r="S312">
        <v>575</v>
      </c>
      <c r="T312">
        <f t="shared" si="14"/>
        <v>7602</v>
      </c>
      <c r="U312">
        <v>1</v>
      </c>
    </row>
    <row r="313" spans="1:21" x14ac:dyDescent="0.3">
      <c r="A313" t="str">
        <f t="shared" si="12"/>
        <v>Cheshire West and ChesterReablement &amp; Rehabilitation at home  (pathway 1)1</v>
      </c>
      <c r="B313">
        <f>IF(C313="","",COUNTIF($C$2:C313,C313))</f>
        <v>1</v>
      </c>
      <c r="C313" t="str">
        <f t="shared" si="13"/>
        <v>Cheshire West and ChesterReablement at home  (pathway 1)</v>
      </c>
      <c r="D313" t="str">
        <f>VLOOKUP(G313,PathwayLookup!A:B,2,0)</f>
        <v>Reablement &amp; Rehabilitation at home  (pathway 1)</v>
      </c>
      <c r="E313" t="s">
        <v>113</v>
      </c>
      <c r="F313" t="s">
        <v>480</v>
      </c>
      <c r="G313" t="s">
        <v>718</v>
      </c>
      <c r="H313">
        <v>48</v>
      </c>
      <c r="I313">
        <v>55</v>
      </c>
      <c r="J313">
        <v>52</v>
      </c>
      <c r="K313">
        <v>52</v>
      </c>
      <c r="L313">
        <v>52</v>
      </c>
      <c r="M313">
        <v>52</v>
      </c>
      <c r="N313">
        <v>54</v>
      </c>
      <c r="O313">
        <v>58</v>
      </c>
      <c r="P313">
        <v>58</v>
      </c>
      <c r="Q313">
        <v>59</v>
      </c>
      <c r="R313">
        <v>47</v>
      </c>
      <c r="S313">
        <v>47</v>
      </c>
      <c r="T313">
        <f t="shared" si="14"/>
        <v>634</v>
      </c>
      <c r="U313">
        <v>1</v>
      </c>
    </row>
    <row r="314" spans="1:21" x14ac:dyDescent="0.3">
      <c r="A314" t="str">
        <f t="shared" si="12"/>
        <v>Cheshire West and ChesterReablement &amp; Rehabilitation at home  (pathway 1)2</v>
      </c>
      <c r="B314">
        <f>IF(C314="","",COUNTIF($C$2:C314,C314))</f>
        <v>2</v>
      </c>
      <c r="C314" t="str">
        <f t="shared" si="13"/>
        <v>Cheshire West and ChesterReablement at home  (pathway 1)</v>
      </c>
      <c r="D314" t="str">
        <f>VLOOKUP(G314,PathwayLookup!A:B,2,0)</f>
        <v>Reablement &amp; Rehabilitation at home  (pathway 1)</v>
      </c>
      <c r="E314" t="s">
        <v>113</v>
      </c>
      <c r="F314" t="s">
        <v>546</v>
      </c>
      <c r="G314" t="s">
        <v>718</v>
      </c>
      <c r="H314">
        <v>25</v>
      </c>
      <c r="I314">
        <v>45</v>
      </c>
      <c r="J314">
        <v>35</v>
      </c>
      <c r="K314">
        <v>35</v>
      </c>
      <c r="L314">
        <v>35</v>
      </c>
      <c r="M314">
        <v>34</v>
      </c>
      <c r="N314">
        <v>37</v>
      </c>
      <c r="O314">
        <v>39</v>
      </c>
      <c r="P314">
        <v>39</v>
      </c>
      <c r="Q314">
        <v>35</v>
      </c>
      <c r="R314">
        <v>32</v>
      </c>
      <c r="S314">
        <v>32</v>
      </c>
      <c r="T314">
        <f t="shared" si="14"/>
        <v>423</v>
      </c>
      <c r="U314">
        <v>1</v>
      </c>
    </row>
    <row r="315" spans="1:21" x14ac:dyDescent="0.3">
      <c r="A315" t="str">
        <f t="shared" si="12"/>
        <v>Cheshire West and ChesterReablement &amp; Rehabilitation at home  (pathway 1)1</v>
      </c>
      <c r="B315">
        <f>IF(C315="","",COUNTIF($C$2:C315,C315))</f>
        <v>1</v>
      </c>
      <c r="C315" t="str">
        <f t="shared" si="13"/>
        <v>Cheshire West and ChesterRehabilitation at home (pathway 1)</v>
      </c>
      <c r="D315" t="str">
        <f>VLOOKUP(G315,PathwayLookup!A:B,2,0)</f>
        <v>Reablement &amp; Rehabilitation at home  (pathway 1)</v>
      </c>
      <c r="E315" t="s">
        <v>113</v>
      </c>
      <c r="F315" t="s">
        <v>480</v>
      </c>
      <c r="G315" t="s">
        <v>719</v>
      </c>
      <c r="H315">
        <v>9</v>
      </c>
      <c r="I315">
        <v>7</v>
      </c>
      <c r="J315">
        <v>8</v>
      </c>
      <c r="K315">
        <v>8</v>
      </c>
      <c r="L315">
        <v>8</v>
      </c>
      <c r="M315">
        <v>7</v>
      </c>
      <c r="N315">
        <v>8</v>
      </c>
      <c r="O315">
        <v>9</v>
      </c>
      <c r="P315">
        <v>9</v>
      </c>
      <c r="Q315">
        <v>8</v>
      </c>
      <c r="R315">
        <v>7</v>
      </c>
      <c r="S315">
        <v>7</v>
      </c>
      <c r="T315">
        <f t="shared" si="14"/>
        <v>95</v>
      </c>
      <c r="U315">
        <v>1</v>
      </c>
    </row>
    <row r="316" spans="1:21" x14ac:dyDescent="0.3">
      <c r="A316" t="str">
        <f t="shared" si="12"/>
        <v>Cheshire West and ChesterReablement &amp; Rehabilitation at home  (pathway 1)2</v>
      </c>
      <c r="B316">
        <f>IF(C316="","",COUNTIF($C$2:C316,C316))</f>
        <v>2</v>
      </c>
      <c r="C316" t="str">
        <f t="shared" si="13"/>
        <v>Cheshire West and ChesterRehabilitation at home (pathway 1)</v>
      </c>
      <c r="D316" t="str">
        <f>VLOOKUP(G316,PathwayLookup!A:B,2,0)</f>
        <v>Reablement &amp; Rehabilitation at home  (pathway 1)</v>
      </c>
      <c r="E316" t="s">
        <v>113</v>
      </c>
      <c r="F316" t="s">
        <v>546</v>
      </c>
      <c r="G316" t="s">
        <v>719</v>
      </c>
      <c r="H316">
        <v>2</v>
      </c>
      <c r="I316">
        <v>0</v>
      </c>
      <c r="J316">
        <v>1</v>
      </c>
      <c r="K316">
        <v>1</v>
      </c>
      <c r="L316">
        <v>1</v>
      </c>
      <c r="M316">
        <v>1</v>
      </c>
      <c r="N316">
        <v>1</v>
      </c>
      <c r="O316">
        <v>1</v>
      </c>
      <c r="P316">
        <v>1</v>
      </c>
      <c r="Q316">
        <v>1</v>
      </c>
      <c r="R316">
        <v>1</v>
      </c>
      <c r="S316">
        <v>1</v>
      </c>
      <c r="T316">
        <f t="shared" si="14"/>
        <v>12</v>
      </c>
      <c r="U316">
        <v>1</v>
      </c>
    </row>
    <row r="317" spans="1:21" x14ac:dyDescent="0.3">
      <c r="A317" t="str">
        <f t="shared" si="12"/>
        <v/>
      </c>
      <c r="B317" t="str">
        <f>IF(C317="","",COUNTIF($C$2:C317,C317))</f>
        <v/>
      </c>
      <c r="C317" t="str">
        <f t="shared" si="13"/>
        <v/>
      </c>
      <c r="D317" t="str">
        <f>VLOOKUP(G317,PathwayLookup!A:B,2,0)</f>
        <v>Short term domiciliary care (pathway 1)</v>
      </c>
      <c r="E317" t="s">
        <v>113</v>
      </c>
      <c r="F317" t="s">
        <v>480</v>
      </c>
      <c r="G317" t="s">
        <v>684</v>
      </c>
      <c r="H317">
        <v>0</v>
      </c>
      <c r="I317">
        <v>0</v>
      </c>
      <c r="J317">
        <v>0</v>
      </c>
      <c r="K317">
        <v>0</v>
      </c>
      <c r="L317">
        <v>0</v>
      </c>
      <c r="M317">
        <v>0</v>
      </c>
      <c r="N317">
        <v>0</v>
      </c>
      <c r="O317">
        <v>0</v>
      </c>
      <c r="P317">
        <v>0</v>
      </c>
      <c r="Q317">
        <v>0</v>
      </c>
      <c r="R317">
        <v>0</v>
      </c>
      <c r="S317">
        <v>0</v>
      </c>
      <c r="T317">
        <f t="shared" si="14"/>
        <v>0</v>
      </c>
      <c r="U317">
        <v>1</v>
      </c>
    </row>
    <row r="318" spans="1:21" x14ac:dyDescent="0.3">
      <c r="A318" t="str">
        <f t="shared" si="12"/>
        <v>Cheshire West and ChesterShort term domiciliary care (pathway 1)1</v>
      </c>
      <c r="B318">
        <f>IF(C318="","",COUNTIF($C$2:C318,C318))</f>
        <v>1</v>
      </c>
      <c r="C318" t="str">
        <f t="shared" si="13"/>
        <v>Cheshire West and ChesterShort term domiciliary care (pathway 1)</v>
      </c>
      <c r="D318" t="str">
        <f>VLOOKUP(G318,PathwayLookup!A:B,2,0)</f>
        <v>Short term domiciliary care (pathway 1)</v>
      </c>
      <c r="E318" t="s">
        <v>113</v>
      </c>
      <c r="F318" t="s">
        <v>546</v>
      </c>
      <c r="G318" t="s">
        <v>684</v>
      </c>
      <c r="H318">
        <v>1</v>
      </c>
      <c r="I318">
        <v>0</v>
      </c>
      <c r="J318">
        <v>0.5</v>
      </c>
      <c r="K318">
        <v>0.5</v>
      </c>
      <c r="L318">
        <v>0.5</v>
      </c>
      <c r="M318">
        <v>0.5</v>
      </c>
      <c r="N318">
        <v>0.5</v>
      </c>
      <c r="O318">
        <v>0.5</v>
      </c>
      <c r="P318">
        <v>0.5</v>
      </c>
      <c r="Q318">
        <v>0.5</v>
      </c>
      <c r="R318">
        <v>0.5</v>
      </c>
      <c r="S318">
        <v>0.5</v>
      </c>
      <c r="T318">
        <f t="shared" si="14"/>
        <v>6</v>
      </c>
      <c r="U318">
        <v>1</v>
      </c>
    </row>
    <row r="319" spans="1:21" x14ac:dyDescent="0.3">
      <c r="A319" t="str">
        <f t="shared" si="12"/>
        <v>Cheshire West and ChesterReablement &amp; Rehabilitation in a bedded setting (pathway 2)1</v>
      </c>
      <c r="B319">
        <f>IF(C319="","",COUNTIF($C$2:C319,C319))</f>
        <v>1</v>
      </c>
      <c r="C319" t="str">
        <f t="shared" si="13"/>
        <v>Cheshire West and ChesterReablement in a bedded setting (pathway 2)</v>
      </c>
      <c r="D319" t="str">
        <f>VLOOKUP(G319,PathwayLookup!A:B,2,0)</f>
        <v>Reablement &amp; Rehabilitation in a bedded setting (pathway 2)</v>
      </c>
      <c r="E319" t="s">
        <v>113</v>
      </c>
      <c r="F319" t="s">
        <v>480</v>
      </c>
      <c r="G319" t="s">
        <v>722</v>
      </c>
      <c r="H319">
        <v>0</v>
      </c>
      <c r="I319">
        <v>7</v>
      </c>
      <c r="J319">
        <v>3</v>
      </c>
      <c r="K319">
        <v>3</v>
      </c>
      <c r="L319">
        <v>3</v>
      </c>
      <c r="M319">
        <v>3</v>
      </c>
      <c r="N319">
        <v>3</v>
      </c>
      <c r="O319">
        <v>3</v>
      </c>
      <c r="P319">
        <v>3</v>
      </c>
      <c r="Q319">
        <v>33</v>
      </c>
      <c r="R319">
        <v>3</v>
      </c>
      <c r="S319">
        <v>3</v>
      </c>
      <c r="T319">
        <f t="shared" si="14"/>
        <v>67</v>
      </c>
      <c r="U319">
        <v>1</v>
      </c>
    </row>
    <row r="320" spans="1:21" x14ac:dyDescent="0.3">
      <c r="A320" t="str">
        <f t="shared" si="12"/>
        <v>Cheshire West and ChesterReablement &amp; Rehabilitation in a bedded setting (pathway 2)2</v>
      </c>
      <c r="B320">
        <f>IF(C320="","",COUNTIF($C$2:C320,C320))</f>
        <v>2</v>
      </c>
      <c r="C320" t="str">
        <f t="shared" si="13"/>
        <v>Cheshire West and ChesterReablement in a bedded setting (pathway 2)</v>
      </c>
      <c r="D320" t="str">
        <f>VLOOKUP(G320,PathwayLookup!A:B,2,0)</f>
        <v>Reablement &amp; Rehabilitation in a bedded setting (pathway 2)</v>
      </c>
      <c r="E320" t="s">
        <v>113</v>
      </c>
      <c r="F320" t="s">
        <v>546</v>
      </c>
      <c r="G320" t="s">
        <v>722</v>
      </c>
      <c r="H320">
        <v>6</v>
      </c>
      <c r="I320">
        <v>5</v>
      </c>
      <c r="J320">
        <v>5</v>
      </c>
      <c r="K320">
        <v>5</v>
      </c>
      <c r="L320">
        <v>5</v>
      </c>
      <c r="M320">
        <v>5</v>
      </c>
      <c r="N320">
        <v>5</v>
      </c>
      <c r="O320">
        <v>6</v>
      </c>
      <c r="P320">
        <v>6</v>
      </c>
      <c r="Q320">
        <v>5</v>
      </c>
      <c r="R320">
        <v>5</v>
      </c>
      <c r="S320">
        <v>5</v>
      </c>
      <c r="T320">
        <f t="shared" si="14"/>
        <v>63</v>
      </c>
      <c r="U320">
        <v>1</v>
      </c>
    </row>
    <row r="321" spans="1:21" x14ac:dyDescent="0.3">
      <c r="A321" t="str">
        <f t="shared" si="12"/>
        <v>Cheshire West and ChesterReablement &amp; Rehabilitation in a bedded setting (pathway 2)1</v>
      </c>
      <c r="B321">
        <f>IF(C321="","",COUNTIF($C$2:C321,C321))</f>
        <v>1</v>
      </c>
      <c r="C321" t="str">
        <f t="shared" si="13"/>
        <v>Cheshire West and ChesterRehabilitation in a bedded setting (pathway 2)</v>
      </c>
      <c r="D321" t="str">
        <f>VLOOKUP(G321,PathwayLookup!A:B,2,0)</f>
        <v>Reablement &amp; Rehabilitation in a bedded setting (pathway 2)</v>
      </c>
      <c r="E321" t="s">
        <v>113</v>
      </c>
      <c r="F321" t="s">
        <v>480</v>
      </c>
      <c r="G321" t="s">
        <v>724</v>
      </c>
      <c r="H321">
        <v>33</v>
      </c>
      <c r="I321">
        <v>61</v>
      </c>
      <c r="J321">
        <v>48</v>
      </c>
      <c r="K321">
        <v>48</v>
      </c>
      <c r="L321">
        <v>48</v>
      </c>
      <c r="M321">
        <v>46</v>
      </c>
      <c r="N321">
        <v>49</v>
      </c>
      <c r="O321">
        <v>52</v>
      </c>
      <c r="P321">
        <v>52</v>
      </c>
      <c r="Q321">
        <v>48</v>
      </c>
      <c r="R321">
        <v>43</v>
      </c>
      <c r="S321">
        <v>43</v>
      </c>
      <c r="T321">
        <f t="shared" si="14"/>
        <v>571</v>
      </c>
      <c r="U321">
        <v>1</v>
      </c>
    </row>
    <row r="322" spans="1:21" x14ac:dyDescent="0.3">
      <c r="A322" t="str">
        <f t="shared" ref="A322:A385" si="15">IF(B322="","",E322&amp;D322&amp;B322)</f>
        <v>Cheshire West and ChesterReablement &amp; Rehabilitation in a bedded setting (pathway 2)2</v>
      </c>
      <c r="B322">
        <f>IF(C322="","",COUNTIF($C$2:C322,C322))</f>
        <v>2</v>
      </c>
      <c r="C322" t="str">
        <f t="shared" ref="C322:C385" si="16">IF(T322=0,"",E322&amp;G322)</f>
        <v>Cheshire West and ChesterRehabilitation in a bedded setting (pathway 2)</v>
      </c>
      <c r="D322" t="str">
        <f>VLOOKUP(G322,PathwayLookup!A:B,2,0)</f>
        <v>Reablement &amp; Rehabilitation in a bedded setting (pathway 2)</v>
      </c>
      <c r="E322" t="s">
        <v>113</v>
      </c>
      <c r="F322" t="s">
        <v>546</v>
      </c>
      <c r="G322" t="s">
        <v>724</v>
      </c>
      <c r="H322">
        <v>37</v>
      </c>
      <c r="I322">
        <v>28</v>
      </c>
      <c r="J322">
        <v>33</v>
      </c>
      <c r="K322">
        <v>33</v>
      </c>
      <c r="L322">
        <v>33</v>
      </c>
      <c r="M322">
        <v>32</v>
      </c>
      <c r="N322">
        <v>34</v>
      </c>
      <c r="O322">
        <v>36</v>
      </c>
      <c r="P322">
        <v>36</v>
      </c>
      <c r="Q322">
        <v>33</v>
      </c>
      <c r="R322">
        <v>30</v>
      </c>
      <c r="S322">
        <v>30</v>
      </c>
      <c r="T322">
        <f t="shared" ref="T322:T385" si="17">SUM(H322:S322)</f>
        <v>395</v>
      </c>
      <c r="U322">
        <v>1</v>
      </c>
    </row>
    <row r="323" spans="1:21" x14ac:dyDescent="0.3">
      <c r="A323" t="str">
        <f t="shared" si="15"/>
        <v>Cheshire West and ChesterShort-term residential/nursing care for someone likely to require a longer-term care home placement (pathway 3)1</v>
      </c>
      <c r="B323">
        <f>IF(C323="","",COUNTIF($C$2:C323,C323))</f>
        <v>1</v>
      </c>
      <c r="C323" t="str">
        <f t="shared" si="16"/>
        <v>Cheshire West and ChesterShort-term residential/nursing care for someone likely to require a longer-term care home placement (pathway 3)</v>
      </c>
      <c r="D323" t="str">
        <f>VLOOKUP(G323,PathwayLookup!A:B,2,0)</f>
        <v>Short-term residential/nursing care for someone likely to require a longer-term care home placement (pathway 3)</v>
      </c>
      <c r="E323" t="s">
        <v>113</v>
      </c>
      <c r="F323" t="s">
        <v>480</v>
      </c>
      <c r="G323" t="s">
        <v>686</v>
      </c>
      <c r="H323">
        <v>16</v>
      </c>
      <c r="I323">
        <v>22</v>
      </c>
      <c r="J323">
        <v>19</v>
      </c>
      <c r="K323">
        <v>19</v>
      </c>
      <c r="L323">
        <v>19</v>
      </c>
      <c r="M323">
        <v>18</v>
      </c>
      <c r="N323">
        <v>20</v>
      </c>
      <c r="O323">
        <v>21</v>
      </c>
      <c r="P323">
        <v>21</v>
      </c>
      <c r="Q323">
        <v>19</v>
      </c>
      <c r="R323">
        <v>17</v>
      </c>
      <c r="S323">
        <v>17</v>
      </c>
      <c r="T323">
        <f t="shared" si="17"/>
        <v>228</v>
      </c>
      <c r="U323">
        <v>1</v>
      </c>
    </row>
    <row r="324" spans="1:21" x14ac:dyDescent="0.3">
      <c r="A324" t="str">
        <f t="shared" si="15"/>
        <v>Cheshire West and ChesterShort-term residential/nursing care for someone likely to require a longer-term care home placement (pathway 3)2</v>
      </c>
      <c r="B324">
        <f>IF(C324="","",COUNTIF($C$2:C324,C324))</f>
        <v>2</v>
      </c>
      <c r="C324" t="str">
        <f t="shared" si="16"/>
        <v>Cheshire West and ChesterShort-term residential/nursing care for someone likely to require a longer-term care home placement (pathway 3)</v>
      </c>
      <c r="D324" t="str">
        <f>VLOOKUP(G324,PathwayLookup!A:B,2,0)</f>
        <v>Short-term residential/nursing care for someone likely to require a longer-term care home placement (pathway 3)</v>
      </c>
      <c r="E324" t="s">
        <v>113</v>
      </c>
      <c r="F324" t="s">
        <v>546</v>
      </c>
      <c r="G324" t="s">
        <v>686</v>
      </c>
      <c r="H324">
        <v>12</v>
      </c>
      <c r="I324">
        <v>18</v>
      </c>
      <c r="J324">
        <v>15</v>
      </c>
      <c r="K324">
        <v>15</v>
      </c>
      <c r="L324">
        <v>15</v>
      </c>
      <c r="M324">
        <v>14</v>
      </c>
      <c r="N324">
        <v>15</v>
      </c>
      <c r="O324">
        <v>16</v>
      </c>
      <c r="P324">
        <v>16</v>
      </c>
      <c r="Q324">
        <v>15</v>
      </c>
      <c r="R324">
        <v>13</v>
      </c>
      <c r="S324">
        <v>13</v>
      </c>
      <c r="T324">
        <f t="shared" si="17"/>
        <v>177</v>
      </c>
      <c r="U324">
        <v>1</v>
      </c>
    </row>
    <row r="325" spans="1:21" x14ac:dyDescent="0.3">
      <c r="A325" t="str">
        <f t="shared" si="15"/>
        <v>City of LondonSocial support (including VCS) (pathway 0)1</v>
      </c>
      <c r="B325">
        <f>IF(C325="","",COUNTIF($C$2:C325,C325))</f>
        <v>1</v>
      </c>
      <c r="C325" t="str">
        <f t="shared" si="16"/>
        <v>City of LondonSocial support (including VCS) (pathway 0)</v>
      </c>
      <c r="D325" t="str">
        <f>VLOOKUP(G325,PathwayLookup!A:B,2,0)</f>
        <v>Social support (including VCS) (pathway 0)</v>
      </c>
      <c r="E325" t="s">
        <v>115</v>
      </c>
      <c r="F325" t="s">
        <v>456</v>
      </c>
      <c r="G325" t="s">
        <v>682</v>
      </c>
      <c r="H325">
        <v>1</v>
      </c>
      <c r="I325">
        <v>1</v>
      </c>
      <c r="J325">
        <v>1</v>
      </c>
      <c r="K325">
        <v>1</v>
      </c>
      <c r="L325">
        <v>1</v>
      </c>
      <c r="M325">
        <v>1</v>
      </c>
      <c r="N325">
        <v>2</v>
      </c>
      <c r="O325">
        <v>2</v>
      </c>
      <c r="P325">
        <v>2</v>
      </c>
      <c r="Q325">
        <v>2</v>
      </c>
      <c r="R325">
        <v>2</v>
      </c>
      <c r="S325">
        <v>2</v>
      </c>
      <c r="T325">
        <f t="shared" si="17"/>
        <v>18</v>
      </c>
      <c r="U325">
        <v>1</v>
      </c>
    </row>
    <row r="326" spans="1:21" x14ac:dyDescent="0.3">
      <c r="A326" t="str">
        <f t="shared" si="15"/>
        <v>City of LondonSocial support (including VCS) (pathway 0)2</v>
      </c>
      <c r="B326">
        <f>IF(C326="","",COUNTIF($C$2:C326,C326))</f>
        <v>2</v>
      </c>
      <c r="C326" t="str">
        <f t="shared" si="16"/>
        <v>City of LondonSocial support (including VCS) (pathway 0)</v>
      </c>
      <c r="D326" t="str">
        <f>VLOOKUP(G326,PathwayLookup!A:B,2,0)</f>
        <v>Social support (including VCS) (pathway 0)</v>
      </c>
      <c r="E326" t="s">
        <v>115</v>
      </c>
      <c r="F326" t="s">
        <v>510</v>
      </c>
      <c r="G326" t="s">
        <v>682</v>
      </c>
      <c r="H326">
        <v>0</v>
      </c>
      <c r="I326">
        <v>0</v>
      </c>
      <c r="J326">
        <v>0</v>
      </c>
      <c r="K326">
        <v>0</v>
      </c>
      <c r="L326">
        <v>0</v>
      </c>
      <c r="M326">
        <v>1</v>
      </c>
      <c r="N326">
        <v>2</v>
      </c>
      <c r="O326">
        <v>2</v>
      </c>
      <c r="P326">
        <v>2</v>
      </c>
      <c r="Q326">
        <v>2</v>
      </c>
      <c r="R326">
        <v>2</v>
      </c>
      <c r="S326">
        <v>1</v>
      </c>
      <c r="T326">
        <f t="shared" si="17"/>
        <v>12</v>
      </c>
      <c r="U326">
        <v>1</v>
      </c>
    </row>
    <row r="327" spans="1:21" x14ac:dyDescent="0.3">
      <c r="A327" t="str">
        <f t="shared" si="15"/>
        <v>City of LondonSocial support (including VCS) (pathway 0)3</v>
      </c>
      <c r="B327">
        <f>IF(C327="","",COUNTIF($C$2:C327,C327))</f>
        <v>3</v>
      </c>
      <c r="C327" t="str">
        <f t="shared" si="16"/>
        <v>City of LondonSocial support (including VCS) (pathway 0)</v>
      </c>
      <c r="D327" t="str">
        <f>VLOOKUP(G327,PathwayLookup!A:B,2,0)</f>
        <v>Social support (including VCS) (pathway 0)</v>
      </c>
      <c r="E327" t="s">
        <v>115</v>
      </c>
      <c r="F327" t="s">
        <v>516</v>
      </c>
      <c r="G327" t="s">
        <v>682</v>
      </c>
      <c r="H327">
        <v>0</v>
      </c>
      <c r="I327">
        <v>0</v>
      </c>
      <c r="J327">
        <v>0</v>
      </c>
      <c r="K327">
        <v>0</v>
      </c>
      <c r="L327">
        <v>0</v>
      </c>
      <c r="M327">
        <v>0</v>
      </c>
      <c r="N327">
        <v>0</v>
      </c>
      <c r="O327">
        <v>0</v>
      </c>
      <c r="P327">
        <v>1</v>
      </c>
      <c r="Q327">
        <v>1</v>
      </c>
      <c r="R327">
        <v>0</v>
      </c>
      <c r="S327">
        <v>0</v>
      </c>
      <c r="T327">
        <f t="shared" si="17"/>
        <v>2</v>
      </c>
      <c r="U327">
        <v>1</v>
      </c>
    </row>
    <row r="328" spans="1:21" x14ac:dyDescent="0.3">
      <c r="A328" t="str">
        <f t="shared" si="15"/>
        <v>City of LondonSocial support (including VCS) (pathway 0)4</v>
      </c>
      <c r="B328">
        <f>IF(C328="","",COUNTIF($C$2:C328,C328))</f>
        <v>4</v>
      </c>
      <c r="C328" t="str">
        <f t="shared" si="16"/>
        <v>City of LondonSocial support (including VCS) (pathway 0)</v>
      </c>
      <c r="D328" t="str">
        <f>VLOOKUP(G328,PathwayLookup!A:B,2,0)</f>
        <v>Social support (including VCS) (pathway 0)</v>
      </c>
      <c r="E328" t="s">
        <v>115</v>
      </c>
      <c r="F328" t="s">
        <v>626</v>
      </c>
      <c r="G328" t="s">
        <v>682</v>
      </c>
      <c r="H328">
        <v>0</v>
      </c>
      <c r="I328">
        <v>0</v>
      </c>
      <c r="J328">
        <v>1</v>
      </c>
      <c r="K328">
        <v>1</v>
      </c>
      <c r="L328">
        <v>0</v>
      </c>
      <c r="M328">
        <v>1</v>
      </c>
      <c r="N328">
        <v>2</v>
      </c>
      <c r="O328">
        <v>2</v>
      </c>
      <c r="P328">
        <v>2</v>
      </c>
      <c r="Q328">
        <v>2</v>
      </c>
      <c r="R328">
        <v>1</v>
      </c>
      <c r="S328">
        <v>1</v>
      </c>
      <c r="T328">
        <f t="shared" si="17"/>
        <v>13</v>
      </c>
      <c r="U328">
        <v>1</v>
      </c>
    </row>
    <row r="329" spans="1:21" x14ac:dyDescent="0.3">
      <c r="A329" t="str">
        <f t="shared" si="15"/>
        <v>City of LondonSocial support (including VCS) (pathway 0)5</v>
      </c>
      <c r="B329">
        <f>IF(C329="","",COUNTIF($C$2:C329,C329))</f>
        <v>5</v>
      </c>
      <c r="C329" t="str">
        <f t="shared" si="16"/>
        <v>City of LondonSocial support (including VCS) (pathway 0)</v>
      </c>
      <c r="D329" t="str">
        <f>VLOOKUP(G329,PathwayLookup!A:B,2,0)</f>
        <v>Social support (including VCS) (pathway 0)</v>
      </c>
      <c r="E329" t="s">
        <v>115</v>
      </c>
      <c r="F329" t="s">
        <v>651</v>
      </c>
      <c r="G329" t="s">
        <v>682</v>
      </c>
      <c r="H329">
        <v>0</v>
      </c>
      <c r="I329">
        <v>1</v>
      </c>
      <c r="J329">
        <v>1</v>
      </c>
      <c r="K329">
        <v>1</v>
      </c>
      <c r="L329">
        <v>0</v>
      </c>
      <c r="M329">
        <v>2</v>
      </c>
      <c r="N329">
        <v>2</v>
      </c>
      <c r="O329">
        <v>2</v>
      </c>
      <c r="P329">
        <v>2</v>
      </c>
      <c r="Q329">
        <v>2</v>
      </c>
      <c r="R329">
        <v>2</v>
      </c>
      <c r="S329">
        <v>1</v>
      </c>
      <c r="T329">
        <f t="shared" si="17"/>
        <v>16</v>
      </c>
      <c r="U329">
        <v>1</v>
      </c>
    </row>
    <row r="330" spans="1:21" x14ac:dyDescent="0.3">
      <c r="A330" t="str">
        <f t="shared" si="15"/>
        <v>City of LondonReablement &amp; Rehabilitation at home  (pathway 1)1</v>
      </c>
      <c r="B330">
        <f>IF(C330="","",COUNTIF($C$2:C330,C330))</f>
        <v>1</v>
      </c>
      <c r="C330" t="str">
        <f t="shared" si="16"/>
        <v>City of LondonReablement at home  (pathway 1)</v>
      </c>
      <c r="D330" t="str">
        <f>VLOOKUP(G330,PathwayLookup!A:B,2,0)</f>
        <v>Reablement &amp; Rehabilitation at home  (pathway 1)</v>
      </c>
      <c r="E330" t="s">
        <v>115</v>
      </c>
      <c r="F330" t="s">
        <v>456</v>
      </c>
      <c r="G330" t="s">
        <v>718</v>
      </c>
      <c r="H330">
        <v>0</v>
      </c>
      <c r="I330">
        <v>0</v>
      </c>
      <c r="J330">
        <v>1</v>
      </c>
      <c r="K330">
        <v>0</v>
      </c>
      <c r="L330">
        <v>0</v>
      </c>
      <c r="M330">
        <v>1</v>
      </c>
      <c r="N330">
        <v>2</v>
      </c>
      <c r="O330">
        <v>2</v>
      </c>
      <c r="P330">
        <v>2</v>
      </c>
      <c r="Q330">
        <v>2</v>
      </c>
      <c r="R330">
        <v>2</v>
      </c>
      <c r="S330">
        <v>2</v>
      </c>
      <c r="T330">
        <f t="shared" si="17"/>
        <v>14</v>
      </c>
      <c r="U330">
        <v>1</v>
      </c>
    </row>
    <row r="331" spans="1:21" x14ac:dyDescent="0.3">
      <c r="A331" t="str">
        <f t="shared" si="15"/>
        <v>City of LondonReablement &amp; Rehabilitation at home  (pathway 1)2</v>
      </c>
      <c r="B331">
        <f>IF(C331="","",COUNTIF($C$2:C331,C331))</f>
        <v>2</v>
      </c>
      <c r="C331" t="str">
        <f t="shared" si="16"/>
        <v>City of LondonReablement at home  (pathway 1)</v>
      </c>
      <c r="D331" t="str">
        <f>VLOOKUP(G331,PathwayLookup!A:B,2,0)</f>
        <v>Reablement &amp; Rehabilitation at home  (pathway 1)</v>
      </c>
      <c r="E331" t="s">
        <v>115</v>
      </c>
      <c r="F331" t="s">
        <v>510</v>
      </c>
      <c r="G331" t="s">
        <v>718</v>
      </c>
      <c r="H331">
        <v>0</v>
      </c>
      <c r="I331">
        <v>0</v>
      </c>
      <c r="J331">
        <v>0</v>
      </c>
      <c r="K331">
        <v>0</v>
      </c>
      <c r="L331">
        <v>0</v>
      </c>
      <c r="M331">
        <v>0</v>
      </c>
      <c r="N331">
        <v>0</v>
      </c>
      <c r="O331">
        <v>0</v>
      </c>
      <c r="P331">
        <v>0</v>
      </c>
      <c r="Q331">
        <v>1</v>
      </c>
      <c r="R331">
        <v>0</v>
      </c>
      <c r="S331">
        <v>0</v>
      </c>
      <c r="T331">
        <f t="shared" si="17"/>
        <v>1</v>
      </c>
      <c r="U331">
        <v>1</v>
      </c>
    </row>
    <row r="332" spans="1:21" x14ac:dyDescent="0.3">
      <c r="A332" t="str">
        <f t="shared" si="15"/>
        <v>City of LondonReablement &amp; Rehabilitation at home  (pathway 1)3</v>
      </c>
      <c r="B332">
        <f>IF(C332="","",COUNTIF($C$2:C332,C332))</f>
        <v>3</v>
      </c>
      <c r="C332" t="str">
        <f t="shared" si="16"/>
        <v>City of LondonReablement at home  (pathway 1)</v>
      </c>
      <c r="D332" t="str">
        <f>VLOOKUP(G332,PathwayLookup!A:B,2,0)</f>
        <v>Reablement &amp; Rehabilitation at home  (pathway 1)</v>
      </c>
      <c r="E332" t="s">
        <v>115</v>
      </c>
      <c r="F332" t="s">
        <v>516</v>
      </c>
      <c r="G332" t="s">
        <v>718</v>
      </c>
      <c r="H332">
        <v>0</v>
      </c>
      <c r="I332">
        <v>0</v>
      </c>
      <c r="J332">
        <v>0</v>
      </c>
      <c r="K332">
        <v>0</v>
      </c>
      <c r="L332">
        <v>0</v>
      </c>
      <c r="M332">
        <v>0</v>
      </c>
      <c r="N332">
        <v>0</v>
      </c>
      <c r="O332">
        <v>0</v>
      </c>
      <c r="P332">
        <v>1</v>
      </c>
      <c r="Q332">
        <v>0</v>
      </c>
      <c r="R332">
        <v>0</v>
      </c>
      <c r="S332">
        <v>0</v>
      </c>
      <c r="T332">
        <f t="shared" si="17"/>
        <v>1</v>
      </c>
      <c r="U332">
        <v>1</v>
      </c>
    </row>
    <row r="333" spans="1:21" x14ac:dyDescent="0.3">
      <c r="A333" t="str">
        <f t="shared" si="15"/>
        <v>City of LondonReablement &amp; Rehabilitation at home  (pathway 1)4</v>
      </c>
      <c r="B333">
        <f>IF(C333="","",COUNTIF($C$2:C333,C333))</f>
        <v>4</v>
      </c>
      <c r="C333" t="str">
        <f t="shared" si="16"/>
        <v>City of LondonReablement at home  (pathway 1)</v>
      </c>
      <c r="D333" t="str">
        <f>VLOOKUP(G333,PathwayLookup!A:B,2,0)</f>
        <v>Reablement &amp; Rehabilitation at home  (pathway 1)</v>
      </c>
      <c r="E333" t="s">
        <v>115</v>
      </c>
      <c r="F333" t="s">
        <v>626</v>
      </c>
      <c r="G333" t="s">
        <v>718</v>
      </c>
      <c r="H333">
        <v>0</v>
      </c>
      <c r="I333">
        <v>0</v>
      </c>
      <c r="J333">
        <v>0</v>
      </c>
      <c r="K333">
        <v>1</v>
      </c>
      <c r="L333">
        <v>0</v>
      </c>
      <c r="M333">
        <v>1</v>
      </c>
      <c r="N333">
        <v>2</v>
      </c>
      <c r="O333">
        <v>1</v>
      </c>
      <c r="P333">
        <v>2</v>
      </c>
      <c r="Q333">
        <v>1</v>
      </c>
      <c r="R333">
        <v>1</v>
      </c>
      <c r="S333">
        <v>0</v>
      </c>
      <c r="T333">
        <f t="shared" si="17"/>
        <v>9</v>
      </c>
      <c r="U333">
        <v>1</v>
      </c>
    </row>
    <row r="334" spans="1:21" x14ac:dyDescent="0.3">
      <c r="A334" t="str">
        <f t="shared" si="15"/>
        <v>City of LondonReablement &amp; Rehabilitation at home  (pathway 1)5</v>
      </c>
      <c r="B334">
        <f>IF(C334="","",COUNTIF($C$2:C334,C334))</f>
        <v>5</v>
      </c>
      <c r="C334" t="str">
        <f t="shared" si="16"/>
        <v>City of LondonReablement at home  (pathway 1)</v>
      </c>
      <c r="D334" t="str">
        <f>VLOOKUP(G334,PathwayLookup!A:B,2,0)</f>
        <v>Reablement &amp; Rehabilitation at home  (pathway 1)</v>
      </c>
      <c r="E334" t="s">
        <v>115</v>
      </c>
      <c r="F334" t="s">
        <v>651</v>
      </c>
      <c r="G334" t="s">
        <v>718</v>
      </c>
      <c r="H334">
        <v>0</v>
      </c>
      <c r="I334">
        <v>0</v>
      </c>
      <c r="J334">
        <v>0</v>
      </c>
      <c r="K334">
        <v>0</v>
      </c>
      <c r="L334">
        <v>0</v>
      </c>
      <c r="M334">
        <v>0</v>
      </c>
      <c r="N334">
        <v>0</v>
      </c>
      <c r="O334">
        <v>0</v>
      </c>
      <c r="P334">
        <v>1</v>
      </c>
      <c r="Q334">
        <v>0</v>
      </c>
      <c r="R334">
        <v>0</v>
      </c>
      <c r="S334">
        <v>0</v>
      </c>
      <c r="T334">
        <f t="shared" si="17"/>
        <v>1</v>
      </c>
      <c r="U334">
        <v>1</v>
      </c>
    </row>
    <row r="335" spans="1:21" x14ac:dyDescent="0.3">
      <c r="A335" t="str">
        <f t="shared" si="15"/>
        <v/>
      </c>
      <c r="B335" t="str">
        <f>IF(C335="","",COUNTIF($C$2:C335,C335))</f>
        <v/>
      </c>
      <c r="C335" t="str">
        <f t="shared" si="16"/>
        <v/>
      </c>
      <c r="D335" t="str">
        <f>VLOOKUP(G335,PathwayLookup!A:B,2,0)</f>
        <v>Reablement &amp; Rehabilitation at home  (pathway 1)</v>
      </c>
      <c r="E335" t="s">
        <v>115</v>
      </c>
      <c r="F335" t="s">
        <v>456</v>
      </c>
      <c r="G335" t="s">
        <v>719</v>
      </c>
      <c r="H335">
        <v>0</v>
      </c>
      <c r="I335">
        <v>0</v>
      </c>
      <c r="J335">
        <v>0</v>
      </c>
      <c r="K335">
        <v>0</v>
      </c>
      <c r="L335">
        <v>0</v>
      </c>
      <c r="M335">
        <v>0</v>
      </c>
      <c r="N335">
        <v>0</v>
      </c>
      <c r="O335">
        <v>0</v>
      </c>
      <c r="P335">
        <v>0</v>
      </c>
      <c r="Q335">
        <v>0</v>
      </c>
      <c r="R335">
        <v>0</v>
      </c>
      <c r="S335">
        <v>0</v>
      </c>
      <c r="T335">
        <f t="shared" si="17"/>
        <v>0</v>
      </c>
      <c r="U335">
        <v>1</v>
      </c>
    </row>
    <row r="336" spans="1:21" x14ac:dyDescent="0.3">
      <c r="A336" t="str">
        <f t="shared" si="15"/>
        <v/>
      </c>
      <c r="B336" t="str">
        <f>IF(C336="","",COUNTIF($C$2:C336,C336))</f>
        <v/>
      </c>
      <c r="C336" t="str">
        <f t="shared" si="16"/>
        <v/>
      </c>
      <c r="D336" t="str">
        <f>VLOOKUP(G336,PathwayLookup!A:B,2,0)</f>
        <v>Reablement &amp; Rehabilitation at home  (pathway 1)</v>
      </c>
      <c r="E336" t="s">
        <v>115</v>
      </c>
      <c r="F336" t="s">
        <v>510</v>
      </c>
      <c r="G336" t="s">
        <v>719</v>
      </c>
      <c r="H336">
        <v>0</v>
      </c>
      <c r="I336">
        <v>0</v>
      </c>
      <c r="J336">
        <v>0</v>
      </c>
      <c r="K336">
        <v>0</v>
      </c>
      <c r="L336">
        <v>0</v>
      </c>
      <c r="M336">
        <v>0</v>
      </c>
      <c r="N336">
        <v>0</v>
      </c>
      <c r="O336">
        <v>0</v>
      </c>
      <c r="P336">
        <v>0</v>
      </c>
      <c r="Q336">
        <v>0</v>
      </c>
      <c r="R336">
        <v>0</v>
      </c>
      <c r="S336">
        <v>0</v>
      </c>
      <c r="T336">
        <f t="shared" si="17"/>
        <v>0</v>
      </c>
      <c r="U336">
        <v>1</v>
      </c>
    </row>
    <row r="337" spans="1:21" x14ac:dyDescent="0.3">
      <c r="A337" t="str">
        <f t="shared" si="15"/>
        <v/>
      </c>
      <c r="B337" t="str">
        <f>IF(C337="","",COUNTIF($C$2:C337,C337))</f>
        <v/>
      </c>
      <c r="C337" t="str">
        <f t="shared" si="16"/>
        <v/>
      </c>
      <c r="D337" t="str">
        <f>VLOOKUP(G337,PathwayLookup!A:B,2,0)</f>
        <v>Reablement &amp; Rehabilitation at home  (pathway 1)</v>
      </c>
      <c r="E337" t="s">
        <v>115</v>
      </c>
      <c r="F337" t="s">
        <v>516</v>
      </c>
      <c r="G337" t="s">
        <v>719</v>
      </c>
      <c r="H337">
        <v>0</v>
      </c>
      <c r="I337">
        <v>0</v>
      </c>
      <c r="J337">
        <v>0</v>
      </c>
      <c r="K337">
        <v>0</v>
      </c>
      <c r="L337">
        <v>0</v>
      </c>
      <c r="M337">
        <v>0</v>
      </c>
      <c r="N337">
        <v>0</v>
      </c>
      <c r="O337">
        <v>0</v>
      </c>
      <c r="P337">
        <v>0</v>
      </c>
      <c r="Q337">
        <v>0</v>
      </c>
      <c r="R337">
        <v>0</v>
      </c>
      <c r="S337">
        <v>0</v>
      </c>
      <c r="T337">
        <f t="shared" si="17"/>
        <v>0</v>
      </c>
      <c r="U337">
        <v>1</v>
      </c>
    </row>
    <row r="338" spans="1:21" x14ac:dyDescent="0.3">
      <c r="A338" t="str">
        <f t="shared" si="15"/>
        <v/>
      </c>
      <c r="B338" t="str">
        <f>IF(C338="","",COUNTIF($C$2:C338,C338))</f>
        <v/>
      </c>
      <c r="C338" t="str">
        <f t="shared" si="16"/>
        <v/>
      </c>
      <c r="D338" t="str">
        <f>VLOOKUP(G338,PathwayLookup!A:B,2,0)</f>
        <v>Reablement &amp; Rehabilitation at home  (pathway 1)</v>
      </c>
      <c r="E338" t="s">
        <v>115</v>
      </c>
      <c r="F338" t="s">
        <v>626</v>
      </c>
      <c r="G338" t="s">
        <v>719</v>
      </c>
      <c r="H338">
        <v>0</v>
      </c>
      <c r="I338">
        <v>0</v>
      </c>
      <c r="J338">
        <v>0</v>
      </c>
      <c r="K338">
        <v>0</v>
      </c>
      <c r="L338">
        <v>0</v>
      </c>
      <c r="M338">
        <v>0</v>
      </c>
      <c r="N338">
        <v>0</v>
      </c>
      <c r="O338">
        <v>0</v>
      </c>
      <c r="P338">
        <v>0</v>
      </c>
      <c r="Q338">
        <v>0</v>
      </c>
      <c r="R338">
        <v>0</v>
      </c>
      <c r="S338">
        <v>0</v>
      </c>
      <c r="T338">
        <f t="shared" si="17"/>
        <v>0</v>
      </c>
      <c r="U338">
        <v>1</v>
      </c>
    </row>
    <row r="339" spans="1:21" x14ac:dyDescent="0.3">
      <c r="A339" t="str">
        <f t="shared" si="15"/>
        <v/>
      </c>
      <c r="B339" t="str">
        <f>IF(C339="","",COUNTIF($C$2:C339,C339))</f>
        <v/>
      </c>
      <c r="C339" t="str">
        <f t="shared" si="16"/>
        <v/>
      </c>
      <c r="D339" t="str">
        <f>VLOOKUP(G339,PathwayLookup!A:B,2,0)</f>
        <v>Reablement &amp; Rehabilitation at home  (pathway 1)</v>
      </c>
      <c r="E339" t="s">
        <v>115</v>
      </c>
      <c r="F339" t="s">
        <v>651</v>
      </c>
      <c r="G339" t="s">
        <v>719</v>
      </c>
      <c r="H339">
        <v>0</v>
      </c>
      <c r="I339">
        <v>0</v>
      </c>
      <c r="J339">
        <v>0</v>
      </c>
      <c r="K339">
        <v>0</v>
      </c>
      <c r="L339">
        <v>0</v>
      </c>
      <c r="M339">
        <v>0</v>
      </c>
      <c r="N339">
        <v>0</v>
      </c>
      <c r="O339">
        <v>0</v>
      </c>
      <c r="P339">
        <v>0</v>
      </c>
      <c r="Q339">
        <v>0</v>
      </c>
      <c r="R339">
        <v>0</v>
      </c>
      <c r="S339">
        <v>0</v>
      </c>
      <c r="T339">
        <f t="shared" si="17"/>
        <v>0</v>
      </c>
      <c r="U339">
        <v>1</v>
      </c>
    </row>
    <row r="340" spans="1:21" x14ac:dyDescent="0.3">
      <c r="A340" t="str">
        <f t="shared" si="15"/>
        <v>City of LondonShort term domiciliary care (pathway 1)1</v>
      </c>
      <c r="B340">
        <f>IF(C340="","",COUNTIF($C$2:C340,C340))</f>
        <v>1</v>
      </c>
      <c r="C340" t="str">
        <f t="shared" si="16"/>
        <v>City of LondonShort term domiciliary care (pathway 1)</v>
      </c>
      <c r="D340" t="str">
        <f>VLOOKUP(G340,PathwayLookup!A:B,2,0)</f>
        <v>Short term domiciliary care (pathway 1)</v>
      </c>
      <c r="E340" t="s">
        <v>115</v>
      </c>
      <c r="F340" t="s">
        <v>456</v>
      </c>
      <c r="G340" t="s">
        <v>684</v>
      </c>
      <c r="H340">
        <v>0</v>
      </c>
      <c r="I340">
        <v>0</v>
      </c>
      <c r="J340">
        <v>0</v>
      </c>
      <c r="K340">
        <v>0</v>
      </c>
      <c r="L340">
        <v>0</v>
      </c>
      <c r="M340">
        <v>0</v>
      </c>
      <c r="N340">
        <v>2</v>
      </c>
      <c r="O340">
        <v>1</v>
      </c>
      <c r="P340">
        <v>2</v>
      </c>
      <c r="Q340">
        <v>1</v>
      </c>
      <c r="R340">
        <v>1</v>
      </c>
      <c r="S340">
        <v>1</v>
      </c>
      <c r="T340">
        <f t="shared" si="17"/>
        <v>8</v>
      </c>
      <c r="U340">
        <v>1</v>
      </c>
    </row>
    <row r="341" spans="1:21" x14ac:dyDescent="0.3">
      <c r="A341" t="str">
        <f t="shared" si="15"/>
        <v>City of LondonShort term domiciliary care (pathway 1)2</v>
      </c>
      <c r="B341">
        <f>IF(C341="","",COUNTIF($C$2:C341,C341))</f>
        <v>2</v>
      </c>
      <c r="C341" t="str">
        <f t="shared" si="16"/>
        <v>City of LondonShort term domiciliary care (pathway 1)</v>
      </c>
      <c r="D341" t="str">
        <f>VLOOKUP(G341,PathwayLookup!A:B,2,0)</f>
        <v>Short term domiciliary care (pathway 1)</v>
      </c>
      <c r="E341" t="s">
        <v>115</v>
      </c>
      <c r="F341" t="s">
        <v>510</v>
      </c>
      <c r="G341" t="s">
        <v>684</v>
      </c>
      <c r="H341">
        <v>0</v>
      </c>
      <c r="I341">
        <v>0</v>
      </c>
      <c r="J341">
        <v>0</v>
      </c>
      <c r="K341">
        <v>0</v>
      </c>
      <c r="L341">
        <v>0</v>
      </c>
      <c r="M341">
        <v>0</v>
      </c>
      <c r="N341">
        <v>0</v>
      </c>
      <c r="O341">
        <v>1</v>
      </c>
      <c r="P341">
        <v>1</v>
      </c>
      <c r="Q341">
        <v>1</v>
      </c>
      <c r="R341">
        <v>0</v>
      </c>
      <c r="S341">
        <v>0</v>
      </c>
      <c r="T341">
        <f t="shared" si="17"/>
        <v>3</v>
      </c>
      <c r="U341">
        <v>1</v>
      </c>
    </row>
    <row r="342" spans="1:21" x14ac:dyDescent="0.3">
      <c r="A342" t="str">
        <f t="shared" si="15"/>
        <v/>
      </c>
      <c r="B342" t="str">
        <f>IF(C342="","",COUNTIF($C$2:C342,C342))</f>
        <v/>
      </c>
      <c r="C342" t="str">
        <f t="shared" si="16"/>
        <v/>
      </c>
      <c r="D342" t="str">
        <f>VLOOKUP(G342,PathwayLookup!A:B,2,0)</f>
        <v>Short term domiciliary care (pathway 1)</v>
      </c>
      <c r="E342" t="s">
        <v>115</v>
      </c>
      <c r="F342" t="s">
        <v>516</v>
      </c>
      <c r="G342" t="s">
        <v>684</v>
      </c>
      <c r="H342">
        <v>0</v>
      </c>
      <c r="I342">
        <v>0</v>
      </c>
      <c r="J342">
        <v>0</v>
      </c>
      <c r="K342">
        <v>0</v>
      </c>
      <c r="L342">
        <v>0</v>
      </c>
      <c r="M342">
        <v>0</v>
      </c>
      <c r="N342">
        <v>0</v>
      </c>
      <c r="O342">
        <v>0</v>
      </c>
      <c r="P342">
        <v>0</v>
      </c>
      <c r="Q342">
        <v>0</v>
      </c>
      <c r="R342">
        <v>0</v>
      </c>
      <c r="S342">
        <v>0</v>
      </c>
      <c r="T342">
        <f t="shared" si="17"/>
        <v>0</v>
      </c>
      <c r="U342">
        <v>1</v>
      </c>
    </row>
    <row r="343" spans="1:21" x14ac:dyDescent="0.3">
      <c r="A343" t="str">
        <f t="shared" si="15"/>
        <v>City of LondonShort term domiciliary care (pathway 1)3</v>
      </c>
      <c r="B343">
        <f>IF(C343="","",COUNTIF($C$2:C343,C343))</f>
        <v>3</v>
      </c>
      <c r="C343" t="str">
        <f t="shared" si="16"/>
        <v>City of LondonShort term domiciliary care (pathway 1)</v>
      </c>
      <c r="D343" t="str">
        <f>VLOOKUP(G343,PathwayLookup!A:B,2,0)</f>
        <v>Short term domiciliary care (pathway 1)</v>
      </c>
      <c r="E343" t="s">
        <v>115</v>
      </c>
      <c r="F343" t="s">
        <v>626</v>
      </c>
      <c r="G343" t="s">
        <v>684</v>
      </c>
      <c r="H343">
        <v>0</v>
      </c>
      <c r="I343">
        <v>0</v>
      </c>
      <c r="J343">
        <v>0</v>
      </c>
      <c r="K343">
        <v>0</v>
      </c>
      <c r="L343">
        <v>0</v>
      </c>
      <c r="M343">
        <v>1</v>
      </c>
      <c r="N343">
        <v>1</v>
      </c>
      <c r="O343">
        <v>2</v>
      </c>
      <c r="P343">
        <v>2</v>
      </c>
      <c r="Q343">
        <v>2</v>
      </c>
      <c r="R343">
        <v>1</v>
      </c>
      <c r="S343">
        <v>0</v>
      </c>
      <c r="T343">
        <f t="shared" si="17"/>
        <v>9</v>
      </c>
      <c r="U343">
        <v>1</v>
      </c>
    </row>
    <row r="344" spans="1:21" x14ac:dyDescent="0.3">
      <c r="A344" t="str">
        <f t="shared" si="15"/>
        <v>City of LondonShort term domiciliary care (pathway 1)4</v>
      </c>
      <c r="B344">
        <f>IF(C344="","",COUNTIF($C$2:C344,C344))</f>
        <v>4</v>
      </c>
      <c r="C344" t="str">
        <f t="shared" si="16"/>
        <v>City of LondonShort term domiciliary care (pathway 1)</v>
      </c>
      <c r="D344" t="str">
        <f>VLOOKUP(G344,PathwayLookup!A:B,2,0)</f>
        <v>Short term domiciliary care (pathway 1)</v>
      </c>
      <c r="E344" t="s">
        <v>115</v>
      </c>
      <c r="F344" t="s">
        <v>651</v>
      </c>
      <c r="G344" t="s">
        <v>684</v>
      </c>
      <c r="H344">
        <v>0</v>
      </c>
      <c r="I344">
        <v>0</v>
      </c>
      <c r="J344">
        <v>0</v>
      </c>
      <c r="K344">
        <v>0</v>
      </c>
      <c r="L344">
        <v>0</v>
      </c>
      <c r="M344">
        <v>0</v>
      </c>
      <c r="N344">
        <v>0</v>
      </c>
      <c r="O344">
        <v>0</v>
      </c>
      <c r="P344">
        <v>1</v>
      </c>
      <c r="Q344">
        <v>0</v>
      </c>
      <c r="R344">
        <v>0</v>
      </c>
      <c r="S344">
        <v>0</v>
      </c>
      <c r="T344">
        <f t="shared" si="17"/>
        <v>1</v>
      </c>
      <c r="U344">
        <v>1</v>
      </c>
    </row>
    <row r="345" spans="1:21" x14ac:dyDescent="0.3">
      <c r="A345" t="str">
        <f t="shared" si="15"/>
        <v>City of LondonReablement &amp; Rehabilitation in a bedded setting (pathway 2)1</v>
      </c>
      <c r="B345">
        <f>IF(C345="","",COUNTIF($C$2:C345,C345))</f>
        <v>1</v>
      </c>
      <c r="C345" t="str">
        <f t="shared" si="16"/>
        <v>City of LondonReablement in a bedded setting (pathway 2)</v>
      </c>
      <c r="D345" t="str">
        <f>VLOOKUP(G345,PathwayLookup!A:B,2,0)</f>
        <v>Reablement &amp; Rehabilitation in a bedded setting (pathway 2)</v>
      </c>
      <c r="E345" t="s">
        <v>115</v>
      </c>
      <c r="F345" t="s">
        <v>456</v>
      </c>
      <c r="G345" t="s">
        <v>722</v>
      </c>
      <c r="H345">
        <v>0</v>
      </c>
      <c r="I345">
        <v>0</v>
      </c>
      <c r="J345">
        <v>0</v>
      </c>
      <c r="K345">
        <v>0</v>
      </c>
      <c r="L345">
        <v>0</v>
      </c>
      <c r="M345">
        <v>0</v>
      </c>
      <c r="N345">
        <v>0</v>
      </c>
      <c r="O345">
        <v>1</v>
      </c>
      <c r="P345">
        <v>1</v>
      </c>
      <c r="Q345">
        <v>1</v>
      </c>
      <c r="R345">
        <v>1</v>
      </c>
      <c r="S345">
        <v>0</v>
      </c>
      <c r="T345">
        <f t="shared" si="17"/>
        <v>4</v>
      </c>
      <c r="U345">
        <v>1</v>
      </c>
    </row>
    <row r="346" spans="1:21" x14ac:dyDescent="0.3">
      <c r="A346" t="str">
        <f t="shared" si="15"/>
        <v/>
      </c>
      <c r="B346" t="str">
        <f>IF(C346="","",COUNTIF($C$2:C346,C346))</f>
        <v/>
      </c>
      <c r="C346" t="str">
        <f t="shared" si="16"/>
        <v/>
      </c>
      <c r="D346" t="str">
        <f>VLOOKUP(G346,PathwayLookup!A:B,2,0)</f>
        <v>Reablement &amp; Rehabilitation in a bedded setting (pathway 2)</v>
      </c>
      <c r="E346" t="s">
        <v>115</v>
      </c>
      <c r="F346" t="s">
        <v>510</v>
      </c>
      <c r="G346" t="s">
        <v>722</v>
      </c>
      <c r="H346">
        <v>0</v>
      </c>
      <c r="I346">
        <v>0</v>
      </c>
      <c r="J346">
        <v>0</v>
      </c>
      <c r="K346">
        <v>0</v>
      </c>
      <c r="L346">
        <v>0</v>
      </c>
      <c r="M346">
        <v>0</v>
      </c>
      <c r="N346">
        <v>0</v>
      </c>
      <c r="O346">
        <v>0</v>
      </c>
      <c r="P346">
        <v>0</v>
      </c>
      <c r="Q346">
        <v>0</v>
      </c>
      <c r="R346">
        <v>0</v>
      </c>
      <c r="S346">
        <v>0</v>
      </c>
      <c r="T346">
        <f t="shared" si="17"/>
        <v>0</v>
      </c>
      <c r="U346">
        <v>1</v>
      </c>
    </row>
    <row r="347" spans="1:21" x14ac:dyDescent="0.3">
      <c r="A347" t="str">
        <f t="shared" si="15"/>
        <v>City of LondonReablement &amp; Rehabilitation in a bedded setting (pathway 2)2</v>
      </c>
      <c r="B347">
        <f>IF(C347="","",COUNTIF($C$2:C347,C347))</f>
        <v>2</v>
      </c>
      <c r="C347" t="str">
        <f t="shared" si="16"/>
        <v>City of LondonReablement in a bedded setting (pathway 2)</v>
      </c>
      <c r="D347" t="str">
        <f>VLOOKUP(G347,PathwayLookup!A:B,2,0)</f>
        <v>Reablement &amp; Rehabilitation in a bedded setting (pathway 2)</v>
      </c>
      <c r="E347" t="s">
        <v>115</v>
      </c>
      <c r="F347" t="s">
        <v>516</v>
      </c>
      <c r="G347" t="s">
        <v>722</v>
      </c>
      <c r="H347">
        <v>0</v>
      </c>
      <c r="I347">
        <v>0</v>
      </c>
      <c r="J347">
        <v>0</v>
      </c>
      <c r="K347">
        <v>0</v>
      </c>
      <c r="L347">
        <v>0</v>
      </c>
      <c r="M347">
        <v>0</v>
      </c>
      <c r="N347">
        <v>0</v>
      </c>
      <c r="O347">
        <v>0</v>
      </c>
      <c r="P347">
        <v>1</v>
      </c>
      <c r="Q347">
        <v>0</v>
      </c>
      <c r="R347">
        <v>0</v>
      </c>
      <c r="S347">
        <v>0</v>
      </c>
      <c r="T347">
        <f t="shared" si="17"/>
        <v>1</v>
      </c>
      <c r="U347">
        <v>1</v>
      </c>
    </row>
    <row r="348" spans="1:21" x14ac:dyDescent="0.3">
      <c r="A348" t="str">
        <f t="shared" si="15"/>
        <v/>
      </c>
      <c r="B348" t="str">
        <f>IF(C348="","",COUNTIF($C$2:C348,C348))</f>
        <v/>
      </c>
      <c r="C348" t="str">
        <f t="shared" si="16"/>
        <v/>
      </c>
      <c r="D348" t="str">
        <f>VLOOKUP(G348,PathwayLookup!A:B,2,0)</f>
        <v>Reablement &amp; Rehabilitation in a bedded setting (pathway 2)</v>
      </c>
      <c r="E348" t="s">
        <v>115</v>
      </c>
      <c r="F348" t="s">
        <v>626</v>
      </c>
      <c r="G348" t="s">
        <v>722</v>
      </c>
      <c r="H348">
        <v>0</v>
      </c>
      <c r="I348">
        <v>0</v>
      </c>
      <c r="J348">
        <v>0</v>
      </c>
      <c r="K348">
        <v>0</v>
      </c>
      <c r="L348">
        <v>0</v>
      </c>
      <c r="M348">
        <v>0</v>
      </c>
      <c r="N348">
        <v>0</v>
      </c>
      <c r="O348">
        <v>0</v>
      </c>
      <c r="P348">
        <v>0</v>
      </c>
      <c r="Q348">
        <v>0</v>
      </c>
      <c r="R348">
        <v>0</v>
      </c>
      <c r="S348">
        <v>0</v>
      </c>
      <c r="T348">
        <f t="shared" si="17"/>
        <v>0</v>
      </c>
      <c r="U348">
        <v>1</v>
      </c>
    </row>
    <row r="349" spans="1:21" x14ac:dyDescent="0.3">
      <c r="A349" t="str">
        <f t="shared" si="15"/>
        <v>City of LondonReablement &amp; Rehabilitation in a bedded setting (pathway 2)3</v>
      </c>
      <c r="B349">
        <f>IF(C349="","",COUNTIF($C$2:C349,C349))</f>
        <v>3</v>
      </c>
      <c r="C349" t="str">
        <f t="shared" si="16"/>
        <v>City of LondonReablement in a bedded setting (pathway 2)</v>
      </c>
      <c r="D349" t="str">
        <f>VLOOKUP(G349,PathwayLookup!A:B,2,0)</f>
        <v>Reablement &amp; Rehabilitation in a bedded setting (pathway 2)</v>
      </c>
      <c r="E349" t="s">
        <v>115</v>
      </c>
      <c r="F349" t="s">
        <v>651</v>
      </c>
      <c r="G349" t="s">
        <v>722</v>
      </c>
      <c r="H349">
        <v>0</v>
      </c>
      <c r="I349">
        <v>0</v>
      </c>
      <c r="J349">
        <v>0</v>
      </c>
      <c r="K349">
        <v>0</v>
      </c>
      <c r="L349">
        <v>0</v>
      </c>
      <c r="M349">
        <v>0</v>
      </c>
      <c r="N349">
        <v>0</v>
      </c>
      <c r="O349">
        <v>1</v>
      </c>
      <c r="P349">
        <v>1</v>
      </c>
      <c r="Q349">
        <v>1</v>
      </c>
      <c r="R349">
        <v>1</v>
      </c>
      <c r="S349">
        <v>0</v>
      </c>
      <c r="T349">
        <f t="shared" si="17"/>
        <v>4</v>
      </c>
      <c r="U349">
        <v>1</v>
      </c>
    </row>
    <row r="350" spans="1:21" x14ac:dyDescent="0.3">
      <c r="A350" t="str">
        <f t="shared" si="15"/>
        <v/>
      </c>
      <c r="B350" t="str">
        <f>IF(C350="","",COUNTIF($C$2:C350,C350))</f>
        <v/>
      </c>
      <c r="C350" t="str">
        <f t="shared" si="16"/>
        <v/>
      </c>
      <c r="D350" t="str">
        <f>VLOOKUP(G350,PathwayLookup!A:B,2,0)</f>
        <v>Reablement &amp; Rehabilitation in a bedded setting (pathway 2)</v>
      </c>
      <c r="E350" t="s">
        <v>115</v>
      </c>
      <c r="F350" t="s">
        <v>456</v>
      </c>
      <c r="G350" t="s">
        <v>724</v>
      </c>
      <c r="H350">
        <v>0</v>
      </c>
      <c r="I350">
        <v>0</v>
      </c>
      <c r="J350">
        <v>0</v>
      </c>
      <c r="K350">
        <v>0</v>
      </c>
      <c r="L350">
        <v>0</v>
      </c>
      <c r="M350">
        <v>0</v>
      </c>
      <c r="N350">
        <v>0</v>
      </c>
      <c r="O350">
        <v>0</v>
      </c>
      <c r="P350">
        <v>0</v>
      </c>
      <c r="Q350">
        <v>0</v>
      </c>
      <c r="R350">
        <v>0</v>
      </c>
      <c r="S350">
        <v>0</v>
      </c>
      <c r="T350">
        <f t="shared" si="17"/>
        <v>0</v>
      </c>
      <c r="U350">
        <v>1</v>
      </c>
    </row>
    <row r="351" spans="1:21" x14ac:dyDescent="0.3">
      <c r="A351" t="str">
        <f t="shared" si="15"/>
        <v/>
      </c>
      <c r="B351" t="str">
        <f>IF(C351="","",COUNTIF($C$2:C351,C351))</f>
        <v/>
      </c>
      <c r="C351" t="str">
        <f t="shared" si="16"/>
        <v/>
      </c>
      <c r="D351" t="str">
        <f>VLOOKUP(G351,PathwayLookup!A:B,2,0)</f>
        <v>Reablement &amp; Rehabilitation in a bedded setting (pathway 2)</v>
      </c>
      <c r="E351" t="s">
        <v>115</v>
      </c>
      <c r="F351" t="s">
        <v>510</v>
      </c>
      <c r="G351" t="s">
        <v>724</v>
      </c>
      <c r="H351">
        <v>0</v>
      </c>
      <c r="I351">
        <v>0</v>
      </c>
      <c r="J351">
        <v>0</v>
      </c>
      <c r="K351">
        <v>0</v>
      </c>
      <c r="L351">
        <v>0</v>
      </c>
      <c r="M351">
        <v>0</v>
      </c>
      <c r="N351">
        <v>0</v>
      </c>
      <c r="O351">
        <v>0</v>
      </c>
      <c r="P351">
        <v>0</v>
      </c>
      <c r="Q351">
        <v>0</v>
      </c>
      <c r="R351">
        <v>0</v>
      </c>
      <c r="S351">
        <v>0</v>
      </c>
      <c r="T351">
        <f t="shared" si="17"/>
        <v>0</v>
      </c>
      <c r="U351">
        <v>1</v>
      </c>
    </row>
    <row r="352" spans="1:21" x14ac:dyDescent="0.3">
      <c r="A352" t="str">
        <f t="shared" si="15"/>
        <v/>
      </c>
      <c r="B352" t="str">
        <f>IF(C352="","",COUNTIF($C$2:C352,C352))</f>
        <v/>
      </c>
      <c r="C352" t="str">
        <f t="shared" si="16"/>
        <v/>
      </c>
      <c r="D352" t="str">
        <f>VLOOKUP(G352,PathwayLookup!A:B,2,0)</f>
        <v>Reablement &amp; Rehabilitation in a bedded setting (pathway 2)</v>
      </c>
      <c r="E352" t="s">
        <v>115</v>
      </c>
      <c r="F352" t="s">
        <v>516</v>
      </c>
      <c r="G352" t="s">
        <v>724</v>
      </c>
      <c r="H352">
        <v>0</v>
      </c>
      <c r="I352">
        <v>0</v>
      </c>
      <c r="J352">
        <v>0</v>
      </c>
      <c r="K352">
        <v>0</v>
      </c>
      <c r="L352">
        <v>0</v>
      </c>
      <c r="M352">
        <v>0</v>
      </c>
      <c r="N352">
        <v>0</v>
      </c>
      <c r="O352">
        <v>0</v>
      </c>
      <c r="P352">
        <v>0</v>
      </c>
      <c r="Q352">
        <v>0</v>
      </c>
      <c r="R352">
        <v>0</v>
      </c>
      <c r="S352">
        <v>0</v>
      </c>
      <c r="T352">
        <f t="shared" si="17"/>
        <v>0</v>
      </c>
      <c r="U352">
        <v>1</v>
      </c>
    </row>
    <row r="353" spans="1:21" x14ac:dyDescent="0.3">
      <c r="A353" t="str">
        <f t="shared" si="15"/>
        <v/>
      </c>
      <c r="B353" t="str">
        <f>IF(C353="","",COUNTIF($C$2:C353,C353))</f>
        <v/>
      </c>
      <c r="C353" t="str">
        <f t="shared" si="16"/>
        <v/>
      </c>
      <c r="D353" t="str">
        <f>VLOOKUP(G353,PathwayLookup!A:B,2,0)</f>
        <v>Reablement &amp; Rehabilitation in a bedded setting (pathway 2)</v>
      </c>
      <c r="E353" t="s">
        <v>115</v>
      </c>
      <c r="F353" t="s">
        <v>626</v>
      </c>
      <c r="G353" t="s">
        <v>724</v>
      </c>
      <c r="H353">
        <v>0</v>
      </c>
      <c r="I353">
        <v>0</v>
      </c>
      <c r="J353">
        <v>0</v>
      </c>
      <c r="K353">
        <v>0</v>
      </c>
      <c r="L353">
        <v>0</v>
      </c>
      <c r="M353">
        <v>0</v>
      </c>
      <c r="N353">
        <v>0</v>
      </c>
      <c r="O353">
        <v>0</v>
      </c>
      <c r="P353">
        <v>0</v>
      </c>
      <c r="Q353">
        <v>0</v>
      </c>
      <c r="R353">
        <v>0</v>
      </c>
      <c r="S353">
        <v>0</v>
      </c>
      <c r="T353">
        <f t="shared" si="17"/>
        <v>0</v>
      </c>
      <c r="U353">
        <v>1</v>
      </c>
    </row>
    <row r="354" spans="1:21" x14ac:dyDescent="0.3">
      <c r="A354" t="str">
        <f t="shared" si="15"/>
        <v/>
      </c>
      <c r="B354" t="str">
        <f>IF(C354="","",COUNTIF($C$2:C354,C354))</f>
        <v/>
      </c>
      <c r="C354" t="str">
        <f t="shared" si="16"/>
        <v/>
      </c>
      <c r="D354" t="str">
        <f>VLOOKUP(G354,PathwayLookup!A:B,2,0)</f>
        <v>Reablement &amp; Rehabilitation in a bedded setting (pathway 2)</v>
      </c>
      <c r="E354" t="s">
        <v>115</v>
      </c>
      <c r="F354" t="s">
        <v>651</v>
      </c>
      <c r="G354" t="s">
        <v>724</v>
      </c>
      <c r="H354">
        <v>0</v>
      </c>
      <c r="I354">
        <v>0</v>
      </c>
      <c r="J354">
        <v>0</v>
      </c>
      <c r="K354">
        <v>0</v>
      </c>
      <c r="L354">
        <v>0</v>
      </c>
      <c r="M354">
        <v>0</v>
      </c>
      <c r="N354">
        <v>0</v>
      </c>
      <c r="O354">
        <v>0</v>
      </c>
      <c r="P354">
        <v>0</v>
      </c>
      <c r="Q354">
        <v>0</v>
      </c>
      <c r="R354">
        <v>0</v>
      </c>
      <c r="S354">
        <v>0</v>
      </c>
      <c r="T354">
        <f t="shared" si="17"/>
        <v>0</v>
      </c>
      <c r="U354">
        <v>1</v>
      </c>
    </row>
    <row r="355" spans="1:21" x14ac:dyDescent="0.3">
      <c r="A355" t="str">
        <f t="shared" si="15"/>
        <v>City of LondonShort-term residential/nursing care for someone likely to require a longer-term care home placement (pathway 3)1</v>
      </c>
      <c r="B355">
        <f>IF(C355="","",COUNTIF($C$2:C355,C355))</f>
        <v>1</v>
      </c>
      <c r="C355" t="str">
        <f t="shared" si="16"/>
        <v>City of LondonShort-term residential/nursing care for someone likely to require a longer-term care home placement (pathway 3)</v>
      </c>
      <c r="D355" t="str">
        <f>VLOOKUP(G355,PathwayLookup!A:B,2,0)</f>
        <v>Short-term residential/nursing care for someone likely to require a longer-term care home placement (pathway 3)</v>
      </c>
      <c r="E355" t="s">
        <v>115</v>
      </c>
      <c r="F355" t="s">
        <v>456</v>
      </c>
      <c r="G355" t="s">
        <v>686</v>
      </c>
      <c r="H355">
        <v>0</v>
      </c>
      <c r="I355">
        <v>0</v>
      </c>
      <c r="J355">
        <v>0</v>
      </c>
      <c r="K355">
        <v>0</v>
      </c>
      <c r="L355">
        <v>0</v>
      </c>
      <c r="M355">
        <v>0</v>
      </c>
      <c r="N355">
        <v>0</v>
      </c>
      <c r="O355">
        <v>0</v>
      </c>
      <c r="P355">
        <v>1</v>
      </c>
      <c r="Q355">
        <v>0</v>
      </c>
      <c r="R355">
        <v>0</v>
      </c>
      <c r="S355">
        <v>0</v>
      </c>
      <c r="T355">
        <f t="shared" si="17"/>
        <v>1</v>
      </c>
      <c r="U355">
        <v>1</v>
      </c>
    </row>
    <row r="356" spans="1:21" x14ac:dyDescent="0.3">
      <c r="A356" t="str">
        <f t="shared" si="15"/>
        <v/>
      </c>
      <c r="B356" t="str">
        <f>IF(C356="","",COUNTIF($C$2:C356,C356))</f>
        <v/>
      </c>
      <c r="C356" t="str">
        <f t="shared" si="16"/>
        <v/>
      </c>
      <c r="D356" t="str">
        <f>VLOOKUP(G356,PathwayLookup!A:B,2,0)</f>
        <v>Short-term residential/nursing care for someone likely to require a longer-term care home placement (pathway 3)</v>
      </c>
      <c r="E356" t="s">
        <v>115</v>
      </c>
      <c r="F356" t="s">
        <v>510</v>
      </c>
      <c r="G356" t="s">
        <v>686</v>
      </c>
      <c r="H356">
        <v>0</v>
      </c>
      <c r="I356">
        <v>0</v>
      </c>
      <c r="J356">
        <v>0</v>
      </c>
      <c r="K356">
        <v>0</v>
      </c>
      <c r="L356">
        <v>0</v>
      </c>
      <c r="M356">
        <v>0</v>
      </c>
      <c r="N356">
        <v>0</v>
      </c>
      <c r="O356">
        <v>0</v>
      </c>
      <c r="P356">
        <v>0</v>
      </c>
      <c r="Q356">
        <v>0</v>
      </c>
      <c r="R356">
        <v>0</v>
      </c>
      <c r="S356">
        <v>0</v>
      </c>
      <c r="T356">
        <f t="shared" si="17"/>
        <v>0</v>
      </c>
      <c r="U356">
        <v>1</v>
      </c>
    </row>
    <row r="357" spans="1:21" x14ac:dyDescent="0.3">
      <c r="A357" t="str">
        <f t="shared" si="15"/>
        <v>City of LondonShort-term residential/nursing care for someone likely to require a longer-term care home placement (pathway 3)2</v>
      </c>
      <c r="B357">
        <f>IF(C357="","",COUNTIF($C$2:C357,C357))</f>
        <v>2</v>
      </c>
      <c r="C357" t="str">
        <f t="shared" si="16"/>
        <v>City of LondonShort-term residential/nursing care for someone likely to require a longer-term care home placement (pathway 3)</v>
      </c>
      <c r="D357" t="str">
        <f>VLOOKUP(G357,PathwayLookup!A:B,2,0)</f>
        <v>Short-term residential/nursing care for someone likely to require a longer-term care home placement (pathway 3)</v>
      </c>
      <c r="E357" t="s">
        <v>115</v>
      </c>
      <c r="F357" t="s">
        <v>516</v>
      </c>
      <c r="G357" t="s">
        <v>686</v>
      </c>
      <c r="H357">
        <v>0</v>
      </c>
      <c r="I357">
        <v>0</v>
      </c>
      <c r="J357">
        <v>0</v>
      </c>
      <c r="K357">
        <v>0</v>
      </c>
      <c r="L357">
        <v>0</v>
      </c>
      <c r="M357">
        <v>0</v>
      </c>
      <c r="N357">
        <v>0</v>
      </c>
      <c r="O357">
        <v>0</v>
      </c>
      <c r="P357">
        <v>1</v>
      </c>
      <c r="Q357">
        <v>1</v>
      </c>
      <c r="R357">
        <v>0</v>
      </c>
      <c r="S357">
        <v>0</v>
      </c>
      <c r="T357">
        <f t="shared" si="17"/>
        <v>2</v>
      </c>
      <c r="U357">
        <v>1</v>
      </c>
    </row>
    <row r="358" spans="1:21" x14ac:dyDescent="0.3">
      <c r="A358" t="str">
        <f t="shared" si="15"/>
        <v>City of LondonShort-term residential/nursing care for someone likely to require a longer-term care home placement (pathway 3)3</v>
      </c>
      <c r="B358">
        <f>IF(C358="","",COUNTIF($C$2:C358,C358))</f>
        <v>3</v>
      </c>
      <c r="C358" t="str">
        <f t="shared" si="16"/>
        <v>City of LondonShort-term residential/nursing care for someone likely to require a longer-term care home placement (pathway 3)</v>
      </c>
      <c r="D358" t="str">
        <f>VLOOKUP(G358,PathwayLookup!A:B,2,0)</f>
        <v>Short-term residential/nursing care for someone likely to require a longer-term care home placement (pathway 3)</v>
      </c>
      <c r="E358" t="s">
        <v>115</v>
      </c>
      <c r="F358" t="s">
        <v>626</v>
      </c>
      <c r="G358" t="s">
        <v>686</v>
      </c>
      <c r="H358">
        <v>0</v>
      </c>
      <c r="I358">
        <v>0</v>
      </c>
      <c r="J358">
        <v>0</v>
      </c>
      <c r="K358">
        <v>0</v>
      </c>
      <c r="L358">
        <v>0</v>
      </c>
      <c r="M358">
        <v>0</v>
      </c>
      <c r="N358">
        <v>0</v>
      </c>
      <c r="O358">
        <v>0</v>
      </c>
      <c r="P358">
        <v>1</v>
      </c>
      <c r="Q358">
        <v>1</v>
      </c>
      <c r="R358">
        <v>0</v>
      </c>
      <c r="S358">
        <v>0</v>
      </c>
      <c r="T358">
        <f t="shared" si="17"/>
        <v>2</v>
      </c>
      <c r="U358">
        <v>1</v>
      </c>
    </row>
    <row r="359" spans="1:21" x14ac:dyDescent="0.3">
      <c r="A359" t="str">
        <f t="shared" si="15"/>
        <v>City of LondonShort-term residential/nursing care for someone likely to require a longer-term care home placement (pathway 3)4</v>
      </c>
      <c r="B359">
        <f>IF(C359="","",COUNTIF($C$2:C359,C359))</f>
        <v>4</v>
      </c>
      <c r="C359" t="str">
        <f t="shared" si="16"/>
        <v>City of LondonShort-term residential/nursing care for someone likely to require a longer-term care home placement (pathway 3)</v>
      </c>
      <c r="D359" t="str">
        <f>VLOOKUP(G359,PathwayLookup!A:B,2,0)</f>
        <v>Short-term residential/nursing care for someone likely to require a longer-term care home placement (pathway 3)</v>
      </c>
      <c r="E359" t="s">
        <v>115</v>
      </c>
      <c r="F359" t="s">
        <v>651</v>
      </c>
      <c r="G359" t="s">
        <v>686</v>
      </c>
      <c r="H359">
        <v>0</v>
      </c>
      <c r="I359">
        <v>0</v>
      </c>
      <c r="J359">
        <v>0</v>
      </c>
      <c r="K359">
        <v>0</v>
      </c>
      <c r="L359">
        <v>0</v>
      </c>
      <c r="M359">
        <v>0</v>
      </c>
      <c r="N359">
        <v>0</v>
      </c>
      <c r="O359">
        <v>0</v>
      </c>
      <c r="P359">
        <v>1</v>
      </c>
      <c r="Q359">
        <v>0</v>
      </c>
      <c r="R359">
        <v>0</v>
      </c>
      <c r="S359">
        <v>0</v>
      </c>
      <c r="T359">
        <f t="shared" si="17"/>
        <v>1</v>
      </c>
      <c r="U359">
        <v>1</v>
      </c>
    </row>
    <row r="360" spans="1:21" x14ac:dyDescent="0.3">
      <c r="A360" t="str">
        <f t="shared" si="15"/>
        <v>Cornwall &amp; ScillySocial support (including VCS) (pathway 0)1</v>
      </c>
      <c r="B360">
        <f>IF(C360="","",COUNTIF($C$2:C360,C360))</f>
        <v>1</v>
      </c>
      <c r="C360" t="str">
        <f t="shared" si="16"/>
        <v>Cornwall &amp; ScillySocial support (including VCS) (pathway 0)</v>
      </c>
      <c r="D360" t="str">
        <f>VLOOKUP(G360,PathwayLookup!A:B,2,0)</f>
        <v>Social support (including VCS) (pathway 0)</v>
      </c>
      <c r="E360" t="s">
        <v>117</v>
      </c>
      <c r="F360" t="s">
        <v>479</v>
      </c>
      <c r="G360" t="s">
        <v>682</v>
      </c>
      <c r="H360">
        <v>56</v>
      </c>
      <c r="I360">
        <v>56</v>
      </c>
      <c r="J360">
        <v>60</v>
      </c>
      <c r="K360">
        <v>66</v>
      </c>
      <c r="L360">
        <v>64</v>
      </c>
      <c r="M360">
        <v>63</v>
      </c>
      <c r="N360">
        <v>68</v>
      </c>
      <c r="O360">
        <v>62</v>
      </c>
      <c r="P360">
        <v>71</v>
      </c>
      <c r="Q360">
        <v>62</v>
      </c>
      <c r="R360">
        <v>58</v>
      </c>
      <c r="S360">
        <v>65</v>
      </c>
      <c r="T360">
        <f t="shared" si="17"/>
        <v>751</v>
      </c>
      <c r="U360">
        <v>1</v>
      </c>
    </row>
    <row r="361" spans="1:21" x14ac:dyDescent="0.3">
      <c r="A361" t="str">
        <f t="shared" si="15"/>
        <v>Cornwall &amp; ScillySocial support (including VCS) (pathway 0)2</v>
      </c>
      <c r="B361">
        <f>IF(C361="","",COUNTIF($C$2:C361,C361))</f>
        <v>2</v>
      </c>
      <c r="C361" t="str">
        <f t="shared" si="16"/>
        <v>Cornwall &amp; ScillySocial support (including VCS) (pathway 0)</v>
      </c>
      <c r="D361" t="str">
        <f>VLOOKUP(G361,PathwayLookup!A:B,2,0)</f>
        <v>Social support (including VCS) (pathway 0)</v>
      </c>
      <c r="E361" t="s">
        <v>117</v>
      </c>
      <c r="F361" t="s">
        <v>576</v>
      </c>
      <c r="G361" t="s">
        <v>682</v>
      </c>
      <c r="H361">
        <v>2231</v>
      </c>
      <c r="I361">
        <v>2256</v>
      </c>
      <c r="J361">
        <v>2246</v>
      </c>
      <c r="K361">
        <v>2231</v>
      </c>
      <c r="L361">
        <v>2272</v>
      </c>
      <c r="M361">
        <v>2133</v>
      </c>
      <c r="N361">
        <v>2297</v>
      </c>
      <c r="O361">
        <v>2522</v>
      </c>
      <c r="P361">
        <v>2402</v>
      </c>
      <c r="Q361">
        <v>2254</v>
      </c>
      <c r="R361">
        <v>2290</v>
      </c>
      <c r="S361">
        <v>2362</v>
      </c>
      <c r="T361">
        <f t="shared" si="17"/>
        <v>27496</v>
      </c>
      <c r="U361">
        <v>1</v>
      </c>
    </row>
    <row r="362" spans="1:21" x14ac:dyDescent="0.3">
      <c r="A362" t="str">
        <f t="shared" si="15"/>
        <v>Cornwall &amp; ScillySocial support (including VCS) (pathway 0)3</v>
      </c>
      <c r="B362">
        <f>IF(C362="","",COUNTIF($C$2:C362,C362))</f>
        <v>3</v>
      </c>
      <c r="C362" t="str">
        <f t="shared" si="16"/>
        <v>Cornwall &amp; ScillySocial support (including VCS) (pathway 0)</v>
      </c>
      <c r="D362" t="str">
        <f>VLOOKUP(G362,PathwayLookup!A:B,2,0)</f>
        <v>Social support (including VCS) (pathway 0)</v>
      </c>
      <c r="E362" t="s">
        <v>117</v>
      </c>
      <c r="F362" t="s">
        <v>636</v>
      </c>
      <c r="G362" t="s">
        <v>682</v>
      </c>
      <c r="H362">
        <v>573</v>
      </c>
      <c r="I362">
        <v>564</v>
      </c>
      <c r="J362">
        <v>562</v>
      </c>
      <c r="K362">
        <v>558</v>
      </c>
      <c r="L362">
        <v>568</v>
      </c>
      <c r="M362">
        <v>533</v>
      </c>
      <c r="N362">
        <v>574</v>
      </c>
      <c r="O362">
        <v>630</v>
      </c>
      <c r="P362">
        <v>600</v>
      </c>
      <c r="Q362">
        <v>564</v>
      </c>
      <c r="R362">
        <v>572</v>
      </c>
      <c r="S362">
        <v>590</v>
      </c>
      <c r="T362">
        <f t="shared" si="17"/>
        <v>6888</v>
      </c>
      <c r="U362">
        <v>1</v>
      </c>
    </row>
    <row r="363" spans="1:21" x14ac:dyDescent="0.3">
      <c r="A363" t="str">
        <f t="shared" si="15"/>
        <v>Cornwall &amp; ScillyReablement &amp; Rehabilitation at home  (pathway 1)1</v>
      </c>
      <c r="B363">
        <f>IF(C363="","",COUNTIF($C$2:C363,C363))</f>
        <v>1</v>
      </c>
      <c r="C363" t="str">
        <f t="shared" si="16"/>
        <v>Cornwall &amp; ScillyReablement at home  (pathway 1)</v>
      </c>
      <c r="D363" t="str">
        <f>VLOOKUP(G363,PathwayLookup!A:B,2,0)</f>
        <v>Reablement &amp; Rehabilitation at home  (pathway 1)</v>
      </c>
      <c r="E363" t="s">
        <v>117</v>
      </c>
      <c r="F363" t="s">
        <v>479</v>
      </c>
      <c r="G363" t="s">
        <v>718</v>
      </c>
      <c r="H363">
        <v>99.5715</v>
      </c>
      <c r="I363">
        <v>99.266999999999982</v>
      </c>
      <c r="J363">
        <v>106.575</v>
      </c>
      <c r="K363">
        <v>116.92799999999998</v>
      </c>
      <c r="L363">
        <v>113.57849999999998</v>
      </c>
      <c r="M363">
        <v>112.05599999999998</v>
      </c>
      <c r="N363">
        <v>120.58199999999998</v>
      </c>
      <c r="O363">
        <v>109.62</v>
      </c>
      <c r="P363">
        <v>125.75849999999998</v>
      </c>
      <c r="Q363">
        <v>110.53349999999998</v>
      </c>
      <c r="R363">
        <v>103.53</v>
      </c>
      <c r="S363">
        <v>115.71</v>
      </c>
      <c r="T363">
        <f t="shared" si="17"/>
        <v>1333.7099999999998</v>
      </c>
      <c r="U363">
        <v>1</v>
      </c>
    </row>
    <row r="364" spans="1:21" x14ac:dyDescent="0.3">
      <c r="A364" t="str">
        <f t="shared" si="15"/>
        <v>Cornwall &amp; ScillyReablement &amp; Rehabilitation at home  (pathway 1)2</v>
      </c>
      <c r="B364">
        <f>IF(C364="","",COUNTIF($C$2:C364,C364))</f>
        <v>2</v>
      </c>
      <c r="C364" t="str">
        <f t="shared" si="16"/>
        <v>Cornwall &amp; ScillyReablement at home  (pathway 1)</v>
      </c>
      <c r="D364" t="str">
        <f>VLOOKUP(G364,PathwayLookup!A:B,2,0)</f>
        <v>Reablement &amp; Rehabilitation at home  (pathway 1)</v>
      </c>
      <c r="E364" t="s">
        <v>117</v>
      </c>
      <c r="F364" t="s">
        <v>576</v>
      </c>
      <c r="G364" t="s">
        <v>718</v>
      </c>
      <c r="H364">
        <v>138.723298</v>
      </c>
      <c r="I364">
        <v>140.28152600000001</v>
      </c>
      <c r="J364">
        <v>139.70744199999999</v>
      </c>
      <c r="K364">
        <v>138.723298</v>
      </c>
      <c r="L364">
        <v>141.30667599999998</v>
      </c>
      <c r="M364">
        <v>132.65440999999998</v>
      </c>
      <c r="N364">
        <v>142.864904</v>
      </c>
      <c r="O364">
        <v>156.84794999999997</v>
      </c>
      <c r="P364">
        <v>149.38485799999998</v>
      </c>
      <c r="Q364">
        <v>140.19951399999999</v>
      </c>
      <c r="R364">
        <v>150</v>
      </c>
      <c r="S364">
        <v>180.8</v>
      </c>
      <c r="T364">
        <f t="shared" si="17"/>
        <v>1751.4938759999998</v>
      </c>
      <c r="U364">
        <v>1</v>
      </c>
    </row>
    <row r="365" spans="1:21" x14ac:dyDescent="0.3">
      <c r="A365" t="str">
        <f t="shared" si="15"/>
        <v>Cornwall &amp; ScillyReablement &amp; Rehabilitation at home  (pathway 1)3</v>
      </c>
      <c r="B365">
        <f>IF(C365="","",COUNTIF($C$2:C365,C365))</f>
        <v>3</v>
      </c>
      <c r="C365" t="str">
        <f t="shared" si="16"/>
        <v>Cornwall &amp; ScillyReablement at home  (pathway 1)</v>
      </c>
      <c r="D365" t="str">
        <f>VLOOKUP(G365,PathwayLookup!A:B,2,0)</f>
        <v>Reablement &amp; Rehabilitation at home  (pathway 1)</v>
      </c>
      <c r="E365" t="s">
        <v>117</v>
      </c>
      <c r="F365" t="s">
        <v>636</v>
      </c>
      <c r="G365" t="s">
        <v>718</v>
      </c>
      <c r="H365">
        <v>34.6808245</v>
      </c>
      <c r="I365">
        <v>35.070381499999996</v>
      </c>
      <c r="J365">
        <v>34.926860499999997</v>
      </c>
      <c r="K365">
        <v>34.6808245</v>
      </c>
      <c r="L365">
        <v>35.326668999999995</v>
      </c>
      <c r="M365">
        <v>33.163602499999996</v>
      </c>
      <c r="N365">
        <v>35.716225999999999</v>
      </c>
      <c r="O365">
        <v>39.211987499999992</v>
      </c>
      <c r="P365">
        <v>37.346214499999995</v>
      </c>
      <c r="Q365">
        <v>35.049878499999998</v>
      </c>
      <c r="R365">
        <v>37.5</v>
      </c>
      <c r="S365">
        <v>45.2</v>
      </c>
      <c r="T365">
        <f t="shared" si="17"/>
        <v>437.87346899999994</v>
      </c>
      <c r="U365">
        <v>1</v>
      </c>
    </row>
    <row r="366" spans="1:21" x14ac:dyDescent="0.3">
      <c r="A366" t="str">
        <f t="shared" si="15"/>
        <v>Cornwall &amp; ScillyReablement &amp; Rehabilitation at home  (pathway 1)1</v>
      </c>
      <c r="B366">
        <f>IF(C366="","",COUNTIF($C$2:C366,C366))</f>
        <v>1</v>
      </c>
      <c r="C366" t="str">
        <f t="shared" si="16"/>
        <v>Cornwall &amp; ScillyRehabilitation at home (pathway 1)</v>
      </c>
      <c r="D366" t="str">
        <f>VLOOKUP(G366,PathwayLookup!A:B,2,0)</f>
        <v>Reablement &amp; Rehabilitation at home  (pathway 1)</v>
      </c>
      <c r="E366" t="s">
        <v>117</v>
      </c>
      <c r="F366" t="s">
        <v>479</v>
      </c>
      <c r="G366" t="s">
        <v>719</v>
      </c>
      <c r="H366">
        <v>59.742899999999992</v>
      </c>
      <c r="I366">
        <v>59.56019999999998</v>
      </c>
      <c r="J366">
        <v>63.944999999999993</v>
      </c>
      <c r="K366">
        <v>70.15679999999999</v>
      </c>
      <c r="L366">
        <v>68.14709999999998</v>
      </c>
      <c r="M366">
        <v>67.233599999999981</v>
      </c>
      <c r="N366">
        <v>72.349199999999982</v>
      </c>
      <c r="O366">
        <v>65.771999999999991</v>
      </c>
      <c r="P366">
        <v>75.455099999999987</v>
      </c>
      <c r="Q366">
        <v>66.320099999999982</v>
      </c>
      <c r="R366">
        <v>62.117999999999981</v>
      </c>
      <c r="S366">
        <v>69.425999999999988</v>
      </c>
      <c r="T366">
        <f t="shared" si="17"/>
        <v>800.22599999999989</v>
      </c>
      <c r="U366">
        <v>1</v>
      </c>
    </row>
    <row r="367" spans="1:21" x14ac:dyDescent="0.3">
      <c r="A367" t="str">
        <f t="shared" si="15"/>
        <v>Cornwall &amp; ScillyReablement &amp; Rehabilitation at home  (pathway 1)2</v>
      </c>
      <c r="B367">
        <f>IF(C367="","",COUNTIF($C$2:C367,C367))</f>
        <v>2</v>
      </c>
      <c r="C367" t="str">
        <f t="shared" si="16"/>
        <v>Cornwall &amp; ScillyRehabilitation at home (pathway 1)</v>
      </c>
      <c r="D367" t="str">
        <f>VLOOKUP(G367,PathwayLookup!A:B,2,0)</f>
        <v>Reablement &amp; Rehabilitation at home  (pathway 1)</v>
      </c>
      <c r="E367" t="s">
        <v>117</v>
      </c>
      <c r="F367" t="s">
        <v>576</v>
      </c>
      <c r="G367" t="s">
        <v>719</v>
      </c>
      <c r="H367">
        <v>83.233978800000003</v>
      </c>
      <c r="I367">
        <v>84.168915599999977</v>
      </c>
      <c r="J367">
        <v>83.824465200000006</v>
      </c>
      <c r="K367">
        <v>83.233978800000003</v>
      </c>
      <c r="L367">
        <v>84.784005599999986</v>
      </c>
      <c r="M367">
        <v>79.592645999999988</v>
      </c>
      <c r="N367">
        <v>85.718942399999989</v>
      </c>
      <c r="O367">
        <v>94.108769999999978</v>
      </c>
      <c r="P367">
        <v>89.630914799999985</v>
      </c>
      <c r="Q367">
        <v>84.119708399999993</v>
      </c>
      <c r="R367">
        <v>90</v>
      </c>
      <c r="S367">
        <v>108.48</v>
      </c>
      <c r="T367">
        <f t="shared" si="17"/>
        <v>1050.8963256</v>
      </c>
      <c r="U367">
        <v>1</v>
      </c>
    </row>
    <row r="368" spans="1:21" x14ac:dyDescent="0.3">
      <c r="A368" t="str">
        <f t="shared" si="15"/>
        <v>Cornwall &amp; ScillyReablement &amp; Rehabilitation at home  (pathway 1)3</v>
      </c>
      <c r="B368">
        <f>IF(C368="","",COUNTIF($C$2:C368,C368))</f>
        <v>3</v>
      </c>
      <c r="C368" t="str">
        <f t="shared" si="16"/>
        <v>Cornwall &amp; ScillyRehabilitation at home (pathway 1)</v>
      </c>
      <c r="D368" t="str">
        <f>VLOOKUP(G368,PathwayLookup!A:B,2,0)</f>
        <v>Reablement &amp; Rehabilitation at home  (pathway 1)</v>
      </c>
      <c r="E368" t="s">
        <v>117</v>
      </c>
      <c r="F368" t="s">
        <v>636</v>
      </c>
      <c r="G368" t="s">
        <v>719</v>
      </c>
      <c r="H368">
        <v>20.808494700000001</v>
      </c>
      <c r="I368">
        <v>21.042228900000001</v>
      </c>
      <c r="J368">
        <v>20.956116300000001</v>
      </c>
      <c r="K368">
        <v>20.808494700000001</v>
      </c>
      <c r="L368">
        <v>21.196001399999997</v>
      </c>
      <c r="M368">
        <v>19.898161499999997</v>
      </c>
      <c r="N368">
        <v>21.429735599999997</v>
      </c>
      <c r="O368">
        <v>23.527192499999995</v>
      </c>
      <c r="P368">
        <v>22.407728699999996</v>
      </c>
      <c r="Q368">
        <v>21.029927099999998</v>
      </c>
      <c r="R368">
        <v>22.5</v>
      </c>
      <c r="S368">
        <v>27.12</v>
      </c>
      <c r="T368">
        <f t="shared" si="17"/>
        <v>262.72408139999999</v>
      </c>
      <c r="U368">
        <v>1</v>
      </c>
    </row>
    <row r="369" spans="1:21" x14ac:dyDescent="0.3">
      <c r="A369" t="str">
        <f t="shared" si="15"/>
        <v>Cornwall &amp; ScillyShort term domiciliary care (pathway 1)1</v>
      </c>
      <c r="B369">
        <f>IF(C369="","",COUNTIF($C$2:C369,C369))</f>
        <v>1</v>
      </c>
      <c r="C369" t="str">
        <f t="shared" si="16"/>
        <v>Cornwall &amp; ScillyShort term domiciliary care (pathway 1)</v>
      </c>
      <c r="D369" t="str">
        <f>VLOOKUP(G369,PathwayLookup!A:B,2,0)</f>
        <v>Short term domiciliary care (pathway 1)</v>
      </c>
      <c r="E369" t="s">
        <v>117</v>
      </c>
      <c r="F369" t="s">
        <v>479</v>
      </c>
      <c r="G369" t="s">
        <v>684</v>
      </c>
      <c r="H369">
        <v>39.828599999999994</v>
      </c>
      <c r="I369">
        <v>39.706799999999994</v>
      </c>
      <c r="J369">
        <v>42.629999999999995</v>
      </c>
      <c r="K369">
        <v>46.771199999999993</v>
      </c>
      <c r="L369">
        <v>45.431399999999996</v>
      </c>
      <c r="M369">
        <v>44.822399999999995</v>
      </c>
      <c r="N369">
        <v>48.232799999999997</v>
      </c>
      <c r="O369">
        <v>43.847999999999999</v>
      </c>
      <c r="P369">
        <v>50.303400000000003</v>
      </c>
      <c r="Q369">
        <v>44.213399999999993</v>
      </c>
      <c r="R369">
        <v>41.411999999999999</v>
      </c>
      <c r="S369">
        <v>46.283999999999999</v>
      </c>
      <c r="T369">
        <f t="shared" si="17"/>
        <v>533.48399999999992</v>
      </c>
      <c r="U369">
        <v>1</v>
      </c>
    </row>
    <row r="370" spans="1:21" x14ac:dyDescent="0.3">
      <c r="A370" t="str">
        <f t="shared" si="15"/>
        <v>Cornwall &amp; ScillyShort term domiciliary care (pathway 1)2</v>
      </c>
      <c r="B370">
        <f>IF(C370="","",COUNTIF($C$2:C370,C370))</f>
        <v>2</v>
      </c>
      <c r="C370" t="str">
        <f t="shared" si="16"/>
        <v>Cornwall &amp; ScillyShort term domiciliary care (pathway 1)</v>
      </c>
      <c r="D370" t="str">
        <f>VLOOKUP(G370,PathwayLookup!A:B,2,0)</f>
        <v>Short term domiciliary care (pathway 1)</v>
      </c>
      <c r="E370" t="s">
        <v>117</v>
      </c>
      <c r="F370" t="s">
        <v>576</v>
      </c>
      <c r="G370" t="s">
        <v>684</v>
      </c>
      <c r="H370">
        <v>55.489319199999997</v>
      </c>
      <c r="I370">
        <v>56.112610399999994</v>
      </c>
      <c r="J370">
        <v>55.882976799999994</v>
      </c>
      <c r="K370">
        <v>55.489319199999997</v>
      </c>
      <c r="L370">
        <v>56.522670400000003</v>
      </c>
      <c r="M370">
        <v>53.061763999999997</v>
      </c>
      <c r="N370">
        <v>57.1459616</v>
      </c>
      <c r="O370">
        <v>62.73917999999999</v>
      </c>
      <c r="P370">
        <v>59.753943199999995</v>
      </c>
      <c r="Q370">
        <v>56.0798056</v>
      </c>
      <c r="R370">
        <v>60</v>
      </c>
      <c r="S370">
        <v>72.319999999999993</v>
      </c>
      <c r="T370">
        <f t="shared" si="17"/>
        <v>700.59755040000005</v>
      </c>
      <c r="U370">
        <v>1</v>
      </c>
    </row>
    <row r="371" spans="1:21" x14ac:dyDescent="0.3">
      <c r="A371" t="str">
        <f t="shared" si="15"/>
        <v>Cornwall &amp; ScillyShort term domiciliary care (pathway 1)3</v>
      </c>
      <c r="B371">
        <f>IF(C371="","",COUNTIF($C$2:C371,C371))</f>
        <v>3</v>
      </c>
      <c r="C371" t="str">
        <f t="shared" si="16"/>
        <v>Cornwall &amp; ScillyShort term domiciliary care (pathway 1)</v>
      </c>
      <c r="D371" t="str">
        <f>VLOOKUP(G371,PathwayLookup!A:B,2,0)</f>
        <v>Short term domiciliary care (pathway 1)</v>
      </c>
      <c r="E371" t="s">
        <v>117</v>
      </c>
      <c r="F371" t="s">
        <v>636</v>
      </c>
      <c r="G371" t="s">
        <v>684</v>
      </c>
      <c r="H371">
        <v>13.872329799999999</v>
      </c>
      <c r="I371">
        <v>14.0281526</v>
      </c>
      <c r="J371">
        <v>13.9707442</v>
      </c>
      <c r="K371">
        <v>13.872329799999999</v>
      </c>
      <c r="L371">
        <v>14.130667600000001</v>
      </c>
      <c r="M371">
        <v>13.265440999999999</v>
      </c>
      <c r="N371">
        <v>14.2864904</v>
      </c>
      <c r="O371">
        <v>15.684794999999998</v>
      </c>
      <c r="P371">
        <v>14.9384858</v>
      </c>
      <c r="Q371">
        <v>14.0199514</v>
      </c>
      <c r="R371">
        <v>15</v>
      </c>
      <c r="S371">
        <v>18.079999999999998</v>
      </c>
      <c r="T371">
        <f t="shared" si="17"/>
        <v>175.14938760000001</v>
      </c>
      <c r="U371">
        <v>1</v>
      </c>
    </row>
    <row r="372" spans="1:21" x14ac:dyDescent="0.3">
      <c r="A372" t="str">
        <f t="shared" si="15"/>
        <v>Cornwall &amp; ScillyReablement &amp; Rehabilitation in a bedded setting (pathway 2)1</v>
      </c>
      <c r="B372">
        <f>IF(C372="","",COUNTIF($C$2:C372,C372))</f>
        <v>1</v>
      </c>
      <c r="C372" t="str">
        <f t="shared" si="16"/>
        <v>Cornwall &amp; ScillyReablement in a bedded setting (pathway 2)</v>
      </c>
      <c r="D372" t="str">
        <f>VLOOKUP(G372,PathwayLookup!A:B,2,0)</f>
        <v>Reablement &amp; Rehabilitation in a bedded setting (pathway 2)</v>
      </c>
      <c r="E372" t="s">
        <v>117</v>
      </c>
      <c r="F372" t="s">
        <v>479</v>
      </c>
      <c r="G372" t="s">
        <v>722</v>
      </c>
      <c r="H372">
        <v>18.586680000000065</v>
      </c>
      <c r="I372">
        <v>18.529839999999982</v>
      </c>
      <c r="J372">
        <v>19.894000000000009</v>
      </c>
      <c r="K372">
        <v>21.826560000000011</v>
      </c>
      <c r="L372">
        <v>21.201320000000017</v>
      </c>
      <c r="M372">
        <v>20.917120000000089</v>
      </c>
      <c r="N372">
        <v>22.508639999999964</v>
      </c>
      <c r="O372">
        <v>20.462399999999981</v>
      </c>
      <c r="P372">
        <v>23.474920000000019</v>
      </c>
      <c r="Q372">
        <v>20.632920000000045</v>
      </c>
      <c r="R372">
        <v>19.325600000000037</v>
      </c>
      <c r="S372">
        <v>21.599199999999986</v>
      </c>
      <c r="T372">
        <f t="shared" si="17"/>
        <v>248.95920000000021</v>
      </c>
      <c r="U372">
        <v>1</v>
      </c>
    </row>
    <row r="373" spans="1:21" x14ac:dyDescent="0.3">
      <c r="A373" t="str">
        <f t="shared" si="15"/>
        <v>Cornwall &amp; ScillyReablement &amp; Rehabilitation in a bedded setting (pathway 2)2</v>
      </c>
      <c r="B373">
        <f>IF(C373="","",COUNTIF($C$2:C373,C373))</f>
        <v>2</v>
      </c>
      <c r="C373" t="str">
        <f t="shared" si="16"/>
        <v>Cornwall &amp; ScillyReablement in a bedded setting (pathway 2)</v>
      </c>
      <c r="D373" t="str">
        <f>VLOOKUP(G373,PathwayLookup!A:B,2,0)</f>
        <v>Reablement &amp; Rehabilitation in a bedded setting (pathway 2)</v>
      </c>
      <c r="E373" t="s">
        <v>117</v>
      </c>
      <c r="F373" t="s">
        <v>576</v>
      </c>
      <c r="G373" t="s">
        <v>722</v>
      </c>
      <c r="H373">
        <v>142.63776730000001</v>
      </c>
      <c r="I373">
        <v>144.23996510000001</v>
      </c>
      <c r="J373">
        <v>143.6496817</v>
      </c>
      <c r="K373">
        <v>142.63776730000001</v>
      </c>
      <c r="L373">
        <v>145.29404260000001</v>
      </c>
      <c r="M373">
        <v>136.3976285</v>
      </c>
      <c r="N373">
        <v>146.89624039999998</v>
      </c>
      <c r="O373">
        <v>161.27385749999999</v>
      </c>
      <c r="P373">
        <v>153.60017329999999</v>
      </c>
      <c r="Q373">
        <v>144.15563890000001</v>
      </c>
      <c r="R373">
        <v>157.58400000000003</v>
      </c>
      <c r="S373">
        <v>221.90400000000005</v>
      </c>
      <c r="T373">
        <f t="shared" si="17"/>
        <v>1840.2707626000001</v>
      </c>
      <c r="U373">
        <v>1</v>
      </c>
    </row>
    <row r="374" spans="1:21" x14ac:dyDescent="0.3">
      <c r="A374" t="str">
        <f t="shared" si="15"/>
        <v>Cornwall &amp; ScillyReablement &amp; Rehabilitation in a bedded setting (pathway 2)3</v>
      </c>
      <c r="B374">
        <f>IF(C374="","",COUNTIF($C$2:C374,C374))</f>
        <v>3</v>
      </c>
      <c r="C374" t="str">
        <f t="shared" si="16"/>
        <v>Cornwall &amp; ScillyReablement in a bedded setting (pathway 2)</v>
      </c>
      <c r="D374" t="str">
        <f>VLOOKUP(G374,PathwayLookup!A:B,2,0)</f>
        <v>Reablement &amp; Rehabilitation in a bedded setting (pathway 2)</v>
      </c>
      <c r="E374" t="s">
        <v>117</v>
      </c>
      <c r="F374" t="s">
        <v>636</v>
      </c>
      <c r="G374" t="s">
        <v>722</v>
      </c>
      <c r="H374">
        <v>35.659441825000002</v>
      </c>
      <c r="I374">
        <v>36.059991275000002</v>
      </c>
      <c r="J374">
        <v>35.912420425000001</v>
      </c>
      <c r="K374">
        <v>35.659441825000002</v>
      </c>
      <c r="L374">
        <v>36.323510650000003</v>
      </c>
      <c r="M374">
        <v>34.099407124999999</v>
      </c>
      <c r="N374">
        <v>36.724060100000003</v>
      </c>
      <c r="O374">
        <v>40.318464374999998</v>
      </c>
      <c r="P374">
        <v>38.400043324999999</v>
      </c>
      <c r="Q374">
        <v>36.038909725000003</v>
      </c>
      <c r="R374">
        <v>39.396000000000008</v>
      </c>
      <c r="S374">
        <v>55.476000000000013</v>
      </c>
      <c r="T374">
        <f t="shared" si="17"/>
        <v>460.06769065000003</v>
      </c>
      <c r="U374">
        <v>1</v>
      </c>
    </row>
    <row r="375" spans="1:21" x14ac:dyDescent="0.3">
      <c r="A375" t="str">
        <f t="shared" si="15"/>
        <v/>
      </c>
      <c r="B375" t="str">
        <f>IF(C375="","",COUNTIF($C$2:C375,C375))</f>
        <v/>
      </c>
      <c r="C375" t="str">
        <f t="shared" si="16"/>
        <v/>
      </c>
      <c r="D375" t="str">
        <f>VLOOKUP(G375,PathwayLookup!A:B,2,0)</f>
        <v>Reablement &amp; Rehabilitation in a bedded setting (pathway 2)</v>
      </c>
      <c r="E375" t="s">
        <v>117</v>
      </c>
      <c r="F375" t="s">
        <v>479</v>
      </c>
      <c r="G375" t="s">
        <v>724</v>
      </c>
      <c r="H375">
        <v>0</v>
      </c>
      <c r="I375">
        <v>0</v>
      </c>
      <c r="J375">
        <v>0</v>
      </c>
      <c r="K375">
        <v>0</v>
      </c>
      <c r="L375">
        <v>0</v>
      </c>
      <c r="M375">
        <v>0</v>
      </c>
      <c r="N375">
        <v>0</v>
      </c>
      <c r="O375">
        <v>0</v>
      </c>
      <c r="P375">
        <v>0</v>
      </c>
      <c r="Q375">
        <v>0</v>
      </c>
      <c r="R375">
        <v>0</v>
      </c>
      <c r="S375">
        <v>0</v>
      </c>
      <c r="T375">
        <f t="shared" si="17"/>
        <v>0</v>
      </c>
      <c r="U375">
        <v>1</v>
      </c>
    </row>
    <row r="376" spans="1:21" x14ac:dyDescent="0.3">
      <c r="A376" t="str">
        <f t="shared" si="15"/>
        <v>Cornwall &amp; ScillyReablement &amp; Rehabilitation in a bedded setting (pathway 2)1</v>
      </c>
      <c r="B376">
        <f>IF(C376="","",COUNTIF($C$2:C376,C376))</f>
        <v>1</v>
      </c>
      <c r="C376" t="str">
        <f t="shared" si="16"/>
        <v>Cornwall &amp; ScillyRehabilitation in a bedded setting (pathway 2)</v>
      </c>
      <c r="D376" t="str">
        <f>VLOOKUP(G376,PathwayLookup!A:B,2,0)</f>
        <v>Reablement &amp; Rehabilitation in a bedded setting (pathway 2)</v>
      </c>
      <c r="E376" t="s">
        <v>117</v>
      </c>
      <c r="F376" t="s">
        <v>576</v>
      </c>
      <c r="G376" t="s">
        <v>724</v>
      </c>
      <c r="H376">
        <v>70.254422700000006</v>
      </c>
      <c r="I376">
        <v>71.043564899999993</v>
      </c>
      <c r="J376">
        <v>70.752828300000004</v>
      </c>
      <c r="K376">
        <v>70.254422700000006</v>
      </c>
      <c r="L376">
        <v>71.562737400000003</v>
      </c>
      <c r="M376">
        <v>67.180921499999997</v>
      </c>
      <c r="N376">
        <v>72.35187959999999</v>
      </c>
      <c r="O376">
        <v>79.433392499999997</v>
      </c>
      <c r="P376">
        <v>75.653816699999993</v>
      </c>
      <c r="Q376">
        <v>71.002031100000011</v>
      </c>
      <c r="R376">
        <v>77.616000000000014</v>
      </c>
      <c r="S376">
        <v>109.29600000000002</v>
      </c>
      <c r="T376">
        <f t="shared" si="17"/>
        <v>906.40201739999998</v>
      </c>
      <c r="U376">
        <v>1</v>
      </c>
    </row>
    <row r="377" spans="1:21" x14ac:dyDescent="0.3">
      <c r="A377" t="str">
        <f t="shared" si="15"/>
        <v>Cornwall &amp; ScillyReablement &amp; Rehabilitation in a bedded setting (pathway 2)2</v>
      </c>
      <c r="B377">
        <f>IF(C377="","",COUNTIF($C$2:C377,C377))</f>
        <v>2</v>
      </c>
      <c r="C377" t="str">
        <f t="shared" si="16"/>
        <v>Cornwall &amp; ScillyRehabilitation in a bedded setting (pathway 2)</v>
      </c>
      <c r="D377" t="str">
        <f>VLOOKUP(G377,PathwayLookup!A:B,2,0)</f>
        <v>Reablement &amp; Rehabilitation in a bedded setting (pathway 2)</v>
      </c>
      <c r="E377" t="s">
        <v>117</v>
      </c>
      <c r="F377" t="s">
        <v>636</v>
      </c>
      <c r="G377" t="s">
        <v>724</v>
      </c>
      <c r="H377">
        <v>17.563605675000002</v>
      </c>
      <c r="I377">
        <v>17.760891224999998</v>
      </c>
      <c r="J377">
        <v>17.688207075000001</v>
      </c>
      <c r="K377">
        <v>17.563605675000002</v>
      </c>
      <c r="L377">
        <v>17.890684350000001</v>
      </c>
      <c r="M377">
        <v>16.795230374999999</v>
      </c>
      <c r="N377">
        <v>18.087969899999997</v>
      </c>
      <c r="O377">
        <v>19.858348124999999</v>
      </c>
      <c r="P377">
        <v>18.913454174999998</v>
      </c>
      <c r="Q377">
        <v>17.750507775000003</v>
      </c>
      <c r="R377">
        <v>19.404000000000003</v>
      </c>
      <c r="S377">
        <v>27.324000000000005</v>
      </c>
      <c r="T377">
        <f t="shared" si="17"/>
        <v>226.60050434999999</v>
      </c>
      <c r="U377">
        <v>1</v>
      </c>
    </row>
    <row r="378" spans="1:21" x14ac:dyDescent="0.3">
      <c r="A378" t="str">
        <f t="shared" si="15"/>
        <v>Cornwall &amp; ScillyShort-term residential/nursing care for someone likely to require a longer-term care home placement (pathway 3)1</v>
      </c>
      <c r="B378">
        <f>IF(C378="","",COUNTIF($C$2:C378,C378))</f>
        <v>1</v>
      </c>
      <c r="C378" t="str">
        <f t="shared" si="16"/>
        <v>Cornwall &amp; ScillyShort-term residential/nursing care for someone likely to require a longer-term care home placement (pathway 3)</v>
      </c>
      <c r="D378" t="str">
        <f>VLOOKUP(G378,PathwayLookup!A:B,2,0)</f>
        <v>Short-term residential/nursing care for someone likely to require a longer-term care home placement (pathway 3)</v>
      </c>
      <c r="E378" t="s">
        <v>117</v>
      </c>
      <c r="F378" t="s">
        <v>479</v>
      </c>
      <c r="G378" t="s">
        <v>686</v>
      </c>
      <c r="H378">
        <v>58.08337499999999</v>
      </c>
      <c r="I378">
        <v>57.905749999999991</v>
      </c>
      <c r="J378">
        <v>62.168749999999989</v>
      </c>
      <c r="K378">
        <v>68.207999999999984</v>
      </c>
      <c r="L378">
        <v>66.254124999999988</v>
      </c>
      <c r="M378">
        <v>65.365999999999985</v>
      </c>
      <c r="N378">
        <v>70.339499999999987</v>
      </c>
      <c r="O378">
        <v>63.944999999999986</v>
      </c>
      <c r="P378">
        <v>73.359124999999977</v>
      </c>
      <c r="Q378">
        <v>64.477874999999997</v>
      </c>
      <c r="R378">
        <v>60.392499999999984</v>
      </c>
      <c r="S378">
        <v>67.497499999999988</v>
      </c>
      <c r="T378">
        <f t="shared" si="17"/>
        <v>777.99749999999972</v>
      </c>
      <c r="U378">
        <v>1</v>
      </c>
    </row>
    <row r="379" spans="1:21" x14ac:dyDescent="0.3">
      <c r="A379" t="str">
        <f t="shared" si="15"/>
        <v>Cornwall &amp; ScillyShort-term residential/nursing care for someone likely to require a longer-term care home placement (pathway 3)2</v>
      </c>
      <c r="B379">
        <f>IF(C379="","",COUNTIF($C$2:C379,C379))</f>
        <v>2</v>
      </c>
      <c r="C379" t="str">
        <f t="shared" si="16"/>
        <v>Cornwall &amp; ScillyShort-term residential/nursing care for someone likely to require a longer-term care home placement (pathway 3)</v>
      </c>
      <c r="D379" t="str">
        <f>VLOOKUP(G379,PathwayLookup!A:B,2,0)</f>
        <v>Short-term residential/nursing care for someone likely to require a longer-term care home placement (pathway 3)</v>
      </c>
      <c r="E379" t="s">
        <v>117</v>
      </c>
      <c r="F379" t="s">
        <v>576</v>
      </c>
      <c r="G379" t="s">
        <v>686</v>
      </c>
      <c r="H379">
        <v>79.662884000000005</v>
      </c>
      <c r="I379">
        <v>80.557707999999991</v>
      </c>
      <c r="J379">
        <v>80.228036000000003</v>
      </c>
      <c r="K379">
        <v>79.662884000000005</v>
      </c>
      <c r="L379">
        <v>81.146407999999994</v>
      </c>
      <c r="M379">
        <v>76.177779999999998</v>
      </c>
      <c r="N379">
        <v>82.041231999999994</v>
      </c>
      <c r="O379">
        <v>90.071100000000001</v>
      </c>
      <c r="P379">
        <v>85.785364000000001</v>
      </c>
      <c r="Q379">
        <v>80.510612000000009</v>
      </c>
      <c r="R379">
        <v>44</v>
      </c>
      <c r="S379">
        <v>44</v>
      </c>
      <c r="T379">
        <f t="shared" si="17"/>
        <v>903.84400800000003</v>
      </c>
      <c r="U379">
        <v>1</v>
      </c>
    </row>
    <row r="380" spans="1:21" x14ac:dyDescent="0.3">
      <c r="A380" t="str">
        <f t="shared" si="15"/>
        <v>Cornwall &amp; ScillyShort-term residential/nursing care for someone likely to require a longer-term care home placement (pathway 3)3</v>
      </c>
      <c r="B380">
        <f>IF(C380="","",COUNTIF($C$2:C380,C380))</f>
        <v>3</v>
      </c>
      <c r="C380" t="str">
        <f t="shared" si="16"/>
        <v>Cornwall &amp; ScillyShort-term residential/nursing care for someone likely to require a longer-term care home placement (pathway 3)</v>
      </c>
      <c r="D380" t="str">
        <f>VLOOKUP(G380,PathwayLookup!A:B,2,0)</f>
        <v>Short-term residential/nursing care for someone likely to require a longer-term care home placement (pathway 3)</v>
      </c>
      <c r="E380" t="s">
        <v>117</v>
      </c>
      <c r="F380" t="s">
        <v>636</v>
      </c>
      <c r="G380" t="s">
        <v>686</v>
      </c>
      <c r="H380">
        <v>19.915721000000001</v>
      </c>
      <c r="I380">
        <v>20.139427000000001</v>
      </c>
      <c r="J380">
        <v>20.057009000000001</v>
      </c>
      <c r="K380">
        <v>19.915721000000001</v>
      </c>
      <c r="L380">
        <v>20.286601999999998</v>
      </c>
      <c r="M380">
        <v>19.044445</v>
      </c>
      <c r="N380">
        <v>20.510307999999998</v>
      </c>
      <c r="O380">
        <v>22.517775</v>
      </c>
      <c r="P380">
        <v>21.446341</v>
      </c>
      <c r="Q380">
        <v>20.127652999999999</v>
      </c>
      <c r="R380">
        <v>11</v>
      </c>
      <c r="S380">
        <v>11</v>
      </c>
      <c r="T380">
        <f t="shared" si="17"/>
        <v>225.96100200000001</v>
      </c>
      <c r="U380">
        <v>1</v>
      </c>
    </row>
    <row r="381" spans="1:21" x14ac:dyDescent="0.3">
      <c r="A381" t="str">
        <f t="shared" si="15"/>
        <v>County DurhamSocial support (including VCS) (pathway 0)1</v>
      </c>
      <c r="B381">
        <f>IF(C381="","",COUNTIF($C$2:C381,C381))</f>
        <v>1</v>
      </c>
      <c r="C381" t="str">
        <f t="shared" si="16"/>
        <v>County DurhamSocial support (including VCS) (pathway 0)</v>
      </c>
      <c r="D381" t="str">
        <f>VLOOKUP(G381,PathwayLookup!A:B,2,0)</f>
        <v>Social support (including VCS) (pathway 0)</v>
      </c>
      <c r="E381" t="s">
        <v>119</v>
      </c>
      <c r="F381" t="s">
        <v>481</v>
      </c>
      <c r="G381" t="s">
        <v>682</v>
      </c>
      <c r="H381">
        <v>1364</v>
      </c>
      <c r="I381">
        <v>1476</v>
      </c>
      <c r="J381">
        <v>1610</v>
      </c>
      <c r="K381">
        <v>1594</v>
      </c>
      <c r="L381">
        <v>1616</v>
      </c>
      <c r="M381">
        <v>1588</v>
      </c>
      <c r="N381">
        <v>1622</v>
      </c>
      <c r="O381">
        <v>1662</v>
      </c>
      <c r="P381">
        <v>1423</v>
      </c>
      <c r="Q381">
        <v>1622</v>
      </c>
      <c r="R381">
        <v>1488</v>
      </c>
      <c r="S381">
        <v>1470</v>
      </c>
      <c r="T381">
        <f t="shared" si="17"/>
        <v>18535</v>
      </c>
      <c r="U381">
        <v>1</v>
      </c>
    </row>
    <row r="382" spans="1:21" x14ac:dyDescent="0.3">
      <c r="A382" t="str">
        <f t="shared" si="15"/>
        <v>County DurhamSocial support (including VCS) (pathway 0)2</v>
      </c>
      <c r="B382">
        <f>IF(C382="","",COUNTIF($C$2:C382,C382))</f>
        <v>2</v>
      </c>
      <c r="C382" t="str">
        <f t="shared" si="16"/>
        <v>County DurhamSocial support (including VCS) (pathway 0)</v>
      </c>
      <c r="D382" t="str">
        <f>VLOOKUP(G382,PathwayLookup!A:B,2,0)</f>
        <v>Social support (including VCS) (pathway 0)</v>
      </c>
      <c r="E382" t="s">
        <v>119</v>
      </c>
      <c r="F382" t="s">
        <v>594</v>
      </c>
      <c r="G382" t="s">
        <v>682</v>
      </c>
      <c r="H382">
        <v>33</v>
      </c>
      <c r="I382">
        <v>37</v>
      </c>
      <c r="J382">
        <v>41</v>
      </c>
      <c r="K382">
        <v>39</v>
      </c>
      <c r="L382">
        <v>41</v>
      </c>
      <c r="M382">
        <v>39</v>
      </c>
      <c r="N382">
        <v>41</v>
      </c>
      <c r="O382">
        <v>41</v>
      </c>
      <c r="P382">
        <v>35</v>
      </c>
      <c r="Q382">
        <v>41</v>
      </c>
      <c r="R382">
        <v>39</v>
      </c>
      <c r="S382">
        <v>37</v>
      </c>
      <c r="T382">
        <f t="shared" si="17"/>
        <v>464</v>
      </c>
      <c r="U382">
        <v>1</v>
      </c>
    </row>
    <row r="383" spans="1:21" x14ac:dyDescent="0.3">
      <c r="A383" t="str">
        <f t="shared" si="15"/>
        <v>County DurhamSocial support (including VCS) (pathway 0)3</v>
      </c>
      <c r="B383">
        <f>IF(C383="","",COUNTIF($C$2:C383,C383))</f>
        <v>3</v>
      </c>
      <c r="C383" t="str">
        <f t="shared" si="16"/>
        <v>County DurhamSocial support (including VCS) (pathway 0)</v>
      </c>
      <c r="D383" t="str">
        <f>VLOOKUP(G383,PathwayLookup!A:B,2,0)</f>
        <v>Social support (including VCS) (pathway 0)</v>
      </c>
      <c r="E383" t="s">
        <v>119</v>
      </c>
      <c r="F383" t="s">
        <v>651</v>
      </c>
      <c r="G383" t="s">
        <v>682</v>
      </c>
      <c r="H383">
        <v>49</v>
      </c>
      <c r="I383">
        <v>61</v>
      </c>
      <c r="J383">
        <v>60</v>
      </c>
      <c r="K383">
        <v>60</v>
      </c>
      <c r="L383">
        <v>59</v>
      </c>
      <c r="M383">
        <v>58</v>
      </c>
      <c r="N383">
        <v>60</v>
      </c>
      <c r="O383">
        <v>62</v>
      </c>
      <c r="P383">
        <v>62</v>
      </c>
      <c r="Q383">
        <v>63</v>
      </c>
      <c r="R383">
        <v>59</v>
      </c>
      <c r="S383">
        <v>62</v>
      </c>
      <c r="T383">
        <f t="shared" si="17"/>
        <v>715</v>
      </c>
      <c r="U383">
        <v>1</v>
      </c>
    </row>
    <row r="384" spans="1:21" x14ac:dyDescent="0.3">
      <c r="A384" t="str">
        <f t="shared" si="15"/>
        <v>County DurhamReablement &amp; Rehabilitation at home  (pathway 1)1</v>
      </c>
      <c r="B384">
        <f>IF(C384="","",COUNTIF($C$2:C384,C384))</f>
        <v>1</v>
      </c>
      <c r="C384" t="str">
        <f t="shared" si="16"/>
        <v>County DurhamReablement at home  (pathway 1)</v>
      </c>
      <c r="D384" t="str">
        <f>VLOOKUP(G384,PathwayLookup!A:B,2,0)</f>
        <v>Reablement &amp; Rehabilitation at home  (pathway 1)</v>
      </c>
      <c r="E384" t="s">
        <v>119</v>
      </c>
      <c r="F384" t="s">
        <v>481</v>
      </c>
      <c r="G384" t="s">
        <v>718</v>
      </c>
      <c r="H384">
        <v>98</v>
      </c>
      <c r="I384">
        <v>10</v>
      </c>
      <c r="J384">
        <v>10</v>
      </c>
      <c r="K384">
        <v>10</v>
      </c>
      <c r="L384">
        <v>9</v>
      </c>
      <c r="M384">
        <v>9</v>
      </c>
      <c r="N384">
        <v>10</v>
      </c>
      <c r="O384">
        <v>10</v>
      </c>
      <c r="P384">
        <v>10</v>
      </c>
      <c r="Q384">
        <v>10</v>
      </c>
      <c r="R384">
        <v>9</v>
      </c>
      <c r="S384">
        <v>10</v>
      </c>
      <c r="T384">
        <f t="shared" si="17"/>
        <v>205</v>
      </c>
      <c r="U384">
        <v>1</v>
      </c>
    </row>
    <row r="385" spans="1:21" x14ac:dyDescent="0.3">
      <c r="A385" t="str">
        <f t="shared" si="15"/>
        <v>County DurhamReablement &amp; Rehabilitation at home  (pathway 1)2</v>
      </c>
      <c r="B385">
        <f>IF(C385="","",COUNTIF($C$2:C385,C385))</f>
        <v>2</v>
      </c>
      <c r="C385" t="str">
        <f t="shared" si="16"/>
        <v>County DurhamReablement at home  (pathway 1)</v>
      </c>
      <c r="D385" t="str">
        <f>VLOOKUP(G385,PathwayLookup!A:B,2,0)</f>
        <v>Reablement &amp; Rehabilitation at home  (pathway 1)</v>
      </c>
      <c r="E385" t="s">
        <v>119</v>
      </c>
      <c r="F385" t="s">
        <v>594</v>
      </c>
      <c r="G385" t="s">
        <v>718</v>
      </c>
      <c r="H385">
        <v>8</v>
      </c>
      <c r="I385">
        <v>9</v>
      </c>
      <c r="J385">
        <v>10</v>
      </c>
      <c r="K385">
        <v>9</v>
      </c>
      <c r="L385">
        <v>10</v>
      </c>
      <c r="M385">
        <v>9</v>
      </c>
      <c r="N385">
        <v>10</v>
      </c>
      <c r="O385">
        <v>10</v>
      </c>
      <c r="P385">
        <v>8</v>
      </c>
      <c r="Q385">
        <v>10</v>
      </c>
      <c r="R385">
        <v>9</v>
      </c>
      <c r="S385">
        <v>9</v>
      </c>
      <c r="T385">
        <f t="shared" si="17"/>
        <v>111</v>
      </c>
      <c r="U385">
        <v>1</v>
      </c>
    </row>
    <row r="386" spans="1:21" x14ac:dyDescent="0.3">
      <c r="A386" t="str">
        <f t="shared" ref="A386:A449" si="18">IF(B386="","",E386&amp;D386&amp;B386)</f>
        <v>County DurhamReablement &amp; Rehabilitation at home  (pathway 1)3</v>
      </c>
      <c r="B386">
        <f>IF(C386="","",COUNTIF($C$2:C386,C386))</f>
        <v>3</v>
      </c>
      <c r="C386" t="str">
        <f t="shared" ref="C386:C449" si="19">IF(T386=0,"",E386&amp;G386)</f>
        <v>County DurhamReablement at home  (pathway 1)</v>
      </c>
      <c r="D386" t="str">
        <f>VLOOKUP(G386,PathwayLookup!A:B,2,0)</f>
        <v>Reablement &amp; Rehabilitation at home  (pathway 1)</v>
      </c>
      <c r="E386" t="s">
        <v>119</v>
      </c>
      <c r="F386" t="s">
        <v>651</v>
      </c>
      <c r="G386" t="s">
        <v>718</v>
      </c>
      <c r="H386">
        <v>8</v>
      </c>
      <c r="I386">
        <v>10</v>
      </c>
      <c r="J386">
        <v>10</v>
      </c>
      <c r="K386">
        <v>10</v>
      </c>
      <c r="L386">
        <v>9</v>
      </c>
      <c r="M386">
        <v>9</v>
      </c>
      <c r="N386">
        <v>10</v>
      </c>
      <c r="O386">
        <v>10</v>
      </c>
      <c r="P386">
        <v>10</v>
      </c>
      <c r="Q386">
        <v>10</v>
      </c>
      <c r="R386">
        <v>9</v>
      </c>
      <c r="S386">
        <v>10</v>
      </c>
      <c r="T386">
        <f t="shared" ref="T386:T449" si="20">SUM(H386:S386)</f>
        <v>115</v>
      </c>
      <c r="U386">
        <v>1</v>
      </c>
    </row>
    <row r="387" spans="1:21" x14ac:dyDescent="0.3">
      <c r="A387" t="str">
        <f t="shared" si="18"/>
        <v>County DurhamReablement &amp; Rehabilitation in a bedded setting (pathway 2)1</v>
      </c>
      <c r="B387">
        <f>IF(C387="","",COUNTIF($C$2:C387,C387))</f>
        <v>1</v>
      </c>
      <c r="C387" t="str">
        <f t="shared" si="19"/>
        <v>County DurhamReablement in a bedded setting (pathway 2)</v>
      </c>
      <c r="D387" t="str">
        <f>VLOOKUP(G387,PathwayLookup!A:B,2,0)</f>
        <v>Reablement &amp; Rehabilitation in a bedded setting (pathway 2)</v>
      </c>
      <c r="E387" t="s">
        <v>119</v>
      </c>
      <c r="F387" t="s">
        <v>481</v>
      </c>
      <c r="G387" t="s">
        <v>722</v>
      </c>
      <c r="H387">
        <v>9</v>
      </c>
      <c r="I387">
        <v>10</v>
      </c>
      <c r="J387">
        <v>11</v>
      </c>
      <c r="K387">
        <v>11</v>
      </c>
      <c r="L387">
        <v>11</v>
      </c>
      <c r="M387">
        <v>11</v>
      </c>
      <c r="N387">
        <v>11</v>
      </c>
      <c r="O387">
        <v>11</v>
      </c>
      <c r="P387">
        <v>10</v>
      </c>
      <c r="Q387">
        <v>11</v>
      </c>
      <c r="R387">
        <v>10</v>
      </c>
      <c r="S387">
        <v>10</v>
      </c>
      <c r="T387">
        <f t="shared" si="20"/>
        <v>126</v>
      </c>
      <c r="U387">
        <v>1</v>
      </c>
    </row>
    <row r="388" spans="1:21" x14ac:dyDescent="0.3">
      <c r="A388" t="str">
        <f t="shared" si="18"/>
        <v>County DurhamReablement &amp; Rehabilitation in a bedded setting (pathway 2)2</v>
      </c>
      <c r="B388">
        <f>IF(C388="","",COUNTIF($C$2:C388,C388))</f>
        <v>2</v>
      </c>
      <c r="C388" t="str">
        <f t="shared" si="19"/>
        <v>County DurhamReablement in a bedded setting (pathway 2)</v>
      </c>
      <c r="D388" t="str">
        <f>VLOOKUP(G388,PathwayLookup!A:B,2,0)</f>
        <v>Reablement &amp; Rehabilitation in a bedded setting (pathway 2)</v>
      </c>
      <c r="E388" t="s">
        <v>119</v>
      </c>
      <c r="F388" t="s">
        <v>594</v>
      </c>
      <c r="G388" t="s">
        <v>722</v>
      </c>
      <c r="H388">
        <v>1</v>
      </c>
      <c r="I388">
        <v>1</v>
      </c>
      <c r="J388">
        <v>1</v>
      </c>
      <c r="K388">
        <v>1</v>
      </c>
      <c r="L388">
        <v>1</v>
      </c>
      <c r="M388">
        <v>1</v>
      </c>
      <c r="N388">
        <v>1</v>
      </c>
      <c r="O388">
        <v>1</v>
      </c>
      <c r="P388">
        <v>1</v>
      </c>
      <c r="Q388">
        <v>1</v>
      </c>
      <c r="R388">
        <v>1</v>
      </c>
      <c r="S388">
        <v>1</v>
      </c>
      <c r="T388">
        <f t="shared" si="20"/>
        <v>12</v>
      </c>
      <c r="U388">
        <v>1</v>
      </c>
    </row>
    <row r="389" spans="1:21" x14ac:dyDescent="0.3">
      <c r="A389" t="str">
        <f t="shared" si="18"/>
        <v>County DurhamReablement &amp; Rehabilitation in a bedded setting (pathway 2)3</v>
      </c>
      <c r="B389">
        <f>IF(C389="","",COUNTIF($C$2:C389,C389))</f>
        <v>3</v>
      </c>
      <c r="C389" t="str">
        <f t="shared" si="19"/>
        <v>County DurhamReablement in a bedded setting (pathway 2)</v>
      </c>
      <c r="D389" t="str">
        <f>VLOOKUP(G389,PathwayLookup!A:B,2,0)</f>
        <v>Reablement &amp; Rehabilitation in a bedded setting (pathway 2)</v>
      </c>
      <c r="E389" t="s">
        <v>119</v>
      </c>
      <c r="F389" t="s">
        <v>651</v>
      </c>
      <c r="G389" t="s">
        <v>722</v>
      </c>
      <c r="H389">
        <v>1</v>
      </c>
      <c r="I389">
        <v>1</v>
      </c>
      <c r="J389">
        <v>1</v>
      </c>
      <c r="K389">
        <v>1</v>
      </c>
      <c r="L389">
        <v>1</v>
      </c>
      <c r="M389">
        <v>1</v>
      </c>
      <c r="N389">
        <v>1</v>
      </c>
      <c r="O389">
        <v>1</v>
      </c>
      <c r="P389">
        <v>1</v>
      </c>
      <c r="Q389">
        <v>1</v>
      </c>
      <c r="R389">
        <v>1</v>
      </c>
      <c r="S389">
        <v>1</v>
      </c>
      <c r="T389">
        <f t="shared" si="20"/>
        <v>12</v>
      </c>
      <c r="U389">
        <v>1</v>
      </c>
    </row>
    <row r="390" spans="1:21" x14ac:dyDescent="0.3">
      <c r="A390" t="str">
        <f t="shared" si="18"/>
        <v>County DurhamShort-term residential/nursing care for someone likely to require a longer-term care home placement (pathway 3)1</v>
      </c>
      <c r="B390">
        <f>IF(C390="","",COUNTIF($C$2:C390,C390))</f>
        <v>1</v>
      </c>
      <c r="C390" t="str">
        <f t="shared" si="19"/>
        <v>County DurhamShort-term residential/nursing care for someone likely to require a longer-term care home placement (pathway 3)</v>
      </c>
      <c r="D390" t="str">
        <f>VLOOKUP(G390,PathwayLookup!A:B,2,0)</f>
        <v>Short-term residential/nursing care for someone likely to require a longer-term care home placement (pathway 3)</v>
      </c>
      <c r="E390" t="s">
        <v>119</v>
      </c>
      <c r="F390" t="s">
        <v>481</v>
      </c>
      <c r="G390" t="s">
        <v>686</v>
      </c>
      <c r="H390">
        <v>77</v>
      </c>
      <c r="I390">
        <v>83</v>
      </c>
      <c r="J390">
        <v>90</v>
      </c>
      <c r="K390">
        <v>90</v>
      </c>
      <c r="L390">
        <v>91</v>
      </c>
      <c r="M390">
        <v>89</v>
      </c>
      <c r="N390">
        <v>91</v>
      </c>
      <c r="O390">
        <v>93</v>
      </c>
      <c r="P390">
        <v>80</v>
      </c>
      <c r="Q390">
        <v>91</v>
      </c>
      <c r="R390">
        <v>84</v>
      </c>
      <c r="S390">
        <v>83</v>
      </c>
      <c r="T390">
        <f t="shared" si="20"/>
        <v>1042</v>
      </c>
      <c r="U390">
        <v>1</v>
      </c>
    </row>
    <row r="391" spans="1:21" x14ac:dyDescent="0.3">
      <c r="A391" t="str">
        <f t="shared" si="18"/>
        <v>County DurhamShort-term residential/nursing care for someone likely to require a longer-term care home placement (pathway 3)2</v>
      </c>
      <c r="B391">
        <f>IF(C391="","",COUNTIF($C$2:C391,C391))</f>
        <v>2</v>
      </c>
      <c r="C391" t="str">
        <f t="shared" si="19"/>
        <v>County DurhamShort-term residential/nursing care for someone likely to require a longer-term care home placement (pathway 3)</v>
      </c>
      <c r="D391" t="str">
        <f>VLOOKUP(G391,PathwayLookup!A:B,2,0)</f>
        <v>Short-term residential/nursing care for someone likely to require a longer-term care home placement (pathway 3)</v>
      </c>
      <c r="E391" t="s">
        <v>119</v>
      </c>
      <c r="F391" t="s">
        <v>594</v>
      </c>
      <c r="G391" t="s">
        <v>686</v>
      </c>
      <c r="H391">
        <v>2</v>
      </c>
      <c r="I391">
        <v>2</v>
      </c>
      <c r="J391">
        <v>3</v>
      </c>
      <c r="K391">
        <v>3</v>
      </c>
      <c r="L391">
        <v>3</v>
      </c>
      <c r="M391">
        <v>3</v>
      </c>
      <c r="N391">
        <v>3</v>
      </c>
      <c r="O391">
        <v>3</v>
      </c>
      <c r="P391">
        <v>2</v>
      </c>
      <c r="Q391">
        <v>3</v>
      </c>
      <c r="R391">
        <v>3</v>
      </c>
      <c r="S391">
        <v>2</v>
      </c>
      <c r="T391">
        <f t="shared" si="20"/>
        <v>32</v>
      </c>
      <c r="U391">
        <v>1</v>
      </c>
    </row>
    <row r="392" spans="1:21" x14ac:dyDescent="0.3">
      <c r="A392" t="str">
        <f t="shared" si="18"/>
        <v>County DurhamShort-term residential/nursing care for someone likely to require a longer-term care home placement (pathway 3)3</v>
      </c>
      <c r="B392">
        <f>IF(C392="","",COUNTIF($C$2:C392,C392))</f>
        <v>3</v>
      </c>
      <c r="C392" t="str">
        <f t="shared" si="19"/>
        <v>County DurhamShort-term residential/nursing care for someone likely to require a longer-term care home placement (pathway 3)</v>
      </c>
      <c r="D392" t="str">
        <f>VLOOKUP(G392,PathwayLookup!A:B,2,0)</f>
        <v>Short-term residential/nursing care for someone likely to require a longer-term care home placement (pathway 3)</v>
      </c>
      <c r="E392" t="s">
        <v>119</v>
      </c>
      <c r="F392" t="s">
        <v>651</v>
      </c>
      <c r="G392" t="s">
        <v>686</v>
      </c>
      <c r="H392">
        <v>3</v>
      </c>
      <c r="I392">
        <v>4</v>
      </c>
      <c r="J392">
        <v>4</v>
      </c>
      <c r="K392">
        <v>4</v>
      </c>
      <c r="L392">
        <v>4</v>
      </c>
      <c r="M392">
        <v>4</v>
      </c>
      <c r="N392">
        <v>4</v>
      </c>
      <c r="O392">
        <v>4</v>
      </c>
      <c r="P392">
        <v>4</v>
      </c>
      <c r="Q392">
        <v>4</v>
      </c>
      <c r="R392">
        <v>4</v>
      </c>
      <c r="S392">
        <v>4</v>
      </c>
      <c r="T392">
        <f t="shared" si="20"/>
        <v>47</v>
      </c>
      <c r="U392">
        <v>1</v>
      </c>
    </row>
    <row r="393" spans="1:21" x14ac:dyDescent="0.3">
      <c r="A393" t="str">
        <f t="shared" si="18"/>
        <v/>
      </c>
      <c r="B393" t="str">
        <f>IF(C393="","",COUNTIF($C$2:C393,C393))</f>
        <v/>
      </c>
      <c r="C393" t="str">
        <f t="shared" si="19"/>
        <v/>
      </c>
      <c r="D393" t="str">
        <f>VLOOKUP(G393,PathwayLookup!A:B,2,0)</f>
        <v>Social support (including VCS) (pathway 0)</v>
      </c>
      <c r="E393" t="s">
        <v>121</v>
      </c>
      <c r="F393" t="s">
        <v>504</v>
      </c>
      <c r="G393" t="s">
        <v>682</v>
      </c>
      <c r="H393">
        <v>0</v>
      </c>
      <c r="I393">
        <v>0</v>
      </c>
      <c r="J393">
        <v>0</v>
      </c>
      <c r="K393">
        <v>0</v>
      </c>
      <c r="L393">
        <v>0</v>
      </c>
      <c r="M393">
        <v>0</v>
      </c>
      <c r="N393">
        <v>0</v>
      </c>
      <c r="O393">
        <v>0</v>
      </c>
      <c r="P393">
        <v>0</v>
      </c>
      <c r="Q393">
        <v>0</v>
      </c>
      <c r="R393">
        <v>0</v>
      </c>
      <c r="S393">
        <v>0</v>
      </c>
      <c r="T393">
        <f t="shared" si="20"/>
        <v>0</v>
      </c>
      <c r="U393">
        <v>1</v>
      </c>
    </row>
    <row r="394" spans="1:21" x14ac:dyDescent="0.3">
      <c r="A394" t="str">
        <f t="shared" si="18"/>
        <v/>
      </c>
      <c r="B394" t="str">
        <f>IF(C394="","",COUNTIF($C$2:C394,C394))</f>
        <v/>
      </c>
      <c r="C394" t="str">
        <f t="shared" si="19"/>
        <v/>
      </c>
      <c r="D394" t="str">
        <f>VLOOKUP(G394,PathwayLookup!A:B,2,0)</f>
        <v>Social support (including VCS) (pathway 0)</v>
      </c>
      <c r="E394" t="s">
        <v>121</v>
      </c>
      <c r="F394" t="s">
        <v>595</v>
      </c>
      <c r="G394" t="s">
        <v>682</v>
      </c>
      <c r="H394">
        <v>0</v>
      </c>
      <c r="I394">
        <v>0</v>
      </c>
      <c r="J394">
        <v>0</v>
      </c>
      <c r="K394">
        <v>0</v>
      </c>
      <c r="L394">
        <v>0</v>
      </c>
      <c r="M394">
        <v>0</v>
      </c>
      <c r="N394">
        <v>0</v>
      </c>
      <c r="O394">
        <v>0</v>
      </c>
      <c r="P394">
        <v>0</v>
      </c>
      <c r="Q394">
        <v>0</v>
      </c>
      <c r="R394">
        <v>0</v>
      </c>
      <c r="S394">
        <v>0</v>
      </c>
      <c r="T394">
        <f t="shared" si="20"/>
        <v>0</v>
      </c>
      <c r="U394">
        <v>1</v>
      </c>
    </row>
    <row r="395" spans="1:21" x14ac:dyDescent="0.3">
      <c r="A395" t="str">
        <f t="shared" si="18"/>
        <v/>
      </c>
      <c r="B395" t="str">
        <f>IF(C395="","",COUNTIF($C$2:C395,C395))</f>
        <v/>
      </c>
      <c r="C395" t="str">
        <f t="shared" si="19"/>
        <v/>
      </c>
      <c r="D395" t="str">
        <f>VLOOKUP(G395,PathwayLookup!A:B,2,0)</f>
        <v>Social support (including VCS) (pathway 0)</v>
      </c>
      <c r="E395" t="s">
        <v>121</v>
      </c>
      <c r="F395" t="s">
        <v>630</v>
      </c>
      <c r="G395" t="s">
        <v>682</v>
      </c>
      <c r="H395">
        <v>0</v>
      </c>
      <c r="I395">
        <v>0</v>
      </c>
      <c r="J395">
        <v>0</v>
      </c>
      <c r="K395">
        <v>0</v>
      </c>
      <c r="L395">
        <v>0</v>
      </c>
      <c r="M395">
        <v>0</v>
      </c>
      <c r="N395">
        <v>0</v>
      </c>
      <c r="O395">
        <v>0</v>
      </c>
      <c r="P395">
        <v>0</v>
      </c>
      <c r="Q395">
        <v>0</v>
      </c>
      <c r="R395">
        <v>0</v>
      </c>
      <c r="S395">
        <v>0</v>
      </c>
      <c r="T395">
        <f t="shared" si="20"/>
        <v>0</v>
      </c>
      <c r="U395">
        <v>1</v>
      </c>
    </row>
    <row r="396" spans="1:21" x14ac:dyDescent="0.3">
      <c r="A396" t="str">
        <f t="shared" si="18"/>
        <v>CoventryReablement &amp; Rehabilitation at home  (pathway 1)1</v>
      </c>
      <c r="B396">
        <f>IF(C396="","",COUNTIF($C$2:C396,C396))</f>
        <v>1</v>
      </c>
      <c r="C396" t="str">
        <f t="shared" si="19"/>
        <v>CoventryReablement at home  (pathway 1)</v>
      </c>
      <c r="D396" t="str">
        <f>VLOOKUP(G396,PathwayLookup!A:B,2,0)</f>
        <v>Reablement &amp; Rehabilitation at home  (pathway 1)</v>
      </c>
      <c r="E396" t="s">
        <v>121</v>
      </c>
      <c r="F396" t="s">
        <v>504</v>
      </c>
      <c r="G396" t="s">
        <v>718</v>
      </c>
      <c r="H396">
        <v>5</v>
      </c>
      <c r="I396">
        <v>6</v>
      </c>
      <c r="J396">
        <v>5</v>
      </c>
      <c r="K396">
        <v>5</v>
      </c>
      <c r="L396">
        <v>5</v>
      </c>
      <c r="M396">
        <v>5</v>
      </c>
      <c r="N396">
        <v>6</v>
      </c>
      <c r="O396">
        <v>6</v>
      </c>
      <c r="P396">
        <v>5</v>
      </c>
      <c r="Q396">
        <v>5</v>
      </c>
      <c r="R396">
        <v>5</v>
      </c>
      <c r="S396">
        <v>6</v>
      </c>
      <c r="T396">
        <f t="shared" si="20"/>
        <v>64</v>
      </c>
      <c r="U396">
        <v>1</v>
      </c>
    </row>
    <row r="397" spans="1:21" x14ac:dyDescent="0.3">
      <c r="A397" t="str">
        <f t="shared" si="18"/>
        <v>CoventryReablement &amp; Rehabilitation at home  (pathway 1)2</v>
      </c>
      <c r="B397">
        <f>IF(C397="","",COUNTIF($C$2:C397,C397))</f>
        <v>2</v>
      </c>
      <c r="C397" t="str">
        <f t="shared" si="19"/>
        <v>CoventryReablement at home  (pathway 1)</v>
      </c>
      <c r="D397" t="str">
        <f>VLOOKUP(G397,PathwayLookup!A:B,2,0)</f>
        <v>Reablement &amp; Rehabilitation at home  (pathway 1)</v>
      </c>
      <c r="E397" t="s">
        <v>121</v>
      </c>
      <c r="F397" t="s">
        <v>595</v>
      </c>
      <c r="G397" t="s">
        <v>718</v>
      </c>
      <c r="H397">
        <v>15</v>
      </c>
      <c r="I397">
        <v>16</v>
      </c>
      <c r="J397">
        <v>15</v>
      </c>
      <c r="K397">
        <v>15</v>
      </c>
      <c r="L397">
        <v>15</v>
      </c>
      <c r="M397">
        <v>15</v>
      </c>
      <c r="N397">
        <v>15</v>
      </c>
      <c r="O397">
        <v>15</v>
      </c>
      <c r="P397">
        <v>15</v>
      </c>
      <c r="Q397">
        <v>15</v>
      </c>
      <c r="R397">
        <v>14</v>
      </c>
      <c r="S397">
        <v>16</v>
      </c>
      <c r="T397">
        <f t="shared" si="20"/>
        <v>181</v>
      </c>
      <c r="U397">
        <v>1</v>
      </c>
    </row>
    <row r="398" spans="1:21" x14ac:dyDescent="0.3">
      <c r="A398" t="str">
        <f t="shared" si="18"/>
        <v>CoventryReablement &amp; Rehabilitation at home  (pathway 1)3</v>
      </c>
      <c r="B398">
        <f>IF(C398="","",COUNTIF($C$2:C398,C398))</f>
        <v>3</v>
      </c>
      <c r="C398" t="str">
        <f t="shared" si="19"/>
        <v>CoventryReablement at home  (pathway 1)</v>
      </c>
      <c r="D398" t="str">
        <f>VLOOKUP(G398,PathwayLookup!A:B,2,0)</f>
        <v>Reablement &amp; Rehabilitation at home  (pathway 1)</v>
      </c>
      <c r="E398" t="s">
        <v>121</v>
      </c>
      <c r="F398" t="s">
        <v>630</v>
      </c>
      <c r="G398" t="s">
        <v>718</v>
      </c>
      <c r="H398">
        <v>206</v>
      </c>
      <c r="I398">
        <v>220</v>
      </c>
      <c r="J398">
        <v>209</v>
      </c>
      <c r="K398">
        <v>205</v>
      </c>
      <c r="L398">
        <v>205</v>
      </c>
      <c r="M398">
        <v>203</v>
      </c>
      <c r="N398">
        <v>210</v>
      </c>
      <c r="O398">
        <v>211</v>
      </c>
      <c r="P398">
        <v>209</v>
      </c>
      <c r="Q398">
        <v>206</v>
      </c>
      <c r="R398">
        <v>198</v>
      </c>
      <c r="S398">
        <v>216</v>
      </c>
      <c r="T398">
        <f t="shared" si="20"/>
        <v>2498</v>
      </c>
      <c r="U398">
        <v>1</v>
      </c>
    </row>
    <row r="399" spans="1:21" x14ac:dyDescent="0.3">
      <c r="A399" t="str">
        <f t="shared" si="18"/>
        <v/>
      </c>
      <c r="B399" t="str">
        <f>IF(C399="","",COUNTIF($C$2:C399,C399))</f>
        <v/>
      </c>
      <c r="C399" t="str">
        <f t="shared" si="19"/>
        <v/>
      </c>
      <c r="D399" t="str">
        <f>VLOOKUP(G399,PathwayLookup!A:B,2,0)</f>
        <v>Reablement &amp; Rehabilitation at home  (pathway 1)</v>
      </c>
      <c r="E399" t="s">
        <v>121</v>
      </c>
      <c r="F399" t="s">
        <v>504</v>
      </c>
      <c r="G399" t="s">
        <v>719</v>
      </c>
      <c r="H399">
        <v>0</v>
      </c>
      <c r="I399">
        <v>0</v>
      </c>
      <c r="J399">
        <v>0</v>
      </c>
      <c r="K399">
        <v>0</v>
      </c>
      <c r="L399">
        <v>0</v>
      </c>
      <c r="M399">
        <v>0</v>
      </c>
      <c r="N399">
        <v>0</v>
      </c>
      <c r="O399">
        <v>0</v>
      </c>
      <c r="P399">
        <v>0</v>
      </c>
      <c r="Q399">
        <v>0</v>
      </c>
      <c r="R399">
        <v>0</v>
      </c>
      <c r="S399">
        <v>0</v>
      </c>
      <c r="T399">
        <f t="shared" si="20"/>
        <v>0</v>
      </c>
      <c r="U399">
        <v>1</v>
      </c>
    </row>
    <row r="400" spans="1:21" x14ac:dyDescent="0.3">
      <c r="A400" t="str">
        <f t="shared" si="18"/>
        <v/>
      </c>
      <c r="B400" t="str">
        <f>IF(C400="","",COUNTIF($C$2:C400,C400))</f>
        <v/>
      </c>
      <c r="C400" t="str">
        <f t="shared" si="19"/>
        <v/>
      </c>
      <c r="D400" t="str">
        <f>VLOOKUP(G400,PathwayLookup!A:B,2,0)</f>
        <v>Reablement &amp; Rehabilitation at home  (pathway 1)</v>
      </c>
      <c r="E400" t="s">
        <v>121</v>
      </c>
      <c r="F400" t="s">
        <v>595</v>
      </c>
      <c r="G400" t="s">
        <v>719</v>
      </c>
      <c r="H400">
        <v>0</v>
      </c>
      <c r="I400">
        <v>0</v>
      </c>
      <c r="J400">
        <v>0</v>
      </c>
      <c r="K400">
        <v>0</v>
      </c>
      <c r="L400">
        <v>0</v>
      </c>
      <c r="M400">
        <v>0</v>
      </c>
      <c r="N400">
        <v>0</v>
      </c>
      <c r="O400">
        <v>0</v>
      </c>
      <c r="P400">
        <v>0</v>
      </c>
      <c r="Q400">
        <v>0</v>
      </c>
      <c r="R400">
        <v>0</v>
      </c>
      <c r="S400">
        <v>0</v>
      </c>
      <c r="T400">
        <f t="shared" si="20"/>
        <v>0</v>
      </c>
      <c r="U400">
        <v>1</v>
      </c>
    </row>
    <row r="401" spans="1:21" x14ac:dyDescent="0.3">
      <c r="A401" t="str">
        <f t="shared" si="18"/>
        <v/>
      </c>
      <c r="B401" t="str">
        <f>IF(C401="","",COUNTIF($C$2:C401,C401))</f>
        <v/>
      </c>
      <c r="C401" t="str">
        <f t="shared" si="19"/>
        <v/>
      </c>
      <c r="D401" t="str">
        <f>VLOOKUP(G401,PathwayLookup!A:B,2,0)</f>
        <v>Reablement &amp; Rehabilitation at home  (pathway 1)</v>
      </c>
      <c r="E401" t="s">
        <v>121</v>
      </c>
      <c r="F401" t="s">
        <v>630</v>
      </c>
      <c r="G401" t="s">
        <v>719</v>
      </c>
      <c r="H401">
        <v>0</v>
      </c>
      <c r="I401">
        <v>0</v>
      </c>
      <c r="J401">
        <v>0</v>
      </c>
      <c r="K401">
        <v>0</v>
      </c>
      <c r="L401">
        <v>0</v>
      </c>
      <c r="M401">
        <v>0</v>
      </c>
      <c r="N401">
        <v>0</v>
      </c>
      <c r="O401">
        <v>0</v>
      </c>
      <c r="P401">
        <v>0</v>
      </c>
      <c r="Q401">
        <v>0</v>
      </c>
      <c r="R401">
        <v>0</v>
      </c>
      <c r="S401">
        <v>0</v>
      </c>
      <c r="T401">
        <f t="shared" si="20"/>
        <v>0</v>
      </c>
      <c r="U401">
        <v>1</v>
      </c>
    </row>
    <row r="402" spans="1:21" x14ac:dyDescent="0.3">
      <c r="A402" t="str">
        <f t="shared" si="18"/>
        <v/>
      </c>
      <c r="B402" t="str">
        <f>IF(C402="","",COUNTIF($C$2:C402,C402))</f>
        <v/>
      </c>
      <c r="C402" t="str">
        <f t="shared" si="19"/>
        <v/>
      </c>
      <c r="D402" t="str">
        <f>VLOOKUP(G402,PathwayLookup!A:B,2,0)</f>
        <v>Short term domiciliary care (pathway 1)</v>
      </c>
      <c r="E402" t="s">
        <v>121</v>
      </c>
      <c r="F402" t="s">
        <v>504</v>
      </c>
      <c r="G402" t="s">
        <v>684</v>
      </c>
      <c r="H402">
        <v>0</v>
      </c>
      <c r="I402">
        <v>0</v>
      </c>
      <c r="J402">
        <v>0</v>
      </c>
      <c r="K402">
        <v>0</v>
      </c>
      <c r="L402">
        <v>0</v>
      </c>
      <c r="M402">
        <v>0</v>
      </c>
      <c r="N402">
        <v>0</v>
      </c>
      <c r="O402">
        <v>0</v>
      </c>
      <c r="P402">
        <v>0</v>
      </c>
      <c r="Q402">
        <v>0</v>
      </c>
      <c r="R402">
        <v>0</v>
      </c>
      <c r="S402">
        <v>0</v>
      </c>
      <c r="T402">
        <f t="shared" si="20"/>
        <v>0</v>
      </c>
      <c r="U402">
        <v>1</v>
      </c>
    </row>
    <row r="403" spans="1:21" x14ac:dyDescent="0.3">
      <c r="A403" t="str">
        <f t="shared" si="18"/>
        <v/>
      </c>
      <c r="B403" t="str">
        <f>IF(C403="","",COUNTIF($C$2:C403,C403))</f>
        <v/>
      </c>
      <c r="C403" t="str">
        <f t="shared" si="19"/>
        <v/>
      </c>
      <c r="D403" t="str">
        <f>VLOOKUP(G403,PathwayLookup!A:B,2,0)</f>
        <v>Short term domiciliary care (pathway 1)</v>
      </c>
      <c r="E403" t="s">
        <v>121</v>
      </c>
      <c r="F403" t="s">
        <v>595</v>
      </c>
      <c r="G403" t="s">
        <v>684</v>
      </c>
      <c r="H403">
        <v>0</v>
      </c>
      <c r="I403">
        <v>0</v>
      </c>
      <c r="J403">
        <v>0</v>
      </c>
      <c r="K403">
        <v>0</v>
      </c>
      <c r="L403">
        <v>0</v>
      </c>
      <c r="M403">
        <v>0</v>
      </c>
      <c r="N403">
        <v>0</v>
      </c>
      <c r="O403">
        <v>0</v>
      </c>
      <c r="P403">
        <v>0</v>
      </c>
      <c r="Q403">
        <v>0</v>
      </c>
      <c r="R403">
        <v>0</v>
      </c>
      <c r="S403">
        <v>0</v>
      </c>
      <c r="T403">
        <f t="shared" si="20"/>
        <v>0</v>
      </c>
      <c r="U403">
        <v>1</v>
      </c>
    </row>
    <row r="404" spans="1:21" x14ac:dyDescent="0.3">
      <c r="A404" t="str">
        <f t="shared" si="18"/>
        <v/>
      </c>
      <c r="B404" t="str">
        <f>IF(C404="","",COUNTIF($C$2:C404,C404))</f>
        <v/>
      </c>
      <c r="C404" t="str">
        <f t="shared" si="19"/>
        <v/>
      </c>
      <c r="D404" t="str">
        <f>VLOOKUP(G404,PathwayLookup!A:B,2,0)</f>
        <v>Short term domiciliary care (pathway 1)</v>
      </c>
      <c r="E404" t="s">
        <v>121</v>
      </c>
      <c r="F404" t="s">
        <v>630</v>
      </c>
      <c r="G404" t="s">
        <v>684</v>
      </c>
      <c r="H404">
        <v>0</v>
      </c>
      <c r="I404">
        <v>0</v>
      </c>
      <c r="J404">
        <v>0</v>
      </c>
      <c r="K404">
        <v>0</v>
      </c>
      <c r="L404">
        <v>0</v>
      </c>
      <c r="M404">
        <v>0</v>
      </c>
      <c r="N404">
        <v>0</v>
      </c>
      <c r="O404">
        <v>0</v>
      </c>
      <c r="P404">
        <v>0</v>
      </c>
      <c r="Q404">
        <v>0</v>
      </c>
      <c r="R404">
        <v>0</v>
      </c>
      <c r="S404">
        <v>0</v>
      </c>
      <c r="T404">
        <f t="shared" si="20"/>
        <v>0</v>
      </c>
      <c r="U404">
        <v>1</v>
      </c>
    </row>
    <row r="405" spans="1:21" x14ac:dyDescent="0.3">
      <c r="A405" t="str">
        <f t="shared" si="18"/>
        <v>CoventryReablement &amp; Rehabilitation in a bedded setting (pathway 2)1</v>
      </c>
      <c r="B405">
        <f>IF(C405="","",COUNTIF($C$2:C405,C405))</f>
        <v>1</v>
      </c>
      <c r="C405" t="str">
        <f t="shared" si="19"/>
        <v>CoventryReablement in a bedded setting (pathway 2)</v>
      </c>
      <c r="D405" t="str">
        <f>VLOOKUP(G405,PathwayLookup!A:B,2,0)</f>
        <v>Reablement &amp; Rehabilitation in a bedded setting (pathway 2)</v>
      </c>
      <c r="E405" t="s">
        <v>121</v>
      </c>
      <c r="F405" t="s">
        <v>504</v>
      </c>
      <c r="G405" t="s">
        <v>722</v>
      </c>
      <c r="H405">
        <v>1</v>
      </c>
      <c r="I405">
        <v>1</v>
      </c>
      <c r="J405">
        <v>1</v>
      </c>
      <c r="K405">
        <v>1</v>
      </c>
      <c r="L405">
        <v>1</v>
      </c>
      <c r="M405">
        <v>1</v>
      </c>
      <c r="N405">
        <v>1</v>
      </c>
      <c r="O405">
        <v>1</v>
      </c>
      <c r="P405">
        <v>1</v>
      </c>
      <c r="Q405">
        <v>1</v>
      </c>
      <c r="R405">
        <v>1</v>
      </c>
      <c r="S405">
        <v>1</v>
      </c>
      <c r="T405">
        <f t="shared" si="20"/>
        <v>12</v>
      </c>
      <c r="U405">
        <v>1</v>
      </c>
    </row>
    <row r="406" spans="1:21" x14ac:dyDescent="0.3">
      <c r="A406" t="str">
        <f t="shared" si="18"/>
        <v>CoventryReablement &amp; Rehabilitation in a bedded setting (pathway 2)2</v>
      </c>
      <c r="B406">
        <f>IF(C406="","",COUNTIF($C$2:C406,C406))</f>
        <v>2</v>
      </c>
      <c r="C406" t="str">
        <f t="shared" si="19"/>
        <v>CoventryReablement in a bedded setting (pathway 2)</v>
      </c>
      <c r="D406" t="str">
        <f>VLOOKUP(G406,PathwayLookup!A:B,2,0)</f>
        <v>Reablement &amp; Rehabilitation in a bedded setting (pathway 2)</v>
      </c>
      <c r="E406" t="s">
        <v>121</v>
      </c>
      <c r="F406" t="s">
        <v>595</v>
      </c>
      <c r="G406" t="s">
        <v>722</v>
      </c>
      <c r="H406">
        <v>1</v>
      </c>
      <c r="I406">
        <v>1</v>
      </c>
      <c r="J406">
        <v>1</v>
      </c>
      <c r="K406">
        <v>1</v>
      </c>
      <c r="L406">
        <v>1</v>
      </c>
      <c r="M406">
        <v>1</v>
      </c>
      <c r="N406">
        <v>1</v>
      </c>
      <c r="O406">
        <v>1</v>
      </c>
      <c r="P406">
        <v>1</v>
      </c>
      <c r="Q406">
        <v>1</v>
      </c>
      <c r="R406">
        <v>1</v>
      </c>
      <c r="S406">
        <v>1</v>
      </c>
      <c r="T406">
        <f t="shared" si="20"/>
        <v>12</v>
      </c>
      <c r="U406">
        <v>1</v>
      </c>
    </row>
    <row r="407" spans="1:21" x14ac:dyDescent="0.3">
      <c r="A407" t="str">
        <f t="shared" si="18"/>
        <v>CoventryReablement &amp; Rehabilitation in a bedded setting (pathway 2)3</v>
      </c>
      <c r="B407">
        <f>IF(C407="","",COUNTIF($C$2:C407,C407))</f>
        <v>3</v>
      </c>
      <c r="C407" t="str">
        <f t="shared" si="19"/>
        <v>CoventryReablement in a bedded setting (pathway 2)</v>
      </c>
      <c r="D407" t="str">
        <f>VLOOKUP(G407,PathwayLookup!A:B,2,0)</f>
        <v>Reablement &amp; Rehabilitation in a bedded setting (pathway 2)</v>
      </c>
      <c r="E407" t="s">
        <v>121</v>
      </c>
      <c r="F407" t="s">
        <v>630</v>
      </c>
      <c r="G407" t="s">
        <v>722</v>
      </c>
      <c r="H407">
        <v>81</v>
      </c>
      <c r="I407">
        <v>87</v>
      </c>
      <c r="J407">
        <v>82</v>
      </c>
      <c r="K407">
        <v>81</v>
      </c>
      <c r="L407">
        <v>81</v>
      </c>
      <c r="M407">
        <v>80</v>
      </c>
      <c r="N407">
        <v>83</v>
      </c>
      <c r="O407">
        <v>83</v>
      </c>
      <c r="P407">
        <v>82</v>
      </c>
      <c r="Q407">
        <v>81</v>
      </c>
      <c r="R407">
        <v>78</v>
      </c>
      <c r="S407">
        <v>85</v>
      </c>
      <c r="T407">
        <f t="shared" si="20"/>
        <v>984</v>
      </c>
      <c r="U407">
        <v>1</v>
      </c>
    </row>
    <row r="408" spans="1:21" x14ac:dyDescent="0.3">
      <c r="A408" t="str">
        <f t="shared" si="18"/>
        <v>CoventryReablement &amp; Rehabilitation in a bedded setting (pathway 2)1</v>
      </c>
      <c r="B408">
        <f>IF(C408="","",COUNTIF($C$2:C408,C408))</f>
        <v>1</v>
      </c>
      <c r="C408" t="str">
        <f t="shared" si="19"/>
        <v>CoventryRehabilitation in a bedded setting (pathway 2)</v>
      </c>
      <c r="D408" t="str">
        <f>VLOOKUP(G408,PathwayLookup!A:B,2,0)</f>
        <v>Reablement &amp; Rehabilitation in a bedded setting (pathway 2)</v>
      </c>
      <c r="E408" t="s">
        <v>121</v>
      </c>
      <c r="F408" t="s">
        <v>504</v>
      </c>
      <c r="G408" t="s">
        <v>724</v>
      </c>
      <c r="H408">
        <v>1</v>
      </c>
      <c r="I408">
        <v>1</v>
      </c>
      <c r="J408">
        <v>1</v>
      </c>
      <c r="K408">
        <v>1</v>
      </c>
      <c r="L408">
        <v>1</v>
      </c>
      <c r="M408">
        <v>1</v>
      </c>
      <c r="N408">
        <v>1</v>
      </c>
      <c r="O408">
        <v>1</v>
      </c>
      <c r="P408">
        <v>1</v>
      </c>
      <c r="Q408">
        <v>1</v>
      </c>
      <c r="R408">
        <v>1</v>
      </c>
      <c r="S408">
        <v>1</v>
      </c>
      <c r="T408">
        <f t="shared" si="20"/>
        <v>12</v>
      </c>
      <c r="U408">
        <v>1</v>
      </c>
    </row>
    <row r="409" spans="1:21" x14ac:dyDescent="0.3">
      <c r="A409" t="str">
        <f t="shared" si="18"/>
        <v/>
      </c>
      <c r="B409" t="str">
        <f>IF(C409="","",COUNTIF($C$2:C409,C409))</f>
        <v/>
      </c>
      <c r="C409" t="str">
        <f t="shared" si="19"/>
        <v/>
      </c>
      <c r="D409" t="str">
        <f>VLOOKUP(G409,PathwayLookup!A:B,2,0)</f>
        <v>Reablement &amp; Rehabilitation in a bedded setting (pathway 2)</v>
      </c>
      <c r="E409" t="s">
        <v>121</v>
      </c>
      <c r="F409" t="s">
        <v>595</v>
      </c>
      <c r="G409" t="s">
        <v>724</v>
      </c>
      <c r="H409">
        <v>0</v>
      </c>
      <c r="I409">
        <v>0</v>
      </c>
      <c r="J409">
        <v>0</v>
      </c>
      <c r="K409">
        <v>0</v>
      </c>
      <c r="L409">
        <v>0</v>
      </c>
      <c r="M409">
        <v>0</v>
      </c>
      <c r="N409">
        <v>0</v>
      </c>
      <c r="O409">
        <v>0</v>
      </c>
      <c r="P409">
        <v>0</v>
      </c>
      <c r="Q409">
        <v>0</v>
      </c>
      <c r="R409">
        <v>0</v>
      </c>
      <c r="S409">
        <v>0</v>
      </c>
      <c r="T409">
        <f t="shared" si="20"/>
        <v>0</v>
      </c>
      <c r="U409">
        <v>1</v>
      </c>
    </row>
    <row r="410" spans="1:21" x14ac:dyDescent="0.3">
      <c r="A410" t="str">
        <f t="shared" si="18"/>
        <v>CoventryReablement &amp; Rehabilitation in a bedded setting (pathway 2)2</v>
      </c>
      <c r="B410">
        <f>IF(C410="","",COUNTIF($C$2:C410,C410))</f>
        <v>2</v>
      </c>
      <c r="C410" t="str">
        <f t="shared" si="19"/>
        <v>CoventryRehabilitation in a bedded setting (pathway 2)</v>
      </c>
      <c r="D410" t="str">
        <f>VLOOKUP(G410,PathwayLookup!A:B,2,0)</f>
        <v>Reablement &amp; Rehabilitation in a bedded setting (pathway 2)</v>
      </c>
      <c r="E410" t="s">
        <v>121</v>
      </c>
      <c r="F410" t="s">
        <v>630</v>
      </c>
      <c r="G410" t="s">
        <v>724</v>
      </c>
      <c r="H410">
        <v>8</v>
      </c>
      <c r="I410">
        <v>9</v>
      </c>
      <c r="J410">
        <v>8</v>
      </c>
      <c r="K410">
        <v>8</v>
      </c>
      <c r="L410">
        <v>8</v>
      </c>
      <c r="M410">
        <v>8</v>
      </c>
      <c r="N410">
        <v>8</v>
      </c>
      <c r="O410">
        <v>8</v>
      </c>
      <c r="P410">
        <v>8</v>
      </c>
      <c r="Q410">
        <v>8</v>
      </c>
      <c r="R410">
        <v>8</v>
      </c>
      <c r="S410">
        <v>9</v>
      </c>
      <c r="T410">
        <f t="shared" si="20"/>
        <v>98</v>
      </c>
      <c r="U410">
        <v>1</v>
      </c>
    </row>
    <row r="411" spans="1:21" x14ac:dyDescent="0.3">
      <c r="A411" t="str">
        <f t="shared" si="18"/>
        <v/>
      </c>
      <c r="B411" t="str">
        <f>IF(C411="","",COUNTIF($C$2:C411,C411))</f>
        <v/>
      </c>
      <c r="C411" t="str">
        <f t="shared" si="19"/>
        <v/>
      </c>
      <c r="D411" t="str">
        <f>VLOOKUP(G411,PathwayLookup!A:B,2,0)</f>
        <v>Short-term residential/nursing care for someone likely to require a longer-term care home placement (pathway 3)</v>
      </c>
      <c r="E411" t="s">
        <v>121</v>
      </c>
      <c r="F411" t="s">
        <v>504</v>
      </c>
      <c r="G411" t="s">
        <v>686</v>
      </c>
      <c r="H411">
        <v>0</v>
      </c>
      <c r="I411">
        <v>0</v>
      </c>
      <c r="J411">
        <v>0</v>
      </c>
      <c r="K411">
        <v>0</v>
      </c>
      <c r="L411">
        <v>0</v>
      </c>
      <c r="M411">
        <v>0</v>
      </c>
      <c r="N411">
        <v>0</v>
      </c>
      <c r="O411">
        <v>0</v>
      </c>
      <c r="P411">
        <v>0</v>
      </c>
      <c r="Q411">
        <v>0</v>
      </c>
      <c r="R411">
        <v>0</v>
      </c>
      <c r="S411">
        <v>0</v>
      </c>
      <c r="T411">
        <f t="shared" si="20"/>
        <v>0</v>
      </c>
      <c r="U411">
        <v>1</v>
      </c>
    </row>
    <row r="412" spans="1:21" x14ac:dyDescent="0.3">
      <c r="A412" t="str">
        <f t="shared" si="18"/>
        <v/>
      </c>
      <c r="B412" t="str">
        <f>IF(C412="","",COUNTIF($C$2:C412,C412))</f>
        <v/>
      </c>
      <c r="C412" t="str">
        <f t="shared" si="19"/>
        <v/>
      </c>
      <c r="D412" t="str">
        <f>VLOOKUP(G412,PathwayLookup!A:B,2,0)</f>
        <v>Short-term residential/nursing care for someone likely to require a longer-term care home placement (pathway 3)</v>
      </c>
      <c r="E412" t="s">
        <v>121</v>
      </c>
      <c r="F412" t="s">
        <v>595</v>
      </c>
      <c r="G412" t="s">
        <v>686</v>
      </c>
      <c r="H412">
        <v>0</v>
      </c>
      <c r="I412">
        <v>0</v>
      </c>
      <c r="J412">
        <v>0</v>
      </c>
      <c r="K412">
        <v>0</v>
      </c>
      <c r="L412">
        <v>0</v>
      </c>
      <c r="M412">
        <v>0</v>
      </c>
      <c r="N412">
        <v>0</v>
      </c>
      <c r="O412">
        <v>0</v>
      </c>
      <c r="P412">
        <v>0</v>
      </c>
      <c r="Q412">
        <v>0</v>
      </c>
      <c r="R412">
        <v>0</v>
      </c>
      <c r="S412">
        <v>0</v>
      </c>
      <c r="T412">
        <f t="shared" si="20"/>
        <v>0</v>
      </c>
      <c r="U412">
        <v>1</v>
      </c>
    </row>
    <row r="413" spans="1:21" x14ac:dyDescent="0.3">
      <c r="A413" t="str">
        <f t="shared" si="18"/>
        <v/>
      </c>
      <c r="B413" t="str">
        <f>IF(C413="","",COUNTIF($C$2:C413,C413))</f>
        <v/>
      </c>
      <c r="C413" t="str">
        <f t="shared" si="19"/>
        <v/>
      </c>
      <c r="D413" t="str">
        <f>VLOOKUP(G413,PathwayLookup!A:B,2,0)</f>
        <v>Short-term residential/nursing care for someone likely to require a longer-term care home placement (pathway 3)</v>
      </c>
      <c r="E413" t="s">
        <v>121</v>
      </c>
      <c r="F413" t="s">
        <v>630</v>
      </c>
      <c r="G413" t="s">
        <v>686</v>
      </c>
      <c r="H413">
        <v>0</v>
      </c>
      <c r="I413">
        <v>0</v>
      </c>
      <c r="J413">
        <v>0</v>
      </c>
      <c r="K413">
        <v>0</v>
      </c>
      <c r="L413">
        <v>0</v>
      </c>
      <c r="M413">
        <v>0</v>
      </c>
      <c r="N413">
        <v>0</v>
      </c>
      <c r="O413">
        <v>0</v>
      </c>
      <c r="P413">
        <v>0</v>
      </c>
      <c r="Q413">
        <v>0</v>
      </c>
      <c r="R413">
        <v>0</v>
      </c>
      <c r="S413">
        <v>0</v>
      </c>
      <c r="T413">
        <f t="shared" si="20"/>
        <v>0</v>
      </c>
      <c r="U413">
        <v>1</v>
      </c>
    </row>
    <row r="414" spans="1:21" x14ac:dyDescent="0.3">
      <c r="A414" t="str">
        <f t="shared" si="18"/>
        <v>CroydonSocial support (including VCS) (pathway 0)1</v>
      </c>
      <c r="B414">
        <f>IF(C414="","",COUNTIF($C$2:C414,C414))</f>
        <v>1</v>
      </c>
      <c r="C414" t="str">
        <f t="shared" si="19"/>
        <v>CroydonSocial support (including VCS) (pathway 0)</v>
      </c>
      <c r="D414" t="str">
        <f>VLOOKUP(G414,PathwayLookup!A:B,2,0)</f>
        <v>Social support (including VCS) (pathway 0)</v>
      </c>
      <c r="E414" t="s">
        <v>123</v>
      </c>
      <c r="F414" t="s">
        <v>483</v>
      </c>
      <c r="G414" t="s">
        <v>682</v>
      </c>
      <c r="H414">
        <v>46</v>
      </c>
      <c r="I414">
        <v>42</v>
      </c>
      <c r="J414">
        <v>48</v>
      </c>
      <c r="K414">
        <v>40</v>
      </c>
      <c r="L414">
        <v>53</v>
      </c>
      <c r="M414">
        <v>44</v>
      </c>
      <c r="N414">
        <v>42</v>
      </c>
      <c r="O414">
        <v>51</v>
      </c>
      <c r="P414">
        <v>42</v>
      </c>
      <c r="Q414">
        <v>50</v>
      </c>
      <c r="R414">
        <v>45</v>
      </c>
      <c r="S414">
        <v>41</v>
      </c>
      <c r="T414">
        <f t="shared" si="20"/>
        <v>544</v>
      </c>
      <c r="U414">
        <v>1</v>
      </c>
    </row>
    <row r="415" spans="1:21" x14ac:dyDescent="0.3">
      <c r="A415" t="str">
        <f t="shared" si="18"/>
        <v/>
      </c>
      <c r="B415" t="str">
        <f>IF(C415="","",COUNTIF($C$2:C415,C415))</f>
        <v/>
      </c>
      <c r="C415" t="str">
        <f t="shared" si="19"/>
        <v/>
      </c>
      <c r="D415" t="str">
        <f>VLOOKUP(G415,PathwayLookup!A:B,2,0)</f>
        <v>Social support (including VCS) (pathway 0)</v>
      </c>
      <c r="E415" t="s">
        <v>123</v>
      </c>
      <c r="F415" t="s">
        <v>500</v>
      </c>
      <c r="G415" t="s">
        <v>682</v>
      </c>
      <c r="H415">
        <v>0</v>
      </c>
      <c r="I415">
        <v>0</v>
      </c>
      <c r="J415">
        <v>0</v>
      </c>
      <c r="K415">
        <v>0</v>
      </c>
      <c r="L415">
        <v>0</v>
      </c>
      <c r="M415">
        <v>0</v>
      </c>
      <c r="N415">
        <v>0</v>
      </c>
      <c r="O415">
        <v>0</v>
      </c>
      <c r="P415">
        <v>0</v>
      </c>
      <c r="Q415">
        <v>0</v>
      </c>
      <c r="R415">
        <v>0</v>
      </c>
      <c r="S415">
        <v>0</v>
      </c>
      <c r="T415">
        <f t="shared" si="20"/>
        <v>0</v>
      </c>
      <c r="U415">
        <v>1</v>
      </c>
    </row>
    <row r="416" spans="1:21" x14ac:dyDescent="0.3">
      <c r="A416" t="str">
        <f t="shared" si="18"/>
        <v/>
      </c>
      <c r="B416" t="str">
        <f>IF(C416="","",COUNTIF($C$2:C416,C416))</f>
        <v/>
      </c>
      <c r="C416" t="str">
        <f t="shared" si="19"/>
        <v/>
      </c>
      <c r="D416" t="str">
        <f>VLOOKUP(G416,PathwayLookup!A:B,2,0)</f>
        <v>Social support (including VCS) (pathway 0)</v>
      </c>
      <c r="E416" t="s">
        <v>123</v>
      </c>
      <c r="F416" t="s">
        <v>526</v>
      </c>
      <c r="G416" t="s">
        <v>682</v>
      </c>
      <c r="H416">
        <v>0</v>
      </c>
      <c r="I416">
        <v>0</v>
      </c>
      <c r="J416">
        <v>0</v>
      </c>
      <c r="K416">
        <v>0</v>
      </c>
      <c r="L416">
        <v>0</v>
      </c>
      <c r="M416">
        <v>0</v>
      </c>
      <c r="N416">
        <v>0</v>
      </c>
      <c r="O416">
        <v>0</v>
      </c>
      <c r="P416">
        <v>0</v>
      </c>
      <c r="Q416">
        <v>0</v>
      </c>
      <c r="R416">
        <v>0</v>
      </c>
      <c r="S416">
        <v>0</v>
      </c>
      <c r="T416">
        <f t="shared" si="20"/>
        <v>0</v>
      </c>
      <c r="U416">
        <v>1</v>
      </c>
    </row>
    <row r="417" spans="1:21" x14ac:dyDescent="0.3">
      <c r="A417" t="str">
        <f t="shared" si="18"/>
        <v/>
      </c>
      <c r="B417" t="str">
        <f>IF(C417="","",COUNTIF($C$2:C417,C417))</f>
        <v/>
      </c>
      <c r="C417" t="str">
        <f t="shared" si="19"/>
        <v/>
      </c>
      <c r="D417" t="str">
        <f>VLOOKUP(G417,PathwayLookup!A:B,2,0)</f>
        <v>Social support (including VCS) (pathway 0)</v>
      </c>
      <c r="E417" t="s">
        <v>123</v>
      </c>
      <c r="F417" t="s">
        <v>600</v>
      </c>
      <c r="G417" t="s">
        <v>682</v>
      </c>
      <c r="H417">
        <v>0</v>
      </c>
      <c r="I417">
        <v>0</v>
      </c>
      <c r="J417">
        <v>0</v>
      </c>
      <c r="K417">
        <v>0</v>
      </c>
      <c r="L417">
        <v>0</v>
      </c>
      <c r="M417">
        <v>0</v>
      </c>
      <c r="N417">
        <v>0</v>
      </c>
      <c r="O417">
        <v>0</v>
      </c>
      <c r="P417">
        <v>0</v>
      </c>
      <c r="Q417">
        <v>0</v>
      </c>
      <c r="R417">
        <v>0</v>
      </c>
      <c r="S417">
        <v>0</v>
      </c>
      <c r="T417">
        <f t="shared" si="20"/>
        <v>0</v>
      </c>
      <c r="U417">
        <v>1</v>
      </c>
    </row>
    <row r="418" spans="1:21" x14ac:dyDescent="0.3">
      <c r="A418" t="str">
        <f t="shared" si="18"/>
        <v/>
      </c>
      <c r="B418" t="str">
        <f>IF(C418="","",COUNTIF($C$2:C418,C418))</f>
        <v/>
      </c>
      <c r="C418" t="str">
        <f t="shared" si="19"/>
        <v/>
      </c>
      <c r="D418" t="str">
        <f>VLOOKUP(G418,PathwayLookup!A:B,2,0)</f>
        <v>Social support (including VCS) (pathway 0)</v>
      </c>
      <c r="E418" t="s">
        <v>123</v>
      </c>
      <c r="F418" t="s">
        <v>651</v>
      </c>
      <c r="G418" t="s">
        <v>682</v>
      </c>
      <c r="H418">
        <v>0</v>
      </c>
      <c r="I418">
        <v>0</v>
      </c>
      <c r="J418">
        <v>0</v>
      </c>
      <c r="K418">
        <v>0</v>
      </c>
      <c r="L418">
        <v>0</v>
      </c>
      <c r="M418">
        <v>0</v>
      </c>
      <c r="N418">
        <v>0</v>
      </c>
      <c r="O418">
        <v>0</v>
      </c>
      <c r="P418">
        <v>0</v>
      </c>
      <c r="Q418">
        <v>0</v>
      </c>
      <c r="R418">
        <v>0</v>
      </c>
      <c r="S418">
        <v>0</v>
      </c>
      <c r="T418">
        <f t="shared" si="20"/>
        <v>0</v>
      </c>
      <c r="U418">
        <v>1</v>
      </c>
    </row>
    <row r="419" spans="1:21" x14ac:dyDescent="0.3">
      <c r="A419" t="str">
        <f t="shared" si="18"/>
        <v>CroydonReablement &amp; Rehabilitation at home  (pathway 1)1</v>
      </c>
      <c r="B419">
        <f>IF(C419="","",COUNTIF($C$2:C419,C419))</f>
        <v>1</v>
      </c>
      <c r="C419" t="str">
        <f t="shared" si="19"/>
        <v>CroydonReablement at home  (pathway 1)</v>
      </c>
      <c r="D419" t="str">
        <f>VLOOKUP(G419,PathwayLookup!A:B,2,0)</f>
        <v>Reablement &amp; Rehabilitation at home  (pathway 1)</v>
      </c>
      <c r="E419" t="s">
        <v>123</v>
      </c>
      <c r="F419" t="s">
        <v>483</v>
      </c>
      <c r="G419" t="s">
        <v>718</v>
      </c>
      <c r="H419">
        <v>170</v>
      </c>
      <c r="I419">
        <v>203</v>
      </c>
      <c r="J419">
        <v>173</v>
      </c>
      <c r="K419">
        <v>191</v>
      </c>
      <c r="L419">
        <v>161</v>
      </c>
      <c r="M419">
        <v>184</v>
      </c>
      <c r="N419">
        <v>352</v>
      </c>
      <c r="O419">
        <v>352</v>
      </c>
      <c r="P419">
        <v>352</v>
      </c>
      <c r="Q419">
        <v>352</v>
      </c>
      <c r="R419">
        <v>352</v>
      </c>
      <c r="S419">
        <v>352</v>
      </c>
      <c r="T419">
        <f t="shared" si="20"/>
        <v>3194</v>
      </c>
      <c r="U419">
        <v>1</v>
      </c>
    </row>
    <row r="420" spans="1:21" x14ac:dyDescent="0.3">
      <c r="A420" t="str">
        <f t="shared" si="18"/>
        <v>CroydonReablement &amp; Rehabilitation at home  (pathway 1)2</v>
      </c>
      <c r="B420">
        <f>IF(C420="","",COUNTIF($C$2:C420,C420))</f>
        <v>2</v>
      </c>
      <c r="C420" t="str">
        <f t="shared" si="19"/>
        <v>CroydonReablement at home  (pathway 1)</v>
      </c>
      <c r="D420" t="str">
        <f>VLOOKUP(G420,PathwayLookup!A:B,2,0)</f>
        <v>Reablement &amp; Rehabilitation at home  (pathway 1)</v>
      </c>
      <c r="E420" t="s">
        <v>123</v>
      </c>
      <c r="F420" t="s">
        <v>500</v>
      </c>
      <c r="G420" t="s">
        <v>718</v>
      </c>
      <c r="H420">
        <v>10</v>
      </c>
      <c r="I420">
        <v>13</v>
      </c>
      <c r="J420">
        <v>11</v>
      </c>
      <c r="K420">
        <v>12</v>
      </c>
      <c r="L420">
        <v>10</v>
      </c>
      <c r="M420">
        <v>11</v>
      </c>
      <c r="N420">
        <v>22</v>
      </c>
      <c r="O420">
        <v>22</v>
      </c>
      <c r="P420">
        <v>22</v>
      </c>
      <c r="Q420">
        <v>22</v>
      </c>
      <c r="R420">
        <v>22</v>
      </c>
      <c r="S420">
        <v>22</v>
      </c>
      <c r="T420">
        <f t="shared" si="20"/>
        <v>199</v>
      </c>
      <c r="U420">
        <v>1</v>
      </c>
    </row>
    <row r="421" spans="1:21" x14ac:dyDescent="0.3">
      <c r="A421" t="str">
        <f t="shared" si="18"/>
        <v>CroydonReablement &amp; Rehabilitation at home  (pathway 1)3</v>
      </c>
      <c r="B421">
        <f>IF(C421="","",COUNTIF($C$2:C421,C421))</f>
        <v>3</v>
      </c>
      <c r="C421" t="str">
        <f t="shared" si="19"/>
        <v>CroydonReablement at home  (pathway 1)</v>
      </c>
      <c r="D421" t="str">
        <f>VLOOKUP(G421,PathwayLookup!A:B,2,0)</f>
        <v>Reablement &amp; Rehabilitation at home  (pathway 1)</v>
      </c>
      <c r="E421" t="s">
        <v>123</v>
      </c>
      <c r="F421" t="s">
        <v>526</v>
      </c>
      <c r="G421" t="s">
        <v>718</v>
      </c>
      <c r="H421">
        <v>21</v>
      </c>
      <c r="I421">
        <v>25</v>
      </c>
      <c r="J421">
        <v>21</v>
      </c>
      <c r="K421">
        <v>24</v>
      </c>
      <c r="L421">
        <v>20</v>
      </c>
      <c r="M421">
        <v>23</v>
      </c>
      <c r="N421">
        <v>44</v>
      </c>
      <c r="O421">
        <v>44</v>
      </c>
      <c r="P421">
        <v>44</v>
      </c>
      <c r="Q421">
        <v>44</v>
      </c>
      <c r="R421">
        <v>44</v>
      </c>
      <c r="S421">
        <v>44</v>
      </c>
      <c r="T421">
        <f t="shared" si="20"/>
        <v>398</v>
      </c>
      <c r="U421">
        <v>1</v>
      </c>
    </row>
    <row r="422" spans="1:21" x14ac:dyDescent="0.3">
      <c r="A422" t="str">
        <f t="shared" si="18"/>
        <v>CroydonReablement &amp; Rehabilitation at home  (pathway 1)4</v>
      </c>
      <c r="B422">
        <f>IF(C422="","",COUNTIF($C$2:C422,C422))</f>
        <v>4</v>
      </c>
      <c r="C422" t="str">
        <f t="shared" si="19"/>
        <v>CroydonReablement at home  (pathway 1)</v>
      </c>
      <c r="D422" t="str">
        <f>VLOOKUP(G422,PathwayLookup!A:B,2,0)</f>
        <v>Reablement &amp; Rehabilitation at home  (pathway 1)</v>
      </c>
      <c r="E422" t="s">
        <v>123</v>
      </c>
      <c r="F422" t="s">
        <v>600</v>
      </c>
      <c r="G422" t="s">
        <v>718</v>
      </c>
      <c r="H422">
        <v>27</v>
      </c>
      <c r="I422">
        <v>32</v>
      </c>
      <c r="J422">
        <v>27</v>
      </c>
      <c r="K422">
        <v>30</v>
      </c>
      <c r="L422">
        <v>25</v>
      </c>
      <c r="M422">
        <v>29</v>
      </c>
      <c r="N422">
        <v>55</v>
      </c>
      <c r="O422">
        <v>55</v>
      </c>
      <c r="P422">
        <v>55</v>
      </c>
      <c r="Q422">
        <v>55</v>
      </c>
      <c r="R422">
        <v>55</v>
      </c>
      <c r="S422">
        <v>55</v>
      </c>
      <c r="T422">
        <f t="shared" si="20"/>
        <v>500</v>
      </c>
      <c r="U422">
        <v>1</v>
      </c>
    </row>
    <row r="423" spans="1:21" x14ac:dyDescent="0.3">
      <c r="A423" t="str">
        <f t="shared" si="18"/>
        <v>CroydonReablement &amp; Rehabilitation at home  (pathway 1)5</v>
      </c>
      <c r="B423">
        <f>IF(C423="","",COUNTIF($C$2:C423,C423))</f>
        <v>5</v>
      </c>
      <c r="C423" t="str">
        <f t="shared" si="19"/>
        <v>CroydonReablement at home  (pathway 1)</v>
      </c>
      <c r="D423" t="str">
        <f>VLOOKUP(G423,PathwayLookup!A:B,2,0)</f>
        <v>Reablement &amp; Rehabilitation at home  (pathway 1)</v>
      </c>
      <c r="E423" t="s">
        <v>123</v>
      </c>
      <c r="F423" t="s">
        <v>651</v>
      </c>
      <c r="G423" t="s">
        <v>718</v>
      </c>
      <c r="H423">
        <v>37</v>
      </c>
      <c r="I423">
        <v>45</v>
      </c>
      <c r="J423">
        <v>38</v>
      </c>
      <c r="K423">
        <v>42</v>
      </c>
      <c r="L423">
        <v>35</v>
      </c>
      <c r="M423">
        <v>40</v>
      </c>
      <c r="N423">
        <v>77</v>
      </c>
      <c r="O423">
        <v>77</v>
      </c>
      <c r="P423">
        <v>77</v>
      </c>
      <c r="Q423">
        <v>77</v>
      </c>
      <c r="R423">
        <v>77</v>
      </c>
      <c r="S423">
        <v>77</v>
      </c>
      <c r="T423">
        <f t="shared" si="20"/>
        <v>699</v>
      </c>
      <c r="U423">
        <v>1</v>
      </c>
    </row>
    <row r="424" spans="1:21" x14ac:dyDescent="0.3">
      <c r="A424" t="str">
        <f t="shared" si="18"/>
        <v>CroydonReablement &amp; Rehabilitation at home  (pathway 1)1</v>
      </c>
      <c r="B424">
        <f>IF(C424="","",COUNTIF($C$2:C424,C424))</f>
        <v>1</v>
      </c>
      <c r="C424" t="str">
        <f t="shared" si="19"/>
        <v>CroydonRehabilitation at home (pathway 1)</v>
      </c>
      <c r="D424" t="str">
        <f>VLOOKUP(G424,PathwayLookup!A:B,2,0)</f>
        <v>Reablement &amp; Rehabilitation at home  (pathway 1)</v>
      </c>
      <c r="E424" t="s">
        <v>123</v>
      </c>
      <c r="F424" t="s">
        <v>483</v>
      </c>
      <c r="G424" t="s">
        <v>719</v>
      </c>
      <c r="H424">
        <v>18</v>
      </c>
      <c r="I424">
        <v>22</v>
      </c>
      <c r="J424">
        <v>21</v>
      </c>
      <c r="K424">
        <v>20</v>
      </c>
      <c r="L424">
        <v>21</v>
      </c>
      <c r="M424">
        <v>18</v>
      </c>
      <c r="N424">
        <v>24</v>
      </c>
      <c r="O424">
        <v>25</v>
      </c>
      <c r="P424">
        <v>25</v>
      </c>
      <c r="Q424">
        <v>29</v>
      </c>
      <c r="R424">
        <v>25</v>
      </c>
      <c r="S424">
        <v>38</v>
      </c>
      <c r="T424">
        <f t="shared" si="20"/>
        <v>286</v>
      </c>
      <c r="U424">
        <v>1</v>
      </c>
    </row>
    <row r="425" spans="1:21" x14ac:dyDescent="0.3">
      <c r="A425" t="str">
        <f t="shared" si="18"/>
        <v>CroydonReablement &amp; Rehabilitation at home  (pathway 1)2</v>
      </c>
      <c r="B425">
        <f>IF(C425="","",COUNTIF($C$2:C425,C425))</f>
        <v>2</v>
      </c>
      <c r="C425" t="str">
        <f t="shared" si="19"/>
        <v>CroydonRehabilitation at home (pathway 1)</v>
      </c>
      <c r="D425" t="str">
        <f>VLOOKUP(G425,PathwayLookup!A:B,2,0)</f>
        <v>Reablement &amp; Rehabilitation at home  (pathway 1)</v>
      </c>
      <c r="E425" t="s">
        <v>123</v>
      </c>
      <c r="F425" t="s">
        <v>500</v>
      </c>
      <c r="G425" t="s">
        <v>719</v>
      </c>
      <c r="H425">
        <v>1</v>
      </c>
      <c r="I425">
        <v>1</v>
      </c>
      <c r="J425">
        <v>1</v>
      </c>
      <c r="K425">
        <v>1</v>
      </c>
      <c r="L425">
        <v>1</v>
      </c>
      <c r="M425">
        <v>1</v>
      </c>
      <c r="N425">
        <v>1</v>
      </c>
      <c r="O425">
        <v>2</v>
      </c>
      <c r="P425">
        <v>2</v>
      </c>
      <c r="Q425">
        <v>2</v>
      </c>
      <c r="R425">
        <v>2</v>
      </c>
      <c r="S425">
        <v>2</v>
      </c>
      <c r="T425">
        <f t="shared" si="20"/>
        <v>17</v>
      </c>
      <c r="U425">
        <v>1</v>
      </c>
    </row>
    <row r="426" spans="1:21" x14ac:dyDescent="0.3">
      <c r="A426" t="str">
        <f t="shared" si="18"/>
        <v>CroydonReablement &amp; Rehabilitation at home  (pathway 1)3</v>
      </c>
      <c r="B426">
        <f>IF(C426="","",COUNTIF($C$2:C426,C426))</f>
        <v>3</v>
      </c>
      <c r="C426" t="str">
        <f t="shared" si="19"/>
        <v>CroydonRehabilitation at home (pathway 1)</v>
      </c>
      <c r="D426" t="str">
        <f>VLOOKUP(G426,PathwayLookup!A:B,2,0)</f>
        <v>Reablement &amp; Rehabilitation at home  (pathway 1)</v>
      </c>
      <c r="E426" t="s">
        <v>123</v>
      </c>
      <c r="F426" t="s">
        <v>526</v>
      </c>
      <c r="G426" t="s">
        <v>719</v>
      </c>
      <c r="H426">
        <v>2</v>
      </c>
      <c r="I426">
        <v>3</v>
      </c>
      <c r="J426">
        <v>3</v>
      </c>
      <c r="K426">
        <v>2</v>
      </c>
      <c r="L426">
        <v>3</v>
      </c>
      <c r="M426">
        <v>2</v>
      </c>
      <c r="N426">
        <v>3</v>
      </c>
      <c r="O426">
        <v>3</v>
      </c>
      <c r="P426">
        <v>3</v>
      </c>
      <c r="Q426">
        <v>4</v>
      </c>
      <c r="R426">
        <v>3</v>
      </c>
      <c r="S426">
        <v>5</v>
      </c>
      <c r="T426">
        <f t="shared" si="20"/>
        <v>36</v>
      </c>
      <c r="U426">
        <v>1</v>
      </c>
    </row>
    <row r="427" spans="1:21" x14ac:dyDescent="0.3">
      <c r="A427" t="str">
        <f t="shared" si="18"/>
        <v>CroydonReablement &amp; Rehabilitation at home  (pathway 1)4</v>
      </c>
      <c r="B427">
        <f>IF(C427="","",COUNTIF($C$2:C427,C427))</f>
        <v>4</v>
      </c>
      <c r="C427" t="str">
        <f t="shared" si="19"/>
        <v>CroydonRehabilitation at home (pathway 1)</v>
      </c>
      <c r="D427" t="str">
        <f>VLOOKUP(G427,PathwayLookup!A:B,2,0)</f>
        <v>Reablement &amp; Rehabilitation at home  (pathway 1)</v>
      </c>
      <c r="E427" t="s">
        <v>123</v>
      </c>
      <c r="F427" t="s">
        <v>600</v>
      </c>
      <c r="G427" t="s">
        <v>719</v>
      </c>
      <c r="H427">
        <v>3</v>
      </c>
      <c r="I427">
        <v>3</v>
      </c>
      <c r="J427">
        <v>3</v>
      </c>
      <c r="K427">
        <v>3</v>
      </c>
      <c r="L427">
        <v>3</v>
      </c>
      <c r="M427">
        <v>3</v>
      </c>
      <c r="N427">
        <v>4</v>
      </c>
      <c r="O427">
        <v>4</v>
      </c>
      <c r="P427">
        <v>4</v>
      </c>
      <c r="Q427">
        <v>5</v>
      </c>
      <c r="R427">
        <v>4</v>
      </c>
      <c r="S427">
        <v>6</v>
      </c>
      <c r="T427">
        <f t="shared" si="20"/>
        <v>45</v>
      </c>
      <c r="U427">
        <v>1</v>
      </c>
    </row>
    <row r="428" spans="1:21" x14ac:dyDescent="0.3">
      <c r="A428" t="str">
        <f t="shared" si="18"/>
        <v>CroydonReablement &amp; Rehabilitation at home  (pathway 1)5</v>
      </c>
      <c r="B428">
        <f>IF(C428="","",COUNTIF($C$2:C428,C428))</f>
        <v>5</v>
      </c>
      <c r="C428" t="str">
        <f t="shared" si="19"/>
        <v>CroydonRehabilitation at home (pathway 1)</v>
      </c>
      <c r="D428" t="str">
        <f>VLOOKUP(G428,PathwayLookup!A:B,2,0)</f>
        <v>Reablement &amp; Rehabilitation at home  (pathway 1)</v>
      </c>
      <c r="E428" t="s">
        <v>123</v>
      </c>
      <c r="F428" t="s">
        <v>651</v>
      </c>
      <c r="G428" t="s">
        <v>719</v>
      </c>
      <c r="H428">
        <v>4</v>
      </c>
      <c r="I428">
        <v>5</v>
      </c>
      <c r="J428">
        <v>5</v>
      </c>
      <c r="K428">
        <v>4</v>
      </c>
      <c r="L428">
        <v>5</v>
      </c>
      <c r="M428">
        <v>4</v>
      </c>
      <c r="N428">
        <v>5</v>
      </c>
      <c r="O428">
        <v>5</v>
      </c>
      <c r="P428">
        <v>5</v>
      </c>
      <c r="Q428">
        <v>6</v>
      </c>
      <c r="R428">
        <v>6</v>
      </c>
      <c r="S428">
        <v>8</v>
      </c>
      <c r="T428">
        <f t="shared" si="20"/>
        <v>62</v>
      </c>
      <c r="U428">
        <v>1</v>
      </c>
    </row>
    <row r="429" spans="1:21" x14ac:dyDescent="0.3">
      <c r="A429" t="str">
        <f t="shared" si="18"/>
        <v/>
      </c>
      <c r="B429" t="str">
        <f>IF(C429="","",COUNTIF($C$2:C429,C429))</f>
        <v/>
      </c>
      <c r="C429" t="str">
        <f t="shared" si="19"/>
        <v/>
      </c>
      <c r="D429" t="str">
        <f>VLOOKUP(G429,PathwayLookup!A:B,2,0)</f>
        <v>Short term domiciliary care (pathway 1)</v>
      </c>
      <c r="E429" t="s">
        <v>123</v>
      </c>
      <c r="F429" t="s">
        <v>483</v>
      </c>
      <c r="G429" t="s">
        <v>684</v>
      </c>
      <c r="H429">
        <v>0</v>
      </c>
      <c r="I429">
        <v>0</v>
      </c>
      <c r="J429">
        <v>0</v>
      </c>
      <c r="K429">
        <v>0</v>
      </c>
      <c r="L429">
        <v>0</v>
      </c>
      <c r="M429">
        <v>0</v>
      </c>
      <c r="N429">
        <v>0</v>
      </c>
      <c r="O429">
        <v>0</v>
      </c>
      <c r="P429">
        <v>0</v>
      </c>
      <c r="Q429">
        <v>0</v>
      </c>
      <c r="R429">
        <v>0</v>
      </c>
      <c r="S429">
        <v>0</v>
      </c>
      <c r="T429">
        <f t="shared" si="20"/>
        <v>0</v>
      </c>
      <c r="U429">
        <v>1</v>
      </c>
    </row>
    <row r="430" spans="1:21" x14ac:dyDescent="0.3">
      <c r="A430" t="str">
        <f t="shared" si="18"/>
        <v/>
      </c>
      <c r="B430" t="str">
        <f>IF(C430="","",COUNTIF($C$2:C430,C430))</f>
        <v/>
      </c>
      <c r="C430" t="str">
        <f t="shared" si="19"/>
        <v/>
      </c>
      <c r="D430" t="str">
        <f>VLOOKUP(G430,PathwayLookup!A:B,2,0)</f>
        <v>Short term domiciliary care (pathway 1)</v>
      </c>
      <c r="E430" t="s">
        <v>123</v>
      </c>
      <c r="F430" t="s">
        <v>500</v>
      </c>
      <c r="G430" t="s">
        <v>684</v>
      </c>
      <c r="H430">
        <v>0</v>
      </c>
      <c r="I430">
        <v>0</v>
      </c>
      <c r="J430">
        <v>0</v>
      </c>
      <c r="K430">
        <v>0</v>
      </c>
      <c r="L430">
        <v>0</v>
      </c>
      <c r="M430">
        <v>0</v>
      </c>
      <c r="N430">
        <v>0</v>
      </c>
      <c r="O430">
        <v>0</v>
      </c>
      <c r="P430">
        <v>0</v>
      </c>
      <c r="Q430">
        <v>0</v>
      </c>
      <c r="R430">
        <v>0</v>
      </c>
      <c r="S430">
        <v>0</v>
      </c>
      <c r="T430">
        <f t="shared" si="20"/>
        <v>0</v>
      </c>
      <c r="U430">
        <v>1</v>
      </c>
    </row>
    <row r="431" spans="1:21" x14ac:dyDescent="0.3">
      <c r="A431" t="str">
        <f t="shared" si="18"/>
        <v/>
      </c>
      <c r="B431" t="str">
        <f>IF(C431="","",COUNTIF($C$2:C431,C431))</f>
        <v/>
      </c>
      <c r="C431" t="str">
        <f t="shared" si="19"/>
        <v/>
      </c>
      <c r="D431" t="str">
        <f>VLOOKUP(G431,PathwayLookup!A:B,2,0)</f>
        <v>Short term domiciliary care (pathway 1)</v>
      </c>
      <c r="E431" t="s">
        <v>123</v>
      </c>
      <c r="F431" t="s">
        <v>526</v>
      </c>
      <c r="G431" t="s">
        <v>684</v>
      </c>
      <c r="H431">
        <v>0</v>
      </c>
      <c r="I431">
        <v>0</v>
      </c>
      <c r="J431">
        <v>0</v>
      </c>
      <c r="K431">
        <v>0</v>
      </c>
      <c r="L431">
        <v>0</v>
      </c>
      <c r="M431">
        <v>0</v>
      </c>
      <c r="N431">
        <v>0</v>
      </c>
      <c r="O431">
        <v>0</v>
      </c>
      <c r="P431">
        <v>0</v>
      </c>
      <c r="Q431">
        <v>0</v>
      </c>
      <c r="R431">
        <v>0</v>
      </c>
      <c r="S431">
        <v>0</v>
      </c>
      <c r="T431">
        <f t="shared" si="20"/>
        <v>0</v>
      </c>
      <c r="U431">
        <v>1</v>
      </c>
    </row>
    <row r="432" spans="1:21" x14ac:dyDescent="0.3">
      <c r="A432" t="str">
        <f t="shared" si="18"/>
        <v/>
      </c>
      <c r="B432" t="str">
        <f>IF(C432="","",COUNTIF($C$2:C432,C432))</f>
        <v/>
      </c>
      <c r="C432" t="str">
        <f t="shared" si="19"/>
        <v/>
      </c>
      <c r="D432" t="str">
        <f>VLOOKUP(G432,PathwayLookup!A:B,2,0)</f>
        <v>Short term domiciliary care (pathway 1)</v>
      </c>
      <c r="E432" t="s">
        <v>123</v>
      </c>
      <c r="F432" t="s">
        <v>600</v>
      </c>
      <c r="G432" t="s">
        <v>684</v>
      </c>
      <c r="H432">
        <v>0</v>
      </c>
      <c r="I432">
        <v>0</v>
      </c>
      <c r="J432">
        <v>0</v>
      </c>
      <c r="K432">
        <v>0</v>
      </c>
      <c r="L432">
        <v>0</v>
      </c>
      <c r="M432">
        <v>0</v>
      </c>
      <c r="N432">
        <v>0</v>
      </c>
      <c r="O432">
        <v>0</v>
      </c>
      <c r="P432">
        <v>0</v>
      </c>
      <c r="Q432">
        <v>0</v>
      </c>
      <c r="R432">
        <v>0</v>
      </c>
      <c r="S432">
        <v>0</v>
      </c>
      <c r="T432">
        <f t="shared" si="20"/>
        <v>0</v>
      </c>
      <c r="U432">
        <v>1</v>
      </c>
    </row>
    <row r="433" spans="1:21" x14ac:dyDescent="0.3">
      <c r="A433" t="str">
        <f t="shared" si="18"/>
        <v/>
      </c>
      <c r="B433" t="str">
        <f>IF(C433="","",COUNTIF($C$2:C433,C433))</f>
        <v/>
      </c>
      <c r="C433" t="str">
        <f t="shared" si="19"/>
        <v/>
      </c>
      <c r="D433" t="str">
        <f>VLOOKUP(G433,PathwayLookup!A:B,2,0)</f>
        <v>Short term domiciliary care (pathway 1)</v>
      </c>
      <c r="E433" t="s">
        <v>123</v>
      </c>
      <c r="F433" t="s">
        <v>651</v>
      </c>
      <c r="G433" t="s">
        <v>684</v>
      </c>
      <c r="H433">
        <v>0</v>
      </c>
      <c r="I433">
        <v>0</v>
      </c>
      <c r="J433">
        <v>0</v>
      </c>
      <c r="K433">
        <v>0</v>
      </c>
      <c r="L433">
        <v>0</v>
      </c>
      <c r="M433">
        <v>0</v>
      </c>
      <c r="N433">
        <v>0</v>
      </c>
      <c r="O433">
        <v>0</v>
      </c>
      <c r="P433">
        <v>0</v>
      </c>
      <c r="Q433">
        <v>0</v>
      </c>
      <c r="R433">
        <v>0</v>
      </c>
      <c r="S433">
        <v>0</v>
      </c>
      <c r="T433">
        <f t="shared" si="20"/>
        <v>0</v>
      </c>
      <c r="U433">
        <v>1</v>
      </c>
    </row>
    <row r="434" spans="1:21" x14ac:dyDescent="0.3">
      <c r="A434" t="str">
        <f t="shared" si="18"/>
        <v/>
      </c>
      <c r="B434" t="str">
        <f>IF(C434="","",COUNTIF($C$2:C434,C434))</f>
        <v/>
      </c>
      <c r="C434" t="str">
        <f t="shared" si="19"/>
        <v/>
      </c>
      <c r="D434" t="str">
        <f>VLOOKUP(G434,PathwayLookup!A:B,2,0)</f>
        <v>Reablement &amp; Rehabilitation in a bedded setting (pathway 2)</v>
      </c>
      <c r="E434" t="s">
        <v>123</v>
      </c>
      <c r="F434" t="s">
        <v>448</v>
      </c>
      <c r="G434" t="s">
        <v>722</v>
      </c>
      <c r="H434" t="s">
        <v>750</v>
      </c>
      <c r="I434" t="s">
        <v>750</v>
      </c>
      <c r="J434" t="s">
        <v>750</v>
      </c>
      <c r="K434" t="s">
        <v>750</v>
      </c>
      <c r="L434" t="s">
        <v>750</v>
      </c>
      <c r="M434" t="s">
        <v>750</v>
      </c>
      <c r="N434" t="s">
        <v>750</v>
      </c>
      <c r="O434" t="s">
        <v>750</v>
      </c>
      <c r="P434" t="s">
        <v>750</v>
      </c>
      <c r="Q434" t="s">
        <v>750</v>
      </c>
      <c r="R434" t="s">
        <v>750</v>
      </c>
      <c r="S434" t="s">
        <v>750</v>
      </c>
      <c r="T434">
        <f t="shared" si="20"/>
        <v>0</v>
      </c>
      <c r="U434">
        <v>1</v>
      </c>
    </row>
    <row r="435" spans="1:21" x14ac:dyDescent="0.3">
      <c r="A435" t="str">
        <f t="shared" si="18"/>
        <v>CroydonReablement &amp; Rehabilitation in a bedded setting (pathway 2)1</v>
      </c>
      <c r="B435">
        <f>IF(C435="","",COUNTIF($C$2:C435,C435))</f>
        <v>1</v>
      </c>
      <c r="C435" t="str">
        <f t="shared" si="19"/>
        <v>CroydonReablement in a bedded setting (pathway 2)</v>
      </c>
      <c r="D435" t="str">
        <f>VLOOKUP(G435,PathwayLookup!A:B,2,0)</f>
        <v>Reablement &amp; Rehabilitation in a bedded setting (pathway 2)</v>
      </c>
      <c r="E435" t="s">
        <v>123</v>
      </c>
      <c r="F435" t="s">
        <v>483</v>
      </c>
      <c r="G435" t="s">
        <v>722</v>
      </c>
      <c r="H435">
        <v>0</v>
      </c>
      <c r="I435">
        <v>0</v>
      </c>
      <c r="J435">
        <v>0</v>
      </c>
      <c r="K435">
        <v>0</v>
      </c>
      <c r="L435">
        <v>0</v>
      </c>
      <c r="M435">
        <v>0</v>
      </c>
      <c r="N435">
        <v>0</v>
      </c>
      <c r="O435">
        <v>0</v>
      </c>
      <c r="P435">
        <v>0</v>
      </c>
      <c r="Q435">
        <v>1</v>
      </c>
      <c r="R435">
        <v>1</v>
      </c>
      <c r="S435">
        <v>1</v>
      </c>
      <c r="T435">
        <f t="shared" si="20"/>
        <v>3</v>
      </c>
      <c r="U435">
        <v>1</v>
      </c>
    </row>
    <row r="436" spans="1:21" x14ac:dyDescent="0.3">
      <c r="A436" t="str">
        <f t="shared" si="18"/>
        <v/>
      </c>
      <c r="B436" t="str">
        <f>IF(C436="","",COUNTIF($C$2:C436,C436))</f>
        <v/>
      </c>
      <c r="C436" t="str">
        <f t="shared" si="19"/>
        <v/>
      </c>
      <c r="D436" t="str">
        <f>VLOOKUP(G436,PathwayLookup!A:B,2,0)</f>
        <v>Reablement &amp; Rehabilitation in a bedded setting (pathway 2)</v>
      </c>
      <c r="E436" t="s">
        <v>123</v>
      </c>
      <c r="F436" t="s">
        <v>500</v>
      </c>
      <c r="G436" t="s">
        <v>722</v>
      </c>
      <c r="H436">
        <v>0</v>
      </c>
      <c r="I436">
        <v>0</v>
      </c>
      <c r="J436">
        <v>0</v>
      </c>
      <c r="K436">
        <v>0</v>
      </c>
      <c r="L436">
        <v>0</v>
      </c>
      <c r="M436">
        <v>0</v>
      </c>
      <c r="N436">
        <v>0</v>
      </c>
      <c r="O436">
        <v>0</v>
      </c>
      <c r="P436">
        <v>0</v>
      </c>
      <c r="Q436">
        <v>0</v>
      </c>
      <c r="R436">
        <v>0</v>
      </c>
      <c r="S436">
        <v>0</v>
      </c>
      <c r="T436">
        <f t="shared" si="20"/>
        <v>0</v>
      </c>
      <c r="U436">
        <v>1</v>
      </c>
    </row>
    <row r="437" spans="1:21" x14ac:dyDescent="0.3">
      <c r="A437" t="str">
        <f t="shared" si="18"/>
        <v/>
      </c>
      <c r="B437" t="str">
        <f>IF(C437="","",COUNTIF($C$2:C437,C437))</f>
        <v/>
      </c>
      <c r="C437" t="str">
        <f t="shared" si="19"/>
        <v/>
      </c>
      <c r="D437" t="str">
        <f>VLOOKUP(G437,PathwayLookup!A:B,2,0)</f>
        <v>Reablement &amp; Rehabilitation in a bedded setting (pathway 2)</v>
      </c>
      <c r="E437" t="s">
        <v>123</v>
      </c>
      <c r="F437" t="s">
        <v>526</v>
      </c>
      <c r="G437" t="s">
        <v>722</v>
      </c>
      <c r="H437">
        <v>0</v>
      </c>
      <c r="I437">
        <v>0</v>
      </c>
      <c r="J437">
        <v>0</v>
      </c>
      <c r="K437">
        <v>0</v>
      </c>
      <c r="L437">
        <v>0</v>
      </c>
      <c r="M437">
        <v>0</v>
      </c>
      <c r="N437">
        <v>0</v>
      </c>
      <c r="O437">
        <v>0</v>
      </c>
      <c r="P437">
        <v>0</v>
      </c>
      <c r="Q437">
        <v>0</v>
      </c>
      <c r="R437">
        <v>0</v>
      </c>
      <c r="S437">
        <v>0</v>
      </c>
      <c r="T437">
        <f t="shared" si="20"/>
        <v>0</v>
      </c>
      <c r="U437">
        <v>1</v>
      </c>
    </row>
    <row r="438" spans="1:21" x14ac:dyDescent="0.3">
      <c r="A438" t="str">
        <f t="shared" si="18"/>
        <v>CroydonReablement &amp; Rehabilitation in a bedded setting (pathway 2)2</v>
      </c>
      <c r="B438">
        <f>IF(C438="","",COUNTIF($C$2:C438,C438))</f>
        <v>2</v>
      </c>
      <c r="C438" t="str">
        <f t="shared" si="19"/>
        <v>CroydonReablement in a bedded setting (pathway 2)</v>
      </c>
      <c r="D438" t="str">
        <f>VLOOKUP(G438,PathwayLookup!A:B,2,0)</f>
        <v>Reablement &amp; Rehabilitation in a bedded setting (pathway 2)</v>
      </c>
      <c r="E438" t="s">
        <v>123</v>
      </c>
      <c r="F438" t="s">
        <v>592</v>
      </c>
      <c r="G438" t="s">
        <v>722</v>
      </c>
      <c r="H438">
        <v>104</v>
      </c>
      <c r="I438">
        <v>104</v>
      </c>
      <c r="J438">
        <v>104</v>
      </c>
      <c r="K438">
        <v>104</v>
      </c>
      <c r="L438">
        <v>104</v>
      </c>
      <c r="M438">
        <v>104</v>
      </c>
      <c r="N438">
        <v>104</v>
      </c>
      <c r="O438">
        <v>104</v>
      </c>
      <c r="P438">
        <v>104</v>
      </c>
      <c r="Q438">
        <v>104</v>
      </c>
      <c r="R438">
        <v>104</v>
      </c>
      <c r="S438">
        <v>104</v>
      </c>
      <c r="T438">
        <f t="shared" si="20"/>
        <v>1248</v>
      </c>
      <c r="U438">
        <v>1</v>
      </c>
    </row>
    <row r="439" spans="1:21" x14ac:dyDescent="0.3">
      <c r="A439" t="str">
        <f t="shared" si="18"/>
        <v/>
      </c>
      <c r="B439" t="str">
        <f>IF(C439="","",COUNTIF($C$2:C439,C439))</f>
        <v/>
      </c>
      <c r="C439" t="str">
        <f t="shared" si="19"/>
        <v/>
      </c>
      <c r="D439" t="str">
        <f>VLOOKUP(G439,PathwayLookup!A:B,2,0)</f>
        <v>Reablement &amp; Rehabilitation in a bedded setting (pathway 2)</v>
      </c>
      <c r="E439" t="s">
        <v>123</v>
      </c>
      <c r="F439" t="s">
        <v>600</v>
      </c>
      <c r="G439" t="s">
        <v>722</v>
      </c>
      <c r="H439">
        <v>0</v>
      </c>
      <c r="I439">
        <v>0</v>
      </c>
      <c r="J439">
        <v>0</v>
      </c>
      <c r="K439">
        <v>0</v>
      </c>
      <c r="L439">
        <v>0</v>
      </c>
      <c r="M439">
        <v>0</v>
      </c>
      <c r="N439">
        <v>0</v>
      </c>
      <c r="O439">
        <v>0</v>
      </c>
      <c r="P439">
        <v>0</v>
      </c>
      <c r="Q439">
        <v>0</v>
      </c>
      <c r="R439">
        <v>0</v>
      </c>
      <c r="S439">
        <v>0</v>
      </c>
      <c r="T439">
        <f t="shared" si="20"/>
        <v>0</v>
      </c>
      <c r="U439">
        <v>1</v>
      </c>
    </row>
    <row r="440" spans="1:21" x14ac:dyDescent="0.3">
      <c r="A440" t="str">
        <f t="shared" si="18"/>
        <v/>
      </c>
      <c r="B440" t="str">
        <f>IF(C440="","",COUNTIF($C$2:C440,C440))</f>
        <v/>
      </c>
      <c r="C440" t="str">
        <f t="shared" si="19"/>
        <v/>
      </c>
      <c r="D440" t="str">
        <f>VLOOKUP(G440,PathwayLookup!A:B,2,0)</f>
        <v>Reablement &amp; Rehabilitation in a bedded setting (pathway 2)</v>
      </c>
      <c r="E440" t="s">
        <v>123</v>
      </c>
      <c r="F440" t="s">
        <v>651</v>
      </c>
      <c r="G440" t="s">
        <v>722</v>
      </c>
      <c r="H440">
        <v>0</v>
      </c>
      <c r="I440">
        <v>0</v>
      </c>
      <c r="J440">
        <v>0</v>
      </c>
      <c r="K440">
        <v>0</v>
      </c>
      <c r="L440">
        <v>0</v>
      </c>
      <c r="M440">
        <v>0</v>
      </c>
      <c r="N440">
        <v>0</v>
      </c>
      <c r="O440">
        <v>0</v>
      </c>
      <c r="P440">
        <v>0</v>
      </c>
      <c r="Q440">
        <v>0</v>
      </c>
      <c r="R440">
        <v>0</v>
      </c>
      <c r="S440">
        <v>0</v>
      </c>
      <c r="T440">
        <f t="shared" si="20"/>
        <v>0</v>
      </c>
      <c r="U440">
        <v>1</v>
      </c>
    </row>
    <row r="441" spans="1:21" x14ac:dyDescent="0.3">
      <c r="A441" t="str">
        <f t="shared" si="18"/>
        <v>CroydonReablement &amp; Rehabilitation in a bedded setting (pathway 2)1</v>
      </c>
      <c r="B441">
        <f>IF(C441="","",COUNTIF($C$2:C441,C441))</f>
        <v>1</v>
      </c>
      <c r="C441" t="str">
        <f t="shared" si="19"/>
        <v>CroydonRehabilitation in a bedded setting (pathway 2)</v>
      </c>
      <c r="D441" t="str">
        <f>VLOOKUP(G441,PathwayLookup!A:B,2,0)</f>
        <v>Reablement &amp; Rehabilitation in a bedded setting (pathway 2)</v>
      </c>
      <c r="E441" t="s">
        <v>123</v>
      </c>
      <c r="F441" t="s">
        <v>483</v>
      </c>
      <c r="G441" t="s">
        <v>724</v>
      </c>
      <c r="H441">
        <v>19</v>
      </c>
      <c r="I441">
        <v>20</v>
      </c>
      <c r="J441">
        <v>19</v>
      </c>
      <c r="K441">
        <v>20</v>
      </c>
      <c r="L441">
        <v>20</v>
      </c>
      <c r="M441">
        <v>19</v>
      </c>
      <c r="N441">
        <v>20</v>
      </c>
      <c r="O441">
        <v>19</v>
      </c>
      <c r="P441">
        <v>20</v>
      </c>
      <c r="Q441">
        <v>20</v>
      </c>
      <c r="R441">
        <v>19</v>
      </c>
      <c r="S441">
        <v>20</v>
      </c>
      <c r="T441">
        <f t="shared" si="20"/>
        <v>235</v>
      </c>
      <c r="U441">
        <v>1</v>
      </c>
    </row>
    <row r="442" spans="1:21" x14ac:dyDescent="0.3">
      <c r="A442" t="str">
        <f t="shared" si="18"/>
        <v>CroydonReablement &amp; Rehabilitation in a bedded setting (pathway 2)2</v>
      </c>
      <c r="B442">
        <f>IF(C442="","",COUNTIF($C$2:C442,C442))</f>
        <v>2</v>
      </c>
      <c r="C442" t="str">
        <f t="shared" si="19"/>
        <v>CroydonRehabilitation in a bedded setting (pathway 2)</v>
      </c>
      <c r="D442" t="str">
        <f>VLOOKUP(G442,PathwayLookup!A:B,2,0)</f>
        <v>Reablement &amp; Rehabilitation in a bedded setting (pathway 2)</v>
      </c>
      <c r="E442" t="s">
        <v>123</v>
      </c>
      <c r="F442" t="s">
        <v>500</v>
      </c>
      <c r="G442" t="s">
        <v>724</v>
      </c>
      <c r="H442">
        <v>1</v>
      </c>
      <c r="I442">
        <v>1</v>
      </c>
      <c r="J442">
        <v>1</v>
      </c>
      <c r="K442">
        <v>1</v>
      </c>
      <c r="L442">
        <v>1</v>
      </c>
      <c r="M442">
        <v>1</v>
      </c>
      <c r="N442">
        <v>1</v>
      </c>
      <c r="O442">
        <v>1</v>
      </c>
      <c r="P442">
        <v>1</v>
      </c>
      <c r="Q442">
        <v>1</v>
      </c>
      <c r="R442">
        <v>1</v>
      </c>
      <c r="S442">
        <v>1</v>
      </c>
      <c r="T442">
        <f t="shared" si="20"/>
        <v>12</v>
      </c>
      <c r="U442">
        <v>1</v>
      </c>
    </row>
    <row r="443" spans="1:21" x14ac:dyDescent="0.3">
      <c r="A443" t="str">
        <f t="shared" si="18"/>
        <v>CroydonReablement &amp; Rehabilitation in a bedded setting (pathway 2)3</v>
      </c>
      <c r="B443">
        <f>IF(C443="","",COUNTIF($C$2:C443,C443))</f>
        <v>3</v>
      </c>
      <c r="C443" t="str">
        <f t="shared" si="19"/>
        <v>CroydonRehabilitation in a bedded setting (pathway 2)</v>
      </c>
      <c r="D443" t="str">
        <f>VLOOKUP(G443,PathwayLookup!A:B,2,0)</f>
        <v>Reablement &amp; Rehabilitation in a bedded setting (pathway 2)</v>
      </c>
      <c r="E443" t="s">
        <v>123</v>
      </c>
      <c r="F443" t="s">
        <v>526</v>
      </c>
      <c r="G443" t="s">
        <v>724</v>
      </c>
      <c r="H443">
        <v>1</v>
      </c>
      <c r="I443">
        <v>1</v>
      </c>
      <c r="J443">
        <v>1</v>
      </c>
      <c r="K443">
        <v>1</v>
      </c>
      <c r="L443">
        <v>1</v>
      </c>
      <c r="M443">
        <v>1</v>
      </c>
      <c r="N443">
        <v>1</v>
      </c>
      <c r="O443">
        <v>1</v>
      </c>
      <c r="P443">
        <v>1</v>
      </c>
      <c r="Q443">
        <v>1</v>
      </c>
      <c r="R443">
        <v>1</v>
      </c>
      <c r="S443">
        <v>1</v>
      </c>
      <c r="T443">
        <f t="shared" si="20"/>
        <v>12</v>
      </c>
      <c r="U443">
        <v>1</v>
      </c>
    </row>
    <row r="444" spans="1:21" x14ac:dyDescent="0.3">
      <c r="A444" t="str">
        <f t="shared" si="18"/>
        <v>CroydonReablement &amp; Rehabilitation in a bedded setting (pathway 2)4</v>
      </c>
      <c r="B444">
        <f>IF(C444="","",COUNTIF($C$2:C444,C444))</f>
        <v>4</v>
      </c>
      <c r="C444" t="str">
        <f t="shared" si="19"/>
        <v>CroydonRehabilitation in a bedded setting (pathway 2)</v>
      </c>
      <c r="D444" t="str">
        <f>VLOOKUP(G444,PathwayLookup!A:B,2,0)</f>
        <v>Reablement &amp; Rehabilitation in a bedded setting (pathway 2)</v>
      </c>
      <c r="E444" t="s">
        <v>123</v>
      </c>
      <c r="F444" t="s">
        <v>600</v>
      </c>
      <c r="G444" t="s">
        <v>724</v>
      </c>
      <c r="H444">
        <v>1</v>
      </c>
      <c r="I444">
        <v>1</v>
      </c>
      <c r="J444">
        <v>1</v>
      </c>
      <c r="K444">
        <v>1</v>
      </c>
      <c r="L444">
        <v>1</v>
      </c>
      <c r="M444">
        <v>1</v>
      </c>
      <c r="N444">
        <v>1</v>
      </c>
      <c r="O444">
        <v>1</v>
      </c>
      <c r="P444">
        <v>1</v>
      </c>
      <c r="Q444">
        <v>1</v>
      </c>
      <c r="R444">
        <v>1</v>
      </c>
      <c r="S444">
        <v>1</v>
      </c>
      <c r="T444">
        <f t="shared" si="20"/>
        <v>12</v>
      </c>
      <c r="U444">
        <v>1</v>
      </c>
    </row>
    <row r="445" spans="1:21" x14ac:dyDescent="0.3">
      <c r="A445" t="str">
        <f t="shared" si="18"/>
        <v>CroydonReablement &amp; Rehabilitation in a bedded setting (pathway 2)5</v>
      </c>
      <c r="B445">
        <f>IF(C445="","",COUNTIF($C$2:C445,C445))</f>
        <v>5</v>
      </c>
      <c r="C445" t="str">
        <f t="shared" si="19"/>
        <v>CroydonRehabilitation in a bedded setting (pathway 2)</v>
      </c>
      <c r="D445" t="str">
        <f>VLOOKUP(G445,PathwayLookup!A:B,2,0)</f>
        <v>Reablement &amp; Rehabilitation in a bedded setting (pathway 2)</v>
      </c>
      <c r="E445" t="s">
        <v>123</v>
      </c>
      <c r="F445" t="s">
        <v>651</v>
      </c>
      <c r="G445" t="s">
        <v>724</v>
      </c>
      <c r="H445">
        <v>2</v>
      </c>
      <c r="I445">
        <v>2</v>
      </c>
      <c r="J445">
        <v>2</v>
      </c>
      <c r="K445">
        <v>2</v>
      </c>
      <c r="L445">
        <v>2</v>
      </c>
      <c r="M445">
        <v>2</v>
      </c>
      <c r="N445">
        <v>2</v>
      </c>
      <c r="O445">
        <v>2</v>
      </c>
      <c r="P445">
        <v>2</v>
      </c>
      <c r="Q445">
        <v>2</v>
      </c>
      <c r="R445">
        <v>2</v>
      </c>
      <c r="S445">
        <v>2</v>
      </c>
      <c r="T445">
        <f t="shared" si="20"/>
        <v>24</v>
      </c>
      <c r="U445">
        <v>1</v>
      </c>
    </row>
    <row r="446" spans="1:21" x14ac:dyDescent="0.3">
      <c r="A446" t="str">
        <f t="shared" si="18"/>
        <v>CroydonShort-term residential/nursing care for someone likely to require a longer-term care home placement (pathway 3)1</v>
      </c>
      <c r="B446">
        <f>IF(C446="","",COUNTIF($C$2:C446,C446))</f>
        <v>1</v>
      </c>
      <c r="C446" t="str">
        <f t="shared" si="19"/>
        <v>CroydonShort-term residential/nursing care for someone likely to require a longer-term care home placement (pathway 3)</v>
      </c>
      <c r="D446" t="str">
        <f>VLOOKUP(G446,PathwayLookup!A:B,2,0)</f>
        <v>Short-term residential/nursing care for someone likely to require a longer-term care home placement (pathway 3)</v>
      </c>
      <c r="E446" t="s">
        <v>123</v>
      </c>
      <c r="F446" t="s">
        <v>483</v>
      </c>
      <c r="G446" t="s">
        <v>686</v>
      </c>
      <c r="H446">
        <v>0</v>
      </c>
      <c r="I446">
        <v>0</v>
      </c>
      <c r="J446">
        <v>0</v>
      </c>
      <c r="K446">
        <v>0</v>
      </c>
      <c r="L446">
        <v>0</v>
      </c>
      <c r="M446">
        <v>0</v>
      </c>
      <c r="N446">
        <v>0</v>
      </c>
      <c r="O446">
        <v>0</v>
      </c>
      <c r="P446">
        <v>0</v>
      </c>
      <c r="Q446">
        <v>8</v>
      </c>
      <c r="R446">
        <v>8</v>
      </c>
      <c r="S446">
        <v>8</v>
      </c>
      <c r="T446">
        <f t="shared" si="20"/>
        <v>24</v>
      </c>
      <c r="U446">
        <v>1</v>
      </c>
    </row>
    <row r="447" spans="1:21" x14ac:dyDescent="0.3">
      <c r="A447" t="str">
        <f t="shared" si="18"/>
        <v/>
      </c>
      <c r="B447" t="str">
        <f>IF(C447="","",COUNTIF($C$2:C447,C447))</f>
        <v/>
      </c>
      <c r="C447" t="str">
        <f t="shared" si="19"/>
        <v/>
      </c>
      <c r="D447" t="str">
        <f>VLOOKUP(G447,PathwayLookup!A:B,2,0)</f>
        <v>Short-term residential/nursing care for someone likely to require a longer-term care home placement (pathway 3)</v>
      </c>
      <c r="E447" t="s">
        <v>123</v>
      </c>
      <c r="F447" t="s">
        <v>500</v>
      </c>
      <c r="G447" t="s">
        <v>686</v>
      </c>
      <c r="H447">
        <v>0</v>
      </c>
      <c r="I447">
        <v>0</v>
      </c>
      <c r="J447">
        <v>0</v>
      </c>
      <c r="K447">
        <v>0</v>
      </c>
      <c r="L447">
        <v>0</v>
      </c>
      <c r="M447">
        <v>0</v>
      </c>
      <c r="N447">
        <v>0</v>
      </c>
      <c r="O447">
        <v>0</v>
      </c>
      <c r="P447">
        <v>0</v>
      </c>
      <c r="Q447">
        <v>0</v>
      </c>
      <c r="R447">
        <v>0</v>
      </c>
      <c r="S447">
        <v>0</v>
      </c>
      <c r="T447">
        <f t="shared" si="20"/>
        <v>0</v>
      </c>
      <c r="U447">
        <v>1</v>
      </c>
    </row>
    <row r="448" spans="1:21" x14ac:dyDescent="0.3">
      <c r="A448" t="str">
        <f t="shared" si="18"/>
        <v/>
      </c>
      <c r="B448" t="str">
        <f>IF(C448="","",COUNTIF($C$2:C448,C448))</f>
        <v/>
      </c>
      <c r="C448" t="str">
        <f t="shared" si="19"/>
        <v/>
      </c>
      <c r="D448" t="str">
        <f>VLOOKUP(G448,PathwayLookup!A:B,2,0)</f>
        <v>Short-term residential/nursing care for someone likely to require a longer-term care home placement (pathway 3)</v>
      </c>
      <c r="E448" t="s">
        <v>123</v>
      </c>
      <c r="F448" t="s">
        <v>526</v>
      </c>
      <c r="G448" t="s">
        <v>686</v>
      </c>
      <c r="H448">
        <v>0</v>
      </c>
      <c r="I448">
        <v>0</v>
      </c>
      <c r="J448">
        <v>0</v>
      </c>
      <c r="K448">
        <v>0</v>
      </c>
      <c r="L448">
        <v>0</v>
      </c>
      <c r="M448">
        <v>0</v>
      </c>
      <c r="N448">
        <v>0</v>
      </c>
      <c r="O448">
        <v>0</v>
      </c>
      <c r="P448">
        <v>0</v>
      </c>
      <c r="Q448">
        <v>0</v>
      </c>
      <c r="R448">
        <v>0</v>
      </c>
      <c r="S448">
        <v>0</v>
      </c>
      <c r="T448">
        <f t="shared" si="20"/>
        <v>0</v>
      </c>
      <c r="U448">
        <v>1</v>
      </c>
    </row>
    <row r="449" spans="1:21" x14ac:dyDescent="0.3">
      <c r="A449" t="str">
        <f t="shared" si="18"/>
        <v/>
      </c>
      <c r="B449" t="str">
        <f>IF(C449="","",COUNTIF($C$2:C449,C449))</f>
        <v/>
      </c>
      <c r="C449" t="str">
        <f t="shared" si="19"/>
        <v/>
      </c>
      <c r="D449" t="str">
        <f>VLOOKUP(G449,PathwayLookup!A:B,2,0)</f>
        <v>Short-term residential/nursing care for someone likely to require a longer-term care home placement (pathway 3)</v>
      </c>
      <c r="E449" t="s">
        <v>123</v>
      </c>
      <c r="F449" t="s">
        <v>600</v>
      </c>
      <c r="G449" t="s">
        <v>686</v>
      </c>
      <c r="H449">
        <v>0</v>
      </c>
      <c r="I449">
        <v>0</v>
      </c>
      <c r="J449">
        <v>0</v>
      </c>
      <c r="K449">
        <v>0</v>
      </c>
      <c r="L449">
        <v>0</v>
      </c>
      <c r="M449">
        <v>0</v>
      </c>
      <c r="N449">
        <v>0</v>
      </c>
      <c r="O449">
        <v>0</v>
      </c>
      <c r="P449">
        <v>0</v>
      </c>
      <c r="Q449">
        <v>0</v>
      </c>
      <c r="R449">
        <v>0</v>
      </c>
      <c r="S449">
        <v>0</v>
      </c>
      <c r="T449">
        <f t="shared" si="20"/>
        <v>0</v>
      </c>
      <c r="U449">
        <v>1</v>
      </c>
    </row>
    <row r="450" spans="1:21" x14ac:dyDescent="0.3">
      <c r="A450" t="str">
        <f t="shared" ref="A450:A513" si="21">IF(B450="","",E450&amp;D450&amp;B450)</f>
        <v/>
      </c>
      <c r="B450" t="str">
        <f>IF(C450="","",COUNTIF($C$2:C450,C450))</f>
        <v/>
      </c>
      <c r="C450" t="str">
        <f t="shared" ref="C450:C513" si="22">IF(T450=0,"",E450&amp;G450)</f>
        <v/>
      </c>
      <c r="D450" t="str">
        <f>VLOOKUP(G450,PathwayLookup!A:B,2,0)</f>
        <v>Short-term residential/nursing care for someone likely to require a longer-term care home placement (pathway 3)</v>
      </c>
      <c r="E450" t="s">
        <v>123</v>
      </c>
      <c r="F450" t="s">
        <v>651</v>
      </c>
      <c r="G450" t="s">
        <v>686</v>
      </c>
      <c r="H450">
        <v>0</v>
      </c>
      <c r="I450">
        <v>0</v>
      </c>
      <c r="J450">
        <v>0</v>
      </c>
      <c r="K450">
        <v>0</v>
      </c>
      <c r="L450">
        <v>0</v>
      </c>
      <c r="M450">
        <v>0</v>
      </c>
      <c r="N450">
        <v>0</v>
      </c>
      <c r="O450">
        <v>0</v>
      </c>
      <c r="P450">
        <v>0</v>
      </c>
      <c r="Q450">
        <v>0</v>
      </c>
      <c r="R450">
        <v>0</v>
      </c>
      <c r="S450">
        <v>0</v>
      </c>
      <c r="T450">
        <f t="shared" ref="T450:T513" si="23">SUM(H450:S450)</f>
        <v>0</v>
      </c>
      <c r="U450">
        <v>1</v>
      </c>
    </row>
    <row r="451" spans="1:21" x14ac:dyDescent="0.3">
      <c r="A451" t="str">
        <f t="shared" si="21"/>
        <v>CumberlandSocial support (including VCS) (pathway 0)1</v>
      </c>
      <c r="B451">
        <f>IF(C451="","",COUNTIF($C$2:C451,C451))</f>
        <v>1</v>
      </c>
      <c r="C451" t="str">
        <f t="shared" si="22"/>
        <v>CumberlandSocial support (including VCS) (pathway 0)</v>
      </c>
      <c r="D451" t="str">
        <f>VLOOKUP(G451,PathwayLookup!A:B,2,0)</f>
        <v>Social support (including VCS) (pathway 0)</v>
      </c>
      <c r="E451" t="s">
        <v>125</v>
      </c>
      <c r="F451" t="s">
        <v>555</v>
      </c>
      <c r="G451" t="s">
        <v>682</v>
      </c>
      <c r="H451">
        <v>178</v>
      </c>
      <c r="I451">
        <v>159</v>
      </c>
      <c r="J451">
        <v>146</v>
      </c>
      <c r="K451">
        <v>152</v>
      </c>
      <c r="L451">
        <v>133</v>
      </c>
      <c r="M451">
        <v>138</v>
      </c>
      <c r="N451">
        <v>146</v>
      </c>
      <c r="O451">
        <v>150</v>
      </c>
      <c r="P451">
        <v>152</v>
      </c>
      <c r="Q451">
        <v>148</v>
      </c>
      <c r="R451">
        <v>140</v>
      </c>
      <c r="S451">
        <v>142</v>
      </c>
      <c r="T451">
        <f t="shared" si="23"/>
        <v>1784</v>
      </c>
      <c r="U451">
        <v>1</v>
      </c>
    </row>
    <row r="452" spans="1:21" x14ac:dyDescent="0.3">
      <c r="A452" t="str">
        <f t="shared" si="21"/>
        <v>CumberlandSocial support (including VCS) (pathway 0)2</v>
      </c>
      <c r="B452">
        <f>IF(C452="","",COUNTIF($C$2:C452,C452))</f>
        <v>2</v>
      </c>
      <c r="C452" t="str">
        <f t="shared" si="22"/>
        <v>CumberlandSocial support (including VCS) (pathway 0)</v>
      </c>
      <c r="D452" t="str">
        <f>VLOOKUP(G452,PathwayLookup!A:B,2,0)</f>
        <v>Social support (including VCS) (pathway 0)</v>
      </c>
      <c r="E452" t="s">
        <v>125</v>
      </c>
      <c r="F452" t="s">
        <v>634</v>
      </c>
      <c r="G452" t="s">
        <v>682</v>
      </c>
      <c r="H452">
        <v>10</v>
      </c>
      <c r="I452">
        <v>12</v>
      </c>
      <c r="J452">
        <v>10</v>
      </c>
      <c r="K452">
        <v>13</v>
      </c>
      <c r="L452">
        <v>12</v>
      </c>
      <c r="M452">
        <v>10</v>
      </c>
      <c r="N452">
        <v>10</v>
      </c>
      <c r="O452">
        <v>11</v>
      </c>
      <c r="P452">
        <v>11</v>
      </c>
      <c r="Q452">
        <v>10</v>
      </c>
      <c r="R452">
        <v>10</v>
      </c>
      <c r="S452">
        <v>12</v>
      </c>
      <c r="T452">
        <f t="shared" si="23"/>
        <v>131</v>
      </c>
      <c r="U452">
        <v>1</v>
      </c>
    </row>
    <row r="453" spans="1:21" x14ac:dyDescent="0.3">
      <c r="A453" t="str">
        <f t="shared" si="21"/>
        <v>CumberlandReablement &amp; Rehabilitation at home  (pathway 1)1</v>
      </c>
      <c r="B453">
        <f>IF(C453="","",COUNTIF($C$2:C453,C453))</f>
        <v>1</v>
      </c>
      <c r="C453" t="str">
        <f t="shared" si="22"/>
        <v>CumberlandReablement at home  (pathway 1)</v>
      </c>
      <c r="D453" t="str">
        <f>VLOOKUP(G453,PathwayLookup!A:B,2,0)</f>
        <v>Reablement &amp; Rehabilitation at home  (pathway 1)</v>
      </c>
      <c r="E453" t="s">
        <v>125</v>
      </c>
      <c r="F453" t="s">
        <v>555</v>
      </c>
      <c r="G453" t="s">
        <v>718</v>
      </c>
      <c r="H453">
        <v>139</v>
      </c>
      <c r="I453">
        <v>124</v>
      </c>
      <c r="J453">
        <v>113</v>
      </c>
      <c r="K453">
        <v>118</v>
      </c>
      <c r="L453">
        <v>104</v>
      </c>
      <c r="M453">
        <v>107</v>
      </c>
      <c r="N453">
        <v>113</v>
      </c>
      <c r="O453">
        <v>116</v>
      </c>
      <c r="P453">
        <v>118</v>
      </c>
      <c r="Q453">
        <v>115</v>
      </c>
      <c r="R453">
        <v>109</v>
      </c>
      <c r="S453">
        <v>110</v>
      </c>
      <c r="T453">
        <f t="shared" si="23"/>
        <v>1386</v>
      </c>
      <c r="U453">
        <v>1</v>
      </c>
    </row>
    <row r="454" spans="1:21" x14ac:dyDescent="0.3">
      <c r="A454" t="str">
        <f t="shared" si="21"/>
        <v>CumberlandReablement &amp; Rehabilitation at home  (pathway 1)2</v>
      </c>
      <c r="B454">
        <f>IF(C454="","",COUNTIF($C$2:C454,C454))</f>
        <v>2</v>
      </c>
      <c r="C454" t="str">
        <f t="shared" si="22"/>
        <v>CumberlandReablement at home  (pathway 1)</v>
      </c>
      <c r="D454" t="str">
        <f>VLOOKUP(G454,PathwayLookup!A:B,2,0)</f>
        <v>Reablement &amp; Rehabilitation at home  (pathway 1)</v>
      </c>
      <c r="E454" t="s">
        <v>125</v>
      </c>
      <c r="F454" t="s">
        <v>634</v>
      </c>
      <c r="G454" t="s">
        <v>718</v>
      </c>
      <c r="H454">
        <v>2</v>
      </c>
      <c r="I454">
        <v>2</v>
      </c>
      <c r="J454">
        <v>2</v>
      </c>
      <c r="K454">
        <v>2</v>
      </c>
      <c r="L454">
        <v>2</v>
      </c>
      <c r="M454">
        <v>2</v>
      </c>
      <c r="N454">
        <v>2</v>
      </c>
      <c r="O454">
        <v>2</v>
      </c>
      <c r="P454">
        <v>2</v>
      </c>
      <c r="Q454">
        <v>2</v>
      </c>
      <c r="R454">
        <v>2</v>
      </c>
      <c r="S454">
        <v>2</v>
      </c>
      <c r="T454">
        <f t="shared" si="23"/>
        <v>24</v>
      </c>
      <c r="U454">
        <v>1</v>
      </c>
    </row>
    <row r="455" spans="1:21" x14ac:dyDescent="0.3">
      <c r="A455" t="str">
        <f t="shared" si="21"/>
        <v>CumberlandReablement &amp; Rehabilitation at home  (pathway 1)1</v>
      </c>
      <c r="B455">
        <f>IF(C455="","",COUNTIF($C$2:C455,C455))</f>
        <v>1</v>
      </c>
      <c r="C455" t="str">
        <f t="shared" si="22"/>
        <v>CumberlandRehabilitation at home (pathway 1)</v>
      </c>
      <c r="D455" t="str">
        <f>VLOOKUP(G455,PathwayLookup!A:B,2,0)</f>
        <v>Reablement &amp; Rehabilitation at home  (pathway 1)</v>
      </c>
      <c r="E455" t="s">
        <v>125</v>
      </c>
      <c r="F455" t="s">
        <v>555</v>
      </c>
      <c r="G455" t="s">
        <v>719</v>
      </c>
      <c r="H455">
        <v>119</v>
      </c>
      <c r="I455">
        <v>106</v>
      </c>
      <c r="J455">
        <v>97</v>
      </c>
      <c r="K455">
        <v>101</v>
      </c>
      <c r="L455">
        <v>89</v>
      </c>
      <c r="M455">
        <v>92</v>
      </c>
      <c r="N455">
        <v>97</v>
      </c>
      <c r="O455">
        <v>100</v>
      </c>
      <c r="P455">
        <v>101</v>
      </c>
      <c r="Q455">
        <v>99</v>
      </c>
      <c r="R455">
        <v>93</v>
      </c>
      <c r="S455">
        <v>95</v>
      </c>
      <c r="T455">
        <f t="shared" si="23"/>
        <v>1189</v>
      </c>
      <c r="U455">
        <v>1</v>
      </c>
    </row>
    <row r="456" spans="1:21" x14ac:dyDescent="0.3">
      <c r="A456" t="str">
        <f t="shared" si="21"/>
        <v>CumberlandReablement &amp; Rehabilitation at home  (pathway 1)2</v>
      </c>
      <c r="B456">
        <f>IF(C456="","",COUNTIF($C$2:C456,C456))</f>
        <v>2</v>
      </c>
      <c r="C456" t="str">
        <f t="shared" si="22"/>
        <v>CumberlandRehabilitation at home (pathway 1)</v>
      </c>
      <c r="D456" t="str">
        <f>VLOOKUP(G456,PathwayLookup!A:B,2,0)</f>
        <v>Reablement &amp; Rehabilitation at home  (pathway 1)</v>
      </c>
      <c r="E456" t="s">
        <v>125</v>
      </c>
      <c r="F456" t="s">
        <v>634</v>
      </c>
      <c r="G456" t="s">
        <v>719</v>
      </c>
      <c r="H456">
        <v>5</v>
      </c>
      <c r="I456">
        <v>7</v>
      </c>
      <c r="J456">
        <v>5</v>
      </c>
      <c r="K456">
        <v>5</v>
      </c>
      <c r="L456">
        <v>6</v>
      </c>
      <c r="M456">
        <v>6</v>
      </c>
      <c r="N456">
        <v>7</v>
      </c>
      <c r="O456">
        <v>7</v>
      </c>
      <c r="P456">
        <v>5</v>
      </c>
      <c r="Q456">
        <v>6</v>
      </c>
      <c r="R456">
        <v>8</v>
      </c>
      <c r="S456">
        <v>6</v>
      </c>
      <c r="T456">
        <f t="shared" si="23"/>
        <v>73</v>
      </c>
      <c r="U456">
        <v>1</v>
      </c>
    </row>
    <row r="457" spans="1:21" x14ac:dyDescent="0.3">
      <c r="A457" t="str">
        <f t="shared" si="21"/>
        <v/>
      </c>
      <c r="B457" t="str">
        <f>IF(C457="","",COUNTIF($C$2:C457,C457))</f>
        <v/>
      </c>
      <c r="C457" t="str">
        <f t="shared" si="22"/>
        <v/>
      </c>
      <c r="D457" t="str">
        <f>VLOOKUP(G457,PathwayLookup!A:B,2,0)</f>
        <v>Short term domiciliary care (pathway 1)</v>
      </c>
      <c r="E457" t="s">
        <v>125</v>
      </c>
      <c r="F457" t="s">
        <v>555</v>
      </c>
      <c r="G457" t="s">
        <v>684</v>
      </c>
      <c r="H457">
        <v>0</v>
      </c>
      <c r="I457">
        <v>0</v>
      </c>
      <c r="J457">
        <v>0</v>
      </c>
      <c r="K457">
        <v>0</v>
      </c>
      <c r="L457">
        <v>0</v>
      </c>
      <c r="M457">
        <v>0</v>
      </c>
      <c r="N457">
        <v>0</v>
      </c>
      <c r="O457">
        <v>0</v>
      </c>
      <c r="P457">
        <v>0</v>
      </c>
      <c r="Q457">
        <v>0</v>
      </c>
      <c r="R457">
        <v>0</v>
      </c>
      <c r="S457">
        <v>0</v>
      </c>
      <c r="T457">
        <f t="shared" si="23"/>
        <v>0</v>
      </c>
      <c r="U457">
        <v>1</v>
      </c>
    </row>
    <row r="458" spans="1:21" x14ac:dyDescent="0.3">
      <c r="A458" t="str">
        <f t="shared" si="21"/>
        <v>CumberlandShort term domiciliary care (pathway 1)1</v>
      </c>
      <c r="B458">
        <f>IF(C458="","",COUNTIF($C$2:C458,C458))</f>
        <v>1</v>
      </c>
      <c r="C458" t="str">
        <f t="shared" si="22"/>
        <v>CumberlandShort term domiciliary care (pathway 1)</v>
      </c>
      <c r="D458" t="str">
        <f>VLOOKUP(G458,PathwayLookup!A:B,2,0)</f>
        <v>Short term domiciliary care (pathway 1)</v>
      </c>
      <c r="E458" t="s">
        <v>125</v>
      </c>
      <c r="F458" t="s">
        <v>634</v>
      </c>
      <c r="G458" t="s">
        <v>684</v>
      </c>
      <c r="H458">
        <v>0</v>
      </c>
      <c r="I458">
        <v>1</v>
      </c>
      <c r="J458">
        <v>1</v>
      </c>
      <c r="K458">
        <v>1</v>
      </c>
      <c r="L458">
        <v>1</v>
      </c>
      <c r="M458">
        <v>1</v>
      </c>
      <c r="N458">
        <v>1</v>
      </c>
      <c r="O458">
        <v>1</v>
      </c>
      <c r="P458">
        <v>1</v>
      </c>
      <c r="Q458">
        <v>1</v>
      </c>
      <c r="R458">
        <v>1</v>
      </c>
      <c r="S458">
        <v>1</v>
      </c>
      <c r="T458">
        <f t="shared" si="23"/>
        <v>11</v>
      </c>
      <c r="U458">
        <v>1</v>
      </c>
    </row>
    <row r="459" spans="1:21" x14ac:dyDescent="0.3">
      <c r="A459" t="str">
        <f t="shared" si="21"/>
        <v/>
      </c>
      <c r="B459" t="str">
        <f>IF(C459="","",COUNTIF($C$2:C459,C459))</f>
        <v/>
      </c>
      <c r="C459" t="str">
        <f t="shared" si="22"/>
        <v/>
      </c>
      <c r="D459" t="str">
        <f>VLOOKUP(G459,PathwayLookup!A:B,2,0)</f>
        <v>Reablement &amp; Rehabilitation in a bedded setting (pathway 2)</v>
      </c>
      <c r="E459" t="s">
        <v>125</v>
      </c>
      <c r="F459" t="s">
        <v>555</v>
      </c>
      <c r="G459" t="s">
        <v>722</v>
      </c>
      <c r="H459">
        <v>0</v>
      </c>
      <c r="I459">
        <v>0</v>
      </c>
      <c r="J459">
        <v>0</v>
      </c>
      <c r="K459">
        <v>0</v>
      </c>
      <c r="L459">
        <v>0</v>
      </c>
      <c r="M459">
        <v>0</v>
      </c>
      <c r="N459">
        <v>0</v>
      </c>
      <c r="O459">
        <v>0</v>
      </c>
      <c r="P459">
        <v>0</v>
      </c>
      <c r="Q459">
        <v>0</v>
      </c>
      <c r="R459">
        <v>0</v>
      </c>
      <c r="S459">
        <v>0</v>
      </c>
      <c r="T459">
        <f t="shared" si="23"/>
        <v>0</v>
      </c>
      <c r="U459">
        <v>1</v>
      </c>
    </row>
    <row r="460" spans="1:21" x14ac:dyDescent="0.3">
      <c r="A460" t="str">
        <f t="shared" si="21"/>
        <v/>
      </c>
      <c r="B460" t="str">
        <f>IF(C460="","",COUNTIF($C$2:C460,C460))</f>
        <v/>
      </c>
      <c r="C460" t="str">
        <f t="shared" si="22"/>
        <v/>
      </c>
      <c r="D460" t="str">
        <f>VLOOKUP(G460,PathwayLookup!A:B,2,0)</f>
        <v>Reablement &amp; Rehabilitation in a bedded setting (pathway 2)</v>
      </c>
      <c r="E460" t="s">
        <v>125</v>
      </c>
      <c r="F460" t="s">
        <v>634</v>
      </c>
      <c r="G460" t="s">
        <v>722</v>
      </c>
      <c r="H460">
        <v>0</v>
      </c>
      <c r="I460">
        <v>0</v>
      </c>
      <c r="J460">
        <v>0</v>
      </c>
      <c r="K460">
        <v>0</v>
      </c>
      <c r="L460">
        <v>0</v>
      </c>
      <c r="M460">
        <v>0</v>
      </c>
      <c r="N460">
        <v>0</v>
      </c>
      <c r="O460">
        <v>0</v>
      </c>
      <c r="P460">
        <v>0</v>
      </c>
      <c r="Q460">
        <v>0</v>
      </c>
      <c r="R460">
        <v>0</v>
      </c>
      <c r="S460">
        <v>0</v>
      </c>
      <c r="T460">
        <f t="shared" si="23"/>
        <v>0</v>
      </c>
      <c r="U460">
        <v>1</v>
      </c>
    </row>
    <row r="461" spans="1:21" x14ac:dyDescent="0.3">
      <c r="A461" t="str">
        <f t="shared" si="21"/>
        <v>CumberlandReablement &amp; Rehabilitation in a bedded setting (pathway 2)1</v>
      </c>
      <c r="B461">
        <f>IF(C461="","",COUNTIF($C$2:C461,C461))</f>
        <v>1</v>
      </c>
      <c r="C461" t="str">
        <f t="shared" si="22"/>
        <v>CumberlandRehabilitation in a bedded setting (pathway 2)</v>
      </c>
      <c r="D461" t="str">
        <f>VLOOKUP(G461,PathwayLookup!A:B,2,0)</f>
        <v>Reablement &amp; Rehabilitation in a bedded setting (pathway 2)</v>
      </c>
      <c r="E461" t="s">
        <v>125</v>
      </c>
      <c r="F461" t="s">
        <v>555</v>
      </c>
      <c r="G461" t="s">
        <v>724</v>
      </c>
      <c r="H461">
        <v>36</v>
      </c>
      <c r="I461">
        <v>32</v>
      </c>
      <c r="J461">
        <v>29</v>
      </c>
      <c r="K461">
        <v>30</v>
      </c>
      <c r="L461">
        <v>27</v>
      </c>
      <c r="M461">
        <v>28</v>
      </c>
      <c r="N461">
        <v>29</v>
      </c>
      <c r="O461">
        <v>30</v>
      </c>
      <c r="P461">
        <v>30</v>
      </c>
      <c r="Q461">
        <v>30</v>
      </c>
      <c r="R461">
        <v>28</v>
      </c>
      <c r="S461">
        <v>28</v>
      </c>
      <c r="T461">
        <f t="shared" si="23"/>
        <v>357</v>
      </c>
      <c r="U461">
        <v>1</v>
      </c>
    </row>
    <row r="462" spans="1:21" x14ac:dyDescent="0.3">
      <c r="A462" t="str">
        <f t="shared" si="21"/>
        <v/>
      </c>
      <c r="B462" t="str">
        <f>IF(C462="","",COUNTIF($C$2:C462,C462))</f>
        <v/>
      </c>
      <c r="C462" t="str">
        <f t="shared" si="22"/>
        <v/>
      </c>
      <c r="D462" t="str">
        <f>VLOOKUP(G462,PathwayLookup!A:B,2,0)</f>
        <v>Reablement &amp; Rehabilitation in a bedded setting (pathway 2)</v>
      </c>
      <c r="E462" t="s">
        <v>125</v>
      </c>
      <c r="F462" t="s">
        <v>634</v>
      </c>
      <c r="G462" t="s">
        <v>724</v>
      </c>
      <c r="H462">
        <v>0</v>
      </c>
      <c r="I462">
        <v>0</v>
      </c>
      <c r="J462">
        <v>0</v>
      </c>
      <c r="K462">
        <v>0</v>
      </c>
      <c r="L462">
        <v>0</v>
      </c>
      <c r="M462">
        <v>0</v>
      </c>
      <c r="N462">
        <v>0</v>
      </c>
      <c r="O462">
        <v>0</v>
      </c>
      <c r="P462">
        <v>0</v>
      </c>
      <c r="Q462">
        <v>0</v>
      </c>
      <c r="R462">
        <v>0</v>
      </c>
      <c r="S462">
        <v>0</v>
      </c>
      <c r="T462">
        <f t="shared" si="23"/>
        <v>0</v>
      </c>
      <c r="U462">
        <v>1</v>
      </c>
    </row>
    <row r="463" spans="1:21" x14ac:dyDescent="0.3">
      <c r="A463" t="str">
        <f t="shared" si="21"/>
        <v>CumberlandShort-term residential/nursing care for someone likely to require a longer-term care home placement (pathway 3)1</v>
      </c>
      <c r="B463">
        <f>IF(C463="","",COUNTIF($C$2:C463,C463))</f>
        <v>1</v>
      </c>
      <c r="C463" t="str">
        <f t="shared" si="22"/>
        <v>CumberlandShort-term residential/nursing care for someone likely to require a longer-term care home placement (pathway 3)</v>
      </c>
      <c r="D463" t="str">
        <f>VLOOKUP(G463,PathwayLookup!A:B,2,0)</f>
        <v>Short-term residential/nursing care for someone likely to require a longer-term care home placement (pathway 3)</v>
      </c>
      <c r="E463" t="s">
        <v>125</v>
      </c>
      <c r="F463" t="s">
        <v>555</v>
      </c>
      <c r="G463" t="s">
        <v>686</v>
      </c>
      <c r="H463">
        <v>111</v>
      </c>
      <c r="I463">
        <v>99</v>
      </c>
      <c r="J463">
        <v>91</v>
      </c>
      <c r="K463">
        <v>95</v>
      </c>
      <c r="L463">
        <v>83</v>
      </c>
      <c r="M463">
        <v>86</v>
      </c>
      <c r="N463">
        <v>91</v>
      </c>
      <c r="O463">
        <v>93</v>
      </c>
      <c r="P463">
        <v>95</v>
      </c>
      <c r="Q463">
        <v>92</v>
      </c>
      <c r="R463">
        <v>87</v>
      </c>
      <c r="S463">
        <v>88</v>
      </c>
      <c r="T463">
        <f t="shared" si="23"/>
        <v>1111</v>
      </c>
      <c r="U463">
        <v>1</v>
      </c>
    </row>
    <row r="464" spans="1:21" x14ac:dyDescent="0.3">
      <c r="A464" t="str">
        <f t="shared" si="21"/>
        <v>CumberlandShort-term residential/nursing care for someone likely to require a longer-term care home placement (pathway 3)2</v>
      </c>
      <c r="B464">
        <f>IF(C464="","",COUNTIF($C$2:C464,C464))</f>
        <v>2</v>
      </c>
      <c r="C464" t="str">
        <f t="shared" si="22"/>
        <v>CumberlandShort-term residential/nursing care for someone likely to require a longer-term care home placement (pathway 3)</v>
      </c>
      <c r="D464" t="str">
        <f>VLOOKUP(G464,PathwayLookup!A:B,2,0)</f>
        <v>Short-term residential/nursing care for someone likely to require a longer-term care home placement (pathway 3)</v>
      </c>
      <c r="E464" t="s">
        <v>125</v>
      </c>
      <c r="F464" t="s">
        <v>634</v>
      </c>
      <c r="G464" t="s">
        <v>686</v>
      </c>
      <c r="H464">
        <v>0</v>
      </c>
      <c r="I464">
        <v>1</v>
      </c>
      <c r="J464">
        <v>0</v>
      </c>
      <c r="K464">
        <v>0</v>
      </c>
      <c r="L464">
        <v>1</v>
      </c>
      <c r="M464">
        <v>1</v>
      </c>
      <c r="N464">
        <v>1</v>
      </c>
      <c r="O464">
        <v>0</v>
      </c>
      <c r="P464">
        <v>0</v>
      </c>
      <c r="Q464">
        <v>1</v>
      </c>
      <c r="R464">
        <v>1</v>
      </c>
      <c r="S464">
        <v>0</v>
      </c>
      <c r="T464">
        <f t="shared" si="23"/>
        <v>6</v>
      </c>
      <c r="U464">
        <v>1</v>
      </c>
    </row>
    <row r="465" spans="1:21" x14ac:dyDescent="0.3">
      <c r="A465" t="str">
        <f t="shared" si="21"/>
        <v>DarlingtonSocial support (including VCS) (pathway 0)1</v>
      </c>
      <c r="B465">
        <f>IF(C465="","",COUNTIF($C$2:C465,C465))</f>
        <v>1</v>
      </c>
      <c r="C465" t="str">
        <f t="shared" si="22"/>
        <v>DarlingtonSocial support (including VCS) (pathway 0)</v>
      </c>
      <c r="D465" t="str">
        <f>VLOOKUP(G465,PathwayLookup!A:B,2,0)</f>
        <v>Social support (including VCS) (pathway 0)</v>
      </c>
      <c r="E465" t="s">
        <v>127</v>
      </c>
      <c r="F465" t="s">
        <v>481</v>
      </c>
      <c r="G465" t="s">
        <v>682</v>
      </c>
      <c r="H465">
        <v>532</v>
      </c>
      <c r="I465">
        <v>577</v>
      </c>
      <c r="J465">
        <v>622</v>
      </c>
      <c r="K465">
        <v>613</v>
      </c>
      <c r="L465">
        <v>621</v>
      </c>
      <c r="M465">
        <v>610</v>
      </c>
      <c r="N465">
        <v>618</v>
      </c>
      <c r="O465">
        <v>640</v>
      </c>
      <c r="P465">
        <v>562</v>
      </c>
      <c r="Q465">
        <v>630</v>
      </c>
      <c r="R465">
        <v>575</v>
      </c>
      <c r="S465">
        <v>575</v>
      </c>
      <c r="T465">
        <f t="shared" si="23"/>
        <v>7175</v>
      </c>
      <c r="U465">
        <v>1</v>
      </c>
    </row>
    <row r="466" spans="1:21" x14ac:dyDescent="0.3">
      <c r="A466" t="str">
        <f t="shared" si="21"/>
        <v>DarlingtonSocial support (including VCS) (pathway 0)2</v>
      </c>
      <c r="B466">
        <f>IF(C466="","",COUNTIF($C$2:C466,C466))</f>
        <v>2</v>
      </c>
      <c r="C466" t="str">
        <f t="shared" si="22"/>
        <v>DarlingtonSocial support (including VCS) (pathway 0)</v>
      </c>
      <c r="D466" t="str">
        <f>VLOOKUP(G466,PathwayLookup!A:B,2,0)</f>
        <v>Social support (including VCS) (pathway 0)</v>
      </c>
      <c r="E466" t="s">
        <v>127</v>
      </c>
      <c r="F466" t="s">
        <v>651</v>
      </c>
      <c r="G466" t="s">
        <v>682</v>
      </c>
      <c r="H466">
        <v>69</v>
      </c>
      <c r="I466">
        <v>85</v>
      </c>
      <c r="J466">
        <v>84</v>
      </c>
      <c r="K466">
        <v>83</v>
      </c>
      <c r="L466">
        <v>83</v>
      </c>
      <c r="M466">
        <v>82</v>
      </c>
      <c r="N466">
        <v>84</v>
      </c>
      <c r="O466">
        <v>86</v>
      </c>
      <c r="P466">
        <v>86</v>
      </c>
      <c r="Q466">
        <v>88</v>
      </c>
      <c r="R466">
        <v>82</v>
      </c>
      <c r="S466">
        <v>86</v>
      </c>
      <c r="T466">
        <f t="shared" si="23"/>
        <v>998</v>
      </c>
      <c r="U466">
        <v>1</v>
      </c>
    </row>
    <row r="467" spans="1:21" x14ac:dyDescent="0.3">
      <c r="A467" t="str">
        <f t="shared" si="21"/>
        <v>DarlingtonReablement &amp; Rehabilitation at home  (pathway 1)1</v>
      </c>
      <c r="B467">
        <f>IF(C467="","",COUNTIF($C$2:C467,C467))</f>
        <v>1</v>
      </c>
      <c r="C467" t="str">
        <f t="shared" si="22"/>
        <v>DarlingtonReablement at home  (pathway 1)</v>
      </c>
      <c r="D467" t="str">
        <f>VLOOKUP(G467,PathwayLookup!A:B,2,0)</f>
        <v>Reablement &amp; Rehabilitation at home  (pathway 1)</v>
      </c>
      <c r="E467" t="s">
        <v>127</v>
      </c>
      <c r="F467" t="s">
        <v>481</v>
      </c>
      <c r="G467" t="s">
        <v>718</v>
      </c>
      <c r="H467">
        <v>38</v>
      </c>
      <c r="I467">
        <v>41</v>
      </c>
      <c r="J467">
        <v>45</v>
      </c>
      <c r="K467">
        <v>44</v>
      </c>
      <c r="L467">
        <v>45</v>
      </c>
      <c r="M467">
        <v>44</v>
      </c>
      <c r="N467">
        <v>44</v>
      </c>
      <c r="O467">
        <v>46</v>
      </c>
      <c r="P467">
        <v>40</v>
      </c>
      <c r="Q467">
        <v>45</v>
      </c>
      <c r="R467">
        <v>41</v>
      </c>
      <c r="S467">
        <v>41</v>
      </c>
      <c r="T467">
        <f t="shared" si="23"/>
        <v>514</v>
      </c>
      <c r="U467">
        <v>1</v>
      </c>
    </row>
    <row r="468" spans="1:21" x14ac:dyDescent="0.3">
      <c r="A468" t="str">
        <f t="shared" si="21"/>
        <v>DarlingtonReablement &amp; Rehabilitation at home  (pathway 1)2</v>
      </c>
      <c r="B468">
        <f>IF(C468="","",COUNTIF($C$2:C468,C468))</f>
        <v>2</v>
      </c>
      <c r="C468" t="str">
        <f t="shared" si="22"/>
        <v>DarlingtonReablement at home  (pathway 1)</v>
      </c>
      <c r="D468" t="str">
        <f>VLOOKUP(G468,PathwayLookup!A:B,2,0)</f>
        <v>Reablement &amp; Rehabilitation at home  (pathway 1)</v>
      </c>
      <c r="E468" t="s">
        <v>127</v>
      </c>
      <c r="F468" t="s">
        <v>651</v>
      </c>
      <c r="G468" t="s">
        <v>718</v>
      </c>
      <c r="H468">
        <v>11</v>
      </c>
      <c r="I468">
        <v>14</v>
      </c>
      <c r="J468">
        <v>14</v>
      </c>
      <c r="K468">
        <v>13</v>
      </c>
      <c r="L468">
        <v>13</v>
      </c>
      <c r="M468">
        <v>13</v>
      </c>
      <c r="N468">
        <v>13</v>
      </c>
      <c r="O468">
        <v>14</v>
      </c>
      <c r="P468">
        <v>14</v>
      </c>
      <c r="Q468">
        <v>14</v>
      </c>
      <c r="R468">
        <v>13</v>
      </c>
      <c r="S468">
        <v>14</v>
      </c>
      <c r="T468">
        <f t="shared" si="23"/>
        <v>160</v>
      </c>
      <c r="U468">
        <v>1</v>
      </c>
    </row>
    <row r="469" spans="1:21" x14ac:dyDescent="0.3">
      <c r="A469" t="str">
        <f t="shared" si="21"/>
        <v/>
      </c>
      <c r="B469" t="str">
        <f>IF(C469="","",COUNTIF($C$2:C469,C469))</f>
        <v/>
      </c>
      <c r="C469" t="str">
        <f t="shared" si="22"/>
        <v/>
      </c>
      <c r="D469" t="str">
        <f>VLOOKUP(G469,PathwayLookup!A:B,2,0)</f>
        <v>Reablement &amp; Rehabilitation at home  (pathway 1)</v>
      </c>
      <c r="E469" t="s">
        <v>127</v>
      </c>
      <c r="F469" t="s">
        <v>481</v>
      </c>
      <c r="G469" t="s">
        <v>719</v>
      </c>
      <c r="H469">
        <v>0</v>
      </c>
      <c r="I469">
        <v>0</v>
      </c>
      <c r="J469">
        <v>0</v>
      </c>
      <c r="K469">
        <v>0</v>
      </c>
      <c r="L469">
        <v>0</v>
      </c>
      <c r="M469">
        <v>0</v>
      </c>
      <c r="N469">
        <v>0</v>
      </c>
      <c r="O469">
        <v>0</v>
      </c>
      <c r="P469">
        <v>0</v>
      </c>
      <c r="Q469">
        <v>0</v>
      </c>
      <c r="R469">
        <v>0</v>
      </c>
      <c r="S469">
        <v>0</v>
      </c>
      <c r="T469">
        <f t="shared" si="23"/>
        <v>0</v>
      </c>
      <c r="U469">
        <v>1</v>
      </c>
    </row>
    <row r="470" spans="1:21" x14ac:dyDescent="0.3">
      <c r="A470" t="str">
        <f t="shared" si="21"/>
        <v/>
      </c>
      <c r="B470" t="str">
        <f>IF(C470="","",COUNTIF($C$2:C470,C470))</f>
        <v/>
      </c>
      <c r="C470" t="str">
        <f t="shared" si="22"/>
        <v/>
      </c>
      <c r="D470" t="str">
        <f>VLOOKUP(G470,PathwayLookup!A:B,2,0)</f>
        <v>Reablement &amp; Rehabilitation at home  (pathway 1)</v>
      </c>
      <c r="E470" t="s">
        <v>127</v>
      </c>
      <c r="F470" t="s">
        <v>651</v>
      </c>
      <c r="G470" t="s">
        <v>719</v>
      </c>
      <c r="H470">
        <v>0</v>
      </c>
      <c r="I470">
        <v>0</v>
      </c>
      <c r="J470">
        <v>0</v>
      </c>
      <c r="K470">
        <v>0</v>
      </c>
      <c r="L470">
        <v>0</v>
      </c>
      <c r="M470">
        <v>0</v>
      </c>
      <c r="N470">
        <v>0</v>
      </c>
      <c r="O470">
        <v>0</v>
      </c>
      <c r="P470">
        <v>0</v>
      </c>
      <c r="Q470">
        <v>0</v>
      </c>
      <c r="R470">
        <v>0</v>
      </c>
      <c r="S470">
        <v>0</v>
      </c>
      <c r="T470">
        <f t="shared" si="23"/>
        <v>0</v>
      </c>
      <c r="U470">
        <v>1</v>
      </c>
    </row>
    <row r="471" spans="1:21" x14ac:dyDescent="0.3">
      <c r="A471" t="str">
        <f t="shared" si="21"/>
        <v/>
      </c>
      <c r="B471" t="str">
        <f>IF(C471="","",COUNTIF($C$2:C471,C471))</f>
        <v/>
      </c>
      <c r="C471" t="str">
        <f t="shared" si="22"/>
        <v/>
      </c>
      <c r="D471" t="str">
        <f>VLOOKUP(G471,PathwayLookup!A:B,2,0)</f>
        <v>Short term domiciliary care (pathway 1)</v>
      </c>
      <c r="E471" t="s">
        <v>127</v>
      </c>
      <c r="F471" t="s">
        <v>481</v>
      </c>
      <c r="G471" t="s">
        <v>684</v>
      </c>
      <c r="H471">
        <v>0</v>
      </c>
      <c r="I471">
        <v>0</v>
      </c>
      <c r="J471">
        <v>0</v>
      </c>
      <c r="K471">
        <v>0</v>
      </c>
      <c r="L471">
        <v>0</v>
      </c>
      <c r="M471">
        <v>0</v>
      </c>
      <c r="N471">
        <v>0</v>
      </c>
      <c r="O471">
        <v>0</v>
      </c>
      <c r="P471">
        <v>0</v>
      </c>
      <c r="Q471">
        <v>0</v>
      </c>
      <c r="R471">
        <v>0</v>
      </c>
      <c r="S471">
        <v>0</v>
      </c>
      <c r="T471">
        <f t="shared" si="23"/>
        <v>0</v>
      </c>
      <c r="U471">
        <v>1</v>
      </c>
    </row>
    <row r="472" spans="1:21" x14ac:dyDescent="0.3">
      <c r="A472" t="str">
        <f t="shared" si="21"/>
        <v/>
      </c>
      <c r="B472" t="str">
        <f>IF(C472="","",COUNTIF($C$2:C472,C472))</f>
        <v/>
      </c>
      <c r="C472" t="str">
        <f t="shared" si="22"/>
        <v/>
      </c>
      <c r="D472" t="str">
        <f>VLOOKUP(G472,PathwayLookup!A:B,2,0)</f>
        <v>Short term domiciliary care (pathway 1)</v>
      </c>
      <c r="E472" t="s">
        <v>127</v>
      </c>
      <c r="F472" t="s">
        <v>651</v>
      </c>
      <c r="G472" t="s">
        <v>684</v>
      </c>
      <c r="H472">
        <v>0</v>
      </c>
      <c r="I472">
        <v>0</v>
      </c>
      <c r="J472">
        <v>0</v>
      </c>
      <c r="K472">
        <v>0</v>
      </c>
      <c r="L472">
        <v>0</v>
      </c>
      <c r="M472">
        <v>0</v>
      </c>
      <c r="N472">
        <v>0</v>
      </c>
      <c r="O472">
        <v>0</v>
      </c>
      <c r="P472">
        <v>0</v>
      </c>
      <c r="Q472">
        <v>0</v>
      </c>
      <c r="R472">
        <v>0</v>
      </c>
      <c r="S472">
        <v>0</v>
      </c>
      <c r="T472">
        <f t="shared" si="23"/>
        <v>0</v>
      </c>
      <c r="U472">
        <v>1</v>
      </c>
    </row>
    <row r="473" spans="1:21" x14ac:dyDescent="0.3">
      <c r="A473" t="str">
        <f t="shared" si="21"/>
        <v>DarlingtonReablement &amp; Rehabilitation in a bedded setting (pathway 2)1</v>
      </c>
      <c r="B473">
        <f>IF(C473="","",COUNTIF($C$2:C473,C473))</f>
        <v>1</v>
      </c>
      <c r="C473" t="str">
        <f t="shared" si="22"/>
        <v>DarlingtonReablement in a bedded setting (pathway 2)</v>
      </c>
      <c r="D473" t="str">
        <f>VLOOKUP(G473,PathwayLookup!A:B,2,0)</f>
        <v>Reablement &amp; Rehabilitation in a bedded setting (pathway 2)</v>
      </c>
      <c r="E473" t="s">
        <v>127</v>
      </c>
      <c r="F473" t="s">
        <v>481</v>
      </c>
      <c r="G473" t="s">
        <v>722</v>
      </c>
      <c r="H473">
        <v>30</v>
      </c>
      <c r="I473">
        <v>32</v>
      </c>
      <c r="J473">
        <v>35</v>
      </c>
      <c r="K473">
        <v>34</v>
      </c>
      <c r="L473">
        <v>35</v>
      </c>
      <c r="M473">
        <v>34</v>
      </c>
      <c r="N473">
        <v>35</v>
      </c>
      <c r="O473">
        <v>36</v>
      </c>
      <c r="P473">
        <v>32</v>
      </c>
      <c r="Q473">
        <v>35</v>
      </c>
      <c r="R473">
        <v>32</v>
      </c>
      <c r="S473">
        <v>32</v>
      </c>
      <c r="T473">
        <f t="shared" si="23"/>
        <v>402</v>
      </c>
      <c r="U473">
        <v>1</v>
      </c>
    </row>
    <row r="474" spans="1:21" x14ac:dyDescent="0.3">
      <c r="A474" t="str">
        <f t="shared" si="21"/>
        <v>DarlingtonReablement &amp; Rehabilitation in a bedded setting (pathway 2)2</v>
      </c>
      <c r="B474">
        <f>IF(C474="","",COUNTIF($C$2:C474,C474))</f>
        <v>2</v>
      </c>
      <c r="C474" t="str">
        <f t="shared" si="22"/>
        <v>DarlingtonReablement in a bedded setting (pathway 2)</v>
      </c>
      <c r="D474" t="str">
        <f>VLOOKUP(G474,PathwayLookup!A:B,2,0)</f>
        <v>Reablement &amp; Rehabilitation in a bedded setting (pathway 2)</v>
      </c>
      <c r="E474" t="s">
        <v>127</v>
      </c>
      <c r="F474" t="s">
        <v>651</v>
      </c>
      <c r="G474" t="s">
        <v>722</v>
      </c>
      <c r="H474">
        <v>1</v>
      </c>
      <c r="I474">
        <v>2</v>
      </c>
      <c r="J474">
        <v>2</v>
      </c>
      <c r="K474">
        <v>2</v>
      </c>
      <c r="L474">
        <v>2</v>
      </c>
      <c r="M474">
        <v>2</v>
      </c>
      <c r="N474">
        <v>2</v>
      </c>
      <c r="O474">
        <v>2</v>
      </c>
      <c r="P474">
        <v>2</v>
      </c>
      <c r="Q474">
        <v>2</v>
      </c>
      <c r="R474">
        <v>2</v>
      </c>
      <c r="S474">
        <v>2</v>
      </c>
      <c r="T474">
        <f t="shared" si="23"/>
        <v>23</v>
      </c>
      <c r="U474">
        <v>1</v>
      </c>
    </row>
    <row r="475" spans="1:21" x14ac:dyDescent="0.3">
      <c r="A475" t="str">
        <f t="shared" si="21"/>
        <v/>
      </c>
      <c r="B475" t="str">
        <f>IF(C475="","",COUNTIF($C$2:C475,C475))</f>
        <v/>
      </c>
      <c r="C475" t="str">
        <f t="shared" si="22"/>
        <v/>
      </c>
      <c r="D475" t="str">
        <f>VLOOKUP(G475,PathwayLookup!A:B,2,0)</f>
        <v>Reablement &amp; Rehabilitation in a bedded setting (pathway 2)</v>
      </c>
      <c r="E475" t="s">
        <v>127</v>
      </c>
      <c r="F475" t="s">
        <v>481</v>
      </c>
      <c r="G475" t="s">
        <v>724</v>
      </c>
      <c r="H475">
        <v>0</v>
      </c>
      <c r="I475">
        <v>0</v>
      </c>
      <c r="J475">
        <v>0</v>
      </c>
      <c r="K475">
        <v>0</v>
      </c>
      <c r="L475">
        <v>0</v>
      </c>
      <c r="M475">
        <v>0</v>
      </c>
      <c r="N475">
        <v>0</v>
      </c>
      <c r="O475">
        <v>0</v>
      </c>
      <c r="P475">
        <v>0</v>
      </c>
      <c r="Q475">
        <v>0</v>
      </c>
      <c r="R475">
        <v>0</v>
      </c>
      <c r="S475">
        <v>0</v>
      </c>
      <c r="T475">
        <f t="shared" si="23"/>
        <v>0</v>
      </c>
      <c r="U475">
        <v>1</v>
      </c>
    </row>
    <row r="476" spans="1:21" x14ac:dyDescent="0.3">
      <c r="A476" t="str">
        <f t="shared" si="21"/>
        <v/>
      </c>
      <c r="B476" t="str">
        <f>IF(C476="","",COUNTIF($C$2:C476,C476))</f>
        <v/>
      </c>
      <c r="C476" t="str">
        <f t="shared" si="22"/>
        <v/>
      </c>
      <c r="D476" t="str">
        <f>VLOOKUP(G476,PathwayLookup!A:B,2,0)</f>
        <v>Reablement &amp; Rehabilitation in a bedded setting (pathway 2)</v>
      </c>
      <c r="E476" t="s">
        <v>127</v>
      </c>
      <c r="F476" t="s">
        <v>651</v>
      </c>
      <c r="G476" t="s">
        <v>724</v>
      </c>
      <c r="H476">
        <v>0</v>
      </c>
      <c r="I476">
        <v>0</v>
      </c>
      <c r="J476">
        <v>0</v>
      </c>
      <c r="K476">
        <v>0</v>
      </c>
      <c r="L476">
        <v>0</v>
      </c>
      <c r="M476">
        <v>0</v>
      </c>
      <c r="N476">
        <v>0</v>
      </c>
      <c r="O476">
        <v>0</v>
      </c>
      <c r="P476">
        <v>0</v>
      </c>
      <c r="Q476">
        <v>0</v>
      </c>
      <c r="R476">
        <v>0</v>
      </c>
      <c r="S476">
        <v>0</v>
      </c>
      <c r="T476">
        <f t="shared" si="23"/>
        <v>0</v>
      </c>
      <c r="U476">
        <v>1</v>
      </c>
    </row>
    <row r="477" spans="1:21" x14ac:dyDescent="0.3">
      <c r="A477" t="str">
        <f t="shared" si="21"/>
        <v>DarlingtonShort-term residential/nursing care for someone likely to require a longer-term care home placement (pathway 3)1</v>
      </c>
      <c r="B477">
        <f>IF(C477="","",COUNTIF($C$2:C477,C477))</f>
        <v>1</v>
      </c>
      <c r="C477" t="str">
        <f t="shared" si="22"/>
        <v>DarlingtonShort-term residential/nursing care for someone likely to require a longer-term care home placement (pathway 3)</v>
      </c>
      <c r="D477" t="str">
        <f>VLOOKUP(G477,PathwayLookup!A:B,2,0)</f>
        <v>Short-term residential/nursing care for someone likely to require a longer-term care home placement (pathway 3)</v>
      </c>
      <c r="E477" t="s">
        <v>127</v>
      </c>
      <c r="F477" t="s">
        <v>481</v>
      </c>
      <c r="G477" t="s">
        <v>686</v>
      </c>
      <c r="H477">
        <v>30</v>
      </c>
      <c r="I477">
        <v>32</v>
      </c>
      <c r="J477">
        <v>35</v>
      </c>
      <c r="K477">
        <v>34</v>
      </c>
      <c r="L477">
        <v>35</v>
      </c>
      <c r="M477">
        <v>34</v>
      </c>
      <c r="N477">
        <v>35</v>
      </c>
      <c r="O477">
        <v>36</v>
      </c>
      <c r="P477">
        <v>32</v>
      </c>
      <c r="Q477">
        <v>35</v>
      </c>
      <c r="R477">
        <v>32</v>
      </c>
      <c r="S477">
        <v>32</v>
      </c>
      <c r="T477">
        <f t="shared" si="23"/>
        <v>402</v>
      </c>
      <c r="U477">
        <v>1</v>
      </c>
    </row>
    <row r="478" spans="1:21" x14ac:dyDescent="0.3">
      <c r="A478" t="str">
        <f t="shared" si="21"/>
        <v>DarlingtonShort-term residential/nursing care for someone likely to require a longer-term care home placement (pathway 3)2</v>
      </c>
      <c r="B478">
        <f>IF(C478="","",COUNTIF($C$2:C478,C478))</f>
        <v>2</v>
      </c>
      <c r="C478" t="str">
        <f t="shared" si="22"/>
        <v>DarlingtonShort-term residential/nursing care for someone likely to require a longer-term care home placement (pathway 3)</v>
      </c>
      <c r="D478" t="str">
        <f>VLOOKUP(G478,PathwayLookup!A:B,2,0)</f>
        <v>Short-term residential/nursing care for someone likely to require a longer-term care home placement (pathway 3)</v>
      </c>
      <c r="E478" t="s">
        <v>127</v>
      </c>
      <c r="F478" t="s">
        <v>651</v>
      </c>
      <c r="G478" t="s">
        <v>686</v>
      </c>
      <c r="H478">
        <v>5</v>
      </c>
      <c r="I478">
        <v>6</v>
      </c>
      <c r="J478">
        <v>6</v>
      </c>
      <c r="K478">
        <v>6</v>
      </c>
      <c r="L478">
        <v>6</v>
      </c>
      <c r="M478">
        <v>6</v>
      </c>
      <c r="N478">
        <v>6</v>
      </c>
      <c r="O478">
        <v>6</v>
      </c>
      <c r="P478">
        <v>6</v>
      </c>
      <c r="Q478">
        <v>6</v>
      </c>
      <c r="R478">
        <v>6</v>
      </c>
      <c r="S478">
        <v>6</v>
      </c>
      <c r="T478">
        <f t="shared" si="23"/>
        <v>71</v>
      </c>
      <c r="U478">
        <v>1</v>
      </c>
    </row>
    <row r="479" spans="1:21" x14ac:dyDescent="0.3">
      <c r="A479" t="str">
        <f t="shared" si="21"/>
        <v/>
      </c>
      <c r="B479" t="str">
        <f>IF(C479="","",COUNTIF($C$2:C479,C479))</f>
        <v/>
      </c>
      <c r="C479" t="str">
        <f t="shared" si="22"/>
        <v/>
      </c>
      <c r="D479" t="str">
        <f>VLOOKUP(G479,PathwayLookup!A:B,2,0)</f>
        <v>Social support (including VCS) (pathway 0)</v>
      </c>
      <c r="E479" t="s">
        <v>129</v>
      </c>
      <c r="F479" t="s">
        <v>478</v>
      </c>
      <c r="G479" t="s">
        <v>682</v>
      </c>
      <c r="H479" t="s">
        <v>750</v>
      </c>
      <c r="I479" t="s">
        <v>750</v>
      </c>
      <c r="J479" t="s">
        <v>750</v>
      </c>
      <c r="K479" t="s">
        <v>750</v>
      </c>
      <c r="L479" t="s">
        <v>750</v>
      </c>
      <c r="M479" t="s">
        <v>750</v>
      </c>
      <c r="N479" t="s">
        <v>750</v>
      </c>
      <c r="O479" t="s">
        <v>750</v>
      </c>
      <c r="P479" t="s">
        <v>750</v>
      </c>
      <c r="Q479" t="s">
        <v>750</v>
      </c>
      <c r="R479" t="s">
        <v>750</v>
      </c>
      <c r="S479" t="s">
        <v>750</v>
      </c>
      <c r="T479">
        <f t="shared" si="23"/>
        <v>0</v>
      </c>
      <c r="U479">
        <v>1</v>
      </c>
    </row>
    <row r="480" spans="1:21" x14ac:dyDescent="0.3">
      <c r="A480" t="str">
        <f t="shared" si="21"/>
        <v>DerbySocial support (including VCS) (pathway 0)1</v>
      </c>
      <c r="B480">
        <f>IF(C480="","",COUNTIF($C$2:C480,C480))</f>
        <v>1</v>
      </c>
      <c r="C480" t="str">
        <f t="shared" si="22"/>
        <v>DerbySocial support (including VCS) (pathway 0)</v>
      </c>
      <c r="D480" t="str">
        <f>VLOOKUP(G480,PathwayLookup!A:B,2,0)</f>
        <v>Social support (including VCS) (pathway 0)</v>
      </c>
      <c r="E480" t="s">
        <v>129</v>
      </c>
      <c r="F480" t="s">
        <v>632</v>
      </c>
      <c r="G480" t="s">
        <v>682</v>
      </c>
      <c r="H480">
        <v>69</v>
      </c>
      <c r="I480">
        <v>69</v>
      </c>
      <c r="J480">
        <v>69</v>
      </c>
      <c r="K480">
        <v>69</v>
      </c>
      <c r="L480">
        <v>69</v>
      </c>
      <c r="M480">
        <v>69</v>
      </c>
      <c r="N480">
        <v>69</v>
      </c>
      <c r="O480">
        <v>69</v>
      </c>
      <c r="P480">
        <v>69</v>
      </c>
      <c r="Q480">
        <v>69</v>
      </c>
      <c r="R480">
        <v>69</v>
      </c>
      <c r="S480">
        <v>69</v>
      </c>
      <c r="T480">
        <f t="shared" si="23"/>
        <v>828</v>
      </c>
      <c r="U480">
        <v>1</v>
      </c>
    </row>
    <row r="481" spans="1:21" x14ac:dyDescent="0.3">
      <c r="A481" t="str">
        <f t="shared" si="21"/>
        <v>DerbyReablement &amp; Rehabilitation at home  (pathway 1)1</v>
      </c>
      <c r="B481">
        <f>IF(C481="","",COUNTIF($C$2:C481,C481))</f>
        <v>1</v>
      </c>
      <c r="C481" t="str">
        <f t="shared" si="22"/>
        <v>DerbyReablement at home  (pathway 1)</v>
      </c>
      <c r="D481" t="str">
        <f>VLOOKUP(G481,PathwayLookup!A:B,2,0)</f>
        <v>Reablement &amp; Rehabilitation at home  (pathway 1)</v>
      </c>
      <c r="E481" t="s">
        <v>129</v>
      </c>
      <c r="F481" t="s">
        <v>478</v>
      </c>
      <c r="G481" t="s">
        <v>718</v>
      </c>
      <c r="H481">
        <v>38</v>
      </c>
      <c r="I481">
        <v>42</v>
      </c>
      <c r="J481">
        <v>36</v>
      </c>
      <c r="K481">
        <v>45</v>
      </c>
      <c r="L481">
        <v>32</v>
      </c>
      <c r="M481">
        <v>51</v>
      </c>
      <c r="N481">
        <v>51</v>
      </c>
      <c r="O481">
        <v>40</v>
      </c>
      <c r="P481">
        <v>28</v>
      </c>
      <c r="Q481">
        <v>41</v>
      </c>
      <c r="R481">
        <v>37</v>
      </c>
      <c r="S481">
        <v>41</v>
      </c>
      <c r="T481">
        <f t="shared" si="23"/>
        <v>482</v>
      </c>
      <c r="U481">
        <v>1</v>
      </c>
    </row>
    <row r="482" spans="1:21" x14ac:dyDescent="0.3">
      <c r="A482" t="str">
        <f t="shared" si="21"/>
        <v>DerbyReablement &amp; Rehabilitation at home  (pathway 1)2</v>
      </c>
      <c r="B482">
        <f>IF(C482="","",COUNTIF($C$2:C482,C482))</f>
        <v>2</v>
      </c>
      <c r="C482" t="str">
        <f t="shared" si="22"/>
        <v>DerbyReablement at home  (pathway 1)</v>
      </c>
      <c r="D482" t="str">
        <f>VLOOKUP(G482,PathwayLookup!A:B,2,0)</f>
        <v>Reablement &amp; Rehabilitation at home  (pathway 1)</v>
      </c>
      <c r="E482" t="s">
        <v>129</v>
      </c>
      <c r="F482" t="s">
        <v>486</v>
      </c>
      <c r="G482" t="s">
        <v>718</v>
      </c>
      <c r="H482">
        <v>9</v>
      </c>
      <c r="I482">
        <v>9</v>
      </c>
      <c r="J482">
        <v>9</v>
      </c>
      <c r="K482">
        <v>10</v>
      </c>
      <c r="L482">
        <v>11</v>
      </c>
      <c r="M482">
        <v>9</v>
      </c>
      <c r="N482">
        <v>9</v>
      </c>
      <c r="O482">
        <v>11</v>
      </c>
      <c r="P482">
        <v>10</v>
      </c>
      <c r="Q482">
        <v>7</v>
      </c>
      <c r="R482">
        <v>9</v>
      </c>
      <c r="S482">
        <v>9</v>
      </c>
      <c r="T482">
        <f t="shared" si="23"/>
        <v>112</v>
      </c>
      <c r="U482">
        <v>1</v>
      </c>
    </row>
    <row r="483" spans="1:21" x14ac:dyDescent="0.3">
      <c r="A483" t="str">
        <f t="shared" si="21"/>
        <v>DerbyReablement &amp; Rehabilitation at home  (pathway 1)3</v>
      </c>
      <c r="B483">
        <f>IF(C483="","",COUNTIF($C$2:C483,C483))</f>
        <v>3</v>
      </c>
      <c r="C483" t="str">
        <f t="shared" si="22"/>
        <v>DerbyReablement at home  (pathway 1)</v>
      </c>
      <c r="D483" t="str">
        <f>VLOOKUP(G483,PathwayLookup!A:B,2,0)</f>
        <v>Reablement &amp; Rehabilitation at home  (pathway 1)</v>
      </c>
      <c r="E483" t="s">
        <v>129</v>
      </c>
      <c r="F483" t="s">
        <v>651</v>
      </c>
      <c r="G483" t="s">
        <v>718</v>
      </c>
      <c r="H483">
        <v>17</v>
      </c>
      <c r="I483">
        <v>17</v>
      </c>
      <c r="J483">
        <v>17</v>
      </c>
      <c r="K483">
        <v>16</v>
      </c>
      <c r="L483">
        <v>16</v>
      </c>
      <c r="M483">
        <v>16</v>
      </c>
      <c r="N483">
        <v>17</v>
      </c>
      <c r="O483">
        <v>17</v>
      </c>
      <c r="P483">
        <v>17</v>
      </c>
      <c r="Q483">
        <v>17</v>
      </c>
      <c r="R483">
        <v>17</v>
      </c>
      <c r="S483">
        <v>21</v>
      </c>
      <c r="T483">
        <f t="shared" si="23"/>
        <v>205</v>
      </c>
      <c r="U483">
        <v>1</v>
      </c>
    </row>
    <row r="484" spans="1:21" x14ac:dyDescent="0.3">
      <c r="A484" t="str">
        <f t="shared" si="21"/>
        <v>DerbyReablement &amp; Rehabilitation at home  (pathway 1)4</v>
      </c>
      <c r="B484">
        <f>IF(C484="","",COUNTIF($C$2:C484,C484))</f>
        <v>4</v>
      </c>
      <c r="C484" t="str">
        <f t="shared" si="22"/>
        <v>DerbyReablement at home  (pathway 1)</v>
      </c>
      <c r="D484" t="str">
        <f>VLOOKUP(G484,PathwayLookup!A:B,2,0)</f>
        <v>Reablement &amp; Rehabilitation at home  (pathway 1)</v>
      </c>
      <c r="E484" t="s">
        <v>129</v>
      </c>
      <c r="F484" t="s">
        <v>632</v>
      </c>
      <c r="G484" t="s">
        <v>718</v>
      </c>
      <c r="H484">
        <v>30</v>
      </c>
      <c r="I484">
        <v>39</v>
      </c>
      <c r="J484">
        <v>43</v>
      </c>
      <c r="K484">
        <v>46</v>
      </c>
      <c r="L484">
        <v>38</v>
      </c>
      <c r="M484">
        <v>31</v>
      </c>
      <c r="N484">
        <v>39</v>
      </c>
      <c r="O484">
        <v>29</v>
      </c>
      <c r="P484">
        <v>37</v>
      </c>
      <c r="Q484">
        <v>38</v>
      </c>
      <c r="R484">
        <v>34</v>
      </c>
      <c r="S484">
        <v>38</v>
      </c>
      <c r="T484">
        <f t="shared" si="23"/>
        <v>442</v>
      </c>
      <c r="U484">
        <v>1</v>
      </c>
    </row>
    <row r="485" spans="1:21" x14ac:dyDescent="0.3">
      <c r="A485" t="str">
        <f t="shared" si="21"/>
        <v>DerbyReablement &amp; Rehabilitation in a bedded setting (pathway 2)1</v>
      </c>
      <c r="B485">
        <f>IF(C485="","",COUNTIF($C$2:C485,C485))</f>
        <v>1</v>
      </c>
      <c r="C485" t="str">
        <f t="shared" si="22"/>
        <v>DerbyReablement in a bedded setting (pathway 2)</v>
      </c>
      <c r="D485" t="str">
        <f>VLOOKUP(G485,PathwayLookup!A:B,2,0)</f>
        <v>Reablement &amp; Rehabilitation in a bedded setting (pathway 2)</v>
      </c>
      <c r="E485" t="s">
        <v>129</v>
      </c>
      <c r="F485" t="s">
        <v>478</v>
      </c>
      <c r="G485" t="s">
        <v>722</v>
      </c>
      <c r="H485">
        <v>19</v>
      </c>
      <c r="I485">
        <v>17</v>
      </c>
      <c r="J485">
        <v>13</v>
      </c>
      <c r="K485">
        <v>16</v>
      </c>
      <c r="L485">
        <v>21</v>
      </c>
      <c r="M485">
        <v>14</v>
      </c>
      <c r="N485">
        <v>13</v>
      </c>
      <c r="O485">
        <v>18</v>
      </c>
      <c r="P485">
        <v>16</v>
      </c>
      <c r="Q485">
        <v>17</v>
      </c>
      <c r="R485">
        <v>15</v>
      </c>
      <c r="S485">
        <v>17</v>
      </c>
      <c r="T485">
        <f t="shared" si="23"/>
        <v>196</v>
      </c>
      <c r="U485">
        <v>1</v>
      </c>
    </row>
    <row r="486" spans="1:21" x14ac:dyDescent="0.3">
      <c r="A486" t="str">
        <f t="shared" si="21"/>
        <v>DerbyReablement &amp; Rehabilitation in a bedded setting (pathway 2)2</v>
      </c>
      <c r="B486">
        <f>IF(C486="","",COUNTIF($C$2:C486,C486))</f>
        <v>2</v>
      </c>
      <c r="C486" t="str">
        <f t="shared" si="22"/>
        <v>DerbyReablement in a bedded setting (pathway 2)</v>
      </c>
      <c r="D486" t="str">
        <f>VLOOKUP(G486,PathwayLookup!A:B,2,0)</f>
        <v>Reablement &amp; Rehabilitation in a bedded setting (pathway 2)</v>
      </c>
      <c r="E486" t="s">
        <v>129</v>
      </c>
      <c r="F486" t="s">
        <v>486</v>
      </c>
      <c r="G486" t="s">
        <v>722</v>
      </c>
      <c r="H486">
        <v>1</v>
      </c>
      <c r="I486">
        <v>1</v>
      </c>
      <c r="J486">
        <v>1</v>
      </c>
      <c r="K486">
        <v>1</v>
      </c>
      <c r="L486">
        <v>2</v>
      </c>
      <c r="M486">
        <v>1</v>
      </c>
      <c r="N486">
        <v>0</v>
      </c>
      <c r="O486">
        <v>1</v>
      </c>
      <c r="P486">
        <v>2</v>
      </c>
      <c r="Q486">
        <v>0</v>
      </c>
      <c r="R486">
        <v>1</v>
      </c>
      <c r="S486">
        <v>2</v>
      </c>
      <c r="T486">
        <f t="shared" si="23"/>
        <v>13</v>
      </c>
      <c r="U486">
        <v>1</v>
      </c>
    </row>
    <row r="487" spans="1:21" x14ac:dyDescent="0.3">
      <c r="A487" t="str">
        <f t="shared" si="21"/>
        <v>DerbyReablement &amp; Rehabilitation in a bedded setting (pathway 2)3</v>
      </c>
      <c r="B487">
        <f>IF(C487="","",COUNTIF($C$2:C487,C487))</f>
        <v>3</v>
      </c>
      <c r="C487" t="str">
        <f t="shared" si="22"/>
        <v>DerbyReablement in a bedded setting (pathway 2)</v>
      </c>
      <c r="D487" t="str">
        <f>VLOOKUP(G487,PathwayLookup!A:B,2,0)</f>
        <v>Reablement &amp; Rehabilitation in a bedded setting (pathway 2)</v>
      </c>
      <c r="E487" t="s">
        <v>129</v>
      </c>
      <c r="F487" t="s">
        <v>651</v>
      </c>
      <c r="G487" t="s">
        <v>722</v>
      </c>
      <c r="H487">
        <v>6</v>
      </c>
      <c r="I487">
        <v>6</v>
      </c>
      <c r="J487">
        <v>6</v>
      </c>
      <c r="K487">
        <v>6</v>
      </c>
      <c r="L487">
        <v>6</v>
      </c>
      <c r="M487">
        <v>6</v>
      </c>
      <c r="N487">
        <v>6</v>
      </c>
      <c r="O487">
        <v>6</v>
      </c>
      <c r="P487">
        <v>6</v>
      </c>
      <c r="Q487">
        <v>6</v>
      </c>
      <c r="R487">
        <v>6</v>
      </c>
      <c r="S487">
        <v>8</v>
      </c>
      <c r="T487">
        <f t="shared" si="23"/>
        <v>74</v>
      </c>
      <c r="U487">
        <v>1</v>
      </c>
    </row>
    <row r="488" spans="1:21" x14ac:dyDescent="0.3">
      <c r="A488" t="str">
        <f t="shared" si="21"/>
        <v>DerbyReablement &amp; Rehabilitation in a bedded setting (pathway 2)4</v>
      </c>
      <c r="B488">
        <f>IF(C488="","",COUNTIF($C$2:C488,C488))</f>
        <v>4</v>
      </c>
      <c r="C488" t="str">
        <f t="shared" si="22"/>
        <v>DerbyReablement in a bedded setting (pathway 2)</v>
      </c>
      <c r="D488" t="str">
        <f>VLOOKUP(G488,PathwayLookup!A:B,2,0)</f>
        <v>Reablement &amp; Rehabilitation in a bedded setting (pathway 2)</v>
      </c>
      <c r="E488" t="s">
        <v>129</v>
      </c>
      <c r="F488" t="s">
        <v>632</v>
      </c>
      <c r="G488" t="s">
        <v>722</v>
      </c>
      <c r="H488">
        <v>15</v>
      </c>
      <c r="I488">
        <v>14</v>
      </c>
      <c r="J488">
        <v>13</v>
      </c>
      <c r="K488">
        <v>12</v>
      </c>
      <c r="L488">
        <v>12</v>
      </c>
      <c r="M488">
        <v>11</v>
      </c>
      <c r="N488">
        <v>13</v>
      </c>
      <c r="O488">
        <v>11</v>
      </c>
      <c r="P488">
        <v>13</v>
      </c>
      <c r="Q488">
        <v>13</v>
      </c>
      <c r="R488">
        <v>12</v>
      </c>
      <c r="S488">
        <v>13</v>
      </c>
      <c r="T488">
        <f t="shared" si="23"/>
        <v>152</v>
      </c>
      <c r="U488">
        <v>1</v>
      </c>
    </row>
    <row r="489" spans="1:21" x14ac:dyDescent="0.3">
      <c r="A489" t="str">
        <f t="shared" si="21"/>
        <v>DerbyReablement &amp; Rehabilitation in a bedded setting (pathway 2)1</v>
      </c>
      <c r="B489">
        <f>IF(C489="","",COUNTIF($C$2:C489,C489))</f>
        <v>1</v>
      </c>
      <c r="C489" t="str">
        <f t="shared" si="22"/>
        <v>DerbyRehabilitation in a bedded setting (pathway 2)</v>
      </c>
      <c r="D489" t="str">
        <f>VLOOKUP(G489,PathwayLookup!A:B,2,0)</f>
        <v>Reablement &amp; Rehabilitation in a bedded setting (pathway 2)</v>
      </c>
      <c r="E489" t="s">
        <v>129</v>
      </c>
      <c r="F489" t="s">
        <v>478</v>
      </c>
      <c r="G489" t="s">
        <v>724</v>
      </c>
      <c r="H489">
        <v>10</v>
      </c>
      <c r="I489">
        <v>9</v>
      </c>
      <c r="J489">
        <v>7</v>
      </c>
      <c r="K489">
        <v>8</v>
      </c>
      <c r="L489">
        <v>11</v>
      </c>
      <c r="M489">
        <v>7</v>
      </c>
      <c r="N489">
        <v>7</v>
      </c>
      <c r="O489">
        <v>9</v>
      </c>
      <c r="P489">
        <v>8</v>
      </c>
      <c r="Q489">
        <v>9</v>
      </c>
      <c r="R489">
        <v>8</v>
      </c>
      <c r="S489">
        <v>9</v>
      </c>
      <c r="T489">
        <f t="shared" si="23"/>
        <v>102</v>
      </c>
      <c r="U489">
        <v>1</v>
      </c>
    </row>
    <row r="490" spans="1:21" x14ac:dyDescent="0.3">
      <c r="A490" t="str">
        <f t="shared" si="21"/>
        <v>DerbyReablement &amp; Rehabilitation in a bedded setting (pathway 2)2</v>
      </c>
      <c r="B490">
        <f>IF(C490="","",COUNTIF($C$2:C490,C490))</f>
        <v>2</v>
      </c>
      <c r="C490" t="str">
        <f t="shared" si="22"/>
        <v>DerbyRehabilitation in a bedded setting (pathway 2)</v>
      </c>
      <c r="D490" t="str">
        <f>VLOOKUP(G490,PathwayLookup!A:B,2,0)</f>
        <v>Reablement &amp; Rehabilitation in a bedded setting (pathway 2)</v>
      </c>
      <c r="E490" t="s">
        <v>129</v>
      </c>
      <c r="F490" t="s">
        <v>486</v>
      </c>
      <c r="G490" t="s">
        <v>724</v>
      </c>
      <c r="H490">
        <v>1</v>
      </c>
      <c r="I490">
        <v>1</v>
      </c>
      <c r="J490">
        <v>1</v>
      </c>
      <c r="K490">
        <v>0</v>
      </c>
      <c r="L490">
        <v>0</v>
      </c>
      <c r="M490">
        <v>1</v>
      </c>
      <c r="N490">
        <v>0</v>
      </c>
      <c r="O490">
        <v>1</v>
      </c>
      <c r="P490">
        <v>0</v>
      </c>
      <c r="Q490">
        <v>0</v>
      </c>
      <c r="R490">
        <v>0</v>
      </c>
      <c r="S490">
        <v>1</v>
      </c>
      <c r="T490">
        <f t="shared" si="23"/>
        <v>6</v>
      </c>
      <c r="U490">
        <v>1</v>
      </c>
    </row>
    <row r="491" spans="1:21" x14ac:dyDescent="0.3">
      <c r="A491" t="str">
        <f t="shared" si="21"/>
        <v>DerbyReablement &amp; Rehabilitation in a bedded setting (pathway 2)3</v>
      </c>
      <c r="B491">
        <f>IF(C491="","",COUNTIF($C$2:C491,C491))</f>
        <v>3</v>
      </c>
      <c r="C491" t="str">
        <f t="shared" si="22"/>
        <v>DerbyRehabilitation in a bedded setting (pathway 2)</v>
      </c>
      <c r="D491" t="str">
        <f>VLOOKUP(G491,PathwayLookup!A:B,2,0)</f>
        <v>Reablement &amp; Rehabilitation in a bedded setting (pathway 2)</v>
      </c>
      <c r="E491" t="s">
        <v>129</v>
      </c>
      <c r="F491" t="s">
        <v>651</v>
      </c>
      <c r="G491" t="s">
        <v>724</v>
      </c>
      <c r="H491">
        <v>3</v>
      </c>
      <c r="I491">
        <v>3</v>
      </c>
      <c r="J491">
        <v>3</v>
      </c>
      <c r="K491">
        <v>3</v>
      </c>
      <c r="L491">
        <v>3</v>
      </c>
      <c r="M491">
        <v>3</v>
      </c>
      <c r="N491">
        <v>3</v>
      </c>
      <c r="O491">
        <v>3</v>
      </c>
      <c r="P491">
        <v>3</v>
      </c>
      <c r="Q491">
        <v>3</v>
      </c>
      <c r="R491">
        <v>3</v>
      </c>
      <c r="S491">
        <v>4</v>
      </c>
      <c r="T491">
        <f t="shared" si="23"/>
        <v>37</v>
      </c>
      <c r="U491">
        <v>1</v>
      </c>
    </row>
    <row r="492" spans="1:21" x14ac:dyDescent="0.3">
      <c r="A492" t="str">
        <f t="shared" si="21"/>
        <v>DerbyReablement &amp; Rehabilitation in a bedded setting (pathway 2)4</v>
      </c>
      <c r="B492">
        <f>IF(C492="","",COUNTIF($C$2:C492,C492))</f>
        <v>4</v>
      </c>
      <c r="C492" t="str">
        <f t="shared" si="22"/>
        <v>DerbyRehabilitation in a bedded setting (pathway 2)</v>
      </c>
      <c r="D492" t="str">
        <f>VLOOKUP(G492,PathwayLookup!A:B,2,0)</f>
        <v>Reablement &amp; Rehabilitation in a bedded setting (pathway 2)</v>
      </c>
      <c r="E492" t="s">
        <v>129</v>
      </c>
      <c r="F492" t="s">
        <v>632</v>
      </c>
      <c r="G492" t="s">
        <v>724</v>
      </c>
      <c r="H492">
        <v>8</v>
      </c>
      <c r="I492">
        <v>7</v>
      </c>
      <c r="J492">
        <v>7</v>
      </c>
      <c r="K492">
        <v>6</v>
      </c>
      <c r="L492">
        <v>6</v>
      </c>
      <c r="M492">
        <v>6</v>
      </c>
      <c r="N492">
        <v>7</v>
      </c>
      <c r="O492">
        <v>6</v>
      </c>
      <c r="P492">
        <v>6</v>
      </c>
      <c r="Q492">
        <v>7</v>
      </c>
      <c r="R492">
        <v>6</v>
      </c>
      <c r="S492">
        <v>7</v>
      </c>
      <c r="T492">
        <f t="shared" si="23"/>
        <v>79</v>
      </c>
      <c r="U492">
        <v>1</v>
      </c>
    </row>
    <row r="493" spans="1:21" x14ac:dyDescent="0.3">
      <c r="A493" t="str">
        <f t="shared" si="21"/>
        <v>DerbyShort-term residential/nursing care for someone likely to require a longer-term care home placement (pathway 3)1</v>
      </c>
      <c r="B493">
        <f>IF(C493="","",COUNTIF($C$2:C493,C493))</f>
        <v>1</v>
      </c>
      <c r="C493" t="str">
        <f t="shared" si="22"/>
        <v>DerbyShort-term residential/nursing care for someone likely to require a longer-term care home placement (pathway 3)</v>
      </c>
      <c r="D493" t="str">
        <f>VLOOKUP(G493,PathwayLookup!A:B,2,0)</f>
        <v>Short-term residential/nursing care for someone likely to require a longer-term care home placement (pathway 3)</v>
      </c>
      <c r="E493" t="s">
        <v>129</v>
      </c>
      <c r="F493" t="s">
        <v>478</v>
      </c>
      <c r="G493" t="s">
        <v>686</v>
      </c>
      <c r="H493">
        <v>7</v>
      </c>
      <c r="I493">
        <v>5</v>
      </c>
      <c r="J493">
        <v>8</v>
      </c>
      <c r="K493">
        <v>7</v>
      </c>
      <c r="L493">
        <v>7</v>
      </c>
      <c r="M493">
        <v>5</v>
      </c>
      <c r="N493">
        <v>8</v>
      </c>
      <c r="O493">
        <v>7</v>
      </c>
      <c r="P493">
        <v>7</v>
      </c>
      <c r="Q493">
        <v>7</v>
      </c>
      <c r="R493">
        <v>6</v>
      </c>
      <c r="S493">
        <v>7</v>
      </c>
      <c r="T493">
        <f t="shared" si="23"/>
        <v>81</v>
      </c>
      <c r="U493">
        <v>1</v>
      </c>
    </row>
    <row r="494" spans="1:21" x14ac:dyDescent="0.3">
      <c r="A494" t="str">
        <f t="shared" si="21"/>
        <v>DerbyShort-term residential/nursing care for someone likely to require a longer-term care home placement (pathway 3)2</v>
      </c>
      <c r="B494">
        <f>IF(C494="","",COUNTIF($C$2:C494,C494))</f>
        <v>2</v>
      </c>
      <c r="C494" t="str">
        <f t="shared" si="22"/>
        <v>DerbyShort-term residential/nursing care for someone likely to require a longer-term care home placement (pathway 3)</v>
      </c>
      <c r="D494" t="str">
        <f>VLOOKUP(G494,PathwayLookup!A:B,2,0)</f>
        <v>Short-term residential/nursing care for someone likely to require a longer-term care home placement (pathway 3)</v>
      </c>
      <c r="E494" t="s">
        <v>129</v>
      </c>
      <c r="F494" t="s">
        <v>486</v>
      </c>
      <c r="G494" t="s">
        <v>686</v>
      </c>
      <c r="H494">
        <v>2</v>
      </c>
      <c r="I494">
        <v>2</v>
      </c>
      <c r="J494">
        <v>2</v>
      </c>
      <c r="K494">
        <v>3</v>
      </c>
      <c r="L494">
        <v>2</v>
      </c>
      <c r="M494">
        <v>3</v>
      </c>
      <c r="N494">
        <v>2</v>
      </c>
      <c r="O494">
        <v>2</v>
      </c>
      <c r="P494">
        <v>1</v>
      </c>
      <c r="Q494">
        <v>2</v>
      </c>
      <c r="R494">
        <v>2</v>
      </c>
      <c r="S494">
        <v>2</v>
      </c>
      <c r="T494">
        <f t="shared" si="23"/>
        <v>25</v>
      </c>
      <c r="U494">
        <v>1</v>
      </c>
    </row>
    <row r="495" spans="1:21" x14ac:dyDescent="0.3">
      <c r="A495" t="str">
        <f t="shared" si="21"/>
        <v>DerbyShort-term residential/nursing care for someone likely to require a longer-term care home placement (pathway 3)3</v>
      </c>
      <c r="B495">
        <f>IF(C495="","",COUNTIF($C$2:C495,C495))</f>
        <v>3</v>
      </c>
      <c r="C495" t="str">
        <f t="shared" si="22"/>
        <v>DerbyShort-term residential/nursing care for someone likely to require a longer-term care home placement (pathway 3)</v>
      </c>
      <c r="D495" t="str">
        <f>VLOOKUP(G495,PathwayLookup!A:B,2,0)</f>
        <v>Short-term residential/nursing care for someone likely to require a longer-term care home placement (pathway 3)</v>
      </c>
      <c r="E495" t="s">
        <v>129</v>
      </c>
      <c r="F495" t="s">
        <v>651</v>
      </c>
      <c r="G495" t="s">
        <v>686</v>
      </c>
      <c r="H495">
        <v>2</v>
      </c>
      <c r="I495">
        <v>2</v>
      </c>
      <c r="J495">
        <v>2</v>
      </c>
      <c r="K495">
        <v>2</v>
      </c>
      <c r="L495">
        <v>2</v>
      </c>
      <c r="M495">
        <v>2</v>
      </c>
      <c r="N495">
        <v>2</v>
      </c>
      <c r="O495">
        <v>2</v>
      </c>
      <c r="P495">
        <v>2</v>
      </c>
      <c r="Q495">
        <v>2</v>
      </c>
      <c r="R495">
        <v>2</v>
      </c>
      <c r="S495">
        <v>3</v>
      </c>
      <c r="T495">
        <f t="shared" si="23"/>
        <v>25</v>
      </c>
      <c r="U495">
        <v>1</v>
      </c>
    </row>
    <row r="496" spans="1:21" x14ac:dyDescent="0.3">
      <c r="A496" t="str">
        <f t="shared" si="21"/>
        <v>DerbyShort-term residential/nursing care for someone likely to require a longer-term care home placement (pathway 3)4</v>
      </c>
      <c r="B496">
        <f>IF(C496="","",COUNTIF($C$2:C496,C496))</f>
        <v>4</v>
      </c>
      <c r="C496" t="str">
        <f t="shared" si="22"/>
        <v>DerbyShort-term residential/nursing care for someone likely to require a longer-term care home placement (pathway 3)</v>
      </c>
      <c r="D496" t="str">
        <f>VLOOKUP(G496,PathwayLookup!A:B,2,0)</f>
        <v>Short-term residential/nursing care for someone likely to require a longer-term care home placement (pathway 3)</v>
      </c>
      <c r="E496" t="s">
        <v>129</v>
      </c>
      <c r="F496" t="s">
        <v>632</v>
      </c>
      <c r="G496" t="s">
        <v>686</v>
      </c>
      <c r="H496">
        <v>5</v>
      </c>
      <c r="I496">
        <v>5</v>
      </c>
      <c r="J496">
        <v>3</v>
      </c>
      <c r="K496">
        <v>6</v>
      </c>
      <c r="L496">
        <v>3</v>
      </c>
      <c r="M496">
        <v>4</v>
      </c>
      <c r="N496">
        <v>5</v>
      </c>
      <c r="O496">
        <v>2</v>
      </c>
      <c r="P496">
        <v>4</v>
      </c>
      <c r="Q496">
        <v>4</v>
      </c>
      <c r="R496">
        <v>4</v>
      </c>
      <c r="S496">
        <v>4</v>
      </c>
      <c r="T496">
        <f t="shared" si="23"/>
        <v>49</v>
      </c>
      <c r="U496">
        <v>1</v>
      </c>
    </row>
    <row r="497" spans="1:21" x14ac:dyDescent="0.3">
      <c r="A497" t="str">
        <f t="shared" si="21"/>
        <v>DerbyshireSocial support (including VCS) (pathway 0)1</v>
      </c>
      <c r="B497">
        <f>IF(C497="","",COUNTIF($C$2:C497,C497))</f>
        <v>1</v>
      </c>
      <c r="C497" t="str">
        <f t="shared" si="22"/>
        <v>DerbyshireSocial support (including VCS) (pathway 0)</v>
      </c>
      <c r="D497" t="str">
        <f>VLOOKUP(G497,PathwayLookup!A:B,2,0)</f>
        <v>Social support (including VCS) (pathway 0)</v>
      </c>
      <c r="E497" t="s">
        <v>131</v>
      </c>
      <c r="F497" t="s">
        <v>478</v>
      </c>
      <c r="G497" t="s">
        <v>682</v>
      </c>
      <c r="H497">
        <v>36</v>
      </c>
      <c r="I497">
        <v>35</v>
      </c>
      <c r="J497">
        <v>31</v>
      </c>
      <c r="K497">
        <v>35</v>
      </c>
      <c r="L497">
        <v>29</v>
      </c>
      <c r="M497">
        <v>43</v>
      </c>
      <c r="N497">
        <v>40</v>
      </c>
      <c r="O497">
        <v>37</v>
      </c>
      <c r="P497">
        <v>28</v>
      </c>
      <c r="Q497">
        <v>37</v>
      </c>
      <c r="R497">
        <v>34</v>
      </c>
      <c r="S497">
        <v>34</v>
      </c>
      <c r="T497">
        <f t="shared" si="23"/>
        <v>419</v>
      </c>
      <c r="U497">
        <v>1</v>
      </c>
    </row>
    <row r="498" spans="1:21" x14ac:dyDescent="0.3">
      <c r="A498" t="str">
        <f t="shared" si="21"/>
        <v>DerbyshireSocial support (including VCS) (pathway 0)2</v>
      </c>
      <c r="B498">
        <f>IF(C498="","",COUNTIF($C$2:C498,C498))</f>
        <v>2</v>
      </c>
      <c r="C498" t="str">
        <f t="shared" si="22"/>
        <v>DerbyshireSocial support (including VCS) (pathway 0)</v>
      </c>
      <c r="D498" t="str">
        <f>VLOOKUP(G498,PathwayLookup!A:B,2,0)</f>
        <v>Social support (including VCS) (pathway 0)</v>
      </c>
      <c r="E498" t="s">
        <v>131</v>
      </c>
      <c r="F498" t="s">
        <v>486</v>
      </c>
      <c r="G498" t="s">
        <v>682</v>
      </c>
      <c r="H498">
        <v>11</v>
      </c>
      <c r="I498">
        <v>10</v>
      </c>
      <c r="J498">
        <v>10</v>
      </c>
      <c r="K498">
        <v>10</v>
      </c>
      <c r="L498">
        <v>12</v>
      </c>
      <c r="M498">
        <v>10</v>
      </c>
      <c r="N498">
        <v>9</v>
      </c>
      <c r="O498">
        <v>12</v>
      </c>
      <c r="P498">
        <v>12</v>
      </c>
      <c r="Q498">
        <v>8</v>
      </c>
      <c r="R498">
        <v>10</v>
      </c>
      <c r="S498">
        <v>10</v>
      </c>
      <c r="T498">
        <f t="shared" si="23"/>
        <v>124</v>
      </c>
      <c r="U498">
        <v>1</v>
      </c>
    </row>
    <row r="499" spans="1:21" x14ac:dyDescent="0.3">
      <c r="A499" t="str">
        <f t="shared" si="21"/>
        <v>DerbyshireSocial support (including VCS) (pathway 0)3</v>
      </c>
      <c r="B499">
        <f>IF(C499="","",COUNTIF($C$2:C499,C499))</f>
        <v>3</v>
      </c>
      <c r="C499" t="str">
        <f t="shared" si="22"/>
        <v>DerbyshireSocial support (including VCS) (pathway 0)</v>
      </c>
      <c r="D499" t="str">
        <f>VLOOKUP(G499,PathwayLookup!A:B,2,0)</f>
        <v>Social support (including VCS) (pathway 0)</v>
      </c>
      <c r="E499" t="s">
        <v>131</v>
      </c>
      <c r="F499" t="s">
        <v>632</v>
      </c>
      <c r="G499" t="s">
        <v>682</v>
      </c>
      <c r="H499">
        <v>29</v>
      </c>
      <c r="I499">
        <v>33</v>
      </c>
      <c r="J499">
        <v>37</v>
      </c>
      <c r="K499">
        <v>36</v>
      </c>
      <c r="L499">
        <v>36</v>
      </c>
      <c r="M499">
        <v>26</v>
      </c>
      <c r="N499">
        <v>31</v>
      </c>
      <c r="O499">
        <v>27</v>
      </c>
      <c r="P499">
        <v>36</v>
      </c>
      <c r="Q499">
        <v>33</v>
      </c>
      <c r="R499">
        <v>31</v>
      </c>
      <c r="S499">
        <v>31</v>
      </c>
      <c r="T499">
        <f t="shared" si="23"/>
        <v>386</v>
      </c>
      <c r="U499">
        <v>1</v>
      </c>
    </row>
    <row r="500" spans="1:21" x14ac:dyDescent="0.3">
      <c r="A500" t="str">
        <f t="shared" si="21"/>
        <v>DerbyshireSocial support (including VCS) (pathway 0)4</v>
      </c>
      <c r="B500">
        <f>IF(C500="","",COUNTIF($C$2:C500,C500))</f>
        <v>4</v>
      </c>
      <c r="C500" t="str">
        <f t="shared" si="22"/>
        <v>DerbyshireSocial support (including VCS) (pathway 0)</v>
      </c>
      <c r="D500" t="str">
        <f>VLOOKUP(G500,PathwayLookup!A:B,2,0)</f>
        <v>Social support (including VCS) (pathway 0)</v>
      </c>
      <c r="E500" t="s">
        <v>131</v>
      </c>
      <c r="F500" t="s">
        <v>651</v>
      </c>
      <c r="G500" t="s">
        <v>682</v>
      </c>
      <c r="H500">
        <v>20</v>
      </c>
      <c r="I500">
        <v>18</v>
      </c>
      <c r="J500">
        <v>18</v>
      </c>
      <c r="K500">
        <v>16</v>
      </c>
      <c r="L500">
        <v>19</v>
      </c>
      <c r="M500">
        <v>17</v>
      </c>
      <c r="N500">
        <v>17</v>
      </c>
      <c r="O500">
        <v>19</v>
      </c>
      <c r="P500">
        <v>21</v>
      </c>
      <c r="Q500">
        <v>18</v>
      </c>
      <c r="R500">
        <v>20</v>
      </c>
      <c r="S500">
        <v>21</v>
      </c>
      <c r="T500">
        <f t="shared" si="23"/>
        <v>224</v>
      </c>
      <c r="U500">
        <v>1</v>
      </c>
    </row>
    <row r="501" spans="1:21" x14ac:dyDescent="0.3">
      <c r="A501" t="str">
        <f t="shared" si="21"/>
        <v>DerbyshireReablement &amp; Rehabilitation at home  (pathway 1)1</v>
      </c>
      <c r="B501">
        <f>IF(C501="","",COUNTIF($C$2:C501,C501))</f>
        <v>1</v>
      </c>
      <c r="C501" t="str">
        <f t="shared" si="22"/>
        <v>DerbyshireReablement at home  (pathway 1)</v>
      </c>
      <c r="D501" t="str">
        <f>VLOOKUP(G501,PathwayLookup!A:B,2,0)</f>
        <v>Reablement &amp; Rehabilitation at home  (pathway 1)</v>
      </c>
      <c r="E501" t="s">
        <v>131</v>
      </c>
      <c r="F501" t="s">
        <v>478</v>
      </c>
      <c r="G501" t="s">
        <v>718</v>
      </c>
      <c r="H501">
        <v>120</v>
      </c>
      <c r="I501">
        <v>132</v>
      </c>
      <c r="J501">
        <v>114</v>
      </c>
      <c r="K501">
        <v>142</v>
      </c>
      <c r="L501">
        <v>101</v>
      </c>
      <c r="M501">
        <v>162</v>
      </c>
      <c r="N501">
        <v>161</v>
      </c>
      <c r="O501">
        <v>128</v>
      </c>
      <c r="P501">
        <v>90</v>
      </c>
      <c r="Q501">
        <v>131</v>
      </c>
      <c r="R501">
        <v>118</v>
      </c>
      <c r="S501">
        <v>131</v>
      </c>
      <c r="T501">
        <f t="shared" si="23"/>
        <v>1530</v>
      </c>
      <c r="U501">
        <v>1</v>
      </c>
    </row>
    <row r="502" spans="1:21" x14ac:dyDescent="0.3">
      <c r="A502" t="str">
        <f t="shared" si="21"/>
        <v>DerbyshireReablement &amp; Rehabilitation at home  (pathway 1)2</v>
      </c>
      <c r="B502">
        <f>IF(C502="","",COUNTIF($C$2:C502,C502))</f>
        <v>2</v>
      </c>
      <c r="C502" t="str">
        <f t="shared" si="22"/>
        <v>DerbyshireReablement at home  (pathway 1)</v>
      </c>
      <c r="D502" t="str">
        <f>VLOOKUP(G502,PathwayLookup!A:B,2,0)</f>
        <v>Reablement &amp; Rehabilitation at home  (pathway 1)</v>
      </c>
      <c r="E502" t="s">
        <v>131</v>
      </c>
      <c r="F502" t="s">
        <v>486</v>
      </c>
      <c r="G502" t="s">
        <v>718</v>
      </c>
      <c r="H502">
        <v>36</v>
      </c>
      <c r="I502">
        <v>38</v>
      </c>
      <c r="J502">
        <v>36</v>
      </c>
      <c r="K502">
        <v>41</v>
      </c>
      <c r="L502">
        <v>42</v>
      </c>
      <c r="M502">
        <v>37</v>
      </c>
      <c r="N502">
        <v>35</v>
      </c>
      <c r="O502">
        <v>42</v>
      </c>
      <c r="P502">
        <v>38</v>
      </c>
      <c r="Q502">
        <v>28</v>
      </c>
      <c r="R502">
        <v>35</v>
      </c>
      <c r="S502">
        <v>38</v>
      </c>
      <c r="T502">
        <f t="shared" si="23"/>
        <v>446</v>
      </c>
      <c r="U502">
        <v>1</v>
      </c>
    </row>
    <row r="503" spans="1:21" x14ac:dyDescent="0.3">
      <c r="A503" t="str">
        <f t="shared" si="21"/>
        <v>DerbyshireReablement &amp; Rehabilitation at home  (pathway 1)3</v>
      </c>
      <c r="B503">
        <f>IF(C503="","",COUNTIF($C$2:C503,C503))</f>
        <v>3</v>
      </c>
      <c r="C503" t="str">
        <f t="shared" si="22"/>
        <v>DerbyshireReablement at home  (pathway 1)</v>
      </c>
      <c r="D503" t="str">
        <f>VLOOKUP(G503,PathwayLookup!A:B,2,0)</f>
        <v>Reablement &amp; Rehabilitation at home  (pathway 1)</v>
      </c>
      <c r="E503" t="s">
        <v>131</v>
      </c>
      <c r="F503" t="s">
        <v>632</v>
      </c>
      <c r="G503" t="s">
        <v>718</v>
      </c>
      <c r="H503">
        <v>94</v>
      </c>
      <c r="I503">
        <v>123</v>
      </c>
      <c r="J503">
        <v>136</v>
      </c>
      <c r="K503">
        <v>147</v>
      </c>
      <c r="L503">
        <v>122</v>
      </c>
      <c r="M503">
        <v>98</v>
      </c>
      <c r="N503">
        <v>123</v>
      </c>
      <c r="O503">
        <v>92</v>
      </c>
      <c r="P503">
        <v>117</v>
      </c>
      <c r="Q503">
        <v>119</v>
      </c>
      <c r="R503">
        <v>108</v>
      </c>
      <c r="S503">
        <v>119</v>
      </c>
      <c r="T503">
        <f t="shared" si="23"/>
        <v>1398</v>
      </c>
      <c r="U503">
        <v>1</v>
      </c>
    </row>
    <row r="504" spans="1:21" x14ac:dyDescent="0.3">
      <c r="A504" t="str">
        <f t="shared" si="21"/>
        <v>DerbyshireReablement &amp; Rehabilitation at home  (pathway 1)4</v>
      </c>
      <c r="B504">
        <f>IF(C504="","",COUNTIF($C$2:C504,C504))</f>
        <v>4</v>
      </c>
      <c r="C504" t="str">
        <f t="shared" si="22"/>
        <v>DerbyshireReablement at home  (pathway 1)</v>
      </c>
      <c r="D504" t="str">
        <f>VLOOKUP(G504,PathwayLookup!A:B,2,0)</f>
        <v>Reablement &amp; Rehabilitation at home  (pathway 1)</v>
      </c>
      <c r="E504" t="s">
        <v>131</v>
      </c>
      <c r="F504" t="s">
        <v>651</v>
      </c>
      <c r="G504" t="s">
        <v>718</v>
      </c>
      <c r="H504">
        <v>66</v>
      </c>
      <c r="I504">
        <v>66</v>
      </c>
      <c r="J504">
        <v>67</v>
      </c>
      <c r="K504">
        <v>64</v>
      </c>
      <c r="L504">
        <v>65</v>
      </c>
      <c r="M504">
        <v>65</v>
      </c>
      <c r="N504">
        <v>67</v>
      </c>
      <c r="O504">
        <v>66</v>
      </c>
      <c r="P504">
        <v>67</v>
      </c>
      <c r="Q504">
        <v>66</v>
      </c>
      <c r="R504">
        <v>69</v>
      </c>
      <c r="S504">
        <v>83</v>
      </c>
      <c r="T504">
        <f t="shared" si="23"/>
        <v>811</v>
      </c>
      <c r="U504">
        <v>1</v>
      </c>
    </row>
    <row r="505" spans="1:21" x14ac:dyDescent="0.3">
      <c r="A505" t="str">
        <f t="shared" si="21"/>
        <v>DerbyshireReablement &amp; Rehabilitation in a bedded setting (pathway 2)1</v>
      </c>
      <c r="B505">
        <f>IF(C505="","",COUNTIF($C$2:C505,C505))</f>
        <v>1</v>
      </c>
      <c r="C505" t="str">
        <f t="shared" si="22"/>
        <v>DerbyshireReablement in a bedded setting (pathway 2)</v>
      </c>
      <c r="D505" t="str">
        <f>VLOOKUP(G505,PathwayLookup!A:B,2,0)</f>
        <v>Reablement &amp; Rehabilitation in a bedded setting (pathway 2)</v>
      </c>
      <c r="E505" t="s">
        <v>131</v>
      </c>
      <c r="F505" t="s">
        <v>478</v>
      </c>
      <c r="G505" t="s">
        <v>722</v>
      </c>
      <c r="H505">
        <v>59</v>
      </c>
      <c r="I505">
        <v>53</v>
      </c>
      <c r="J505">
        <v>42</v>
      </c>
      <c r="K505">
        <v>49</v>
      </c>
      <c r="L505">
        <v>65</v>
      </c>
      <c r="M505">
        <v>44</v>
      </c>
      <c r="N505">
        <v>41</v>
      </c>
      <c r="O505">
        <v>56</v>
      </c>
      <c r="P505">
        <v>51</v>
      </c>
      <c r="Q505">
        <v>52</v>
      </c>
      <c r="R505">
        <v>47</v>
      </c>
      <c r="S505">
        <v>52</v>
      </c>
      <c r="T505">
        <f t="shared" si="23"/>
        <v>611</v>
      </c>
      <c r="U505">
        <v>1</v>
      </c>
    </row>
    <row r="506" spans="1:21" x14ac:dyDescent="0.3">
      <c r="A506" t="str">
        <f t="shared" si="21"/>
        <v>DerbyshireReablement &amp; Rehabilitation in a bedded setting (pathway 2)2</v>
      </c>
      <c r="B506">
        <f>IF(C506="","",COUNTIF($C$2:C506,C506))</f>
        <v>2</v>
      </c>
      <c r="C506" t="str">
        <f t="shared" si="22"/>
        <v>DerbyshireReablement in a bedded setting (pathway 2)</v>
      </c>
      <c r="D506" t="str">
        <f>VLOOKUP(G506,PathwayLookup!A:B,2,0)</f>
        <v>Reablement &amp; Rehabilitation in a bedded setting (pathway 2)</v>
      </c>
      <c r="E506" t="s">
        <v>131</v>
      </c>
      <c r="F506" t="s">
        <v>486</v>
      </c>
      <c r="G506" t="s">
        <v>722</v>
      </c>
      <c r="H506">
        <v>5</v>
      </c>
      <c r="I506">
        <v>5</v>
      </c>
      <c r="J506">
        <v>5</v>
      </c>
      <c r="K506">
        <v>6</v>
      </c>
      <c r="L506">
        <v>6</v>
      </c>
      <c r="M506">
        <v>3</v>
      </c>
      <c r="N506">
        <v>2</v>
      </c>
      <c r="O506">
        <v>5</v>
      </c>
      <c r="P506">
        <v>8</v>
      </c>
      <c r="Q506">
        <v>2</v>
      </c>
      <c r="R506">
        <v>3</v>
      </c>
      <c r="S506">
        <v>7</v>
      </c>
      <c r="T506">
        <f t="shared" si="23"/>
        <v>57</v>
      </c>
      <c r="U506">
        <v>1</v>
      </c>
    </row>
    <row r="507" spans="1:21" x14ac:dyDescent="0.3">
      <c r="A507" t="str">
        <f t="shared" si="21"/>
        <v>DerbyshireReablement &amp; Rehabilitation in a bedded setting (pathway 2)3</v>
      </c>
      <c r="B507">
        <f>IF(C507="","",COUNTIF($C$2:C507,C507))</f>
        <v>3</v>
      </c>
      <c r="C507" t="str">
        <f t="shared" si="22"/>
        <v>DerbyshireReablement in a bedded setting (pathway 2)</v>
      </c>
      <c r="D507" t="str">
        <f>VLOOKUP(G507,PathwayLookup!A:B,2,0)</f>
        <v>Reablement &amp; Rehabilitation in a bedded setting (pathway 2)</v>
      </c>
      <c r="E507" t="s">
        <v>131</v>
      </c>
      <c r="F507" t="s">
        <v>632</v>
      </c>
      <c r="G507" t="s">
        <v>722</v>
      </c>
      <c r="H507">
        <v>47</v>
      </c>
      <c r="I507">
        <v>43</v>
      </c>
      <c r="J507">
        <v>41</v>
      </c>
      <c r="K507">
        <v>37</v>
      </c>
      <c r="L507">
        <v>38</v>
      </c>
      <c r="M507">
        <v>36</v>
      </c>
      <c r="N507">
        <v>41</v>
      </c>
      <c r="O507">
        <v>35</v>
      </c>
      <c r="P507">
        <v>40</v>
      </c>
      <c r="Q507">
        <v>40</v>
      </c>
      <c r="R507">
        <v>37</v>
      </c>
      <c r="S507">
        <v>40</v>
      </c>
      <c r="T507">
        <f t="shared" si="23"/>
        <v>475</v>
      </c>
      <c r="U507">
        <v>1</v>
      </c>
    </row>
    <row r="508" spans="1:21" x14ac:dyDescent="0.3">
      <c r="A508" t="str">
        <f t="shared" si="21"/>
        <v>DerbyshireReablement &amp; Rehabilitation in a bedded setting (pathway 2)4</v>
      </c>
      <c r="B508">
        <f>IF(C508="","",COUNTIF($C$2:C508,C508))</f>
        <v>4</v>
      </c>
      <c r="C508" t="str">
        <f t="shared" si="22"/>
        <v>DerbyshireReablement in a bedded setting (pathway 2)</v>
      </c>
      <c r="D508" t="str">
        <f>VLOOKUP(G508,PathwayLookup!A:B,2,0)</f>
        <v>Reablement &amp; Rehabilitation in a bedded setting (pathway 2)</v>
      </c>
      <c r="E508" t="s">
        <v>131</v>
      </c>
      <c r="F508" t="s">
        <v>651</v>
      </c>
      <c r="G508" t="s">
        <v>722</v>
      </c>
      <c r="H508">
        <v>24</v>
      </c>
      <c r="I508">
        <v>24</v>
      </c>
      <c r="J508">
        <v>24</v>
      </c>
      <c r="K508">
        <v>23</v>
      </c>
      <c r="L508">
        <v>24</v>
      </c>
      <c r="M508">
        <v>24</v>
      </c>
      <c r="N508">
        <v>25</v>
      </c>
      <c r="O508">
        <v>24</v>
      </c>
      <c r="P508">
        <v>24</v>
      </c>
      <c r="Q508">
        <v>24</v>
      </c>
      <c r="R508">
        <v>25</v>
      </c>
      <c r="S508">
        <v>30</v>
      </c>
      <c r="T508">
        <f t="shared" si="23"/>
        <v>295</v>
      </c>
      <c r="U508">
        <v>1</v>
      </c>
    </row>
    <row r="509" spans="1:21" x14ac:dyDescent="0.3">
      <c r="A509" t="str">
        <f t="shared" si="21"/>
        <v>DerbyshireReablement &amp; Rehabilitation in a bedded setting (pathway 2)1</v>
      </c>
      <c r="B509">
        <f>IF(C509="","",COUNTIF($C$2:C509,C509))</f>
        <v>1</v>
      </c>
      <c r="C509" t="str">
        <f t="shared" si="22"/>
        <v>DerbyshireRehabilitation in a bedded setting (pathway 2)</v>
      </c>
      <c r="D509" t="str">
        <f>VLOOKUP(G509,PathwayLookup!A:B,2,0)</f>
        <v>Reablement &amp; Rehabilitation in a bedded setting (pathway 2)</v>
      </c>
      <c r="E509" t="s">
        <v>131</v>
      </c>
      <c r="F509" t="s">
        <v>478</v>
      </c>
      <c r="G509" t="s">
        <v>724</v>
      </c>
      <c r="H509">
        <v>31</v>
      </c>
      <c r="I509">
        <v>28</v>
      </c>
      <c r="J509">
        <v>22</v>
      </c>
      <c r="K509">
        <v>26</v>
      </c>
      <c r="L509">
        <v>34</v>
      </c>
      <c r="M509">
        <v>23</v>
      </c>
      <c r="N509">
        <v>21</v>
      </c>
      <c r="O509">
        <v>29</v>
      </c>
      <c r="P509">
        <v>27</v>
      </c>
      <c r="Q509">
        <v>27</v>
      </c>
      <c r="R509">
        <v>25</v>
      </c>
      <c r="S509">
        <v>27</v>
      </c>
      <c r="T509">
        <f t="shared" si="23"/>
        <v>320</v>
      </c>
      <c r="U509">
        <v>1</v>
      </c>
    </row>
    <row r="510" spans="1:21" x14ac:dyDescent="0.3">
      <c r="A510" t="str">
        <f t="shared" si="21"/>
        <v>DerbyshireReablement &amp; Rehabilitation in a bedded setting (pathway 2)2</v>
      </c>
      <c r="B510">
        <f>IF(C510="","",COUNTIF($C$2:C510,C510))</f>
        <v>2</v>
      </c>
      <c r="C510" t="str">
        <f t="shared" si="22"/>
        <v>DerbyshireRehabilitation in a bedded setting (pathway 2)</v>
      </c>
      <c r="D510" t="str">
        <f>VLOOKUP(G510,PathwayLookup!A:B,2,0)</f>
        <v>Reablement &amp; Rehabilitation in a bedded setting (pathway 2)</v>
      </c>
      <c r="E510" t="s">
        <v>131</v>
      </c>
      <c r="F510" t="s">
        <v>486</v>
      </c>
      <c r="G510" t="s">
        <v>724</v>
      </c>
      <c r="H510">
        <v>2</v>
      </c>
      <c r="I510">
        <v>2</v>
      </c>
      <c r="J510">
        <v>2</v>
      </c>
      <c r="K510">
        <v>1</v>
      </c>
      <c r="L510">
        <v>1</v>
      </c>
      <c r="M510">
        <v>2</v>
      </c>
      <c r="N510">
        <v>0</v>
      </c>
      <c r="O510">
        <v>2</v>
      </c>
      <c r="P510">
        <v>2</v>
      </c>
      <c r="Q510">
        <v>1</v>
      </c>
      <c r="R510">
        <v>0</v>
      </c>
      <c r="S510">
        <v>2</v>
      </c>
      <c r="T510">
        <f t="shared" si="23"/>
        <v>17</v>
      </c>
      <c r="U510">
        <v>1</v>
      </c>
    </row>
    <row r="511" spans="1:21" x14ac:dyDescent="0.3">
      <c r="A511" t="str">
        <f t="shared" si="21"/>
        <v>DerbyshireReablement &amp; Rehabilitation in a bedded setting (pathway 2)3</v>
      </c>
      <c r="B511">
        <f>IF(C511="","",COUNTIF($C$2:C511,C511))</f>
        <v>3</v>
      </c>
      <c r="C511" t="str">
        <f t="shared" si="22"/>
        <v>DerbyshireRehabilitation in a bedded setting (pathway 2)</v>
      </c>
      <c r="D511" t="str">
        <f>VLOOKUP(G511,PathwayLookup!A:B,2,0)</f>
        <v>Reablement &amp; Rehabilitation in a bedded setting (pathway 2)</v>
      </c>
      <c r="E511" t="s">
        <v>131</v>
      </c>
      <c r="F511" t="s">
        <v>632</v>
      </c>
      <c r="G511" t="s">
        <v>724</v>
      </c>
      <c r="H511">
        <v>24</v>
      </c>
      <c r="I511">
        <v>22</v>
      </c>
      <c r="J511">
        <v>21</v>
      </c>
      <c r="K511">
        <v>19</v>
      </c>
      <c r="L511">
        <v>19</v>
      </c>
      <c r="M511">
        <v>18</v>
      </c>
      <c r="N511">
        <v>21</v>
      </c>
      <c r="O511">
        <v>18</v>
      </c>
      <c r="P511">
        <v>20</v>
      </c>
      <c r="Q511">
        <v>21</v>
      </c>
      <c r="R511">
        <v>19</v>
      </c>
      <c r="S511">
        <v>21</v>
      </c>
      <c r="T511">
        <f t="shared" si="23"/>
        <v>243</v>
      </c>
      <c r="U511">
        <v>1</v>
      </c>
    </row>
    <row r="512" spans="1:21" x14ac:dyDescent="0.3">
      <c r="A512" t="str">
        <f t="shared" si="21"/>
        <v>DerbyshireReablement &amp; Rehabilitation in a bedded setting (pathway 2)4</v>
      </c>
      <c r="B512">
        <f>IF(C512="","",COUNTIF($C$2:C512,C512))</f>
        <v>4</v>
      </c>
      <c r="C512" t="str">
        <f t="shared" si="22"/>
        <v>DerbyshireRehabilitation in a bedded setting (pathway 2)</v>
      </c>
      <c r="D512" t="str">
        <f>VLOOKUP(G512,PathwayLookup!A:B,2,0)</f>
        <v>Reablement &amp; Rehabilitation in a bedded setting (pathway 2)</v>
      </c>
      <c r="E512" t="s">
        <v>131</v>
      </c>
      <c r="F512" t="s">
        <v>651</v>
      </c>
      <c r="G512" t="s">
        <v>724</v>
      </c>
      <c r="H512">
        <v>13</v>
      </c>
      <c r="I512">
        <v>13</v>
      </c>
      <c r="J512">
        <v>13</v>
      </c>
      <c r="K512">
        <v>12</v>
      </c>
      <c r="L512">
        <v>12</v>
      </c>
      <c r="M512">
        <v>12</v>
      </c>
      <c r="N512">
        <v>13</v>
      </c>
      <c r="O512">
        <v>13</v>
      </c>
      <c r="P512">
        <v>13</v>
      </c>
      <c r="Q512">
        <v>13</v>
      </c>
      <c r="R512">
        <v>13</v>
      </c>
      <c r="S512">
        <v>16</v>
      </c>
      <c r="T512">
        <f t="shared" si="23"/>
        <v>156</v>
      </c>
      <c r="U512">
        <v>1</v>
      </c>
    </row>
    <row r="513" spans="1:21" x14ac:dyDescent="0.3">
      <c r="A513" t="str">
        <f t="shared" si="21"/>
        <v>DerbyshireShort-term residential/nursing care for someone likely to require a longer-term care home placement (pathway 3)1</v>
      </c>
      <c r="B513">
        <f>IF(C513="","",COUNTIF($C$2:C513,C513))</f>
        <v>1</v>
      </c>
      <c r="C513" t="str">
        <f t="shared" si="22"/>
        <v>DerbyshireShort-term residential/nursing care for someone likely to require a longer-term care home placement (pathway 3)</v>
      </c>
      <c r="D513" t="str">
        <f>VLOOKUP(G513,PathwayLookup!A:B,2,0)</f>
        <v>Short-term residential/nursing care for someone likely to require a longer-term care home placement (pathway 3)</v>
      </c>
      <c r="E513" t="s">
        <v>131</v>
      </c>
      <c r="F513" t="s">
        <v>478</v>
      </c>
      <c r="G513" t="s">
        <v>686</v>
      </c>
      <c r="H513">
        <v>23</v>
      </c>
      <c r="I513">
        <v>15</v>
      </c>
      <c r="J513">
        <v>27</v>
      </c>
      <c r="K513">
        <v>22</v>
      </c>
      <c r="L513">
        <v>22</v>
      </c>
      <c r="M513">
        <v>17</v>
      </c>
      <c r="N513">
        <v>25</v>
      </c>
      <c r="O513">
        <v>23</v>
      </c>
      <c r="P513">
        <v>23</v>
      </c>
      <c r="Q513">
        <v>22</v>
      </c>
      <c r="R513">
        <v>20</v>
      </c>
      <c r="S513">
        <v>22</v>
      </c>
      <c r="T513">
        <f t="shared" si="23"/>
        <v>261</v>
      </c>
      <c r="U513">
        <v>1</v>
      </c>
    </row>
    <row r="514" spans="1:21" x14ac:dyDescent="0.3">
      <c r="A514" t="str">
        <f t="shared" ref="A514:A577" si="24">IF(B514="","",E514&amp;D514&amp;B514)</f>
        <v>DerbyshireShort-term residential/nursing care for someone likely to require a longer-term care home placement (pathway 3)2</v>
      </c>
      <c r="B514">
        <f>IF(C514="","",COUNTIF($C$2:C514,C514))</f>
        <v>2</v>
      </c>
      <c r="C514" t="str">
        <f t="shared" ref="C514:C577" si="25">IF(T514=0,"",E514&amp;G514)</f>
        <v>DerbyshireShort-term residential/nursing care for someone likely to require a longer-term care home placement (pathway 3)</v>
      </c>
      <c r="D514" t="str">
        <f>VLOOKUP(G514,PathwayLookup!A:B,2,0)</f>
        <v>Short-term residential/nursing care for someone likely to require a longer-term care home placement (pathway 3)</v>
      </c>
      <c r="E514" t="s">
        <v>131</v>
      </c>
      <c r="F514" t="s">
        <v>486</v>
      </c>
      <c r="G514" t="s">
        <v>686</v>
      </c>
      <c r="H514">
        <v>7</v>
      </c>
      <c r="I514">
        <v>7</v>
      </c>
      <c r="J514">
        <v>7</v>
      </c>
      <c r="K514">
        <v>10</v>
      </c>
      <c r="L514">
        <v>8</v>
      </c>
      <c r="M514">
        <v>10</v>
      </c>
      <c r="N514">
        <v>9</v>
      </c>
      <c r="O514">
        <v>10</v>
      </c>
      <c r="P514">
        <v>4</v>
      </c>
      <c r="Q514">
        <v>9</v>
      </c>
      <c r="R514">
        <v>9</v>
      </c>
      <c r="S514">
        <v>6</v>
      </c>
      <c r="T514">
        <f t="shared" ref="T514:T577" si="26">SUM(H514:S514)</f>
        <v>96</v>
      </c>
      <c r="U514">
        <v>1</v>
      </c>
    </row>
    <row r="515" spans="1:21" x14ac:dyDescent="0.3">
      <c r="A515" t="str">
        <f t="shared" si="24"/>
        <v>DerbyshireShort-term residential/nursing care for someone likely to require a longer-term care home placement (pathway 3)3</v>
      </c>
      <c r="B515">
        <f>IF(C515="","",COUNTIF($C$2:C515,C515))</f>
        <v>3</v>
      </c>
      <c r="C515" t="str">
        <f t="shared" si="25"/>
        <v>DerbyshireShort-term residential/nursing care for someone likely to require a longer-term care home placement (pathway 3)</v>
      </c>
      <c r="D515" t="str">
        <f>VLOOKUP(G515,PathwayLookup!A:B,2,0)</f>
        <v>Short-term residential/nursing care for someone likely to require a longer-term care home placement (pathway 3)</v>
      </c>
      <c r="E515" t="s">
        <v>131</v>
      </c>
      <c r="F515" t="s">
        <v>632</v>
      </c>
      <c r="G515" t="s">
        <v>686</v>
      </c>
      <c r="H515">
        <v>15</v>
      </c>
      <c r="I515">
        <v>15</v>
      </c>
      <c r="J515">
        <v>11</v>
      </c>
      <c r="K515">
        <v>19</v>
      </c>
      <c r="L515">
        <v>10</v>
      </c>
      <c r="M515">
        <v>14</v>
      </c>
      <c r="N515">
        <v>16</v>
      </c>
      <c r="O515">
        <v>7</v>
      </c>
      <c r="P515">
        <v>13</v>
      </c>
      <c r="Q515">
        <v>14</v>
      </c>
      <c r="R515">
        <v>12</v>
      </c>
      <c r="S515">
        <v>14</v>
      </c>
      <c r="T515">
        <f t="shared" si="26"/>
        <v>160</v>
      </c>
      <c r="U515">
        <v>1</v>
      </c>
    </row>
    <row r="516" spans="1:21" x14ac:dyDescent="0.3">
      <c r="A516" t="str">
        <f t="shared" si="24"/>
        <v>DerbyshireShort-term residential/nursing care for someone likely to require a longer-term care home placement (pathway 3)4</v>
      </c>
      <c r="B516">
        <f>IF(C516="","",COUNTIF($C$2:C516,C516))</f>
        <v>4</v>
      </c>
      <c r="C516" t="str">
        <f t="shared" si="25"/>
        <v>DerbyshireShort-term residential/nursing care for someone likely to require a longer-term care home placement (pathway 3)</v>
      </c>
      <c r="D516" t="str">
        <f>VLOOKUP(G516,PathwayLookup!A:B,2,0)</f>
        <v>Short-term residential/nursing care for someone likely to require a longer-term care home placement (pathway 3)</v>
      </c>
      <c r="E516" t="s">
        <v>131</v>
      </c>
      <c r="F516" t="s">
        <v>651</v>
      </c>
      <c r="G516" t="s">
        <v>686</v>
      </c>
      <c r="H516">
        <v>9</v>
      </c>
      <c r="I516">
        <v>9</v>
      </c>
      <c r="J516">
        <v>9</v>
      </c>
      <c r="K516">
        <v>9</v>
      </c>
      <c r="L516">
        <v>9</v>
      </c>
      <c r="M516">
        <v>9</v>
      </c>
      <c r="N516">
        <v>9</v>
      </c>
      <c r="O516">
        <v>9</v>
      </c>
      <c r="P516">
        <v>9</v>
      </c>
      <c r="Q516">
        <v>9</v>
      </c>
      <c r="R516">
        <v>10</v>
      </c>
      <c r="S516">
        <v>12</v>
      </c>
      <c r="T516">
        <f t="shared" si="26"/>
        <v>112</v>
      </c>
      <c r="U516">
        <v>1</v>
      </c>
    </row>
    <row r="517" spans="1:21" x14ac:dyDescent="0.3">
      <c r="A517" t="str">
        <f t="shared" si="24"/>
        <v>DevonSocial support (including VCS) (pathway 0)1</v>
      </c>
      <c r="B517">
        <f>IF(C517="","",COUNTIF($C$2:C517,C517))</f>
        <v>1</v>
      </c>
      <c r="C517" t="str">
        <f t="shared" si="25"/>
        <v>DevonSocial support (including VCS) (pathway 0)</v>
      </c>
      <c r="D517" t="str">
        <f>VLOOKUP(G517,PathwayLookup!A:B,2,0)</f>
        <v>Social support (including VCS) (pathway 0)</v>
      </c>
      <c r="E517" t="s">
        <v>133</v>
      </c>
      <c r="F517" t="s">
        <v>577</v>
      </c>
      <c r="G517" t="s">
        <v>682</v>
      </c>
      <c r="H517">
        <v>2582</v>
      </c>
      <c r="I517">
        <v>3033</v>
      </c>
      <c r="J517">
        <v>2966</v>
      </c>
      <c r="K517">
        <v>2746</v>
      </c>
      <c r="L517">
        <v>2920</v>
      </c>
      <c r="M517">
        <v>3068</v>
      </c>
      <c r="N517">
        <v>3011</v>
      </c>
      <c r="O517">
        <v>3176</v>
      </c>
      <c r="P517">
        <v>2849</v>
      </c>
      <c r="Q517">
        <v>2933</v>
      </c>
      <c r="R517">
        <v>2657</v>
      </c>
      <c r="S517">
        <v>2776</v>
      </c>
      <c r="T517">
        <f t="shared" si="26"/>
        <v>34717</v>
      </c>
      <c r="U517">
        <v>1</v>
      </c>
    </row>
    <row r="518" spans="1:21" x14ac:dyDescent="0.3">
      <c r="A518" t="str">
        <f t="shared" si="24"/>
        <v>DevonSocial support (including VCS) (pathway 0)2</v>
      </c>
      <c r="B518">
        <f>IF(C518="","",COUNTIF($C$2:C518,C518))</f>
        <v>2</v>
      </c>
      <c r="C518" t="str">
        <f t="shared" si="25"/>
        <v>DevonSocial support (including VCS) (pathway 0)</v>
      </c>
      <c r="D518" t="str">
        <f>VLOOKUP(G518,PathwayLookup!A:B,2,0)</f>
        <v>Social support (including VCS) (pathway 0)</v>
      </c>
      <c r="E518" t="s">
        <v>133</v>
      </c>
      <c r="F518" t="s">
        <v>624</v>
      </c>
      <c r="G518" t="s">
        <v>682</v>
      </c>
      <c r="H518">
        <v>602</v>
      </c>
      <c r="I518">
        <v>707</v>
      </c>
      <c r="J518">
        <v>691</v>
      </c>
      <c r="K518">
        <v>640</v>
      </c>
      <c r="L518">
        <v>680</v>
      </c>
      <c r="M518">
        <v>715</v>
      </c>
      <c r="N518">
        <v>702</v>
      </c>
      <c r="O518">
        <v>740</v>
      </c>
      <c r="P518">
        <v>664</v>
      </c>
      <c r="Q518">
        <v>683</v>
      </c>
      <c r="R518">
        <v>619</v>
      </c>
      <c r="S518">
        <v>647</v>
      </c>
      <c r="T518">
        <f t="shared" si="26"/>
        <v>8090</v>
      </c>
      <c r="U518">
        <v>1</v>
      </c>
    </row>
    <row r="519" spans="1:21" x14ac:dyDescent="0.3">
      <c r="A519" t="str">
        <f t="shared" si="24"/>
        <v>DevonSocial support (including VCS) (pathway 0)3</v>
      </c>
      <c r="B519">
        <f>IF(C519="","",COUNTIF($C$2:C519,C519))</f>
        <v>3</v>
      </c>
      <c r="C519" t="str">
        <f t="shared" si="25"/>
        <v>DevonSocial support (including VCS) (pathway 0)</v>
      </c>
      <c r="D519" t="str">
        <f>VLOOKUP(G519,PathwayLookup!A:B,2,0)</f>
        <v>Social support (including VCS) (pathway 0)</v>
      </c>
      <c r="E519" t="s">
        <v>133</v>
      </c>
      <c r="F519" t="s">
        <v>636</v>
      </c>
      <c r="G519" t="s">
        <v>682</v>
      </c>
      <c r="H519">
        <v>390</v>
      </c>
      <c r="I519">
        <v>458</v>
      </c>
      <c r="J519">
        <v>448</v>
      </c>
      <c r="K519">
        <v>415</v>
      </c>
      <c r="L519">
        <v>441</v>
      </c>
      <c r="M519">
        <v>463</v>
      </c>
      <c r="N519">
        <v>455</v>
      </c>
      <c r="O519">
        <v>480</v>
      </c>
      <c r="P519">
        <v>430</v>
      </c>
      <c r="Q519">
        <v>443</v>
      </c>
      <c r="R519">
        <v>401</v>
      </c>
      <c r="S519">
        <v>419</v>
      </c>
      <c r="T519">
        <f t="shared" si="26"/>
        <v>5243</v>
      </c>
      <c r="U519">
        <v>1</v>
      </c>
    </row>
    <row r="520" spans="1:21" x14ac:dyDescent="0.3">
      <c r="A520" t="str">
        <f t="shared" si="24"/>
        <v>DevonSocial support (including VCS) (pathway 0)4</v>
      </c>
      <c r="B520">
        <f>IF(C520="","",COUNTIF($C$2:C520,C520))</f>
        <v>4</v>
      </c>
      <c r="C520" t="str">
        <f t="shared" si="25"/>
        <v>DevonSocial support (including VCS) (pathway 0)</v>
      </c>
      <c r="D520" t="str">
        <f>VLOOKUP(G520,PathwayLookup!A:B,2,0)</f>
        <v>Social support (including VCS) (pathway 0)</v>
      </c>
      <c r="E520" t="s">
        <v>133</v>
      </c>
      <c r="F520" t="s">
        <v>651</v>
      </c>
      <c r="G520" t="s">
        <v>682</v>
      </c>
      <c r="H520">
        <v>147</v>
      </c>
      <c r="I520">
        <v>173</v>
      </c>
      <c r="J520">
        <v>169</v>
      </c>
      <c r="K520">
        <v>156</v>
      </c>
      <c r="L520">
        <v>166</v>
      </c>
      <c r="M520">
        <v>175</v>
      </c>
      <c r="N520">
        <v>171</v>
      </c>
      <c r="O520">
        <v>181</v>
      </c>
      <c r="P520">
        <v>162</v>
      </c>
      <c r="Q520">
        <v>167</v>
      </c>
      <c r="R520">
        <v>151</v>
      </c>
      <c r="S520">
        <v>158</v>
      </c>
      <c r="T520">
        <f t="shared" si="26"/>
        <v>1976</v>
      </c>
      <c r="U520">
        <v>1</v>
      </c>
    </row>
    <row r="521" spans="1:21" x14ac:dyDescent="0.3">
      <c r="A521" t="str">
        <f t="shared" si="24"/>
        <v>DevonReablement &amp; Rehabilitation at home  (pathway 1)1</v>
      </c>
      <c r="B521">
        <f>IF(C521="","",COUNTIF($C$2:C521,C521))</f>
        <v>1</v>
      </c>
      <c r="C521" t="str">
        <f t="shared" si="25"/>
        <v>DevonReablement at home  (pathway 1)</v>
      </c>
      <c r="D521" t="str">
        <f>VLOOKUP(G521,PathwayLookup!A:B,2,0)</f>
        <v>Reablement &amp; Rehabilitation at home  (pathway 1)</v>
      </c>
      <c r="E521" t="s">
        <v>133</v>
      </c>
      <c r="F521" t="s">
        <v>577</v>
      </c>
      <c r="G521" t="s">
        <v>718</v>
      </c>
      <c r="H521">
        <v>323</v>
      </c>
      <c r="I521">
        <v>343</v>
      </c>
      <c r="J521">
        <v>331</v>
      </c>
      <c r="K521">
        <v>259</v>
      </c>
      <c r="L521">
        <v>285</v>
      </c>
      <c r="M521">
        <v>235</v>
      </c>
      <c r="N521">
        <v>243</v>
      </c>
      <c r="O521">
        <v>226</v>
      </c>
      <c r="P521">
        <v>235</v>
      </c>
      <c r="Q521">
        <v>235</v>
      </c>
      <c r="R521">
        <v>337</v>
      </c>
      <c r="S521">
        <v>341</v>
      </c>
      <c r="T521">
        <f t="shared" si="26"/>
        <v>3393</v>
      </c>
      <c r="U521">
        <v>1</v>
      </c>
    </row>
    <row r="522" spans="1:21" x14ac:dyDescent="0.3">
      <c r="A522" t="str">
        <f t="shared" si="24"/>
        <v>DevonReablement &amp; Rehabilitation at home  (pathway 1)2</v>
      </c>
      <c r="B522">
        <f>IF(C522="","",COUNTIF($C$2:C522,C522))</f>
        <v>2</v>
      </c>
      <c r="C522" t="str">
        <f t="shared" si="25"/>
        <v>DevonReablement at home  (pathway 1)</v>
      </c>
      <c r="D522" t="str">
        <f>VLOOKUP(G522,PathwayLookup!A:B,2,0)</f>
        <v>Reablement &amp; Rehabilitation at home  (pathway 1)</v>
      </c>
      <c r="E522" t="s">
        <v>133</v>
      </c>
      <c r="F522" t="s">
        <v>624</v>
      </c>
      <c r="G522" t="s">
        <v>718</v>
      </c>
      <c r="H522">
        <v>75</v>
      </c>
      <c r="I522">
        <v>80</v>
      </c>
      <c r="J522">
        <v>77</v>
      </c>
      <c r="K522">
        <v>60</v>
      </c>
      <c r="L522">
        <v>66</v>
      </c>
      <c r="M522">
        <v>55</v>
      </c>
      <c r="N522">
        <v>57</v>
      </c>
      <c r="O522">
        <v>53</v>
      </c>
      <c r="P522">
        <v>55</v>
      </c>
      <c r="Q522">
        <v>55</v>
      </c>
      <c r="R522">
        <v>78</v>
      </c>
      <c r="S522">
        <v>80</v>
      </c>
      <c r="T522">
        <f t="shared" si="26"/>
        <v>791</v>
      </c>
      <c r="U522">
        <v>1</v>
      </c>
    </row>
    <row r="523" spans="1:21" x14ac:dyDescent="0.3">
      <c r="A523" t="str">
        <f t="shared" si="24"/>
        <v>DevonReablement &amp; Rehabilitation at home  (pathway 1)3</v>
      </c>
      <c r="B523">
        <f>IF(C523="","",COUNTIF($C$2:C523,C523))</f>
        <v>3</v>
      </c>
      <c r="C523" t="str">
        <f t="shared" si="25"/>
        <v>DevonReablement at home  (pathway 1)</v>
      </c>
      <c r="D523" t="str">
        <f>VLOOKUP(G523,PathwayLookup!A:B,2,0)</f>
        <v>Reablement &amp; Rehabilitation at home  (pathway 1)</v>
      </c>
      <c r="E523" t="s">
        <v>133</v>
      </c>
      <c r="F523" t="s">
        <v>636</v>
      </c>
      <c r="G523" t="s">
        <v>718</v>
      </c>
      <c r="H523">
        <v>49</v>
      </c>
      <c r="I523">
        <v>52</v>
      </c>
      <c r="J523">
        <v>50</v>
      </c>
      <c r="K523">
        <v>39</v>
      </c>
      <c r="L523">
        <v>43</v>
      </c>
      <c r="M523">
        <v>35</v>
      </c>
      <c r="N523">
        <v>37</v>
      </c>
      <c r="O523">
        <v>34</v>
      </c>
      <c r="P523">
        <v>36</v>
      </c>
      <c r="Q523">
        <v>35</v>
      </c>
      <c r="R523">
        <v>51</v>
      </c>
      <c r="S523">
        <v>52</v>
      </c>
      <c r="T523">
        <f t="shared" si="26"/>
        <v>513</v>
      </c>
      <c r="U523">
        <v>1</v>
      </c>
    </row>
    <row r="524" spans="1:21" x14ac:dyDescent="0.3">
      <c r="A524" t="str">
        <f t="shared" si="24"/>
        <v>DevonReablement &amp; Rehabilitation at home  (pathway 1)4</v>
      </c>
      <c r="B524">
        <f>IF(C524="","",COUNTIF($C$2:C524,C524))</f>
        <v>4</v>
      </c>
      <c r="C524" t="str">
        <f t="shared" si="25"/>
        <v>DevonReablement at home  (pathway 1)</v>
      </c>
      <c r="D524" t="str">
        <f>VLOOKUP(G524,PathwayLookup!A:B,2,0)</f>
        <v>Reablement &amp; Rehabilitation at home  (pathway 1)</v>
      </c>
      <c r="E524" t="s">
        <v>133</v>
      </c>
      <c r="F524" t="s">
        <v>651</v>
      </c>
      <c r="G524" t="s">
        <v>718</v>
      </c>
      <c r="H524">
        <v>18</v>
      </c>
      <c r="I524">
        <v>20</v>
      </c>
      <c r="J524">
        <v>19</v>
      </c>
      <c r="K524">
        <v>15</v>
      </c>
      <c r="L524">
        <v>16</v>
      </c>
      <c r="M524">
        <v>13</v>
      </c>
      <c r="N524">
        <v>14</v>
      </c>
      <c r="O524">
        <v>13</v>
      </c>
      <c r="P524">
        <v>13</v>
      </c>
      <c r="Q524">
        <v>13</v>
      </c>
      <c r="R524">
        <v>19</v>
      </c>
      <c r="S524">
        <v>19</v>
      </c>
      <c r="T524">
        <f t="shared" si="26"/>
        <v>192</v>
      </c>
      <c r="U524">
        <v>1</v>
      </c>
    </row>
    <row r="525" spans="1:21" x14ac:dyDescent="0.3">
      <c r="A525" t="str">
        <f t="shared" si="24"/>
        <v>DevonReablement &amp; Rehabilitation in a bedded setting (pathway 2)1</v>
      </c>
      <c r="B525">
        <f>IF(C525="","",COUNTIF($C$2:C525,C525))</f>
        <v>1</v>
      </c>
      <c r="C525" t="str">
        <f t="shared" si="25"/>
        <v>DevonReablement in a bedded setting (pathway 2)</v>
      </c>
      <c r="D525" t="str">
        <f>VLOOKUP(G525,PathwayLookup!A:B,2,0)</f>
        <v>Reablement &amp; Rehabilitation in a bedded setting (pathway 2)</v>
      </c>
      <c r="E525" t="s">
        <v>133</v>
      </c>
      <c r="F525" t="s">
        <v>577</v>
      </c>
      <c r="G525" t="s">
        <v>722</v>
      </c>
      <c r="H525">
        <v>139</v>
      </c>
      <c r="I525">
        <v>136</v>
      </c>
      <c r="J525">
        <v>123</v>
      </c>
      <c r="K525">
        <v>119</v>
      </c>
      <c r="L525">
        <v>116</v>
      </c>
      <c r="M525">
        <v>111</v>
      </c>
      <c r="N525">
        <v>123</v>
      </c>
      <c r="O525">
        <v>115</v>
      </c>
      <c r="P525">
        <v>102</v>
      </c>
      <c r="Q525">
        <v>129</v>
      </c>
      <c r="R525">
        <v>128</v>
      </c>
      <c r="S525">
        <v>130</v>
      </c>
      <c r="T525">
        <f t="shared" si="26"/>
        <v>1471</v>
      </c>
      <c r="U525">
        <v>1</v>
      </c>
    </row>
    <row r="526" spans="1:21" x14ac:dyDescent="0.3">
      <c r="A526" t="str">
        <f t="shared" si="24"/>
        <v>DevonReablement &amp; Rehabilitation in a bedded setting (pathway 2)2</v>
      </c>
      <c r="B526">
        <f>IF(C526="","",COUNTIF($C$2:C526,C526))</f>
        <v>2</v>
      </c>
      <c r="C526" t="str">
        <f t="shared" si="25"/>
        <v>DevonReablement in a bedded setting (pathway 2)</v>
      </c>
      <c r="D526" t="str">
        <f>VLOOKUP(G526,PathwayLookup!A:B,2,0)</f>
        <v>Reablement &amp; Rehabilitation in a bedded setting (pathway 2)</v>
      </c>
      <c r="E526" t="s">
        <v>133</v>
      </c>
      <c r="F526" t="s">
        <v>624</v>
      </c>
      <c r="G526" t="s">
        <v>722</v>
      </c>
      <c r="H526">
        <v>32</v>
      </c>
      <c r="I526">
        <v>32</v>
      </c>
      <c r="J526">
        <v>29</v>
      </c>
      <c r="K526">
        <v>28</v>
      </c>
      <c r="L526">
        <v>27</v>
      </c>
      <c r="M526">
        <v>26</v>
      </c>
      <c r="N526">
        <v>29</v>
      </c>
      <c r="O526">
        <v>27</v>
      </c>
      <c r="P526">
        <v>24</v>
      </c>
      <c r="Q526">
        <v>30</v>
      </c>
      <c r="R526">
        <v>30</v>
      </c>
      <c r="S526">
        <v>30</v>
      </c>
      <c r="T526">
        <f t="shared" si="26"/>
        <v>344</v>
      </c>
      <c r="U526">
        <v>1</v>
      </c>
    </row>
    <row r="527" spans="1:21" x14ac:dyDescent="0.3">
      <c r="A527" t="str">
        <f t="shared" si="24"/>
        <v>DevonReablement &amp; Rehabilitation in a bedded setting (pathway 2)3</v>
      </c>
      <c r="B527">
        <f>IF(C527="","",COUNTIF($C$2:C527,C527))</f>
        <v>3</v>
      </c>
      <c r="C527" t="str">
        <f t="shared" si="25"/>
        <v>DevonReablement in a bedded setting (pathway 2)</v>
      </c>
      <c r="D527" t="str">
        <f>VLOOKUP(G527,PathwayLookup!A:B,2,0)</f>
        <v>Reablement &amp; Rehabilitation in a bedded setting (pathway 2)</v>
      </c>
      <c r="E527" t="s">
        <v>133</v>
      </c>
      <c r="F527" t="s">
        <v>636</v>
      </c>
      <c r="G527" t="s">
        <v>722</v>
      </c>
      <c r="H527">
        <v>21</v>
      </c>
      <c r="I527">
        <v>21</v>
      </c>
      <c r="J527">
        <v>19</v>
      </c>
      <c r="K527">
        <v>18</v>
      </c>
      <c r="L527">
        <v>18</v>
      </c>
      <c r="M527">
        <v>17</v>
      </c>
      <c r="N527">
        <v>19</v>
      </c>
      <c r="O527">
        <v>17</v>
      </c>
      <c r="P527">
        <v>15</v>
      </c>
      <c r="Q527">
        <v>19</v>
      </c>
      <c r="R527">
        <v>19</v>
      </c>
      <c r="S527">
        <v>20</v>
      </c>
      <c r="T527">
        <f t="shared" si="26"/>
        <v>223</v>
      </c>
      <c r="U527">
        <v>1</v>
      </c>
    </row>
    <row r="528" spans="1:21" x14ac:dyDescent="0.3">
      <c r="A528" t="str">
        <f t="shared" si="24"/>
        <v>DevonReablement &amp; Rehabilitation in a bedded setting (pathway 2)4</v>
      </c>
      <c r="B528">
        <f>IF(C528="","",COUNTIF($C$2:C528,C528))</f>
        <v>4</v>
      </c>
      <c r="C528" t="str">
        <f t="shared" si="25"/>
        <v>DevonReablement in a bedded setting (pathway 2)</v>
      </c>
      <c r="D528" t="str">
        <f>VLOOKUP(G528,PathwayLookup!A:B,2,0)</f>
        <v>Reablement &amp; Rehabilitation in a bedded setting (pathway 2)</v>
      </c>
      <c r="E528" t="s">
        <v>133</v>
      </c>
      <c r="F528" t="s">
        <v>651</v>
      </c>
      <c r="G528" t="s">
        <v>722</v>
      </c>
      <c r="H528">
        <v>8</v>
      </c>
      <c r="I528">
        <v>8</v>
      </c>
      <c r="J528">
        <v>7</v>
      </c>
      <c r="K528">
        <v>7</v>
      </c>
      <c r="L528">
        <v>7</v>
      </c>
      <c r="M528">
        <v>6</v>
      </c>
      <c r="N528">
        <v>7</v>
      </c>
      <c r="O528">
        <v>7</v>
      </c>
      <c r="P528">
        <v>6</v>
      </c>
      <c r="Q528">
        <v>7</v>
      </c>
      <c r="R528">
        <v>7</v>
      </c>
      <c r="S528">
        <v>7</v>
      </c>
      <c r="T528">
        <f t="shared" si="26"/>
        <v>84</v>
      </c>
      <c r="U528">
        <v>1</v>
      </c>
    </row>
    <row r="529" spans="1:21" x14ac:dyDescent="0.3">
      <c r="A529" t="str">
        <f t="shared" si="24"/>
        <v>DevonShort-term residential/nursing care for someone likely to require a longer-term care home placement (pathway 3)1</v>
      </c>
      <c r="B529">
        <f>IF(C529="","",COUNTIF($C$2:C529,C529))</f>
        <v>1</v>
      </c>
      <c r="C529" t="str">
        <f t="shared" si="25"/>
        <v>DevonShort-term residential/nursing care for someone likely to require a longer-term care home placement (pathway 3)</v>
      </c>
      <c r="D529" t="str">
        <f>VLOOKUP(G529,PathwayLookup!A:B,2,0)</f>
        <v>Short-term residential/nursing care for someone likely to require a longer-term care home placement (pathway 3)</v>
      </c>
      <c r="E529" t="s">
        <v>133</v>
      </c>
      <c r="F529" t="s">
        <v>577</v>
      </c>
      <c r="G529" t="s">
        <v>686</v>
      </c>
      <c r="H529">
        <v>101</v>
      </c>
      <c r="I529">
        <v>107</v>
      </c>
      <c r="J529">
        <v>90</v>
      </c>
      <c r="K529">
        <v>68</v>
      </c>
      <c r="L529">
        <v>69</v>
      </c>
      <c r="M529">
        <v>92</v>
      </c>
      <c r="N529">
        <v>83</v>
      </c>
      <c r="O529">
        <v>83</v>
      </c>
      <c r="P529">
        <v>72</v>
      </c>
      <c r="Q529">
        <v>84</v>
      </c>
      <c r="R529">
        <v>97</v>
      </c>
      <c r="S529">
        <v>81</v>
      </c>
      <c r="T529">
        <f t="shared" si="26"/>
        <v>1027</v>
      </c>
      <c r="U529">
        <v>1</v>
      </c>
    </row>
    <row r="530" spans="1:21" x14ac:dyDescent="0.3">
      <c r="A530" t="str">
        <f t="shared" si="24"/>
        <v>DevonShort-term residential/nursing care for someone likely to require a longer-term care home placement (pathway 3)2</v>
      </c>
      <c r="B530">
        <f>IF(C530="","",COUNTIF($C$2:C530,C530))</f>
        <v>2</v>
      </c>
      <c r="C530" t="str">
        <f t="shared" si="25"/>
        <v>DevonShort-term residential/nursing care for someone likely to require a longer-term care home placement (pathway 3)</v>
      </c>
      <c r="D530" t="str">
        <f>VLOOKUP(G530,PathwayLookup!A:B,2,0)</f>
        <v>Short-term residential/nursing care for someone likely to require a longer-term care home placement (pathway 3)</v>
      </c>
      <c r="E530" t="s">
        <v>133</v>
      </c>
      <c r="F530" t="s">
        <v>624</v>
      </c>
      <c r="G530" t="s">
        <v>686</v>
      </c>
      <c r="H530">
        <v>24</v>
      </c>
      <c r="I530">
        <v>25</v>
      </c>
      <c r="J530">
        <v>21</v>
      </c>
      <c r="K530">
        <v>16</v>
      </c>
      <c r="L530">
        <v>16</v>
      </c>
      <c r="M530">
        <v>22</v>
      </c>
      <c r="N530">
        <v>19</v>
      </c>
      <c r="O530">
        <v>19</v>
      </c>
      <c r="P530">
        <v>17</v>
      </c>
      <c r="Q530">
        <v>20</v>
      </c>
      <c r="R530">
        <v>23</v>
      </c>
      <c r="S530">
        <v>19</v>
      </c>
      <c r="T530">
        <f t="shared" si="26"/>
        <v>241</v>
      </c>
      <c r="U530">
        <v>1</v>
      </c>
    </row>
    <row r="531" spans="1:21" x14ac:dyDescent="0.3">
      <c r="A531" t="str">
        <f t="shared" si="24"/>
        <v>DevonShort-term residential/nursing care for someone likely to require a longer-term care home placement (pathway 3)3</v>
      </c>
      <c r="B531">
        <f>IF(C531="","",COUNTIF($C$2:C531,C531))</f>
        <v>3</v>
      </c>
      <c r="C531" t="str">
        <f t="shared" si="25"/>
        <v>DevonShort-term residential/nursing care for someone likely to require a longer-term care home placement (pathway 3)</v>
      </c>
      <c r="D531" t="str">
        <f>VLOOKUP(G531,PathwayLookup!A:B,2,0)</f>
        <v>Short-term residential/nursing care for someone likely to require a longer-term care home placement (pathway 3)</v>
      </c>
      <c r="E531" t="s">
        <v>133</v>
      </c>
      <c r="F531" t="s">
        <v>636</v>
      </c>
      <c r="G531" t="s">
        <v>686</v>
      </c>
      <c r="H531">
        <v>15</v>
      </c>
      <c r="I531">
        <v>16</v>
      </c>
      <c r="J531">
        <v>14</v>
      </c>
      <c r="K531">
        <v>10</v>
      </c>
      <c r="L531">
        <v>10</v>
      </c>
      <c r="M531">
        <v>14</v>
      </c>
      <c r="N531">
        <v>13</v>
      </c>
      <c r="O531">
        <v>13</v>
      </c>
      <c r="P531">
        <v>11</v>
      </c>
      <c r="Q531">
        <v>13</v>
      </c>
      <c r="R531">
        <v>15</v>
      </c>
      <c r="S531">
        <v>12</v>
      </c>
      <c r="T531">
        <f t="shared" si="26"/>
        <v>156</v>
      </c>
      <c r="U531">
        <v>1</v>
      </c>
    </row>
    <row r="532" spans="1:21" x14ac:dyDescent="0.3">
      <c r="A532" t="str">
        <f t="shared" si="24"/>
        <v>DevonShort-term residential/nursing care for someone likely to require a longer-term care home placement (pathway 3)4</v>
      </c>
      <c r="B532">
        <f>IF(C532="","",COUNTIF($C$2:C532,C532))</f>
        <v>4</v>
      </c>
      <c r="C532" t="str">
        <f t="shared" si="25"/>
        <v>DevonShort-term residential/nursing care for someone likely to require a longer-term care home placement (pathway 3)</v>
      </c>
      <c r="D532" t="str">
        <f>VLOOKUP(G532,PathwayLookup!A:B,2,0)</f>
        <v>Short-term residential/nursing care for someone likely to require a longer-term care home placement (pathway 3)</v>
      </c>
      <c r="E532" t="s">
        <v>133</v>
      </c>
      <c r="F532" t="s">
        <v>651</v>
      </c>
      <c r="G532" t="s">
        <v>686</v>
      </c>
      <c r="H532">
        <v>6</v>
      </c>
      <c r="I532">
        <v>6</v>
      </c>
      <c r="J532">
        <v>5</v>
      </c>
      <c r="K532">
        <v>4</v>
      </c>
      <c r="L532">
        <v>4</v>
      </c>
      <c r="M532">
        <v>5</v>
      </c>
      <c r="N532">
        <v>5</v>
      </c>
      <c r="O532">
        <v>5</v>
      </c>
      <c r="P532">
        <v>4</v>
      </c>
      <c r="Q532">
        <v>5</v>
      </c>
      <c r="R532">
        <v>6</v>
      </c>
      <c r="S532">
        <v>5</v>
      </c>
      <c r="T532">
        <f t="shared" si="26"/>
        <v>60</v>
      </c>
      <c r="U532">
        <v>1</v>
      </c>
    </row>
    <row r="533" spans="1:21" x14ac:dyDescent="0.3">
      <c r="A533" t="str">
        <f t="shared" si="24"/>
        <v>DoncasterReablement &amp; Rehabilitation at home  (pathway 1)1</v>
      </c>
      <c r="B533">
        <f>IF(C533="","",COUNTIF($C$2:C533,C533))</f>
        <v>1</v>
      </c>
      <c r="C533" t="str">
        <f t="shared" si="25"/>
        <v>DoncasterReablement at home  (pathway 1)</v>
      </c>
      <c r="D533" t="str">
        <f>VLOOKUP(G533,PathwayLookup!A:B,2,0)</f>
        <v>Reablement &amp; Rehabilitation at home  (pathway 1)</v>
      </c>
      <c r="E533" t="s">
        <v>135</v>
      </c>
      <c r="F533" t="s">
        <v>489</v>
      </c>
      <c r="G533" t="s">
        <v>718</v>
      </c>
      <c r="H533">
        <v>150</v>
      </c>
      <c r="I533">
        <v>154</v>
      </c>
      <c r="J533">
        <v>144</v>
      </c>
      <c r="K533">
        <v>140</v>
      </c>
      <c r="L533">
        <v>153</v>
      </c>
      <c r="M533">
        <v>161</v>
      </c>
      <c r="N533">
        <v>167</v>
      </c>
      <c r="O533">
        <v>160</v>
      </c>
      <c r="P533">
        <v>147</v>
      </c>
      <c r="Q533">
        <v>167</v>
      </c>
      <c r="R533">
        <v>138</v>
      </c>
      <c r="S533">
        <v>150</v>
      </c>
      <c r="T533">
        <f t="shared" si="26"/>
        <v>1831</v>
      </c>
      <c r="U533">
        <v>1</v>
      </c>
    </row>
    <row r="534" spans="1:21" x14ac:dyDescent="0.3">
      <c r="A534" t="str">
        <f t="shared" si="24"/>
        <v>DoncasterReablement &amp; Rehabilitation at home  (pathway 1)1</v>
      </c>
      <c r="B534">
        <f>IF(C534="","",COUNTIF($C$2:C534,C534))</f>
        <v>1</v>
      </c>
      <c r="C534" t="str">
        <f t="shared" si="25"/>
        <v>DoncasterRehabilitation at home (pathway 1)</v>
      </c>
      <c r="D534" t="str">
        <f>VLOOKUP(G534,PathwayLookup!A:B,2,0)</f>
        <v>Reablement &amp; Rehabilitation at home  (pathway 1)</v>
      </c>
      <c r="E534" t="s">
        <v>135</v>
      </c>
      <c r="F534" t="s">
        <v>489</v>
      </c>
      <c r="G534" t="s">
        <v>719</v>
      </c>
      <c r="H534">
        <v>34</v>
      </c>
      <c r="I534">
        <v>35</v>
      </c>
      <c r="J534">
        <v>34</v>
      </c>
      <c r="K534">
        <v>35</v>
      </c>
      <c r="L534">
        <v>35</v>
      </c>
      <c r="M534">
        <v>34</v>
      </c>
      <c r="N534">
        <v>35</v>
      </c>
      <c r="O534">
        <v>34</v>
      </c>
      <c r="P534">
        <v>35</v>
      </c>
      <c r="Q534">
        <v>35</v>
      </c>
      <c r="R534">
        <v>33</v>
      </c>
      <c r="S534">
        <v>35</v>
      </c>
      <c r="T534">
        <f t="shared" si="26"/>
        <v>414</v>
      </c>
      <c r="U534">
        <v>1</v>
      </c>
    </row>
    <row r="535" spans="1:21" x14ac:dyDescent="0.3">
      <c r="A535" t="str">
        <f t="shared" si="24"/>
        <v>DoncasterReablement &amp; Rehabilitation in a bedded setting (pathway 2)1</v>
      </c>
      <c r="B535">
        <f>IF(C535="","",COUNTIF($C$2:C535,C535))</f>
        <v>1</v>
      </c>
      <c r="C535" t="str">
        <f t="shared" si="25"/>
        <v>DoncasterReablement in a bedded setting (pathway 2)</v>
      </c>
      <c r="D535" t="str">
        <f>VLOOKUP(G535,PathwayLookup!A:B,2,0)</f>
        <v>Reablement &amp; Rehabilitation in a bedded setting (pathway 2)</v>
      </c>
      <c r="E535" t="s">
        <v>135</v>
      </c>
      <c r="F535" t="s">
        <v>489</v>
      </c>
      <c r="G535" t="s">
        <v>722</v>
      </c>
      <c r="H535">
        <v>53</v>
      </c>
      <c r="I535">
        <v>55</v>
      </c>
      <c r="J535">
        <v>53</v>
      </c>
      <c r="K535">
        <v>55</v>
      </c>
      <c r="L535">
        <v>55</v>
      </c>
      <c r="M535">
        <v>53</v>
      </c>
      <c r="N535">
        <v>55</v>
      </c>
      <c r="O535">
        <v>53</v>
      </c>
      <c r="P535">
        <v>55</v>
      </c>
      <c r="Q535">
        <v>55</v>
      </c>
      <c r="R535">
        <v>51</v>
      </c>
      <c r="S535">
        <v>55</v>
      </c>
      <c r="T535">
        <f t="shared" si="26"/>
        <v>648</v>
      </c>
      <c r="U535">
        <v>1</v>
      </c>
    </row>
    <row r="536" spans="1:21" x14ac:dyDescent="0.3">
      <c r="A536" t="str">
        <f t="shared" si="24"/>
        <v>DoncasterReablement &amp; Rehabilitation in a bedded setting (pathway 2)1</v>
      </c>
      <c r="B536">
        <f>IF(C536="","",COUNTIF($C$2:C536,C536))</f>
        <v>1</v>
      </c>
      <c r="C536" t="str">
        <f t="shared" si="25"/>
        <v>DoncasterRehabilitation in a bedded setting (pathway 2)</v>
      </c>
      <c r="D536" t="str">
        <f>VLOOKUP(G536,PathwayLookup!A:B,2,0)</f>
        <v>Reablement &amp; Rehabilitation in a bedded setting (pathway 2)</v>
      </c>
      <c r="E536" t="s">
        <v>135</v>
      </c>
      <c r="F536" t="s">
        <v>489</v>
      </c>
      <c r="G536" t="s">
        <v>724</v>
      </c>
      <c r="H536">
        <v>46</v>
      </c>
      <c r="I536">
        <v>47</v>
      </c>
      <c r="J536">
        <v>46</v>
      </c>
      <c r="K536">
        <v>47</v>
      </c>
      <c r="L536">
        <v>47</v>
      </c>
      <c r="M536">
        <v>46</v>
      </c>
      <c r="N536">
        <v>47</v>
      </c>
      <c r="O536">
        <v>46</v>
      </c>
      <c r="P536">
        <v>47</v>
      </c>
      <c r="Q536">
        <v>47</v>
      </c>
      <c r="R536">
        <v>44</v>
      </c>
      <c r="S536">
        <v>47</v>
      </c>
      <c r="T536">
        <f t="shared" si="26"/>
        <v>557</v>
      </c>
      <c r="U536">
        <v>1</v>
      </c>
    </row>
    <row r="537" spans="1:21" x14ac:dyDescent="0.3">
      <c r="A537" t="str">
        <f t="shared" si="24"/>
        <v>DoncasterShort-term residential/nursing care for someone likely to require a longer-term care home placement (pathway 3)1</v>
      </c>
      <c r="B537">
        <f>IF(C537="","",COUNTIF($C$2:C537,C537))</f>
        <v>1</v>
      </c>
      <c r="C537" t="str">
        <f t="shared" si="25"/>
        <v>DoncasterShort-term residential/nursing care for someone likely to require a longer-term care home placement (pathway 3)</v>
      </c>
      <c r="D537" t="str">
        <f>VLOOKUP(G537,PathwayLookup!A:B,2,0)</f>
        <v>Short-term residential/nursing care for someone likely to require a longer-term care home placement (pathway 3)</v>
      </c>
      <c r="E537" t="s">
        <v>135</v>
      </c>
      <c r="F537" t="s">
        <v>489</v>
      </c>
      <c r="G537" t="s">
        <v>686</v>
      </c>
      <c r="H537">
        <v>68</v>
      </c>
      <c r="I537">
        <v>71</v>
      </c>
      <c r="J537">
        <v>68</v>
      </c>
      <c r="K537">
        <v>71</v>
      </c>
      <c r="L537">
        <v>71</v>
      </c>
      <c r="M537">
        <v>68</v>
      </c>
      <c r="N537">
        <v>71</v>
      </c>
      <c r="O537">
        <v>68</v>
      </c>
      <c r="P537">
        <v>71</v>
      </c>
      <c r="Q537">
        <v>71</v>
      </c>
      <c r="R537">
        <v>66</v>
      </c>
      <c r="S537">
        <v>71</v>
      </c>
      <c r="T537">
        <f t="shared" si="26"/>
        <v>835</v>
      </c>
      <c r="U537">
        <v>1</v>
      </c>
    </row>
    <row r="538" spans="1:21" x14ac:dyDescent="0.3">
      <c r="A538" t="str">
        <f t="shared" si="24"/>
        <v>DorsetSocial support (including VCS) (pathway 0)1</v>
      </c>
      <c r="B538">
        <f>IF(C538="","",COUNTIF($C$2:C538,C538))</f>
        <v>1</v>
      </c>
      <c r="C538" t="str">
        <f t="shared" si="25"/>
        <v>DorsetSocial support (including VCS) (pathway 0)</v>
      </c>
      <c r="D538" t="str">
        <f>VLOOKUP(G538,PathwayLookup!A:B,2,0)</f>
        <v>Social support (including VCS) (pathway 0)</v>
      </c>
      <c r="E538" t="s">
        <v>137</v>
      </c>
      <c r="F538" t="s">
        <v>490</v>
      </c>
      <c r="G538" t="s">
        <v>682</v>
      </c>
      <c r="H538">
        <v>61</v>
      </c>
      <c r="I538">
        <v>71</v>
      </c>
      <c r="J538">
        <v>69</v>
      </c>
      <c r="K538">
        <v>65</v>
      </c>
      <c r="L538">
        <v>66</v>
      </c>
      <c r="M538">
        <v>60</v>
      </c>
      <c r="N538">
        <v>55</v>
      </c>
      <c r="O538">
        <v>60</v>
      </c>
      <c r="P538">
        <v>48</v>
      </c>
      <c r="Q538">
        <v>62</v>
      </c>
      <c r="R538">
        <v>46</v>
      </c>
      <c r="S538">
        <v>61</v>
      </c>
      <c r="T538">
        <f t="shared" si="26"/>
        <v>724</v>
      </c>
      <c r="U538">
        <v>1</v>
      </c>
    </row>
    <row r="539" spans="1:21" x14ac:dyDescent="0.3">
      <c r="A539" t="str">
        <f t="shared" si="24"/>
        <v>DorsetSocial support (including VCS) (pathway 0)2</v>
      </c>
      <c r="B539">
        <f>IF(C539="","",COUNTIF($C$2:C539,C539))</f>
        <v>2</v>
      </c>
      <c r="C539" t="str">
        <f t="shared" si="25"/>
        <v>DorsetSocial support (including VCS) (pathway 0)</v>
      </c>
      <c r="D539" t="str">
        <f>VLOOKUP(G539,PathwayLookup!A:B,2,0)</f>
        <v>Social support (including VCS) (pathway 0)</v>
      </c>
      <c r="E539" t="s">
        <v>137</v>
      </c>
      <c r="F539" t="s">
        <v>491</v>
      </c>
      <c r="G539" t="s">
        <v>682</v>
      </c>
      <c r="H539">
        <v>50</v>
      </c>
      <c r="I539">
        <v>58</v>
      </c>
      <c r="J539">
        <v>57</v>
      </c>
      <c r="K539">
        <v>52</v>
      </c>
      <c r="L539">
        <v>54</v>
      </c>
      <c r="M539">
        <v>50</v>
      </c>
      <c r="N539">
        <v>45</v>
      </c>
      <c r="O539">
        <v>49</v>
      </c>
      <c r="P539">
        <v>40</v>
      </c>
      <c r="Q539">
        <v>51</v>
      </c>
      <c r="R539">
        <v>38</v>
      </c>
      <c r="S539">
        <v>50</v>
      </c>
      <c r="T539">
        <f t="shared" si="26"/>
        <v>594</v>
      </c>
      <c r="U539">
        <v>1</v>
      </c>
    </row>
    <row r="540" spans="1:21" x14ac:dyDescent="0.3">
      <c r="A540" t="str">
        <f t="shared" si="24"/>
        <v>DorsetSocial support (including VCS) (pathway 0)3</v>
      </c>
      <c r="B540">
        <f>IF(C540="","",COUNTIF($C$2:C540,C540))</f>
        <v>3</v>
      </c>
      <c r="C540" t="str">
        <f t="shared" si="25"/>
        <v>DorsetSocial support (including VCS) (pathway 0)</v>
      </c>
      <c r="D540" t="str">
        <f>VLOOKUP(G540,PathwayLookup!A:B,2,0)</f>
        <v>Social support (including VCS) (pathway 0)</v>
      </c>
      <c r="E540" t="s">
        <v>137</v>
      </c>
      <c r="F540" t="s">
        <v>583</v>
      </c>
      <c r="G540" t="s">
        <v>682</v>
      </c>
      <c r="H540">
        <v>20</v>
      </c>
      <c r="I540">
        <v>24</v>
      </c>
      <c r="J540">
        <v>23</v>
      </c>
      <c r="K540">
        <v>21</v>
      </c>
      <c r="L540">
        <v>22</v>
      </c>
      <c r="M540">
        <v>20</v>
      </c>
      <c r="N540">
        <v>18</v>
      </c>
      <c r="O540">
        <v>20</v>
      </c>
      <c r="P540">
        <v>16</v>
      </c>
      <c r="Q540">
        <v>21</v>
      </c>
      <c r="R540">
        <v>15</v>
      </c>
      <c r="S540">
        <v>20</v>
      </c>
      <c r="T540">
        <f t="shared" si="26"/>
        <v>240</v>
      </c>
      <c r="U540">
        <v>1</v>
      </c>
    </row>
    <row r="541" spans="1:21" x14ac:dyDescent="0.3">
      <c r="A541" t="str">
        <f t="shared" si="24"/>
        <v>DorsetSocial support (including VCS) (pathway 0)4</v>
      </c>
      <c r="B541">
        <f>IF(C541="","",COUNTIF($C$2:C541,C541))</f>
        <v>4</v>
      </c>
      <c r="C541" t="str">
        <f t="shared" si="25"/>
        <v>DorsetSocial support (including VCS) (pathway 0)</v>
      </c>
      <c r="D541" t="str">
        <f>VLOOKUP(G541,PathwayLookup!A:B,2,0)</f>
        <v>Social support (including VCS) (pathway 0)</v>
      </c>
      <c r="E541" t="s">
        <v>137</v>
      </c>
      <c r="F541" t="s">
        <v>631</v>
      </c>
      <c r="G541" t="s">
        <v>682</v>
      </c>
      <c r="H541">
        <v>11</v>
      </c>
      <c r="I541">
        <v>13</v>
      </c>
      <c r="J541">
        <v>12</v>
      </c>
      <c r="K541">
        <v>11</v>
      </c>
      <c r="L541">
        <v>12</v>
      </c>
      <c r="M541">
        <v>11</v>
      </c>
      <c r="N541">
        <v>10</v>
      </c>
      <c r="O541">
        <v>11</v>
      </c>
      <c r="P541">
        <v>9</v>
      </c>
      <c r="Q541">
        <v>11</v>
      </c>
      <c r="R541">
        <v>8</v>
      </c>
      <c r="S541">
        <v>11</v>
      </c>
      <c r="T541">
        <f t="shared" si="26"/>
        <v>130</v>
      </c>
      <c r="U541">
        <v>1</v>
      </c>
    </row>
    <row r="542" spans="1:21" x14ac:dyDescent="0.3">
      <c r="A542" t="str">
        <f t="shared" si="24"/>
        <v>DorsetSocial support (including VCS) (pathway 0)5</v>
      </c>
      <c r="B542">
        <f>IF(C542="","",COUNTIF($C$2:C542,C542))</f>
        <v>5</v>
      </c>
      <c r="C542" t="str">
        <f t="shared" si="25"/>
        <v>DorsetSocial support (including VCS) (pathway 0)</v>
      </c>
      <c r="D542" t="str">
        <f>VLOOKUP(G542,PathwayLookup!A:B,2,0)</f>
        <v>Social support (including VCS) (pathway 0)</v>
      </c>
      <c r="E542" t="s">
        <v>137</v>
      </c>
      <c r="F542" t="s">
        <v>649</v>
      </c>
      <c r="G542" t="s">
        <v>682</v>
      </c>
      <c r="H542">
        <v>12</v>
      </c>
      <c r="I542">
        <v>14</v>
      </c>
      <c r="J542">
        <v>14</v>
      </c>
      <c r="K542">
        <v>13</v>
      </c>
      <c r="L542">
        <v>14</v>
      </c>
      <c r="M542">
        <v>12</v>
      </c>
      <c r="N542">
        <v>11</v>
      </c>
      <c r="O542">
        <v>12</v>
      </c>
      <c r="P542">
        <v>10</v>
      </c>
      <c r="Q542">
        <v>13</v>
      </c>
      <c r="R542">
        <v>9</v>
      </c>
      <c r="S542">
        <v>12</v>
      </c>
      <c r="T542">
        <f t="shared" si="26"/>
        <v>146</v>
      </c>
      <c r="U542">
        <v>1</v>
      </c>
    </row>
    <row r="543" spans="1:21" x14ac:dyDescent="0.3">
      <c r="A543" t="str">
        <f t="shared" si="24"/>
        <v>DorsetReablement &amp; Rehabilitation at home  (pathway 1)1</v>
      </c>
      <c r="B543">
        <f>IF(C543="","",COUNTIF($C$2:C543,C543))</f>
        <v>1</v>
      </c>
      <c r="C543" t="str">
        <f t="shared" si="25"/>
        <v>DorsetReablement at home  (pathway 1)</v>
      </c>
      <c r="D543" t="str">
        <f>VLOOKUP(G543,PathwayLookup!A:B,2,0)</f>
        <v>Reablement &amp; Rehabilitation at home  (pathway 1)</v>
      </c>
      <c r="E543" t="s">
        <v>137</v>
      </c>
      <c r="F543" t="s">
        <v>490</v>
      </c>
      <c r="G543" t="s">
        <v>718</v>
      </c>
      <c r="H543">
        <v>38</v>
      </c>
      <c r="I543">
        <v>38</v>
      </c>
      <c r="J543">
        <v>31</v>
      </c>
      <c r="K543">
        <v>36</v>
      </c>
      <c r="L543">
        <v>38</v>
      </c>
      <c r="M543">
        <v>33</v>
      </c>
      <c r="N543">
        <v>39</v>
      </c>
      <c r="O543">
        <v>39</v>
      </c>
      <c r="P543">
        <v>36</v>
      </c>
      <c r="Q543">
        <v>44</v>
      </c>
      <c r="R543">
        <v>43</v>
      </c>
      <c r="S543">
        <v>54</v>
      </c>
      <c r="T543">
        <f t="shared" si="26"/>
        <v>469</v>
      </c>
      <c r="U543">
        <v>1</v>
      </c>
    </row>
    <row r="544" spans="1:21" x14ac:dyDescent="0.3">
      <c r="A544" t="str">
        <f t="shared" si="24"/>
        <v>DorsetReablement &amp; Rehabilitation at home  (pathway 1)2</v>
      </c>
      <c r="B544">
        <f>IF(C544="","",COUNTIF($C$2:C544,C544))</f>
        <v>2</v>
      </c>
      <c r="C544" t="str">
        <f t="shared" si="25"/>
        <v>DorsetReablement at home  (pathway 1)</v>
      </c>
      <c r="D544" t="str">
        <f>VLOOKUP(G544,PathwayLookup!A:B,2,0)</f>
        <v>Reablement &amp; Rehabilitation at home  (pathway 1)</v>
      </c>
      <c r="E544" t="s">
        <v>137</v>
      </c>
      <c r="F544" t="s">
        <v>491</v>
      </c>
      <c r="G544" t="s">
        <v>718</v>
      </c>
      <c r="H544">
        <v>12</v>
      </c>
      <c r="I544">
        <v>12</v>
      </c>
      <c r="J544">
        <v>10</v>
      </c>
      <c r="K544">
        <v>12</v>
      </c>
      <c r="L544">
        <v>12</v>
      </c>
      <c r="M544">
        <v>11</v>
      </c>
      <c r="N544">
        <v>13</v>
      </c>
      <c r="O544">
        <v>13</v>
      </c>
      <c r="P544">
        <v>12</v>
      </c>
      <c r="Q544">
        <v>15</v>
      </c>
      <c r="R544">
        <v>14</v>
      </c>
      <c r="S544">
        <v>18</v>
      </c>
      <c r="T544">
        <f t="shared" si="26"/>
        <v>154</v>
      </c>
      <c r="U544">
        <v>1</v>
      </c>
    </row>
    <row r="545" spans="1:21" x14ac:dyDescent="0.3">
      <c r="A545" t="str">
        <f t="shared" si="24"/>
        <v>DorsetReablement &amp; Rehabilitation at home  (pathway 1)3</v>
      </c>
      <c r="B545">
        <f>IF(C545="","",COUNTIF($C$2:C545,C545))</f>
        <v>3</v>
      </c>
      <c r="C545" t="str">
        <f t="shared" si="25"/>
        <v>DorsetReablement at home  (pathway 1)</v>
      </c>
      <c r="D545" t="str">
        <f>VLOOKUP(G545,PathwayLookup!A:B,2,0)</f>
        <v>Reablement &amp; Rehabilitation at home  (pathway 1)</v>
      </c>
      <c r="E545" t="s">
        <v>137</v>
      </c>
      <c r="F545" t="s">
        <v>583</v>
      </c>
      <c r="G545" t="s">
        <v>718</v>
      </c>
      <c r="H545">
        <v>8</v>
      </c>
      <c r="I545">
        <v>8</v>
      </c>
      <c r="J545">
        <v>7</v>
      </c>
      <c r="K545">
        <v>7</v>
      </c>
      <c r="L545">
        <v>7</v>
      </c>
      <c r="M545">
        <v>7</v>
      </c>
      <c r="N545">
        <v>8</v>
      </c>
      <c r="O545">
        <v>8</v>
      </c>
      <c r="P545">
        <v>7</v>
      </c>
      <c r="Q545">
        <v>9</v>
      </c>
      <c r="R545">
        <v>9</v>
      </c>
      <c r="S545">
        <v>11</v>
      </c>
      <c r="T545">
        <f t="shared" si="26"/>
        <v>96</v>
      </c>
      <c r="U545">
        <v>1</v>
      </c>
    </row>
    <row r="546" spans="1:21" x14ac:dyDescent="0.3">
      <c r="A546" t="str">
        <f t="shared" si="24"/>
        <v>DorsetReablement &amp; Rehabilitation at home  (pathway 1)4</v>
      </c>
      <c r="B546">
        <f>IF(C546="","",COUNTIF($C$2:C546,C546))</f>
        <v>4</v>
      </c>
      <c r="C546" t="str">
        <f t="shared" si="25"/>
        <v>DorsetReablement at home  (pathway 1)</v>
      </c>
      <c r="D546" t="str">
        <f>VLOOKUP(G546,PathwayLookup!A:B,2,0)</f>
        <v>Reablement &amp; Rehabilitation at home  (pathway 1)</v>
      </c>
      <c r="E546" t="s">
        <v>137</v>
      </c>
      <c r="F546" t="s">
        <v>631</v>
      </c>
      <c r="G546" t="s">
        <v>718</v>
      </c>
      <c r="H546">
        <v>31</v>
      </c>
      <c r="I546">
        <v>31</v>
      </c>
      <c r="J546">
        <v>26</v>
      </c>
      <c r="K546">
        <v>29</v>
      </c>
      <c r="L546">
        <v>31</v>
      </c>
      <c r="M546">
        <v>27</v>
      </c>
      <c r="N546">
        <v>32</v>
      </c>
      <c r="O546">
        <v>32</v>
      </c>
      <c r="P546">
        <v>29</v>
      </c>
      <c r="Q546">
        <v>36</v>
      </c>
      <c r="R546">
        <v>35</v>
      </c>
      <c r="S546">
        <v>45</v>
      </c>
      <c r="T546">
        <f t="shared" si="26"/>
        <v>384</v>
      </c>
      <c r="U546">
        <v>1</v>
      </c>
    </row>
    <row r="547" spans="1:21" x14ac:dyDescent="0.3">
      <c r="A547" t="str">
        <f t="shared" si="24"/>
        <v>DorsetReablement &amp; Rehabilitation at home  (pathway 1)5</v>
      </c>
      <c r="B547">
        <f>IF(C547="","",COUNTIF($C$2:C547,C547))</f>
        <v>5</v>
      </c>
      <c r="C547" t="str">
        <f t="shared" si="25"/>
        <v>DorsetReablement at home  (pathway 1)</v>
      </c>
      <c r="D547" t="str">
        <f>VLOOKUP(G547,PathwayLookup!A:B,2,0)</f>
        <v>Reablement &amp; Rehabilitation at home  (pathway 1)</v>
      </c>
      <c r="E547" t="s">
        <v>137</v>
      </c>
      <c r="F547" t="s">
        <v>649</v>
      </c>
      <c r="G547" t="s">
        <v>718</v>
      </c>
      <c r="H547">
        <v>8</v>
      </c>
      <c r="I547">
        <v>8</v>
      </c>
      <c r="J547">
        <v>7</v>
      </c>
      <c r="K547">
        <v>7</v>
      </c>
      <c r="L547">
        <v>7</v>
      </c>
      <c r="M547">
        <v>7</v>
      </c>
      <c r="N547">
        <v>8</v>
      </c>
      <c r="O547">
        <v>8</v>
      </c>
      <c r="P547">
        <v>7</v>
      </c>
      <c r="Q547">
        <v>9</v>
      </c>
      <c r="R547">
        <v>9</v>
      </c>
      <c r="S547">
        <v>11</v>
      </c>
      <c r="T547">
        <f t="shared" si="26"/>
        <v>96</v>
      </c>
      <c r="U547">
        <v>1</v>
      </c>
    </row>
    <row r="548" spans="1:21" x14ac:dyDescent="0.3">
      <c r="A548" t="str">
        <f t="shared" si="24"/>
        <v>DorsetReablement &amp; Rehabilitation at home  (pathway 1)1</v>
      </c>
      <c r="B548">
        <f>IF(C548="","",COUNTIF($C$2:C548,C548))</f>
        <v>1</v>
      </c>
      <c r="C548" t="str">
        <f t="shared" si="25"/>
        <v>DorsetRehabilitation at home (pathway 1)</v>
      </c>
      <c r="D548" t="str">
        <f>VLOOKUP(G548,PathwayLookup!A:B,2,0)</f>
        <v>Reablement &amp; Rehabilitation at home  (pathway 1)</v>
      </c>
      <c r="E548" t="s">
        <v>137</v>
      </c>
      <c r="F548" t="s">
        <v>490</v>
      </c>
      <c r="G548" t="s">
        <v>719</v>
      </c>
      <c r="H548">
        <v>20</v>
      </c>
      <c r="I548">
        <v>20</v>
      </c>
      <c r="J548">
        <v>16</v>
      </c>
      <c r="K548">
        <v>18</v>
      </c>
      <c r="L548">
        <v>19</v>
      </c>
      <c r="M548">
        <v>17</v>
      </c>
      <c r="N548">
        <v>20</v>
      </c>
      <c r="O548">
        <v>20</v>
      </c>
      <c r="P548">
        <v>18</v>
      </c>
      <c r="Q548">
        <v>22</v>
      </c>
      <c r="R548">
        <v>22</v>
      </c>
      <c r="S548">
        <v>27</v>
      </c>
      <c r="T548">
        <f t="shared" si="26"/>
        <v>239</v>
      </c>
      <c r="U548">
        <v>1</v>
      </c>
    </row>
    <row r="549" spans="1:21" x14ac:dyDescent="0.3">
      <c r="A549" t="str">
        <f t="shared" si="24"/>
        <v>DorsetReablement &amp; Rehabilitation at home  (pathway 1)2</v>
      </c>
      <c r="B549">
        <f>IF(C549="","",COUNTIF($C$2:C549,C549))</f>
        <v>2</v>
      </c>
      <c r="C549" t="str">
        <f t="shared" si="25"/>
        <v>DorsetRehabilitation at home (pathway 1)</v>
      </c>
      <c r="D549" t="str">
        <f>VLOOKUP(G549,PathwayLookup!A:B,2,0)</f>
        <v>Reablement &amp; Rehabilitation at home  (pathway 1)</v>
      </c>
      <c r="E549" t="s">
        <v>137</v>
      </c>
      <c r="F549" t="s">
        <v>491</v>
      </c>
      <c r="G549" t="s">
        <v>719</v>
      </c>
      <c r="H549">
        <v>7</v>
      </c>
      <c r="I549">
        <v>7</v>
      </c>
      <c r="J549">
        <v>5</v>
      </c>
      <c r="K549">
        <v>6</v>
      </c>
      <c r="L549">
        <v>6</v>
      </c>
      <c r="M549">
        <v>6</v>
      </c>
      <c r="N549">
        <v>7</v>
      </c>
      <c r="O549">
        <v>7</v>
      </c>
      <c r="P549">
        <v>6</v>
      </c>
      <c r="Q549">
        <v>7</v>
      </c>
      <c r="R549">
        <v>7</v>
      </c>
      <c r="S549">
        <v>9</v>
      </c>
      <c r="T549">
        <f t="shared" si="26"/>
        <v>80</v>
      </c>
      <c r="U549">
        <v>1</v>
      </c>
    </row>
    <row r="550" spans="1:21" x14ac:dyDescent="0.3">
      <c r="A550" t="str">
        <f t="shared" si="24"/>
        <v>DorsetReablement &amp; Rehabilitation at home  (pathway 1)3</v>
      </c>
      <c r="B550">
        <f>IF(C550="","",COUNTIF($C$2:C550,C550))</f>
        <v>3</v>
      </c>
      <c r="C550" t="str">
        <f t="shared" si="25"/>
        <v>DorsetRehabilitation at home (pathway 1)</v>
      </c>
      <c r="D550" t="str">
        <f>VLOOKUP(G550,PathwayLookup!A:B,2,0)</f>
        <v>Reablement &amp; Rehabilitation at home  (pathway 1)</v>
      </c>
      <c r="E550" t="s">
        <v>137</v>
      </c>
      <c r="F550" t="s">
        <v>583</v>
      </c>
      <c r="G550" t="s">
        <v>719</v>
      </c>
      <c r="H550">
        <v>4</v>
      </c>
      <c r="I550">
        <v>4</v>
      </c>
      <c r="J550">
        <v>3</v>
      </c>
      <c r="K550">
        <v>4</v>
      </c>
      <c r="L550">
        <v>4</v>
      </c>
      <c r="M550">
        <v>3</v>
      </c>
      <c r="N550">
        <v>4</v>
      </c>
      <c r="O550">
        <v>4</v>
      </c>
      <c r="P550">
        <v>4</v>
      </c>
      <c r="Q550">
        <v>5</v>
      </c>
      <c r="R550">
        <v>4</v>
      </c>
      <c r="S550">
        <v>6</v>
      </c>
      <c r="T550">
        <f t="shared" si="26"/>
        <v>49</v>
      </c>
      <c r="U550">
        <v>1</v>
      </c>
    </row>
    <row r="551" spans="1:21" x14ac:dyDescent="0.3">
      <c r="A551" t="str">
        <f t="shared" si="24"/>
        <v>DorsetReablement &amp; Rehabilitation at home  (pathway 1)4</v>
      </c>
      <c r="B551">
        <f>IF(C551="","",COUNTIF($C$2:C551,C551))</f>
        <v>4</v>
      </c>
      <c r="C551" t="str">
        <f t="shared" si="25"/>
        <v>DorsetRehabilitation at home (pathway 1)</v>
      </c>
      <c r="D551" t="str">
        <f>VLOOKUP(G551,PathwayLookup!A:B,2,0)</f>
        <v>Reablement &amp; Rehabilitation at home  (pathway 1)</v>
      </c>
      <c r="E551" t="s">
        <v>137</v>
      </c>
      <c r="F551" t="s">
        <v>631</v>
      </c>
      <c r="G551" t="s">
        <v>719</v>
      </c>
      <c r="H551">
        <v>16</v>
      </c>
      <c r="I551">
        <v>16</v>
      </c>
      <c r="J551">
        <v>13</v>
      </c>
      <c r="K551">
        <v>15</v>
      </c>
      <c r="L551">
        <v>16</v>
      </c>
      <c r="M551">
        <v>14</v>
      </c>
      <c r="N551">
        <v>16</v>
      </c>
      <c r="O551">
        <v>16</v>
      </c>
      <c r="P551">
        <v>15</v>
      </c>
      <c r="Q551">
        <v>18</v>
      </c>
      <c r="R551">
        <v>18</v>
      </c>
      <c r="S551">
        <v>22</v>
      </c>
      <c r="T551">
        <f t="shared" si="26"/>
        <v>195</v>
      </c>
      <c r="U551">
        <v>1</v>
      </c>
    </row>
    <row r="552" spans="1:21" x14ac:dyDescent="0.3">
      <c r="A552" t="str">
        <f t="shared" si="24"/>
        <v>DorsetReablement &amp; Rehabilitation at home  (pathway 1)5</v>
      </c>
      <c r="B552">
        <f>IF(C552="","",COUNTIF($C$2:C552,C552))</f>
        <v>5</v>
      </c>
      <c r="C552" t="str">
        <f t="shared" si="25"/>
        <v>DorsetRehabilitation at home (pathway 1)</v>
      </c>
      <c r="D552" t="str">
        <f>VLOOKUP(G552,PathwayLookup!A:B,2,0)</f>
        <v>Reablement &amp; Rehabilitation at home  (pathway 1)</v>
      </c>
      <c r="E552" t="s">
        <v>137</v>
      </c>
      <c r="F552" t="s">
        <v>649</v>
      </c>
      <c r="G552" t="s">
        <v>719</v>
      </c>
      <c r="H552">
        <v>4</v>
      </c>
      <c r="I552">
        <v>4</v>
      </c>
      <c r="J552">
        <v>3</v>
      </c>
      <c r="K552">
        <v>4</v>
      </c>
      <c r="L552">
        <v>4</v>
      </c>
      <c r="M552">
        <v>3</v>
      </c>
      <c r="N552">
        <v>4</v>
      </c>
      <c r="O552">
        <v>4</v>
      </c>
      <c r="P552">
        <v>4</v>
      </c>
      <c r="Q552">
        <v>5</v>
      </c>
      <c r="R552">
        <v>4</v>
      </c>
      <c r="S552">
        <v>6</v>
      </c>
      <c r="T552">
        <f t="shared" si="26"/>
        <v>49</v>
      </c>
      <c r="U552">
        <v>1</v>
      </c>
    </row>
    <row r="553" spans="1:21" x14ac:dyDescent="0.3">
      <c r="A553" t="str">
        <f t="shared" si="24"/>
        <v/>
      </c>
      <c r="B553" t="str">
        <f>IF(C553="","",COUNTIF($C$2:C553,C553))</f>
        <v/>
      </c>
      <c r="C553" t="str">
        <f t="shared" si="25"/>
        <v/>
      </c>
      <c r="D553" t="str">
        <f>VLOOKUP(G553,PathwayLookup!A:B,2,0)</f>
        <v>Short term domiciliary care (pathway 1)</v>
      </c>
      <c r="E553" t="s">
        <v>137</v>
      </c>
      <c r="F553" t="s">
        <v>490</v>
      </c>
      <c r="G553" t="s">
        <v>684</v>
      </c>
      <c r="H553">
        <v>0</v>
      </c>
      <c r="I553">
        <v>0</v>
      </c>
      <c r="J553">
        <v>0</v>
      </c>
      <c r="K553">
        <v>0</v>
      </c>
      <c r="L553">
        <v>0</v>
      </c>
      <c r="M553">
        <v>0</v>
      </c>
      <c r="N553">
        <v>0</v>
      </c>
      <c r="O553">
        <v>0</v>
      </c>
      <c r="P553">
        <v>0</v>
      </c>
      <c r="Q553">
        <v>0</v>
      </c>
      <c r="R553">
        <v>0</v>
      </c>
      <c r="S553">
        <v>0</v>
      </c>
      <c r="T553">
        <f t="shared" si="26"/>
        <v>0</v>
      </c>
      <c r="U553">
        <v>1</v>
      </c>
    </row>
    <row r="554" spans="1:21" x14ac:dyDescent="0.3">
      <c r="A554" t="str">
        <f t="shared" si="24"/>
        <v/>
      </c>
      <c r="B554" t="str">
        <f>IF(C554="","",COUNTIF($C$2:C554,C554))</f>
        <v/>
      </c>
      <c r="C554" t="str">
        <f t="shared" si="25"/>
        <v/>
      </c>
      <c r="D554" t="str">
        <f>VLOOKUP(G554,PathwayLookup!A:B,2,0)</f>
        <v>Short term domiciliary care (pathway 1)</v>
      </c>
      <c r="E554" t="s">
        <v>137</v>
      </c>
      <c r="F554" t="s">
        <v>491</v>
      </c>
      <c r="G554" t="s">
        <v>684</v>
      </c>
      <c r="H554">
        <v>0</v>
      </c>
      <c r="I554">
        <v>0</v>
      </c>
      <c r="J554">
        <v>0</v>
      </c>
      <c r="K554">
        <v>0</v>
      </c>
      <c r="L554">
        <v>0</v>
      </c>
      <c r="M554">
        <v>0</v>
      </c>
      <c r="N554">
        <v>0</v>
      </c>
      <c r="O554">
        <v>0</v>
      </c>
      <c r="P554">
        <v>0</v>
      </c>
      <c r="Q554">
        <v>0</v>
      </c>
      <c r="R554">
        <v>0</v>
      </c>
      <c r="S554">
        <v>0</v>
      </c>
      <c r="T554">
        <f t="shared" si="26"/>
        <v>0</v>
      </c>
      <c r="U554">
        <v>1</v>
      </c>
    </row>
    <row r="555" spans="1:21" x14ac:dyDescent="0.3">
      <c r="A555" t="str">
        <f t="shared" si="24"/>
        <v/>
      </c>
      <c r="B555" t="str">
        <f>IF(C555="","",COUNTIF($C$2:C555,C555))</f>
        <v/>
      </c>
      <c r="C555" t="str">
        <f t="shared" si="25"/>
        <v/>
      </c>
      <c r="D555" t="str">
        <f>VLOOKUP(G555,PathwayLookup!A:B,2,0)</f>
        <v>Short term domiciliary care (pathway 1)</v>
      </c>
      <c r="E555" t="s">
        <v>137</v>
      </c>
      <c r="F555" t="s">
        <v>583</v>
      </c>
      <c r="G555" t="s">
        <v>684</v>
      </c>
      <c r="H555">
        <v>0</v>
      </c>
      <c r="I555">
        <v>0</v>
      </c>
      <c r="J555">
        <v>0</v>
      </c>
      <c r="K555">
        <v>0</v>
      </c>
      <c r="L555">
        <v>0</v>
      </c>
      <c r="M555">
        <v>0</v>
      </c>
      <c r="N555">
        <v>0</v>
      </c>
      <c r="O555">
        <v>0</v>
      </c>
      <c r="P555">
        <v>0</v>
      </c>
      <c r="Q555">
        <v>0</v>
      </c>
      <c r="R555">
        <v>0</v>
      </c>
      <c r="S555">
        <v>0</v>
      </c>
      <c r="T555">
        <f t="shared" si="26"/>
        <v>0</v>
      </c>
      <c r="U555">
        <v>1</v>
      </c>
    </row>
    <row r="556" spans="1:21" x14ac:dyDescent="0.3">
      <c r="A556" t="str">
        <f t="shared" si="24"/>
        <v/>
      </c>
      <c r="B556" t="str">
        <f>IF(C556="","",COUNTIF($C$2:C556,C556))</f>
        <v/>
      </c>
      <c r="C556" t="str">
        <f t="shared" si="25"/>
        <v/>
      </c>
      <c r="D556" t="str">
        <f>VLOOKUP(G556,PathwayLookup!A:B,2,0)</f>
        <v>Short term domiciliary care (pathway 1)</v>
      </c>
      <c r="E556" t="s">
        <v>137</v>
      </c>
      <c r="F556" t="s">
        <v>631</v>
      </c>
      <c r="G556" t="s">
        <v>684</v>
      </c>
      <c r="H556">
        <v>0</v>
      </c>
      <c r="I556">
        <v>0</v>
      </c>
      <c r="J556">
        <v>0</v>
      </c>
      <c r="K556">
        <v>0</v>
      </c>
      <c r="L556">
        <v>0</v>
      </c>
      <c r="M556">
        <v>0</v>
      </c>
      <c r="N556">
        <v>0</v>
      </c>
      <c r="O556">
        <v>0</v>
      </c>
      <c r="P556">
        <v>0</v>
      </c>
      <c r="Q556">
        <v>0</v>
      </c>
      <c r="R556">
        <v>0</v>
      </c>
      <c r="S556">
        <v>0</v>
      </c>
      <c r="T556">
        <f t="shared" si="26"/>
        <v>0</v>
      </c>
      <c r="U556">
        <v>1</v>
      </c>
    </row>
    <row r="557" spans="1:21" x14ac:dyDescent="0.3">
      <c r="A557" t="str">
        <f t="shared" si="24"/>
        <v/>
      </c>
      <c r="B557" t="str">
        <f>IF(C557="","",COUNTIF($C$2:C557,C557))</f>
        <v/>
      </c>
      <c r="C557" t="str">
        <f t="shared" si="25"/>
        <v/>
      </c>
      <c r="D557" t="str">
        <f>VLOOKUP(G557,PathwayLookup!A:B,2,0)</f>
        <v>Short term domiciliary care (pathway 1)</v>
      </c>
      <c r="E557" t="s">
        <v>137</v>
      </c>
      <c r="F557" t="s">
        <v>649</v>
      </c>
      <c r="G557" t="s">
        <v>684</v>
      </c>
      <c r="H557">
        <v>0</v>
      </c>
      <c r="I557">
        <v>0</v>
      </c>
      <c r="J557">
        <v>0</v>
      </c>
      <c r="K557">
        <v>0</v>
      </c>
      <c r="L557">
        <v>0</v>
      </c>
      <c r="M557">
        <v>0</v>
      </c>
      <c r="N557">
        <v>0</v>
      </c>
      <c r="O557">
        <v>0</v>
      </c>
      <c r="P557">
        <v>0</v>
      </c>
      <c r="Q557">
        <v>0</v>
      </c>
      <c r="R557">
        <v>0</v>
      </c>
      <c r="S557">
        <v>0</v>
      </c>
      <c r="T557">
        <f t="shared" si="26"/>
        <v>0</v>
      </c>
      <c r="U557">
        <v>1</v>
      </c>
    </row>
    <row r="558" spans="1:21" x14ac:dyDescent="0.3">
      <c r="A558" t="str">
        <f t="shared" si="24"/>
        <v>DorsetReablement &amp; Rehabilitation in a bedded setting (pathway 2)1</v>
      </c>
      <c r="B558">
        <f>IF(C558="","",COUNTIF($C$2:C558,C558))</f>
        <v>1</v>
      </c>
      <c r="C558" t="str">
        <f t="shared" si="25"/>
        <v>DorsetReablement in a bedded setting (pathway 2)</v>
      </c>
      <c r="D558" t="str">
        <f>VLOOKUP(G558,PathwayLookup!A:B,2,0)</f>
        <v>Reablement &amp; Rehabilitation in a bedded setting (pathway 2)</v>
      </c>
      <c r="E558" t="s">
        <v>137</v>
      </c>
      <c r="F558" t="s">
        <v>490</v>
      </c>
      <c r="G558" t="s">
        <v>722</v>
      </c>
      <c r="H558">
        <v>6</v>
      </c>
      <c r="I558">
        <v>6</v>
      </c>
      <c r="J558">
        <v>7</v>
      </c>
      <c r="K558">
        <v>8</v>
      </c>
      <c r="L558">
        <v>7</v>
      </c>
      <c r="M558">
        <v>7</v>
      </c>
      <c r="N558">
        <v>6</v>
      </c>
      <c r="O558">
        <v>8</v>
      </c>
      <c r="P558">
        <v>11</v>
      </c>
      <c r="Q558">
        <v>10</v>
      </c>
      <c r="R558">
        <v>7</v>
      </c>
      <c r="S558">
        <v>11</v>
      </c>
      <c r="T558">
        <f t="shared" si="26"/>
        <v>94</v>
      </c>
      <c r="U558">
        <v>1</v>
      </c>
    </row>
    <row r="559" spans="1:21" x14ac:dyDescent="0.3">
      <c r="A559" t="str">
        <f t="shared" si="24"/>
        <v>DorsetReablement &amp; Rehabilitation in a bedded setting (pathway 2)2</v>
      </c>
      <c r="B559">
        <f>IF(C559="","",COUNTIF($C$2:C559,C559))</f>
        <v>2</v>
      </c>
      <c r="C559" t="str">
        <f t="shared" si="25"/>
        <v>DorsetReablement in a bedded setting (pathway 2)</v>
      </c>
      <c r="D559" t="str">
        <f>VLOOKUP(G559,PathwayLookup!A:B,2,0)</f>
        <v>Reablement &amp; Rehabilitation in a bedded setting (pathway 2)</v>
      </c>
      <c r="E559" t="s">
        <v>137</v>
      </c>
      <c r="F559" t="s">
        <v>491</v>
      </c>
      <c r="G559" t="s">
        <v>722</v>
      </c>
      <c r="H559">
        <v>2</v>
      </c>
      <c r="I559">
        <v>2</v>
      </c>
      <c r="J559">
        <v>2</v>
      </c>
      <c r="K559">
        <v>3</v>
      </c>
      <c r="L559">
        <v>2</v>
      </c>
      <c r="M559">
        <v>2</v>
      </c>
      <c r="N559">
        <v>2</v>
      </c>
      <c r="O559">
        <v>3</v>
      </c>
      <c r="P559">
        <v>4</v>
      </c>
      <c r="Q559">
        <v>3</v>
      </c>
      <c r="R559">
        <v>2</v>
      </c>
      <c r="S559">
        <v>4</v>
      </c>
      <c r="T559">
        <f t="shared" si="26"/>
        <v>31</v>
      </c>
      <c r="U559">
        <v>1</v>
      </c>
    </row>
    <row r="560" spans="1:21" x14ac:dyDescent="0.3">
      <c r="A560" t="str">
        <f t="shared" si="24"/>
        <v>DorsetReablement &amp; Rehabilitation in a bedded setting (pathway 2)3</v>
      </c>
      <c r="B560">
        <f>IF(C560="","",COUNTIF($C$2:C560,C560))</f>
        <v>3</v>
      </c>
      <c r="C560" t="str">
        <f t="shared" si="25"/>
        <v>DorsetReablement in a bedded setting (pathway 2)</v>
      </c>
      <c r="D560" t="str">
        <f>VLOOKUP(G560,PathwayLookup!A:B,2,0)</f>
        <v>Reablement &amp; Rehabilitation in a bedded setting (pathway 2)</v>
      </c>
      <c r="E560" t="s">
        <v>137</v>
      </c>
      <c r="F560" t="s">
        <v>583</v>
      </c>
      <c r="G560" t="s">
        <v>722</v>
      </c>
      <c r="H560">
        <v>1</v>
      </c>
      <c r="I560">
        <v>1</v>
      </c>
      <c r="J560">
        <v>1</v>
      </c>
      <c r="K560">
        <v>2</v>
      </c>
      <c r="L560">
        <v>1</v>
      </c>
      <c r="M560">
        <v>1</v>
      </c>
      <c r="N560">
        <v>1</v>
      </c>
      <c r="O560">
        <v>2</v>
      </c>
      <c r="P560">
        <v>2</v>
      </c>
      <c r="Q560">
        <v>2</v>
      </c>
      <c r="R560">
        <v>2</v>
      </c>
      <c r="S560">
        <v>2</v>
      </c>
      <c r="T560">
        <f t="shared" si="26"/>
        <v>18</v>
      </c>
      <c r="U560">
        <v>1</v>
      </c>
    </row>
    <row r="561" spans="1:21" x14ac:dyDescent="0.3">
      <c r="A561" t="str">
        <f t="shared" si="24"/>
        <v>DorsetReablement &amp; Rehabilitation in a bedded setting (pathway 2)4</v>
      </c>
      <c r="B561">
        <f>IF(C561="","",COUNTIF($C$2:C561,C561))</f>
        <v>4</v>
      </c>
      <c r="C561" t="str">
        <f t="shared" si="25"/>
        <v>DorsetReablement in a bedded setting (pathway 2)</v>
      </c>
      <c r="D561" t="str">
        <f>VLOOKUP(G561,PathwayLookup!A:B,2,0)</f>
        <v>Reablement &amp; Rehabilitation in a bedded setting (pathway 2)</v>
      </c>
      <c r="E561" t="s">
        <v>137</v>
      </c>
      <c r="F561" t="s">
        <v>631</v>
      </c>
      <c r="G561" t="s">
        <v>722</v>
      </c>
      <c r="H561">
        <v>5</v>
      </c>
      <c r="I561">
        <v>5</v>
      </c>
      <c r="J561">
        <v>6</v>
      </c>
      <c r="K561">
        <v>7</v>
      </c>
      <c r="L561">
        <v>6</v>
      </c>
      <c r="M561">
        <v>6</v>
      </c>
      <c r="N561">
        <v>5</v>
      </c>
      <c r="O561">
        <v>7</v>
      </c>
      <c r="P561">
        <v>9</v>
      </c>
      <c r="Q561">
        <v>8</v>
      </c>
      <c r="R561">
        <v>6</v>
      </c>
      <c r="S561">
        <v>9</v>
      </c>
      <c r="T561">
        <f t="shared" si="26"/>
        <v>79</v>
      </c>
      <c r="U561">
        <v>1</v>
      </c>
    </row>
    <row r="562" spans="1:21" x14ac:dyDescent="0.3">
      <c r="A562" t="str">
        <f t="shared" si="24"/>
        <v>DorsetReablement &amp; Rehabilitation in a bedded setting (pathway 2)5</v>
      </c>
      <c r="B562">
        <f>IF(C562="","",COUNTIF($C$2:C562,C562))</f>
        <v>5</v>
      </c>
      <c r="C562" t="str">
        <f t="shared" si="25"/>
        <v>DorsetReablement in a bedded setting (pathway 2)</v>
      </c>
      <c r="D562" t="str">
        <f>VLOOKUP(G562,PathwayLookup!A:B,2,0)</f>
        <v>Reablement &amp; Rehabilitation in a bedded setting (pathway 2)</v>
      </c>
      <c r="E562" t="s">
        <v>137</v>
      </c>
      <c r="F562" t="s">
        <v>649</v>
      </c>
      <c r="G562" t="s">
        <v>722</v>
      </c>
      <c r="H562">
        <v>1</v>
      </c>
      <c r="I562">
        <v>1</v>
      </c>
      <c r="J562">
        <v>1</v>
      </c>
      <c r="K562">
        <v>2</v>
      </c>
      <c r="L562">
        <v>1</v>
      </c>
      <c r="M562">
        <v>1</v>
      </c>
      <c r="N562">
        <v>1</v>
      </c>
      <c r="O562">
        <v>2</v>
      </c>
      <c r="P562">
        <v>2</v>
      </c>
      <c r="Q562">
        <v>2</v>
      </c>
      <c r="R562">
        <v>2</v>
      </c>
      <c r="S562">
        <v>2</v>
      </c>
      <c r="T562">
        <f t="shared" si="26"/>
        <v>18</v>
      </c>
      <c r="U562">
        <v>1</v>
      </c>
    </row>
    <row r="563" spans="1:21" x14ac:dyDescent="0.3">
      <c r="A563" t="str">
        <f t="shared" si="24"/>
        <v>DorsetReablement &amp; Rehabilitation in a bedded setting (pathway 2)1</v>
      </c>
      <c r="B563">
        <f>IF(C563="","",COUNTIF($C$2:C563,C563))</f>
        <v>1</v>
      </c>
      <c r="C563" t="str">
        <f t="shared" si="25"/>
        <v>DorsetRehabilitation in a bedded setting (pathway 2)</v>
      </c>
      <c r="D563" t="str">
        <f>VLOOKUP(G563,PathwayLookup!A:B,2,0)</f>
        <v>Reablement &amp; Rehabilitation in a bedded setting (pathway 2)</v>
      </c>
      <c r="E563" t="s">
        <v>137</v>
      </c>
      <c r="F563" t="s">
        <v>490</v>
      </c>
      <c r="G563" t="s">
        <v>724</v>
      </c>
      <c r="H563">
        <v>23</v>
      </c>
      <c r="I563">
        <v>23</v>
      </c>
      <c r="J563">
        <v>27</v>
      </c>
      <c r="K563">
        <v>30</v>
      </c>
      <c r="L563">
        <v>27</v>
      </c>
      <c r="M563">
        <v>27</v>
      </c>
      <c r="N563">
        <v>22</v>
      </c>
      <c r="O563">
        <v>30</v>
      </c>
      <c r="P563">
        <v>40</v>
      </c>
      <c r="Q563">
        <v>38</v>
      </c>
      <c r="R563">
        <v>28</v>
      </c>
      <c r="S563">
        <v>39</v>
      </c>
      <c r="T563">
        <f t="shared" si="26"/>
        <v>354</v>
      </c>
      <c r="U563">
        <v>1</v>
      </c>
    </row>
    <row r="564" spans="1:21" x14ac:dyDescent="0.3">
      <c r="A564" t="str">
        <f t="shared" si="24"/>
        <v>DorsetReablement &amp; Rehabilitation in a bedded setting (pathway 2)2</v>
      </c>
      <c r="B564">
        <f>IF(C564="","",COUNTIF($C$2:C564,C564))</f>
        <v>2</v>
      </c>
      <c r="C564" t="str">
        <f t="shared" si="25"/>
        <v>DorsetRehabilitation in a bedded setting (pathway 2)</v>
      </c>
      <c r="D564" t="str">
        <f>VLOOKUP(G564,PathwayLookup!A:B,2,0)</f>
        <v>Reablement &amp; Rehabilitation in a bedded setting (pathway 2)</v>
      </c>
      <c r="E564" t="s">
        <v>137</v>
      </c>
      <c r="F564" t="s">
        <v>491</v>
      </c>
      <c r="G564" t="s">
        <v>724</v>
      </c>
      <c r="H564">
        <v>8</v>
      </c>
      <c r="I564">
        <v>8</v>
      </c>
      <c r="J564">
        <v>9</v>
      </c>
      <c r="K564">
        <v>10</v>
      </c>
      <c r="L564">
        <v>9</v>
      </c>
      <c r="M564">
        <v>9</v>
      </c>
      <c r="N564">
        <v>7</v>
      </c>
      <c r="O564">
        <v>10</v>
      </c>
      <c r="P564">
        <v>13</v>
      </c>
      <c r="Q564">
        <v>13</v>
      </c>
      <c r="R564">
        <v>9</v>
      </c>
      <c r="S564">
        <v>13</v>
      </c>
      <c r="T564">
        <f t="shared" si="26"/>
        <v>118</v>
      </c>
      <c r="U564">
        <v>1</v>
      </c>
    </row>
    <row r="565" spans="1:21" x14ac:dyDescent="0.3">
      <c r="A565" t="str">
        <f t="shared" si="24"/>
        <v>DorsetReablement &amp; Rehabilitation in a bedded setting (pathway 2)3</v>
      </c>
      <c r="B565">
        <f>IF(C565="","",COUNTIF($C$2:C565,C565))</f>
        <v>3</v>
      </c>
      <c r="C565" t="str">
        <f t="shared" si="25"/>
        <v>DorsetRehabilitation in a bedded setting (pathway 2)</v>
      </c>
      <c r="D565" t="str">
        <f>VLOOKUP(G565,PathwayLookup!A:B,2,0)</f>
        <v>Reablement &amp; Rehabilitation in a bedded setting (pathway 2)</v>
      </c>
      <c r="E565" t="s">
        <v>137</v>
      </c>
      <c r="F565" t="s">
        <v>583</v>
      </c>
      <c r="G565" t="s">
        <v>724</v>
      </c>
      <c r="H565">
        <v>5</v>
      </c>
      <c r="I565">
        <v>5</v>
      </c>
      <c r="J565">
        <v>5</v>
      </c>
      <c r="K565">
        <v>6</v>
      </c>
      <c r="L565">
        <v>6</v>
      </c>
      <c r="M565">
        <v>6</v>
      </c>
      <c r="N565">
        <v>4</v>
      </c>
      <c r="O565">
        <v>6</v>
      </c>
      <c r="P565">
        <v>8</v>
      </c>
      <c r="Q565">
        <v>8</v>
      </c>
      <c r="R565">
        <v>6</v>
      </c>
      <c r="S565">
        <v>8</v>
      </c>
      <c r="T565">
        <f t="shared" si="26"/>
        <v>73</v>
      </c>
      <c r="U565">
        <v>1</v>
      </c>
    </row>
    <row r="566" spans="1:21" x14ac:dyDescent="0.3">
      <c r="A566" t="str">
        <f t="shared" si="24"/>
        <v>DorsetReablement &amp; Rehabilitation in a bedded setting (pathway 2)4</v>
      </c>
      <c r="B566">
        <f>IF(C566="","",COUNTIF($C$2:C566,C566))</f>
        <v>4</v>
      </c>
      <c r="C566" t="str">
        <f t="shared" si="25"/>
        <v>DorsetRehabilitation in a bedded setting (pathway 2)</v>
      </c>
      <c r="D566" t="str">
        <f>VLOOKUP(G566,PathwayLookup!A:B,2,0)</f>
        <v>Reablement &amp; Rehabilitation in a bedded setting (pathway 2)</v>
      </c>
      <c r="E566" t="s">
        <v>137</v>
      </c>
      <c r="F566" t="s">
        <v>631</v>
      </c>
      <c r="G566" t="s">
        <v>724</v>
      </c>
      <c r="H566">
        <v>19</v>
      </c>
      <c r="I566">
        <v>19</v>
      </c>
      <c r="J566">
        <v>22</v>
      </c>
      <c r="K566">
        <v>25</v>
      </c>
      <c r="L566">
        <v>22</v>
      </c>
      <c r="M566">
        <v>22</v>
      </c>
      <c r="N566">
        <v>18</v>
      </c>
      <c r="O566">
        <v>25</v>
      </c>
      <c r="P566">
        <v>33</v>
      </c>
      <c r="Q566">
        <v>31</v>
      </c>
      <c r="R566">
        <v>23</v>
      </c>
      <c r="S566">
        <v>32</v>
      </c>
      <c r="T566">
        <f t="shared" si="26"/>
        <v>291</v>
      </c>
      <c r="U566">
        <v>1</v>
      </c>
    </row>
    <row r="567" spans="1:21" x14ac:dyDescent="0.3">
      <c r="A567" t="str">
        <f t="shared" si="24"/>
        <v>DorsetReablement &amp; Rehabilitation in a bedded setting (pathway 2)5</v>
      </c>
      <c r="B567">
        <f>IF(C567="","",COUNTIF($C$2:C567,C567))</f>
        <v>5</v>
      </c>
      <c r="C567" t="str">
        <f t="shared" si="25"/>
        <v>DorsetRehabilitation in a bedded setting (pathway 2)</v>
      </c>
      <c r="D567" t="str">
        <f>VLOOKUP(G567,PathwayLookup!A:B,2,0)</f>
        <v>Reablement &amp; Rehabilitation in a bedded setting (pathway 2)</v>
      </c>
      <c r="E567" t="s">
        <v>137</v>
      </c>
      <c r="F567" t="s">
        <v>649</v>
      </c>
      <c r="G567" t="s">
        <v>724</v>
      </c>
      <c r="H567">
        <v>5</v>
      </c>
      <c r="I567">
        <v>5</v>
      </c>
      <c r="J567">
        <v>5</v>
      </c>
      <c r="K567">
        <v>6</v>
      </c>
      <c r="L567">
        <v>6</v>
      </c>
      <c r="M567">
        <v>6</v>
      </c>
      <c r="N567">
        <v>4</v>
      </c>
      <c r="O567">
        <v>6</v>
      </c>
      <c r="P567">
        <v>8</v>
      </c>
      <c r="Q567">
        <v>8</v>
      </c>
      <c r="R567">
        <v>6</v>
      </c>
      <c r="S567">
        <v>8</v>
      </c>
      <c r="T567">
        <f t="shared" si="26"/>
        <v>73</v>
      </c>
      <c r="U567">
        <v>1</v>
      </c>
    </row>
    <row r="568" spans="1:21" x14ac:dyDescent="0.3">
      <c r="A568" t="str">
        <f t="shared" si="24"/>
        <v>DorsetShort-term residential/nursing care for someone likely to require a longer-term care home placement (pathway 3)1</v>
      </c>
      <c r="B568">
        <f>IF(C568="","",COUNTIF($C$2:C568,C568))</f>
        <v>1</v>
      </c>
      <c r="C568" t="str">
        <f t="shared" si="25"/>
        <v>DorsetShort-term residential/nursing care for someone likely to require a longer-term care home placement (pathway 3)</v>
      </c>
      <c r="D568" t="str">
        <f>VLOOKUP(G568,PathwayLookup!A:B,2,0)</f>
        <v>Short-term residential/nursing care for someone likely to require a longer-term care home placement (pathway 3)</v>
      </c>
      <c r="E568" t="s">
        <v>137</v>
      </c>
      <c r="F568" t="s">
        <v>490</v>
      </c>
      <c r="G568" t="s">
        <v>686</v>
      </c>
      <c r="H568">
        <v>2</v>
      </c>
      <c r="I568">
        <v>6</v>
      </c>
      <c r="J568">
        <v>4</v>
      </c>
      <c r="K568">
        <v>4</v>
      </c>
      <c r="L568">
        <v>6</v>
      </c>
      <c r="M568">
        <v>7</v>
      </c>
      <c r="N568">
        <v>11</v>
      </c>
      <c r="O568">
        <v>9</v>
      </c>
      <c r="P568">
        <v>9</v>
      </c>
      <c r="Q568">
        <v>6</v>
      </c>
      <c r="R568">
        <v>9</v>
      </c>
      <c r="S568">
        <v>4</v>
      </c>
      <c r="T568">
        <f t="shared" si="26"/>
        <v>77</v>
      </c>
      <c r="U568">
        <v>1</v>
      </c>
    </row>
    <row r="569" spans="1:21" x14ac:dyDescent="0.3">
      <c r="A569" t="str">
        <f t="shared" si="24"/>
        <v>DorsetShort-term residential/nursing care for someone likely to require a longer-term care home placement (pathway 3)2</v>
      </c>
      <c r="B569">
        <f>IF(C569="","",COUNTIF($C$2:C569,C569))</f>
        <v>2</v>
      </c>
      <c r="C569" t="str">
        <f t="shared" si="25"/>
        <v>DorsetShort-term residential/nursing care for someone likely to require a longer-term care home placement (pathway 3)</v>
      </c>
      <c r="D569" t="str">
        <f>VLOOKUP(G569,PathwayLookup!A:B,2,0)</f>
        <v>Short-term residential/nursing care for someone likely to require a longer-term care home placement (pathway 3)</v>
      </c>
      <c r="E569" t="s">
        <v>137</v>
      </c>
      <c r="F569" t="s">
        <v>491</v>
      </c>
      <c r="G569" t="s">
        <v>686</v>
      </c>
      <c r="H569">
        <v>1</v>
      </c>
      <c r="I569">
        <v>2</v>
      </c>
      <c r="J569">
        <v>1</v>
      </c>
      <c r="K569">
        <v>1</v>
      </c>
      <c r="L569">
        <v>2</v>
      </c>
      <c r="M569">
        <v>2</v>
      </c>
      <c r="N569">
        <v>4</v>
      </c>
      <c r="O569">
        <v>3</v>
      </c>
      <c r="P569">
        <v>3</v>
      </c>
      <c r="Q569">
        <v>2</v>
      </c>
      <c r="R569">
        <v>3</v>
      </c>
      <c r="S569">
        <v>1</v>
      </c>
      <c r="T569">
        <f t="shared" si="26"/>
        <v>25</v>
      </c>
      <c r="U569">
        <v>1</v>
      </c>
    </row>
    <row r="570" spans="1:21" x14ac:dyDescent="0.3">
      <c r="A570" t="str">
        <f t="shared" si="24"/>
        <v>DorsetShort-term residential/nursing care for someone likely to require a longer-term care home placement (pathway 3)3</v>
      </c>
      <c r="B570">
        <f>IF(C570="","",COUNTIF($C$2:C570,C570))</f>
        <v>3</v>
      </c>
      <c r="C570" t="str">
        <f t="shared" si="25"/>
        <v>DorsetShort-term residential/nursing care for someone likely to require a longer-term care home placement (pathway 3)</v>
      </c>
      <c r="D570" t="str">
        <f>VLOOKUP(G570,PathwayLookup!A:B,2,0)</f>
        <v>Short-term residential/nursing care for someone likely to require a longer-term care home placement (pathway 3)</v>
      </c>
      <c r="E570" t="s">
        <v>137</v>
      </c>
      <c r="F570" t="s">
        <v>583</v>
      </c>
      <c r="G570" t="s">
        <v>686</v>
      </c>
      <c r="H570">
        <v>0</v>
      </c>
      <c r="I570">
        <v>1</v>
      </c>
      <c r="J570">
        <v>1</v>
      </c>
      <c r="K570">
        <v>1</v>
      </c>
      <c r="L570">
        <v>1</v>
      </c>
      <c r="M570">
        <v>1</v>
      </c>
      <c r="N570">
        <v>2</v>
      </c>
      <c r="O570">
        <v>2</v>
      </c>
      <c r="P570">
        <v>2</v>
      </c>
      <c r="Q570">
        <v>1</v>
      </c>
      <c r="R570">
        <v>2</v>
      </c>
      <c r="S570">
        <v>1</v>
      </c>
      <c r="T570">
        <f t="shared" si="26"/>
        <v>15</v>
      </c>
      <c r="U570">
        <v>1</v>
      </c>
    </row>
    <row r="571" spans="1:21" x14ac:dyDescent="0.3">
      <c r="A571" t="str">
        <f t="shared" si="24"/>
        <v>DorsetShort-term residential/nursing care for someone likely to require a longer-term care home placement (pathway 3)4</v>
      </c>
      <c r="B571">
        <f>IF(C571="","",COUNTIF($C$2:C571,C571))</f>
        <v>4</v>
      </c>
      <c r="C571" t="str">
        <f t="shared" si="25"/>
        <v>DorsetShort-term residential/nursing care for someone likely to require a longer-term care home placement (pathway 3)</v>
      </c>
      <c r="D571" t="str">
        <f>VLOOKUP(G571,PathwayLookup!A:B,2,0)</f>
        <v>Short-term residential/nursing care for someone likely to require a longer-term care home placement (pathway 3)</v>
      </c>
      <c r="E571" t="s">
        <v>137</v>
      </c>
      <c r="F571" t="s">
        <v>631</v>
      </c>
      <c r="G571" t="s">
        <v>686</v>
      </c>
      <c r="H571">
        <v>2</v>
      </c>
      <c r="I571">
        <v>5</v>
      </c>
      <c r="J571">
        <v>4</v>
      </c>
      <c r="K571">
        <v>3</v>
      </c>
      <c r="L571">
        <v>5</v>
      </c>
      <c r="M571">
        <v>6</v>
      </c>
      <c r="N571">
        <v>9</v>
      </c>
      <c r="O571">
        <v>7</v>
      </c>
      <c r="P571">
        <v>8</v>
      </c>
      <c r="Q571">
        <v>5</v>
      </c>
      <c r="R571">
        <v>7</v>
      </c>
      <c r="S571">
        <v>4</v>
      </c>
      <c r="T571">
        <f t="shared" si="26"/>
        <v>65</v>
      </c>
      <c r="U571">
        <v>1</v>
      </c>
    </row>
    <row r="572" spans="1:21" x14ac:dyDescent="0.3">
      <c r="A572" t="str">
        <f t="shared" si="24"/>
        <v>DorsetShort-term residential/nursing care for someone likely to require a longer-term care home placement (pathway 3)5</v>
      </c>
      <c r="B572">
        <f>IF(C572="","",COUNTIF($C$2:C572,C572))</f>
        <v>5</v>
      </c>
      <c r="C572" t="str">
        <f t="shared" si="25"/>
        <v>DorsetShort-term residential/nursing care for someone likely to require a longer-term care home placement (pathway 3)</v>
      </c>
      <c r="D572" t="str">
        <f>VLOOKUP(G572,PathwayLookup!A:B,2,0)</f>
        <v>Short-term residential/nursing care for someone likely to require a longer-term care home placement (pathway 3)</v>
      </c>
      <c r="E572" t="s">
        <v>137</v>
      </c>
      <c r="F572" t="s">
        <v>649</v>
      </c>
      <c r="G572" t="s">
        <v>686</v>
      </c>
      <c r="H572">
        <v>0</v>
      </c>
      <c r="I572">
        <v>1</v>
      </c>
      <c r="J572">
        <v>1</v>
      </c>
      <c r="K572">
        <v>1</v>
      </c>
      <c r="L572">
        <v>1</v>
      </c>
      <c r="M572">
        <v>1</v>
      </c>
      <c r="N572">
        <v>2</v>
      </c>
      <c r="O572">
        <v>2</v>
      </c>
      <c r="P572">
        <v>2</v>
      </c>
      <c r="Q572">
        <v>1</v>
      </c>
      <c r="R572">
        <v>2</v>
      </c>
      <c r="S572">
        <v>1</v>
      </c>
      <c r="T572">
        <f t="shared" si="26"/>
        <v>15</v>
      </c>
      <c r="U572">
        <v>1</v>
      </c>
    </row>
    <row r="573" spans="1:21" x14ac:dyDescent="0.3">
      <c r="A573" t="str">
        <f t="shared" si="24"/>
        <v/>
      </c>
      <c r="B573" t="str">
        <f>IF(C573="","",COUNTIF($C$2:C573,C573))</f>
        <v/>
      </c>
      <c r="C573" t="str">
        <f t="shared" si="25"/>
        <v/>
      </c>
      <c r="D573" t="str">
        <f>VLOOKUP(G573,PathwayLookup!A:B,2,0)</f>
        <v>Social support (including VCS) (pathway 0)</v>
      </c>
      <c r="E573" t="s">
        <v>139</v>
      </c>
      <c r="F573" t="s">
        <v>492</v>
      </c>
      <c r="G573" t="s">
        <v>682</v>
      </c>
      <c r="H573">
        <v>0</v>
      </c>
      <c r="I573">
        <v>0</v>
      </c>
      <c r="J573">
        <v>0</v>
      </c>
      <c r="K573">
        <v>0</v>
      </c>
      <c r="L573">
        <v>0</v>
      </c>
      <c r="M573">
        <v>0</v>
      </c>
      <c r="N573">
        <v>0</v>
      </c>
      <c r="O573">
        <v>0</v>
      </c>
      <c r="P573">
        <v>0</v>
      </c>
      <c r="Q573">
        <v>0</v>
      </c>
      <c r="R573">
        <v>0</v>
      </c>
      <c r="S573">
        <v>0</v>
      </c>
      <c r="T573">
        <f t="shared" si="26"/>
        <v>0</v>
      </c>
      <c r="U573">
        <v>1</v>
      </c>
    </row>
    <row r="574" spans="1:21" x14ac:dyDescent="0.3">
      <c r="A574" t="str">
        <f t="shared" si="24"/>
        <v>DudleyReablement &amp; Rehabilitation at home  (pathway 1)1</v>
      </c>
      <c r="B574">
        <f>IF(C574="","",COUNTIF($C$2:C574,C574))</f>
        <v>1</v>
      </c>
      <c r="C574" t="str">
        <f t="shared" si="25"/>
        <v>DudleyReablement at home  (pathway 1)</v>
      </c>
      <c r="D574" t="str">
        <f>VLOOKUP(G574,PathwayLookup!A:B,2,0)</f>
        <v>Reablement &amp; Rehabilitation at home  (pathway 1)</v>
      </c>
      <c r="E574" t="s">
        <v>139</v>
      </c>
      <c r="F574" t="s">
        <v>492</v>
      </c>
      <c r="G574" t="s">
        <v>718</v>
      </c>
      <c r="H574">
        <v>168</v>
      </c>
      <c r="I574">
        <v>175</v>
      </c>
      <c r="J574">
        <v>140</v>
      </c>
      <c r="K574">
        <v>137</v>
      </c>
      <c r="L574">
        <v>149</v>
      </c>
      <c r="M574">
        <v>148</v>
      </c>
      <c r="N574">
        <v>175</v>
      </c>
      <c r="O574">
        <v>171</v>
      </c>
      <c r="P574">
        <v>159</v>
      </c>
      <c r="Q574">
        <v>216</v>
      </c>
      <c r="R574">
        <v>150</v>
      </c>
      <c r="S574">
        <v>176</v>
      </c>
      <c r="T574">
        <f t="shared" si="26"/>
        <v>1964</v>
      </c>
      <c r="U574">
        <v>1</v>
      </c>
    </row>
    <row r="575" spans="1:21" x14ac:dyDescent="0.3">
      <c r="A575" t="str">
        <f t="shared" si="24"/>
        <v/>
      </c>
      <c r="B575" t="str">
        <f>IF(C575="","",COUNTIF($C$2:C575,C575))</f>
        <v/>
      </c>
      <c r="C575" t="str">
        <f t="shared" si="25"/>
        <v/>
      </c>
      <c r="D575" t="str">
        <f>VLOOKUP(G575,PathwayLookup!A:B,2,0)</f>
        <v>Reablement &amp; Rehabilitation at home  (pathway 1)</v>
      </c>
      <c r="E575" t="s">
        <v>139</v>
      </c>
      <c r="F575" t="s">
        <v>492</v>
      </c>
      <c r="G575" t="s">
        <v>719</v>
      </c>
      <c r="H575">
        <v>0</v>
      </c>
      <c r="I575">
        <v>0</v>
      </c>
      <c r="J575">
        <v>0</v>
      </c>
      <c r="K575">
        <v>0</v>
      </c>
      <c r="L575">
        <v>0</v>
      </c>
      <c r="M575">
        <v>0</v>
      </c>
      <c r="N575">
        <v>0</v>
      </c>
      <c r="O575">
        <v>0</v>
      </c>
      <c r="P575">
        <v>0</v>
      </c>
      <c r="Q575">
        <v>0</v>
      </c>
      <c r="R575">
        <v>0</v>
      </c>
      <c r="S575">
        <v>0</v>
      </c>
      <c r="T575">
        <f t="shared" si="26"/>
        <v>0</v>
      </c>
      <c r="U575">
        <v>1</v>
      </c>
    </row>
    <row r="576" spans="1:21" x14ac:dyDescent="0.3">
      <c r="A576" t="str">
        <f t="shared" si="24"/>
        <v/>
      </c>
      <c r="B576" t="str">
        <f>IF(C576="","",COUNTIF($C$2:C576,C576))</f>
        <v/>
      </c>
      <c r="C576" t="str">
        <f t="shared" si="25"/>
        <v/>
      </c>
      <c r="D576" t="str">
        <f>VLOOKUP(G576,PathwayLookup!A:B,2,0)</f>
        <v>Short term domiciliary care (pathway 1)</v>
      </c>
      <c r="E576" t="s">
        <v>139</v>
      </c>
      <c r="F576" t="s">
        <v>492</v>
      </c>
      <c r="G576" t="s">
        <v>684</v>
      </c>
      <c r="H576">
        <v>0</v>
      </c>
      <c r="I576">
        <v>0</v>
      </c>
      <c r="J576">
        <v>0</v>
      </c>
      <c r="K576">
        <v>0</v>
      </c>
      <c r="L576">
        <v>0</v>
      </c>
      <c r="M576">
        <v>0</v>
      </c>
      <c r="N576">
        <v>0</v>
      </c>
      <c r="O576">
        <v>0</v>
      </c>
      <c r="P576">
        <v>0</v>
      </c>
      <c r="Q576">
        <v>0</v>
      </c>
      <c r="R576">
        <v>0</v>
      </c>
      <c r="S576">
        <v>0</v>
      </c>
      <c r="T576">
        <f t="shared" si="26"/>
        <v>0</v>
      </c>
      <c r="U576">
        <v>1</v>
      </c>
    </row>
    <row r="577" spans="1:21" x14ac:dyDescent="0.3">
      <c r="A577" t="str">
        <f t="shared" si="24"/>
        <v>DudleyReablement &amp; Rehabilitation in a bedded setting (pathway 2)1</v>
      </c>
      <c r="B577">
        <f>IF(C577="","",COUNTIF($C$2:C577,C577))</f>
        <v>1</v>
      </c>
      <c r="C577" t="str">
        <f t="shared" si="25"/>
        <v>DudleyReablement in a bedded setting (pathway 2)</v>
      </c>
      <c r="D577" t="str">
        <f>VLOOKUP(G577,PathwayLookup!A:B,2,0)</f>
        <v>Reablement &amp; Rehabilitation in a bedded setting (pathway 2)</v>
      </c>
      <c r="E577" t="s">
        <v>139</v>
      </c>
      <c r="F577" t="s">
        <v>492</v>
      </c>
      <c r="G577" t="s">
        <v>722</v>
      </c>
      <c r="H577">
        <v>13</v>
      </c>
      <c r="I577">
        <v>14</v>
      </c>
      <c r="J577">
        <v>17</v>
      </c>
      <c r="K577">
        <v>16</v>
      </c>
      <c r="L577">
        <v>10</v>
      </c>
      <c r="M577">
        <v>14</v>
      </c>
      <c r="N577">
        <v>19</v>
      </c>
      <c r="O577">
        <v>10</v>
      </c>
      <c r="P577">
        <v>17</v>
      </c>
      <c r="Q577">
        <v>15</v>
      </c>
      <c r="R577">
        <v>19</v>
      </c>
      <c r="S577">
        <v>17</v>
      </c>
      <c r="T577">
        <f t="shared" si="26"/>
        <v>181</v>
      </c>
      <c r="U577">
        <v>1</v>
      </c>
    </row>
    <row r="578" spans="1:21" x14ac:dyDescent="0.3">
      <c r="A578" t="str">
        <f t="shared" ref="A578:A641" si="27">IF(B578="","",E578&amp;D578&amp;B578)</f>
        <v>DudleyReablement &amp; Rehabilitation in a bedded setting (pathway 2)1</v>
      </c>
      <c r="B578">
        <f>IF(C578="","",COUNTIF($C$2:C578,C578))</f>
        <v>1</v>
      </c>
      <c r="C578" t="str">
        <f t="shared" ref="C578:C641" si="28">IF(T578=0,"",E578&amp;G578)</f>
        <v>DudleyRehabilitation in a bedded setting (pathway 2)</v>
      </c>
      <c r="D578" t="str">
        <f>VLOOKUP(G578,PathwayLookup!A:B,2,0)</f>
        <v>Reablement &amp; Rehabilitation in a bedded setting (pathway 2)</v>
      </c>
      <c r="E578" t="s">
        <v>139</v>
      </c>
      <c r="F578" t="s">
        <v>492</v>
      </c>
      <c r="G578" t="s">
        <v>724</v>
      </c>
      <c r="H578">
        <v>52</v>
      </c>
      <c r="I578">
        <v>51</v>
      </c>
      <c r="J578">
        <v>48</v>
      </c>
      <c r="K578">
        <v>47</v>
      </c>
      <c r="L578">
        <v>45</v>
      </c>
      <c r="M578">
        <v>42</v>
      </c>
      <c r="N578">
        <v>59</v>
      </c>
      <c r="O578">
        <v>63</v>
      </c>
      <c r="P578">
        <v>65</v>
      </c>
      <c r="Q578">
        <v>65</v>
      </c>
      <c r="R578">
        <v>60</v>
      </c>
      <c r="S578">
        <v>62</v>
      </c>
      <c r="T578">
        <f t="shared" ref="T578:T641" si="29">SUM(H578:S578)</f>
        <v>659</v>
      </c>
      <c r="U578">
        <v>1</v>
      </c>
    </row>
    <row r="579" spans="1:21" x14ac:dyDescent="0.3">
      <c r="A579" t="str">
        <f t="shared" si="27"/>
        <v>DudleyShort-term residential/nursing care for someone likely to require a longer-term care home placement (pathway 3)1</v>
      </c>
      <c r="B579">
        <f>IF(C579="","",COUNTIF($C$2:C579,C579))</f>
        <v>1</v>
      </c>
      <c r="C579" t="str">
        <f t="shared" si="28"/>
        <v>DudleyShort-term residential/nursing care for someone likely to require a longer-term care home placement (pathway 3)</v>
      </c>
      <c r="D579" t="str">
        <f>VLOOKUP(G579,PathwayLookup!A:B,2,0)</f>
        <v>Short-term residential/nursing care for someone likely to require a longer-term care home placement (pathway 3)</v>
      </c>
      <c r="E579" t="s">
        <v>139</v>
      </c>
      <c r="F579" t="s">
        <v>492</v>
      </c>
      <c r="G579" t="s">
        <v>686</v>
      </c>
      <c r="H579">
        <v>55</v>
      </c>
      <c r="I579">
        <v>72</v>
      </c>
      <c r="J579">
        <v>66</v>
      </c>
      <c r="K579">
        <v>61</v>
      </c>
      <c r="L579">
        <v>63</v>
      </c>
      <c r="M579">
        <v>63</v>
      </c>
      <c r="N579">
        <v>77</v>
      </c>
      <c r="O579">
        <v>70</v>
      </c>
      <c r="P579">
        <v>68</v>
      </c>
      <c r="Q579">
        <v>63</v>
      </c>
      <c r="R579">
        <v>50</v>
      </c>
      <c r="S579">
        <v>52</v>
      </c>
      <c r="T579">
        <f t="shared" si="29"/>
        <v>760</v>
      </c>
      <c r="U579">
        <v>1</v>
      </c>
    </row>
    <row r="580" spans="1:21" x14ac:dyDescent="0.3">
      <c r="A580" t="str">
        <f t="shared" si="27"/>
        <v>EalingSocial support (including VCS) (pathway 0)1</v>
      </c>
      <c r="B580">
        <f>IF(C580="","",COUNTIF($C$2:C580,C580))</f>
        <v>1</v>
      </c>
      <c r="C580" t="str">
        <f t="shared" si="28"/>
        <v>EalingSocial support (including VCS) (pathway 0)</v>
      </c>
      <c r="D580" t="str">
        <f>VLOOKUP(G580,PathwayLookup!A:B,2,0)</f>
        <v>Social support (including VCS) (pathway 0)</v>
      </c>
      <c r="E580" t="s">
        <v>141</v>
      </c>
      <c r="F580" t="s">
        <v>476</v>
      </c>
      <c r="G580" t="s">
        <v>682</v>
      </c>
      <c r="H580">
        <v>447.41025000000002</v>
      </c>
      <c r="I580">
        <v>444.00141000000002</v>
      </c>
      <c r="J580">
        <v>393.72102000000001</v>
      </c>
      <c r="K580">
        <v>439.74036000000007</v>
      </c>
      <c r="L580">
        <v>482.35086000000007</v>
      </c>
      <c r="M580">
        <v>447.41025000000002</v>
      </c>
      <c r="N580">
        <v>523.25693999999999</v>
      </c>
      <c r="O580">
        <v>513.03041999999994</v>
      </c>
      <c r="P580">
        <v>522.40472999999997</v>
      </c>
      <c r="Q580">
        <v>502.8039</v>
      </c>
      <c r="R580">
        <v>444.00141000000002</v>
      </c>
      <c r="S580">
        <v>518.14368000000002</v>
      </c>
      <c r="T580">
        <f t="shared" si="29"/>
        <v>5678.2752300000002</v>
      </c>
      <c r="U580">
        <v>1</v>
      </c>
    </row>
    <row r="581" spans="1:21" x14ac:dyDescent="0.3">
      <c r="A581" t="str">
        <f t="shared" si="27"/>
        <v>EalingSocial support (including VCS) (pathway 0)2</v>
      </c>
      <c r="B581">
        <f>IF(C581="","",COUNTIF($C$2:C581,C581))</f>
        <v>2</v>
      </c>
      <c r="C581" t="str">
        <f t="shared" si="28"/>
        <v>EalingSocial support (including VCS) (pathway 0)</v>
      </c>
      <c r="D581" t="str">
        <f>VLOOKUP(G581,PathwayLookup!A:B,2,0)</f>
        <v>Social support (including VCS) (pathway 0)</v>
      </c>
      <c r="E581" t="s">
        <v>141</v>
      </c>
      <c r="F581" t="s">
        <v>520</v>
      </c>
      <c r="G581" t="s">
        <v>682</v>
      </c>
      <c r="H581">
        <v>686.11116000000004</v>
      </c>
      <c r="I581">
        <v>736.39756799999998</v>
      </c>
      <c r="J581">
        <v>702.30508800000007</v>
      </c>
      <c r="K581">
        <v>735.54525599999999</v>
      </c>
      <c r="L581">
        <v>777.30854399999998</v>
      </c>
      <c r="M581">
        <v>699.748152</v>
      </c>
      <c r="N581">
        <v>772.19467199999997</v>
      </c>
      <c r="O581">
        <v>777.30854399999998</v>
      </c>
      <c r="P581">
        <v>669.91723200000001</v>
      </c>
      <c r="Q581">
        <v>701.45277600000009</v>
      </c>
      <c r="R581">
        <v>704.86202400000002</v>
      </c>
      <c r="S581">
        <v>757.70536800000002</v>
      </c>
      <c r="T581">
        <f t="shared" si="29"/>
        <v>8720.8563840000006</v>
      </c>
      <c r="U581">
        <v>1</v>
      </c>
    </row>
    <row r="582" spans="1:21" x14ac:dyDescent="0.3">
      <c r="A582" t="str">
        <f t="shared" si="27"/>
        <v>EalingSocial support (including VCS) (pathway 0)3</v>
      </c>
      <c r="B582">
        <f>IF(C582="","",COUNTIF($C$2:C582,C582))</f>
        <v>3</v>
      </c>
      <c r="C582" t="str">
        <f t="shared" si="28"/>
        <v>EalingSocial support (including VCS) (pathway 0)</v>
      </c>
      <c r="D582" t="str">
        <f>VLOOKUP(G582,PathwayLookup!A:B,2,0)</f>
        <v>Social support (including VCS) (pathway 0)</v>
      </c>
      <c r="E582" t="s">
        <v>141</v>
      </c>
      <c r="F582" t="s">
        <v>540</v>
      </c>
      <c r="G582" t="s">
        <v>682</v>
      </c>
      <c r="H582">
        <v>1854.3895800000005</v>
      </c>
      <c r="I582">
        <v>1963.8366000000001</v>
      </c>
      <c r="J582">
        <v>2043.7872600000001</v>
      </c>
      <c r="K582">
        <v>1845.07494</v>
      </c>
      <c r="L582">
        <v>1737.1803600000003</v>
      </c>
      <c r="M582">
        <v>1838.08896</v>
      </c>
      <c r="N582">
        <v>1692.9358199999999</v>
      </c>
      <c r="O582">
        <v>1829.55054</v>
      </c>
      <c r="P582">
        <v>1720.8797400000001</v>
      </c>
      <c r="Q582">
        <v>1858.2706800000001</v>
      </c>
      <c r="R582">
        <v>1703.0266800000002</v>
      </c>
      <c r="S582">
        <v>1900.9627800000001</v>
      </c>
      <c r="T582">
        <f t="shared" si="29"/>
        <v>21987.983940000002</v>
      </c>
      <c r="U582">
        <v>1</v>
      </c>
    </row>
    <row r="583" spans="1:21" x14ac:dyDescent="0.3">
      <c r="A583" t="str">
        <f t="shared" si="27"/>
        <v>EalingSocial support (including VCS) (pathway 0)4</v>
      </c>
      <c r="B583">
        <f>IF(C583="","",COUNTIF($C$2:C583,C583))</f>
        <v>4</v>
      </c>
      <c r="C583" t="str">
        <f t="shared" si="28"/>
        <v>EalingSocial support (including VCS) (pathway 0)</v>
      </c>
      <c r="D583" t="str">
        <f>VLOOKUP(G583,PathwayLookup!A:B,2,0)</f>
        <v>Social support (including VCS) (pathway 0)</v>
      </c>
      <c r="E583" t="s">
        <v>141</v>
      </c>
      <c r="F583" t="s">
        <v>613</v>
      </c>
      <c r="G583" t="s">
        <v>682</v>
      </c>
      <c r="H583">
        <v>265.92134400000003</v>
      </c>
      <c r="I583">
        <v>276.14908800000001</v>
      </c>
      <c r="J583">
        <v>270.18290400000001</v>
      </c>
      <c r="K583">
        <v>262.51209600000004</v>
      </c>
      <c r="L583">
        <v>271.88752799999997</v>
      </c>
      <c r="M583">
        <v>307.68463200000002</v>
      </c>
      <c r="N583">
        <v>283.81989600000003</v>
      </c>
      <c r="O583">
        <v>300.013824</v>
      </c>
      <c r="P583">
        <v>288.081456</v>
      </c>
      <c r="Q583">
        <v>316.20775200000003</v>
      </c>
      <c r="R583">
        <v>300.013824</v>
      </c>
      <c r="S583">
        <v>322.17393600000003</v>
      </c>
      <c r="T583">
        <f t="shared" si="29"/>
        <v>3464.6482799999999</v>
      </c>
      <c r="U583">
        <v>1</v>
      </c>
    </row>
    <row r="584" spans="1:21" x14ac:dyDescent="0.3">
      <c r="A584" t="str">
        <f t="shared" si="27"/>
        <v>EalingReablement &amp; Rehabilitation at home  (pathway 1)1</v>
      </c>
      <c r="B584">
        <f>IF(C584="","",COUNTIF($C$2:C584,C584))</f>
        <v>1</v>
      </c>
      <c r="C584" t="str">
        <f t="shared" si="28"/>
        <v>EalingReablement at home  (pathway 1)</v>
      </c>
      <c r="D584" t="str">
        <f>VLOOKUP(G584,PathwayLookup!A:B,2,0)</f>
        <v>Reablement &amp; Rehabilitation at home  (pathway 1)</v>
      </c>
      <c r="E584" t="s">
        <v>141</v>
      </c>
      <c r="F584" t="s">
        <v>476</v>
      </c>
      <c r="G584" t="s">
        <v>718</v>
      </c>
      <c r="H584">
        <v>21.901949999999999</v>
      </c>
      <c r="I584">
        <v>21.735078000000001</v>
      </c>
      <c r="J584">
        <v>19.273716</v>
      </c>
      <c r="K584">
        <v>21.526488000000001</v>
      </c>
      <c r="L584">
        <v>23.612387999999999</v>
      </c>
      <c r="M584">
        <v>21.901949999999999</v>
      </c>
      <c r="N584">
        <v>25.614851999999999</v>
      </c>
      <c r="O584">
        <v>25.114235999999998</v>
      </c>
      <c r="P584">
        <v>25.573134</v>
      </c>
      <c r="Q584">
        <v>24.613619999999997</v>
      </c>
      <c r="R584">
        <v>21.735078000000001</v>
      </c>
      <c r="S584">
        <v>25.364543999999999</v>
      </c>
      <c r="T584">
        <f t="shared" si="29"/>
        <v>277.96703400000001</v>
      </c>
      <c r="U584">
        <v>1</v>
      </c>
    </row>
    <row r="585" spans="1:21" x14ac:dyDescent="0.3">
      <c r="A585" t="str">
        <f t="shared" si="27"/>
        <v>EalingReablement &amp; Rehabilitation at home  (pathway 1)2</v>
      </c>
      <c r="B585">
        <f>IF(C585="","",COUNTIF($C$2:C585,C585))</f>
        <v>2</v>
      </c>
      <c r="C585" t="str">
        <f t="shared" si="28"/>
        <v>EalingReablement at home  (pathway 1)</v>
      </c>
      <c r="D585" t="str">
        <f>VLOOKUP(G585,PathwayLookup!A:B,2,0)</f>
        <v>Reablement &amp; Rehabilitation at home  (pathway 1)</v>
      </c>
      <c r="E585" t="s">
        <v>141</v>
      </c>
      <c r="F585" t="s">
        <v>520</v>
      </c>
      <c r="G585" t="s">
        <v>718</v>
      </c>
      <c r="H585">
        <v>33.582990000000002</v>
      </c>
      <c r="I585">
        <v>36.044352000000003</v>
      </c>
      <c r="J585">
        <v>34.375632000000003</v>
      </c>
      <c r="K585">
        <v>36.002634</v>
      </c>
      <c r="L585">
        <v>38.046816</v>
      </c>
      <c r="M585">
        <v>34.250478000000001</v>
      </c>
      <c r="N585">
        <v>37.796508000000003</v>
      </c>
      <c r="O585">
        <v>38.046816</v>
      </c>
      <c r="P585">
        <v>32.790348000000002</v>
      </c>
      <c r="Q585">
        <v>34.333914</v>
      </c>
      <c r="R585">
        <v>34.500785999999998</v>
      </c>
      <c r="S585">
        <v>37.087302000000001</v>
      </c>
      <c r="T585">
        <f t="shared" si="29"/>
        <v>426.85857600000003</v>
      </c>
      <c r="U585">
        <v>1</v>
      </c>
    </row>
    <row r="586" spans="1:21" x14ac:dyDescent="0.3">
      <c r="A586" t="str">
        <f t="shared" si="27"/>
        <v>EalingReablement &amp; Rehabilitation at home  (pathway 1)3</v>
      </c>
      <c r="B586">
        <f>IF(C586="","",COUNTIF($C$2:C586,C586))</f>
        <v>3</v>
      </c>
      <c r="C586" t="str">
        <f t="shared" si="28"/>
        <v>EalingReablement at home  (pathway 1)</v>
      </c>
      <c r="D586" t="str">
        <f>VLOOKUP(G586,PathwayLookup!A:B,2,0)</f>
        <v>Reablement &amp; Rehabilitation at home  (pathway 1)</v>
      </c>
      <c r="E586" t="s">
        <v>141</v>
      </c>
      <c r="F586" t="s">
        <v>540</v>
      </c>
      <c r="G586" t="s">
        <v>718</v>
      </c>
      <c r="H586">
        <v>146.20680000000002</v>
      </c>
      <c r="I586">
        <v>154.83599999999998</v>
      </c>
      <c r="J586">
        <v>161.1396</v>
      </c>
      <c r="K586">
        <v>145.47239999999999</v>
      </c>
      <c r="L586">
        <v>136.96560000000002</v>
      </c>
      <c r="M586">
        <v>144.92159999999998</v>
      </c>
      <c r="N586">
        <v>133.47719999999998</v>
      </c>
      <c r="O586">
        <v>144.24839999999998</v>
      </c>
      <c r="P586">
        <v>135.68039999999999</v>
      </c>
      <c r="Q586">
        <v>146.5128</v>
      </c>
      <c r="R586">
        <v>134.27279999999999</v>
      </c>
      <c r="S586">
        <v>149.87879999999998</v>
      </c>
      <c r="T586">
        <f t="shared" si="29"/>
        <v>1733.6123999999998</v>
      </c>
      <c r="U586">
        <v>1</v>
      </c>
    </row>
    <row r="587" spans="1:21" x14ac:dyDescent="0.3">
      <c r="A587" t="str">
        <f t="shared" si="27"/>
        <v>EalingReablement &amp; Rehabilitation at home  (pathway 1)4</v>
      </c>
      <c r="B587">
        <f>IF(C587="","",COUNTIF($C$2:C587,C587))</f>
        <v>4</v>
      </c>
      <c r="C587" t="str">
        <f t="shared" si="28"/>
        <v>EalingReablement at home  (pathway 1)</v>
      </c>
      <c r="D587" t="str">
        <f>VLOOKUP(G587,PathwayLookup!A:B,2,0)</f>
        <v>Reablement &amp; Rehabilitation at home  (pathway 1)</v>
      </c>
      <c r="E587" t="s">
        <v>141</v>
      </c>
      <c r="F587" t="s">
        <v>613</v>
      </c>
      <c r="G587" t="s">
        <v>718</v>
      </c>
      <c r="H587">
        <v>13.016016</v>
      </c>
      <c r="I587">
        <v>13.516632</v>
      </c>
      <c r="J587">
        <v>13.224606</v>
      </c>
      <c r="K587">
        <v>12.849144000000004</v>
      </c>
      <c r="L587">
        <v>13.308042</v>
      </c>
      <c r="M587">
        <v>15.060198000000002</v>
      </c>
      <c r="N587">
        <v>13.892094000000002</v>
      </c>
      <c r="O587">
        <v>14.684735999999999</v>
      </c>
      <c r="P587">
        <v>14.100683999999999</v>
      </c>
      <c r="Q587">
        <v>15.477378000000002</v>
      </c>
      <c r="R587">
        <v>14.684735999999999</v>
      </c>
      <c r="S587">
        <v>15.769404000000002</v>
      </c>
      <c r="T587">
        <f t="shared" si="29"/>
        <v>169.58367000000001</v>
      </c>
      <c r="U587">
        <v>1</v>
      </c>
    </row>
    <row r="588" spans="1:21" x14ac:dyDescent="0.3">
      <c r="A588" t="str">
        <f t="shared" si="27"/>
        <v>EalingReablement &amp; Rehabilitation at home  (pathway 1)1</v>
      </c>
      <c r="B588">
        <f>IF(C588="","",COUNTIF($C$2:C588,C588))</f>
        <v>1</v>
      </c>
      <c r="C588" t="str">
        <f t="shared" si="28"/>
        <v>EalingRehabilitation at home (pathway 1)</v>
      </c>
      <c r="D588" t="str">
        <f>VLOOKUP(G588,PathwayLookup!A:B,2,0)</f>
        <v>Reablement &amp; Rehabilitation at home  (pathway 1)</v>
      </c>
      <c r="E588" t="s">
        <v>141</v>
      </c>
      <c r="F588" t="s">
        <v>476</v>
      </c>
      <c r="G588" t="s">
        <v>719</v>
      </c>
      <c r="H588">
        <v>21.901949999999999</v>
      </c>
      <c r="I588">
        <v>21.735078000000001</v>
      </c>
      <c r="J588">
        <v>19.273716</v>
      </c>
      <c r="K588">
        <v>21.526488000000001</v>
      </c>
      <c r="L588">
        <v>23.612387999999999</v>
      </c>
      <c r="M588">
        <v>21.901949999999999</v>
      </c>
      <c r="N588">
        <v>25.614851999999999</v>
      </c>
      <c r="O588">
        <v>25.114235999999998</v>
      </c>
      <c r="P588">
        <v>25.573134</v>
      </c>
      <c r="Q588">
        <v>24.613619999999997</v>
      </c>
      <c r="R588">
        <v>21.735078000000001</v>
      </c>
      <c r="S588">
        <v>25.364543999999999</v>
      </c>
      <c r="T588">
        <f t="shared" si="29"/>
        <v>277.96703400000001</v>
      </c>
      <c r="U588">
        <v>1</v>
      </c>
    </row>
    <row r="589" spans="1:21" x14ac:dyDescent="0.3">
      <c r="A589" t="str">
        <f t="shared" si="27"/>
        <v>EalingReablement &amp; Rehabilitation at home  (pathway 1)2</v>
      </c>
      <c r="B589">
        <f>IF(C589="","",COUNTIF($C$2:C589,C589))</f>
        <v>2</v>
      </c>
      <c r="C589" t="str">
        <f t="shared" si="28"/>
        <v>EalingRehabilitation at home (pathway 1)</v>
      </c>
      <c r="D589" t="str">
        <f>VLOOKUP(G589,PathwayLookup!A:B,2,0)</f>
        <v>Reablement &amp; Rehabilitation at home  (pathway 1)</v>
      </c>
      <c r="E589" t="s">
        <v>141</v>
      </c>
      <c r="F589" t="s">
        <v>520</v>
      </c>
      <c r="G589" t="s">
        <v>719</v>
      </c>
      <c r="H589">
        <v>33.582990000000002</v>
      </c>
      <c r="I589">
        <v>36.044352000000003</v>
      </c>
      <c r="J589">
        <v>34.375632000000003</v>
      </c>
      <c r="K589">
        <v>36.002634</v>
      </c>
      <c r="L589">
        <v>38.046816</v>
      </c>
      <c r="M589">
        <v>34.250478000000001</v>
      </c>
      <c r="N589">
        <v>37.796508000000003</v>
      </c>
      <c r="O589">
        <v>38.046816</v>
      </c>
      <c r="P589">
        <v>32.790348000000002</v>
      </c>
      <c r="Q589">
        <v>34.333914</v>
      </c>
      <c r="R589">
        <v>34.500785999999998</v>
      </c>
      <c r="S589">
        <v>37.087302000000001</v>
      </c>
      <c r="T589">
        <f t="shared" si="29"/>
        <v>426.85857600000003</v>
      </c>
      <c r="U589">
        <v>1</v>
      </c>
    </row>
    <row r="590" spans="1:21" x14ac:dyDescent="0.3">
      <c r="A590" t="str">
        <f t="shared" si="27"/>
        <v>EalingReablement &amp; Rehabilitation at home  (pathway 1)3</v>
      </c>
      <c r="B590">
        <f>IF(C590="","",COUNTIF($C$2:C590,C590))</f>
        <v>3</v>
      </c>
      <c r="C590" t="str">
        <f t="shared" si="28"/>
        <v>EalingRehabilitation at home (pathway 1)</v>
      </c>
      <c r="D590" t="str">
        <f>VLOOKUP(G590,PathwayLookup!A:B,2,0)</f>
        <v>Reablement &amp; Rehabilitation at home  (pathway 1)</v>
      </c>
      <c r="E590" t="s">
        <v>141</v>
      </c>
      <c r="F590" t="s">
        <v>540</v>
      </c>
      <c r="G590" t="s">
        <v>719</v>
      </c>
      <c r="H590">
        <v>146.20680000000002</v>
      </c>
      <c r="I590">
        <v>154.83599999999998</v>
      </c>
      <c r="J590">
        <v>161.1396</v>
      </c>
      <c r="K590">
        <v>145.47239999999999</v>
      </c>
      <c r="L590">
        <v>136.96560000000002</v>
      </c>
      <c r="M590">
        <v>144.92159999999998</v>
      </c>
      <c r="N590">
        <v>133.47719999999998</v>
      </c>
      <c r="O590">
        <v>144.24839999999998</v>
      </c>
      <c r="P590">
        <v>135.68039999999999</v>
      </c>
      <c r="Q590">
        <v>146.5128</v>
      </c>
      <c r="R590">
        <v>134.27279999999999</v>
      </c>
      <c r="S590">
        <v>149.87879999999998</v>
      </c>
      <c r="T590">
        <f t="shared" si="29"/>
        <v>1733.6123999999998</v>
      </c>
      <c r="U590">
        <v>1</v>
      </c>
    </row>
    <row r="591" spans="1:21" x14ac:dyDescent="0.3">
      <c r="A591" t="str">
        <f t="shared" si="27"/>
        <v>EalingReablement &amp; Rehabilitation at home  (pathway 1)4</v>
      </c>
      <c r="B591">
        <f>IF(C591="","",COUNTIF($C$2:C591,C591))</f>
        <v>4</v>
      </c>
      <c r="C591" t="str">
        <f t="shared" si="28"/>
        <v>EalingRehabilitation at home (pathway 1)</v>
      </c>
      <c r="D591" t="str">
        <f>VLOOKUP(G591,PathwayLookup!A:B,2,0)</f>
        <v>Reablement &amp; Rehabilitation at home  (pathway 1)</v>
      </c>
      <c r="E591" t="s">
        <v>141</v>
      </c>
      <c r="F591" t="s">
        <v>613</v>
      </c>
      <c r="G591" t="s">
        <v>719</v>
      </c>
      <c r="H591">
        <v>13.016016</v>
      </c>
      <c r="I591">
        <v>13.516632</v>
      </c>
      <c r="J591">
        <v>13.224606</v>
      </c>
      <c r="K591">
        <v>12.849144000000004</v>
      </c>
      <c r="L591">
        <v>13.308042</v>
      </c>
      <c r="M591">
        <v>15.060198000000002</v>
      </c>
      <c r="N591">
        <v>13.892094000000002</v>
      </c>
      <c r="O591">
        <v>14.684735999999999</v>
      </c>
      <c r="P591">
        <v>14.100683999999999</v>
      </c>
      <c r="Q591">
        <v>15.477378000000002</v>
      </c>
      <c r="R591">
        <v>14.684735999999999</v>
      </c>
      <c r="S591">
        <v>15.769404000000002</v>
      </c>
      <c r="T591">
        <f t="shared" si="29"/>
        <v>169.58367000000001</v>
      </c>
      <c r="U591">
        <v>1</v>
      </c>
    </row>
    <row r="592" spans="1:21" x14ac:dyDescent="0.3">
      <c r="A592" t="str">
        <f t="shared" si="27"/>
        <v>EalingShort term domiciliary care (pathway 1)1</v>
      </c>
      <c r="B592">
        <f>IF(C592="","",COUNTIF($C$2:C592,C592))</f>
        <v>1</v>
      </c>
      <c r="C592" t="str">
        <f t="shared" si="28"/>
        <v>EalingShort term domiciliary care (pathway 1)</v>
      </c>
      <c r="D592" t="str">
        <f>VLOOKUP(G592,PathwayLookup!A:B,2,0)</f>
        <v>Short term domiciliary care (pathway 1)</v>
      </c>
      <c r="E592" t="s">
        <v>141</v>
      </c>
      <c r="F592" t="s">
        <v>476</v>
      </c>
      <c r="G592" t="s">
        <v>684</v>
      </c>
      <c r="H592">
        <v>21.901949999999999</v>
      </c>
      <c r="I592">
        <v>21.735078000000001</v>
      </c>
      <c r="J592">
        <v>19.273716</v>
      </c>
      <c r="K592">
        <v>21.526488000000001</v>
      </c>
      <c r="L592">
        <v>23.612387999999999</v>
      </c>
      <c r="M592">
        <v>21.901949999999999</v>
      </c>
      <c r="N592">
        <v>25.614851999999999</v>
      </c>
      <c r="O592">
        <v>25.114235999999998</v>
      </c>
      <c r="P592">
        <v>25.573134</v>
      </c>
      <c r="Q592">
        <v>24.613619999999997</v>
      </c>
      <c r="R592">
        <v>21.735078000000001</v>
      </c>
      <c r="S592">
        <v>25.364543999999999</v>
      </c>
      <c r="T592">
        <f t="shared" si="29"/>
        <v>277.96703400000001</v>
      </c>
      <c r="U592">
        <v>1</v>
      </c>
    </row>
    <row r="593" spans="1:21" x14ac:dyDescent="0.3">
      <c r="A593" t="str">
        <f t="shared" si="27"/>
        <v>EalingShort term domiciliary care (pathway 1)2</v>
      </c>
      <c r="B593">
        <f>IF(C593="","",COUNTIF($C$2:C593,C593))</f>
        <v>2</v>
      </c>
      <c r="C593" t="str">
        <f t="shared" si="28"/>
        <v>EalingShort term domiciliary care (pathway 1)</v>
      </c>
      <c r="D593" t="str">
        <f>VLOOKUP(G593,PathwayLookup!A:B,2,0)</f>
        <v>Short term domiciliary care (pathway 1)</v>
      </c>
      <c r="E593" t="s">
        <v>141</v>
      </c>
      <c r="F593" t="s">
        <v>520</v>
      </c>
      <c r="G593" t="s">
        <v>684</v>
      </c>
      <c r="H593">
        <v>33.582990000000002</v>
      </c>
      <c r="I593">
        <v>36.044352000000003</v>
      </c>
      <c r="J593">
        <v>34.375632000000003</v>
      </c>
      <c r="K593">
        <v>36.002634</v>
      </c>
      <c r="L593">
        <v>38.046816</v>
      </c>
      <c r="M593">
        <v>34.250478000000001</v>
      </c>
      <c r="N593">
        <v>37.796508000000003</v>
      </c>
      <c r="O593">
        <v>38.046816</v>
      </c>
      <c r="P593">
        <v>32.790348000000002</v>
      </c>
      <c r="Q593">
        <v>34.333914</v>
      </c>
      <c r="R593">
        <v>34.500785999999998</v>
      </c>
      <c r="S593">
        <v>37.087302000000001</v>
      </c>
      <c r="T593">
        <f t="shared" si="29"/>
        <v>426.85857600000003</v>
      </c>
      <c r="U593">
        <v>1</v>
      </c>
    </row>
    <row r="594" spans="1:21" x14ac:dyDescent="0.3">
      <c r="A594" t="str">
        <f t="shared" si="27"/>
        <v>EalingShort term domiciliary care (pathway 1)3</v>
      </c>
      <c r="B594">
        <f>IF(C594="","",COUNTIF($C$2:C594,C594))</f>
        <v>3</v>
      </c>
      <c r="C594" t="str">
        <f t="shared" si="28"/>
        <v>EalingShort term domiciliary care (pathway 1)</v>
      </c>
      <c r="D594" t="str">
        <f>VLOOKUP(G594,PathwayLookup!A:B,2,0)</f>
        <v>Short term domiciliary care (pathway 1)</v>
      </c>
      <c r="E594" t="s">
        <v>141</v>
      </c>
      <c r="F594" t="s">
        <v>540</v>
      </c>
      <c r="G594" t="s">
        <v>684</v>
      </c>
      <c r="H594">
        <v>146.20680000000002</v>
      </c>
      <c r="I594">
        <v>154.83599999999998</v>
      </c>
      <c r="J594">
        <v>161.1396</v>
      </c>
      <c r="K594">
        <v>145.47239999999999</v>
      </c>
      <c r="L594">
        <v>136.96560000000002</v>
      </c>
      <c r="M594">
        <v>144.92159999999998</v>
      </c>
      <c r="N594">
        <v>133.47719999999998</v>
      </c>
      <c r="O594">
        <v>144.24839999999998</v>
      </c>
      <c r="P594">
        <v>135.68039999999999</v>
      </c>
      <c r="Q594">
        <v>146.5128</v>
      </c>
      <c r="R594">
        <v>134.27279999999999</v>
      </c>
      <c r="S594">
        <v>149.87879999999998</v>
      </c>
      <c r="T594">
        <f t="shared" si="29"/>
        <v>1733.6123999999998</v>
      </c>
      <c r="U594">
        <v>1</v>
      </c>
    </row>
    <row r="595" spans="1:21" x14ac:dyDescent="0.3">
      <c r="A595" t="str">
        <f t="shared" si="27"/>
        <v>EalingShort term domiciliary care (pathway 1)4</v>
      </c>
      <c r="B595">
        <f>IF(C595="","",COUNTIF($C$2:C595,C595))</f>
        <v>4</v>
      </c>
      <c r="C595" t="str">
        <f t="shared" si="28"/>
        <v>EalingShort term domiciliary care (pathway 1)</v>
      </c>
      <c r="D595" t="str">
        <f>VLOOKUP(G595,PathwayLookup!A:B,2,0)</f>
        <v>Short term domiciliary care (pathway 1)</v>
      </c>
      <c r="E595" t="s">
        <v>141</v>
      </c>
      <c r="F595" t="s">
        <v>613</v>
      </c>
      <c r="G595" t="s">
        <v>684</v>
      </c>
      <c r="H595">
        <v>13.016016</v>
      </c>
      <c r="I595">
        <v>13.516632</v>
      </c>
      <c r="J595">
        <v>13.224606</v>
      </c>
      <c r="K595">
        <v>12.849144000000004</v>
      </c>
      <c r="L595">
        <v>13.308042</v>
      </c>
      <c r="M595">
        <v>15.060198000000002</v>
      </c>
      <c r="N595">
        <v>13.892094000000002</v>
      </c>
      <c r="O595">
        <v>14.684735999999999</v>
      </c>
      <c r="P595">
        <v>14.100683999999999</v>
      </c>
      <c r="Q595">
        <v>15.477378000000002</v>
      </c>
      <c r="R595">
        <v>14.684735999999999</v>
      </c>
      <c r="S595">
        <v>15.769404000000002</v>
      </c>
      <c r="T595">
        <f t="shared" si="29"/>
        <v>169.58367000000001</v>
      </c>
      <c r="U595">
        <v>1</v>
      </c>
    </row>
    <row r="596" spans="1:21" x14ac:dyDescent="0.3">
      <c r="A596" t="str">
        <f t="shared" si="27"/>
        <v/>
      </c>
      <c r="B596" t="str">
        <f>IF(C596="","",COUNTIF($C$2:C596,C596))</f>
        <v/>
      </c>
      <c r="C596" t="str">
        <f t="shared" si="28"/>
        <v/>
      </c>
      <c r="D596" t="str">
        <f>VLOOKUP(G596,PathwayLookup!A:B,2,0)</f>
        <v>Reablement &amp; Rehabilitation in a bedded setting (pathway 2)</v>
      </c>
      <c r="E596" t="s">
        <v>141</v>
      </c>
      <c r="F596" t="s">
        <v>476</v>
      </c>
      <c r="G596" t="s">
        <v>722</v>
      </c>
      <c r="H596">
        <v>0</v>
      </c>
      <c r="I596">
        <v>0</v>
      </c>
      <c r="J596">
        <v>0</v>
      </c>
      <c r="K596">
        <v>0</v>
      </c>
      <c r="L596">
        <v>0</v>
      </c>
      <c r="M596">
        <v>0</v>
      </c>
      <c r="N596">
        <v>0</v>
      </c>
      <c r="O596">
        <v>0</v>
      </c>
      <c r="P596">
        <v>0</v>
      </c>
      <c r="Q596">
        <v>0</v>
      </c>
      <c r="R596">
        <v>0</v>
      </c>
      <c r="S596">
        <v>0</v>
      </c>
      <c r="T596">
        <f t="shared" si="29"/>
        <v>0</v>
      </c>
      <c r="U596">
        <v>1</v>
      </c>
    </row>
    <row r="597" spans="1:21" x14ac:dyDescent="0.3">
      <c r="A597" t="str">
        <f t="shared" si="27"/>
        <v/>
      </c>
      <c r="B597" t="str">
        <f>IF(C597="","",COUNTIF($C$2:C597,C597))</f>
        <v/>
      </c>
      <c r="C597" t="str">
        <f t="shared" si="28"/>
        <v/>
      </c>
      <c r="D597" t="str">
        <f>VLOOKUP(G597,PathwayLookup!A:B,2,0)</f>
        <v>Reablement &amp; Rehabilitation in a bedded setting (pathway 2)</v>
      </c>
      <c r="E597" t="s">
        <v>141</v>
      </c>
      <c r="F597" t="s">
        <v>520</v>
      </c>
      <c r="G597" t="s">
        <v>722</v>
      </c>
      <c r="H597">
        <v>0</v>
      </c>
      <c r="I597">
        <v>0</v>
      </c>
      <c r="J597">
        <v>0</v>
      </c>
      <c r="K597">
        <v>0</v>
      </c>
      <c r="L597">
        <v>0</v>
      </c>
      <c r="M597">
        <v>0</v>
      </c>
      <c r="N597">
        <v>0</v>
      </c>
      <c r="O597">
        <v>0</v>
      </c>
      <c r="P597">
        <v>0</v>
      </c>
      <c r="Q597">
        <v>0</v>
      </c>
      <c r="R597">
        <v>0</v>
      </c>
      <c r="S597">
        <v>0</v>
      </c>
      <c r="T597">
        <f t="shared" si="29"/>
        <v>0</v>
      </c>
      <c r="U597">
        <v>1</v>
      </c>
    </row>
    <row r="598" spans="1:21" x14ac:dyDescent="0.3">
      <c r="A598" t="str">
        <f t="shared" si="27"/>
        <v/>
      </c>
      <c r="B598" t="str">
        <f>IF(C598="","",COUNTIF($C$2:C598,C598))</f>
        <v/>
      </c>
      <c r="C598" t="str">
        <f t="shared" si="28"/>
        <v/>
      </c>
      <c r="D598" t="str">
        <f>VLOOKUP(G598,PathwayLookup!A:B,2,0)</f>
        <v>Reablement &amp; Rehabilitation in a bedded setting (pathway 2)</v>
      </c>
      <c r="E598" t="s">
        <v>141</v>
      </c>
      <c r="F598" t="s">
        <v>540</v>
      </c>
      <c r="G598" t="s">
        <v>722</v>
      </c>
      <c r="H598">
        <v>0</v>
      </c>
      <c r="I598">
        <v>0</v>
      </c>
      <c r="J598">
        <v>0</v>
      </c>
      <c r="K598">
        <v>0</v>
      </c>
      <c r="L598">
        <v>0</v>
      </c>
      <c r="M598">
        <v>0</v>
      </c>
      <c r="N598">
        <v>0</v>
      </c>
      <c r="O598">
        <v>0</v>
      </c>
      <c r="P598">
        <v>0</v>
      </c>
      <c r="Q598">
        <v>0</v>
      </c>
      <c r="R598">
        <v>0</v>
      </c>
      <c r="S598">
        <v>0</v>
      </c>
      <c r="T598">
        <f t="shared" si="29"/>
        <v>0</v>
      </c>
      <c r="U598">
        <v>1</v>
      </c>
    </row>
    <row r="599" spans="1:21" x14ac:dyDescent="0.3">
      <c r="A599" t="str">
        <f t="shared" si="27"/>
        <v/>
      </c>
      <c r="B599" t="str">
        <f>IF(C599="","",COUNTIF($C$2:C599,C599))</f>
        <v/>
      </c>
      <c r="C599" t="str">
        <f t="shared" si="28"/>
        <v/>
      </c>
      <c r="D599" t="str">
        <f>VLOOKUP(G599,PathwayLookup!A:B,2,0)</f>
        <v>Reablement &amp; Rehabilitation in a bedded setting (pathway 2)</v>
      </c>
      <c r="E599" t="s">
        <v>141</v>
      </c>
      <c r="F599" t="s">
        <v>613</v>
      </c>
      <c r="G599" t="s">
        <v>722</v>
      </c>
      <c r="H599">
        <v>0</v>
      </c>
      <c r="I599">
        <v>0</v>
      </c>
      <c r="J599">
        <v>0</v>
      </c>
      <c r="K599">
        <v>0</v>
      </c>
      <c r="L599">
        <v>0</v>
      </c>
      <c r="M599">
        <v>0</v>
      </c>
      <c r="N599">
        <v>0</v>
      </c>
      <c r="O599">
        <v>0</v>
      </c>
      <c r="P599">
        <v>0</v>
      </c>
      <c r="Q599">
        <v>0</v>
      </c>
      <c r="R599">
        <v>0</v>
      </c>
      <c r="S599">
        <v>0</v>
      </c>
      <c r="T599">
        <f t="shared" si="29"/>
        <v>0</v>
      </c>
      <c r="U599">
        <v>1</v>
      </c>
    </row>
    <row r="600" spans="1:21" x14ac:dyDescent="0.3">
      <c r="A600" t="str">
        <f t="shared" si="27"/>
        <v>EalingReablement &amp; Rehabilitation in a bedded setting (pathway 2)1</v>
      </c>
      <c r="B600">
        <f>IF(C600="","",COUNTIF($C$2:C600,C600))</f>
        <v>1</v>
      </c>
      <c r="C600" t="str">
        <f t="shared" si="28"/>
        <v>EalingRehabilitation in a bedded setting (pathway 2)</v>
      </c>
      <c r="D600" t="str">
        <f>VLOOKUP(G600,PathwayLookup!A:B,2,0)</f>
        <v>Reablement &amp; Rehabilitation in a bedded setting (pathway 2)</v>
      </c>
      <c r="E600" t="s">
        <v>141</v>
      </c>
      <c r="F600" t="s">
        <v>476</v>
      </c>
      <c r="G600" t="s">
        <v>724</v>
      </c>
      <c r="H600">
        <v>9.2105999999999995</v>
      </c>
      <c r="I600">
        <v>9.1404239999999994</v>
      </c>
      <c r="J600">
        <v>8.1053280000000001</v>
      </c>
      <c r="K600">
        <v>9.0527040000000003</v>
      </c>
      <c r="L600">
        <v>9.9299040000000005</v>
      </c>
      <c r="M600">
        <v>9.2105999999999995</v>
      </c>
      <c r="N600">
        <v>10.772016000000001</v>
      </c>
      <c r="O600">
        <v>10.561488000000001</v>
      </c>
      <c r="P600">
        <v>10.754472</v>
      </c>
      <c r="Q600">
        <v>10.350960000000001</v>
      </c>
      <c r="R600">
        <v>9.1404239999999994</v>
      </c>
      <c r="S600">
        <v>10.666752000000001</v>
      </c>
      <c r="T600">
        <f t="shared" si="29"/>
        <v>116.895672</v>
      </c>
      <c r="U600">
        <v>1</v>
      </c>
    </row>
    <row r="601" spans="1:21" x14ac:dyDescent="0.3">
      <c r="A601" t="str">
        <f t="shared" si="27"/>
        <v>EalingReablement &amp; Rehabilitation in a bedded setting (pathway 2)2</v>
      </c>
      <c r="B601">
        <f>IF(C601="","",COUNTIF($C$2:C601,C601))</f>
        <v>2</v>
      </c>
      <c r="C601" t="str">
        <f t="shared" si="28"/>
        <v>EalingRehabilitation in a bedded setting (pathway 2)</v>
      </c>
      <c r="D601" t="str">
        <f>VLOOKUP(G601,PathwayLookup!A:B,2,0)</f>
        <v>Reablement &amp; Rehabilitation in a bedded setting (pathway 2)</v>
      </c>
      <c r="E601" t="s">
        <v>141</v>
      </c>
      <c r="F601" t="s">
        <v>520</v>
      </c>
      <c r="G601" t="s">
        <v>724</v>
      </c>
      <c r="H601">
        <v>14.122920000000001</v>
      </c>
      <c r="I601">
        <v>15.15802</v>
      </c>
      <c r="J601">
        <v>14.45626</v>
      </c>
      <c r="K601">
        <v>15.140470000000001</v>
      </c>
      <c r="L601">
        <v>16.000129999999999</v>
      </c>
      <c r="M601">
        <v>14.40362</v>
      </c>
      <c r="N601">
        <v>15.89486</v>
      </c>
      <c r="O601">
        <v>16.000129999999999</v>
      </c>
      <c r="P601">
        <v>13.789580000000001</v>
      </c>
      <c r="Q601">
        <v>14.43871</v>
      </c>
      <c r="R601">
        <v>14.508889999999999</v>
      </c>
      <c r="S601">
        <v>15.59662</v>
      </c>
      <c r="T601">
        <f t="shared" si="29"/>
        <v>179.51021</v>
      </c>
      <c r="U601">
        <v>1</v>
      </c>
    </row>
    <row r="602" spans="1:21" x14ac:dyDescent="0.3">
      <c r="A602" t="str">
        <f t="shared" si="27"/>
        <v>EalingReablement &amp; Rehabilitation in a bedded setting (pathway 2)3</v>
      </c>
      <c r="B602">
        <f>IF(C602="","",COUNTIF($C$2:C602,C602))</f>
        <v>3</v>
      </c>
      <c r="C602" t="str">
        <f t="shared" si="28"/>
        <v>EalingRehabilitation in a bedded setting (pathway 2)</v>
      </c>
      <c r="D602" t="str">
        <f>VLOOKUP(G602,PathwayLookup!A:B,2,0)</f>
        <v>Reablement &amp; Rehabilitation in a bedded setting (pathway 2)</v>
      </c>
      <c r="E602" t="s">
        <v>141</v>
      </c>
      <c r="F602" t="s">
        <v>540</v>
      </c>
      <c r="G602" t="s">
        <v>724</v>
      </c>
      <c r="H602">
        <v>85.043622000000013</v>
      </c>
      <c r="I602">
        <v>90.062939999999998</v>
      </c>
      <c r="J602">
        <v>93.729534000000001</v>
      </c>
      <c r="K602">
        <v>84.616445999999996</v>
      </c>
      <c r="L602">
        <v>79.668324000000013</v>
      </c>
      <c r="M602">
        <v>84.296064000000001</v>
      </c>
      <c r="N602">
        <v>77.639238000000006</v>
      </c>
      <c r="O602">
        <v>83.904485999999977</v>
      </c>
      <c r="P602">
        <v>78.920766</v>
      </c>
      <c r="Q602">
        <v>85.221611999999993</v>
      </c>
      <c r="R602">
        <v>78.102012000000002</v>
      </c>
      <c r="S602">
        <v>87.179501999999999</v>
      </c>
      <c r="T602">
        <f t="shared" si="29"/>
        <v>1008.384546</v>
      </c>
      <c r="U602">
        <v>1</v>
      </c>
    </row>
    <row r="603" spans="1:21" x14ac:dyDescent="0.3">
      <c r="A603" t="str">
        <f t="shared" si="27"/>
        <v>EalingReablement &amp; Rehabilitation in a bedded setting (pathway 2)4</v>
      </c>
      <c r="B603">
        <f>IF(C603="","",COUNTIF($C$2:C603,C603))</f>
        <v>4</v>
      </c>
      <c r="C603" t="str">
        <f t="shared" si="28"/>
        <v>EalingRehabilitation in a bedded setting (pathway 2)</v>
      </c>
      <c r="D603" t="str">
        <f>VLOOKUP(G603,PathwayLookup!A:B,2,0)</f>
        <v>Reablement &amp; Rehabilitation in a bedded setting (pathway 2)</v>
      </c>
      <c r="E603" t="s">
        <v>141</v>
      </c>
      <c r="F603" t="s">
        <v>613</v>
      </c>
      <c r="G603" t="s">
        <v>724</v>
      </c>
      <c r="H603">
        <v>5.4737280000000004</v>
      </c>
      <c r="I603">
        <v>5.6842560000000004</v>
      </c>
      <c r="J603">
        <v>5.5614479999999995</v>
      </c>
      <c r="K603">
        <v>5.4035520000000004</v>
      </c>
      <c r="L603">
        <v>5.5965359999999995</v>
      </c>
      <c r="M603">
        <v>6.3333840000000006</v>
      </c>
      <c r="N603">
        <v>5.8421520000000005</v>
      </c>
      <c r="O603">
        <v>6.1754880000000005</v>
      </c>
      <c r="P603">
        <v>5.9298719999999996</v>
      </c>
      <c r="Q603">
        <v>6.5088240000000006</v>
      </c>
      <c r="R603">
        <v>6.1754880000000005</v>
      </c>
      <c r="S603">
        <v>6.6316319999999997</v>
      </c>
      <c r="T603">
        <f t="shared" si="29"/>
        <v>71.316360000000003</v>
      </c>
      <c r="U603">
        <v>1</v>
      </c>
    </row>
    <row r="604" spans="1:21" x14ac:dyDescent="0.3">
      <c r="A604" t="str">
        <f t="shared" si="27"/>
        <v>EalingShort-term residential/nursing care for someone likely to require a longer-term care home placement (pathway 3)1</v>
      </c>
      <c r="B604">
        <f>IF(C604="","",COUNTIF($C$2:C604,C604))</f>
        <v>1</v>
      </c>
      <c r="C604" t="str">
        <f t="shared" si="28"/>
        <v>EalingShort-term residential/nursing care for someone likely to require a longer-term care home placement (pathway 3)</v>
      </c>
      <c r="D604" t="str">
        <f>VLOOKUP(G604,PathwayLookup!A:B,2,0)</f>
        <v>Short-term residential/nursing care for someone likely to require a longer-term care home placement (pathway 3)</v>
      </c>
      <c r="E604" t="s">
        <v>141</v>
      </c>
      <c r="F604" t="s">
        <v>476</v>
      </c>
      <c r="G604" t="s">
        <v>686</v>
      </c>
      <c r="H604">
        <v>13.11975</v>
      </c>
      <c r="I604">
        <v>13.01979</v>
      </c>
      <c r="J604">
        <v>11.545380000000002</v>
      </c>
      <c r="K604">
        <v>12.894840000000002</v>
      </c>
      <c r="L604">
        <v>14.14434</v>
      </c>
      <c r="M604">
        <v>13.11975</v>
      </c>
      <c r="N604">
        <v>15.343859999999999</v>
      </c>
      <c r="O604">
        <v>15.043979999999999</v>
      </c>
      <c r="P604">
        <v>15.31887</v>
      </c>
      <c r="Q604">
        <v>14.7441</v>
      </c>
      <c r="R604">
        <v>13.01979</v>
      </c>
      <c r="S604">
        <v>15.19392</v>
      </c>
      <c r="T604">
        <f t="shared" si="29"/>
        <v>166.50837000000001</v>
      </c>
      <c r="U604">
        <v>1</v>
      </c>
    </row>
    <row r="605" spans="1:21" x14ac:dyDescent="0.3">
      <c r="A605" t="str">
        <f t="shared" si="27"/>
        <v>EalingShort-term residential/nursing care for someone likely to require a longer-term care home placement (pathway 3)2</v>
      </c>
      <c r="B605">
        <f>IF(C605="","",COUNTIF($C$2:C605,C605))</f>
        <v>2</v>
      </c>
      <c r="C605" t="str">
        <f t="shared" si="28"/>
        <v>EalingShort-term residential/nursing care for someone likely to require a longer-term care home placement (pathway 3)</v>
      </c>
      <c r="D605" t="str">
        <f>VLOOKUP(G605,PathwayLookup!A:B,2,0)</f>
        <v>Short-term residential/nursing care for someone likely to require a longer-term care home placement (pathway 3)</v>
      </c>
      <c r="E605" t="s">
        <v>141</v>
      </c>
      <c r="F605" t="s">
        <v>520</v>
      </c>
      <c r="G605" t="s">
        <v>686</v>
      </c>
      <c r="H605">
        <v>20.116950000000003</v>
      </c>
      <c r="I605">
        <v>21.591360000000002</v>
      </c>
      <c r="J605">
        <v>20.591760000000001</v>
      </c>
      <c r="K605">
        <v>21.566369999999999</v>
      </c>
      <c r="L605">
        <v>22.790880000000001</v>
      </c>
      <c r="M605">
        <v>20.51679</v>
      </c>
      <c r="N605">
        <v>22.640940000000001</v>
      </c>
      <c r="O605">
        <v>22.790880000000001</v>
      </c>
      <c r="P605">
        <v>19.642140000000001</v>
      </c>
      <c r="Q605">
        <v>20.566770000000002</v>
      </c>
      <c r="R605">
        <v>20.666730000000001</v>
      </c>
      <c r="S605">
        <v>22.21611</v>
      </c>
      <c r="T605">
        <f t="shared" si="29"/>
        <v>255.69767999999999</v>
      </c>
      <c r="U605">
        <v>1</v>
      </c>
    </row>
    <row r="606" spans="1:21" x14ac:dyDescent="0.3">
      <c r="A606" t="str">
        <f t="shared" si="27"/>
        <v>EalingShort-term residential/nursing care for someone likely to require a longer-term care home placement (pathway 3)3</v>
      </c>
      <c r="B606">
        <f>IF(C606="","",COUNTIF($C$2:C606,C606))</f>
        <v>3</v>
      </c>
      <c r="C606" t="str">
        <f t="shared" si="28"/>
        <v>EalingShort-term residential/nursing care for someone likely to require a longer-term care home placement (pathway 3)</v>
      </c>
      <c r="D606" t="str">
        <f>VLOOKUP(G606,PathwayLookup!A:B,2,0)</f>
        <v>Short-term residential/nursing care for someone likely to require a longer-term care home placement (pathway 3)</v>
      </c>
      <c r="E606" t="s">
        <v>141</v>
      </c>
      <c r="F606" t="s">
        <v>540</v>
      </c>
      <c r="G606" t="s">
        <v>686</v>
      </c>
      <c r="H606">
        <v>58.482720000000008</v>
      </c>
      <c r="I606">
        <v>61.934399999999997</v>
      </c>
      <c r="J606">
        <v>64.455839999999995</v>
      </c>
      <c r="K606">
        <v>58.188960000000002</v>
      </c>
      <c r="L606">
        <v>54.786240000000006</v>
      </c>
      <c r="M606">
        <v>57.968640000000008</v>
      </c>
      <c r="N606">
        <v>53.390880000000003</v>
      </c>
      <c r="O606">
        <v>57.699359999999999</v>
      </c>
      <c r="P606">
        <v>54.272160000000007</v>
      </c>
      <c r="Q606">
        <v>58.605120000000007</v>
      </c>
      <c r="R606">
        <v>53.709120000000006</v>
      </c>
      <c r="S606">
        <v>59.951520000000002</v>
      </c>
      <c r="T606">
        <f t="shared" si="29"/>
        <v>693.44496000000004</v>
      </c>
      <c r="U606">
        <v>1</v>
      </c>
    </row>
    <row r="607" spans="1:21" x14ac:dyDescent="0.3">
      <c r="A607" t="str">
        <f t="shared" si="27"/>
        <v>EalingShort-term residential/nursing care for someone likely to require a longer-term care home placement (pathway 3)4</v>
      </c>
      <c r="B607">
        <f>IF(C607="","",COUNTIF($C$2:C607,C607))</f>
        <v>4</v>
      </c>
      <c r="C607" t="str">
        <f t="shared" si="28"/>
        <v>EalingShort-term residential/nursing care for someone likely to require a longer-term care home placement (pathway 3)</v>
      </c>
      <c r="D607" t="str">
        <f>VLOOKUP(G607,PathwayLookup!A:B,2,0)</f>
        <v>Short-term residential/nursing care for someone likely to require a longer-term care home placement (pathway 3)</v>
      </c>
      <c r="E607" t="s">
        <v>141</v>
      </c>
      <c r="F607" t="s">
        <v>613</v>
      </c>
      <c r="G607" t="s">
        <v>686</v>
      </c>
      <c r="H607">
        <v>7.7968799999999998</v>
      </c>
      <c r="I607">
        <v>8.0967600000000015</v>
      </c>
      <c r="J607">
        <v>7.9218299999999999</v>
      </c>
      <c r="K607">
        <v>7.6969200000000013</v>
      </c>
      <c r="L607">
        <v>7.9718099999999996</v>
      </c>
      <c r="M607">
        <v>9.0213900000000002</v>
      </c>
      <c r="N607">
        <v>8.321670000000001</v>
      </c>
      <c r="O607">
        <v>8.7964800000000007</v>
      </c>
      <c r="P607">
        <v>8.4466199999999994</v>
      </c>
      <c r="Q607">
        <v>9.2712900000000005</v>
      </c>
      <c r="R607">
        <v>8.7964800000000007</v>
      </c>
      <c r="S607">
        <v>9.4462200000000003</v>
      </c>
      <c r="T607">
        <f t="shared" si="29"/>
        <v>101.58434999999999</v>
      </c>
      <c r="U607">
        <v>1</v>
      </c>
    </row>
    <row r="608" spans="1:21" x14ac:dyDescent="0.3">
      <c r="A608" t="str">
        <f t="shared" si="27"/>
        <v>East Riding of YorkshireSocial support (including VCS) (pathway 0)1</v>
      </c>
      <c r="B608">
        <f>IF(C608="","",COUNTIF($C$2:C608,C608))</f>
        <v>1</v>
      </c>
      <c r="C608" t="str">
        <f t="shared" si="28"/>
        <v>East Riding of YorkshireSocial support (including VCS) (pathway 0)</v>
      </c>
      <c r="D608" t="str">
        <f>VLOOKUP(G608,PathwayLookup!A:B,2,0)</f>
        <v>Social support (including VCS) (pathway 0)</v>
      </c>
      <c r="E608" t="s">
        <v>143</v>
      </c>
      <c r="F608" t="s">
        <v>518</v>
      </c>
      <c r="G608" t="s">
        <v>682</v>
      </c>
      <c r="H608">
        <v>59</v>
      </c>
      <c r="I608">
        <v>68</v>
      </c>
      <c r="J608">
        <v>49</v>
      </c>
      <c r="K608">
        <v>64</v>
      </c>
      <c r="L608">
        <v>59</v>
      </c>
      <c r="M608">
        <v>57</v>
      </c>
      <c r="N608">
        <v>66</v>
      </c>
      <c r="O608">
        <v>58</v>
      </c>
      <c r="P608">
        <v>61</v>
      </c>
      <c r="Q608">
        <v>61</v>
      </c>
      <c r="R608">
        <v>52</v>
      </c>
      <c r="S608">
        <v>66</v>
      </c>
      <c r="T608">
        <f t="shared" si="29"/>
        <v>720</v>
      </c>
      <c r="U608">
        <v>1</v>
      </c>
    </row>
    <row r="609" spans="1:21" x14ac:dyDescent="0.3">
      <c r="A609" t="str">
        <f t="shared" si="27"/>
        <v/>
      </c>
      <c r="B609" t="str">
        <f>IF(C609="","",COUNTIF($C$2:C609,C609))</f>
        <v/>
      </c>
      <c r="C609" t="str">
        <f t="shared" si="28"/>
        <v/>
      </c>
      <c r="D609" t="str">
        <f>VLOOKUP(G609,PathwayLookup!A:B,2,0)</f>
        <v>Social support (including VCS) (pathway 0)</v>
      </c>
      <c r="E609" t="s">
        <v>143</v>
      </c>
      <c r="F609" t="s">
        <v>650</v>
      </c>
      <c r="G609" t="s">
        <v>682</v>
      </c>
      <c r="H609">
        <v>0</v>
      </c>
      <c r="I609">
        <v>0</v>
      </c>
      <c r="J609">
        <v>0</v>
      </c>
      <c r="K609">
        <v>0</v>
      </c>
      <c r="L609">
        <v>0</v>
      </c>
      <c r="M609">
        <v>0</v>
      </c>
      <c r="N609">
        <v>0</v>
      </c>
      <c r="O609">
        <v>0</v>
      </c>
      <c r="P609">
        <v>0</v>
      </c>
      <c r="Q609">
        <v>0</v>
      </c>
      <c r="R609">
        <v>0</v>
      </c>
      <c r="S609">
        <v>0</v>
      </c>
      <c r="T609">
        <f t="shared" si="29"/>
        <v>0</v>
      </c>
      <c r="U609">
        <v>1</v>
      </c>
    </row>
    <row r="610" spans="1:21" x14ac:dyDescent="0.3">
      <c r="A610" t="str">
        <f t="shared" si="27"/>
        <v>East Riding of YorkshireSocial support (including VCS) (pathway 0)2</v>
      </c>
      <c r="B610">
        <f>IF(C610="","",COUNTIF($C$2:C610,C610))</f>
        <v>2</v>
      </c>
      <c r="C610" t="str">
        <f t="shared" si="28"/>
        <v>East Riding of YorkshireSocial support (including VCS) (pathway 0)</v>
      </c>
      <c r="D610" t="str">
        <f>VLOOKUP(G610,PathwayLookup!A:B,2,0)</f>
        <v>Social support (including VCS) (pathway 0)</v>
      </c>
      <c r="E610" t="s">
        <v>143</v>
      </c>
      <c r="F610" t="s">
        <v>651</v>
      </c>
      <c r="G610" t="s">
        <v>682</v>
      </c>
      <c r="H610">
        <v>7</v>
      </c>
      <c r="I610">
        <v>6</v>
      </c>
      <c r="J610">
        <v>7</v>
      </c>
      <c r="K610">
        <v>7</v>
      </c>
      <c r="L610">
        <v>7</v>
      </c>
      <c r="M610">
        <v>8</v>
      </c>
      <c r="N610">
        <v>7</v>
      </c>
      <c r="O610">
        <v>7</v>
      </c>
      <c r="P610">
        <v>6</v>
      </c>
      <c r="Q610">
        <v>7</v>
      </c>
      <c r="R610">
        <v>7</v>
      </c>
      <c r="S610">
        <v>8</v>
      </c>
      <c r="T610">
        <f t="shared" si="29"/>
        <v>84</v>
      </c>
      <c r="U610">
        <v>1</v>
      </c>
    </row>
    <row r="611" spans="1:21" x14ac:dyDescent="0.3">
      <c r="A611" t="str">
        <f t="shared" si="27"/>
        <v>East Riding of YorkshireReablement &amp; Rehabilitation at home  (pathway 1)1</v>
      </c>
      <c r="B611">
        <f>IF(C611="","",COUNTIF($C$2:C611,C611))</f>
        <v>1</v>
      </c>
      <c r="C611" t="str">
        <f t="shared" si="28"/>
        <v>East Riding of YorkshireReablement at home  (pathway 1)</v>
      </c>
      <c r="D611" t="str">
        <f>VLOOKUP(G611,PathwayLookup!A:B,2,0)</f>
        <v>Reablement &amp; Rehabilitation at home  (pathway 1)</v>
      </c>
      <c r="E611" t="s">
        <v>143</v>
      </c>
      <c r="F611" t="s">
        <v>518</v>
      </c>
      <c r="G611" t="s">
        <v>718</v>
      </c>
      <c r="H611">
        <v>70</v>
      </c>
      <c r="I611">
        <v>81</v>
      </c>
      <c r="J611">
        <v>67</v>
      </c>
      <c r="K611">
        <v>74</v>
      </c>
      <c r="L611">
        <v>73</v>
      </c>
      <c r="M611">
        <v>69</v>
      </c>
      <c r="N611">
        <v>77</v>
      </c>
      <c r="O611">
        <v>74</v>
      </c>
      <c r="P611">
        <v>75</v>
      </c>
      <c r="Q611">
        <v>75</v>
      </c>
      <c r="R611">
        <v>68</v>
      </c>
      <c r="S611">
        <v>75</v>
      </c>
      <c r="T611">
        <f t="shared" si="29"/>
        <v>878</v>
      </c>
      <c r="U611">
        <v>1</v>
      </c>
    </row>
    <row r="612" spans="1:21" x14ac:dyDescent="0.3">
      <c r="A612" t="str">
        <f t="shared" si="27"/>
        <v>East Riding of YorkshireReablement &amp; Rehabilitation at home  (pathway 1)2</v>
      </c>
      <c r="B612">
        <f>IF(C612="","",COUNTIF($C$2:C612,C612))</f>
        <v>2</v>
      </c>
      <c r="C612" t="str">
        <f t="shared" si="28"/>
        <v>East Riding of YorkshireReablement at home  (pathway 1)</v>
      </c>
      <c r="D612" t="str">
        <f>VLOOKUP(G612,PathwayLookup!A:B,2,0)</f>
        <v>Reablement &amp; Rehabilitation at home  (pathway 1)</v>
      </c>
      <c r="E612" t="s">
        <v>143</v>
      </c>
      <c r="F612" t="s">
        <v>564</v>
      </c>
      <c r="G612" t="s">
        <v>718</v>
      </c>
      <c r="H612">
        <v>6</v>
      </c>
      <c r="I612">
        <v>6</v>
      </c>
      <c r="J612">
        <v>7</v>
      </c>
      <c r="K612">
        <v>9</v>
      </c>
      <c r="L612">
        <v>7</v>
      </c>
      <c r="M612">
        <v>8</v>
      </c>
      <c r="N612">
        <v>7</v>
      </c>
      <c r="O612">
        <v>10</v>
      </c>
      <c r="P612">
        <v>7</v>
      </c>
      <c r="Q612">
        <v>9</v>
      </c>
      <c r="R612">
        <v>8</v>
      </c>
      <c r="S612">
        <v>8</v>
      </c>
      <c r="T612">
        <f t="shared" si="29"/>
        <v>92</v>
      </c>
      <c r="U612">
        <v>1</v>
      </c>
    </row>
    <row r="613" spans="1:21" x14ac:dyDescent="0.3">
      <c r="A613" t="str">
        <f t="shared" si="27"/>
        <v>East Riding of YorkshireReablement &amp; Rehabilitation at home  (pathway 1)3</v>
      </c>
      <c r="B613">
        <f>IF(C613="","",COUNTIF($C$2:C613,C613))</f>
        <v>3</v>
      </c>
      <c r="C613" t="str">
        <f t="shared" si="28"/>
        <v>East Riding of YorkshireReablement at home  (pathway 1)</v>
      </c>
      <c r="D613" t="str">
        <f>VLOOKUP(G613,PathwayLookup!A:B,2,0)</f>
        <v>Reablement &amp; Rehabilitation at home  (pathway 1)</v>
      </c>
      <c r="E613" t="s">
        <v>143</v>
      </c>
      <c r="F613" t="s">
        <v>650</v>
      </c>
      <c r="G613" t="s">
        <v>718</v>
      </c>
      <c r="H613">
        <v>32</v>
      </c>
      <c r="I613">
        <v>30</v>
      </c>
      <c r="J613">
        <v>32</v>
      </c>
      <c r="K613">
        <v>30</v>
      </c>
      <c r="L613">
        <v>29</v>
      </c>
      <c r="M613">
        <v>31</v>
      </c>
      <c r="N613">
        <v>30</v>
      </c>
      <c r="O613">
        <v>30</v>
      </c>
      <c r="P613">
        <v>31</v>
      </c>
      <c r="Q613">
        <v>34</v>
      </c>
      <c r="R613">
        <v>25</v>
      </c>
      <c r="S613">
        <v>32</v>
      </c>
      <c r="T613">
        <f t="shared" si="29"/>
        <v>366</v>
      </c>
      <c r="U613">
        <v>1</v>
      </c>
    </row>
    <row r="614" spans="1:21" x14ac:dyDescent="0.3">
      <c r="A614" t="str">
        <f t="shared" si="27"/>
        <v>East Riding of YorkshireReablement &amp; Rehabilitation at home  (pathway 1)4</v>
      </c>
      <c r="B614">
        <f>IF(C614="","",COUNTIF($C$2:C614,C614))</f>
        <v>4</v>
      </c>
      <c r="C614" t="str">
        <f t="shared" si="28"/>
        <v>East Riding of YorkshireReablement at home  (pathway 1)</v>
      </c>
      <c r="D614" t="str">
        <f>VLOOKUP(G614,PathwayLookup!A:B,2,0)</f>
        <v>Reablement &amp; Rehabilitation at home  (pathway 1)</v>
      </c>
      <c r="E614" t="s">
        <v>143</v>
      </c>
      <c r="F614" t="s">
        <v>651</v>
      </c>
      <c r="G614" t="s">
        <v>718</v>
      </c>
      <c r="H614">
        <v>6</v>
      </c>
      <c r="I614">
        <v>5</v>
      </c>
      <c r="J614">
        <v>6</v>
      </c>
      <c r="K614">
        <v>6</v>
      </c>
      <c r="L614">
        <v>6</v>
      </c>
      <c r="M614">
        <v>6</v>
      </c>
      <c r="N614">
        <v>6</v>
      </c>
      <c r="O614">
        <v>5</v>
      </c>
      <c r="P614">
        <v>5</v>
      </c>
      <c r="Q614">
        <v>6</v>
      </c>
      <c r="R614">
        <v>6</v>
      </c>
      <c r="S614">
        <v>7</v>
      </c>
      <c r="T614">
        <f t="shared" si="29"/>
        <v>70</v>
      </c>
      <c r="U614">
        <v>1</v>
      </c>
    </row>
    <row r="615" spans="1:21" x14ac:dyDescent="0.3">
      <c r="A615" t="str">
        <f t="shared" si="27"/>
        <v>East Riding of YorkshireReablement &amp; Rehabilitation in a bedded setting (pathway 2)1</v>
      </c>
      <c r="B615">
        <f>IF(C615="","",COUNTIF($C$2:C615,C615))</f>
        <v>1</v>
      </c>
      <c r="C615" t="str">
        <f t="shared" si="28"/>
        <v>East Riding of YorkshireReablement in a bedded setting (pathway 2)</v>
      </c>
      <c r="D615" t="str">
        <f>VLOOKUP(G615,PathwayLookup!A:B,2,0)</f>
        <v>Reablement &amp; Rehabilitation in a bedded setting (pathway 2)</v>
      </c>
      <c r="E615" t="s">
        <v>143</v>
      </c>
      <c r="F615" t="s">
        <v>518</v>
      </c>
      <c r="G615" t="s">
        <v>722</v>
      </c>
      <c r="H615">
        <v>55</v>
      </c>
      <c r="I615">
        <v>63</v>
      </c>
      <c r="J615">
        <v>52</v>
      </c>
      <c r="K615">
        <v>57</v>
      </c>
      <c r="L615">
        <v>57</v>
      </c>
      <c r="M615">
        <v>54</v>
      </c>
      <c r="N615">
        <v>60</v>
      </c>
      <c r="O615">
        <v>57</v>
      </c>
      <c r="P615">
        <v>58</v>
      </c>
      <c r="Q615">
        <v>59</v>
      </c>
      <c r="R615">
        <v>53</v>
      </c>
      <c r="S615">
        <v>59</v>
      </c>
      <c r="T615">
        <f t="shared" si="29"/>
        <v>684</v>
      </c>
      <c r="U615">
        <v>1</v>
      </c>
    </row>
    <row r="616" spans="1:21" x14ac:dyDescent="0.3">
      <c r="A616" t="str">
        <f t="shared" si="27"/>
        <v>East Riding of YorkshireReablement &amp; Rehabilitation in a bedded setting (pathway 2)2</v>
      </c>
      <c r="B616">
        <f>IF(C616="","",COUNTIF($C$2:C616,C616))</f>
        <v>2</v>
      </c>
      <c r="C616" t="str">
        <f t="shared" si="28"/>
        <v>East Riding of YorkshireReablement in a bedded setting (pathway 2)</v>
      </c>
      <c r="D616" t="str">
        <f>VLOOKUP(G616,PathwayLookup!A:B,2,0)</f>
        <v>Reablement &amp; Rehabilitation in a bedded setting (pathway 2)</v>
      </c>
      <c r="E616" t="s">
        <v>143</v>
      </c>
      <c r="F616" t="s">
        <v>564</v>
      </c>
      <c r="G616" t="s">
        <v>722</v>
      </c>
      <c r="H616">
        <v>5</v>
      </c>
      <c r="I616">
        <v>4</v>
      </c>
      <c r="J616">
        <v>6</v>
      </c>
      <c r="K616">
        <v>7</v>
      </c>
      <c r="L616">
        <v>6</v>
      </c>
      <c r="M616">
        <v>6</v>
      </c>
      <c r="N616">
        <v>6</v>
      </c>
      <c r="O616">
        <v>8</v>
      </c>
      <c r="P616">
        <v>6</v>
      </c>
      <c r="Q616">
        <v>7</v>
      </c>
      <c r="R616">
        <v>6</v>
      </c>
      <c r="S616">
        <v>6</v>
      </c>
      <c r="T616">
        <f t="shared" si="29"/>
        <v>73</v>
      </c>
      <c r="U616">
        <v>1</v>
      </c>
    </row>
    <row r="617" spans="1:21" x14ac:dyDescent="0.3">
      <c r="A617" t="str">
        <f t="shared" si="27"/>
        <v>East Riding of YorkshireReablement &amp; Rehabilitation in a bedded setting (pathway 2)3</v>
      </c>
      <c r="B617">
        <f>IF(C617="","",COUNTIF($C$2:C617,C617))</f>
        <v>3</v>
      </c>
      <c r="C617" t="str">
        <f t="shared" si="28"/>
        <v>East Riding of YorkshireReablement in a bedded setting (pathway 2)</v>
      </c>
      <c r="D617" t="str">
        <f>VLOOKUP(G617,PathwayLookup!A:B,2,0)</f>
        <v>Reablement &amp; Rehabilitation in a bedded setting (pathway 2)</v>
      </c>
      <c r="E617" t="s">
        <v>143</v>
      </c>
      <c r="F617" t="s">
        <v>650</v>
      </c>
      <c r="G617" t="s">
        <v>722</v>
      </c>
      <c r="H617">
        <v>24</v>
      </c>
      <c r="I617">
        <v>23</v>
      </c>
      <c r="J617">
        <v>25</v>
      </c>
      <c r="K617">
        <v>23</v>
      </c>
      <c r="L617">
        <v>22</v>
      </c>
      <c r="M617">
        <v>24</v>
      </c>
      <c r="N617">
        <v>23</v>
      </c>
      <c r="O617">
        <v>23</v>
      </c>
      <c r="P617">
        <v>24</v>
      </c>
      <c r="Q617">
        <v>26</v>
      </c>
      <c r="R617">
        <v>19</v>
      </c>
      <c r="S617">
        <v>25</v>
      </c>
      <c r="T617">
        <f t="shared" si="29"/>
        <v>281</v>
      </c>
      <c r="U617">
        <v>1</v>
      </c>
    </row>
    <row r="618" spans="1:21" x14ac:dyDescent="0.3">
      <c r="A618" t="str">
        <f t="shared" si="27"/>
        <v>East Riding of YorkshireReablement &amp; Rehabilitation in a bedded setting (pathway 2)4</v>
      </c>
      <c r="B618">
        <f>IF(C618="","",COUNTIF($C$2:C618,C618))</f>
        <v>4</v>
      </c>
      <c r="C618" t="str">
        <f t="shared" si="28"/>
        <v>East Riding of YorkshireReablement in a bedded setting (pathway 2)</v>
      </c>
      <c r="D618" t="str">
        <f>VLOOKUP(G618,PathwayLookup!A:B,2,0)</f>
        <v>Reablement &amp; Rehabilitation in a bedded setting (pathway 2)</v>
      </c>
      <c r="E618" t="s">
        <v>143</v>
      </c>
      <c r="F618" t="s">
        <v>651</v>
      </c>
      <c r="G618" t="s">
        <v>722</v>
      </c>
      <c r="H618">
        <v>4</v>
      </c>
      <c r="I618">
        <v>4</v>
      </c>
      <c r="J618">
        <v>4</v>
      </c>
      <c r="K618">
        <v>5</v>
      </c>
      <c r="L618">
        <v>5</v>
      </c>
      <c r="M618">
        <v>5</v>
      </c>
      <c r="N618">
        <v>5</v>
      </c>
      <c r="O618">
        <v>4</v>
      </c>
      <c r="P618">
        <v>4</v>
      </c>
      <c r="Q618">
        <v>4</v>
      </c>
      <c r="R618">
        <v>5</v>
      </c>
      <c r="S618">
        <v>6</v>
      </c>
      <c r="T618">
        <f t="shared" si="29"/>
        <v>55</v>
      </c>
      <c r="U618">
        <v>1</v>
      </c>
    </row>
    <row r="619" spans="1:21" x14ac:dyDescent="0.3">
      <c r="A619" t="str">
        <f t="shared" si="27"/>
        <v>East Riding of YorkshireShort-term residential/nursing care for someone likely to require a longer-term care home placement (pathway 3)1</v>
      </c>
      <c r="B619">
        <f>IF(C619="","",COUNTIF($C$2:C619,C619))</f>
        <v>1</v>
      </c>
      <c r="C619" t="str">
        <f t="shared" si="28"/>
        <v>East Riding of YorkshireShort-term residential/nursing care for someone likely to require a longer-term care home placement (pathway 3)</v>
      </c>
      <c r="D619" t="str">
        <f>VLOOKUP(G619,PathwayLookup!A:B,2,0)</f>
        <v>Short-term residential/nursing care for someone likely to require a longer-term care home placement (pathway 3)</v>
      </c>
      <c r="E619" t="s">
        <v>143</v>
      </c>
      <c r="F619" t="s">
        <v>518</v>
      </c>
      <c r="G619" t="s">
        <v>686</v>
      </c>
      <c r="H619">
        <v>40</v>
      </c>
      <c r="I619">
        <v>46</v>
      </c>
      <c r="J619">
        <v>38</v>
      </c>
      <c r="K619">
        <v>41</v>
      </c>
      <c r="L619">
        <v>41</v>
      </c>
      <c r="M619">
        <v>39</v>
      </c>
      <c r="N619">
        <v>43</v>
      </c>
      <c r="O619">
        <v>41</v>
      </c>
      <c r="P619">
        <v>42</v>
      </c>
      <c r="Q619">
        <v>42</v>
      </c>
      <c r="R619">
        <v>38</v>
      </c>
      <c r="S619">
        <v>42</v>
      </c>
      <c r="T619">
        <f t="shared" si="29"/>
        <v>493</v>
      </c>
      <c r="U619">
        <v>1</v>
      </c>
    </row>
    <row r="620" spans="1:21" x14ac:dyDescent="0.3">
      <c r="A620" t="str">
        <f t="shared" si="27"/>
        <v>East Riding of YorkshireShort-term residential/nursing care for someone likely to require a longer-term care home placement (pathway 3)2</v>
      </c>
      <c r="B620">
        <f>IF(C620="","",COUNTIF($C$2:C620,C620))</f>
        <v>2</v>
      </c>
      <c r="C620" t="str">
        <f t="shared" si="28"/>
        <v>East Riding of YorkshireShort-term residential/nursing care for someone likely to require a longer-term care home placement (pathway 3)</v>
      </c>
      <c r="D620" t="str">
        <f>VLOOKUP(G620,PathwayLookup!A:B,2,0)</f>
        <v>Short-term residential/nursing care for someone likely to require a longer-term care home placement (pathway 3)</v>
      </c>
      <c r="E620" t="s">
        <v>143</v>
      </c>
      <c r="F620" t="s">
        <v>564</v>
      </c>
      <c r="G620" t="s">
        <v>686</v>
      </c>
      <c r="H620">
        <v>4</v>
      </c>
      <c r="I620">
        <v>3</v>
      </c>
      <c r="J620">
        <v>4</v>
      </c>
      <c r="K620">
        <v>5</v>
      </c>
      <c r="L620">
        <v>4</v>
      </c>
      <c r="M620">
        <v>4</v>
      </c>
      <c r="N620">
        <v>4</v>
      </c>
      <c r="O620">
        <v>5</v>
      </c>
      <c r="P620">
        <v>4</v>
      </c>
      <c r="Q620">
        <v>5</v>
      </c>
      <c r="R620">
        <v>4</v>
      </c>
      <c r="S620">
        <v>4</v>
      </c>
      <c r="T620">
        <f t="shared" si="29"/>
        <v>50</v>
      </c>
      <c r="U620">
        <v>1</v>
      </c>
    </row>
    <row r="621" spans="1:21" x14ac:dyDescent="0.3">
      <c r="A621" t="str">
        <f t="shared" si="27"/>
        <v>East Riding of YorkshireShort-term residential/nursing care for someone likely to require a longer-term care home placement (pathway 3)3</v>
      </c>
      <c r="B621">
        <f>IF(C621="","",COUNTIF($C$2:C621,C621))</f>
        <v>3</v>
      </c>
      <c r="C621" t="str">
        <f t="shared" si="28"/>
        <v>East Riding of YorkshireShort-term residential/nursing care for someone likely to require a longer-term care home placement (pathway 3)</v>
      </c>
      <c r="D621" t="str">
        <f>VLOOKUP(G621,PathwayLookup!A:B,2,0)</f>
        <v>Short-term residential/nursing care for someone likely to require a longer-term care home placement (pathway 3)</v>
      </c>
      <c r="E621" t="s">
        <v>143</v>
      </c>
      <c r="F621" t="s">
        <v>650</v>
      </c>
      <c r="G621" t="s">
        <v>686</v>
      </c>
      <c r="H621">
        <v>18</v>
      </c>
      <c r="I621">
        <v>17</v>
      </c>
      <c r="J621">
        <v>18</v>
      </c>
      <c r="K621">
        <v>17</v>
      </c>
      <c r="L621">
        <v>16</v>
      </c>
      <c r="M621">
        <v>18</v>
      </c>
      <c r="N621">
        <v>17</v>
      </c>
      <c r="O621">
        <v>17</v>
      </c>
      <c r="P621">
        <v>18</v>
      </c>
      <c r="Q621">
        <v>19</v>
      </c>
      <c r="R621">
        <v>14</v>
      </c>
      <c r="S621">
        <v>18</v>
      </c>
      <c r="T621">
        <f t="shared" si="29"/>
        <v>207</v>
      </c>
      <c r="U621">
        <v>1</v>
      </c>
    </row>
    <row r="622" spans="1:21" x14ac:dyDescent="0.3">
      <c r="A622" t="str">
        <f t="shared" si="27"/>
        <v>East Riding of YorkshireShort-term residential/nursing care for someone likely to require a longer-term care home placement (pathway 3)4</v>
      </c>
      <c r="B622">
        <f>IF(C622="","",COUNTIF($C$2:C622,C622))</f>
        <v>4</v>
      </c>
      <c r="C622" t="str">
        <f t="shared" si="28"/>
        <v>East Riding of YorkshireShort-term residential/nursing care for someone likely to require a longer-term care home placement (pathway 3)</v>
      </c>
      <c r="D622" t="str">
        <f>VLOOKUP(G622,PathwayLookup!A:B,2,0)</f>
        <v>Short-term residential/nursing care for someone likely to require a longer-term care home placement (pathway 3)</v>
      </c>
      <c r="E622" t="s">
        <v>143</v>
      </c>
      <c r="F622" t="s">
        <v>651</v>
      </c>
      <c r="G622" t="s">
        <v>686</v>
      </c>
      <c r="H622">
        <v>3</v>
      </c>
      <c r="I622">
        <v>3</v>
      </c>
      <c r="J622">
        <v>3</v>
      </c>
      <c r="K622">
        <v>3</v>
      </c>
      <c r="L622">
        <v>3</v>
      </c>
      <c r="M622">
        <v>4</v>
      </c>
      <c r="N622">
        <v>3</v>
      </c>
      <c r="O622">
        <v>3</v>
      </c>
      <c r="P622">
        <v>3</v>
      </c>
      <c r="Q622">
        <v>3</v>
      </c>
      <c r="R622">
        <v>3</v>
      </c>
      <c r="S622">
        <v>4</v>
      </c>
      <c r="T622">
        <f t="shared" si="29"/>
        <v>38</v>
      </c>
      <c r="U622">
        <v>1</v>
      </c>
    </row>
    <row r="623" spans="1:21" x14ac:dyDescent="0.3">
      <c r="A623" t="str">
        <f t="shared" si="27"/>
        <v>East SussexSocial support (including VCS) (pathway 0)1</v>
      </c>
      <c r="B623">
        <f>IF(C623="","",COUNTIF($C$2:C623,C623))</f>
        <v>1</v>
      </c>
      <c r="C623" t="str">
        <f t="shared" si="28"/>
        <v>East SussexSocial support (including VCS) (pathway 0)</v>
      </c>
      <c r="D623" t="str">
        <f>VLOOKUP(G623,PathwayLookup!A:B,2,0)</f>
        <v>Social support (including VCS) (pathway 0)</v>
      </c>
      <c r="E623" t="s">
        <v>145</v>
      </c>
      <c r="F623" t="s">
        <v>499</v>
      </c>
      <c r="G623" t="s">
        <v>682</v>
      </c>
      <c r="H623">
        <v>40</v>
      </c>
      <c r="I623">
        <v>41</v>
      </c>
      <c r="J623">
        <v>40</v>
      </c>
      <c r="K623">
        <v>41</v>
      </c>
      <c r="L623">
        <v>41</v>
      </c>
      <c r="M623">
        <v>40</v>
      </c>
      <c r="N623">
        <v>41</v>
      </c>
      <c r="O623">
        <v>40</v>
      </c>
      <c r="P623">
        <v>41</v>
      </c>
      <c r="Q623">
        <v>41</v>
      </c>
      <c r="R623">
        <v>38</v>
      </c>
      <c r="S623">
        <v>41</v>
      </c>
      <c r="T623">
        <f t="shared" si="29"/>
        <v>485</v>
      </c>
      <c r="U623">
        <v>1</v>
      </c>
    </row>
    <row r="624" spans="1:21" x14ac:dyDescent="0.3">
      <c r="A624" t="str">
        <f t="shared" si="27"/>
        <v>East SussexSocial support (including VCS) (pathway 0)2</v>
      </c>
      <c r="B624">
        <f>IF(C624="","",COUNTIF($C$2:C624,C624))</f>
        <v>2</v>
      </c>
      <c r="C624" t="str">
        <f t="shared" si="28"/>
        <v>East SussexSocial support (including VCS) (pathway 0)</v>
      </c>
      <c r="D624" t="str">
        <f>VLOOKUP(G624,PathwayLookup!A:B,2,0)</f>
        <v>Social support (including VCS) (pathway 0)</v>
      </c>
      <c r="E624" t="s">
        <v>145</v>
      </c>
      <c r="F624" t="s">
        <v>573</v>
      </c>
      <c r="G624" t="s">
        <v>682</v>
      </c>
      <c r="H624">
        <v>1</v>
      </c>
      <c r="I624">
        <v>1</v>
      </c>
      <c r="J624">
        <v>1</v>
      </c>
      <c r="K624">
        <v>1</v>
      </c>
      <c r="L624">
        <v>1</v>
      </c>
      <c r="M624">
        <v>1</v>
      </c>
      <c r="N624">
        <v>1</v>
      </c>
      <c r="O624">
        <v>1</v>
      </c>
      <c r="P624">
        <v>1</v>
      </c>
      <c r="Q624">
        <v>1</v>
      </c>
      <c r="R624">
        <v>1</v>
      </c>
      <c r="S624">
        <v>1</v>
      </c>
      <c r="T624">
        <f t="shared" si="29"/>
        <v>12</v>
      </c>
      <c r="U624">
        <v>1</v>
      </c>
    </row>
    <row r="625" spans="1:21" x14ac:dyDescent="0.3">
      <c r="A625" t="str">
        <f t="shared" si="27"/>
        <v/>
      </c>
      <c r="B625" t="str">
        <f>IF(C625="","",COUNTIF($C$2:C625,C625))</f>
        <v/>
      </c>
      <c r="C625" t="str">
        <f t="shared" si="28"/>
        <v/>
      </c>
      <c r="D625" t="str">
        <f>VLOOKUP(G625,PathwayLookup!A:B,2,0)</f>
        <v>Social support (including VCS) (pathway 0)</v>
      </c>
      <c r="E625" t="s">
        <v>145</v>
      </c>
      <c r="F625" t="s">
        <v>604</v>
      </c>
      <c r="G625" t="s">
        <v>682</v>
      </c>
      <c r="H625">
        <v>0</v>
      </c>
      <c r="I625">
        <v>0</v>
      </c>
      <c r="J625">
        <v>0</v>
      </c>
      <c r="K625">
        <v>0</v>
      </c>
      <c r="L625">
        <v>0</v>
      </c>
      <c r="M625">
        <v>0</v>
      </c>
      <c r="N625">
        <v>0</v>
      </c>
      <c r="O625">
        <v>0</v>
      </c>
      <c r="P625">
        <v>0</v>
      </c>
      <c r="Q625">
        <v>0</v>
      </c>
      <c r="R625">
        <v>0</v>
      </c>
      <c r="S625">
        <v>0</v>
      </c>
      <c r="T625">
        <f t="shared" si="29"/>
        <v>0</v>
      </c>
      <c r="U625">
        <v>1</v>
      </c>
    </row>
    <row r="626" spans="1:21" x14ac:dyDescent="0.3">
      <c r="A626" t="str">
        <f t="shared" si="27"/>
        <v>East SussexSocial support (including VCS) (pathway 0)3</v>
      </c>
      <c r="B626">
        <f>IF(C626="","",COUNTIF($C$2:C626,C626))</f>
        <v>3</v>
      </c>
      <c r="C626" t="str">
        <f t="shared" si="28"/>
        <v>East SussexSocial support (including VCS) (pathway 0)</v>
      </c>
      <c r="D626" t="str">
        <f>VLOOKUP(G626,PathwayLookup!A:B,2,0)</f>
        <v>Social support (including VCS) (pathway 0)</v>
      </c>
      <c r="E626" t="s">
        <v>145</v>
      </c>
      <c r="F626" t="s">
        <v>637</v>
      </c>
      <c r="G626" t="s">
        <v>682</v>
      </c>
      <c r="H626">
        <v>16</v>
      </c>
      <c r="I626">
        <v>17</v>
      </c>
      <c r="J626">
        <v>16</v>
      </c>
      <c r="K626">
        <v>17</v>
      </c>
      <c r="L626">
        <v>17</v>
      </c>
      <c r="M626">
        <v>16</v>
      </c>
      <c r="N626">
        <v>17</v>
      </c>
      <c r="O626">
        <v>16</v>
      </c>
      <c r="P626">
        <v>17</v>
      </c>
      <c r="Q626">
        <v>17</v>
      </c>
      <c r="R626">
        <v>16</v>
      </c>
      <c r="S626">
        <v>17</v>
      </c>
      <c r="T626">
        <f t="shared" si="29"/>
        <v>199</v>
      </c>
      <c r="U626">
        <v>1</v>
      </c>
    </row>
    <row r="627" spans="1:21" x14ac:dyDescent="0.3">
      <c r="A627" t="str">
        <f t="shared" si="27"/>
        <v>East SussexReablement &amp; Rehabilitation at home  (pathway 1)1</v>
      </c>
      <c r="B627">
        <f>IF(C627="","",COUNTIF($C$2:C627,C627))</f>
        <v>1</v>
      </c>
      <c r="C627" t="str">
        <f t="shared" si="28"/>
        <v>East SussexReablement at home  (pathway 1)</v>
      </c>
      <c r="D627" t="str">
        <f>VLOOKUP(G627,PathwayLookup!A:B,2,0)</f>
        <v>Reablement &amp; Rehabilitation at home  (pathway 1)</v>
      </c>
      <c r="E627" t="s">
        <v>145</v>
      </c>
      <c r="F627" t="s">
        <v>499</v>
      </c>
      <c r="G627" t="s">
        <v>718</v>
      </c>
      <c r="H627">
        <v>34</v>
      </c>
      <c r="I627">
        <v>35</v>
      </c>
      <c r="J627">
        <v>34</v>
      </c>
      <c r="K627">
        <v>35</v>
      </c>
      <c r="L627">
        <v>35</v>
      </c>
      <c r="M627">
        <v>34</v>
      </c>
      <c r="N627">
        <v>35</v>
      </c>
      <c r="O627">
        <v>34</v>
      </c>
      <c r="P627">
        <v>35</v>
      </c>
      <c r="Q627">
        <v>35</v>
      </c>
      <c r="R627">
        <v>32</v>
      </c>
      <c r="S627">
        <v>35</v>
      </c>
      <c r="T627">
        <f t="shared" si="29"/>
        <v>413</v>
      </c>
      <c r="U627">
        <v>1</v>
      </c>
    </row>
    <row r="628" spans="1:21" x14ac:dyDescent="0.3">
      <c r="A628" t="str">
        <f t="shared" si="27"/>
        <v>East SussexReablement &amp; Rehabilitation at home  (pathway 1)2</v>
      </c>
      <c r="B628">
        <f>IF(C628="","",COUNTIF($C$2:C628,C628))</f>
        <v>2</v>
      </c>
      <c r="C628" t="str">
        <f t="shared" si="28"/>
        <v>East SussexReablement at home  (pathway 1)</v>
      </c>
      <c r="D628" t="str">
        <f>VLOOKUP(G628,PathwayLookup!A:B,2,0)</f>
        <v>Reablement &amp; Rehabilitation at home  (pathway 1)</v>
      </c>
      <c r="E628" t="s">
        <v>145</v>
      </c>
      <c r="F628" t="s">
        <v>573</v>
      </c>
      <c r="G628" t="s">
        <v>718</v>
      </c>
      <c r="H628">
        <v>1</v>
      </c>
      <c r="I628">
        <v>1</v>
      </c>
      <c r="J628">
        <v>1</v>
      </c>
      <c r="K628">
        <v>1</v>
      </c>
      <c r="L628">
        <v>1</v>
      </c>
      <c r="M628">
        <v>1</v>
      </c>
      <c r="N628">
        <v>1</v>
      </c>
      <c r="O628">
        <v>1</v>
      </c>
      <c r="P628">
        <v>1</v>
      </c>
      <c r="Q628">
        <v>1</v>
      </c>
      <c r="R628">
        <v>1</v>
      </c>
      <c r="S628">
        <v>1</v>
      </c>
      <c r="T628">
        <f t="shared" si="29"/>
        <v>12</v>
      </c>
      <c r="U628">
        <v>1</v>
      </c>
    </row>
    <row r="629" spans="1:21" x14ac:dyDescent="0.3">
      <c r="A629" t="str">
        <f t="shared" si="27"/>
        <v/>
      </c>
      <c r="B629" t="str">
        <f>IF(C629="","",COUNTIF($C$2:C629,C629))</f>
        <v/>
      </c>
      <c r="C629" t="str">
        <f t="shared" si="28"/>
        <v/>
      </c>
      <c r="D629" t="str">
        <f>VLOOKUP(G629,PathwayLookup!A:B,2,0)</f>
        <v>Reablement &amp; Rehabilitation at home  (pathway 1)</v>
      </c>
      <c r="E629" t="s">
        <v>145</v>
      </c>
      <c r="F629" t="s">
        <v>604</v>
      </c>
      <c r="G629" t="s">
        <v>718</v>
      </c>
      <c r="H629">
        <v>0</v>
      </c>
      <c r="I629">
        <v>0</v>
      </c>
      <c r="J629">
        <v>0</v>
      </c>
      <c r="K629">
        <v>0</v>
      </c>
      <c r="L629">
        <v>0</v>
      </c>
      <c r="M629">
        <v>0</v>
      </c>
      <c r="N629">
        <v>0</v>
      </c>
      <c r="O629">
        <v>0</v>
      </c>
      <c r="P629">
        <v>0</v>
      </c>
      <c r="Q629">
        <v>0</v>
      </c>
      <c r="R629">
        <v>0</v>
      </c>
      <c r="S629">
        <v>0</v>
      </c>
      <c r="T629">
        <f t="shared" si="29"/>
        <v>0</v>
      </c>
      <c r="U629">
        <v>1</v>
      </c>
    </row>
    <row r="630" spans="1:21" x14ac:dyDescent="0.3">
      <c r="A630" t="str">
        <f t="shared" si="27"/>
        <v>East SussexReablement &amp; Rehabilitation at home  (pathway 1)3</v>
      </c>
      <c r="B630">
        <f>IF(C630="","",COUNTIF($C$2:C630,C630))</f>
        <v>3</v>
      </c>
      <c r="C630" t="str">
        <f t="shared" si="28"/>
        <v>East SussexReablement at home  (pathway 1)</v>
      </c>
      <c r="D630" t="str">
        <f>VLOOKUP(G630,PathwayLookup!A:B,2,0)</f>
        <v>Reablement &amp; Rehabilitation at home  (pathway 1)</v>
      </c>
      <c r="E630" t="s">
        <v>145</v>
      </c>
      <c r="F630" t="s">
        <v>637</v>
      </c>
      <c r="G630" t="s">
        <v>718</v>
      </c>
      <c r="H630">
        <v>12</v>
      </c>
      <c r="I630">
        <v>12</v>
      </c>
      <c r="J630">
        <v>12</v>
      </c>
      <c r="K630">
        <v>12</v>
      </c>
      <c r="L630">
        <v>12</v>
      </c>
      <c r="M630">
        <v>12</v>
      </c>
      <c r="N630">
        <v>12</v>
      </c>
      <c r="O630">
        <v>12</v>
      </c>
      <c r="P630">
        <v>12</v>
      </c>
      <c r="Q630">
        <v>12</v>
      </c>
      <c r="R630">
        <v>11</v>
      </c>
      <c r="S630">
        <v>12</v>
      </c>
      <c r="T630">
        <f t="shared" si="29"/>
        <v>143</v>
      </c>
      <c r="U630">
        <v>1</v>
      </c>
    </row>
    <row r="631" spans="1:21" x14ac:dyDescent="0.3">
      <c r="A631" t="str">
        <f t="shared" si="27"/>
        <v>East SussexReablement &amp; Rehabilitation at home  (pathway 1)1</v>
      </c>
      <c r="B631">
        <f>IF(C631="","",COUNTIF($C$2:C631,C631))</f>
        <v>1</v>
      </c>
      <c r="C631" t="str">
        <f t="shared" si="28"/>
        <v>East SussexRehabilitation at home (pathway 1)</v>
      </c>
      <c r="D631" t="str">
        <f>VLOOKUP(G631,PathwayLookup!A:B,2,0)</f>
        <v>Reablement &amp; Rehabilitation at home  (pathway 1)</v>
      </c>
      <c r="E631" t="s">
        <v>145</v>
      </c>
      <c r="F631" t="s">
        <v>499</v>
      </c>
      <c r="G631" t="s">
        <v>719</v>
      </c>
      <c r="H631">
        <v>84</v>
      </c>
      <c r="I631">
        <v>86</v>
      </c>
      <c r="J631">
        <v>84</v>
      </c>
      <c r="K631">
        <v>86</v>
      </c>
      <c r="L631">
        <v>86</v>
      </c>
      <c r="M631">
        <v>84</v>
      </c>
      <c r="N631">
        <v>86</v>
      </c>
      <c r="O631">
        <v>84</v>
      </c>
      <c r="P631">
        <v>86</v>
      </c>
      <c r="Q631">
        <v>86</v>
      </c>
      <c r="R631">
        <v>81</v>
      </c>
      <c r="S631">
        <v>86</v>
      </c>
      <c r="T631">
        <f t="shared" si="29"/>
        <v>1019</v>
      </c>
      <c r="U631">
        <v>1</v>
      </c>
    </row>
    <row r="632" spans="1:21" x14ac:dyDescent="0.3">
      <c r="A632" t="str">
        <f t="shared" si="27"/>
        <v>East SussexReablement &amp; Rehabilitation at home  (pathway 1)2</v>
      </c>
      <c r="B632">
        <f>IF(C632="","",COUNTIF($C$2:C632,C632))</f>
        <v>2</v>
      </c>
      <c r="C632" t="str">
        <f t="shared" si="28"/>
        <v>East SussexRehabilitation at home (pathway 1)</v>
      </c>
      <c r="D632" t="str">
        <f>VLOOKUP(G632,PathwayLookup!A:B,2,0)</f>
        <v>Reablement &amp; Rehabilitation at home  (pathway 1)</v>
      </c>
      <c r="E632" t="s">
        <v>145</v>
      </c>
      <c r="F632" t="s">
        <v>573</v>
      </c>
      <c r="G632" t="s">
        <v>719</v>
      </c>
      <c r="H632">
        <v>1</v>
      </c>
      <c r="I632">
        <v>1</v>
      </c>
      <c r="J632">
        <v>1</v>
      </c>
      <c r="K632">
        <v>1</v>
      </c>
      <c r="L632">
        <v>1</v>
      </c>
      <c r="M632">
        <v>1</v>
      </c>
      <c r="N632">
        <v>1</v>
      </c>
      <c r="O632">
        <v>1</v>
      </c>
      <c r="P632">
        <v>1</v>
      </c>
      <c r="Q632">
        <v>1</v>
      </c>
      <c r="R632">
        <v>1</v>
      </c>
      <c r="S632">
        <v>1</v>
      </c>
      <c r="T632">
        <f t="shared" si="29"/>
        <v>12</v>
      </c>
      <c r="U632">
        <v>1</v>
      </c>
    </row>
    <row r="633" spans="1:21" x14ac:dyDescent="0.3">
      <c r="A633" t="str">
        <f t="shared" si="27"/>
        <v>East SussexReablement &amp; Rehabilitation at home  (pathway 1)3</v>
      </c>
      <c r="B633">
        <f>IF(C633="","",COUNTIF($C$2:C633,C633))</f>
        <v>3</v>
      </c>
      <c r="C633" t="str">
        <f t="shared" si="28"/>
        <v>East SussexRehabilitation at home (pathway 1)</v>
      </c>
      <c r="D633" t="str">
        <f>VLOOKUP(G633,PathwayLookup!A:B,2,0)</f>
        <v>Reablement &amp; Rehabilitation at home  (pathway 1)</v>
      </c>
      <c r="E633" t="s">
        <v>145</v>
      </c>
      <c r="F633" t="s">
        <v>604</v>
      </c>
      <c r="G633" t="s">
        <v>719</v>
      </c>
      <c r="H633">
        <v>1</v>
      </c>
      <c r="I633">
        <v>1</v>
      </c>
      <c r="J633">
        <v>1</v>
      </c>
      <c r="K633">
        <v>1</v>
      </c>
      <c r="L633">
        <v>1</v>
      </c>
      <c r="M633">
        <v>1</v>
      </c>
      <c r="N633">
        <v>1</v>
      </c>
      <c r="O633">
        <v>1</v>
      </c>
      <c r="P633">
        <v>1</v>
      </c>
      <c r="Q633">
        <v>1</v>
      </c>
      <c r="R633">
        <v>1</v>
      </c>
      <c r="S633">
        <v>1</v>
      </c>
      <c r="T633">
        <f t="shared" si="29"/>
        <v>12</v>
      </c>
      <c r="U633">
        <v>1</v>
      </c>
    </row>
    <row r="634" spans="1:21" x14ac:dyDescent="0.3">
      <c r="A634" t="str">
        <f t="shared" si="27"/>
        <v>East SussexReablement &amp; Rehabilitation at home  (pathway 1)4</v>
      </c>
      <c r="B634">
        <f>IF(C634="","",COUNTIF($C$2:C634,C634))</f>
        <v>4</v>
      </c>
      <c r="C634" t="str">
        <f t="shared" si="28"/>
        <v>East SussexRehabilitation at home (pathway 1)</v>
      </c>
      <c r="D634" t="str">
        <f>VLOOKUP(G634,PathwayLookup!A:B,2,0)</f>
        <v>Reablement &amp; Rehabilitation at home  (pathway 1)</v>
      </c>
      <c r="E634" t="s">
        <v>145</v>
      </c>
      <c r="F634" t="s">
        <v>637</v>
      </c>
      <c r="G634" t="s">
        <v>719</v>
      </c>
      <c r="H634">
        <v>29</v>
      </c>
      <c r="I634">
        <v>30</v>
      </c>
      <c r="J634">
        <v>29</v>
      </c>
      <c r="K634">
        <v>30</v>
      </c>
      <c r="L634">
        <v>30</v>
      </c>
      <c r="M634">
        <v>29</v>
      </c>
      <c r="N634">
        <v>30</v>
      </c>
      <c r="O634">
        <v>29</v>
      </c>
      <c r="P634">
        <v>30</v>
      </c>
      <c r="Q634">
        <v>30</v>
      </c>
      <c r="R634">
        <v>29</v>
      </c>
      <c r="S634">
        <v>30</v>
      </c>
      <c r="T634">
        <f t="shared" si="29"/>
        <v>355</v>
      </c>
      <c r="U634">
        <v>1</v>
      </c>
    </row>
    <row r="635" spans="1:21" x14ac:dyDescent="0.3">
      <c r="A635" t="str">
        <f t="shared" si="27"/>
        <v>East SussexShort term domiciliary care (pathway 1)1</v>
      </c>
      <c r="B635">
        <f>IF(C635="","",COUNTIF($C$2:C635,C635))</f>
        <v>1</v>
      </c>
      <c r="C635" t="str">
        <f t="shared" si="28"/>
        <v>East SussexShort term domiciliary care (pathway 1)</v>
      </c>
      <c r="D635" t="str">
        <f>VLOOKUP(G635,PathwayLookup!A:B,2,0)</f>
        <v>Short term domiciliary care (pathway 1)</v>
      </c>
      <c r="E635" t="s">
        <v>145</v>
      </c>
      <c r="F635" t="s">
        <v>499</v>
      </c>
      <c r="G635" t="s">
        <v>684</v>
      </c>
      <c r="H635">
        <v>67</v>
      </c>
      <c r="I635">
        <v>70</v>
      </c>
      <c r="J635">
        <v>67</v>
      </c>
      <c r="K635">
        <v>70</v>
      </c>
      <c r="L635">
        <v>70</v>
      </c>
      <c r="M635">
        <v>67</v>
      </c>
      <c r="N635">
        <v>70</v>
      </c>
      <c r="O635">
        <v>67</v>
      </c>
      <c r="P635">
        <v>70</v>
      </c>
      <c r="Q635">
        <v>70</v>
      </c>
      <c r="R635">
        <v>66</v>
      </c>
      <c r="S635">
        <v>70</v>
      </c>
      <c r="T635">
        <f t="shared" si="29"/>
        <v>824</v>
      </c>
      <c r="U635">
        <v>1</v>
      </c>
    </row>
    <row r="636" spans="1:21" x14ac:dyDescent="0.3">
      <c r="A636" t="str">
        <f t="shared" si="27"/>
        <v>East SussexShort term domiciliary care (pathway 1)2</v>
      </c>
      <c r="B636">
        <f>IF(C636="","",COUNTIF($C$2:C636,C636))</f>
        <v>2</v>
      </c>
      <c r="C636" t="str">
        <f t="shared" si="28"/>
        <v>East SussexShort term domiciliary care (pathway 1)</v>
      </c>
      <c r="D636" t="str">
        <f>VLOOKUP(G636,PathwayLookup!A:B,2,0)</f>
        <v>Short term domiciliary care (pathway 1)</v>
      </c>
      <c r="E636" t="s">
        <v>145</v>
      </c>
      <c r="F636" t="s">
        <v>573</v>
      </c>
      <c r="G636" t="s">
        <v>684</v>
      </c>
      <c r="H636">
        <v>1</v>
      </c>
      <c r="I636">
        <v>1</v>
      </c>
      <c r="J636">
        <v>1</v>
      </c>
      <c r="K636">
        <v>1</v>
      </c>
      <c r="L636">
        <v>1</v>
      </c>
      <c r="M636">
        <v>1</v>
      </c>
      <c r="N636">
        <v>1</v>
      </c>
      <c r="O636">
        <v>1</v>
      </c>
      <c r="P636">
        <v>1</v>
      </c>
      <c r="Q636">
        <v>1</v>
      </c>
      <c r="R636">
        <v>1</v>
      </c>
      <c r="S636">
        <v>1</v>
      </c>
      <c r="T636">
        <f t="shared" si="29"/>
        <v>12</v>
      </c>
      <c r="U636">
        <v>1</v>
      </c>
    </row>
    <row r="637" spans="1:21" x14ac:dyDescent="0.3">
      <c r="A637" t="str">
        <f t="shared" si="27"/>
        <v/>
      </c>
      <c r="B637" t="str">
        <f>IF(C637="","",COUNTIF($C$2:C637,C637))</f>
        <v/>
      </c>
      <c r="C637" t="str">
        <f t="shared" si="28"/>
        <v/>
      </c>
      <c r="D637" t="str">
        <f>VLOOKUP(G637,PathwayLookup!A:B,2,0)</f>
        <v>Short term domiciliary care (pathway 1)</v>
      </c>
      <c r="E637" t="s">
        <v>145</v>
      </c>
      <c r="F637" t="s">
        <v>604</v>
      </c>
      <c r="G637" t="s">
        <v>684</v>
      </c>
      <c r="H637">
        <v>0</v>
      </c>
      <c r="I637">
        <v>0</v>
      </c>
      <c r="J637">
        <v>0</v>
      </c>
      <c r="K637">
        <v>0</v>
      </c>
      <c r="L637">
        <v>0</v>
      </c>
      <c r="M637">
        <v>0</v>
      </c>
      <c r="N637">
        <v>0</v>
      </c>
      <c r="O637">
        <v>0</v>
      </c>
      <c r="P637">
        <v>0</v>
      </c>
      <c r="Q637">
        <v>0</v>
      </c>
      <c r="R637">
        <v>0</v>
      </c>
      <c r="S637">
        <v>0</v>
      </c>
      <c r="T637">
        <f t="shared" si="29"/>
        <v>0</v>
      </c>
      <c r="U637">
        <v>1</v>
      </c>
    </row>
    <row r="638" spans="1:21" x14ac:dyDescent="0.3">
      <c r="A638" t="str">
        <f t="shared" si="27"/>
        <v>East SussexShort term domiciliary care (pathway 1)3</v>
      </c>
      <c r="B638">
        <f>IF(C638="","",COUNTIF($C$2:C638,C638))</f>
        <v>3</v>
      </c>
      <c r="C638" t="str">
        <f t="shared" si="28"/>
        <v>East SussexShort term domiciliary care (pathway 1)</v>
      </c>
      <c r="D638" t="str">
        <f>VLOOKUP(G638,PathwayLookup!A:B,2,0)</f>
        <v>Short term domiciliary care (pathway 1)</v>
      </c>
      <c r="E638" t="s">
        <v>145</v>
      </c>
      <c r="F638" t="s">
        <v>637</v>
      </c>
      <c r="G638" t="s">
        <v>684</v>
      </c>
      <c r="H638">
        <v>20</v>
      </c>
      <c r="I638">
        <v>21</v>
      </c>
      <c r="J638">
        <v>20</v>
      </c>
      <c r="K638">
        <v>21</v>
      </c>
      <c r="L638">
        <v>21</v>
      </c>
      <c r="M638">
        <v>20</v>
      </c>
      <c r="N638">
        <v>21</v>
      </c>
      <c r="O638">
        <v>20</v>
      </c>
      <c r="P638">
        <v>21</v>
      </c>
      <c r="Q638">
        <v>21</v>
      </c>
      <c r="R638">
        <v>20</v>
      </c>
      <c r="S638">
        <v>21</v>
      </c>
      <c r="T638">
        <f t="shared" si="29"/>
        <v>247</v>
      </c>
      <c r="U638">
        <v>1</v>
      </c>
    </row>
    <row r="639" spans="1:21" x14ac:dyDescent="0.3">
      <c r="A639" t="str">
        <f t="shared" si="27"/>
        <v>East SussexReablement &amp; Rehabilitation in a bedded setting (pathway 2)1</v>
      </c>
      <c r="B639">
        <f>IF(C639="","",COUNTIF($C$2:C639,C639))</f>
        <v>1</v>
      </c>
      <c r="C639" t="str">
        <f t="shared" si="28"/>
        <v>East SussexReablement in a bedded setting (pathway 2)</v>
      </c>
      <c r="D639" t="str">
        <f>VLOOKUP(G639,PathwayLookup!A:B,2,0)</f>
        <v>Reablement &amp; Rehabilitation in a bedded setting (pathway 2)</v>
      </c>
      <c r="E639" t="s">
        <v>145</v>
      </c>
      <c r="F639" t="s">
        <v>499</v>
      </c>
      <c r="G639" t="s">
        <v>722</v>
      </c>
      <c r="H639">
        <v>20</v>
      </c>
      <c r="I639">
        <v>20</v>
      </c>
      <c r="J639">
        <v>20</v>
      </c>
      <c r="K639">
        <v>20</v>
      </c>
      <c r="L639">
        <v>20</v>
      </c>
      <c r="M639">
        <v>20</v>
      </c>
      <c r="N639">
        <v>20</v>
      </c>
      <c r="O639">
        <v>20</v>
      </c>
      <c r="P639">
        <v>20</v>
      </c>
      <c r="Q639">
        <v>20</v>
      </c>
      <c r="R639">
        <v>19</v>
      </c>
      <c r="S639">
        <v>20</v>
      </c>
      <c r="T639">
        <f t="shared" si="29"/>
        <v>239</v>
      </c>
      <c r="U639">
        <v>1</v>
      </c>
    </row>
    <row r="640" spans="1:21" x14ac:dyDescent="0.3">
      <c r="A640" t="str">
        <f t="shared" si="27"/>
        <v>East SussexReablement &amp; Rehabilitation in a bedded setting (pathway 2)2</v>
      </c>
      <c r="B640">
        <f>IF(C640="","",COUNTIF($C$2:C640,C640))</f>
        <v>2</v>
      </c>
      <c r="C640" t="str">
        <f t="shared" si="28"/>
        <v>East SussexReablement in a bedded setting (pathway 2)</v>
      </c>
      <c r="D640" t="str">
        <f>VLOOKUP(G640,PathwayLookup!A:B,2,0)</f>
        <v>Reablement &amp; Rehabilitation in a bedded setting (pathway 2)</v>
      </c>
      <c r="E640" t="s">
        <v>145</v>
      </c>
      <c r="F640" t="s">
        <v>573</v>
      </c>
      <c r="G640" t="s">
        <v>722</v>
      </c>
      <c r="H640">
        <v>1</v>
      </c>
      <c r="I640">
        <v>1</v>
      </c>
      <c r="J640">
        <v>1</v>
      </c>
      <c r="K640">
        <v>1</v>
      </c>
      <c r="L640">
        <v>1</v>
      </c>
      <c r="M640">
        <v>1</v>
      </c>
      <c r="N640">
        <v>1</v>
      </c>
      <c r="O640">
        <v>1</v>
      </c>
      <c r="P640">
        <v>1</v>
      </c>
      <c r="Q640">
        <v>1</v>
      </c>
      <c r="R640">
        <v>1</v>
      </c>
      <c r="S640">
        <v>1</v>
      </c>
      <c r="T640">
        <f t="shared" si="29"/>
        <v>12</v>
      </c>
      <c r="U640">
        <v>1</v>
      </c>
    </row>
    <row r="641" spans="1:21" x14ac:dyDescent="0.3">
      <c r="A641" t="str">
        <f t="shared" si="27"/>
        <v/>
      </c>
      <c r="B641" t="str">
        <f>IF(C641="","",COUNTIF($C$2:C641,C641))</f>
        <v/>
      </c>
      <c r="C641" t="str">
        <f t="shared" si="28"/>
        <v/>
      </c>
      <c r="D641" t="str">
        <f>VLOOKUP(G641,PathwayLookup!A:B,2,0)</f>
        <v>Reablement &amp; Rehabilitation in a bedded setting (pathway 2)</v>
      </c>
      <c r="E641" t="s">
        <v>145</v>
      </c>
      <c r="F641" t="s">
        <v>604</v>
      </c>
      <c r="G641" t="s">
        <v>722</v>
      </c>
      <c r="H641">
        <v>0</v>
      </c>
      <c r="I641">
        <v>0</v>
      </c>
      <c r="J641">
        <v>0</v>
      </c>
      <c r="K641">
        <v>0</v>
      </c>
      <c r="L641">
        <v>0</v>
      </c>
      <c r="M641">
        <v>0</v>
      </c>
      <c r="N641">
        <v>0</v>
      </c>
      <c r="O641">
        <v>0</v>
      </c>
      <c r="P641">
        <v>0</v>
      </c>
      <c r="Q641">
        <v>0</v>
      </c>
      <c r="R641">
        <v>0</v>
      </c>
      <c r="S641">
        <v>0</v>
      </c>
      <c r="T641">
        <f t="shared" si="29"/>
        <v>0</v>
      </c>
      <c r="U641">
        <v>1</v>
      </c>
    </row>
    <row r="642" spans="1:21" x14ac:dyDescent="0.3">
      <c r="A642" t="str">
        <f t="shared" ref="A642:A705" si="30">IF(B642="","",E642&amp;D642&amp;B642)</f>
        <v>East SussexReablement &amp; Rehabilitation in a bedded setting (pathway 2)3</v>
      </c>
      <c r="B642">
        <f>IF(C642="","",COUNTIF($C$2:C642,C642))</f>
        <v>3</v>
      </c>
      <c r="C642" t="str">
        <f t="shared" ref="C642:C705" si="31">IF(T642=0,"",E642&amp;G642)</f>
        <v>East SussexReablement in a bedded setting (pathway 2)</v>
      </c>
      <c r="D642" t="str">
        <f>VLOOKUP(G642,PathwayLookup!A:B,2,0)</f>
        <v>Reablement &amp; Rehabilitation in a bedded setting (pathway 2)</v>
      </c>
      <c r="E642" t="s">
        <v>145</v>
      </c>
      <c r="F642" t="s">
        <v>637</v>
      </c>
      <c r="G642" t="s">
        <v>722</v>
      </c>
      <c r="H642">
        <v>7</v>
      </c>
      <c r="I642">
        <v>8</v>
      </c>
      <c r="J642">
        <v>7</v>
      </c>
      <c r="K642">
        <v>8</v>
      </c>
      <c r="L642">
        <v>8</v>
      </c>
      <c r="M642">
        <v>7</v>
      </c>
      <c r="N642">
        <v>8</v>
      </c>
      <c r="O642">
        <v>7</v>
      </c>
      <c r="P642">
        <v>8</v>
      </c>
      <c r="Q642">
        <v>8</v>
      </c>
      <c r="R642">
        <v>7</v>
      </c>
      <c r="S642">
        <v>8</v>
      </c>
      <c r="T642">
        <f t="shared" ref="T642:T705" si="32">SUM(H642:S642)</f>
        <v>91</v>
      </c>
      <c r="U642">
        <v>1</v>
      </c>
    </row>
    <row r="643" spans="1:21" x14ac:dyDescent="0.3">
      <c r="A643" t="str">
        <f t="shared" si="30"/>
        <v>East SussexReablement &amp; Rehabilitation in a bedded setting (pathway 2)1</v>
      </c>
      <c r="B643">
        <f>IF(C643="","",COUNTIF($C$2:C643,C643))</f>
        <v>1</v>
      </c>
      <c r="C643" t="str">
        <f t="shared" si="31"/>
        <v>East SussexRehabilitation in a bedded setting (pathway 2)</v>
      </c>
      <c r="D643" t="str">
        <f>VLOOKUP(G643,PathwayLookup!A:B,2,0)</f>
        <v>Reablement &amp; Rehabilitation in a bedded setting (pathway 2)</v>
      </c>
      <c r="E643" t="s">
        <v>145</v>
      </c>
      <c r="F643" t="s">
        <v>499</v>
      </c>
      <c r="G643" t="s">
        <v>724</v>
      </c>
      <c r="H643">
        <v>100</v>
      </c>
      <c r="I643">
        <v>104</v>
      </c>
      <c r="J643">
        <v>100</v>
      </c>
      <c r="K643">
        <v>104</v>
      </c>
      <c r="L643">
        <v>104</v>
      </c>
      <c r="M643">
        <v>100</v>
      </c>
      <c r="N643">
        <v>104</v>
      </c>
      <c r="O643">
        <v>100</v>
      </c>
      <c r="P643">
        <v>104</v>
      </c>
      <c r="Q643">
        <v>104</v>
      </c>
      <c r="R643">
        <v>97</v>
      </c>
      <c r="S643">
        <v>104</v>
      </c>
      <c r="T643">
        <f t="shared" si="32"/>
        <v>1225</v>
      </c>
      <c r="U643">
        <v>1</v>
      </c>
    </row>
    <row r="644" spans="1:21" x14ac:dyDescent="0.3">
      <c r="A644" t="str">
        <f t="shared" si="30"/>
        <v>East SussexReablement &amp; Rehabilitation in a bedded setting (pathway 2)2</v>
      </c>
      <c r="B644">
        <f>IF(C644="","",COUNTIF($C$2:C644,C644))</f>
        <v>2</v>
      </c>
      <c r="C644" t="str">
        <f t="shared" si="31"/>
        <v>East SussexRehabilitation in a bedded setting (pathway 2)</v>
      </c>
      <c r="D644" t="str">
        <f>VLOOKUP(G644,PathwayLookup!A:B,2,0)</f>
        <v>Reablement &amp; Rehabilitation in a bedded setting (pathway 2)</v>
      </c>
      <c r="E644" t="s">
        <v>145</v>
      </c>
      <c r="F644" t="s">
        <v>573</v>
      </c>
      <c r="G644" t="s">
        <v>724</v>
      </c>
      <c r="H644">
        <v>3</v>
      </c>
      <c r="I644">
        <v>3</v>
      </c>
      <c r="J644">
        <v>3</v>
      </c>
      <c r="K644">
        <v>3</v>
      </c>
      <c r="L644">
        <v>3</v>
      </c>
      <c r="M644">
        <v>3</v>
      </c>
      <c r="N644">
        <v>3</v>
      </c>
      <c r="O644">
        <v>3</v>
      </c>
      <c r="P644">
        <v>3</v>
      </c>
      <c r="Q644">
        <v>3</v>
      </c>
      <c r="R644">
        <v>2</v>
      </c>
      <c r="S644">
        <v>3</v>
      </c>
      <c r="T644">
        <f t="shared" si="32"/>
        <v>35</v>
      </c>
      <c r="U644">
        <v>1</v>
      </c>
    </row>
    <row r="645" spans="1:21" x14ac:dyDescent="0.3">
      <c r="A645" t="str">
        <f t="shared" si="30"/>
        <v>East SussexReablement &amp; Rehabilitation in a bedded setting (pathway 2)3</v>
      </c>
      <c r="B645">
        <f>IF(C645="","",COUNTIF($C$2:C645,C645))</f>
        <v>3</v>
      </c>
      <c r="C645" t="str">
        <f t="shared" si="31"/>
        <v>East SussexRehabilitation in a bedded setting (pathway 2)</v>
      </c>
      <c r="D645" t="str">
        <f>VLOOKUP(G645,PathwayLookup!A:B,2,0)</f>
        <v>Reablement &amp; Rehabilitation in a bedded setting (pathway 2)</v>
      </c>
      <c r="E645" t="s">
        <v>145</v>
      </c>
      <c r="F645" t="s">
        <v>604</v>
      </c>
      <c r="G645" t="s">
        <v>724</v>
      </c>
      <c r="H645">
        <v>1</v>
      </c>
      <c r="I645">
        <v>1</v>
      </c>
      <c r="J645">
        <v>1</v>
      </c>
      <c r="K645">
        <v>1</v>
      </c>
      <c r="L645">
        <v>1</v>
      </c>
      <c r="M645">
        <v>1</v>
      </c>
      <c r="N645">
        <v>1</v>
      </c>
      <c r="O645">
        <v>1</v>
      </c>
      <c r="P645">
        <v>1</v>
      </c>
      <c r="Q645">
        <v>1</v>
      </c>
      <c r="R645">
        <v>1</v>
      </c>
      <c r="S645">
        <v>1</v>
      </c>
      <c r="T645">
        <f t="shared" si="32"/>
        <v>12</v>
      </c>
      <c r="U645">
        <v>1</v>
      </c>
    </row>
    <row r="646" spans="1:21" x14ac:dyDescent="0.3">
      <c r="A646" t="str">
        <f t="shared" si="30"/>
        <v>East SussexReablement &amp; Rehabilitation in a bedded setting (pathway 2)4</v>
      </c>
      <c r="B646">
        <f>IF(C646="","",COUNTIF($C$2:C646,C646))</f>
        <v>4</v>
      </c>
      <c r="C646" t="str">
        <f t="shared" si="31"/>
        <v>East SussexRehabilitation in a bedded setting (pathway 2)</v>
      </c>
      <c r="D646" t="str">
        <f>VLOOKUP(G646,PathwayLookup!A:B,2,0)</f>
        <v>Reablement &amp; Rehabilitation in a bedded setting (pathway 2)</v>
      </c>
      <c r="E646" t="s">
        <v>145</v>
      </c>
      <c r="F646" t="s">
        <v>637</v>
      </c>
      <c r="G646" t="s">
        <v>724</v>
      </c>
      <c r="H646">
        <v>38</v>
      </c>
      <c r="I646">
        <v>39</v>
      </c>
      <c r="J646">
        <v>38</v>
      </c>
      <c r="K646">
        <v>39</v>
      </c>
      <c r="L646">
        <v>39</v>
      </c>
      <c r="M646">
        <v>38</v>
      </c>
      <c r="N646">
        <v>39</v>
      </c>
      <c r="O646">
        <v>38</v>
      </c>
      <c r="P646">
        <v>39</v>
      </c>
      <c r="Q646">
        <v>39</v>
      </c>
      <c r="R646">
        <v>37</v>
      </c>
      <c r="S646">
        <v>39</v>
      </c>
      <c r="T646">
        <f t="shared" si="32"/>
        <v>462</v>
      </c>
      <c r="U646">
        <v>1</v>
      </c>
    </row>
    <row r="647" spans="1:21" x14ac:dyDescent="0.3">
      <c r="A647" t="str">
        <f t="shared" si="30"/>
        <v>East SussexShort-term residential/nursing care for someone likely to require a longer-term care home placement (pathway 3)1</v>
      </c>
      <c r="B647">
        <f>IF(C647="","",COUNTIF($C$2:C647,C647))</f>
        <v>1</v>
      </c>
      <c r="C647" t="str">
        <f t="shared" si="31"/>
        <v>East SussexShort-term residential/nursing care for someone likely to require a longer-term care home placement (pathway 3)</v>
      </c>
      <c r="D647" t="str">
        <f>VLOOKUP(G647,PathwayLookup!A:B,2,0)</f>
        <v>Short-term residential/nursing care for someone likely to require a longer-term care home placement (pathway 3)</v>
      </c>
      <c r="E647" t="s">
        <v>145</v>
      </c>
      <c r="F647" t="s">
        <v>499</v>
      </c>
      <c r="G647" t="s">
        <v>686</v>
      </c>
      <c r="H647">
        <v>69</v>
      </c>
      <c r="I647">
        <v>70</v>
      </c>
      <c r="J647">
        <v>69</v>
      </c>
      <c r="K647">
        <v>70</v>
      </c>
      <c r="L647">
        <v>70</v>
      </c>
      <c r="M647">
        <v>69</v>
      </c>
      <c r="N647">
        <v>70</v>
      </c>
      <c r="O647">
        <v>69</v>
      </c>
      <c r="P647">
        <v>70</v>
      </c>
      <c r="Q647">
        <v>70</v>
      </c>
      <c r="R647">
        <v>66</v>
      </c>
      <c r="S647">
        <v>70</v>
      </c>
      <c r="T647">
        <f t="shared" si="32"/>
        <v>832</v>
      </c>
      <c r="U647">
        <v>1</v>
      </c>
    </row>
    <row r="648" spans="1:21" x14ac:dyDescent="0.3">
      <c r="A648" t="str">
        <f t="shared" si="30"/>
        <v>East SussexShort-term residential/nursing care for someone likely to require a longer-term care home placement (pathway 3)2</v>
      </c>
      <c r="B648">
        <f>IF(C648="","",COUNTIF($C$2:C648,C648))</f>
        <v>2</v>
      </c>
      <c r="C648" t="str">
        <f t="shared" si="31"/>
        <v>East SussexShort-term residential/nursing care for someone likely to require a longer-term care home placement (pathway 3)</v>
      </c>
      <c r="D648" t="str">
        <f>VLOOKUP(G648,PathwayLookup!A:B,2,0)</f>
        <v>Short-term residential/nursing care for someone likely to require a longer-term care home placement (pathway 3)</v>
      </c>
      <c r="E648" t="s">
        <v>145</v>
      </c>
      <c r="F648" t="s">
        <v>573</v>
      </c>
      <c r="G648" t="s">
        <v>686</v>
      </c>
      <c r="H648">
        <v>1</v>
      </c>
      <c r="I648">
        <v>1</v>
      </c>
      <c r="J648">
        <v>1</v>
      </c>
      <c r="K648">
        <v>1</v>
      </c>
      <c r="L648">
        <v>1</v>
      </c>
      <c r="M648">
        <v>1</v>
      </c>
      <c r="N648">
        <v>1</v>
      </c>
      <c r="O648">
        <v>1</v>
      </c>
      <c r="P648">
        <v>1</v>
      </c>
      <c r="Q648">
        <v>1</v>
      </c>
      <c r="R648">
        <v>1</v>
      </c>
      <c r="S648">
        <v>1</v>
      </c>
      <c r="T648">
        <f t="shared" si="32"/>
        <v>12</v>
      </c>
      <c r="U648">
        <v>1</v>
      </c>
    </row>
    <row r="649" spans="1:21" x14ac:dyDescent="0.3">
      <c r="A649" t="str">
        <f t="shared" si="30"/>
        <v/>
      </c>
      <c r="B649" t="str">
        <f>IF(C649="","",COUNTIF($C$2:C649,C649))</f>
        <v/>
      </c>
      <c r="C649" t="str">
        <f t="shared" si="31"/>
        <v/>
      </c>
      <c r="D649" t="str">
        <f>VLOOKUP(G649,PathwayLookup!A:B,2,0)</f>
        <v>Short-term residential/nursing care for someone likely to require a longer-term care home placement (pathway 3)</v>
      </c>
      <c r="E649" t="s">
        <v>145</v>
      </c>
      <c r="F649" t="s">
        <v>604</v>
      </c>
      <c r="G649" t="s">
        <v>686</v>
      </c>
      <c r="H649">
        <v>0</v>
      </c>
      <c r="I649">
        <v>0</v>
      </c>
      <c r="J649">
        <v>0</v>
      </c>
      <c r="K649">
        <v>0</v>
      </c>
      <c r="L649">
        <v>0</v>
      </c>
      <c r="M649">
        <v>0</v>
      </c>
      <c r="N649">
        <v>0</v>
      </c>
      <c r="O649">
        <v>0</v>
      </c>
      <c r="P649">
        <v>0</v>
      </c>
      <c r="Q649">
        <v>0</v>
      </c>
      <c r="R649">
        <v>0</v>
      </c>
      <c r="S649">
        <v>0</v>
      </c>
      <c r="T649">
        <f t="shared" si="32"/>
        <v>0</v>
      </c>
      <c r="U649">
        <v>1</v>
      </c>
    </row>
    <row r="650" spans="1:21" x14ac:dyDescent="0.3">
      <c r="A650" t="str">
        <f t="shared" si="30"/>
        <v>East SussexShort-term residential/nursing care for someone likely to require a longer-term care home placement (pathway 3)3</v>
      </c>
      <c r="B650">
        <f>IF(C650="","",COUNTIF($C$2:C650,C650))</f>
        <v>3</v>
      </c>
      <c r="C650" t="str">
        <f t="shared" si="31"/>
        <v>East SussexShort-term residential/nursing care for someone likely to require a longer-term care home placement (pathway 3)</v>
      </c>
      <c r="D650" t="str">
        <f>VLOOKUP(G650,PathwayLookup!A:B,2,0)</f>
        <v>Short-term residential/nursing care for someone likely to require a longer-term care home placement (pathway 3)</v>
      </c>
      <c r="E650" t="s">
        <v>145</v>
      </c>
      <c r="F650" t="s">
        <v>637</v>
      </c>
      <c r="G650" t="s">
        <v>686</v>
      </c>
      <c r="H650">
        <v>12</v>
      </c>
      <c r="I650">
        <v>12</v>
      </c>
      <c r="J650">
        <v>12</v>
      </c>
      <c r="K650">
        <v>12</v>
      </c>
      <c r="L650">
        <v>12</v>
      </c>
      <c r="M650">
        <v>12</v>
      </c>
      <c r="N650">
        <v>12</v>
      </c>
      <c r="O650">
        <v>12</v>
      </c>
      <c r="P650">
        <v>12</v>
      </c>
      <c r="Q650">
        <v>12</v>
      </c>
      <c r="R650">
        <v>11</v>
      </c>
      <c r="S650">
        <v>12</v>
      </c>
      <c r="T650">
        <f t="shared" si="32"/>
        <v>143</v>
      </c>
      <c r="U650">
        <v>1</v>
      </c>
    </row>
    <row r="651" spans="1:21" x14ac:dyDescent="0.3">
      <c r="A651" t="str">
        <f t="shared" si="30"/>
        <v>EnfieldSocial support (including VCS) (pathway 0)1</v>
      </c>
      <c r="B651">
        <f>IF(C651="","",COUNTIF($C$2:C651,C651))</f>
        <v>1</v>
      </c>
      <c r="C651" t="str">
        <f t="shared" si="31"/>
        <v>EnfieldSocial support (including VCS) (pathway 0)</v>
      </c>
      <c r="D651" t="str">
        <f>VLOOKUP(G651,PathwayLookup!A:B,2,0)</f>
        <v>Social support (including VCS) (pathway 0)</v>
      </c>
      <c r="E651" t="s">
        <v>147</v>
      </c>
      <c r="F651" t="s">
        <v>557</v>
      </c>
      <c r="G651" t="s">
        <v>682</v>
      </c>
      <c r="H651">
        <v>1040</v>
      </c>
      <c r="I651">
        <v>1055</v>
      </c>
      <c r="J651">
        <v>1053</v>
      </c>
      <c r="K651">
        <v>984</v>
      </c>
      <c r="L651">
        <v>962</v>
      </c>
      <c r="M651">
        <v>1007</v>
      </c>
      <c r="N651">
        <v>1121</v>
      </c>
      <c r="O651">
        <v>1045</v>
      </c>
      <c r="P651">
        <v>1064</v>
      </c>
      <c r="Q651">
        <v>1049</v>
      </c>
      <c r="R651">
        <v>909</v>
      </c>
      <c r="S651">
        <v>1068</v>
      </c>
      <c r="T651">
        <f t="shared" si="32"/>
        <v>12357</v>
      </c>
      <c r="U651">
        <v>1</v>
      </c>
    </row>
    <row r="652" spans="1:21" x14ac:dyDescent="0.3">
      <c r="A652" t="str">
        <f t="shared" si="30"/>
        <v>EnfieldSocial support (including VCS) (pathway 0)2</v>
      </c>
      <c r="B652">
        <f>IF(C652="","",COUNTIF($C$2:C652,C652))</f>
        <v>2</v>
      </c>
      <c r="C652" t="str">
        <f t="shared" si="31"/>
        <v>EnfieldSocial support (including VCS) (pathway 0)</v>
      </c>
      <c r="D652" t="str">
        <f>VLOOKUP(G652,PathwayLookup!A:B,2,0)</f>
        <v>Social support (including VCS) (pathway 0)</v>
      </c>
      <c r="E652" t="s">
        <v>147</v>
      </c>
      <c r="F652" t="s">
        <v>578</v>
      </c>
      <c r="G652" t="s">
        <v>682</v>
      </c>
      <c r="H652">
        <v>337</v>
      </c>
      <c r="I652">
        <v>352</v>
      </c>
      <c r="J652">
        <v>366</v>
      </c>
      <c r="K652">
        <v>367</v>
      </c>
      <c r="L652">
        <v>398</v>
      </c>
      <c r="M652">
        <v>353</v>
      </c>
      <c r="N652">
        <v>386</v>
      </c>
      <c r="O652">
        <v>384</v>
      </c>
      <c r="P652">
        <v>360</v>
      </c>
      <c r="Q652">
        <v>381</v>
      </c>
      <c r="R652">
        <v>335</v>
      </c>
      <c r="S652">
        <v>372</v>
      </c>
      <c r="T652">
        <f t="shared" si="32"/>
        <v>4391</v>
      </c>
      <c r="U652">
        <v>1</v>
      </c>
    </row>
    <row r="653" spans="1:21" x14ac:dyDescent="0.3">
      <c r="A653" t="str">
        <f t="shared" si="30"/>
        <v>EnfieldSocial support (including VCS) (pathway 0)3</v>
      </c>
      <c r="B653">
        <f>IF(C653="","",COUNTIF($C$2:C653,C653))</f>
        <v>3</v>
      </c>
      <c r="C653" t="str">
        <f t="shared" si="31"/>
        <v>EnfieldSocial support (including VCS) (pathway 0)</v>
      </c>
      <c r="D653" t="str">
        <f>VLOOKUP(G653,PathwayLookup!A:B,2,0)</f>
        <v>Social support (including VCS) (pathway 0)</v>
      </c>
      <c r="E653" t="s">
        <v>147</v>
      </c>
      <c r="F653" t="s">
        <v>626</v>
      </c>
      <c r="G653" t="s">
        <v>682</v>
      </c>
      <c r="H653">
        <v>142</v>
      </c>
      <c r="I653">
        <v>158</v>
      </c>
      <c r="J653">
        <v>174</v>
      </c>
      <c r="K653">
        <v>153</v>
      </c>
      <c r="L653">
        <v>160</v>
      </c>
      <c r="M653">
        <v>164</v>
      </c>
      <c r="N653">
        <v>156</v>
      </c>
      <c r="O653">
        <v>158</v>
      </c>
      <c r="P653">
        <v>152</v>
      </c>
      <c r="Q653">
        <v>169</v>
      </c>
      <c r="R653">
        <v>170</v>
      </c>
      <c r="S653">
        <v>159</v>
      </c>
      <c r="T653">
        <f t="shared" si="32"/>
        <v>1915</v>
      </c>
      <c r="U653">
        <v>1</v>
      </c>
    </row>
    <row r="654" spans="1:21" x14ac:dyDescent="0.3">
      <c r="A654" t="str">
        <f t="shared" si="30"/>
        <v>EnfieldSocial support (including VCS) (pathway 0)4</v>
      </c>
      <c r="B654">
        <f>IF(C654="","",COUNTIF($C$2:C654,C654))</f>
        <v>4</v>
      </c>
      <c r="C654" t="str">
        <f t="shared" si="31"/>
        <v>EnfieldSocial support (including VCS) (pathway 0)</v>
      </c>
      <c r="D654" t="str">
        <f>VLOOKUP(G654,PathwayLookup!A:B,2,0)</f>
        <v>Social support (including VCS) (pathway 0)</v>
      </c>
      <c r="E654" t="s">
        <v>147</v>
      </c>
      <c r="F654" t="s">
        <v>643</v>
      </c>
      <c r="G654" t="s">
        <v>682</v>
      </c>
      <c r="H654">
        <v>12</v>
      </c>
      <c r="I654">
        <v>14</v>
      </c>
      <c r="J654">
        <v>14</v>
      </c>
      <c r="K654">
        <v>12</v>
      </c>
      <c r="L654">
        <v>12</v>
      </c>
      <c r="M654">
        <v>11</v>
      </c>
      <c r="N654">
        <v>14</v>
      </c>
      <c r="O654">
        <v>14</v>
      </c>
      <c r="P654">
        <v>17</v>
      </c>
      <c r="Q654">
        <v>19</v>
      </c>
      <c r="R654">
        <v>19</v>
      </c>
      <c r="S654">
        <v>16</v>
      </c>
      <c r="T654">
        <f t="shared" si="32"/>
        <v>174</v>
      </c>
      <c r="U654">
        <v>1</v>
      </c>
    </row>
    <row r="655" spans="1:21" x14ac:dyDescent="0.3">
      <c r="A655" t="str">
        <f t="shared" si="30"/>
        <v>EnfieldSocial support (including VCS) (pathway 0)5</v>
      </c>
      <c r="B655">
        <f>IF(C655="","",COUNTIF($C$2:C655,C655))</f>
        <v>5</v>
      </c>
      <c r="C655" t="str">
        <f t="shared" si="31"/>
        <v>EnfieldSocial support (including VCS) (pathway 0)</v>
      </c>
      <c r="D655" t="str">
        <f>VLOOKUP(G655,PathwayLookup!A:B,2,0)</f>
        <v>Social support (including VCS) (pathway 0)</v>
      </c>
      <c r="E655" t="s">
        <v>147</v>
      </c>
      <c r="F655" t="s">
        <v>651</v>
      </c>
      <c r="G655" t="s">
        <v>682</v>
      </c>
      <c r="H655">
        <v>280</v>
      </c>
      <c r="I655">
        <v>284</v>
      </c>
      <c r="J655">
        <v>286</v>
      </c>
      <c r="K655">
        <v>286</v>
      </c>
      <c r="L655">
        <v>275</v>
      </c>
      <c r="M655">
        <v>280</v>
      </c>
      <c r="N655">
        <v>300</v>
      </c>
      <c r="O655">
        <v>310</v>
      </c>
      <c r="P655">
        <v>270</v>
      </c>
      <c r="Q655">
        <v>305</v>
      </c>
      <c r="R655">
        <v>295</v>
      </c>
      <c r="S655">
        <v>270</v>
      </c>
      <c r="T655">
        <f t="shared" si="32"/>
        <v>3441</v>
      </c>
      <c r="U655">
        <v>1</v>
      </c>
    </row>
    <row r="656" spans="1:21" x14ac:dyDescent="0.3">
      <c r="A656" t="str">
        <f t="shared" si="30"/>
        <v>EnfieldReablement &amp; Rehabilitation at home  (pathway 1)1</v>
      </c>
      <c r="B656">
        <f>IF(C656="","",COUNTIF($C$2:C656,C656))</f>
        <v>1</v>
      </c>
      <c r="C656" t="str">
        <f t="shared" si="31"/>
        <v>EnfieldReablement at home  (pathway 1)</v>
      </c>
      <c r="D656" t="str">
        <f>VLOOKUP(G656,PathwayLookup!A:B,2,0)</f>
        <v>Reablement &amp; Rehabilitation at home  (pathway 1)</v>
      </c>
      <c r="E656" t="s">
        <v>147</v>
      </c>
      <c r="F656" t="s">
        <v>557</v>
      </c>
      <c r="G656" t="s">
        <v>718</v>
      </c>
      <c r="H656">
        <v>38</v>
      </c>
      <c r="I656">
        <v>38</v>
      </c>
      <c r="J656">
        <v>44</v>
      </c>
      <c r="K656">
        <v>53</v>
      </c>
      <c r="L656">
        <v>28</v>
      </c>
      <c r="M656">
        <v>47</v>
      </c>
      <c r="N656">
        <v>35</v>
      </c>
      <c r="O656">
        <v>47</v>
      </c>
      <c r="P656">
        <v>45</v>
      </c>
      <c r="Q656">
        <v>45</v>
      </c>
      <c r="R656">
        <v>50</v>
      </c>
      <c r="S656">
        <v>29</v>
      </c>
      <c r="T656">
        <f t="shared" si="32"/>
        <v>499</v>
      </c>
      <c r="U656">
        <v>1</v>
      </c>
    </row>
    <row r="657" spans="1:21" x14ac:dyDescent="0.3">
      <c r="A657" t="str">
        <f t="shared" si="30"/>
        <v>EnfieldReablement &amp; Rehabilitation at home  (pathway 1)2</v>
      </c>
      <c r="B657">
        <f>IF(C657="","",COUNTIF($C$2:C657,C657))</f>
        <v>2</v>
      </c>
      <c r="C657" t="str">
        <f t="shared" si="31"/>
        <v>EnfieldReablement at home  (pathway 1)</v>
      </c>
      <c r="D657" t="str">
        <f>VLOOKUP(G657,PathwayLookup!A:B,2,0)</f>
        <v>Reablement &amp; Rehabilitation at home  (pathway 1)</v>
      </c>
      <c r="E657" t="s">
        <v>147</v>
      </c>
      <c r="F657" t="s">
        <v>578</v>
      </c>
      <c r="G657" t="s">
        <v>718</v>
      </c>
      <c r="H657">
        <v>45</v>
      </c>
      <c r="I657">
        <v>48</v>
      </c>
      <c r="J657">
        <v>43</v>
      </c>
      <c r="K657">
        <v>56</v>
      </c>
      <c r="L657">
        <v>37</v>
      </c>
      <c r="M657">
        <v>52</v>
      </c>
      <c r="N657">
        <v>39</v>
      </c>
      <c r="O657">
        <v>40</v>
      </c>
      <c r="P657">
        <v>43</v>
      </c>
      <c r="Q657">
        <v>39</v>
      </c>
      <c r="R657">
        <v>40</v>
      </c>
      <c r="S657">
        <v>43</v>
      </c>
      <c r="T657">
        <f t="shared" si="32"/>
        <v>525</v>
      </c>
      <c r="U657">
        <v>1</v>
      </c>
    </row>
    <row r="658" spans="1:21" x14ac:dyDescent="0.3">
      <c r="A658" t="str">
        <f t="shared" si="30"/>
        <v>EnfieldReablement &amp; Rehabilitation at home  (pathway 1)3</v>
      </c>
      <c r="B658">
        <f>IF(C658="","",COUNTIF($C$2:C658,C658))</f>
        <v>3</v>
      </c>
      <c r="C658" t="str">
        <f t="shared" si="31"/>
        <v>EnfieldReablement at home  (pathway 1)</v>
      </c>
      <c r="D658" t="str">
        <f>VLOOKUP(G658,PathwayLookup!A:B,2,0)</f>
        <v>Reablement &amp; Rehabilitation at home  (pathway 1)</v>
      </c>
      <c r="E658" t="s">
        <v>147</v>
      </c>
      <c r="F658" t="s">
        <v>626</v>
      </c>
      <c r="G658" t="s">
        <v>718</v>
      </c>
      <c r="H658">
        <v>12</v>
      </c>
      <c r="I658">
        <v>10</v>
      </c>
      <c r="J658">
        <v>10</v>
      </c>
      <c r="K658">
        <v>12</v>
      </c>
      <c r="L658">
        <v>9</v>
      </c>
      <c r="M658">
        <v>14</v>
      </c>
      <c r="N658">
        <v>13</v>
      </c>
      <c r="O658">
        <v>11</v>
      </c>
      <c r="P658">
        <v>13</v>
      </c>
      <c r="Q658">
        <v>11</v>
      </c>
      <c r="R658">
        <v>15</v>
      </c>
      <c r="S658">
        <v>10</v>
      </c>
      <c r="T658">
        <f t="shared" si="32"/>
        <v>140</v>
      </c>
      <c r="U658">
        <v>1</v>
      </c>
    </row>
    <row r="659" spans="1:21" x14ac:dyDescent="0.3">
      <c r="A659" t="str">
        <f t="shared" si="30"/>
        <v>EnfieldReablement &amp; Rehabilitation at home  (pathway 1)4</v>
      </c>
      <c r="B659">
        <f>IF(C659="","",COUNTIF($C$2:C659,C659))</f>
        <v>4</v>
      </c>
      <c r="C659" t="str">
        <f t="shared" si="31"/>
        <v>EnfieldReablement at home  (pathway 1)</v>
      </c>
      <c r="D659" t="str">
        <f>VLOOKUP(G659,PathwayLookup!A:B,2,0)</f>
        <v>Reablement &amp; Rehabilitation at home  (pathway 1)</v>
      </c>
      <c r="E659" t="s">
        <v>147</v>
      </c>
      <c r="F659" t="s">
        <v>643</v>
      </c>
      <c r="G659" t="s">
        <v>718</v>
      </c>
      <c r="H659">
        <v>3</v>
      </c>
      <c r="I659">
        <v>2</v>
      </c>
      <c r="J659">
        <v>2</v>
      </c>
      <c r="K659">
        <v>2</v>
      </c>
      <c r="L659">
        <v>1</v>
      </c>
      <c r="M659">
        <v>2</v>
      </c>
      <c r="N659">
        <v>2</v>
      </c>
      <c r="O659">
        <v>2</v>
      </c>
      <c r="P659">
        <v>3</v>
      </c>
      <c r="Q659">
        <v>4</v>
      </c>
      <c r="R659">
        <v>3</v>
      </c>
      <c r="S659">
        <v>3</v>
      </c>
      <c r="T659">
        <f t="shared" si="32"/>
        <v>29</v>
      </c>
      <c r="U659">
        <v>1</v>
      </c>
    </row>
    <row r="660" spans="1:21" x14ac:dyDescent="0.3">
      <c r="A660" t="str">
        <f t="shared" si="30"/>
        <v>EnfieldReablement &amp; Rehabilitation at home  (pathway 1)5</v>
      </c>
      <c r="B660">
        <f>IF(C660="","",COUNTIF($C$2:C660,C660))</f>
        <v>5</v>
      </c>
      <c r="C660" t="str">
        <f t="shared" si="31"/>
        <v>EnfieldReablement at home  (pathway 1)</v>
      </c>
      <c r="D660" t="str">
        <f>VLOOKUP(G660,PathwayLookup!A:B,2,0)</f>
        <v>Reablement &amp; Rehabilitation at home  (pathway 1)</v>
      </c>
      <c r="E660" t="s">
        <v>147</v>
      </c>
      <c r="F660" t="s">
        <v>651</v>
      </c>
      <c r="G660" t="s">
        <v>718</v>
      </c>
      <c r="H660">
        <v>59</v>
      </c>
      <c r="I660">
        <v>59</v>
      </c>
      <c r="J660">
        <v>59</v>
      </c>
      <c r="K660">
        <v>59</v>
      </c>
      <c r="L660">
        <v>59</v>
      </c>
      <c r="M660">
        <v>59</v>
      </c>
      <c r="N660">
        <v>59</v>
      </c>
      <c r="O660">
        <v>59</v>
      </c>
      <c r="P660">
        <v>59</v>
      </c>
      <c r="Q660">
        <v>59</v>
      </c>
      <c r="R660">
        <v>59</v>
      </c>
      <c r="S660">
        <v>59</v>
      </c>
      <c r="T660">
        <f t="shared" si="32"/>
        <v>708</v>
      </c>
      <c r="U660">
        <v>1</v>
      </c>
    </row>
    <row r="661" spans="1:21" x14ac:dyDescent="0.3">
      <c r="A661" t="str">
        <f t="shared" si="30"/>
        <v>EnfieldReablement &amp; Rehabilitation at home  (pathway 1)1</v>
      </c>
      <c r="B661">
        <f>IF(C661="","",COUNTIF($C$2:C661,C661))</f>
        <v>1</v>
      </c>
      <c r="C661" t="str">
        <f t="shared" si="31"/>
        <v>EnfieldRehabilitation at home (pathway 1)</v>
      </c>
      <c r="D661" t="str">
        <f>VLOOKUP(G661,PathwayLookup!A:B,2,0)</f>
        <v>Reablement &amp; Rehabilitation at home  (pathway 1)</v>
      </c>
      <c r="E661" t="s">
        <v>147</v>
      </c>
      <c r="F661" t="s">
        <v>557</v>
      </c>
      <c r="G661" t="s">
        <v>719</v>
      </c>
      <c r="H661">
        <v>74</v>
      </c>
      <c r="I661">
        <v>74</v>
      </c>
      <c r="J661">
        <v>76</v>
      </c>
      <c r="K661">
        <v>78</v>
      </c>
      <c r="L661">
        <v>73</v>
      </c>
      <c r="M661">
        <v>76</v>
      </c>
      <c r="N661">
        <v>73</v>
      </c>
      <c r="O661">
        <v>77</v>
      </c>
      <c r="P661">
        <v>76</v>
      </c>
      <c r="Q661">
        <v>76</v>
      </c>
      <c r="R661">
        <v>77</v>
      </c>
      <c r="S661">
        <v>72</v>
      </c>
      <c r="T661">
        <f t="shared" si="32"/>
        <v>902</v>
      </c>
      <c r="U661">
        <v>1</v>
      </c>
    </row>
    <row r="662" spans="1:21" x14ac:dyDescent="0.3">
      <c r="A662" t="str">
        <f t="shared" si="30"/>
        <v>EnfieldReablement &amp; Rehabilitation at home  (pathway 1)2</v>
      </c>
      <c r="B662">
        <f>IF(C662="","",COUNTIF($C$2:C662,C662))</f>
        <v>2</v>
      </c>
      <c r="C662" t="str">
        <f t="shared" si="31"/>
        <v>EnfieldRehabilitation at home (pathway 1)</v>
      </c>
      <c r="D662" t="str">
        <f>VLOOKUP(G662,PathwayLookup!A:B,2,0)</f>
        <v>Reablement &amp; Rehabilitation at home  (pathway 1)</v>
      </c>
      <c r="E662" t="s">
        <v>147</v>
      </c>
      <c r="F662" t="s">
        <v>578</v>
      </c>
      <c r="G662" t="s">
        <v>719</v>
      </c>
      <c r="H662">
        <v>76</v>
      </c>
      <c r="I662">
        <v>77</v>
      </c>
      <c r="J662">
        <v>76</v>
      </c>
      <c r="K662">
        <v>79</v>
      </c>
      <c r="L662">
        <v>74</v>
      </c>
      <c r="M662">
        <v>78</v>
      </c>
      <c r="N662">
        <v>74</v>
      </c>
      <c r="O662">
        <v>75</v>
      </c>
      <c r="P662">
        <v>76</v>
      </c>
      <c r="Q662">
        <v>75</v>
      </c>
      <c r="R662">
        <v>75</v>
      </c>
      <c r="S662">
        <v>76</v>
      </c>
      <c r="T662">
        <f t="shared" si="32"/>
        <v>911</v>
      </c>
      <c r="U662">
        <v>1</v>
      </c>
    </row>
    <row r="663" spans="1:21" x14ac:dyDescent="0.3">
      <c r="A663" t="str">
        <f t="shared" si="30"/>
        <v>EnfieldReablement &amp; Rehabilitation at home  (pathway 1)3</v>
      </c>
      <c r="B663">
        <f>IF(C663="","",COUNTIF($C$2:C663,C663))</f>
        <v>3</v>
      </c>
      <c r="C663" t="str">
        <f t="shared" si="31"/>
        <v>EnfieldRehabilitation at home (pathway 1)</v>
      </c>
      <c r="D663" t="str">
        <f>VLOOKUP(G663,PathwayLookup!A:B,2,0)</f>
        <v>Reablement &amp; Rehabilitation at home  (pathway 1)</v>
      </c>
      <c r="E663" t="s">
        <v>147</v>
      </c>
      <c r="F663" t="s">
        <v>626</v>
      </c>
      <c r="G663" t="s">
        <v>719</v>
      </c>
      <c r="H663">
        <v>3</v>
      </c>
      <c r="I663">
        <v>3</v>
      </c>
      <c r="J663">
        <v>2</v>
      </c>
      <c r="K663">
        <v>3</v>
      </c>
      <c r="L663">
        <v>2</v>
      </c>
      <c r="M663">
        <v>3</v>
      </c>
      <c r="N663">
        <v>3</v>
      </c>
      <c r="O663">
        <v>3</v>
      </c>
      <c r="P663">
        <v>3</v>
      </c>
      <c r="Q663">
        <v>3</v>
      </c>
      <c r="R663">
        <v>4</v>
      </c>
      <c r="S663">
        <v>3</v>
      </c>
      <c r="T663">
        <f t="shared" si="32"/>
        <v>35</v>
      </c>
      <c r="U663">
        <v>1</v>
      </c>
    </row>
    <row r="664" spans="1:21" x14ac:dyDescent="0.3">
      <c r="A664" t="str">
        <f t="shared" si="30"/>
        <v>EnfieldReablement &amp; Rehabilitation at home  (pathway 1)4</v>
      </c>
      <c r="B664">
        <f>IF(C664="","",COUNTIF($C$2:C664,C664))</f>
        <v>4</v>
      </c>
      <c r="C664" t="str">
        <f t="shared" si="31"/>
        <v>EnfieldRehabilitation at home (pathway 1)</v>
      </c>
      <c r="D664" t="str">
        <f>VLOOKUP(G664,PathwayLookup!A:B,2,0)</f>
        <v>Reablement &amp; Rehabilitation at home  (pathway 1)</v>
      </c>
      <c r="E664" t="s">
        <v>147</v>
      </c>
      <c r="F664" t="s">
        <v>643</v>
      </c>
      <c r="G664" t="s">
        <v>719</v>
      </c>
      <c r="H664">
        <v>1</v>
      </c>
      <c r="I664">
        <v>0</v>
      </c>
      <c r="J664">
        <v>1</v>
      </c>
      <c r="K664">
        <v>1</v>
      </c>
      <c r="L664">
        <v>0</v>
      </c>
      <c r="M664">
        <v>1</v>
      </c>
      <c r="N664">
        <v>0</v>
      </c>
      <c r="O664">
        <v>0</v>
      </c>
      <c r="P664">
        <v>1</v>
      </c>
      <c r="Q664">
        <v>1</v>
      </c>
      <c r="R664">
        <v>1</v>
      </c>
      <c r="S664">
        <v>1</v>
      </c>
      <c r="T664">
        <f t="shared" si="32"/>
        <v>8</v>
      </c>
      <c r="U664">
        <v>1</v>
      </c>
    </row>
    <row r="665" spans="1:21" x14ac:dyDescent="0.3">
      <c r="A665" t="str">
        <f t="shared" si="30"/>
        <v/>
      </c>
      <c r="B665" t="str">
        <f>IF(C665="","",COUNTIF($C$2:C665,C665))</f>
        <v/>
      </c>
      <c r="C665" t="str">
        <f t="shared" si="31"/>
        <v/>
      </c>
      <c r="D665" t="str">
        <f>VLOOKUP(G665,PathwayLookup!A:B,2,0)</f>
        <v>Reablement &amp; Rehabilitation at home  (pathway 1)</v>
      </c>
      <c r="E665" t="s">
        <v>147</v>
      </c>
      <c r="F665" t="s">
        <v>651</v>
      </c>
      <c r="G665" t="s">
        <v>719</v>
      </c>
      <c r="H665">
        <v>0</v>
      </c>
      <c r="I665">
        <v>0</v>
      </c>
      <c r="J665">
        <v>0</v>
      </c>
      <c r="K665">
        <v>0</v>
      </c>
      <c r="L665">
        <v>0</v>
      </c>
      <c r="M665">
        <v>0</v>
      </c>
      <c r="N665">
        <v>0</v>
      </c>
      <c r="O665">
        <v>0</v>
      </c>
      <c r="P665">
        <v>0</v>
      </c>
      <c r="Q665">
        <v>0</v>
      </c>
      <c r="R665">
        <v>0</v>
      </c>
      <c r="S665">
        <v>0</v>
      </c>
      <c r="T665">
        <f t="shared" si="32"/>
        <v>0</v>
      </c>
      <c r="U665">
        <v>1</v>
      </c>
    </row>
    <row r="666" spans="1:21" x14ac:dyDescent="0.3">
      <c r="A666" t="str">
        <f t="shared" si="30"/>
        <v>EnfieldShort term domiciliary care (pathway 1)1</v>
      </c>
      <c r="B666">
        <f>IF(C666="","",COUNTIF($C$2:C666,C666))</f>
        <v>1</v>
      </c>
      <c r="C666" t="str">
        <f t="shared" si="31"/>
        <v>EnfieldShort term domiciliary care (pathway 1)</v>
      </c>
      <c r="D666" t="str">
        <f>VLOOKUP(G666,PathwayLookup!A:B,2,0)</f>
        <v>Short term domiciliary care (pathway 1)</v>
      </c>
      <c r="E666" t="s">
        <v>147</v>
      </c>
      <c r="F666" t="s">
        <v>557</v>
      </c>
      <c r="G666" t="s">
        <v>684</v>
      </c>
      <c r="H666">
        <v>18</v>
      </c>
      <c r="I666">
        <v>18</v>
      </c>
      <c r="J666">
        <v>21</v>
      </c>
      <c r="K666">
        <v>25</v>
      </c>
      <c r="L666">
        <v>13</v>
      </c>
      <c r="M666">
        <v>22</v>
      </c>
      <c r="N666">
        <v>16</v>
      </c>
      <c r="O666">
        <v>22</v>
      </c>
      <c r="P666">
        <v>21</v>
      </c>
      <c r="Q666">
        <v>21</v>
      </c>
      <c r="R666">
        <v>24</v>
      </c>
      <c r="S666">
        <v>14</v>
      </c>
      <c r="T666">
        <f t="shared" si="32"/>
        <v>235</v>
      </c>
      <c r="U666">
        <v>1</v>
      </c>
    </row>
    <row r="667" spans="1:21" x14ac:dyDescent="0.3">
      <c r="A667" t="str">
        <f t="shared" si="30"/>
        <v>EnfieldShort term domiciliary care (pathway 1)2</v>
      </c>
      <c r="B667">
        <f>IF(C667="","",COUNTIF($C$2:C667,C667))</f>
        <v>2</v>
      </c>
      <c r="C667" t="str">
        <f t="shared" si="31"/>
        <v>EnfieldShort term domiciliary care (pathway 1)</v>
      </c>
      <c r="D667" t="str">
        <f>VLOOKUP(G667,PathwayLookup!A:B,2,0)</f>
        <v>Short term domiciliary care (pathway 1)</v>
      </c>
      <c r="E667" t="s">
        <v>147</v>
      </c>
      <c r="F667" t="s">
        <v>578</v>
      </c>
      <c r="G667" t="s">
        <v>684</v>
      </c>
      <c r="H667">
        <v>22</v>
      </c>
      <c r="I667">
        <v>23</v>
      </c>
      <c r="J667">
        <v>21</v>
      </c>
      <c r="K667">
        <v>27</v>
      </c>
      <c r="L667">
        <v>18</v>
      </c>
      <c r="M667">
        <v>25</v>
      </c>
      <c r="N667">
        <v>18</v>
      </c>
      <c r="O667">
        <v>19</v>
      </c>
      <c r="P667">
        <v>21</v>
      </c>
      <c r="Q667">
        <v>19</v>
      </c>
      <c r="R667">
        <v>19</v>
      </c>
      <c r="S667">
        <v>21</v>
      </c>
      <c r="T667">
        <f t="shared" si="32"/>
        <v>253</v>
      </c>
      <c r="U667">
        <v>1</v>
      </c>
    </row>
    <row r="668" spans="1:21" x14ac:dyDescent="0.3">
      <c r="A668" t="str">
        <f t="shared" si="30"/>
        <v>EnfieldShort term domiciliary care (pathway 1)3</v>
      </c>
      <c r="B668">
        <f>IF(C668="","",COUNTIF($C$2:C668,C668))</f>
        <v>3</v>
      </c>
      <c r="C668" t="str">
        <f t="shared" si="31"/>
        <v>EnfieldShort term domiciliary care (pathway 1)</v>
      </c>
      <c r="D668" t="str">
        <f>VLOOKUP(G668,PathwayLookup!A:B,2,0)</f>
        <v>Short term domiciliary care (pathway 1)</v>
      </c>
      <c r="E668" t="s">
        <v>147</v>
      </c>
      <c r="F668" t="s">
        <v>626</v>
      </c>
      <c r="G668" t="s">
        <v>684</v>
      </c>
      <c r="H668">
        <v>6</v>
      </c>
      <c r="I668">
        <v>5</v>
      </c>
      <c r="J668">
        <v>5</v>
      </c>
      <c r="K668">
        <v>6</v>
      </c>
      <c r="L668">
        <v>4</v>
      </c>
      <c r="M668">
        <v>7</v>
      </c>
      <c r="N668">
        <v>6</v>
      </c>
      <c r="O668">
        <v>5</v>
      </c>
      <c r="P668">
        <v>6</v>
      </c>
      <c r="Q668">
        <v>5</v>
      </c>
      <c r="R668">
        <v>7</v>
      </c>
      <c r="S668">
        <v>5</v>
      </c>
      <c r="T668">
        <f t="shared" si="32"/>
        <v>67</v>
      </c>
      <c r="U668">
        <v>1</v>
      </c>
    </row>
    <row r="669" spans="1:21" x14ac:dyDescent="0.3">
      <c r="A669" t="str">
        <f t="shared" si="30"/>
        <v>EnfieldShort term domiciliary care (pathway 1)4</v>
      </c>
      <c r="B669">
        <f>IF(C669="","",COUNTIF($C$2:C669,C669))</f>
        <v>4</v>
      </c>
      <c r="C669" t="str">
        <f t="shared" si="31"/>
        <v>EnfieldShort term domiciliary care (pathway 1)</v>
      </c>
      <c r="D669" t="str">
        <f>VLOOKUP(G669,PathwayLookup!A:B,2,0)</f>
        <v>Short term domiciliary care (pathway 1)</v>
      </c>
      <c r="E669" t="s">
        <v>147</v>
      </c>
      <c r="F669" t="s">
        <v>643</v>
      </c>
      <c r="G669" t="s">
        <v>684</v>
      </c>
      <c r="H669">
        <v>1</v>
      </c>
      <c r="I669">
        <v>1</v>
      </c>
      <c r="J669">
        <v>1</v>
      </c>
      <c r="K669">
        <v>1</v>
      </c>
      <c r="L669">
        <v>1</v>
      </c>
      <c r="M669">
        <v>1</v>
      </c>
      <c r="N669">
        <v>1</v>
      </c>
      <c r="O669">
        <v>1</v>
      </c>
      <c r="P669">
        <v>2</v>
      </c>
      <c r="Q669">
        <v>2</v>
      </c>
      <c r="R669">
        <v>1</v>
      </c>
      <c r="S669">
        <v>1</v>
      </c>
      <c r="T669">
        <f t="shared" si="32"/>
        <v>14</v>
      </c>
      <c r="U669">
        <v>1</v>
      </c>
    </row>
    <row r="670" spans="1:21" x14ac:dyDescent="0.3">
      <c r="A670" t="str">
        <f t="shared" si="30"/>
        <v>EnfieldShort term domiciliary care (pathway 1)5</v>
      </c>
      <c r="B670">
        <f>IF(C670="","",COUNTIF($C$2:C670,C670))</f>
        <v>5</v>
      </c>
      <c r="C670" t="str">
        <f t="shared" si="31"/>
        <v>EnfieldShort term domiciliary care (pathway 1)</v>
      </c>
      <c r="D670" t="str">
        <f>VLOOKUP(G670,PathwayLookup!A:B,2,0)</f>
        <v>Short term domiciliary care (pathway 1)</v>
      </c>
      <c r="E670" t="s">
        <v>147</v>
      </c>
      <c r="F670" t="s">
        <v>651</v>
      </c>
      <c r="G670" t="s">
        <v>684</v>
      </c>
      <c r="H670">
        <v>157</v>
      </c>
      <c r="I670">
        <v>157</v>
      </c>
      <c r="J670">
        <v>157</v>
      </c>
      <c r="K670">
        <v>157</v>
      </c>
      <c r="L670">
        <v>157</v>
      </c>
      <c r="M670">
        <v>157</v>
      </c>
      <c r="N670">
        <v>157</v>
      </c>
      <c r="O670">
        <v>157</v>
      </c>
      <c r="P670">
        <v>157</v>
      </c>
      <c r="Q670">
        <v>157</v>
      </c>
      <c r="R670">
        <v>157</v>
      </c>
      <c r="S670">
        <v>157</v>
      </c>
      <c r="T670">
        <f t="shared" si="32"/>
        <v>1884</v>
      </c>
      <c r="U670">
        <v>1</v>
      </c>
    </row>
    <row r="671" spans="1:21" x14ac:dyDescent="0.3">
      <c r="A671" t="str">
        <f t="shared" si="30"/>
        <v>EnfieldReablement &amp; Rehabilitation in a bedded setting (pathway 2)1</v>
      </c>
      <c r="B671">
        <f>IF(C671="","",COUNTIF($C$2:C671,C671))</f>
        <v>1</v>
      </c>
      <c r="C671" t="str">
        <f t="shared" si="31"/>
        <v>EnfieldReablement in a bedded setting (pathway 2)</v>
      </c>
      <c r="D671" t="str">
        <f>VLOOKUP(G671,PathwayLookup!A:B,2,0)</f>
        <v>Reablement &amp; Rehabilitation in a bedded setting (pathway 2)</v>
      </c>
      <c r="E671" t="s">
        <v>147</v>
      </c>
      <c r="F671" t="s">
        <v>557</v>
      </c>
      <c r="G671" t="s">
        <v>722</v>
      </c>
      <c r="H671">
        <v>19</v>
      </c>
      <c r="I671">
        <v>19</v>
      </c>
      <c r="J671">
        <v>19</v>
      </c>
      <c r="K671">
        <v>26</v>
      </c>
      <c r="L671">
        <v>17</v>
      </c>
      <c r="M671">
        <v>24</v>
      </c>
      <c r="N671">
        <v>19</v>
      </c>
      <c r="O671">
        <v>13</v>
      </c>
      <c r="P671">
        <v>19</v>
      </c>
      <c r="Q671">
        <v>17</v>
      </c>
      <c r="R671">
        <v>13</v>
      </c>
      <c r="S671">
        <v>16</v>
      </c>
      <c r="T671">
        <f t="shared" si="32"/>
        <v>221</v>
      </c>
      <c r="U671">
        <v>1</v>
      </c>
    </row>
    <row r="672" spans="1:21" x14ac:dyDescent="0.3">
      <c r="A672" t="str">
        <f t="shared" si="30"/>
        <v>EnfieldReablement &amp; Rehabilitation in a bedded setting (pathway 2)2</v>
      </c>
      <c r="B672">
        <f>IF(C672="","",COUNTIF($C$2:C672,C672))</f>
        <v>2</v>
      </c>
      <c r="C672" t="str">
        <f t="shared" si="31"/>
        <v>EnfieldReablement in a bedded setting (pathway 2)</v>
      </c>
      <c r="D672" t="str">
        <f>VLOOKUP(G672,PathwayLookup!A:B,2,0)</f>
        <v>Reablement &amp; Rehabilitation in a bedded setting (pathway 2)</v>
      </c>
      <c r="E672" t="s">
        <v>147</v>
      </c>
      <c r="F672" t="s">
        <v>578</v>
      </c>
      <c r="G672" t="s">
        <v>722</v>
      </c>
      <c r="H672">
        <v>7</v>
      </c>
      <c r="I672">
        <v>5</v>
      </c>
      <c r="J672">
        <v>5</v>
      </c>
      <c r="K672">
        <v>7</v>
      </c>
      <c r="L672">
        <v>5</v>
      </c>
      <c r="M672">
        <v>6</v>
      </c>
      <c r="N672">
        <v>6</v>
      </c>
      <c r="O672">
        <v>7</v>
      </c>
      <c r="P672">
        <v>7</v>
      </c>
      <c r="Q672">
        <v>6</v>
      </c>
      <c r="R672">
        <v>6</v>
      </c>
      <c r="S672">
        <v>5</v>
      </c>
      <c r="T672">
        <f t="shared" si="32"/>
        <v>72</v>
      </c>
      <c r="U672">
        <v>1</v>
      </c>
    </row>
    <row r="673" spans="1:21" x14ac:dyDescent="0.3">
      <c r="A673" t="str">
        <f t="shared" si="30"/>
        <v>EnfieldReablement &amp; Rehabilitation in a bedded setting (pathway 2)3</v>
      </c>
      <c r="B673">
        <f>IF(C673="","",COUNTIF($C$2:C673,C673))</f>
        <v>3</v>
      </c>
      <c r="C673" t="str">
        <f t="shared" si="31"/>
        <v>EnfieldReablement in a bedded setting (pathway 2)</v>
      </c>
      <c r="D673" t="str">
        <f>VLOOKUP(G673,PathwayLookup!A:B,2,0)</f>
        <v>Reablement &amp; Rehabilitation in a bedded setting (pathway 2)</v>
      </c>
      <c r="E673" t="s">
        <v>147</v>
      </c>
      <c r="F673" t="s">
        <v>626</v>
      </c>
      <c r="G673" t="s">
        <v>722</v>
      </c>
      <c r="H673">
        <v>2</v>
      </c>
      <c r="I673">
        <v>2</v>
      </c>
      <c r="J673">
        <v>1</v>
      </c>
      <c r="K673">
        <v>2</v>
      </c>
      <c r="L673">
        <v>2</v>
      </c>
      <c r="M673">
        <v>2</v>
      </c>
      <c r="N673">
        <v>2</v>
      </c>
      <c r="O673">
        <v>2</v>
      </c>
      <c r="P673">
        <v>2</v>
      </c>
      <c r="Q673">
        <v>2</v>
      </c>
      <c r="R673">
        <v>2</v>
      </c>
      <c r="S673">
        <v>2</v>
      </c>
      <c r="T673">
        <f t="shared" si="32"/>
        <v>23</v>
      </c>
      <c r="U673">
        <v>1</v>
      </c>
    </row>
    <row r="674" spans="1:21" x14ac:dyDescent="0.3">
      <c r="A674" t="str">
        <f t="shared" si="30"/>
        <v>EnfieldReablement &amp; Rehabilitation in a bedded setting (pathway 2)4</v>
      </c>
      <c r="B674">
        <f>IF(C674="","",COUNTIF($C$2:C674,C674))</f>
        <v>4</v>
      </c>
      <c r="C674" t="str">
        <f t="shared" si="31"/>
        <v>EnfieldReablement in a bedded setting (pathway 2)</v>
      </c>
      <c r="D674" t="str">
        <f>VLOOKUP(G674,PathwayLookup!A:B,2,0)</f>
        <v>Reablement &amp; Rehabilitation in a bedded setting (pathway 2)</v>
      </c>
      <c r="E674" t="s">
        <v>147</v>
      </c>
      <c r="F674" t="s">
        <v>643</v>
      </c>
      <c r="G674" t="s">
        <v>722</v>
      </c>
      <c r="H674">
        <v>0</v>
      </c>
      <c r="I674">
        <v>0</v>
      </c>
      <c r="J674">
        <v>1</v>
      </c>
      <c r="K674">
        <v>0</v>
      </c>
      <c r="L674">
        <v>0</v>
      </c>
      <c r="M674">
        <v>0</v>
      </c>
      <c r="N674">
        <v>1</v>
      </c>
      <c r="O674">
        <v>0</v>
      </c>
      <c r="P674">
        <v>0</v>
      </c>
      <c r="Q674">
        <v>0</v>
      </c>
      <c r="R674">
        <v>0</v>
      </c>
      <c r="S674">
        <v>1</v>
      </c>
      <c r="T674">
        <f t="shared" si="32"/>
        <v>3</v>
      </c>
      <c r="U674">
        <v>1</v>
      </c>
    </row>
    <row r="675" spans="1:21" x14ac:dyDescent="0.3">
      <c r="A675" t="str">
        <f t="shared" si="30"/>
        <v/>
      </c>
      <c r="B675" t="str">
        <f>IF(C675="","",COUNTIF($C$2:C675,C675))</f>
        <v/>
      </c>
      <c r="C675" t="str">
        <f t="shared" si="31"/>
        <v/>
      </c>
      <c r="D675" t="str">
        <f>VLOOKUP(G675,PathwayLookup!A:B,2,0)</f>
        <v>Reablement &amp; Rehabilitation in a bedded setting (pathway 2)</v>
      </c>
      <c r="E675" t="s">
        <v>147</v>
      </c>
      <c r="F675" t="s">
        <v>651</v>
      </c>
      <c r="G675" t="s">
        <v>722</v>
      </c>
      <c r="H675">
        <v>0</v>
      </c>
      <c r="I675">
        <v>0</v>
      </c>
      <c r="J675">
        <v>0</v>
      </c>
      <c r="K675">
        <v>0</v>
      </c>
      <c r="L675">
        <v>0</v>
      </c>
      <c r="M675">
        <v>0</v>
      </c>
      <c r="N675">
        <v>0</v>
      </c>
      <c r="O675">
        <v>0</v>
      </c>
      <c r="P675">
        <v>0</v>
      </c>
      <c r="Q675">
        <v>0</v>
      </c>
      <c r="R675">
        <v>0</v>
      </c>
      <c r="S675">
        <v>0</v>
      </c>
      <c r="T675">
        <f t="shared" si="32"/>
        <v>0</v>
      </c>
      <c r="U675">
        <v>1</v>
      </c>
    </row>
    <row r="676" spans="1:21" x14ac:dyDescent="0.3">
      <c r="A676" t="str">
        <f t="shared" si="30"/>
        <v>EnfieldReablement &amp; Rehabilitation in a bedded setting (pathway 2)1</v>
      </c>
      <c r="B676">
        <f>IF(C676="","",COUNTIF($C$2:C676,C676))</f>
        <v>1</v>
      </c>
      <c r="C676" t="str">
        <f t="shared" si="31"/>
        <v>EnfieldRehabilitation in a bedded setting (pathway 2)</v>
      </c>
      <c r="D676" t="str">
        <f>VLOOKUP(G676,PathwayLookup!A:B,2,0)</f>
        <v>Reablement &amp; Rehabilitation in a bedded setting (pathway 2)</v>
      </c>
      <c r="E676" t="s">
        <v>147</v>
      </c>
      <c r="F676" t="s">
        <v>557</v>
      </c>
      <c r="G676" t="s">
        <v>724</v>
      </c>
      <c r="H676">
        <v>49</v>
      </c>
      <c r="I676">
        <v>47</v>
      </c>
      <c r="J676">
        <v>49</v>
      </c>
      <c r="K676">
        <v>66</v>
      </c>
      <c r="L676">
        <v>43</v>
      </c>
      <c r="M676">
        <v>62</v>
      </c>
      <c r="N676">
        <v>48</v>
      </c>
      <c r="O676">
        <v>34</v>
      </c>
      <c r="P676">
        <v>49</v>
      </c>
      <c r="Q676">
        <v>44</v>
      </c>
      <c r="R676">
        <v>32</v>
      </c>
      <c r="S676">
        <v>42</v>
      </c>
      <c r="T676">
        <f t="shared" si="32"/>
        <v>565</v>
      </c>
      <c r="U676">
        <v>1</v>
      </c>
    </row>
    <row r="677" spans="1:21" x14ac:dyDescent="0.3">
      <c r="A677" t="str">
        <f t="shared" si="30"/>
        <v>EnfieldReablement &amp; Rehabilitation in a bedded setting (pathway 2)2</v>
      </c>
      <c r="B677">
        <f>IF(C677="","",COUNTIF($C$2:C677,C677))</f>
        <v>2</v>
      </c>
      <c r="C677" t="str">
        <f t="shared" si="31"/>
        <v>EnfieldRehabilitation in a bedded setting (pathway 2)</v>
      </c>
      <c r="D677" t="str">
        <f>VLOOKUP(G677,PathwayLookup!A:B,2,0)</f>
        <v>Reablement &amp; Rehabilitation in a bedded setting (pathway 2)</v>
      </c>
      <c r="E677" t="s">
        <v>147</v>
      </c>
      <c r="F677" t="s">
        <v>578</v>
      </c>
      <c r="G677" t="s">
        <v>724</v>
      </c>
      <c r="H677">
        <v>18</v>
      </c>
      <c r="I677">
        <v>13</v>
      </c>
      <c r="J677">
        <v>14</v>
      </c>
      <c r="K677">
        <v>19</v>
      </c>
      <c r="L677">
        <v>12</v>
      </c>
      <c r="M677">
        <v>14</v>
      </c>
      <c r="N677">
        <v>15</v>
      </c>
      <c r="O677">
        <v>17</v>
      </c>
      <c r="P677">
        <v>18</v>
      </c>
      <c r="Q677">
        <v>16</v>
      </c>
      <c r="R677">
        <v>15</v>
      </c>
      <c r="S677">
        <v>13</v>
      </c>
      <c r="T677">
        <f t="shared" si="32"/>
        <v>184</v>
      </c>
      <c r="U677">
        <v>1</v>
      </c>
    </row>
    <row r="678" spans="1:21" x14ac:dyDescent="0.3">
      <c r="A678" t="str">
        <f t="shared" si="30"/>
        <v>EnfieldReablement &amp; Rehabilitation in a bedded setting (pathway 2)3</v>
      </c>
      <c r="B678">
        <f>IF(C678="","",COUNTIF($C$2:C678,C678))</f>
        <v>3</v>
      </c>
      <c r="C678" t="str">
        <f t="shared" si="31"/>
        <v>EnfieldRehabilitation in a bedded setting (pathway 2)</v>
      </c>
      <c r="D678" t="str">
        <f>VLOOKUP(G678,PathwayLookup!A:B,2,0)</f>
        <v>Reablement &amp; Rehabilitation in a bedded setting (pathway 2)</v>
      </c>
      <c r="E678" t="s">
        <v>147</v>
      </c>
      <c r="F678" t="s">
        <v>626</v>
      </c>
      <c r="G678" t="s">
        <v>724</v>
      </c>
      <c r="H678">
        <v>4</v>
      </c>
      <c r="I678">
        <v>4</v>
      </c>
      <c r="J678">
        <v>4</v>
      </c>
      <c r="K678">
        <v>6</v>
      </c>
      <c r="L678">
        <v>5</v>
      </c>
      <c r="M678">
        <v>5</v>
      </c>
      <c r="N678">
        <v>4</v>
      </c>
      <c r="O678">
        <v>5</v>
      </c>
      <c r="P678">
        <v>6</v>
      </c>
      <c r="Q678">
        <v>6</v>
      </c>
      <c r="R678">
        <v>6</v>
      </c>
      <c r="S678">
        <v>4</v>
      </c>
      <c r="T678">
        <f t="shared" si="32"/>
        <v>59</v>
      </c>
      <c r="U678">
        <v>1</v>
      </c>
    </row>
    <row r="679" spans="1:21" x14ac:dyDescent="0.3">
      <c r="A679" t="str">
        <f t="shared" si="30"/>
        <v>EnfieldReablement &amp; Rehabilitation in a bedded setting (pathway 2)4</v>
      </c>
      <c r="B679">
        <f>IF(C679="","",COUNTIF($C$2:C679,C679))</f>
        <v>4</v>
      </c>
      <c r="C679" t="str">
        <f t="shared" si="31"/>
        <v>EnfieldRehabilitation in a bedded setting (pathway 2)</v>
      </c>
      <c r="D679" t="str">
        <f>VLOOKUP(G679,PathwayLookup!A:B,2,0)</f>
        <v>Reablement &amp; Rehabilitation in a bedded setting (pathway 2)</v>
      </c>
      <c r="E679" t="s">
        <v>147</v>
      </c>
      <c r="F679" t="s">
        <v>643</v>
      </c>
      <c r="G679" t="s">
        <v>724</v>
      </c>
      <c r="H679">
        <v>1</v>
      </c>
      <c r="I679">
        <v>0</v>
      </c>
      <c r="J679">
        <v>1</v>
      </c>
      <c r="K679">
        <v>1</v>
      </c>
      <c r="L679">
        <v>0</v>
      </c>
      <c r="M679">
        <v>0</v>
      </c>
      <c r="N679">
        <v>0</v>
      </c>
      <c r="O679">
        <v>1</v>
      </c>
      <c r="P679">
        <v>1</v>
      </c>
      <c r="Q679">
        <v>1</v>
      </c>
      <c r="R679">
        <v>1</v>
      </c>
      <c r="S679">
        <v>1</v>
      </c>
      <c r="T679">
        <f t="shared" si="32"/>
        <v>8</v>
      </c>
      <c r="U679">
        <v>1</v>
      </c>
    </row>
    <row r="680" spans="1:21" x14ac:dyDescent="0.3">
      <c r="A680" t="str">
        <f t="shared" si="30"/>
        <v/>
      </c>
      <c r="B680" t="str">
        <f>IF(C680="","",COUNTIF($C$2:C680,C680))</f>
        <v/>
      </c>
      <c r="C680" t="str">
        <f t="shared" si="31"/>
        <v/>
      </c>
      <c r="D680" t="str">
        <f>VLOOKUP(G680,PathwayLookup!A:B,2,0)</f>
        <v>Reablement &amp; Rehabilitation in a bedded setting (pathway 2)</v>
      </c>
      <c r="E680" t="s">
        <v>147</v>
      </c>
      <c r="F680" t="s">
        <v>651</v>
      </c>
      <c r="G680" t="s">
        <v>724</v>
      </c>
      <c r="H680">
        <v>0</v>
      </c>
      <c r="I680">
        <v>0</v>
      </c>
      <c r="J680">
        <v>0</v>
      </c>
      <c r="K680">
        <v>0</v>
      </c>
      <c r="L680">
        <v>0</v>
      </c>
      <c r="M680">
        <v>0</v>
      </c>
      <c r="N680">
        <v>0</v>
      </c>
      <c r="O680">
        <v>0</v>
      </c>
      <c r="P680">
        <v>0</v>
      </c>
      <c r="Q680">
        <v>0</v>
      </c>
      <c r="R680">
        <v>0</v>
      </c>
      <c r="S680">
        <v>0</v>
      </c>
      <c r="T680">
        <f t="shared" si="32"/>
        <v>0</v>
      </c>
      <c r="U680">
        <v>1</v>
      </c>
    </row>
    <row r="681" spans="1:21" x14ac:dyDescent="0.3">
      <c r="A681" t="str">
        <f t="shared" si="30"/>
        <v>EnfieldShort-term residential/nursing care for someone likely to require a longer-term care home placement (pathway 3)1</v>
      </c>
      <c r="B681">
        <f>IF(C681="","",COUNTIF($C$2:C681,C681))</f>
        <v>1</v>
      </c>
      <c r="C681" t="str">
        <f t="shared" si="31"/>
        <v>EnfieldShort-term residential/nursing care for someone likely to require a longer-term care home placement (pathway 3)</v>
      </c>
      <c r="D681" t="str">
        <f>VLOOKUP(G681,PathwayLookup!A:B,2,0)</f>
        <v>Short-term residential/nursing care for someone likely to require a longer-term care home placement (pathway 3)</v>
      </c>
      <c r="E681" t="s">
        <v>147</v>
      </c>
      <c r="F681" t="s">
        <v>557</v>
      </c>
      <c r="G681" t="s">
        <v>686</v>
      </c>
      <c r="H681">
        <v>8</v>
      </c>
      <c r="I681">
        <v>9</v>
      </c>
      <c r="J681">
        <v>6</v>
      </c>
      <c r="K681">
        <v>6</v>
      </c>
      <c r="L681">
        <v>1</v>
      </c>
      <c r="M681">
        <v>4</v>
      </c>
      <c r="N681">
        <v>8</v>
      </c>
      <c r="O681">
        <v>5</v>
      </c>
      <c r="P681">
        <v>12</v>
      </c>
      <c r="Q681">
        <v>8</v>
      </c>
      <c r="R681">
        <v>13</v>
      </c>
      <c r="S681">
        <v>3</v>
      </c>
      <c r="T681">
        <f t="shared" si="32"/>
        <v>83</v>
      </c>
      <c r="U681">
        <v>1</v>
      </c>
    </row>
    <row r="682" spans="1:21" x14ac:dyDescent="0.3">
      <c r="A682" t="str">
        <f t="shared" si="30"/>
        <v>EnfieldShort-term residential/nursing care for someone likely to require a longer-term care home placement (pathway 3)2</v>
      </c>
      <c r="B682">
        <f>IF(C682="","",COUNTIF($C$2:C682,C682))</f>
        <v>2</v>
      </c>
      <c r="C682" t="str">
        <f t="shared" si="31"/>
        <v>EnfieldShort-term residential/nursing care for someone likely to require a longer-term care home placement (pathway 3)</v>
      </c>
      <c r="D682" t="str">
        <f>VLOOKUP(G682,PathwayLookup!A:B,2,0)</f>
        <v>Short-term residential/nursing care for someone likely to require a longer-term care home placement (pathway 3)</v>
      </c>
      <c r="E682" t="s">
        <v>147</v>
      </c>
      <c r="F682" t="s">
        <v>578</v>
      </c>
      <c r="G682" t="s">
        <v>686</v>
      </c>
      <c r="H682">
        <v>9</v>
      </c>
      <c r="I682">
        <v>7</v>
      </c>
      <c r="J682">
        <v>4</v>
      </c>
      <c r="K682">
        <v>7</v>
      </c>
      <c r="L682">
        <v>6</v>
      </c>
      <c r="M682">
        <v>7</v>
      </c>
      <c r="N682">
        <v>9</v>
      </c>
      <c r="O682">
        <v>8</v>
      </c>
      <c r="P682">
        <v>9</v>
      </c>
      <c r="Q682">
        <v>9</v>
      </c>
      <c r="R682">
        <v>7</v>
      </c>
      <c r="S682">
        <v>8</v>
      </c>
      <c r="T682">
        <f t="shared" si="32"/>
        <v>90</v>
      </c>
      <c r="U682">
        <v>1</v>
      </c>
    </row>
    <row r="683" spans="1:21" x14ac:dyDescent="0.3">
      <c r="A683" t="str">
        <f t="shared" si="30"/>
        <v>EnfieldShort-term residential/nursing care for someone likely to require a longer-term care home placement (pathway 3)3</v>
      </c>
      <c r="B683">
        <f>IF(C683="","",COUNTIF($C$2:C683,C683))</f>
        <v>3</v>
      </c>
      <c r="C683" t="str">
        <f t="shared" si="31"/>
        <v>EnfieldShort-term residential/nursing care for someone likely to require a longer-term care home placement (pathway 3)</v>
      </c>
      <c r="D683" t="str">
        <f>VLOOKUP(G683,PathwayLookup!A:B,2,0)</f>
        <v>Short-term residential/nursing care for someone likely to require a longer-term care home placement (pathway 3)</v>
      </c>
      <c r="E683" t="s">
        <v>147</v>
      </c>
      <c r="F683" t="s">
        <v>643</v>
      </c>
      <c r="G683" t="s">
        <v>686</v>
      </c>
      <c r="H683">
        <v>1</v>
      </c>
      <c r="I683">
        <v>1</v>
      </c>
      <c r="J683">
        <v>0</v>
      </c>
      <c r="K683">
        <v>1</v>
      </c>
      <c r="L683">
        <v>1</v>
      </c>
      <c r="M683">
        <v>0</v>
      </c>
      <c r="N683">
        <v>0</v>
      </c>
      <c r="O683">
        <v>1</v>
      </c>
      <c r="P683">
        <v>1</v>
      </c>
      <c r="Q683">
        <v>1</v>
      </c>
      <c r="R683">
        <v>1</v>
      </c>
      <c r="S683">
        <v>1</v>
      </c>
      <c r="T683">
        <f t="shared" si="32"/>
        <v>9</v>
      </c>
      <c r="U683">
        <v>1</v>
      </c>
    </row>
    <row r="684" spans="1:21" x14ac:dyDescent="0.3">
      <c r="A684" t="str">
        <f t="shared" si="30"/>
        <v>EnfieldShort-term residential/nursing care for someone likely to require a longer-term care home placement (pathway 3)4</v>
      </c>
      <c r="B684">
        <f>IF(C684="","",COUNTIF($C$2:C684,C684))</f>
        <v>4</v>
      </c>
      <c r="C684" t="str">
        <f t="shared" si="31"/>
        <v>EnfieldShort-term residential/nursing care for someone likely to require a longer-term care home placement (pathway 3)</v>
      </c>
      <c r="D684" t="str">
        <f>VLOOKUP(G684,PathwayLookup!A:B,2,0)</f>
        <v>Short-term residential/nursing care for someone likely to require a longer-term care home placement (pathway 3)</v>
      </c>
      <c r="E684" t="s">
        <v>147</v>
      </c>
      <c r="F684" t="s">
        <v>651</v>
      </c>
      <c r="G684" t="s">
        <v>686</v>
      </c>
      <c r="H684">
        <v>18</v>
      </c>
      <c r="I684">
        <v>18</v>
      </c>
      <c r="J684">
        <v>18</v>
      </c>
      <c r="K684">
        <v>18</v>
      </c>
      <c r="L684">
        <v>19</v>
      </c>
      <c r="M684">
        <v>19</v>
      </c>
      <c r="N684">
        <v>20</v>
      </c>
      <c r="O684">
        <v>25</v>
      </c>
      <c r="P684">
        <v>25</v>
      </c>
      <c r="Q684">
        <v>25</v>
      </c>
      <c r="R684">
        <v>19</v>
      </c>
      <c r="S684">
        <v>18</v>
      </c>
      <c r="T684">
        <f t="shared" si="32"/>
        <v>242</v>
      </c>
      <c r="U684">
        <v>1</v>
      </c>
    </row>
    <row r="685" spans="1:21" x14ac:dyDescent="0.3">
      <c r="A685" t="str">
        <f t="shared" si="30"/>
        <v>EssexSocial support (including VCS) (pathway 0)1</v>
      </c>
      <c r="B685">
        <f>IF(C685="","",COUNTIF($C$2:C685,C685))</f>
        <v>1</v>
      </c>
      <c r="C685" t="str">
        <f t="shared" si="31"/>
        <v>EssexSocial support (including VCS) (pathway 0)</v>
      </c>
      <c r="D685" t="str">
        <f>VLOOKUP(G685,PathwayLookup!A:B,2,0)</f>
        <v>Social support (including VCS) (pathway 0)</v>
      </c>
      <c r="E685" t="s">
        <v>149</v>
      </c>
      <c r="F685" t="s">
        <v>498</v>
      </c>
      <c r="G685" t="s">
        <v>682</v>
      </c>
      <c r="H685">
        <v>1650</v>
      </c>
      <c r="I685">
        <v>1650</v>
      </c>
      <c r="J685">
        <v>1650</v>
      </c>
      <c r="K685">
        <v>1650</v>
      </c>
      <c r="L685">
        <v>1650</v>
      </c>
      <c r="M685">
        <v>1650</v>
      </c>
      <c r="N685">
        <v>1650</v>
      </c>
      <c r="O685">
        <v>1650</v>
      </c>
      <c r="P685">
        <v>1650</v>
      </c>
      <c r="Q685">
        <v>1650</v>
      </c>
      <c r="R685">
        <v>1650</v>
      </c>
      <c r="S685">
        <v>1650</v>
      </c>
      <c r="T685">
        <f t="shared" si="32"/>
        <v>19800</v>
      </c>
      <c r="U685">
        <v>1</v>
      </c>
    </row>
    <row r="686" spans="1:21" x14ac:dyDescent="0.3">
      <c r="A686" t="str">
        <f t="shared" si="30"/>
        <v>EssexSocial support (including VCS) (pathway 0)2</v>
      </c>
      <c r="B686">
        <f>IF(C686="","",COUNTIF($C$2:C686,C686))</f>
        <v>2</v>
      </c>
      <c r="C686" t="str">
        <f t="shared" si="31"/>
        <v>EssexSocial support (including VCS) (pathway 0)</v>
      </c>
      <c r="D686" t="str">
        <f>VLOOKUP(G686,PathwayLookup!A:B,2,0)</f>
        <v>Social support (including VCS) (pathway 0)</v>
      </c>
      <c r="E686" t="s">
        <v>149</v>
      </c>
      <c r="F686" t="s">
        <v>545</v>
      </c>
      <c r="G686" t="s">
        <v>682</v>
      </c>
      <c r="H686">
        <v>3615</v>
      </c>
      <c r="I686">
        <v>3615</v>
      </c>
      <c r="J686">
        <v>3615</v>
      </c>
      <c r="K686">
        <v>3615</v>
      </c>
      <c r="L686">
        <v>3615</v>
      </c>
      <c r="M686">
        <v>3635</v>
      </c>
      <c r="N686">
        <v>3649</v>
      </c>
      <c r="O686">
        <v>3663</v>
      </c>
      <c r="P686">
        <v>3677</v>
      </c>
      <c r="Q686">
        <v>3684</v>
      </c>
      <c r="R686">
        <v>3663</v>
      </c>
      <c r="S686">
        <v>3615</v>
      </c>
      <c r="T686">
        <f t="shared" si="32"/>
        <v>43661</v>
      </c>
      <c r="U686">
        <v>1</v>
      </c>
    </row>
    <row r="687" spans="1:21" x14ac:dyDescent="0.3">
      <c r="A687" t="str">
        <f t="shared" si="30"/>
        <v>EssexSocial support (including VCS) (pathway 0)3</v>
      </c>
      <c r="B687">
        <f>IF(C687="","",COUNTIF($C$2:C687,C687))</f>
        <v>3</v>
      </c>
      <c r="C687" t="str">
        <f t="shared" si="31"/>
        <v>EssexSocial support (including VCS) (pathway 0)</v>
      </c>
      <c r="D687" t="str">
        <f>VLOOKUP(G687,PathwayLookup!A:B,2,0)</f>
        <v>Social support (including VCS) (pathway 0)</v>
      </c>
      <c r="E687" t="s">
        <v>149</v>
      </c>
      <c r="F687" t="s">
        <v>615</v>
      </c>
      <c r="G687" t="s">
        <v>682</v>
      </c>
      <c r="H687">
        <v>694</v>
      </c>
      <c r="I687">
        <v>811</v>
      </c>
      <c r="J687">
        <v>698</v>
      </c>
      <c r="K687">
        <v>805</v>
      </c>
      <c r="L687">
        <v>783</v>
      </c>
      <c r="M687">
        <v>789</v>
      </c>
      <c r="N687">
        <v>949</v>
      </c>
      <c r="O687">
        <v>928</v>
      </c>
      <c r="P687">
        <v>978</v>
      </c>
      <c r="Q687">
        <v>917</v>
      </c>
      <c r="R687">
        <v>892</v>
      </c>
      <c r="S687">
        <v>1050</v>
      </c>
      <c r="T687">
        <f t="shared" si="32"/>
        <v>10294</v>
      </c>
      <c r="U687">
        <v>1</v>
      </c>
    </row>
    <row r="688" spans="1:21" x14ac:dyDescent="0.3">
      <c r="A688" t="str">
        <f t="shared" si="30"/>
        <v>EssexReablement &amp; Rehabilitation at home  (pathway 1)1</v>
      </c>
      <c r="B688">
        <f>IF(C688="","",COUNTIF($C$2:C688,C688))</f>
        <v>1</v>
      </c>
      <c r="C688" t="str">
        <f t="shared" si="31"/>
        <v>EssexReablement at home  (pathway 1)</v>
      </c>
      <c r="D688" t="str">
        <f>VLOOKUP(G688,PathwayLookup!A:B,2,0)</f>
        <v>Reablement &amp; Rehabilitation at home  (pathway 1)</v>
      </c>
      <c r="E688" t="s">
        <v>149</v>
      </c>
      <c r="F688" t="s">
        <v>498</v>
      </c>
      <c r="G688" t="s">
        <v>718</v>
      </c>
      <c r="H688">
        <v>164</v>
      </c>
      <c r="I688">
        <v>201</v>
      </c>
      <c r="J688">
        <v>220</v>
      </c>
      <c r="K688">
        <v>211</v>
      </c>
      <c r="L688">
        <v>220</v>
      </c>
      <c r="M688">
        <v>211</v>
      </c>
      <c r="N688">
        <v>220</v>
      </c>
      <c r="O688">
        <v>220</v>
      </c>
      <c r="P688">
        <v>190</v>
      </c>
      <c r="Q688">
        <v>220</v>
      </c>
      <c r="R688">
        <v>211</v>
      </c>
      <c r="S688">
        <v>201</v>
      </c>
      <c r="T688">
        <f t="shared" si="32"/>
        <v>2489</v>
      </c>
      <c r="U688">
        <v>1</v>
      </c>
    </row>
    <row r="689" spans="1:21" x14ac:dyDescent="0.3">
      <c r="A689" t="str">
        <f t="shared" si="30"/>
        <v>EssexReablement &amp; Rehabilitation at home  (pathway 1)2</v>
      </c>
      <c r="B689">
        <f>IF(C689="","",COUNTIF($C$2:C689,C689))</f>
        <v>2</v>
      </c>
      <c r="C689" t="str">
        <f t="shared" si="31"/>
        <v>EssexReablement at home  (pathway 1)</v>
      </c>
      <c r="D689" t="str">
        <f>VLOOKUP(G689,PathwayLookup!A:B,2,0)</f>
        <v>Reablement &amp; Rehabilitation at home  (pathway 1)</v>
      </c>
      <c r="E689" t="s">
        <v>149</v>
      </c>
      <c r="F689" t="s">
        <v>545</v>
      </c>
      <c r="G689" t="s">
        <v>718</v>
      </c>
      <c r="H689">
        <v>725</v>
      </c>
      <c r="I689">
        <v>763</v>
      </c>
      <c r="J689">
        <v>840</v>
      </c>
      <c r="K689">
        <v>802</v>
      </c>
      <c r="L689">
        <v>840</v>
      </c>
      <c r="M689">
        <v>802</v>
      </c>
      <c r="N689">
        <v>840</v>
      </c>
      <c r="O689">
        <v>840</v>
      </c>
      <c r="P689">
        <v>726</v>
      </c>
      <c r="Q689">
        <v>840</v>
      </c>
      <c r="R689">
        <v>802</v>
      </c>
      <c r="S689">
        <v>763</v>
      </c>
      <c r="T689">
        <f t="shared" si="32"/>
        <v>9583</v>
      </c>
      <c r="U689">
        <v>1</v>
      </c>
    </row>
    <row r="690" spans="1:21" x14ac:dyDescent="0.3">
      <c r="A690" t="str">
        <f t="shared" si="30"/>
        <v>EssexReablement &amp; Rehabilitation at home  (pathway 1)3</v>
      </c>
      <c r="B690">
        <f>IF(C690="","",COUNTIF($C$2:C690,C690))</f>
        <v>3</v>
      </c>
      <c r="C690" t="str">
        <f t="shared" si="31"/>
        <v>EssexReablement at home  (pathway 1)</v>
      </c>
      <c r="D690" t="str">
        <f>VLOOKUP(G690,PathwayLookup!A:B,2,0)</f>
        <v>Reablement &amp; Rehabilitation at home  (pathway 1)</v>
      </c>
      <c r="E690" t="s">
        <v>149</v>
      </c>
      <c r="F690" t="s">
        <v>615</v>
      </c>
      <c r="G690" t="s">
        <v>718</v>
      </c>
      <c r="H690">
        <v>297</v>
      </c>
      <c r="I690">
        <v>260</v>
      </c>
      <c r="J690">
        <v>285</v>
      </c>
      <c r="K690">
        <v>271</v>
      </c>
      <c r="L690">
        <v>285</v>
      </c>
      <c r="M690">
        <v>271</v>
      </c>
      <c r="N690">
        <v>285</v>
      </c>
      <c r="O690">
        <v>285</v>
      </c>
      <c r="P690">
        <v>247</v>
      </c>
      <c r="Q690">
        <v>285</v>
      </c>
      <c r="R690">
        <v>271</v>
      </c>
      <c r="S690">
        <v>260</v>
      </c>
      <c r="T690">
        <f t="shared" si="32"/>
        <v>3302</v>
      </c>
      <c r="U690">
        <v>1</v>
      </c>
    </row>
    <row r="691" spans="1:21" x14ac:dyDescent="0.3">
      <c r="A691" t="str">
        <f t="shared" si="30"/>
        <v>EssexReablement &amp; Rehabilitation at home  (pathway 1)1</v>
      </c>
      <c r="B691">
        <f>IF(C691="","",COUNTIF($C$2:C691,C691))</f>
        <v>1</v>
      </c>
      <c r="C691" t="str">
        <f t="shared" si="31"/>
        <v>EssexRehabilitation at home (pathway 1)</v>
      </c>
      <c r="D691" t="str">
        <f>VLOOKUP(G691,PathwayLookup!A:B,2,0)</f>
        <v>Reablement &amp; Rehabilitation at home  (pathway 1)</v>
      </c>
      <c r="E691" t="s">
        <v>149</v>
      </c>
      <c r="F691" t="s">
        <v>498</v>
      </c>
      <c r="G691" t="s">
        <v>719</v>
      </c>
      <c r="H691">
        <v>149</v>
      </c>
      <c r="I691">
        <v>176</v>
      </c>
      <c r="J691">
        <v>155</v>
      </c>
      <c r="K691">
        <v>160</v>
      </c>
      <c r="L691">
        <v>160</v>
      </c>
      <c r="M691">
        <v>160</v>
      </c>
      <c r="N691">
        <v>180</v>
      </c>
      <c r="O691">
        <v>180</v>
      </c>
      <c r="P691">
        <v>180</v>
      </c>
      <c r="Q691">
        <v>180</v>
      </c>
      <c r="R691">
        <v>180</v>
      </c>
      <c r="S691">
        <v>180</v>
      </c>
      <c r="T691">
        <f t="shared" si="32"/>
        <v>2040</v>
      </c>
      <c r="U691">
        <v>1</v>
      </c>
    </row>
    <row r="692" spans="1:21" x14ac:dyDescent="0.3">
      <c r="A692" t="str">
        <f t="shared" si="30"/>
        <v>EssexReablement &amp; Rehabilitation at home  (pathway 1)2</v>
      </c>
      <c r="B692">
        <f>IF(C692="","",COUNTIF($C$2:C692,C692))</f>
        <v>2</v>
      </c>
      <c r="C692" t="str">
        <f t="shared" si="31"/>
        <v>EssexRehabilitation at home (pathway 1)</v>
      </c>
      <c r="D692" t="str">
        <f>VLOOKUP(G692,PathwayLookup!A:B,2,0)</f>
        <v>Reablement &amp; Rehabilitation at home  (pathway 1)</v>
      </c>
      <c r="E692" t="s">
        <v>149</v>
      </c>
      <c r="F692" t="s">
        <v>545</v>
      </c>
      <c r="G692" t="s">
        <v>719</v>
      </c>
      <c r="H692">
        <v>103</v>
      </c>
      <c r="I692">
        <v>103</v>
      </c>
      <c r="J692">
        <v>103</v>
      </c>
      <c r="K692">
        <v>103</v>
      </c>
      <c r="L692">
        <v>103</v>
      </c>
      <c r="M692">
        <v>103</v>
      </c>
      <c r="N692">
        <v>103</v>
      </c>
      <c r="O692">
        <v>103</v>
      </c>
      <c r="P692">
        <v>103</v>
      </c>
      <c r="Q692">
        <v>103</v>
      </c>
      <c r="R692">
        <v>103</v>
      </c>
      <c r="S692">
        <v>103</v>
      </c>
      <c r="T692">
        <f t="shared" si="32"/>
        <v>1236</v>
      </c>
      <c r="U692">
        <v>1</v>
      </c>
    </row>
    <row r="693" spans="1:21" x14ac:dyDescent="0.3">
      <c r="A693" t="str">
        <f t="shared" si="30"/>
        <v>EssexReablement &amp; Rehabilitation at home  (pathway 1)3</v>
      </c>
      <c r="B693">
        <f>IF(C693="","",COUNTIF($C$2:C693,C693))</f>
        <v>3</v>
      </c>
      <c r="C693" t="str">
        <f t="shared" si="31"/>
        <v>EssexRehabilitation at home (pathway 1)</v>
      </c>
      <c r="D693" t="str">
        <f>VLOOKUP(G693,PathwayLookup!A:B,2,0)</f>
        <v>Reablement &amp; Rehabilitation at home  (pathway 1)</v>
      </c>
      <c r="E693" t="s">
        <v>149</v>
      </c>
      <c r="F693" t="s">
        <v>615</v>
      </c>
      <c r="G693" t="s">
        <v>719</v>
      </c>
      <c r="H693">
        <v>188</v>
      </c>
      <c r="I693">
        <v>175</v>
      </c>
      <c r="J693">
        <v>156</v>
      </c>
      <c r="K693">
        <v>243</v>
      </c>
      <c r="L693">
        <v>215</v>
      </c>
      <c r="M693">
        <v>192</v>
      </c>
      <c r="N693">
        <v>207</v>
      </c>
      <c r="O693">
        <v>134</v>
      </c>
      <c r="P693">
        <v>190</v>
      </c>
      <c r="Q693">
        <v>217</v>
      </c>
      <c r="R693">
        <v>214</v>
      </c>
      <c r="S693">
        <v>277</v>
      </c>
      <c r="T693">
        <f t="shared" si="32"/>
        <v>2408</v>
      </c>
      <c r="U693">
        <v>1</v>
      </c>
    </row>
    <row r="694" spans="1:21" x14ac:dyDescent="0.3">
      <c r="A694" t="str">
        <f t="shared" si="30"/>
        <v/>
      </c>
      <c r="B694" t="str">
        <f>IF(C694="","",COUNTIF($C$2:C694,C694))</f>
        <v/>
      </c>
      <c r="C694" t="str">
        <f t="shared" si="31"/>
        <v/>
      </c>
      <c r="D694" t="str">
        <f>VLOOKUP(G694,PathwayLookup!A:B,2,0)</f>
        <v>Short term domiciliary care (pathway 1)</v>
      </c>
      <c r="E694" t="s">
        <v>149</v>
      </c>
      <c r="F694" t="s">
        <v>498</v>
      </c>
      <c r="G694" t="s">
        <v>684</v>
      </c>
      <c r="H694">
        <v>0</v>
      </c>
      <c r="I694">
        <v>0</v>
      </c>
      <c r="J694">
        <v>0</v>
      </c>
      <c r="K694">
        <v>0</v>
      </c>
      <c r="L694">
        <v>0</v>
      </c>
      <c r="M694">
        <v>0</v>
      </c>
      <c r="N694">
        <v>0</v>
      </c>
      <c r="O694">
        <v>0</v>
      </c>
      <c r="P694">
        <v>0</v>
      </c>
      <c r="Q694">
        <v>0</v>
      </c>
      <c r="R694">
        <v>0</v>
      </c>
      <c r="S694">
        <v>0</v>
      </c>
      <c r="T694">
        <f t="shared" si="32"/>
        <v>0</v>
      </c>
      <c r="U694">
        <v>1</v>
      </c>
    </row>
    <row r="695" spans="1:21" x14ac:dyDescent="0.3">
      <c r="A695" t="str">
        <f t="shared" si="30"/>
        <v/>
      </c>
      <c r="B695" t="str">
        <f>IF(C695="","",COUNTIF($C$2:C695,C695))</f>
        <v/>
      </c>
      <c r="C695" t="str">
        <f t="shared" si="31"/>
        <v/>
      </c>
      <c r="D695" t="str">
        <f>VLOOKUP(G695,PathwayLookup!A:B,2,0)</f>
        <v>Short term domiciliary care (pathway 1)</v>
      </c>
      <c r="E695" t="s">
        <v>149</v>
      </c>
      <c r="F695" t="s">
        <v>545</v>
      </c>
      <c r="G695" t="s">
        <v>684</v>
      </c>
      <c r="H695">
        <v>0</v>
      </c>
      <c r="I695">
        <v>0</v>
      </c>
      <c r="J695">
        <v>0</v>
      </c>
      <c r="K695">
        <v>0</v>
      </c>
      <c r="L695">
        <v>0</v>
      </c>
      <c r="M695">
        <v>0</v>
      </c>
      <c r="N695">
        <v>0</v>
      </c>
      <c r="O695">
        <v>0</v>
      </c>
      <c r="P695">
        <v>0</v>
      </c>
      <c r="Q695">
        <v>0</v>
      </c>
      <c r="R695">
        <v>0</v>
      </c>
      <c r="S695">
        <v>0</v>
      </c>
      <c r="T695">
        <f t="shared" si="32"/>
        <v>0</v>
      </c>
      <c r="U695">
        <v>1</v>
      </c>
    </row>
    <row r="696" spans="1:21" x14ac:dyDescent="0.3">
      <c r="A696" t="str">
        <f t="shared" si="30"/>
        <v/>
      </c>
      <c r="B696" t="str">
        <f>IF(C696="","",COUNTIF($C$2:C696,C696))</f>
        <v/>
      </c>
      <c r="C696" t="str">
        <f t="shared" si="31"/>
        <v/>
      </c>
      <c r="D696" t="str">
        <f>VLOOKUP(G696,PathwayLookup!A:B,2,0)</f>
        <v>Short term domiciliary care (pathway 1)</v>
      </c>
      <c r="E696" t="s">
        <v>149</v>
      </c>
      <c r="F696" t="s">
        <v>615</v>
      </c>
      <c r="G696" t="s">
        <v>684</v>
      </c>
      <c r="H696">
        <v>0</v>
      </c>
      <c r="I696">
        <v>0</v>
      </c>
      <c r="J696">
        <v>0</v>
      </c>
      <c r="K696">
        <v>0</v>
      </c>
      <c r="L696">
        <v>0</v>
      </c>
      <c r="M696">
        <v>0</v>
      </c>
      <c r="N696">
        <v>0</v>
      </c>
      <c r="O696">
        <v>0</v>
      </c>
      <c r="P696">
        <v>0</v>
      </c>
      <c r="Q696">
        <v>0</v>
      </c>
      <c r="R696">
        <v>0</v>
      </c>
      <c r="S696">
        <v>0</v>
      </c>
      <c r="T696">
        <f t="shared" si="32"/>
        <v>0</v>
      </c>
      <c r="U696">
        <v>1</v>
      </c>
    </row>
    <row r="697" spans="1:21" x14ac:dyDescent="0.3">
      <c r="A697" t="str">
        <f t="shared" si="30"/>
        <v>EssexReablement &amp; Rehabilitation in a bedded setting (pathway 2)1</v>
      </c>
      <c r="B697">
        <f>IF(C697="","",COUNTIF($C$2:C697,C697))</f>
        <v>1</v>
      </c>
      <c r="C697" t="str">
        <f t="shared" si="31"/>
        <v>EssexReablement in a bedded setting (pathway 2)</v>
      </c>
      <c r="D697" t="str">
        <f>VLOOKUP(G697,PathwayLookup!A:B,2,0)</f>
        <v>Reablement &amp; Rehabilitation in a bedded setting (pathway 2)</v>
      </c>
      <c r="E697" t="s">
        <v>149</v>
      </c>
      <c r="F697" t="s">
        <v>498</v>
      </c>
      <c r="G697" t="s">
        <v>722</v>
      </c>
      <c r="H697">
        <v>44</v>
      </c>
      <c r="I697">
        <v>49</v>
      </c>
      <c r="J697">
        <v>54</v>
      </c>
      <c r="K697">
        <v>52</v>
      </c>
      <c r="L697">
        <v>54</v>
      </c>
      <c r="M697">
        <v>52</v>
      </c>
      <c r="N697">
        <v>54</v>
      </c>
      <c r="O697">
        <v>54</v>
      </c>
      <c r="P697">
        <v>47</v>
      </c>
      <c r="Q697">
        <v>54</v>
      </c>
      <c r="R697">
        <v>52</v>
      </c>
      <c r="S697">
        <v>49</v>
      </c>
      <c r="T697">
        <f t="shared" si="32"/>
        <v>615</v>
      </c>
      <c r="U697">
        <v>1</v>
      </c>
    </row>
    <row r="698" spans="1:21" x14ac:dyDescent="0.3">
      <c r="A698" t="str">
        <f t="shared" si="30"/>
        <v>EssexReablement &amp; Rehabilitation in a bedded setting (pathway 2)2</v>
      </c>
      <c r="B698">
        <f>IF(C698="","",COUNTIF($C$2:C698,C698))</f>
        <v>2</v>
      </c>
      <c r="C698" t="str">
        <f t="shared" si="31"/>
        <v>EssexReablement in a bedded setting (pathway 2)</v>
      </c>
      <c r="D698" t="str">
        <f>VLOOKUP(G698,PathwayLookup!A:B,2,0)</f>
        <v>Reablement &amp; Rehabilitation in a bedded setting (pathway 2)</v>
      </c>
      <c r="E698" t="s">
        <v>149</v>
      </c>
      <c r="F698" t="s">
        <v>545</v>
      </c>
      <c r="G698" t="s">
        <v>722</v>
      </c>
      <c r="H698">
        <v>69</v>
      </c>
      <c r="I698">
        <v>77</v>
      </c>
      <c r="J698">
        <v>84</v>
      </c>
      <c r="K698">
        <v>81</v>
      </c>
      <c r="L698">
        <v>84</v>
      </c>
      <c r="M698">
        <v>81</v>
      </c>
      <c r="N698">
        <v>84</v>
      </c>
      <c r="O698">
        <v>84</v>
      </c>
      <c r="P698">
        <v>73</v>
      </c>
      <c r="Q698">
        <v>84</v>
      </c>
      <c r="R698">
        <v>81</v>
      </c>
      <c r="S698">
        <v>77</v>
      </c>
      <c r="T698">
        <f t="shared" si="32"/>
        <v>959</v>
      </c>
      <c r="U698">
        <v>1</v>
      </c>
    </row>
    <row r="699" spans="1:21" x14ac:dyDescent="0.3">
      <c r="A699" t="str">
        <f t="shared" si="30"/>
        <v>EssexReablement &amp; Rehabilitation in a bedded setting (pathway 2)3</v>
      </c>
      <c r="B699">
        <f>IF(C699="","",COUNTIF($C$2:C699,C699))</f>
        <v>3</v>
      </c>
      <c r="C699" t="str">
        <f t="shared" si="31"/>
        <v>EssexReablement in a bedded setting (pathway 2)</v>
      </c>
      <c r="D699" t="str">
        <f>VLOOKUP(G699,PathwayLookup!A:B,2,0)</f>
        <v>Reablement &amp; Rehabilitation in a bedded setting (pathway 2)</v>
      </c>
      <c r="E699" t="s">
        <v>149</v>
      </c>
      <c r="F699" t="s">
        <v>615</v>
      </c>
      <c r="G699" t="s">
        <v>722</v>
      </c>
      <c r="H699">
        <v>41</v>
      </c>
      <c r="I699">
        <v>43</v>
      </c>
      <c r="J699">
        <v>45</v>
      </c>
      <c r="K699">
        <v>44</v>
      </c>
      <c r="L699">
        <v>45</v>
      </c>
      <c r="M699">
        <v>44</v>
      </c>
      <c r="N699">
        <v>45</v>
      </c>
      <c r="O699">
        <v>45</v>
      </c>
      <c r="P699">
        <v>42</v>
      </c>
      <c r="Q699">
        <v>45</v>
      </c>
      <c r="R699">
        <v>44</v>
      </c>
      <c r="S699">
        <v>43</v>
      </c>
      <c r="T699">
        <f t="shared" si="32"/>
        <v>526</v>
      </c>
      <c r="U699">
        <v>1</v>
      </c>
    </row>
    <row r="700" spans="1:21" x14ac:dyDescent="0.3">
      <c r="A700" t="str">
        <f t="shared" si="30"/>
        <v>EssexReablement &amp; Rehabilitation in a bedded setting (pathway 2)1</v>
      </c>
      <c r="B700">
        <f>IF(C700="","",COUNTIF($C$2:C700,C700))</f>
        <v>1</v>
      </c>
      <c r="C700" t="str">
        <f t="shared" si="31"/>
        <v>EssexRehabilitation in a bedded setting (pathway 2)</v>
      </c>
      <c r="D700" t="str">
        <f>VLOOKUP(G700,PathwayLookup!A:B,2,0)</f>
        <v>Reablement &amp; Rehabilitation in a bedded setting (pathway 2)</v>
      </c>
      <c r="E700" t="s">
        <v>149</v>
      </c>
      <c r="F700" t="s">
        <v>498</v>
      </c>
      <c r="G700" t="s">
        <v>724</v>
      </c>
      <c r="H700">
        <v>150</v>
      </c>
      <c r="I700">
        <v>140</v>
      </c>
      <c r="J700">
        <v>161</v>
      </c>
      <c r="K700">
        <v>150</v>
      </c>
      <c r="L700">
        <v>150</v>
      </c>
      <c r="M700">
        <v>150</v>
      </c>
      <c r="N700">
        <v>165</v>
      </c>
      <c r="O700">
        <v>165</v>
      </c>
      <c r="P700">
        <v>165</v>
      </c>
      <c r="Q700">
        <v>165</v>
      </c>
      <c r="R700">
        <v>165</v>
      </c>
      <c r="S700">
        <v>165</v>
      </c>
      <c r="T700">
        <f t="shared" si="32"/>
        <v>1891</v>
      </c>
      <c r="U700">
        <v>1</v>
      </c>
    </row>
    <row r="701" spans="1:21" x14ac:dyDescent="0.3">
      <c r="A701" t="str">
        <f t="shared" si="30"/>
        <v>EssexReablement &amp; Rehabilitation in a bedded setting (pathway 2)2</v>
      </c>
      <c r="B701">
        <f>IF(C701="","",COUNTIF($C$2:C701,C701))</f>
        <v>2</v>
      </c>
      <c r="C701" t="str">
        <f t="shared" si="31"/>
        <v>EssexRehabilitation in a bedded setting (pathway 2)</v>
      </c>
      <c r="D701" t="str">
        <f>VLOOKUP(G701,PathwayLookup!A:B,2,0)</f>
        <v>Reablement &amp; Rehabilitation in a bedded setting (pathway 2)</v>
      </c>
      <c r="E701" t="s">
        <v>149</v>
      </c>
      <c r="F701" t="s">
        <v>545</v>
      </c>
      <c r="G701" t="s">
        <v>724</v>
      </c>
      <c r="H701">
        <v>174</v>
      </c>
      <c r="I701">
        <v>166</v>
      </c>
      <c r="J701">
        <v>159</v>
      </c>
      <c r="K701">
        <v>162</v>
      </c>
      <c r="L701">
        <v>159</v>
      </c>
      <c r="M701">
        <v>169</v>
      </c>
      <c r="N701">
        <v>170</v>
      </c>
      <c r="O701">
        <v>180</v>
      </c>
      <c r="P701">
        <v>198</v>
      </c>
      <c r="Q701">
        <v>194</v>
      </c>
      <c r="R701">
        <v>183</v>
      </c>
      <c r="S701">
        <v>194</v>
      </c>
      <c r="T701">
        <f t="shared" si="32"/>
        <v>2108</v>
      </c>
      <c r="U701">
        <v>1</v>
      </c>
    </row>
    <row r="702" spans="1:21" x14ac:dyDescent="0.3">
      <c r="A702" t="str">
        <f t="shared" si="30"/>
        <v>EssexReablement &amp; Rehabilitation in a bedded setting (pathway 2)3</v>
      </c>
      <c r="B702">
        <f>IF(C702="","",COUNTIF($C$2:C702,C702))</f>
        <v>3</v>
      </c>
      <c r="C702" t="str">
        <f t="shared" si="31"/>
        <v>EssexRehabilitation in a bedded setting (pathway 2)</v>
      </c>
      <c r="D702" t="str">
        <f>VLOOKUP(G702,PathwayLookup!A:B,2,0)</f>
        <v>Reablement &amp; Rehabilitation in a bedded setting (pathway 2)</v>
      </c>
      <c r="E702" t="s">
        <v>149</v>
      </c>
      <c r="F702" t="s">
        <v>615</v>
      </c>
      <c r="G702" t="s">
        <v>724</v>
      </c>
      <c r="H702">
        <v>52</v>
      </c>
      <c r="I702">
        <v>52</v>
      </c>
      <c r="J702">
        <v>52</v>
      </c>
      <c r="K702">
        <v>52</v>
      </c>
      <c r="L702">
        <v>52</v>
      </c>
      <c r="M702">
        <v>52</v>
      </c>
      <c r="N702">
        <v>52</v>
      </c>
      <c r="O702">
        <v>52</v>
      </c>
      <c r="P702">
        <v>52</v>
      </c>
      <c r="Q702">
        <v>52</v>
      </c>
      <c r="R702">
        <v>52</v>
      </c>
      <c r="S702">
        <v>52</v>
      </c>
      <c r="T702">
        <f t="shared" si="32"/>
        <v>624</v>
      </c>
      <c r="U702">
        <v>1</v>
      </c>
    </row>
    <row r="703" spans="1:21" x14ac:dyDescent="0.3">
      <c r="A703" t="str">
        <f t="shared" si="30"/>
        <v>EssexShort-term residential/nursing care for someone likely to require a longer-term care home placement (pathway 3)1</v>
      </c>
      <c r="B703">
        <f>IF(C703="","",COUNTIF($C$2:C703,C703))</f>
        <v>1</v>
      </c>
      <c r="C703" t="str">
        <f t="shared" si="31"/>
        <v>EssexShort-term residential/nursing care for someone likely to require a longer-term care home placement (pathway 3)</v>
      </c>
      <c r="D703" t="str">
        <f>VLOOKUP(G703,PathwayLookup!A:B,2,0)</f>
        <v>Short-term residential/nursing care for someone likely to require a longer-term care home placement (pathway 3)</v>
      </c>
      <c r="E703" t="s">
        <v>149</v>
      </c>
      <c r="F703" t="s">
        <v>498</v>
      </c>
      <c r="G703" t="s">
        <v>686</v>
      </c>
      <c r="H703">
        <v>18</v>
      </c>
      <c r="I703">
        <v>12</v>
      </c>
      <c r="J703">
        <v>20</v>
      </c>
      <c r="K703">
        <v>17</v>
      </c>
      <c r="L703">
        <v>17</v>
      </c>
      <c r="M703">
        <v>17</v>
      </c>
      <c r="N703">
        <v>20</v>
      </c>
      <c r="O703">
        <v>20</v>
      </c>
      <c r="P703">
        <v>20</v>
      </c>
      <c r="Q703">
        <v>20</v>
      </c>
      <c r="R703">
        <v>20</v>
      </c>
      <c r="S703">
        <v>20</v>
      </c>
      <c r="T703">
        <f t="shared" si="32"/>
        <v>221</v>
      </c>
      <c r="U703">
        <v>1</v>
      </c>
    </row>
    <row r="704" spans="1:21" x14ac:dyDescent="0.3">
      <c r="A704" t="str">
        <f t="shared" si="30"/>
        <v>EssexShort-term residential/nursing care for someone likely to require a longer-term care home placement (pathway 3)2</v>
      </c>
      <c r="B704">
        <f>IF(C704="","",COUNTIF($C$2:C704,C704))</f>
        <v>2</v>
      </c>
      <c r="C704" t="str">
        <f t="shared" si="31"/>
        <v>EssexShort-term residential/nursing care for someone likely to require a longer-term care home placement (pathway 3)</v>
      </c>
      <c r="D704" t="str">
        <f>VLOOKUP(G704,PathwayLookup!A:B,2,0)</f>
        <v>Short-term residential/nursing care for someone likely to require a longer-term care home placement (pathway 3)</v>
      </c>
      <c r="E704" t="s">
        <v>149</v>
      </c>
      <c r="F704" t="s">
        <v>545</v>
      </c>
      <c r="G704" t="s">
        <v>686</v>
      </c>
      <c r="H704">
        <v>76</v>
      </c>
      <c r="I704">
        <v>76</v>
      </c>
      <c r="J704">
        <v>76</v>
      </c>
      <c r="K704">
        <v>76</v>
      </c>
      <c r="L704">
        <v>76</v>
      </c>
      <c r="M704">
        <v>80</v>
      </c>
      <c r="N704">
        <v>80</v>
      </c>
      <c r="O704">
        <v>80</v>
      </c>
      <c r="P704">
        <v>83</v>
      </c>
      <c r="Q704">
        <v>83</v>
      </c>
      <c r="R704">
        <v>80</v>
      </c>
      <c r="S704">
        <v>76</v>
      </c>
      <c r="T704">
        <f t="shared" si="32"/>
        <v>942</v>
      </c>
      <c r="U704">
        <v>1</v>
      </c>
    </row>
    <row r="705" spans="1:21" x14ac:dyDescent="0.3">
      <c r="A705" t="str">
        <f t="shared" si="30"/>
        <v>EssexShort-term residential/nursing care for someone likely to require a longer-term care home placement (pathway 3)3</v>
      </c>
      <c r="B705">
        <f>IF(C705="","",COUNTIF($C$2:C705,C705))</f>
        <v>3</v>
      </c>
      <c r="C705" t="str">
        <f t="shared" si="31"/>
        <v>EssexShort-term residential/nursing care for someone likely to require a longer-term care home placement (pathway 3)</v>
      </c>
      <c r="D705" t="str">
        <f>VLOOKUP(G705,PathwayLookup!A:B,2,0)</f>
        <v>Short-term residential/nursing care for someone likely to require a longer-term care home placement (pathway 3)</v>
      </c>
      <c r="E705" t="s">
        <v>149</v>
      </c>
      <c r="F705" t="s">
        <v>615</v>
      </c>
      <c r="G705" t="s">
        <v>686</v>
      </c>
      <c r="H705">
        <v>12</v>
      </c>
      <c r="I705">
        <v>13</v>
      </c>
      <c r="J705">
        <v>14</v>
      </c>
      <c r="K705">
        <v>13</v>
      </c>
      <c r="L705">
        <v>14</v>
      </c>
      <c r="M705">
        <v>13</v>
      </c>
      <c r="N705">
        <v>14</v>
      </c>
      <c r="O705">
        <v>14</v>
      </c>
      <c r="P705">
        <v>13</v>
      </c>
      <c r="Q705">
        <v>14</v>
      </c>
      <c r="R705">
        <v>13</v>
      </c>
      <c r="S705">
        <v>13</v>
      </c>
      <c r="T705">
        <f t="shared" si="32"/>
        <v>160</v>
      </c>
      <c r="U705">
        <v>1</v>
      </c>
    </row>
    <row r="706" spans="1:21" x14ac:dyDescent="0.3">
      <c r="A706" t="str">
        <f t="shared" ref="A706:A769" si="33">IF(B706="","",E706&amp;D706&amp;B706)</f>
        <v>GatesheadSocial support (including VCS) (pathway 0)1</v>
      </c>
      <c r="B706">
        <f>IF(C706="","",COUNTIF($C$2:C706,C706))</f>
        <v>1</v>
      </c>
      <c r="C706" t="str">
        <f t="shared" ref="C706:C769" si="34">IF(T706=0,"",E706&amp;G706)</f>
        <v>GatesheadSocial support (including VCS) (pathway 0)</v>
      </c>
      <c r="D706" t="str">
        <f>VLOOKUP(G706,PathwayLookup!A:B,2,0)</f>
        <v>Social support (including VCS) (pathway 0)</v>
      </c>
      <c r="E706" t="s">
        <v>151</v>
      </c>
      <c r="F706" t="s">
        <v>503</v>
      </c>
      <c r="G706" t="s">
        <v>682</v>
      </c>
      <c r="H706">
        <v>297</v>
      </c>
      <c r="I706">
        <v>307</v>
      </c>
      <c r="J706">
        <v>297</v>
      </c>
      <c r="K706">
        <v>306</v>
      </c>
      <c r="L706">
        <v>306</v>
      </c>
      <c r="M706">
        <v>297</v>
      </c>
      <c r="N706">
        <v>306</v>
      </c>
      <c r="O706">
        <v>297</v>
      </c>
      <c r="P706">
        <v>306</v>
      </c>
      <c r="Q706">
        <v>306</v>
      </c>
      <c r="R706">
        <v>287</v>
      </c>
      <c r="S706">
        <v>306</v>
      </c>
      <c r="T706">
        <f t="shared" ref="T706:T769" si="35">SUM(H706:S706)</f>
        <v>3618</v>
      </c>
      <c r="U706">
        <v>1</v>
      </c>
    </row>
    <row r="707" spans="1:21" x14ac:dyDescent="0.3">
      <c r="A707" t="str">
        <f t="shared" si="33"/>
        <v>GatesheadReablement &amp; Rehabilitation at home  (pathway 1)1</v>
      </c>
      <c r="B707">
        <f>IF(C707="","",COUNTIF($C$2:C707,C707))</f>
        <v>1</v>
      </c>
      <c r="C707" t="str">
        <f t="shared" si="34"/>
        <v>GatesheadReablement at home  (pathway 1)</v>
      </c>
      <c r="D707" t="str">
        <f>VLOOKUP(G707,PathwayLookup!A:B,2,0)</f>
        <v>Reablement &amp; Rehabilitation at home  (pathway 1)</v>
      </c>
      <c r="E707" t="s">
        <v>151</v>
      </c>
      <c r="F707" t="s">
        <v>503</v>
      </c>
      <c r="G707" t="s">
        <v>718</v>
      </c>
      <c r="H707">
        <v>71</v>
      </c>
      <c r="I707">
        <v>71</v>
      </c>
      <c r="J707">
        <v>72</v>
      </c>
      <c r="K707">
        <v>71</v>
      </c>
      <c r="L707">
        <v>72</v>
      </c>
      <c r="M707">
        <v>72</v>
      </c>
      <c r="N707">
        <v>82</v>
      </c>
      <c r="O707">
        <v>83</v>
      </c>
      <c r="P707">
        <v>88</v>
      </c>
      <c r="Q707">
        <v>88</v>
      </c>
      <c r="R707">
        <v>88</v>
      </c>
      <c r="S707">
        <v>88</v>
      </c>
      <c r="T707">
        <f t="shared" si="35"/>
        <v>946</v>
      </c>
      <c r="U707">
        <v>1</v>
      </c>
    </row>
    <row r="708" spans="1:21" x14ac:dyDescent="0.3">
      <c r="A708" t="str">
        <f t="shared" si="33"/>
        <v>GatesheadReablement &amp; Rehabilitation at home  (pathway 1)1</v>
      </c>
      <c r="B708">
        <f>IF(C708="","",COUNTIF($C$2:C708,C708))</f>
        <v>1</v>
      </c>
      <c r="C708" t="str">
        <f t="shared" si="34"/>
        <v>GatesheadRehabilitation at home (pathway 1)</v>
      </c>
      <c r="D708" t="str">
        <f>VLOOKUP(G708,PathwayLookup!A:B,2,0)</f>
        <v>Reablement &amp; Rehabilitation at home  (pathway 1)</v>
      </c>
      <c r="E708" t="s">
        <v>151</v>
      </c>
      <c r="F708" t="s">
        <v>503</v>
      </c>
      <c r="G708" t="s">
        <v>719</v>
      </c>
      <c r="H708">
        <v>78</v>
      </c>
      <c r="I708">
        <v>66</v>
      </c>
      <c r="J708">
        <v>73</v>
      </c>
      <c r="K708">
        <v>80</v>
      </c>
      <c r="L708">
        <v>69</v>
      </c>
      <c r="M708">
        <v>79</v>
      </c>
      <c r="N708">
        <v>75</v>
      </c>
      <c r="O708">
        <v>75</v>
      </c>
      <c r="P708">
        <v>71</v>
      </c>
      <c r="Q708">
        <v>90</v>
      </c>
      <c r="R708">
        <v>100</v>
      </c>
      <c r="S708">
        <v>68</v>
      </c>
      <c r="T708">
        <f t="shared" si="35"/>
        <v>924</v>
      </c>
      <c r="U708">
        <v>1</v>
      </c>
    </row>
    <row r="709" spans="1:21" x14ac:dyDescent="0.3">
      <c r="A709" t="str">
        <f t="shared" si="33"/>
        <v>GatesheadShort term domiciliary care (pathway 1)1</v>
      </c>
      <c r="B709">
        <f>IF(C709="","",COUNTIF($C$2:C709,C709))</f>
        <v>1</v>
      </c>
      <c r="C709" t="str">
        <f t="shared" si="34"/>
        <v>GatesheadShort term domiciliary care (pathway 1)</v>
      </c>
      <c r="D709" t="str">
        <f>VLOOKUP(G709,PathwayLookup!A:B,2,0)</f>
        <v>Short term domiciliary care (pathway 1)</v>
      </c>
      <c r="E709" t="s">
        <v>151</v>
      </c>
      <c r="F709" t="s">
        <v>503</v>
      </c>
      <c r="G709" t="s">
        <v>684</v>
      </c>
      <c r="H709">
        <v>64</v>
      </c>
      <c r="I709">
        <v>63</v>
      </c>
      <c r="J709">
        <v>62</v>
      </c>
      <c r="K709">
        <v>63</v>
      </c>
      <c r="L709">
        <v>64</v>
      </c>
      <c r="M709">
        <v>63</v>
      </c>
      <c r="N709">
        <v>66</v>
      </c>
      <c r="O709">
        <v>64</v>
      </c>
      <c r="P709">
        <v>66</v>
      </c>
      <c r="Q709">
        <v>66</v>
      </c>
      <c r="R709">
        <v>61</v>
      </c>
      <c r="S709">
        <v>66</v>
      </c>
      <c r="T709">
        <f t="shared" si="35"/>
        <v>768</v>
      </c>
      <c r="U709">
        <v>1</v>
      </c>
    </row>
    <row r="710" spans="1:21" x14ac:dyDescent="0.3">
      <c r="A710" t="str">
        <f t="shared" si="33"/>
        <v>GatesheadReablement &amp; Rehabilitation in a bedded setting (pathway 2)1</v>
      </c>
      <c r="B710">
        <f>IF(C710="","",COUNTIF($C$2:C710,C710))</f>
        <v>1</v>
      </c>
      <c r="C710" t="str">
        <f t="shared" si="34"/>
        <v>GatesheadReablement in a bedded setting (pathway 2)</v>
      </c>
      <c r="D710" t="str">
        <f>VLOOKUP(G710,PathwayLookup!A:B,2,0)</f>
        <v>Reablement &amp; Rehabilitation in a bedded setting (pathway 2)</v>
      </c>
      <c r="E710" t="s">
        <v>151</v>
      </c>
      <c r="F710" t="s">
        <v>503</v>
      </c>
      <c r="G710" t="s">
        <v>722</v>
      </c>
      <c r="H710">
        <v>14</v>
      </c>
      <c r="I710">
        <v>14</v>
      </c>
      <c r="J710">
        <v>14</v>
      </c>
      <c r="K710">
        <v>14</v>
      </c>
      <c r="L710">
        <v>14</v>
      </c>
      <c r="M710">
        <v>14</v>
      </c>
      <c r="N710">
        <v>20</v>
      </c>
      <c r="O710">
        <v>20</v>
      </c>
      <c r="P710">
        <v>20</v>
      </c>
      <c r="Q710">
        <v>20</v>
      </c>
      <c r="R710">
        <v>20</v>
      </c>
      <c r="S710">
        <v>20</v>
      </c>
      <c r="T710">
        <f t="shared" si="35"/>
        <v>204</v>
      </c>
      <c r="U710">
        <v>1</v>
      </c>
    </row>
    <row r="711" spans="1:21" x14ac:dyDescent="0.3">
      <c r="A711" t="str">
        <f t="shared" si="33"/>
        <v>GatesheadReablement &amp; Rehabilitation in a bedded setting (pathway 2)1</v>
      </c>
      <c r="B711">
        <f>IF(C711="","",COUNTIF($C$2:C711,C711))</f>
        <v>1</v>
      </c>
      <c r="C711" t="str">
        <f t="shared" si="34"/>
        <v>GatesheadRehabilitation in a bedded setting (pathway 2)</v>
      </c>
      <c r="D711" t="str">
        <f>VLOOKUP(G711,PathwayLookup!A:B,2,0)</f>
        <v>Reablement &amp; Rehabilitation in a bedded setting (pathway 2)</v>
      </c>
      <c r="E711" t="s">
        <v>151</v>
      </c>
      <c r="F711" t="s">
        <v>503</v>
      </c>
      <c r="G711" t="s">
        <v>724</v>
      </c>
      <c r="H711">
        <v>19</v>
      </c>
      <c r="I711">
        <v>19</v>
      </c>
      <c r="J711">
        <v>19</v>
      </c>
      <c r="K711">
        <v>19</v>
      </c>
      <c r="L711">
        <v>19</v>
      </c>
      <c r="M711">
        <v>19</v>
      </c>
      <c r="N711">
        <v>25</v>
      </c>
      <c r="O711">
        <v>25</v>
      </c>
      <c r="P711">
        <v>25</v>
      </c>
      <c r="Q711">
        <v>25</v>
      </c>
      <c r="R711">
        <v>25</v>
      </c>
      <c r="S711">
        <v>25</v>
      </c>
      <c r="T711">
        <f t="shared" si="35"/>
        <v>264</v>
      </c>
      <c r="U711">
        <v>1</v>
      </c>
    </row>
    <row r="712" spans="1:21" x14ac:dyDescent="0.3">
      <c r="A712" t="str">
        <f t="shared" si="33"/>
        <v>GatesheadShort-term residential/nursing care for someone likely to require a longer-term care home placement (pathway 3)1</v>
      </c>
      <c r="B712">
        <f>IF(C712="","",COUNTIF($C$2:C712,C712))</f>
        <v>1</v>
      </c>
      <c r="C712" t="str">
        <f t="shared" si="34"/>
        <v>GatesheadShort-term residential/nursing care for someone likely to require a longer-term care home placement (pathway 3)</v>
      </c>
      <c r="D712" t="str">
        <f>VLOOKUP(G712,PathwayLookup!A:B,2,0)</f>
        <v>Short-term residential/nursing care for someone likely to require a longer-term care home placement (pathway 3)</v>
      </c>
      <c r="E712" t="s">
        <v>151</v>
      </c>
      <c r="F712" t="s">
        <v>503</v>
      </c>
      <c r="G712" t="s">
        <v>686</v>
      </c>
      <c r="H712">
        <v>17</v>
      </c>
      <c r="I712">
        <v>18</v>
      </c>
      <c r="J712">
        <v>17</v>
      </c>
      <c r="K712">
        <v>18</v>
      </c>
      <c r="L712">
        <v>18</v>
      </c>
      <c r="M712">
        <v>17</v>
      </c>
      <c r="N712">
        <v>18</v>
      </c>
      <c r="O712">
        <v>17</v>
      </c>
      <c r="P712">
        <v>18</v>
      </c>
      <c r="Q712">
        <v>18</v>
      </c>
      <c r="R712">
        <v>17</v>
      </c>
      <c r="S712">
        <v>18</v>
      </c>
      <c r="T712">
        <f t="shared" si="35"/>
        <v>211</v>
      </c>
      <c r="U712">
        <v>1</v>
      </c>
    </row>
    <row r="713" spans="1:21" x14ac:dyDescent="0.3">
      <c r="A713" t="str">
        <f t="shared" si="33"/>
        <v>GloucestershireSocial support (including VCS) (pathway 0)1</v>
      </c>
      <c r="B713">
        <f>IF(C713="","",COUNTIF($C$2:C713,C713))</f>
        <v>1</v>
      </c>
      <c r="C713" t="str">
        <f t="shared" si="34"/>
        <v>GloucestershireSocial support (including VCS) (pathway 0)</v>
      </c>
      <c r="D713" t="str">
        <f>VLOOKUP(G713,PathwayLookup!A:B,2,0)</f>
        <v>Social support (including VCS) (pathway 0)</v>
      </c>
      <c r="E713" t="s">
        <v>153</v>
      </c>
      <c r="F713" t="s">
        <v>505</v>
      </c>
      <c r="G713" t="s">
        <v>682</v>
      </c>
      <c r="H713">
        <v>7</v>
      </c>
      <c r="I713">
        <v>7</v>
      </c>
      <c r="J713">
        <v>7</v>
      </c>
      <c r="K713">
        <v>7</v>
      </c>
      <c r="L713">
        <v>7</v>
      </c>
      <c r="M713">
        <v>7</v>
      </c>
      <c r="N713">
        <v>7</v>
      </c>
      <c r="O713">
        <v>7</v>
      </c>
      <c r="P713">
        <v>7</v>
      </c>
      <c r="Q713">
        <v>7</v>
      </c>
      <c r="R713">
        <v>7</v>
      </c>
      <c r="S713">
        <v>7</v>
      </c>
      <c r="T713">
        <f t="shared" si="35"/>
        <v>84</v>
      </c>
      <c r="U713">
        <v>1</v>
      </c>
    </row>
    <row r="714" spans="1:21" x14ac:dyDescent="0.3">
      <c r="A714" t="str">
        <f t="shared" si="33"/>
        <v>GloucestershireSocial support (including VCS) (pathway 0)2</v>
      </c>
      <c r="B714">
        <f>IF(C714="","",COUNTIF($C$2:C714,C714))</f>
        <v>2</v>
      </c>
      <c r="C714" t="str">
        <f t="shared" si="34"/>
        <v>GloucestershireSocial support (including VCS) (pathway 0)</v>
      </c>
      <c r="D714" t="str">
        <f>VLOOKUP(G714,PathwayLookup!A:B,2,0)</f>
        <v>Social support (including VCS) (pathway 0)</v>
      </c>
      <c r="E714" t="s">
        <v>153</v>
      </c>
      <c r="F714" t="s">
        <v>506</v>
      </c>
      <c r="G714" t="s">
        <v>682</v>
      </c>
      <c r="H714">
        <v>128</v>
      </c>
      <c r="I714">
        <v>128</v>
      </c>
      <c r="J714">
        <v>128</v>
      </c>
      <c r="K714">
        <v>128</v>
      </c>
      <c r="L714">
        <v>128</v>
      </c>
      <c r="M714">
        <v>128</v>
      </c>
      <c r="N714">
        <v>128</v>
      </c>
      <c r="O714">
        <v>128</v>
      </c>
      <c r="P714">
        <v>128</v>
      </c>
      <c r="Q714">
        <v>128</v>
      </c>
      <c r="R714">
        <v>128</v>
      </c>
      <c r="S714">
        <v>128</v>
      </c>
      <c r="T714">
        <f t="shared" si="35"/>
        <v>1536</v>
      </c>
      <c r="U714">
        <v>1</v>
      </c>
    </row>
    <row r="715" spans="1:21" x14ac:dyDescent="0.3">
      <c r="A715" t="str">
        <f t="shared" si="33"/>
        <v>GloucestershireReablement &amp; Rehabilitation at home  (pathway 1)1</v>
      </c>
      <c r="B715">
        <f>IF(C715="","",COUNTIF($C$2:C715,C715))</f>
        <v>1</v>
      </c>
      <c r="C715" t="str">
        <f t="shared" si="34"/>
        <v>GloucestershireReablement at home  (pathway 1)</v>
      </c>
      <c r="D715" t="str">
        <f>VLOOKUP(G715,PathwayLookup!A:B,2,0)</f>
        <v>Reablement &amp; Rehabilitation at home  (pathway 1)</v>
      </c>
      <c r="E715" t="s">
        <v>153</v>
      </c>
      <c r="F715" t="s">
        <v>505</v>
      </c>
      <c r="G715" t="s">
        <v>718</v>
      </c>
      <c r="H715">
        <v>13</v>
      </c>
      <c r="I715">
        <v>12</v>
      </c>
      <c r="J715">
        <v>16</v>
      </c>
      <c r="K715">
        <v>19</v>
      </c>
      <c r="L715">
        <v>20</v>
      </c>
      <c r="M715">
        <v>22</v>
      </c>
      <c r="N715">
        <v>24</v>
      </c>
      <c r="O715">
        <v>26</v>
      </c>
      <c r="P715">
        <v>28</v>
      </c>
      <c r="Q715">
        <v>29</v>
      </c>
      <c r="R715">
        <v>31</v>
      </c>
      <c r="S715">
        <v>33</v>
      </c>
      <c r="T715">
        <f t="shared" si="35"/>
        <v>273</v>
      </c>
      <c r="U715">
        <v>1</v>
      </c>
    </row>
    <row r="716" spans="1:21" x14ac:dyDescent="0.3">
      <c r="A716" t="str">
        <f t="shared" si="33"/>
        <v>GloucestershireReablement &amp; Rehabilitation at home  (pathway 1)2</v>
      </c>
      <c r="B716">
        <f>IF(C716="","",COUNTIF($C$2:C716,C716))</f>
        <v>2</v>
      </c>
      <c r="C716" t="str">
        <f t="shared" si="34"/>
        <v>GloucestershireReablement at home  (pathway 1)</v>
      </c>
      <c r="D716" t="str">
        <f>VLOOKUP(G716,PathwayLookup!A:B,2,0)</f>
        <v>Reablement &amp; Rehabilitation at home  (pathway 1)</v>
      </c>
      <c r="E716" t="s">
        <v>153</v>
      </c>
      <c r="F716" t="s">
        <v>506</v>
      </c>
      <c r="G716" t="s">
        <v>718</v>
      </c>
      <c r="H716">
        <v>44</v>
      </c>
      <c r="I716">
        <v>45</v>
      </c>
      <c r="J716">
        <v>57</v>
      </c>
      <c r="K716">
        <v>66</v>
      </c>
      <c r="L716">
        <v>72</v>
      </c>
      <c r="M716">
        <v>78</v>
      </c>
      <c r="N716">
        <v>85</v>
      </c>
      <c r="O716">
        <v>91</v>
      </c>
      <c r="P716">
        <v>98</v>
      </c>
      <c r="Q716">
        <v>103</v>
      </c>
      <c r="R716">
        <v>110</v>
      </c>
      <c r="S716">
        <v>116</v>
      </c>
      <c r="T716">
        <f t="shared" si="35"/>
        <v>965</v>
      </c>
      <c r="U716">
        <v>1</v>
      </c>
    </row>
    <row r="717" spans="1:21" x14ac:dyDescent="0.3">
      <c r="A717" t="str">
        <f t="shared" si="33"/>
        <v/>
      </c>
      <c r="B717" t="str">
        <f>IF(C717="","",COUNTIF($C$2:C717,C717))</f>
        <v/>
      </c>
      <c r="C717" t="str">
        <f t="shared" si="34"/>
        <v/>
      </c>
      <c r="D717" t="str">
        <f>VLOOKUP(G717,PathwayLookup!A:B,2,0)</f>
        <v>Reablement &amp; Rehabilitation at home  (pathway 1)</v>
      </c>
      <c r="E717" t="s">
        <v>153</v>
      </c>
      <c r="F717" t="s">
        <v>505</v>
      </c>
      <c r="G717" t="s">
        <v>719</v>
      </c>
      <c r="H717">
        <v>0</v>
      </c>
      <c r="I717">
        <v>0</v>
      </c>
      <c r="J717">
        <v>0</v>
      </c>
      <c r="K717">
        <v>0</v>
      </c>
      <c r="L717">
        <v>0</v>
      </c>
      <c r="M717">
        <v>0</v>
      </c>
      <c r="N717">
        <v>0</v>
      </c>
      <c r="O717">
        <v>0</v>
      </c>
      <c r="P717">
        <v>0</v>
      </c>
      <c r="Q717">
        <v>0</v>
      </c>
      <c r="R717">
        <v>0</v>
      </c>
      <c r="S717">
        <v>0</v>
      </c>
      <c r="T717">
        <f t="shared" si="35"/>
        <v>0</v>
      </c>
      <c r="U717">
        <v>1</v>
      </c>
    </row>
    <row r="718" spans="1:21" x14ac:dyDescent="0.3">
      <c r="A718" t="str">
        <f t="shared" si="33"/>
        <v/>
      </c>
      <c r="B718" t="str">
        <f>IF(C718="","",COUNTIF($C$2:C718,C718))</f>
        <v/>
      </c>
      <c r="C718" t="str">
        <f t="shared" si="34"/>
        <v/>
      </c>
      <c r="D718" t="str">
        <f>VLOOKUP(G718,PathwayLookup!A:B,2,0)</f>
        <v>Reablement &amp; Rehabilitation at home  (pathway 1)</v>
      </c>
      <c r="E718" t="s">
        <v>153</v>
      </c>
      <c r="F718" t="s">
        <v>506</v>
      </c>
      <c r="G718" t="s">
        <v>719</v>
      </c>
      <c r="H718">
        <v>0</v>
      </c>
      <c r="I718">
        <v>0</v>
      </c>
      <c r="J718">
        <v>0</v>
      </c>
      <c r="K718">
        <v>0</v>
      </c>
      <c r="L718">
        <v>0</v>
      </c>
      <c r="M718">
        <v>0</v>
      </c>
      <c r="N718">
        <v>0</v>
      </c>
      <c r="O718">
        <v>0</v>
      </c>
      <c r="P718">
        <v>0</v>
      </c>
      <c r="Q718">
        <v>0</v>
      </c>
      <c r="R718">
        <v>0</v>
      </c>
      <c r="S718">
        <v>0</v>
      </c>
      <c r="T718">
        <f t="shared" si="35"/>
        <v>0</v>
      </c>
      <c r="U718">
        <v>1</v>
      </c>
    </row>
    <row r="719" spans="1:21" x14ac:dyDescent="0.3">
      <c r="A719" t="str">
        <f t="shared" si="33"/>
        <v>GloucestershireShort term domiciliary care (pathway 1)1</v>
      </c>
      <c r="B719">
        <f>IF(C719="","",COUNTIF($C$2:C719,C719))</f>
        <v>1</v>
      </c>
      <c r="C719" t="str">
        <f t="shared" si="34"/>
        <v>GloucestershireShort term domiciliary care (pathway 1)</v>
      </c>
      <c r="D719" t="str">
        <f>VLOOKUP(G719,PathwayLookup!A:B,2,0)</f>
        <v>Short term domiciliary care (pathway 1)</v>
      </c>
      <c r="E719" t="s">
        <v>153</v>
      </c>
      <c r="F719" t="s">
        <v>505</v>
      </c>
      <c r="G719" t="s">
        <v>684</v>
      </c>
      <c r="H719">
        <v>54</v>
      </c>
      <c r="I719">
        <v>49</v>
      </c>
      <c r="J719">
        <v>44</v>
      </c>
      <c r="K719">
        <v>43</v>
      </c>
      <c r="L719">
        <v>44</v>
      </c>
      <c r="M719">
        <v>44</v>
      </c>
      <c r="N719">
        <v>45</v>
      </c>
      <c r="O719">
        <v>45</v>
      </c>
      <c r="P719">
        <v>46</v>
      </c>
      <c r="Q719">
        <v>46</v>
      </c>
      <c r="R719">
        <v>46</v>
      </c>
      <c r="S719">
        <v>47</v>
      </c>
      <c r="T719">
        <f t="shared" si="35"/>
        <v>553</v>
      </c>
      <c r="U719">
        <v>1</v>
      </c>
    </row>
    <row r="720" spans="1:21" x14ac:dyDescent="0.3">
      <c r="A720" t="str">
        <f t="shared" si="33"/>
        <v>GloucestershireShort term domiciliary care (pathway 1)2</v>
      </c>
      <c r="B720">
        <f>IF(C720="","",COUNTIF($C$2:C720,C720))</f>
        <v>2</v>
      </c>
      <c r="C720" t="str">
        <f t="shared" si="34"/>
        <v>GloucestershireShort term domiciliary care (pathway 1)</v>
      </c>
      <c r="D720" t="str">
        <f>VLOOKUP(G720,PathwayLookup!A:B,2,0)</f>
        <v>Short term domiciliary care (pathway 1)</v>
      </c>
      <c r="E720" t="s">
        <v>153</v>
      </c>
      <c r="F720" t="s">
        <v>506</v>
      </c>
      <c r="G720" t="s">
        <v>684</v>
      </c>
      <c r="H720">
        <v>190</v>
      </c>
      <c r="I720">
        <v>175</v>
      </c>
      <c r="J720">
        <v>157</v>
      </c>
      <c r="K720">
        <v>151</v>
      </c>
      <c r="L720">
        <v>155</v>
      </c>
      <c r="M720">
        <v>158</v>
      </c>
      <c r="N720">
        <v>158</v>
      </c>
      <c r="O720">
        <v>160</v>
      </c>
      <c r="P720">
        <v>160</v>
      </c>
      <c r="Q720">
        <v>162</v>
      </c>
      <c r="R720">
        <v>164</v>
      </c>
      <c r="S720">
        <v>165</v>
      </c>
      <c r="T720">
        <f t="shared" si="35"/>
        <v>1955</v>
      </c>
      <c r="U720">
        <v>1</v>
      </c>
    </row>
    <row r="721" spans="1:21" x14ac:dyDescent="0.3">
      <c r="A721" t="str">
        <f t="shared" si="33"/>
        <v>GloucestershireReablement &amp; Rehabilitation in a bedded setting (pathway 2)1</v>
      </c>
      <c r="B721">
        <f>IF(C721="","",COUNTIF($C$2:C721,C721))</f>
        <v>1</v>
      </c>
      <c r="C721" t="str">
        <f t="shared" si="34"/>
        <v>GloucestershireReablement in a bedded setting (pathway 2)</v>
      </c>
      <c r="D721" t="str">
        <f>VLOOKUP(G721,PathwayLookup!A:B,2,0)</f>
        <v>Reablement &amp; Rehabilitation in a bedded setting (pathway 2)</v>
      </c>
      <c r="E721" t="s">
        <v>153</v>
      </c>
      <c r="F721" t="s">
        <v>505</v>
      </c>
      <c r="G721" t="s">
        <v>722</v>
      </c>
      <c r="H721">
        <v>0</v>
      </c>
      <c r="I721">
        <v>1</v>
      </c>
      <c r="J721">
        <v>0</v>
      </c>
      <c r="K721">
        <v>0</v>
      </c>
      <c r="L721">
        <v>0</v>
      </c>
      <c r="M721">
        <v>0</v>
      </c>
      <c r="N721">
        <v>0</v>
      </c>
      <c r="O721">
        <v>0</v>
      </c>
      <c r="P721">
        <v>0</v>
      </c>
      <c r="Q721">
        <v>0</v>
      </c>
      <c r="R721">
        <v>0</v>
      </c>
      <c r="S721">
        <v>0</v>
      </c>
      <c r="T721">
        <f t="shared" si="35"/>
        <v>1</v>
      </c>
      <c r="U721">
        <v>1</v>
      </c>
    </row>
    <row r="722" spans="1:21" x14ac:dyDescent="0.3">
      <c r="A722" t="str">
        <f t="shared" si="33"/>
        <v>GloucestershireReablement &amp; Rehabilitation in a bedded setting (pathway 2)2</v>
      </c>
      <c r="B722">
        <f>IF(C722="","",COUNTIF($C$2:C722,C722))</f>
        <v>2</v>
      </c>
      <c r="C722" t="str">
        <f t="shared" si="34"/>
        <v>GloucestershireReablement in a bedded setting (pathway 2)</v>
      </c>
      <c r="D722" t="str">
        <f>VLOOKUP(G722,PathwayLookup!A:B,2,0)</f>
        <v>Reablement &amp; Rehabilitation in a bedded setting (pathway 2)</v>
      </c>
      <c r="E722" t="s">
        <v>153</v>
      </c>
      <c r="F722" t="s">
        <v>506</v>
      </c>
      <c r="G722" t="s">
        <v>722</v>
      </c>
      <c r="H722">
        <v>24</v>
      </c>
      <c r="I722">
        <v>29</v>
      </c>
      <c r="J722">
        <v>20</v>
      </c>
      <c r="K722">
        <v>18</v>
      </c>
      <c r="L722">
        <v>17</v>
      </c>
      <c r="M722">
        <v>15</v>
      </c>
      <c r="N722">
        <v>10</v>
      </c>
      <c r="O722">
        <v>8</v>
      </c>
      <c r="P722">
        <v>8</v>
      </c>
      <c r="Q722">
        <v>8</v>
      </c>
      <c r="R722">
        <v>8</v>
      </c>
      <c r="S722">
        <v>8</v>
      </c>
      <c r="T722">
        <f t="shared" si="35"/>
        <v>173</v>
      </c>
      <c r="U722">
        <v>1</v>
      </c>
    </row>
    <row r="723" spans="1:21" x14ac:dyDescent="0.3">
      <c r="A723" t="str">
        <f t="shared" si="33"/>
        <v/>
      </c>
      <c r="B723" t="str">
        <f>IF(C723="","",COUNTIF($C$2:C723,C723))</f>
        <v/>
      </c>
      <c r="C723" t="str">
        <f t="shared" si="34"/>
        <v/>
      </c>
      <c r="D723" t="str">
        <f>VLOOKUP(G723,PathwayLookup!A:B,2,0)</f>
        <v>Reablement &amp; Rehabilitation in a bedded setting (pathway 2)</v>
      </c>
      <c r="E723" t="s">
        <v>153</v>
      </c>
      <c r="F723" t="s">
        <v>505</v>
      </c>
      <c r="G723" t="s">
        <v>724</v>
      </c>
      <c r="H723">
        <v>0</v>
      </c>
      <c r="I723">
        <v>0</v>
      </c>
      <c r="J723">
        <v>0</v>
      </c>
      <c r="K723">
        <v>0</v>
      </c>
      <c r="L723">
        <v>0</v>
      </c>
      <c r="M723">
        <v>0</v>
      </c>
      <c r="N723">
        <v>0</v>
      </c>
      <c r="O723">
        <v>0</v>
      </c>
      <c r="P723">
        <v>0</v>
      </c>
      <c r="Q723">
        <v>0</v>
      </c>
      <c r="R723">
        <v>0</v>
      </c>
      <c r="S723">
        <v>0</v>
      </c>
      <c r="T723">
        <f t="shared" si="35"/>
        <v>0</v>
      </c>
      <c r="U723">
        <v>1</v>
      </c>
    </row>
    <row r="724" spans="1:21" x14ac:dyDescent="0.3">
      <c r="A724" t="str">
        <f t="shared" si="33"/>
        <v/>
      </c>
      <c r="B724" t="str">
        <f>IF(C724="","",COUNTIF($C$2:C724,C724))</f>
        <v/>
      </c>
      <c r="C724" t="str">
        <f t="shared" si="34"/>
        <v/>
      </c>
      <c r="D724" t="str">
        <f>VLOOKUP(G724,PathwayLookup!A:B,2,0)</f>
        <v>Reablement &amp; Rehabilitation in a bedded setting (pathway 2)</v>
      </c>
      <c r="E724" t="s">
        <v>153</v>
      </c>
      <c r="F724" t="s">
        <v>506</v>
      </c>
      <c r="G724" t="s">
        <v>724</v>
      </c>
      <c r="H724">
        <v>0</v>
      </c>
      <c r="I724">
        <v>0</v>
      </c>
      <c r="J724">
        <v>0</v>
      </c>
      <c r="K724">
        <v>0</v>
      </c>
      <c r="L724">
        <v>0</v>
      </c>
      <c r="M724">
        <v>0</v>
      </c>
      <c r="N724">
        <v>0</v>
      </c>
      <c r="O724">
        <v>0</v>
      </c>
      <c r="P724">
        <v>0</v>
      </c>
      <c r="Q724">
        <v>0</v>
      </c>
      <c r="R724">
        <v>0</v>
      </c>
      <c r="S724">
        <v>0</v>
      </c>
      <c r="T724">
        <f t="shared" si="35"/>
        <v>0</v>
      </c>
      <c r="U724">
        <v>1</v>
      </c>
    </row>
    <row r="725" spans="1:21" x14ac:dyDescent="0.3">
      <c r="A725" t="str">
        <f t="shared" si="33"/>
        <v>GloucestershireShort-term residential/nursing care for someone likely to require a longer-term care home placement (pathway 3)1</v>
      </c>
      <c r="B725">
        <f>IF(C725="","",COUNTIF($C$2:C725,C725))</f>
        <v>1</v>
      </c>
      <c r="C725" t="str">
        <f t="shared" si="34"/>
        <v>GloucestershireShort-term residential/nursing care for someone likely to require a longer-term care home placement (pathway 3)</v>
      </c>
      <c r="D725" t="str">
        <f>VLOOKUP(G725,PathwayLookup!A:B,2,0)</f>
        <v>Short-term residential/nursing care for someone likely to require a longer-term care home placement (pathway 3)</v>
      </c>
      <c r="E725" t="s">
        <v>153</v>
      </c>
      <c r="F725" t="s">
        <v>505</v>
      </c>
      <c r="G725" t="s">
        <v>686</v>
      </c>
      <c r="H725">
        <v>2</v>
      </c>
      <c r="I725">
        <v>2</v>
      </c>
      <c r="J725">
        <v>3</v>
      </c>
      <c r="K725">
        <v>2</v>
      </c>
      <c r="L725">
        <v>2</v>
      </c>
      <c r="M725">
        <v>2</v>
      </c>
      <c r="N725">
        <v>1</v>
      </c>
      <c r="O725">
        <v>1</v>
      </c>
      <c r="P725">
        <v>1</v>
      </c>
      <c r="Q725">
        <v>1</v>
      </c>
      <c r="R725">
        <v>1</v>
      </c>
      <c r="S725">
        <v>1</v>
      </c>
      <c r="T725">
        <f t="shared" si="35"/>
        <v>19</v>
      </c>
      <c r="U725">
        <v>1</v>
      </c>
    </row>
    <row r="726" spans="1:21" x14ac:dyDescent="0.3">
      <c r="A726" t="str">
        <f t="shared" si="33"/>
        <v>GloucestershireShort-term residential/nursing care for someone likely to require a longer-term care home placement (pathway 3)2</v>
      </c>
      <c r="B726">
        <f>IF(C726="","",COUNTIF($C$2:C726,C726))</f>
        <v>2</v>
      </c>
      <c r="C726" t="str">
        <f t="shared" si="34"/>
        <v>GloucestershireShort-term residential/nursing care for someone likely to require a longer-term care home placement (pathway 3)</v>
      </c>
      <c r="D726" t="str">
        <f>VLOOKUP(G726,PathwayLookup!A:B,2,0)</f>
        <v>Short-term residential/nursing care for someone likely to require a longer-term care home placement (pathway 3)</v>
      </c>
      <c r="E726" t="s">
        <v>153</v>
      </c>
      <c r="F726" t="s">
        <v>506</v>
      </c>
      <c r="G726" t="s">
        <v>686</v>
      </c>
      <c r="H726">
        <v>126</v>
      </c>
      <c r="I726">
        <v>124</v>
      </c>
      <c r="J726">
        <v>135</v>
      </c>
      <c r="K726">
        <v>131</v>
      </c>
      <c r="L726">
        <v>121</v>
      </c>
      <c r="M726">
        <v>110</v>
      </c>
      <c r="N726">
        <v>75</v>
      </c>
      <c r="O726">
        <v>58</v>
      </c>
      <c r="P726">
        <v>58</v>
      </c>
      <c r="Q726">
        <v>58</v>
      </c>
      <c r="R726">
        <v>58</v>
      </c>
      <c r="S726">
        <v>58</v>
      </c>
      <c r="T726">
        <f t="shared" si="35"/>
        <v>1112</v>
      </c>
      <c r="U726">
        <v>1</v>
      </c>
    </row>
    <row r="727" spans="1:21" x14ac:dyDescent="0.3">
      <c r="A727" t="str">
        <f t="shared" si="33"/>
        <v>GreenwichSocial support (including VCS) (pathway 0)1</v>
      </c>
      <c r="B727">
        <f>IF(C727="","",COUNTIF($C$2:C727,C727))</f>
        <v>1</v>
      </c>
      <c r="C727" t="str">
        <f t="shared" si="34"/>
        <v>GreenwichSocial support (including VCS) (pathway 0)</v>
      </c>
      <c r="D727" t="str">
        <f>VLOOKUP(G727,PathwayLookup!A:B,2,0)</f>
        <v>Social support (including VCS) (pathway 0)</v>
      </c>
      <c r="E727" t="s">
        <v>155</v>
      </c>
      <c r="F727" t="s">
        <v>510</v>
      </c>
      <c r="G727" t="s">
        <v>682</v>
      </c>
      <c r="H727">
        <v>111</v>
      </c>
      <c r="I727">
        <v>125</v>
      </c>
      <c r="J727">
        <v>120</v>
      </c>
      <c r="K727">
        <v>113</v>
      </c>
      <c r="L727">
        <v>117</v>
      </c>
      <c r="M727">
        <v>114</v>
      </c>
      <c r="N727">
        <v>111</v>
      </c>
      <c r="O727">
        <v>119</v>
      </c>
      <c r="P727">
        <v>114</v>
      </c>
      <c r="Q727">
        <v>116</v>
      </c>
      <c r="R727">
        <v>107</v>
      </c>
      <c r="S727">
        <v>117</v>
      </c>
      <c r="T727">
        <f t="shared" si="35"/>
        <v>1384</v>
      </c>
      <c r="U727">
        <v>1</v>
      </c>
    </row>
    <row r="728" spans="1:21" x14ac:dyDescent="0.3">
      <c r="A728" t="str">
        <f t="shared" si="33"/>
        <v>GreenwichSocial support (including VCS) (pathway 0)2</v>
      </c>
      <c r="B728">
        <f>IF(C728="","",COUNTIF($C$2:C728,C728))</f>
        <v>2</v>
      </c>
      <c r="C728" t="str">
        <f t="shared" si="34"/>
        <v>GreenwichSocial support (including VCS) (pathway 0)</v>
      </c>
      <c r="D728" t="str">
        <f>VLOOKUP(G728,PathwayLookup!A:B,2,0)</f>
        <v>Social support (including VCS) (pathway 0)</v>
      </c>
      <c r="E728" t="s">
        <v>155</v>
      </c>
      <c r="F728" t="s">
        <v>526</v>
      </c>
      <c r="G728" t="s">
        <v>682</v>
      </c>
      <c r="H728">
        <v>125</v>
      </c>
      <c r="I728">
        <v>141</v>
      </c>
      <c r="J728">
        <v>135</v>
      </c>
      <c r="K728">
        <v>128</v>
      </c>
      <c r="L728">
        <v>133</v>
      </c>
      <c r="M728">
        <v>129</v>
      </c>
      <c r="N728">
        <v>125</v>
      </c>
      <c r="O728">
        <v>135</v>
      </c>
      <c r="P728">
        <v>130</v>
      </c>
      <c r="Q728">
        <v>131</v>
      </c>
      <c r="R728">
        <v>121</v>
      </c>
      <c r="S728">
        <v>131</v>
      </c>
      <c r="T728">
        <f t="shared" si="35"/>
        <v>1564</v>
      </c>
      <c r="U728">
        <v>1</v>
      </c>
    </row>
    <row r="729" spans="1:21" x14ac:dyDescent="0.3">
      <c r="A729" t="str">
        <f t="shared" si="33"/>
        <v>GreenwichSocial support (including VCS) (pathway 0)3</v>
      </c>
      <c r="B729">
        <f>IF(C729="","",COUNTIF($C$2:C729,C729))</f>
        <v>3</v>
      </c>
      <c r="C729" t="str">
        <f t="shared" si="34"/>
        <v>GreenwichSocial support (including VCS) (pathway 0)</v>
      </c>
      <c r="D729" t="str">
        <f>VLOOKUP(G729,PathwayLookup!A:B,2,0)</f>
        <v>Social support (including VCS) (pathway 0)</v>
      </c>
      <c r="E729" t="s">
        <v>155</v>
      </c>
      <c r="F729" t="s">
        <v>534</v>
      </c>
      <c r="G729" t="s">
        <v>682</v>
      </c>
      <c r="H729">
        <v>1152</v>
      </c>
      <c r="I729">
        <v>1299</v>
      </c>
      <c r="J729">
        <v>1247</v>
      </c>
      <c r="K729">
        <v>1179</v>
      </c>
      <c r="L729">
        <v>1220</v>
      </c>
      <c r="M729">
        <v>1185</v>
      </c>
      <c r="N729">
        <v>1149</v>
      </c>
      <c r="O729">
        <v>1237</v>
      </c>
      <c r="P729">
        <v>1189</v>
      </c>
      <c r="Q729">
        <v>1203</v>
      </c>
      <c r="R729">
        <v>1117</v>
      </c>
      <c r="S729">
        <v>1212</v>
      </c>
      <c r="T729">
        <f t="shared" si="35"/>
        <v>14389</v>
      </c>
      <c r="U729">
        <v>1</v>
      </c>
    </row>
    <row r="730" spans="1:21" x14ac:dyDescent="0.3">
      <c r="A730" t="str">
        <f t="shared" si="33"/>
        <v>GreenwichSocial support (including VCS) (pathway 0)4</v>
      </c>
      <c r="B730">
        <f>IF(C730="","",COUNTIF($C$2:C730,C730))</f>
        <v>4</v>
      </c>
      <c r="C730" t="str">
        <f t="shared" si="34"/>
        <v>GreenwichSocial support (including VCS) (pathway 0)</v>
      </c>
      <c r="D730" t="str">
        <f>VLOOKUP(G730,PathwayLookup!A:B,2,0)</f>
        <v>Social support (including VCS) (pathway 0)</v>
      </c>
      <c r="E730" t="s">
        <v>155</v>
      </c>
      <c r="F730" t="s">
        <v>651</v>
      </c>
      <c r="G730" t="s">
        <v>682</v>
      </c>
      <c r="H730">
        <v>103</v>
      </c>
      <c r="I730">
        <v>115</v>
      </c>
      <c r="J730">
        <v>112</v>
      </c>
      <c r="K730">
        <v>106</v>
      </c>
      <c r="L730">
        <v>109</v>
      </c>
      <c r="M730">
        <v>106</v>
      </c>
      <c r="N730">
        <v>103</v>
      </c>
      <c r="O730">
        <v>111</v>
      </c>
      <c r="P730">
        <v>107</v>
      </c>
      <c r="Q730">
        <v>108</v>
      </c>
      <c r="R730">
        <v>100</v>
      </c>
      <c r="S730">
        <v>109</v>
      </c>
      <c r="T730">
        <f t="shared" si="35"/>
        <v>1289</v>
      </c>
      <c r="U730">
        <v>1</v>
      </c>
    </row>
    <row r="731" spans="1:21" x14ac:dyDescent="0.3">
      <c r="A731" t="str">
        <f t="shared" si="33"/>
        <v>GreenwichReablement &amp; Rehabilitation at home  (pathway 1)1</v>
      </c>
      <c r="B731">
        <f>IF(C731="","",COUNTIF($C$2:C731,C731))</f>
        <v>1</v>
      </c>
      <c r="C731" t="str">
        <f t="shared" si="34"/>
        <v>GreenwichReablement at home  (pathway 1)</v>
      </c>
      <c r="D731" t="str">
        <f>VLOOKUP(G731,PathwayLookup!A:B,2,0)</f>
        <v>Reablement &amp; Rehabilitation at home  (pathway 1)</v>
      </c>
      <c r="E731" t="s">
        <v>155</v>
      </c>
      <c r="F731" t="s">
        <v>510</v>
      </c>
      <c r="G731" t="s">
        <v>718</v>
      </c>
      <c r="H731">
        <v>2</v>
      </c>
      <c r="I731">
        <v>2</v>
      </c>
      <c r="J731">
        <v>2</v>
      </c>
      <c r="K731">
        <v>2</v>
      </c>
      <c r="L731">
        <v>2</v>
      </c>
      <c r="M731">
        <v>2</v>
      </c>
      <c r="N731">
        <v>2</v>
      </c>
      <c r="O731">
        <v>2</v>
      </c>
      <c r="P731">
        <v>2</v>
      </c>
      <c r="Q731">
        <v>2</v>
      </c>
      <c r="R731">
        <v>2</v>
      </c>
      <c r="S731">
        <v>3</v>
      </c>
      <c r="T731">
        <f t="shared" si="35"/>
        <v>25</v>
      </c>
      <c r="U731">
        <v>1</v>
      </c>
    </row>
    <row r="732" spans="1:21" x14ac:dyDescent="0.3">
      <c r="A732" t="str">
        <f t="shared" si="33"/>
        <v>GreenwichReablement &amp; Rehabilitation at home  (pathway 1)2</v>
      </c>
      <c r="B732">
        <f>IF(C732="","",COUNTIF($C$2:C732,C732))</f>
        <v>2</v>
      </c>
      <c r="C732" t="str">
        <f t="shared" si="34"/>
        <v>GreenwichReablement at home  (pathway 1)</v>
      </c>
      <c r="D732" t="str">
        <f>VLOOKUP(G732,PathwayLookup!A:B,2,0)</f>
        <v>Reablement &amp; Rehabilitation at home  (pathway 1)</v>
      </c>
      <c r="E732" t="s">
        <v>155</v>
      </c>
      <c r="F732" t="s">
        <v>526</v>
      </c>
      <c r="G732" t="s">
        <v>718</v>
      </c>
      <c r="H732">
        <v>2</v>
      </c>
      <c r="I732">
        <v>2</v>
      </c>
      <c r="J732">
        <v>2</v>
      </c>
      <c r="K732">
        <v>2</v>
      </c>
      <c r="L732">
        <v>2</v>
      </c>
      <c r="M732">
        <v>2</v>
      </c>
      <c r="N732">
        <v>3</v>
      </c>
      <c r="O732">
        <v>3</v>
      </c>
      <c r="P732">
        <v>3</v>
      </c>
      <c r="Q732">
        <v>3</v>
      </c>
      <c r="R732">
        <v>2</v>
      </c>
      <c r="S732">
        <v>3</v>
      </c>
      <c r="T732">
        <f t="shared" si="35"/>
        <v>29</v>
      </c>
      <c r="U732">
        <v>1</v>
      </c>
    </row>
    <row r="733" spans="1:21" x14ac:dyDescent="0.3">
      <c r="A733" t="str">
        <f t="shared" si="33"/>
        <v>GreenwichReablement &amp; Rehabilitation at home  (pathway 1)3</v>
      </c>
      <c r="B733">
        <f>IF(C733="","",COUNTIF($C$2:C733,C733))</f>
        <v>3</v>
      </c>
      <c r="C733" t="str">
        <f t="shared" si="34"/>
        <v>GreenwichReablement at home  (pathway 1)</v>
      </c>
      <c r="D733" t="str">
        <f>VLOOKUP(G733,PathwayLookup!A:B,2,0)</f>
        <v>Reablement &amp; Rehabilitation at home  (pathway 1)</v>
      </c>
      <c r="E733" t="s">
        <v>155</v>
      </c>
      <c r="F733" t="s">
        <v>534</v>
      </c>
      <c r="G733" t="s">
        <v>718</v>
      </c>
      <c r="H733">
        <v>17</v>
      </c>
      <c r="I733">
        <v>19</v>
      </c>
      <c r="J733">
        <v>19</v>
      </c>
      <c r="K733">
        <v>21</v>
      </c>
      <c r="L733">
        <v>22</v>
      </c>
      <c r="M733">
        <v>22</v>
      </c>
      <c r="N733">
        <v>24</v>
      </c>
      <c r="O733">
        <v>22</v>
      </c>
      <c r="P733">
        <v>25</v>
      </c>
      <c r="Q733">
        <v>25</v>
      </c>
      <c r="R733">
        <v>23</v>
      </c>
      <c r="S733">
        <v>26</v>
      </c>
      <c r="T733">
        <f t="shared" si="35"/>
        <v>265</v>
      </c>
      <c r="U733">
        <v>1</v>
      </c>
    </row>
    <row r="734" spans="1:21" x14ac:dyDescent="0.3">
      <c r="A734" t="str">
        <f t="shared" si="33"/>
        <v>GreenwichReablement &amp; Rehabilitation at home  (pathway 1)4</v>
      </c>
      <c r="B734">
        <f>IF(C734="","",COUNTIF($C$2:C734,C734))</f>
        <v>4</v>
      </c>
      <c r="C734" t="str">
        <f t="shared" si="34"/>
        <v>GreenwichReablement at home  (pathway 1)</v>
      </c>
      <c r="D734" t="str">
        <f>VLOOKUP(G734,PathwayLookup!A:B,2,0)</f>
        <v>Reablement &amp; Rehabilitation at home  (pathway 1)</v>
      </c>
      <c r="E734" t="s">
        <v>155</v>
      </c>
      <c r="F734" t="s">
        <v>651</v>
      </c>
      <c r="G734" t="s">
        <v>718</v>
      </c>
      <c r="H734">
        <v>2</v>
      </c>
      <c r="I734">
        <v>2</v>
      </c>
      <c r="J734">
        <v>2</v>
      </c>
      <c r="K734">
        <v>2</v>
      </c>
      <c r="L734">
        <v>2</v>
      </c>
      <c r="M734">
        <v>2</v>
      </c>
      <c r="N734">
        <v>2</v>
      </c>
      <c r="O734">
        <v>2</v>
      </c>
      <c r="P734">
        <v>2</v>
      </c>
      <c r="Q734">
        <v>2</v>
      </c>
      <c r="R734">
        <v>2</v>
      </c>
      <c r="S734">
        <v>2</v>
      </c>
      <c r="T734">
        <f t="shared" si="35"/>
        <v>24</v>
      </c>
      <c r="U734">
        <v>1</v>
      </c>
    </row>
    <row r="735" spans="1:21" x14ac:dyDescent="0.3">
      <c r="A735" t="str">
        <f t="shared" si="33"/>
        <v>GreenwichReablement &amp; Rehabilitation at home  (pathway 1)1</v>
      </c>
      <c r="B735">
        <f>IF(C735="","",COUNTIF($C$2:C735,C735))</f>
        <v>1</v>
      </c>
      <c r="C735" t="str">
        <f t="shared" si="34"/>
        <v>GreenwichRehabilitation at home (pathway 1)</v>
      </c>
      <c r="D735" t="str">
        <f>VLOOKUP(G735,PathwayLookup!A:B,2,0)</f>
        <v>Reablement &amp; Rehabilitation at home  (pathway 1)</v>
      </c>
      <c r="E735" t="s">
        <v>155</v>
      </c>
      <c r="F735" t="s">
        <v>510</v>
      </c>
      <c r="G735" t="s">
        <v>719</v>
      </c>
      <c r="H735">
        <v>5</v>
      </c>
      <c r="I735">
        <v>5</v>
      </c>
      <c r="J735">
        <v>5</v>
      </c>
      <c r="K735">
        <v>5</v>
      </c>
      <c r="L735">
        <v>5</v>
      </c>
      <c r="M735">
        <v>5</v>
      </c>
      <c r="N735">
        <v>5</v>
      </c>
      <c r="O735">
        <v>5</v>
      </c>
      <c r="P735">
        <v>6</v>
      </c>
      <c r="Q735">
        <v>6</v>
      </c>
      <c r="R735">
        <v>5</v>
      </c>
      <c r="S735">
        <v>5</v>
      </c>
      <c r="T735">
        <f t="shared" si="35"/>
        <v>62</v>
      </c>
      <c r="U735">
        <v>1</v>
      </c>
    </row>
    <row r="736" spans="1:21" x14ac:dyDescent="0.3">
      <c r="A736" t="str">
        <f t="shared" si="33"/>
        <v>GreenwichReablement &amp; Rehabilitation at home  (pathway 1)2</v>
      </c>
      <c r="B736">
        <f>IF(C736="","",COUNTIF($C$2:C736,C736))</f>
        <v>2</v>
      </c>
      <c r="C736" t="str">
        <f t="shared" si="34"/>
        <v>GreenwichRehabilitation at home (pathway 1)</v>
      </c>
      <c r="D736" t="str">
        <f>VLOOKUP(G736,PathwayLookup!A:B,2,0)</f>
        <v>Reablement &amp; Rehabilitation at home  (pathway 1)</v>
      </c>
      <c r="E736" t="s">
        <v>155</v>
      </c>
      <c r="F736" t="s">
        <v>526</v>
      </c>
      <c r="G736" t="s">
        <v>719</v>
      </c>
      <c r="H736">
        <v>6</v>
      </c>
      <c r="I736">
        <v>6</v>
      </c>
      <c r="J736">
        <v>5</v>
      </c>
      <c r="K736">
        <v>6</v>
      </c>
      <c r="L736">
        <v>6</v>
      </c>
      <c r="M736">
        <v>6</v>
      </c>
      <c r="N736">
        <v>6</v>
      </c>
      <c r="O736">
        <v>6</v>
      </c>
      <c r="P736">
        <v>6</v>
      </c>
      <c r="Q736">
        <v>6</v>
      </c>
      <c r="R736">
        <v>5</v>
      </c>
      <c r="S736">
        <v>6</v>
      </c>
      <c r="T736">
        <f t="shared" si="35"/>
        <v>70</v>
      </c>
      <c r="U736">
        <v>1</v>
      </c>
    </row>
    <row r="737" spans="1:21" x14ac:dyDescent="0.3">
      <c r="A737" t="str">
        <f t="shared" si="33"/>
        <v>GreenwichReablement &amp; Rehabilitation at home  (pathway 1)3</v>
      </c>
      <c r="B737">
        <f>IF(C737="","",COUNTIF($C$2:C737,C737))</f>
        <v>3</v>
      </c>
      <c r="C737" t="str">
        <f t="shared" si="34"/>
        <v>GreenwichRehabilitation at home (pathway 1)</v>
      </c>
      <c r="D737" t="str">
        <f>VLOOKUP(G737,PathwayLookup!A:B,2,0)</f>
        <v>Reablement &amp; Rehabilitation at home  (pathway 1)</v>
      </c>
      <c r="E737" t="s">
        <v>155</v>
      </c>
      <c r="F737" t="s">
        <v>534</v>
      </c>
      <c r="G737" t="s">
        <v>719</v>
      </c>
      <c r="H737">
        <v>53</v>
      </c>
      <c r="I737">
        <v>53</v>
      </c>
      <c r="J737">
        <v>53</v>
      </c>
      <c r="K737">
        <v>53</v>
      </c>
      <c r="L737">
        <v>53</v>
      </c>
      <c r="M737">
        <v>53</v>
      </c>
      <c r="N737">
        <v>53</v>
      </c>
      <c r="O737">
        <v>54</v>
      </c>
      <c r="P737">
        <v>54</v>
      </c>
      <c r="Q737">
        <v>54</v>
      </c>
      <c r="R737">
        <v>53</v>
      </c>
      <c r="S737">
        <v>53</v>
      </c>
      <c r="T737">
        <f t="shared" si="35"/>
        <v>639</v>
      </c>
      <c r="U737">
        <v>1</v>
      </c>
    </row>
    <row r="738" spans="1:21" x14ac:dyDescent="0.3">
      <c r="A738" t="str">
        <f t="shared" si="33"/>
        <v>GreenwichReablement &amp; Rehabilitation at home  (pathway 1)4</v>
      </c>
      <c r="B738">
        <f>IF(C738="","",COUNTIF($C$2:C738,C738))</f>
        <v>4</v>
      </c>
      <c r="C738" t="str">
        <f t="shared" si="34"/>
        <v>GreenwichRehabilitation at home (pathway 1)</v>
      </c>
      <c r="D738" t="str">
        <f>VLOOKUP(G738,PathwayLookup!A:B,2,0)</f>
        <v>Reablement &amp; Rehabilitation at home  (pathway 1)</v>
      </c>
      <c r="E738" t="s">
        <v>155</v>
      </c>
      <c r="F738" t="s">
        <v>651</v>
      </c>
      <c r="G738" t="s">
        <v>719</v>
      </c>
      <c r="H738">
        <v>5</v>
      </c>
      <c r="I738">
        <v>5</v>
      </c>
      <c r="J738">
        <v>5</v>
      </c>
      <c r="K738">
        <v>4</v>
      </c>
      <c r="L738">
        <v>5</v>
      </c>
      <c r="M738">
        <v>4</v>
      </c>
      <c r="N738">
        <v>5</v>
      </c>
      <c r="O738">
        <v>5</v>
      </c>
      <c r="P738">
        <v>5</v>
      </c>
      <c r="Q738">
        <v>5</v>
      </c>
      <c r="R738">
        <v>4</v>
      </c>
      <c r="S738">
        <v>5</v>
      </c>
      <c r="T738">
        <f t="shared" si="35"/>
        <v>57</v>
      </c>
      <c r="U738">
        <v>1</v>
      </c>
    </row>
    <row r="739" spans="1:21" x14ac:dyDescent="0.3">
      <c r="A739" t="str">
        <f t="shared" si="33"/>
        <v>GreenwichShort term domiciliary care (pathway 1)1</v>
      </c>
      <c r="B739">
        <f>IF(C739="","",COUNTIF($C$2:C739,C739))</f>
        <v>1</v>
      </c>
      <c r="C739" t="str">
        <f t="shared" si="34"/>
        <v>GreenwichShort term domiciliary care (pathway 1)</v>
      </c>
      <c r="D739" t="str">
        <f>VLOOKUP(G739,PathwayLookup!A:B,2,0)</f>
        <v>Short term domiciliary care (pathway 1)</v>
      </c>
      <c r="E739" t="s">
        <v>155</v>
      </c>
      <c r="F739" t="s">
        <v>510</v>
      </c>
      <c r="G739" t="s">
        <v>684</v>
      </c>
      <c r="H739">
        <v>7</v>
      </c>
      <c r="I739">
        <v>7</v>
      </c>
      <c r="J739">
        <v>7</v>
      </c>
      <c r="K739">
        <v>7</v>
      </c>
      <c r="L739">
        <v>7</v>
      </c>
      <c r="M739">
        <v>7</v>
      </c>
      <c r="N739">
        <v>8</v>
      </c>
      <c r="O739">
        <v>7</v>
      </c>
      <c r="P739">
        <v>8</v>
      </c>
      <c r="Q739">
        <v>8</v>
      </c>
      <c r="R739">
        <v>8</v>
      </c>
      <c r="S739">
        <v>8</v>
      </c>
      <c r="T739">
        <f t="shared" si="35"/>
        <v>89</v>
      </c>
      <c r="U739">
        <v>1</v>
      </c>
    </row>
    <row r="740" spans="1:21" x14ac:dyDescent="0.3">
      <c r="A740" t="str">
        <f t="shared" si="33"/>
        <v>GreenwichShort term domiciliary care (pathway 1)2</v>
      </c>
      <c r="B740">
        <f>IF(C740="","",COUNTIF($C$2:C740,C740))</f>
        <v>2</v>
      </c>
      <c r="C740" t="str">
        <f t="shared" si="34"/>
        <v>GreenwichShort term domiciliary care (pathway 1)</v>
      </c>
      <c r="D740" t="str">
        <f>VLOOKUP(G740,PathwayLookup!A:B,2,0)</f>
        <v>Short term domiciliary care (pathway 1)</v>
      </c>
      <c r="E740" t="s">
        <v>155</v>
      </c>
      <c r="F740" t="s">
        <v>526</v>
      </c>
      <c r="G740" t="s">
        <v>684</v>
      </c>
      <c r="H740">
        <v>8</v>
      </c>
      <c r="I740">
        <v>9</v>
      </c>
      <c r="J740">
        <v>8</v>
      </c>
      <c r="K740">
        <v>9</v>
      </c>
      <c r="L740">
        <v>8</v>
      </c>
      <c r="M740">
        <v>8</v>
      </c>
      <c r="N740">
        <v>9</v>
      </c>
      <c r="O740">
        <v>8</v>
      </c>
      <c r="P740">
        <v>8</v>
      </c>
      <c r="Q740">
        <v>9</v>
      </c>
      <c r="R740">
        <v>9</v>
      </c>
      <c r="S740">
        <v>8</v>
      </c>
      <c r="T740">
        <f t="shared" si="35"/>
        <v>101</v>
      </c>
      <c r="U740">
        <v>1</v>
      </c>
    </row>
    <row r="741" spans="1:21" x14ac:dyDescent="0.3">
      <c r="A741" t="str">
        <f t="shared" si="33"/>
        <v>GreenwichShort term domiciliary care (pathway 1)3</v>
      </c>
      <c r="B741">
        <f>IF(C741="","",COUNTIF($C$2:C741,C741))</f>
        <v>3</v>
      </c>
      <c r="C741" t="str">
        <f t="shared" si="34"/>
        <v>GreenwichShort term domiciliary care (pathway 1)</v>
      </c>
      <c r="D741" t="str">
        <f>VLOOKUP(G741,PathwayLookup!A:B,2,0)</f>
        <v>Short term domiciliary care (pathway 1)</v>
      </c>
      <c r="E741" t="s">
        <v>155</v>
      </c>
      <c r="F741" t="s">
        <v>534</v>
      </c>
      <c r="G741" t="s">
        <v>684</v>
      </c>
      <c r="H741">
        <v>78</v>
      </c>
      <c r="I741">
        <v>77</v>
      </c>
      <c r="J741">
        <v>77</v>
      </c>
      <c r="K741">
        <v>77</v>
      </c>
      <c r="L741">
        <v>77</v>
      </c>
      <c r="M741">
        <v>77</v>
      </c>
      <c r="N741">
        <v>78</v>
      </c>
      <c r="O741">
        <v>77</v>
      </c>
      <c r="P741">
        <v>77</v>
      </c>
      <c r="Q741">
        <v>78</v>
      </c>
      <c r="R741">
        <v>77</v>
      </c>
      <c r="S741">
        <v>77</v>
      </c>
      <c r="T741">
        <f t="shared" si="35"/>
        <v>927</v>
      </c>
      <c r="U741">
        <v>1</v>
      </c>
    </row>
    <row r="742" spans="1:21" x14ac:dyDescent="0.3">
      <c r="A742" t="str">
        <f t="shared" si="33"/>
        <v>GreenwichShort term domiciliary care (pathway 1)4</v>
      </c>
      <c r="B742">
        <f>IF(C742="","",COUNTIF($C$2:C742,C742))</f>
        <v>4</v>
      </c>
      <c r="C742" t="str">
        <f t="shared" si="34"/>
        <v>GreenwichShort term domiciliary care (pathway 1)</v>
      </c>
      <c r="D742" t="str">
        <f>VLOOKUP(G742,PathwayLookup!A:B,2,0)</f>
        <v>Short term domiciliary care (pathway 1)</v>
      </c>
      <c r="E742" t="s">
        <v>155</v>
      </c>
      <c r="F742" t="s">
        <v>651</v>
      </c>
      <c r="G742" t="s">
        <v>684</v>
      </c>
      <c r="H742">
        <v>7</v>
      </c>
      <c r="I742">
        <v>7</v>
      </c>
      <c r="J742">
        <v>7</v>
      </c>
      <c r="K742">
        <v>7</v>
      </c>
      <c r="L742">
        <v>7</v>
      </c>
      <c r="M742">
        <v>7</v>
      </c>
      <c r="N742">
        <v>7</v>
      </c>
      <c r="O742">
        <v>7</v>
      </c>
      <c r="P742">
        <v>7</v>
      </c>
      <c r="Q742">
        <v>7</v>
      </c>
      <c r="R742">
        <v>6</v>
      </c>
      <c r="S742">
        <v>7</v>
      </c>
      <c r="T742">
        <f t="shared" si="35"/>
        <v>83</v>
      </c>
      <c r="U742">
        <v>1</v>
      </c>
    </row>
    <row r="743" spans="1:21" x14ac:dyDescent="0.3">
      <c r="A743" t="str">
        <f t="shared" si="33"/>
        <v/>
      </c>
      <c r="B743" t="str">
        <f>IF(C743="","",COUNTIF($C$2:C743,C743))</f>
        <v/>
      </c>
      <c r="C743" t="str">
        <f t="shared" si="34"/>
        <v/>
      </c>
      <c r="D743" t="str">
        <f>VLOOKUP(G743,PathwayLookup!A:B,2,0)</f>
        <v>Reablement &amp; Rehabilitation in a bedded setting (pathway 2)</v>
      </c>
      <c r="E743" t="s">
        <v>155</v>
      </c>
      <c r="F743" t="s">
        <v>448</v>
      </c>
      <c r="G743" t="s">
        <v>722</v>
      </c>
      <c r="H743">
        <v>0</v>
      </c>
      <c r="I743">
        <v>0</v>
      </c>
      <c r="J743">
        <v>0</v>
      </c>
      <c r="K743">
        <v>0</v>
      </c>
      <c r="L743">
        <v>0</v>
      </c>
      <c r="M743">
        <v>0</v>
      </c>
      <c r="N743">
        <v>0</v>
      </c>
      <c r="O743">
        <v>0</v>
      </c>
      <c r="P743">
        <v>0</v>
      </c>
      <c r="Q743">
        <v>0</v>
      </c>
      <c r="R743">
        <v>0</v>
      </c>
      <c r="S743">
        <v>0</v>
      </c>
      <c r="T743">
        <f t="shared" si="35"/>
        <v>0</v>
      </c>
      <c r="U743">
        <v>1</v>
      </c>
    </row>
    <row r="744" spans="1:21" x14ac:dyDescent="0.3">
      <c r="A744" t="str">
        <f t="shared" si="33"/>
        <v/>
      </c>
      <c r="B744" t="str">
        <f>IF(C744="","",COUNTIF($C$2:C744,C744))</f>
        <v/>
      </c>
      <c r="C744" t="str">
        <f t="shared" si="34"/>
        <v/>
      </c>
      <c r="D744" t="str">
        <f>VLOOKUP(G744,PathwayLookup!A:B,2,0)</f>
        <v>Reablement &amp; Rehabilitation in a bedded setting (pathway 2)</v>
      </c>
      <c r="E744" t="s">
        <v>155</v>
      </c>
      <c r="F744" t="s">
        <v>510</v>
      </c>
      <c r="G744" t="s">
        <v>722</v>
      </c>
      <c r="H744">
        <v>0</v>
      </c>
      <c r="I744">
        <v>0</v>
      </c>
      <c r="J744">
        <v>0</v>
      </c>
      <c r="K744">
        <v>0</v>
      </c>
      <c r="L744">
        <v>0</v>
      </c>
      <c r="M744">
        <v>0</v>
      </c>
      <c r="N744">
        <v>0</v>
      </c>
      <c r="O744">
        <v>0</v>
      </c>
      <c r="P744">
        <v>0</v>
      </c>
      <c r="Q744">
        <v>0</v>
      </c>
      <c r="R744">
        <v>0</v>
      </c>
      <c r="S744">
        <v>0</v>
      </c>
      <c r="T744">
        <f t="shared" si="35"/>
        <v>0</v>
      </c>
      <c r="U744">
        <v>1</v>
      </c>
    </row>
    <row r="745" spans="1:21" x14ac:dyDescent="0.3">
      <c r="A745" t="str">
        <f t="shared" si="33"/>
        <v/>
      </c>
      <c r="B745" t="str">
        <f>IF(C745="","",COUNTIF($C$2:C745,C745))</f>
        <v/>
      </c>
      <c r="C745" t="str">
        <f t="shared" si="34"/>
        <v/>
      </c>
      <c r="D745" t="str">
        <f>VLOOKUP(G745,PathwayLookup!A:B,2,0)</f>
        <v>Reablement &amp; Rehabilitation in a bedded setting (pathway 2)</v>
      </c>
      <c r="E745" t="s">
        <v>155</v>
      </c>
      <c r="F745" t="s">
        <v>526</v>
      </c>
      <c r="G745" t="s">
        <v>722</v>
      </c>
      <c r="H745">
        <v>0</v>
      </c>
      <c r="I745">
        <v>0</v>
      </c>
      <c r="J745">
        <v>0</v>
      </c>
      <c r="K745">
        <v>0</v>
      </c>
      <c r="L745">
        <v>0</v>
      </c>
      <c r="M745">
        <v>0</v>
      </c>
      <c r="N745">
        <v>0</v>
      </c>
      <c r="O745">
        <v>0</v>
      </c>
      <c r="P745">
        <v>0</v>
      </c>
      <c r="Q745">
        <v>0</v>
      </c>
      <c r="R745">
        <v>0</v>
      </c>
      <c r="S745">
        <v>0</v>
      </c>
      <c r="T745">
        <f t="shared" si="35"/>
        <v>0</v>
      </c>
      <c r="U745">
        <v>1</v>
      </c>
    </row>
    <row r="746" spans="1:21" x14ac:dyDescent="0.3">
      <c r="A746" t="str">
        <f t="shared" si="33"/>
        <v/>
      </c>
      <c r="B746" t="str">
        <f>IF(C746="","",COUNTIF($C$2:C746,C746))</f>
        <v/>
      </c>
      <c r="C746" t="str">
        <f t="shared" si="34"/>
        <v/>
      </c>
      <c r="D746" t="str">
        <f>VLOOKUP(G746,PathwayLookup!A:B,2,0)</f>
        <v>Reablement &amp; Rehabilitation in a bedded setting (pathway 2)</v>
      </c>
      <c r="E746" t="s">
        <v>155</v>
      </c>
      <c r="F746" t="s">
        <v>534</v>
      </c>
      <c r="G746" t="s">
        <v>722</v>
      </c>
      <c r="H746">
        <v>0</v>
      </c>
      <c r="I746">
        <v>0</v>
      </c>
      <c r="J746">
        <v>0</v>
      </c>
      <c r="K746">
        <v>0</v>
      </c>
      <c r="L746">
        <v>0</v>
      </c>
      <c r="M746">
        <v>0</v>
      </c>
      <c r="N746">
        <v>0</v>
      </c>
      <c r="O746">
        <v>0</v>
      </c>
      <c r="P746">
        <v>0</v>
      </c>
      <c r="Q746">
        <v>0</v>
      </c>
      <c r="R746">
        <v>0</v>
      </c>
      <c r="S746">
        <v>0</v>
      </c>
      <c r="T746">
        <f t="shared" si="35"/>
        <v>0</v>
      </c>
      <c r="U746">
        <v>1</v>
      </c>
    </row>
    <row r="747" spans="1:21" x14ac:dyDescent="0.3">
      <c r="A747" t="str">
        <f t="shared" si="33"/>
        <v/>
      </c>
      <c r="B747" t="str">
        <f>IF(C747="","",COUNTIF($C$2:C747,C747))</f>
        <v/>
      </c>
      <c r="C747" t="str">
        <f t="shared" si="34"/>
        <v/>
      </c>
      <c r="D747" t="str">
        <f>VLOOKUP(G747,PathwayLookup!A:B,2,0)</f>
        <v>Reablement &amp; Rehabilitation in a bedded setting (pathway 2)</v>
      </c>
      <c r="E747" t="s">
        <v>155</v>
      </c>
      <c r="F747" t="s">
        <v>651</v>
      </c>
      <c r="G747" t="s">
        <v>722</v>
      </c>
      <c r="H747">
        <v>0</v>
      </c>
      <c r="I747">
        <v>0</v>
      </c>
      <c r="J747">
        <v>0</v>
      </c>
      <c r="K747">
        <v>0</v>
      </c>
      <c r="L747">
        <v>0</v>
      </c>
      <c r="M747">
        <v>0</v>
      </c>
      <c r="N747">
        <v>0</v>
      </c>
      <c r="O747">
        <v>0</v>
      </c>
      <c r="P747">
        <v>0</v>
      </c>
      <c r="Q747">
        <v>0</v>
      </c>
      <c r="R747">
        <v>0</v>
      </c>
      <c r="S747">
        <v>0</v>
      </c>
      <c r="T747">
        <f t="shared" si="35"/>
        <v>0</v>
      </c>
      <c r="U747">
        <v>1</v>
      </c>
    </row>
    <row r="748" spans="1:21" x14ac:dyDescent="0.3">
      <c r="A748" t="str">
        <f t="shared" si="33"/>
        <v>GreenwichReablement &amp; Rehabilitation in a bedded setting (pathway 2)1</v>
      </c>
      <c r="B748">
        <f>IF(C748="","",COUNTIF($C$2:C748,C748))</f>
        <v>1</v>
      </c>
      <c r="C748" t="str">
        <f t="shared" si="34"/>
        <v>GreenwichRehabilitation in a bedded setting (pathway 2)</v>
      </c>
      <c r="D748" t="str">
        <f>VLOOKUP(G748,PathwayLookup!A:B,2,0)</f>
        <v>Reablement &amp; Rehabilitation in a bedded setting (pathway 2)</v>
      </c>
      <c r="E748" t="s">
        <v>155</v>
      </c>
      <c r="F748" t="s">
        <v>510</v>
      </c>
      <c r="G748" t="s">
        <v>724</v>
      </c>
      <c r="H748">
        <v>2</v>
      </c>
      <c r="I748">
        <v>2</v>
      </c>
      <c r="J748">
        <v>1</v>
      </c>
      <c r="K748">
        <v>2</v>
      </c>
      <c r="L748">
        <v>2</v>
      </c>
      <c r="M748">
        <v>2</v>
      </c>
      <c r="N748">
        <v>2</v>
      </c>
      <c r="O748">
        <v>2</v>
      </c>
      <c r="P748">
        <v>2</v>
      </c>
      <c r="Q748">
        <v>2</v>
      </c>
      <c r="R748">
        <v>2</v>
      </c>
      <c r="S748">
        <v>2</v>
      </c>
      <c r="T748">
        <f t="shared" si="35"/>
        <v>23</v>
      </c>
      <c r="U748">
        <v>1</v>
      </c>
    </row>
    <row r="749" spans="1:21" x14ac:dyDescent="0.3">
      <c r="A749" t="str">
        <f t="shared" si="33"/>
        <v>GreenwichReablement &amp; Rehabilitation in a bedded setting (pathway 2)2</v>
      </c>
      <c r="B749">
        <f>IF(C749="","",COUNTIF($C$2:C749,C749))</f>
        <v>2</v>
      </c>
      <c r="C749" t="str">
        <f t="shared" si="34"/>
        <v>GreenwichRehabilitation in a bedded setting (pathway 2)</v>
      </c>
      <c r="D749" t="str">
        <f>VLOOKUP(G749,PathwayLookup!A:B,2,0)</f>
        <v>Reablement &amp; Rehabilitation in a bedded setting (pathway 2)</v>
      </c>
      <c r="E749" t="s">
        <v>155</v>
      </c>
      <c r="F749" t="s">
        <v>526</v>
      </c>
      <c r="G749" t="s">
        <v>724</v>
      </c>
      <c r="H749">
        <v>2</v>
      </c>
      <c r="I749">
        <v>3</v>
      </c>
      <c r="J749">
        <v>2</v>
      </c>
      <c r="K749">
        <v>2</v>
      </c>
      <c r="L749">
        <v>2</v>
      </c>
      <c r="M749">
        <v>2</v>
      </c>
      <c r="N749">
        <v>2</v>
      </c>
      <c r="O749">
        <v>2</v>
      </c>
      <c r="P749">
        <v>3</v>
      </c>
      <c r="Q749">
        <v>2</v>
      </c>
      <c r="R749">
        <v>2</v>
      </c>
      <c r="S749">
        <v>2</v>
      </c>
      <c r="T749">
        <f t="shared" si="35"/>
        <v>26</v>
      </c>
      <c r="U749">
        <v>1</v>
      </c>
    </row>
    <row r="750" spans="1:21" x14ac:dyDescent="0.3">
      <c r="A750" t="str">
        <f t="shared" si="33"/>
        <v>GreenwichReablement &amp; Rehabilitation in a bedded setting (pathway 2)3</v>
      </c>
      <c r="B750">
        <f>IF(C750="","",COUNTIF($C$2:C750,C750))</f>
        <v>3</v>
      </c>
      <c r="C750" t="str">
        <f t="shared" si="34"/>
        <v>GreenwichRehabilitation in a bedded setting (pathway 2)</v>
      </c>
      <c r="D750" t="str">
        <f>VLOOKUP(G750,PathwayLookup!A:B,2,0)</f>
        <v>Reablement &amp; Rehabilitation in a bedded setting (pathway 2)</v>
      </c>
      <c r="E750" t="s">
        <v>155</v>
      </c>
      <c r="F750" t="s">
        <v>534</v>
      </c>
      <c r="G750" t="s">
        <v>724</v>
      </c>
      <c r="H750">
        <v>20</v>
      </c>
      <c r="I750">
        <v>20</v>
      </c>
      <c r="J750">
        <v>20</v>
      </c>
      <c r="K750">
        <v>20</v>
      </c>
      <c r="L750">
        <v>21</v>
      </c>
      <c r="M750">
        <v>20</v>
      </c>
      <c r="N750">
        <v>21</v>
      </c>
      <c r="O750">
        <v>20</v>
      </c>
      <c r="P750">
        <v>20</v>
      </c>
      <c r="Q750">
        <v>20</v>
      </c>
      <c r="R750">
        <v>19</v>
      </c>
      <c r="S750">
        <v>20</v>
      </c>
      <c r="T750">
        <f t="shared" si="35"/>
        <v>241</v>
      </c>
      <c r="U750">
        <v>1</v>
      </c>
    </row>
    <row r="751" spans="1:21" x14ac:dyDescent="0.3">
      <c r="A751" t="str">
        <f t="shared" si="33"/>
        <v>GreenwichReablement &amp; Rehabilitation in a bedded setting (pathway 2)4</v>
      </c>
      <c r="B751">
        <f>IF(C751="","",COUNTIF($C$2:C751,C751))</f>
        <v>4</v>
      </c>
      <c r="C751" t="str">
        <f t="shared" si="34"/>
        <v>GreenwichRehabilitation in a bedded setting (pathway 2)</v>
      </c>
      <c r="D751" t="str">
        <f>VLOOKUP(G751,PathwayLookup!A:B,2,0)</f>
        <v>Reablement &amp; Rehabilitation in a bedded setting (pathway 2)</v>
      </c>
      <c r="E751" t="s">
        <v>155</v>
      </c>
      <c r="F751" t="s">
        <v>651</v>
      </c>
      <c r="G751" t="s">
        <v>724</v>
      </c>
      <c r="H751">
        <v>2</v>
      </c>
      <c r="I751">
        <v>2</v>
      </c>
      <c r="J751">
        <v>2</v>
      </c>
      <c r="K751">
        <v>1</v>
      </c>
      <c r="L751">
        <v>2</v>
      </c>
      <c r="M751">
        <v>2</v>
      </c>
      <c r="N751">
        <v>2</v>
      </c>
      <c r="O751">
        <v>2</v>
      </c>
      <c r="P751">
        <v>2</v>
      </c>
      <c r="Q751">
        <v>2</v>
      </c>
      <c r="R751">
        <v>1</v>
      </c>
      <c r="S751">
        <v>2</v>
      </c>
      <c r="T751">
        <f t="shared" si="35"/>
        <v>22</v>
      </c>
      <c r="U751">
        <v>1</v>
      </c>
    </row>
    <row r="752" spans="1:21" x14ac:dyDescent="0.3">
      <c r="A752" t="str">
        <f t="shared" si="33"/>
        <v>GreenwichShort-term residential/nursing care for someone likely to require a longer-term care home placement (pathway 3)1</v>
      </c>
      <c r="B752">
        <f>IF(C752="","",COUNTIF($C$2:C752,C752))</f>
        <v>1</v>
      </c>
      <c r="C752" t="str">
        <f t="shared" si="34"/>
        <v>GreenwichShort-term residential/nursing care for someone likely to require a longer-term care home placement (pathway 3)</v>
      </c>
      <c r="D752" t="str">
        <f>VLOOKUP(G752,PathwayLookup!A:B,2,0)</f>
        <v>Short-term residential/nursing care for someone likely to require a longer-term care home placement (pathway 3)</v>
      </c>
      <c r="E752" t="s">
        <v>155</v>
      </c>
      <c r="F752" t="s">
        <v>510</v>
      </c>
      <c r="G752" t="s">
        <v>686</v>
      </c>
      <c r="H752">
        <v>1</v>
      </c>
      <c r="I752">
        <v>0</v>
      </c>
      <c r="J752">
        <v>1</v>
      </c>
      <c r="K752">
        <v>0</v>
      </c>
      <c r="L752">
        <v>1</v>
      </c>
      <c r="M752">
        <v>1</v>
      </c>
      <c r="N752">
        <v>1</v>
      </c>
      <c r="O752">
        <v>0</v>
      </c>
      <c r="P752">
        <v>1</v>
      </c>
      <c r="Q752">
        <v>1</v>
      </c>
      <c r="R752">
        <v>0</v>
      </c>
      <c r="S752">
        <v>0</v>
      </c>
      <c r="T752">
        <f t="shared" si="35"/>
        <v>7</v>
      </c>
      <c r="U752">
        <v>1</v>
      </c>
    </row>
    <row r="753" spans="1:21" x14ac:dyDescent="0.3">
      <c r="A753" t="str">
        <f t="shared" si="33"/>
        <v>GreenwichShort-term residential/nursing care for someone likely to require a longer-term care home placement (pathway 3)2</v>
      </c>
      <c r="B753">
        <f>IF(C753="","",COUNTIF($C$2:C753,C753))</f>
        <v>2</v>
      </c>
      <c r="C753" t="str">
        <f t="shared" si="34"/>
        <v>GreenwichShort-term residential/nursing care for someone likely to require a longer-term care home placement (pathway 3)</v>
      </c>
      <c r="D753" t="str">
        <f>VLOOKUP(G753,PathwayLookup!A:B,2,0)</f>
        <v>Short-term residential/nursing care for someone likely to require a longer-term care home placement (pathway 3)</v>
      </c>
      <c r="E753" t="s">
        <v>155</v>
      </c>
      <c r="F753" t="s">
        <v>526</v>
      </c>
      <c r="G753" t="s">
        <v>686</v>
      </c>
      <c r="H753">
        <v>1</v>
      </c>
      <c r="I753">
        <v>0</v>
      </c>
      <c r="J753">
        <v>1</v>
      </c>
      <c r="K753">
        <v>0</v>
      </c>
      <c r="L753">
        <v>1</v>
      </c>
      <c r="M753">
        <v>1</v>
      </c>
      <c r="N753">
        <v>1</v>
      </c>
      <c r="O753">
        <v>1</v>
      </c>
      <c r="P753">
        <v>0</v>
      </c>
      <c r="Q753">
        <v>1</v>
      </c>
      <c r="R753">
        <v>0</v>
      </c>
      <c r="S753">
        <v>1</v>
      </c>
      <c r="T753">
        <f t="shared" si="35"/>
        <v>8</v>
      </c>
      <c r="U753">
        <v>1</v>
      </c>
    </row>
    <row r="754" spans="1:21" x14ac:dyDescent="0.3">
      <c r="A754" t="str">
        <f t="shared" si="33"/>
        <v>GreenwichShort-term residential/nursing care for someone likely to require a longer-term care home placement (pathway 3)3</v>
      </c>
      <c r="B754">
        <f>IF(C754="","",COUNTIF($C$2:C754,C754))</f>
        <v>3</v>
      </c>
      <c r="C754" t="str">
        <f t="shared" si="34"/>
        <v>GreenwichShort-term residential/nursing care for someone likely to require a longer-term care home placement (pathway 3)</v>
      </c>
      <c r="D754" t="str">
        <f>VLOOKUP(G754,PathwayLookup!A:B,2,0)</f>
        <v>Short-term residential/nursing care for someone likely to require a longer-term care home placement (pathway 3)</v>
      </c>
      <c r="E754" t="s">
        <v>155</v>
      </c>
      <c r="F754" t="s">
        <v>534</v>
      </c>
      <c r="G754" t="s">
        <v>686</v>
      </c>
      <c r="H754">
        <v>5</v>
      </c>
      <c r="I754">
        <v>3</v>
      </c>
      <c r="J754">
        <v>8</v>
      </c>
      <c r="K754">
        <v>5</v>
      </c>
      <c r="L754">
        <v>8</v>
      </c>
      <c r="M754">
        <v>12</v>
      </c>
      <c r="N754">
        <v>7</v>
      </c>
      <c r="O754">
        <v>5</v>
      </c>
      <c r="P754">
        <v>5</v>
      </c>
      <c r="Q754">
        <v>6</v>
      </c>
      <c r="R754">
        <v>1</v>
      </c>
      <c r="S754">
        <v>5</v>
      </c>
      <c r="T754">
        <f t="shared" si="35"/>
        <v>70</v>
      </c>
      <c r="U754">
        <v>1</v>
      </c>
    </row>
    <row r="755" spans="1:21" x14ac:dyDescent="0.3">
      <c r="A755" t="str">
        <f t="shared" si="33"/>
        <v>GreenwichShort-term residential/nursing care for someone likely to require a longer-term care home placement (pathway 3)4</v>
      </c>
      <c r="B755">
        <f>IF(C755="","",COUNTIF($C$2:C755,C755))</f>
        <v>4</v>
      </c>
      <c r="C755" t="str">
        <f t="shared" si="34"/>
        <v>GreenwichShort-term residential/nursing care for someone likely to require a longer-term care home placement (pathway 3)</v>
      </c>
      <c r="D755" t="str">
        <f>VLOOKUP(G755,PathwayLookup!A:B,2,0)</f>
        <v>Short-term residential/nursing care for someone likely to require a longer-term care home placement (pathway 3)</v>
      </c>
      <c r="E755" t="s">
        <v>155</v>
      </c>
      <c r="F755" t="s">
        <v>651</v>
      </c>
      <c r="G755" t="s">
        <v>686</v>
      </c>
      <c r="H755">
        <v>0</v>
      </c>
      <c r="I755">
        <v>0</v>
      </c>
      <c r="J755">
        <v>1</v>
      </c>
      <c r="K755">
        <v>0</v>
      </c>
      <c r="L755">
        <v>1</v>
      </c>
      <c r="M755">
        <v>1</v>
      </c>
      <c r="N755">
        <v>1</v>
      </c>
      <c r="O755">
        <v>0</v>
      </c>
      <c r="P755">
        <v>1</v>
      </c>
      <c r="Q755">
        <v>1</v>
      </c>
      <c r="R755">
        <v>0</v>
      </c>
      <c r="S755">
        <v>0</v>
      </c>
      <c r="T755">
        <f t="shared" si="35"/>
        <v>6</v>
      </c>
      <c r="U755">
        <v>1</v>
      </c>
    </row>
    <row r="756" spans="1:21" x14ac:dyDescent="0.3">
      <c r="A756" t="str">
        <f t="shared" si="33"/>
        <v>HackneySocial support (including VCS) (pathway 0)1</v>
      </c>
      <c r="B756">
        <f>IF(C756="","",COUNTIF($C$2:C756,C756))</f>
        <v>1</v>
      </c>
      <c r="C756" t="str">
        <f t="shared" si="34"/>
        <v>HackneySocial support (including VCS) (pathway 0)</v>
      </c>
      <c r="D756" t="str">
        <f>VLOOKUP(G756,PathwayLookup!A:B,2,0)</f>
        <v>Social support (including VCS) (pathway 0)</v>
      </c>
      <c r="E756" t="s">
        <v>157</v>
      </c>
      <c r="F756" t="s">
        <v>456</v>
      </c>
      <c r="G756" t="s">
        <v>682</v>
      </c>
      <c r="H756">
        <v>1</v>
      </c>
      <c r="I756">
        <v>1</v>
      </c>
      <c r="J756">
        <v>1</v>
      </c>
      <c r="K756">
        <v>1</v>
      </c>
      <c r="L756">
        <v>1</v>
      </c>
      <c r="M756">
        <v>1</v>
      </c>
      <c r="N756">
        <v>1</v>
      </c>
      <c r="O756">
        <v>1</v>
      </c>
      <c r="P756">
        <v>1</v>
      </c>
      <c r="Q756">
        <v>1</v>
      </c>
      <c r="R756">
        <v>1</v>
      </c>
      <c r="S756">
        <v>1</v>
      </c>
      <c r="T756">
        <f t="shared" si="35"/>
        <v>12</v>
      </c>
      <c r="U756">
        <v>1</v>
      </c>
    </row>
    <row r="757" spans="1:21" x14ac:dyDescent="0.3">
      <c r="A757" t="str">
        <f t="shared" si="33"/>
        <v>HackneySocial support (including VCS) (pathway 0)2</v>
      </c>
      <c r="B757">
        <f>IF(C757="","",COUNTIF($C$2:C757,C757))</f>
        <v>2</v>
      </c>
      <c r="C757" t="str">
        <f t="shared" si="34"/>
        <v>HackneySocial support (including VCS) (pathway 0)</v>
      </c>
      <c r="D757" t="str">
        <f>VLOOKUP(G757,PathwayLookup!A:B,2,0)</f>
        <v>Social support (including VCS) (pathway 0)</v>
      </c>
      <c r="E757" t="s">
        <v>157</v>
      </c>
      <c r="F757" t="s">
        <v>516</v>
      </c>
      <c r="G757" t="s">
        <v>682</v>
      </c>
      <c r="H757">
        <v>82</v>
      </c>
      <c r="I757">
        <v>82</v>
      </c>
      <c r="J757">
        <v>82</v>
      </c>
      <c r="K757">
        <v>82</v>
      </c>
      <c r="L757">
        <v>82</v>
      </c>
      <c r="M757">
        <v>82</v>
      </c>
      <c r="N757">
        <v>82</v>
      </c>
      <c r="O757">
        <v>82</v>
      </c>
      <c r="P757">
        <v>82</v>
      </c>
      <c r="Q757">
        <v>82</v>
      </c>
      <c r="R757">
        <v>82</v>
      </c>
      <c r="S757">
        <v>82</v>
      </c>
      <c r="T757">
        <f t="shared" si="35"/>
        <v>984</v>
      </c>
      <c r="U757">
        <v>1</v>
      </c>
    </row>
    <row r="758" spans="1:21" x14ac:dyDescent="0.3">
      <c r="A758" t="str">
        <f t="shared" si="33"/>
        <v>HackneySocial support (including VCS) (pathway 0)3</v>
      </c>
      <c r="B758">
        <f>IF(C758="","",COUNTIF($C$2:C758,C758))</f>
        <v>3</v>
      </c>
      <c r="C758" t="str">
        <f t="shared" si="34"/>
        <v>HackneySocial support (including VCS) (pathway 0)</v>
      </c>
      <c r="D758" t="str">
        <f>VLOOKUP(G758,PathwayLookup!A:B,2,0)</f>
        <v>Social support (including VCS) (pathway 0)</v>
      </c>
      <c r="E758" t="s">
        <v>157</v>
      </c>
      <c r="F758" t="s">
        <v>651</v>
      </c>
      <c r="G758" t="s">
        <v>682</v>
      </c>
      <c r="H758">
        <v>5.1578361476911971E-2</v>
      </c>
      <c r="I758">
        <v>6.0926855304276002E-2</v>
      </c>
      <c r="J758">
        <v>5.8017237628900445E-2</v>
      </c>
      <c r="K758">
        <v>6.8483778988931945E-2</v>
      </c>
      <c r="L758">
        <v>6.8497249441132751E-2</v>
      </c>
      <c r="M758">
        <v>6.8389485823526247E-2</v>
      </c>
      <c r="N758">
        <v>6.7877608639895365E-2</v>
      </c>
      <c r="O758">
        <v>7.0207996870635975E-2</v>
      </c>
      <c r="P758">
        <v>6.7384087742980034E-2</v>
      </c>
      <c r="Q758">
        <v>6.8079665422907568E-2</v>
      </c>
      <c r="R758">
        <v>5.2037905179578771E-2</v>
      </c>
      <c r="S758">
        <v>0</v>
      </c>
      <c r="T758">
        <f t="shared" si="35"/>
        <v>0.70148023251967684</v>
      </c>
      <c r="U758">
        <v>1</v>
      </c>
    </row>
    <row r="759" spans="1:21" x14ac:dyDescent="0.3">
      <c r="A759" t="str">
        <f t="shared" si="33"/>
        <v>HackneyReablement &amp; Rehabilitation at home  (pathway 1)1</v>
      </c>
      <c r="B759">
        <f>IF(C759="","",COUNTIF($C$2:C759,C759))</f>
        <v>1</v>
      </c>
      <c r="C759" t="str">
        <f t="shared" si="34"/>
        <v>HackneyReablement at home  (pathway 1)</v>
      </c>
      <c r="D759" t="str">
        <f>VLOOKUP(G759,PathwayLookup!A:B,2,0)</f>
        <v>Reablement &amp; Rehabilitation at home  (pathway 1)</v>
      </c>
      <c r="E759" t="s">
        <v>157</v>
      </c>
      <c r="F759" t="s">
        <v>516</v>
      </c>
      <c r="G759" t="s">
        <v>718</v>
      </c>
      <c r="H759">
        <v>10</v>
      </c>
      <c r="I759">
        <v>10</v>
      </c>
      <c r="J759">
        <v>10</v>
      </c>
      <c r="K759">
        <v>10</v>
      </c>
      <c r="L759">
        <v>10</v>
      </c>
      <c r="M759">
        <v>10</v>
      </c>
      <c r="N759">
        <v>10</v>
      </c>
      <c r="O759">
        <v>10</v>
      </c>
      <c r="P759">
        <v>10</v>
      </c>
      <c r="Q759">
        <v>10</v>
      </c>
      <c r="R759">
        <v>10</v>
      </c>
      <c r="S759">
        <v>10</v>
      </c>
      <c r="T759">
        <f t="shared" si="35"/>
        <v>120</v>
      </c>
      <c r="U759">
        <v>1</v>
      </c>
    </row>
    <row r="760" spans="1:21" x14ac:dyDescent="0.3">
      <c r="A760" t="str">
        <f t="shared" si="33"/>
        <v>HackneyReablement &amp; Rehabilitation at home  (pathway 1)2</v>
      </c>
      <c r="B760">
        <f>IF(C760="","",COUNTIF($C$2:C760,C760))</f>
        <v>2</v>
      </c>
      <c r="C760" t="str">
        <f t="shared" si="34"/>
        <v>HackneyReablement at home  (pathway 1)</v>
      </c>
      <c r="D760" t="str">
        <f>VLOOKUP(G760,PathwayLookup!A:B,2,0)</f>
        <v>Reablement &amp; Rehabilitation at home  (pathway 1)</v>
      </c>
      <c r="E760" t="s">
        <v>157</v>
      </c>
      <c r="F760" t="s">
        <v>651</v>
      </c>
      <c r="G760" t="s">
        <v>718</v>
      </c>
      <c r="H760">
        <v>2</v>
      </c>
      <c r="I760">
        <v>2</v>
      </c>
      <c r="J760">
        <v>2</v>
      </c>
      <c r="K760">
        <v>2</v>
      </c>
      <c r="L760">
        <v>2</v>
      </c>
      <c r="M760">
        <v>2</v>
      </c>
      <c r="N760">
        <v>2</v>
      </c>
      <c r="O760">
        <v>2</v>
      </c>
      <c r="P760">
        <v>2</v>
      </c>
      <c r="Q760">
        <v>2</v>
      </c>
      <c r="R760">
        <v>2</v>
      </c>
      <c r="S760">
        <v>2</v>
      </c>
      <c r="T760">
        <f t="shared" si="35"/>
        <v>24</v>
      </c>
      <c r="U760">
        <v>1</v>
      </c>
    </row>
    <row r="761" spans="1:21" x14ac:dyDescent="0.3">
      <c r="A761" t="str">
        <f t="shared" si="33"/>
        <v>HackneyReablement &amp; Rehabilitation at home  (pathway 1)1</v>
      </c>
      <c r="B761">
        <f>IF(C761="","",COUNTIF($C$2:C761,C761))</f>
        <v>1</v>
      </c>
      <c r="C761" t="str">
        <f t="shared" si="34"/>
        <v>HackneyRehabilitation at home (pathway 1)</v>
      </c>
      <c r="D761" t="str">
        <f>VLOOKUP(G761,PathwayLookup!A:B,2,0)</f>
        <v>Reablement &amp; Rehabilitation at home  (pathway 1)</v>
      </c>
      <c r="E761" t="s">
        <v>157</v>
      </c>
      <c r="F761" t="s">
        <v>456</v>
      </c>
      <c r="G761" t="s">
        <v>719</v>
      </c>
      <c r="H761">
        <v>17</v>
      </c>
      <c r="I761">
        <v>17</v>
      </c>
      <c r="J761">
        <v>17</v>
      </c>
      <c r="K761">
        <v>17</v>
      </c>
      <c r="L761">
        <v>17</v>
      </c>
      <c r="M761">
        <v>17</v>
      </c>
      <c r="N761">
        <v>17</v>
      </c>
      <c r="O761">
        <v>17</v>
      </c>
      <c r="P761">
        <v>17</v>
      </c>
      <c r="Q761">
        <v>17</v>
      </c>
      <c r="R761">
        <v>17</v>
      </c>
      <c r="S761">
        <v>17</v>
      </c>
      <c r="T761">
        <f t="shared" si="35"/>
        <v>204</v>
      </c>
      <c r="U761">
        <v>1</v>
      </c>
    </row>
    <row r="762" spans="1:21" x14ac:dyDescent="0.3">
      <c r="A762" t="str">
        <f t="shared" si="33"/>
        <v>HackneyReablement &amp; Rehabilitation at home  (pathway 1)2</v>
      </c>
      <c r="B762">
        <f>IF(C762="","",COUNTIF($C$2:C762,C762))</f>
        <v>2</v>
      </c>
      <c r="C762" t="str">
        <f t="shared" si="34"/>
        <v>HackneyRehabilitation at home (pathway 1)</v>
      </c>
      <c r="D762" t="str">
        <f>VLOOKUP(G762,PathwayLookup!A:B,2,0)</f>
        <v>Reablement &amp; Rehabilitation at home  (pathway 1)</v>
      </c>
      <c r="E762" t="s">
        <v>157</v>
      </c>
      <c r="F762" t="s">
        <v>516</v>
      </c>
      <c r="G762" t="s">
        <v>719</v>
      </c>
      <c r="H762">
        <v>42</v>
      </c>
      <c r="I762">
        <v>42</v>
      </c>
      <c r="J762">
        <v>42</v>
      </c>
      <c r="K762">
        <v>42</v>
      </c>
      <c r="L762">
        <v>42</v>
      </c>
      <c r="M762">
        <v>42</v>
      </c>
      <c r="N762">
        <v>42</v>
      </c>
      <c r="O762">
        <v>42</v>
      </c>
      <c r="P762">
        <v>42</v>
      </c>
      <c r="Q762">
        <v>42</v>
      </c>
      <c r="R762">
        <v>42</v>
      </c>
      <c r="S762">
        <v>42</v>
      </c>
      <c r="T762">
        <f t="shared" si="35"/>
        <v>504</v>
      </c>
      <c r="U762">
        <v>1</v>
      </c>
    </row>
    <row r="763" spans="1:21" x14ac:dyDescent="0.3">
      <c r="A763" t="str">
        <f t="shared" si="33"/>
        <v>HackneyReablement &amp; Rehabilitation at home  (pathway 1)3</v>
      </c>
      <c r="B763">
        <f>IF(C763="","",COUNTIF($C$2:C763,C763))</f>
        <v>3</v>
      </c>
      <c r="C763" t="str">
        <f t="shared" si="34"/>
        <v>HackneyRehabilitation at home (pathway 1)</v>
      </c>
      <c r="D763" t="str">
        <f>VLOOKUP(G763,PathwayLookup!A:B,2,0)</f>
        <v>Reablement &amp; Rehabilitation at home  (pathway 1)</v>
      </c>
      <c r="E763" t="s">
        <v>157</v>
      </c>
      <c r="F763" t="s">
        <v>651</v>
      </c>
      <c r="G763" t="s">
        <v>719</v>
      </c>
      <c r="H763">
        <v>10</v>
      </c>
      <c r="I763">
        <v>10</v>
      </c>
      <c r="J763">
        <v>10</v>
      </c>
      <c r="K763">
        <v>10</v>
      </c>
      <c r="L763">
        <v>10</v>
      </c>
      <c r="M763">
        <v>10</v>
      </c>
      <c r="N763">
        <v>10</v>
      </c>
      <c r="O763">
        <v>10</v>
      </c>
      <c r="P763">
        <v>10</v>
      </c>
      <c r="Q763">
        <v>10</v>
      </c>
      <c r="R763">
        <v>10</v>
      </c>
      <c r="S763">
        <v>10</v>
      </c>
      <c r="T763">
        <f t="shared" si="35"/>
        <v>120</v>
      </c>
      <c r="U763">
        <v>1</v>
      </c>
    </row>
    <row r="764" spans="1:21" x14ac:dyDescent="0.3">
      <c r="A764" t="str">
        <f t="shared" si="33"/>
        <v>HackneyShort term domiciliary care (pathway 1)1</v>
      </c>
      <c r="B764">
        <f>IF(C764="","",COUNTIF($C$2:C764,C764))</f>
        <v>1</v>
      </c>
      <c r="C764" t="str">
        <f t="shared" si="34"/>
        <v>HackneyShort term domiciliary care (pathway 1)</v>
      </c>
      <c r="D764" t="str">
        <f>VLOOKUP(G764,PathwayLookup!A:B,2,0)</f>
        <v>Short term domiciliary care (pathway 1)</v>
      </c>
      <c r="E764" t="s">
        <v>157</v>
      </c>
      <c r="F764" t="s">
        <v>456</v>
      </c>
      <c r="G764" t="s">
        <v>684</v>
      </c>
      <c r="H764">
        <v>21</v>
      </c>
      <c r="I764">
        <v>21</v>
      </c>
      <c r="J764">
        <v>21</v>
      </c>
      <c r="K764">
        <v>21</v>
      </c>
      <c r="L764">
        <v>21</v>
      </c>
      <c r="M764">
        <v>21</v>
      </c>
      <c r="N764">
        <v>21</v>
      </c>
      <c r="O764">
        <v>21</v>
      </c>
      <c r="P764">
        <v>21</v>
      </c>
      <c r="Q764">
        <v>21</v>
      </c>
      <c r="R764">
        <v>21</v>
      </c>
      <c r="S764">
        <v>21</v>
      </c>
      <c r="T764">
        <f t="shared" si="35"/>
        <v>252</v>
      </c>
      <c r="U764">
        <v>1</v>
      </c>
    </row>
    <row r="765" spans="1:21" x14ac:dyDescent="0.3">
      <c r="A765" t="str">
        <f t="shared" si="33"/>
        <v>HackneyShort term domiciliary care (pathway 1)2</v>
      </c>
      <c r="B765">
        <f>IF(C765="","",COUNTIF($C$2:C765,C765))</f>
        <v>2</v>
      </c>
      <c r="C765" t="str">
        <f t="shared" si="34"/>
        <v>HackneyShort term domiciliary care (pathway 1)</v>
      </c>
      <c r="D765" t="str">
        <f>VLOOKUP(G765,PathwayLookup!A:B,2,0)</f>
        <v>Short term domiciliary care (pathway 1)</v>
      </c>
      <c r="E765" t="s">
        <v>157</v>
      </c>
      <c r="F765" t="s">
        <v>516</v>
      </c>
      <c r="G765" t="s">
        <v>684</v>
      </c>
      <c r="H765">
        <v>50</v>
      </c>
      <c r="I765">
        <v>50</v>
      </c>
      <c r="J765">
        <v>50</v>
      </c>
      <c r="K765">
        <v>50</v>
      </c>
      <c r="L765">
        <v>50</v>
      </c>
      <c r="M765">
        <v>50</v>
      </c>
      <c r="N765">
        <v>50</v>
      </c>
      <c r="O765">
        <v>50</v>
      </c>
      <c r="P765">
        <v>50</v>
      </c>
      <c r="Q765">
        <v>50</v>
      </c>
      <c r="R765">
        <v>50</v>
      </c>
      <c r="S765">
        <v>50</v>
      </c>
      <c r="T765">
        <f t="shared" si="35"/>
        <v>600</v>
      </c>
      <c r="U765">
        <v>1</v>
      </c>
    </row>
    <row r="766" spans="1:21" x14ac:dyDescent="0.3">
      <c r="A766" t="str">
        <f t="shared" si="33"/>
        <v>HackneyShort term domiciliary care (pathway 1)3</v>
      </c>
      <c r="B766">
        <f>IF(C766="","",COUNTIF($C$2:C766,C766))</f>
        <v>3</v>
      </c>
      <c r="C766" t="str">
        <f t="shared" si="34"/>
        <v>HackneyShort term domiciliary care (pathway 1)</v>
      </c>
      <c r="D766" t="str">
        <f>VLOOKUP(G766,PathwayLookup!A:B,2,0)</f>
        <v>Short term domiciliary care (pathway 1)</v>
      </c>
      <c r="E766" t="s">
        <v>157</v>
      </c>
      <c r="F766" t="s">
        <v>651</v>
      </c>
      <c r="G766" t="s">
        <v>684</v>
      </c>
      <c r="H766">
        <v>13</v>
      </c>
      <c r="I766">
        <v>13</v>
      </c>
      <c r="J766">
        <v>13</v>
      </c>
      <c r="K766">
        <v>13</v>
      </c>
      <c r="L766">
        <v>13</v>
      </c>
      <c r="M766">
        <v>13</v>
      </c>
      <c r="N766">
        <v>13</v>
      </c>
      <c r="O766">
        <v>13</v>
      </c>
      <c r="P766">
        <v>13</v>
      </c>
      <c r="Q766">
        <v>13</v>
      </c>
      <c r="R766">
        <v>13</v>
      </c>
      <c r="S766">
        <v>13</v>
      </c>
      <c r="T766">
        <f t="shared" si="35"/>
        <v>156</v>
      </c>
      <c r="U766">
        <v>1</v>
      </c>
    </row>
    <row r="767" spans="1:21" x14ac:dyDescent="0.3">
      <c r="A767" t="str">
        <f t="shared" si="33"/>
        <v>HackneyReablement &amp; Rehabilitation in a bedded setting (pathway 2)1</v>
      </c>
      <c r="B767">
        <f>IF(C767="","",COUNTIF($C$2:C767,C767))</f>
        <v>1</v>
      </c>
      <c r="C767" t="str">
        <f t="shared" si="34"/>
        <v>HackneyReablement in a bedded setting (pathway 2)</v>
      </c>
      <c r="D767" t="str">
        <f>VLOOKUP(G767,PathwayLookup!A:B,2,0)</f>
        <v>Reablement &amp; Rehabilitation in a bedded setting (pathway 2)</v>
      </c>
      <c r="E767" t="s">
        <v>157</v>
      </c>
      <c r="F767" t="s">
        <v>456</v>
      </c>
      <c r="G767" t="s">
        <v>722</v>
      </c>
      <c r="H767">
        <v>1</v>
      </c>
      <c r="I767">
        <v>1</v>
      </c>
      <c r="J767">
        <v>1</v>
      </c>
      <c r="K767">
        <v>1</v>
      </c>
      <c r="L767">
        <v>1</v>
      </c>
      <c r="M767">
        <v>1</v>
      </c>
      <c r="N767">
        <v>1</v>
      </c>
      <c r="O767">
        <v>1</v>
      </c>
      <c r="P767">
        <v>1</v>
      </c>
      <c r="Q767">
        <v>1</v>
      </c>
      <c r="R767">
        <v>1</v>
      </c>
      <c r="S767">
        <v>1</v>
      </c>
      <c r="T767">
        <f t="shared" si="35"/>
        <v>12</v>
      </c>
      <c r="U767">
        <v>1</v>
      </c>
    </row>
    <row r="768" spans="1:21" x14ac:dyDescent="0.3">
      <c r="A768" t="str">
        <f t="shared" si="33"/>
        <v>HackneyReablement &amp; Rehabilitation in a bedded setting (pathway 2)2</v>
      </c>
      <c r="B768">
        <f>IF(C768="","",COUNTIF($C$2:C768,C768))</f>
        <v>2</v>
      </c>
      <c r="C768" t="str">
        <f t="shared" si="34"/>
        <v>HackneyReablement in a bedded setting (pathway 2)</v>
      </c>
      <c r="D768" t="str">
        <f>VLOOKUP(G768,PathwayLookup!A:B,2,0)</f>
        <v>Reablement &amp; Rehabilitation in a bedded setting (pathway 2)</v>
      </c>
      <c r="E768" t="s">
        <v>157</v>
      </c>
      <c r="F768" t="s">
        <v>516</v>
      </c>
      <c r="G768" t="s">
        <v>722</v>
      </c>
      <c r="H768">
        <v>1</v>
      </c>
      <c r="I768">
        <v>1</v>
      </c>
      <c r="J768">
        <v>1</v>
      </c>
      <c r="K768">
        <v>1</v>
      </c>
      <c r="L768">
        <v>1</v>
      </c>
      <c r="M768">
        <v>1</v>
      </c>
      <c r="N768">
        <v>1</v>
      </c>
      <c r="O768">
        <v>1</v>
      </c>
      <c r="P768">
        <v>1</v>
      </c>
      <c r="Q768">
        <v>1</v>
      </c>
      <c r="R768">
        <v>1</v>
      </c>
      <c r="S768">
        <v>1</v>
      </c>
      <c r="T768">
        <f t="shared" si="35"/>
        <v>12</v>
      </c>
      <c r="U768">
        <v>1</v>
      </c>
    </row>
    <row r="769" spans="1:21" x14ac:dyDescent="0.3">
      <c r="A769" t="str">
        <f t="shared" si="33"/>
        <v>HackneyReablement &amp; Rehabilitation in a bedded setting (pathway 2)3</v>
      </c>
      <c r="B769">
        <f>IF(C769="","",COUNTIF($C$2:C769,C769))</f>
        <v>3</v>
      </c>
      <c r="C769" t="str">
        <f t="shared" si="34"/>
        <v>HackneyReablement in a bedded setting (pathway 2)</v>
      </c>
      <c r="D769" t="str">
        <f>VLOOKUP(G769,PathwayLookup!A:B,2,0)</f>
        <v>Reablement &amp; Rehabilitation in a bedded setting (pathway 2)</v>
      </c>
      <c r="E769" t="s">
        <v>157</v>
      </c>
      <c r="F769" t="s">
        <v>651</v>
      </c>
      <c r="G769" t="s">
        <v>722</v>
      </c>
      <c r="H769">
        <v>5.1578361476911971E-2</v>
      </c>
      <c r="I769">
        <v>6.0926855304276002E-2</v>
      </c>
      <c r="J769">
        <v>5.8017237628900445E-2</v>
      </c>
      <c r="K769">
        <v>6.8483778988931945E-2</v>
      </c>
      <c r="L769">
        <v>6.8497249441132751E-2</v>
      </c>
      <c r="M769">
        <v>6.8389485823526247E-2</v>
      </c>
      <c r="N769">
        <v>6.7877608639895365E-2</v>
      </c>
      <c r="O769">
        <v>7.0207996870635975E-2</v>
      </c>
      <c r="P769">
        <v>6.7384087742980034E-2</v>
      </c>
      <c r="Q769">
        <v>6.8079665422907568E-2</v>
      </c>
      <c r="R769">
        <v>5.2037905179578771E-2</v>
      </c>
      <c r="S769">
        <v>6.7864138187694559E-2</v>
      </c>
      <c r="T769">
        <f t="shared" si="35"/>
        <v>0.76934437070737138</v>
      </c>
      <c r="U769">
        <v>1</v>
      </c>
    </row>
    <row r="770" spans="1:21" x14ac:dyDescent="0.3">
      <c r="A770" t="str">
        <f t="shared" ref="A770:A833" si="36">IF(B770="","",E770&amp;D770&amp;B770)</f>
        <v>HackneyReablement &amp; Rehabilitation in a bedded setting (pathway 2)1</v>
      </c>
      <c r="B770">
        <f>IF(C770="","",COUNTIF($C$2:C770,C770))</f>
        <v>1</v>
      </c>
      <c r="C770" t="str">
        <f t="shared" ref="C770:C833" si="37">IF(T770=0,"",E770&amp;G770)</f>
        <v>HackneyRehabilitation in a bedded setting (pathway 2)</v>
      </c>
      <c r="D770" t="str">
        <f>VLOOKUP(G770,PathwayLookup!A:B,2,0)</f>
        <v>Reablement &amp; Rehabilitation in a bedded setting (pathway 2)</v>
      </c>
      <c r="E770" t="s">
        <v>157</v>
      </c>
      <c r="F770" t="s">
        <v>456</v>
      </c>
      <c r="G770" t="s">
        <v>724</v>
      </c>
      <c r="H770">
        <v>2</v>
      </c>
      <c r="I770">
        <v>2</v>
      </c>
      <c r="J770">
        <v>2</v>
      </c>
      <c r="K770">
        <v>2</v>
      </c>
      <c r="L770">
        <v>2</v>
      </c>
      <c r="M770">
        <v>2</v>
      </c>
      <c r="N770">
        <v>2</v>
      </c>
      <c r="O770">
        <v>2</v>
      </c>
      <c r="P770">
        <v>2</v>
      </c>
      <c r="Q770">
        <v>2</v>
      </c>
      <c r="R770">
        <v>2</v>
      </c>
      <c r="S770">
        <v>2</v>
      </c>
      <c r="T770">
        <f t="shared" ref="T770:T833" si="38">SUM(H770:S770)</f>
        <v>24</v>
      </c>
      <c r="U770">
        <v>1</v>
      </c>
    </row>
    <row r="771" spans="1:21" x14ac:dyDescent="0.3">
      <c r="A771" t="str">
        <f t="shared" si="36"/>
        <v/>
      </c>
      <c r="B771" t="str">
        <f>IF(C771="","",COUNTIF($C$2:C771,C771))</f>
        <v/>
      </c>
      <c r="C771" t="str">
        <f t="shared" si="37"/>
        <v/>
      </c>
      <c r="D771" t="str">
        <f>VLOOKUP(G771,PathwayLookup!A:B,2,0)</f>
        <v>Reablement &amp; Rehabilitation in a bedded setting (pathway 2)</v>
      </c>
      <c r="E771" t="s">
        <v>157</v>
      </c>
      <c r="F771" t="s">
        <v>651</v>
      </c>
      <c r="G771" t="s">
        <v>724</v>
      </c>
      <c r="H771">
        <v>0</v>
      </c>
      <c r="I771">
        <v>0</v>
      </c>
      <c r="J771">
        <v>0</v>
      </c>
      <c r="K771">
        <v>0</v>
      </c>
      <c r="L771">
        <v>0</v>
      </c>
      <c r="M771">
        <v>0</v>
      </c>
      <c r="N771">
        <v>0</v>
      </c>
      <c r="O771">
        <v>0</v>
      </c>
      <c r="P771">
        <v>0</v>
      </c>
      <c r="Q771">
        <v>0</v>
      </c>
      <c r="R771">
        <v>0</v>
      </c>
      <c r="S771">
        <v>0</v>
      </c>
      <c r="T771">
        <f t="shared" si="38"/>
        <v>0</v>
      </c>
      <c r="U771">
        <v>1</v>
      </c>
    </row>
    <row r="772" spans="1:21" x14ac:dyDescent="0.3">
      <c r="A772" t="str">
        <f t="shared" si="36"/>
        <v>HackneyShort-term residential/nursing care for someone likely to require a longer-term care home placement (pathway 3)1</v>
      </c>
      <c r="B772">
        <f>IF(C772="","",COUNTIF($C$2:C772,C772))</f>
        <v>1</v>
      </c>
      <c r="C772" t="str">
        <f t="shared" si="37"/>
        <v>HackneyShort-term residential/nursing care for someone likely to require a longer-term care home placement (pathway 3)</v>
      </c>
      <c r="D772" t="str">
        <f>VLOOKUP(G772,PathwayLookup!A:B,2,0)</f>
        <v>Short-term residential/nursing care for someone likely to require a longer-term care home placement (pathway 3)</v>
      </c>
      <c r="E772" t="s">
        <v>157</v>
      </c>
      <c r="F772" t="s">
        <v>456</v>
      </c>
      <c r="G772" t="s">
        <v>686</v>
      </c>
      <c r="H772">
        <v>2</v>
      </c>
      <c r="I772">
        <v>2</v>
      </c>
      <c r="J772">
        <v>2</v>
      </c>
      <c r="K772">
        <v>2</v>
      </c>
      <c r="L772">
        <v>2</v>
      </c>
      <c r="M772">
        <v>2</v>
      </c>
      <c r="N772">
        <v>2</v>
      </c>
      <c r="O772">
        <v>2</v>
      </c>
      <c r="P772">
        <v>2</v>
      </c>
      <c r="Q772">
        <v>2</v>
      </c>
      <c r="R772">
        <v>2</v>
      </c>
      <c r="S772">
        <v>2</v>
      </c>
      <c r="T772">
        <f t="shared" si="38"/>
        <v>24</v>
      </c>
      <c r="U772">
        <v>1</v>
      </c>
    </row>
    <row r="773" spans="1:21" x14ac:dyDescent="0.3">
      <c r="A773" t="str">
        <f t="shared" si="36"/>
        <v>HackneyShort-term residential/nursing care for someone likely to require a longer-term care home placement (pathway 3)2</v>
      </c>
      <c r="B773">
        <f>IF(C773="","",COUNTIF($C$2:C773,C773))</f>
        <v>2</v>
      </c>
      <c r="C773" t="str">
        <f t="shared" si="37"/>
        <v>HackneyShort-term residential/nursing care for someone likely to require a longer-term care home placement (pathway 3)</v>
      </c>
      <c r="D773" t="str">
        <f>VLOOKUP(G773,PathwayLookup!A:B,2,0)</f>
        <v>Short-term residential/nursing care for someone likely to require a longer-term care home placement (pathway 3)</v>
      </c>
      <c r="E773" t="s">
        <v>157</v>
      </c>
      <c r="F773" t="s">
        <v>516</v>
      </c>
      <c r="G773" t="s">
        <v>686</v>
      </c>
      <c r="H773">
        <v>4</v>
      </c>
      <c r="I773">
        <v>4</v>
      </c>
      <c r="J773">
        <v>4</v>
      </c>
      <c r="K773">
        <v>4</v>
      </c>
      <c r="L773">
        <v>4</v>
      </c>
      <c r="M773">
        <v>4</v>
      </c>
      <c r="N773">
        <v>4</v>
      </c>
      <c r="O773">
        <v>4</v>
      </c>
      <c r="P773">
        <v>4</v>
      </c>
      <c r="Q773">
        <v>4</v>
      </c>
      <c r="R773">
        <v>4</v>
      </c>
      <c r="S773">
        <v>4</v>
      </c>
      <c r="T773">
        <f t="shared" si="38"/>
        <v>48</v>
      </c>
      <c r="U773">
        <v>1</v>
      </c>
    </row>
    <row r="774" spans="1:21" x14ac:dyDescent="0.3">
      <c r="A774" t="str">
        <f t="shared" si="36"/>
        <v>HackneyShort-term residential/nursing care for someone likely to require a longer-term care home placement (pathway 3)3</v>
      </c>
      <c r="B774">
        <f>IF(C774="","",COUNTIF($C$2:C774,C774))</f>
        <v>3</v>
      </c>
      <c r="C774" t="str">
        <f t="shared" si="37"/>
        <v>HackneyShort-term residential/nursing care for someone likely to require a longer-term care home placement (pathway 3)</v>
      </c>
      <c r="D774" t="str">
        <f>VLOOKUP(G774,PathwayLookup!A:B,2,0)</f>
        <v>Short-term residential/nursing care for someone likely to require a longer-term care home placement (pathway 3)</v>
      </c>
      <c r="E774" t="s">
        <v>157</v>
      </c>
      <c r="F774" t="s">
        <v>651</v>
      </c>
      <c r="G774" t="s">
        <v>686</v>
      </c>
      <c r="H774">
        <v>1</v>
      </c>
      <c r="I774">
        <v>1</v>
      </c>
      <c r="J774">
        <v>1</v>
      </c>
      <c r="K774">
        <v>1</v>
      </c>
      <c r="L774">
        <v>1</v>
      </c>
      <c r="M774">
        <v>1</v>
      </c>
      <c r="N774">
        <v>1</v>
      </c>
      <c r="O774">
        <v>1</v>
      </c>
      <c r="P774">
        <v>1</v>
      </c>
      <c r="Q774">
        <v>1</v>
      </c>
      <c r="R774">
        <v>1</v>
      </c>
      <c r="S774">
        <v>1</v>
      </c>
      <c r="T774">
        <f t="shared" si="38"/>
        <v>12</v>
      </c>
      <c r="U774">
        <v>1</v>
      </c>
    </row>
    <row r="775" spans="1:21" x14ac:dyDescent="0.3">
      <c r="A775" t="str">
        <f t="shared" si="36"/>
        <v/>
      </c>
      <c r="B775" t="str">
        <f>IF(C775="","",COUNTIF($C$2:C775,C775))</f>
        <v/>
      </c>
      <c r="C775" t="str">
        <f t="shared" si="37"/>
        <v/>
      </c>
      <c r="D775" t="str">
        <f>VLOOKUP(G775,PathwayLookup!A:B,2,0)</f>
        <v>Social support (including VCS) (pathway 0)</v>
      </c>
      <c r="E775" t="s">
        <v>159</v>
      </c>
      <c r="F775" t="s">
        <v>448</v>
      </c>
      <c r="G775" t="s">
        <v>682</v>
      </c>
      <c r="H775">
        <v>0</v>
      </c>
      <c r="I775">
        <v>0</v>
      </c>
      <c r="J775">
        <v>0</v>
      </c>
      <c r="K775">
        <v>0</v>
      </c>
      <c r="L775">
        <v>0</v>
      </c>
      <c r="M775">
        <v>0</v>
      </c>
      <c r="N775">
        <v>0</v>
      </c>
      <c r="O775">
        <v>0</v>
      </c>
      <c r="P775">
        <v>0</v>
      </c>
      <c r="Q775">
        <v>0</v>
      </c>
      <c r="R775">
        <v>0</v>
      </c>
      <c r="S775">
        <v>0</v>
      </c>
      <c r="T775">
        <f t="shared" si="38"/>
        <v>0</v>
      </c>
      <c r="U775">
        <v>1</v>
      </c>
    </row>
    <row r="776" spans="1:21" x14ac:dyDescent="0.3">
      <c r="A776" t="str">
        <f t="shared" si="36"/>
        <v>HaltonSocial support (including VCS) (pathway 0)1</v>
      </c>
      <c r="B776">
        <f>IF(C776="","",COUNTIF($C$2:C776,C776))</f>
        <v>1</v>
      </c>
      <c r="C776" t="str">
        <f t="shared" si="37"/>
        <v>HaltonSocial support (including VCS) (pathway 0)</v>
      </c>
      <c r="D776" t="str">
        <f>VLOOKUP(G776,PathwayLookup!A:B,2,0)</f>
        <v>Social support (including VCS) (pathway 0)</v>
      </c>
      <c r="E776" t="s">
        <v>159</v>
      </c>
      <c r="F776" t="s">
        <v>601</v>
      </c>
      <c r="G776" t="s">
        <v>682</v>
      </c>
      <c r="H776">
        <v>5</v>
      </c>
      <c r="I776">
        <v>5</v>
      </c>
      <c r="J776">
        <v>5</v>
      </c>
      <c r="K776">
        <v>5</v>
      </c>
      <c r="L776">
        <v>5</v>
      </c>
      <c r="M776">
        <v>5</v>
      </c>
      <c r="N776">
        <v>5</v>
      </c>
      <c r="O776">
        <v>5</v>
      </c>
      <c r="P776">
        <v>5</v>
      </c>
      <c r="Q776">
        <v>5</v>
      </c>
      <c r="R776">
        <v>5</v>
      </c>
      <c r="S776">
        <v>5</v>
      </c>
      <c r="T776">
        <f t="shared" si="38"/>
        <v>60</v>
      </c>
      <c r="U776">
        <v>1</v>
      </c>
    </row>
    <row r="777" spans="1:21" x14ac:dyDescent="0.3">
      <c r="A777" t="str">
        <f t="shared" si="36"/>
        <v>HaltonSocial support (including VCS) (pathway 0)2</v>
      </c>
      <c r="B777">
        <f>IF(C777="","",COUNTIF($C$2:C777,C777))</f>
        <v>2</v>
      </c>
      <c r="C777" t="str">
        <f t="shared" si="37"/>
        <v>HaltonSocial support (including VCS) (pathway 0)</v>
      </c>
      <c r="D777" t="str">
        <f>VLOOKUP(G777,PathwayLookup!A:B,2,0)</f>
        <v>Social support (including VCS) (pathway 0)</v>
      </c>
      <c r="E777" t="s">
        <v>159</v>
      </c>
      <c r="F777" t="s">
        <v>639</v>
      </c>
      <c r="G777" t="s">
        <v>682</v>
      </c>
      <c r="H777">
        <v>3</v>
      </c>
      <c r="I777">
        <v>3</v>
      </c>
      <c r="J777">
        <v>3</v>
      </c>
      <c r="K777">
        <v>3</v>
      </c>
      <c r="L777">
        <v>3</v>
      </c>
      <c r="M777">
        <v>3</v>
      </c>
      <c r="N777">
        <v>3</v>
      </c>
      <c r="O777">
        <v>3</v>
      </c>
      <c r="P777">
        <v>3</v>
      </c>
      <c r="Q777">
        <v>3</v>
      </c>
      <c r="R777">
        <v>3</v>
      </c>
      <c r="S777">
        <v>3</v>
      </c>
      <c r="T777">
        <f t="shared" si="38"/>
        <v>36</v>
      </c>
      <c r="U777">
        <v>1</v>
      </c>
    </row>
    <row r="778" spans="1:21" x14ac:dyDescent="0.3">
      <c r="A778" t="str">
        <f t="shared" si="36"/>
        <v/>
      </c>
      <c r="B778" t="str">
        <f>IF(C778="","",COUNTIF($C$2:C778,C778))</f>
        <v/>
      </c>
      <c r="C778" t="str">
        <f t="shared" si="37"/>
        <v/>
      </c>
      <c r="D778" t="str">
        <f>VLOOKUP(G778,PathwayLookup!A:B,2,0)</f>
        <v>Social support (including VCS) (pathway 0)</v>
      </c>
      <c r="E778" t="s">
        <v>159</v>
      </c>
      <c r="F778" t="s">
        <v>651</v>
      </c>
      <c r="G778" t="s">
        <v>682</v>
      </c>
      <c r="H778">
        <v>0</v>
      </c>
      <c r="I778">
        <v>0</v>
      </c>
      <c r="J778">
        <v>0</v>
      </c>
      <c r="K778">
        <v>0</v>
      </c>
      <c r="L778">
        <v>0</v>
      </c>
      <c r="M778">
        <v>0</v>
      </c>
      <c r="N778">
        <v>0</v>
      </c>
      <c r="O778">
        <v>0</v>
      </c>
      <c r="P778">
        <v>0</v>
      </c>
      <c r="Q778">
        <v>0</v>
      </c>
      <c r="R778">
        <v>0</v>
      </c>
      <c r="S778">
        <v>0</v>
      </c>
      <c r="T778">
        <f t="shared" si="38"/>
        <v>0</v>
      </c>
      <c r="U778">
        <v>1</v>
      </c>
    </row>
    <row r="779" spans="1:21" x14ac:dyDescent="0.3">
      <c r="A779" t="str">
        <f t="shared" si="36"/>
        <v/>
      </c>
      <c r="B779" t="str">
        <f>IF(C779="","",COUNTIF($C$2:C779,C779))</f>
        <v/>
      </c>
      <c r="C779" t="str">
        <f t="shared" si="37"/>
        <v/>
      </c>
      <c r="D779" t="str">
        <f>VLOOKUP(G779,PathwayLookup!A:B,2,0)</f>
        <v>Reablement &amp; Rehabilitation at home  (pathway 1)</v>
      </c>
      <c r="E779" t="s">
        <v>159</v>
      </c>
      <c r="F779" t="s">
        <v>448</v>
      </c>
      <c r="G779" t="s">
        <v>718</v>
      </c>
      <c r="H779">
        <v>0</v>
      </c>
      <c r="I779">
        <v>0</v>
      </c>
      <c r="J779">
        <v>0</v>
      </c>
      <c r="K779">
        <v>0</v>
      </c>
      <c r="L779">
        <v>0</v>
      </c>
      <c r="M779">
        <v>0</v>
      </c>
      <c r="N779">
        <v>0</v>
      </c>
      <c r="O779">
        <v>0</v>
      </c>
      <c r="P779">
        <v>0</v>
      </c>
      <c r="Q779">
        <v>0</v>
      </c>
      <c r="R779">
        <v>0</v>
      </c>
      <c r="S779">
        <v>0</v>
      </c>
      <c r="T779">
        <f t="shared" si="38"/>
        <v>0</v>
      </c>
      <c r="U779">
        <v>1</v>
      </c>
    </row>
    <row r="780" spans="1:21" x14ac:dyDescent="0.3">
      <c r="A780" t="str">
        <f t="shared" si="36"/>
        <v/>
      </c>
      <c r="B780" t="str">
        <f>IF(C780="","",COUNTIF($C$2:C780,C780))</f>
        <v/>
      </c>
      <c r="C780" t="str">
        <f t="shared" si="37"/>
        <v/>
      </c>
      <c r="D780" t="str">
        <f>VLOOKUP(G780,PathwayLookup!A:B,2,0)</f>
        <v>Reablement &amp; Rehabilitation at home  (pathway 1)</v>
      </c>
      <c r="E780" t="s">
        <v>159</v>
      </c>
      <c r="F780" t="s">
        <v>601</v>
      </c>
      <c r="G780" t="s">
        <v>718</v>
      </c>
      <c r="H780">
        <v>0</v>
      </c>
      <c r="I780">
        <v>0</v>
      </c>
      <c r="J780">
        <v>0</v>
      </c>
      <c r="K780">
        <v>0</v>
      </c>
      <c r="L780">
        <v>0</v>
      </c>
      <c r="M780">
        <v>0</v>
      </c>
      <c r="N780">
        <v>0</v>
      </c>
      <c r="O780">
        <v>0</v>
      </c>
      <c r="P780">
        <v>0</v>
      </c>
      <c r="Q780">
        <v>0</v>
      </c>
      <c r="R780">
        <v>0</v>
      </c>
      <c r="S780">
        <v>0</v>
      </c>
      <c r="T780">
        <f t="shared" si="38"/>
        <v>0</v>
      </c>
      <c r="U780">
        <v>1</v>
      </c>
    </row>
    <row r="781" spans="1:21" x14ac:dyDescent="0.3">
      <c r="A781" t="str">
        <f t="shared" si="36"/>
        <v/>
      </c>
      <c r="B781" t="str">
        <f>IF(C781="","",COUNTIF($C$2:C781,C781))</f>
        <v/>
      </c>
      <c r="C781" t="str">
        <f t="shared" si="37"/>
        <v/>
      </c>
      <c r="D781" t="str">
        <f>VLOOKUP(G781,PathwayLookup!A:B,2,0)</f>
        <v>Reablement &amp; Rehabilitation at home  (pathway 1)</v>
      </c>
      <c r="E781" t="s">
        <v>159</v>
      </c>
      <c r="F781" t="s">
        <v>639</v>
      </c>
      <c r="G781" t="s">
        <v>718</v>
      </c>
      <c r="H781">
        <v>0</v>
      </c>
      <c r="I781">
        <v>0</v>
      </c>
      <c r="J781">
        <v>0</v>
      </c>
      <c r="K781">
        <v>0</v>
      </c>
      <c r="L781">
        <v>0</v>
      </c>
      <c r="M781">
        <v>0</v>
      </c>
      <c r="N781">
        <v>0</v>
      </c>
      <c r="O781">
        <v>0</v>
      </c>
      <c r="P781">
        <v>0</v>
      </c>
      <c r="Q781">
        <v>0</v>
      </c>
      <c r="R781">
        <v>0</v>
      </c>
      <c r="S781">
        <v>0</v>
      </c>
      <c r="T781">
        <f t="shared" si="38"/>
        <v>0</v>
      </c>
      <c r="U781">
        <v>1</v>
      </c>
    </row>
    <row r="782" spans="1:21" x14ac:dyDescent="0.3">
      <c r="A782" t="str">
        <f t="shared" si="36"/>
        <v/>
      </c>
      <c r="B782" t="str">
        <f>IF(C782="","",COUNTIF($C$2:C782,C782))</f>
        <v/>
      </c>
      <c r="C782" t="str">
        <f t="shared" si="37"/>
        <v/>
      </c>
      <c r="D782" t="str">
        <f>VLOOKUP(G782,PathwayLookup!A:B,2,0)</f>
        <v>Reablement &amp; Rehabilitation at home  (pathway 1)</v>
      </c>
      <c r="E782" t="s">
        <v>159</v>
      </c>
      <c r="F782" t="s">
        <v>651</v>
      </c>
      <c r="G782" t="s">
        <v>718</v>
      </c>
      <c r="H782">
        <v>0</v>
      </c>
      <c r="I782">
        <v>0</v>
      </c>
      <c r="J782">
        <v>0</v>
      </c>
      <c r="K782">
        <v>0</v>
      </c>
      <c r="L782">
        <v>0</v>
      </c>
      <c r="M782">
        <v>0</v>
      </c>
      <c r="N782">
        <v>0</v>
      </c>
      <c r="O782">
        <v>0</v>
      </c>
      <c r="P782">
        <v>0</v>
      </c>
      <c r="Q782">
        <v>0</v>
      </c>
      <c r="R782">
        <v>0</v>
      </c>
      <c r="S782">
        <v>0</v>
      </c>
      <c r="T782">
        <f t="shared" si="38"/>
        <v>0</v>
      </c>
      <c r="U782">
        <v>1</v>
      </c>
    </row>
    <row r="783" spans="1:21" x14ac:dyDescent="0.3">
      <c r="A783" t="str">
        <f t="shared" si="36"/>
        <v/>
      </c>
      <c r="B783" t="str">
        <f>IF(C783="","",COUNTIF($C$2:C783,C783))</f>
        <v/>
      </c>
      <c r="C783" t="str">
        <f t="shared" si="37"/>
        <v/>
      </c>
      <c r="D783" t="str">
        <f>VLOOKUP(G783,PathwayLookup!A:B,2,0)</f>
        <v>Reablement &amp; Rehabilitation at home  (pathway 1)</v>
      </c>
      <c r="E783" t="s">
        <v>159</v>
      </c>
      <c r="F783" t="s">
        <v>448</v>
      </c>
      <c r="G783" t="s">
        <v>719</v>
      </c>
      <c r="H783">
        <v>0</v>
      </c>
      <c r="I783">
        <v>0</v>
      </c>
      <c r="J783">
        <v>0</v>
      </c>
      <c r="K783">
        <v>0</v>
      </c>
      <c r="L783">
        <v>0</v>
      </c>
      <c r="M783">
        <v>0</v>
      </c>
      <c r="N783">
        <v>0</v>
      </c>
      <c r="O783">
        <v>0</v>
      </c>
      <c r="P783">
        <v>0</v>
      </c>
      <c r="Q783">
        <v>0</v>
      </c>
      <c r="R783">
        <v>0</v>
      </c>
      <c r="S783">
        <v>0</v>
      </c>
      <c r="T783">
        <f t="shared" si="38"/>
        <v>0</v>
      </c>
      <c r="U783">
        <v>1</v>
      </c>
    </row>
    <row r="784" spans="1:21" x14ac:dyDescent="0.3">
      <c r="A784" t="str">
        <f t="shared" si="36"/>
        <v>HaltonReablement &amp; Rehabilitation at home  (pathway 1)1</v>
      </c>
      <c r="B784">
        <f>IF(C784="","",COUNTIF($C$2:C784,C784))</f>
        <v>1</v>
      </c>
      <c r="C784" t="str">
        <f t="shared" si="37"/>
        <v>HaltonRehabilitation at home (pathway 1)</v>
      </c>
      <c r="D784" t="str">
        <f>VLOOKUP(G784,PathwayLookup!A:B,2,0)</f>
        <v>Reablement &amp; Rehabilitation at home  (pathway 1)</v>
      </c>
      <c r="E784" t="s">
        <v>159</v>
      </c>
      <c r="F784" t="s">
        <v>601</v>
      </c>
      <c r="G784" t="s">
        <v>719</v>
      </c>
      <c r="H784">
        <v>47</v>
      </c>
      <c r="I784">
        <v>46</v>
      </c>
      <c r="J784">
        <v>43</v>
      </c>
      <c r="K784">
        <v>49</v>
      </c>
      <c r="L784">
        <v>48</v>
      </c>
      <c r="M784">
        <v>45</v>
      </c>
      <c r="N784">
        <v>41</v>
      </c>
      <c r="O784">
        <v>41</v>
      </c>
      <c r="P784">
        <v>42</v>
      </c>
      <c r="Q784">
        <v>42</v>
      </c>
      <c r="R784">
        <v>35</v>
      </c>
      <c r="S784">
        <v>46</v>
      </c>
      <c r="T784">
        <f t="shared" si="38"/>
        <v>525</v>
      </c>
      <c r="U784">
        <v>1</v>
      </c>
    </row>
    <row r="785" spans="1:21" x14ac:dyDescent="0.3">
      <c r="A785" t="str">
        <f t="shared" si="36"/>
        <v>HaltonReablement &amp; Rehabilitation at home  (pathway 1)2</v>
      </c>
      <c r="B785">
        <f>IF(C785="","",COUNTIF($C$2:C785,C785))</f>
        <v>2</v>
      </c>
      <c r="C785" t="str">
        <f t="shared" si="37"/>
        <v>HaltonRehabilitation at home (pathway 1)</v>
      </c>
      <c r="D785" t="str">
        <f>VLOOKUP(G785,PathwayLookup!A:B,2,0)</f>
        <v>Reablement &amp; Rehabilitation at home  (pathway 1)</v>
      </c>
      <c r="E785" t="s">
        <v>159</v>
      </c>
      <c r="F785" t="s">
        <v>639</v>
      </c>
      <c r="G785" t="s">
        <v>719</v>
      </c>
      <c r="H785">
        <v>29</v>
      </c>
      <c r="I785">
        <v>29</v>
      </c>
      <c r="J785">
        <v>27</v>
      </c>
      <c r="K785">
        <v>30</v>
      </c>
      <c r="L785">
        <v>30</v>
      </c>
      <c r="M785">
        <v>28</v>
      </c>
      <c r="N785">
        <v>25</v>
      </c>
      <c r="O785">
        <v>25</v>
      </c>
      <c r="P785">
        <v>26</v>
      </c>
      <c r="Q785">
        <v>26</v>
      </c>
      <c r="R785">
        <v>22</v>
      </c>
      <c r="S785">
        <v>29</v>
      </c>
      <c r="T785">
        <f t="shared" si="38"/>
        <v>326</v>
      </c>
      <c r="U785">
        <v>1</v>
      </c>
    </row>
    <row r="786" spans="1:21" x14ac:dyDescent="0.3">
      <c r="A786" t="str">
        <f t="shared" si="36"/>
        <v>HaltonReablement &amp; Rehabilitation at home  (pathway 1)3</v>
      </c>
      <c r="B786">
        <f>IF(C786="","",COUNTIF($C$2:C786,C786))</f>
        <v>3</v>
      </c>
      <c r="C786" t="str">
        <f t="shared" si="37"/>
        <v>HaltonRehabilitation at home (pathway 1)</v>
      </c>
      <c r="D786" t="str">
        <f>VLOOKUP(G786,PathwayLookup!A:B,2,0)</f>
        <v>Reablement &amp; Rehabilitation at home  (pathway 1)</v>
      </c>
      <c r="E786" t="s">
        <v>159</v>
      </c>
      <c r="F786" t="s">
        <v>651</v>
      </c>
      <c r="G786" t="s">
        <v>719</v>
      </c>
      <c r="H786">
        <v>7</v>
      </c>
      <c r="I786">
        <v>7</v>
      </c>
      <c r="J786">
        <v>7</v>
      </c>
      <c r="K786">
        <v>8</v>
      </c>
      <c r="L786">
        <v>7</v>
      </c>
      <c r="M786">
        <v>7</v>
      </c>
      <c r="N786">
        <v>6</v>
      </c>
      <c r="O786">
        <v>6</v>
      </c>
      <c r="P786">
        <v>7</v>
      </c>
      <c r="Q786">
        <v>7</v>
      </c>
      <c r="R786">
        <v>6</v>
      </c>
      <c r="S786">
        <v>7</v>
      </c>
      <c r="T786">
        <f t="shared" si="38"/>
        <v>82</v>
      </c>
      <c r="U786">
        <v>1</v>
      </c>
    </row>
    <row r="787" spans="1:21" x14ac:dyDescent="0.3">
      <c r="A787" t="str">
        <f t="shared" si="36"/>
        <v/>
      </c>
      <c r="B787" t="str">
        <f>IF(C787="","",COUNTIF($C$2:C787,C787))</f>
        <v/>
      </c>
      <c r="C787" t="str">
        <f t="shared" si="37"/>
        <v/>
      </c>
      <c r="D787" t="str">
        <f>VLOOKUP(G787,PathwayLookup!A:B,2,0)</f>
        <v>Short term domiciliary care (pathway 1)</v>
      </c>
      <c r="E787" t="s">
        <v>159</v>
      </c>
      <c r="F787" t="s">
        <v>448</v>
      </c>
      <c r="G787" t="s">
        <v>684</v>
      </c>
      <c r="H787">
        <v>0</v>
      </c>
      <c r="I787">
        <v>0</v>
      </c>
      <c r="J787">
        <v>0</v>
      </c>
      <c r="K787">
        <v>0</v>
      </c>
      <c r="L787">
        <v>0</v>
      </c>
      <c r="M787">
        <v>0</v>
      </c>
      <c r="N787">
        <v>0</v>
      </c>
      <c r="O787">
        <v>0</v>
      </c>
      <c r="P787">
        <v>0</v>
      </c>
      <c r="Q787">
        <v>0</v>
      </c>
      <c r="R787">
        <v>0</v>
      </c>
      <c r="S787">
        <v>0</v>
      </c>
      <c r="T787">
        <f t="shared" si="38"/>
        <v>0</v>
      </c>
      <c r="U787">
        <v>1</v>
      </c>
    </row>
    <row r="788" spans="1:21" x14ac:dyDescent="0.3">
      <c r="A788" t="str">
        <f t="shared" si="36"/>
        <v/>
      </c>
      <c r="B788" t="str">
        <f>IF(C788="","",COUNTIF($C$2:C788,C788))</f>
        <v/>
      </c>
      <c r="C788" t="str">
        <f t="shared" si="37"/>
        <v/>
      </c>
      <c r="D788" t="str">
        <f>VLOOKUP(G788,PathwayLookup!A:B,2,0)</f>
        <v>Short term domiciliary care (pathway 1)</v>
      </c>
      <c r="E788" t="s">
        <v>159</v>
      </c>
      <c r="F788" t="s">
        <v>601</v>
      </c>
      <c r="G788" t="s">
        <v>684</v>
      </c>
      <c r="H788">
        <v>0</v>
      </c>
      <c r="I788">
        <v>0</v>
      </c>
      <c r="J788">
        <v>0</v>
      </c>
      <c r="K788">
        <v>0</v>
      </c>
      <c r="L788">
        <v>0</v>
      </c>
      <c r="M788">
        <v>0</v>
      </c>
      <c r="N788">
        <v>0</v>
      </c>
      <c r="O788">
        <v>0</v>
      </c>
      <c r="P788">
        <v>0</v>
      </c>
      <c r="Q788">
        <v>0</v>
      </c>
      <c r="R788">
        <v>0</v>
      </c>
      <c r="S788">
        <v>0</v>
      </c>
      <c r="T788">
        <f t="shared" si="38"/>
        <v>0</v>
      </c>
      <c r="U788">
        <v>1</v>
      </c>
    </row>
    <row r="789" spans="1:21" x14ac:dyDescent="0.3">
      <c r="A789" t="str">
        <f t="shared" si="36"/>
        <v/>
      </c>
      <c r="B789" t="str">
        <f>IF(C789="","",COUNTIF($C$2:C789,C789))</f>
        <v/>
      </c>
      <c r="C789" t="str">
        <f t="shared" si="37"/>
        <v/>
      </c>
      <c r="D789" t="str">
        <f>VLOOKUP(G789,PathwayLookup!A:B,2,0)</f>
        <v>Short term domiciliary care (pathway 1)</v>
      </c>
      <c r="E789" t="s">
        <v>159</v>
      </c>
      <c r="F789" t="s">
        <v>639</v>
      </c>
      <c r="G789" t="s">
        <v>684</v>
      </c>
      <c r="H789">
        <v>0</v>
      </c>
      <c r="I789">
        <v>0</v>
      </c>
      <c r="J789">
        <v>0</v>
      </c>
      <c r="K789">
        <v>0</v>
      </c>
      <c r="L789">
        <v>0</v>
      </c>
      <c r="M789">
        <v>0</v>
      </c>
      <c r="N789">
        <v>0</v>
      </c>
      <c r="O789">
        <v>0</v>
      </c>
      <c r="P789">
        <v>0</v>
      </c>
      <c r="Q789">
        <v>0</v>
      </c>
      <c r="R789">
        <v>0</v>
      </c>
      <c r="S789">
        <v>0</v>
      </c>
      <c r="T789">
        <f t="shared" si="38"/>
        <v>0</v>
      </c>
      <c r="U789">
        <v>1</v>
      </c>
    </row>
    <row r="790" spans="1:21" x14ac:dyDescent="0.3">
      <c r="A790" t="str">
        <f t="shared" si="36"/>
        <v/>
      </c>
      <c r="B790" t="str">
        <f>IF(C790="","",COUNTIF($C$2:C790,C790))</f>
        <v/>
      </c>
      <c r="C790" t="str">
        <f t="shared" si="37"/>
        <v/>
      </c>
      <c r="D790" t="str">
        <f>VLOOKUP(G790,PathwayLookup!A:B,2,0)</f>
        <v>Short term domiciliary care (pathway 1)</v>
      </c>
      <c r="E790" t="s">
        <v>159</v>
      </c>
      <c r="F790" t="s">
        <v>651</v>
      </c>
      <c r="G790" t="s">
        <v>684</v>
      </c>
      <c r="H790">
        <v>0</v>
      </c>
      <c r="I790">
        <v>0</v>
      </c>
      <c r="J790">
        <v>0</v>
      </c>
      <c r="K790">
        <v>0</v>
      </c>
      <c r="L790">
        <v>0</v>
      </c>
      <c r="M790">
        <v>0</v>
      </c>
      <c r="N790">
        <v>0</v>
      </c>
      <c r="O790">
        <v>0</v>
      </c>
      <c r="P790">
        <v>0</v>
      </c>
      <c r="Q790">
        <v>0</v>
      </c>
      <c r="R790">
        <v>0</v>
      </c>
      <c r="S790">
        <v>0</v>
      </c>
      <c r="T790">
        <f t="shared" si="38"/>
        <v>0</v>
      </c>
      <c r="U790">
        <v>1</v>
      </c>
    </row>
    <row r="791" spans="1:21" x14ac:dyDescent="0.3">
      <c r="A791" t="str">
        <f t="shared" si="36"/>
        <v/>
      </c>
      <c r="B791" t="str">
        <f>IF(C791="","",COUNTIF($C$2:C791,C791))</f>
        <v/>
      </c>
      <c r="C791" t="str">
        <f t="shared" si="37"/>
        <v/>
      </c>
      <c r="D791" t="str">
        <f>VLOOKUP(G791,PathwayLookup!A:B,2,0)</f>
        <v>Reablement &amp; Rehabilitation in a bedded setting (pathway 2)</v>
      </c>
      <c r="E791" t="s">
        <v>159</v>
      </c>
      <c r="F791" t="s">
        <v>448</v>
      </c>
      <c r="G791" t="s">
        <v>722</v>
      </c>
      <c r="H791">
        <v>0</v>
      </c>
      <c r="I791">
        <v>0</v>
      </c>
      <c r="J791">
        <v>0</v>
      </c>
      <c r="K791">
        <v>0</v>
      </c>
      <c r="L791">
        <v>0</v>
      </c>
      <c r="M791">
        <v>0</v>
      </c>
      <c r="N791">
        <v>0</v>
      </c>
      <c r="O791">
        <v>0</v>
      </c>
      <c r="P791">
        <v>0</v>
      </c>
      <c r="Q791">
        <v>0</v>
      </c>
      <c r="R791">
        <v>0</v>
      </c>
      <c r="S791">
        <v>0</v>
      </c>
      <c r="T791">
        <f t="shared" si="38"/>
        <v>0</v>
      </c>
      <c r="U791">
        <v>1</v>
      </c>
    </row>
    <row r="792" spans="1:21" x14ac:dyDescent="0.3">
      <c r="A792" t="str">
        <f t="shared" si="36"/>
        <v/>
      </c>
      <c r="B792" t="str">
        <f>IF(C792="","",COUNTIF($C$2:C792,C792))</f>
        <v/>
      </c>
      <c r="C792" t="str">
        <f t="shared" si="37"/>
        <v/>
      </c>
      <c r="D792" t="str">
        <f>VLOOKUP(G792,PathwayLookup!A:B,2,0)</f>
        <v>Reablement &amp; Rehabilitation in a bedded setting (pathway 2)</v>
      </c>
      <c r="E792" t="s">
        <v>159</v>
      </c>
      <c r="F792" t="s">
        <v>601</v>
      </c>
      <c r="G792" t="s">
        <v>722</v>
      </c>
      <c r="H792">
        <v>0</v>
      </c>
      <c r="I792">
        <v>0</v>
      </c>
      <c r="J792">
        <v>0</v>
      </c>
      <c r="K792">
        <v>0</v>
      </c>
      <c r="L792">
        <v>0</v>
      </c>
      <c r="M792">
        <v>0</v>
      </c>
      <c r="N792">
        <v>0</v>
      </c>
      <c r="O792">
        <v>0</v>
      </c>
      <c r="P792">
        <v>0</v>
      </c>
      <c r="Q792">
        <v>0</v>
      </c>
      <c r="R792">
        <v>0</v>
      </c>
      <c r="S792">
        <v>0</v>
      </c>
      <c r="T792">
        <f t="shared" si="38"/>
        <v>0</v>
      </c>
      <c r="U792">
        <v>1</v>
      </c>
    </row>
    <row r="793" spans="1:21" x14ac:dyDescent="0.3">
      <c r="A793" t="str">
        <f t="shared" si="36"/>
        <v/>
      </c>
      <c r="B793" t="str">
        <f>IF(C793="","",COUNTIF($C$2:C793,C793))</f>
        <v/>
      </c>
      <c r="C793" t="str">
        <f t="shared" si="37"/>
        <v/>
      </c>
      <c r="D793" t="str">
        <f>VLOOKUP(G793,PathwayLookup!A:B,2,0)</f>
        <v>Reablement &amp; Rehabilitation in a bedded setting (pathway 2)</v>
      </c>
      <c r="E793" t="s">
        <v>159</v>
      </c>
      <c r="F793" t="s">
        <v>639</v>
      </c>
      <c r="G793" t="s">
        <v>722</v>
      </c>
      <c r="H793">
        <v>0</v>
      </c>
      <c r="I793">
        <v>0</v>
      </c>
      <c r="J793">
        <v>0</v>
      </c>
      <c r="K793">
        <v>0</v>
      </c>
      <c r="L793">
        <v>0</v>
      </c>
      <c r="M793">
        <v>0</v>
      </c>
      <c r="N793">
        <v>0</v>
      </c>
      <c r="O793">
        <v>0</v>
      </c>
      <c r="P793">
        <v>0</v>
      </c>
      <c r="Q793">
        <v>0</v>
      </c>
      <c r="R793">
        <v>0</v>
      </c>
      <c r="S793">
        <v>0</v>
      </c>
      <c r="T793">
        <f t="shared" si="38"/>
        <v>0</v>
      </c>
      <c r="U793">
        <v>1</v>
      </c>
    </row>
    <row r="794" spans="1:21" x14ac:dyDescent="0.3">
      <c r="A794" t="str">
        <f t="shared" si="36"/>
        <v/>
      </c>
      <c r="B794" t="str">
        <f>IF(C794="","",COUNTIF($C$2:C794,C794))</f>
        <v/>
      </c>
      <c r="C794" t="str">
        <f t="shared" si="37"/>
        <v/>
      </c>
      <c r="D794" t="str">
        <f>VLOOKUP(G794,PathwayLookup!A:B,2,0)</f>
        <v>Reablement &amp; Rehabilitation in a bedded setting (pathway 2)</v>
      </c>
      <c r="E794" t="s">
        <v>159</v>
      </c>
      <c r="F794" t="s">
        <v>651</v>
      </c>
      <c r="G794" t="s">
        <v>722</v>
      </c>
      <c r="H794">
        <v>0</v>
      </c>
      <c r="I794">
        <v>0</v>
      </c>
      <c r="J794">
        <v>0</v>
      </c>
      <c r="K794">
        <v>0</v>
      </c>
      <c r="L794">
        <v>0</v>
      </c>
      <c r="M794">
        <v>0</v>
      </c>
      <c r="N794">
        <v>0</v>
      </c>
      <c r="O794">
        <v>0</v>
      </c>
      <c r="P794">
        <v>0</v>
      </c>
      <c r="Q794">
        <v>0</v>
      </c>
      <c r="R794">
        <v>0</v>
      </c>
      <c r="S794">
        <v>0</v>
      </c>
      <c r="T794">
        <f t="shared" si="38"/>
        <v>0</v>
      </c>
      <c r="U794">
        <v>1</v>
      </c>
    </row>
    <row r="795" spans="1:21" x14ac:dyDescent="0.3">
      <c r="A795" t="str">
        <f t="shared" si="36"/>
        <v/>
      </c>
      <c r="B795" t="str">
        <f>IF(C795="","",COUNTIF($C$2:C795,C795))</f>
        <v/>
      </c>
      <c r="C795" t="str">
        <f t="shared" si="37"/>
        <v/>
      </c>
      <c r="D795" t="str">
        <f>VLOOKUP(G795,PathwayLookup!A:B,2,0)</f>
        <v>Reablement &amp; Rehabilitation in a bedded setting (pathway 2)</v>
      </c>
      <c r="E795" t="s">
        <v>159</v>
      </c>
      <c r="F795" t="s">
        <v>448</v>
      </c>
      <c r="G795" t="s">
        <v>724</v>
      </c>
      <c r="H795">
        <v>0</v>
      </c>
      <c r="I795">
        <v>0</v>
      </c>
      <c r="J795">
        <v>0</v>
      </c>
      <c r="K795">
        <v>0</v>
      </c>
      <c r="L795">
        <v>0</v>
      </c>
      <c r="M795">
        <v>0</v>
      </c>
      <c r="N795">
        <v>0</v>
      </c>
      <c r="O795">
        <v>0</v>
      </c>
      <c r="P795">
        <v>0</v>
      </c>
      <c r="Q795">
        <v>0</v>
      </c>
      <c r="R795">
        <v>0</v>
      </c>
      <c r="S795">
        <v>0</v>
      </c>
      <c r="T795">
        <f t="shared" si="38"/>
        <v>0</v>
      </c>
      <c r="U795">
        <v>1</v>
      </c>
    </row>
    <row r="796" spans="1:21" x14ac:dyDescent="0.3">
      <c r="A796" t="str">
        <f t="shared" si="36"/>
        <v>HaltonReablement &amp; Rehabilitation in a bedded setting (pathway 2)1</v>
      </c>
      <c r="B796">
        <f>IF(C796="","",COUNTIF($C$2:C796,C796))</f>
        <v>1</v>
      </c>
      <c r="C796" t="str">
        <f t="shared" si="37"/>
        <v>HaltonRehabilitation in a bedded setting (pathway 2)</v>
      </c>
      <c r="D796" t="str">
        <f>VLOOKUP(G796,PathwayLookup!A:B,2,0)</f>
        <v>Reablement &amp; Rehabilitation in a bedded setting (pathway 2)</v>
      </c>
      <c r="E796" t="s">
        <v>159</v>
      </c>
      <c r="F796" t="s">
        <v>601</v>
      </c>
      <c r="G796" t="s">
        <v>724</v>
      </c>
      <c r="H796">
        <v>18</v>
      </c>
      <c r="I796">
        <v>19</v>
      </c>
      <c r="J796">
        <v>15</v>
      </c>
      <c r="K796">
        <v>12</v>
      </c>
      <c r="L796">
        <v>19</v>
      </c>
      <c r="M796">
        <v>14</v>
      </c>
      <c r="N796">
        <v>14</v>
      </c>
      <c r="O796">
        <v>16</v>
      </c>
      <c r="P796">
        <v>17</v>
      </c>
      <c r="Q796">
        <v>20</v>
      </c>
      <c r="R796">
        <v>16</v>
      </c>
      <c r="S796">
        <v>21</v>
      </c>
      <c r="T796">
        <f t="shared" si="38"/>
        <v>201</v>
      </c>
      <c r="U796">
        <v>1</v>
      </c>
    </row>
    <row r="797" spans="1:21" x14ac:dyDescent="0.3">
      <c r="A797" t="str">
        <f t="shared" si="36"/>
        <v>HaltonReablement &amp; Rehabilitation in a bedded setting (pathway 2)2</v>
      </c>
      <c r="B797">
        <f>IF(C797="","",COUNTIF($C$2:C797,C797))</f>
        <v>2</v>
      </c>
      <c r="C797" t="str">
        <f t="shared" si="37"/>
        <v>HaltonRehabilitation in a bedded setting (pathway 2)</v>
      </c>
      <c r="D797" t="str">
        <f>VLOOKUP(G797,PathwayLookup!A:B,2,0)</f>
        <v>Reablement &amp; Rehabilitation in a bedded setting (pathway 2)</v>
      </c>
      <c r="E797" t="s">
        <v>159</v>
      </c>
      <c r="F797" t="s">
        <v>639</v>
      </c>
      <c r="G797" t="s">
        <v>724</v>
      </c>
      <c r="H797">
        <v>11</v>
      </c>
      <c r="I797">
        <v>12</v>
      </c>
      <c r="J797">
        <v>9</v>
      </c>
      <c r="K797">
        <v>7</v>
      </c>
      <c r="L797">
        <v>12</v>
      </c>
      <c r="M797">
        <v>9</v>
      </c>
      <c r="N797">
        <v>9</v>
      </c>
      <c r="O797">
        <v>10</v>
      </c>
      <c r="P797">
        <v>10</v>
      </c>
      <c r="Q797">
        <v>13</v>
      </c>
      <c r="R797">
        <v>10</v>
      </c>
      <c r="S797">
        <v>13</v>
      </c>
      <c r="T797">
        <f t="shared" si="38"/>
        <v>125</v>
      </c>
      <c r="U797">
        <v>1</v>
      </c>
    </row>
    <row r="798" spans="1:21" x14ac:dyDescent="0.3">
      <c r="A798" t="str">
        <f t="shared" si="36"/>
        <v>HaltonReablement &amp; Rehabilitation in a bedded setting (pathway 2)3</v>
      </c>
      <c r="B798">
        <f>IF(C798="","",COUNTIF($C$2:C798,C798))</f>
        <v>3</v>
      </c>
      <c r="C798" t="str">
        <f t="shared" si="37"/>
        <v>HaltonRehabilitation in a bedded setting (pathway 2)</v>
      </c>
      <c r="D798" t="str">
        <f>VLOOKUP(G798,PathwayLookup!A:B,2,0)</f>
        <v>Reablement &amp; Rehabilitation in a bedded setting (pathway 2)</v>
      </c>
      <c r="E798" t="s">
        <v>159</v>
      </c>
      <c r="F798" t="s">
        <v>651</v>
      </c>
      <c r="G798" t="s">
        <v>724</v>
      </c>
      <c r="H798">
        <v>3</v>
      </c>
      <c r="I798">
        <v>3</v>
      </c>
      <c r="J798">
        <v>2</v>
      </c>
      <c r="K798">
        <v>2</v>
      </c>
      <c r="L798">
        <v>3</v>
      </c>
      <c r="M798">
        <v>2</v>
      </c>
      <c r="N798">
        <v>2</v>
      </c>
      <c r="O798">
        <v>2</v>
      </c>
      <c r="P798">
        <v>3</v>
      </c>
      <c r="Q798">
        <v>3</v>
      </c>
      <c r="R798">
        <v>2</v>
      </c>
      <c r="S798">
        <v>3</v>
      </c>
      <c r="T798">
        <f t="shared" si="38"/>
        <v>30</v>
      </c>
      <c r="U798">
        <v>1</v>
      </c>
    </row>
    <row r="799" spans="1:21" x14ac:dyDescent="0.3">
      <c r="A799" t="str">
        <f t="shared" si="36"/>
        <v/>
      </c>
      <c r="B799" t="str">
        <f>IF(C799="","",COUNTIF($C$2:C799,C799))</f>
        <v/>
      </c>
      <c r="C799" t="str">
        <f t="shared" si="37"/>
        <v/>
      </c>
      <c r="D799" t="str">
        <f>VLOOKUP(G799,PathwayLookup!A:B,2,0)</f>
        <v>Short-term residential/nursing care for someone likely to require a longer-term care home placement (pathway 3)</v>
      </c>
      <c r="E799" t="s">
        <v>159</v>
      </c>
      <c r="F799" t="s">
        <v>448</v>
      </c>
      <c r="G799" t="s">
        <v>686</v>
      </c>
      <c r="H799">
        <v>0</v>
      </c>
      <c r="I799">
        <v>0</v>
      </c>
      <c r="J799">
        <v>0</v>
      </c>
      <c r="K799">
        <v>0</v>
      </c>
      <c r="L799">
        <v>0</v>
      </c>
      <c r="M799">
        <v>0</v>
      </c>
      <c r="N799">
        <v>0</v>
      </c>
      <c r="O799">
        <v>0</v>
      </c>
      <c r="P799">
        <v>0</v>
      </c>
      <c r="Q799">
        <v>0</v>
      </c>
      <c r="R799">
        <v>0</v>
      </c>
      <c r="S799">
        <v>0</v>
      </c>
      <c r="T799">
        <f t="shared" si="38"/>
        <v>0</v>
      </c>
      <c r="U799">
        <v>1</v>
      </c>
    </row>
    <row r="800" spans="1:21" x14ac:dyDescent="0.3">
      <c r="A800" t="str">
        <f t="shared" si="36"/>
        <v>HaltonShort-term residential/nursing care for someone likely to require a longer-term care home placement (pathway 3)1</v>
      </c>
      <c r="B800">
        <f>IF(C800="","",COUNTIF($C$2:C800,C800))</f>
        <v>1</v>
      </c>
      <c r="C800" t="str">
        <f t="shared" si="37"/>
        <v>HaltonShort-term residential/nursing care for someone likely to require a longer-term care home placement (pathway 3)</v>
      </c>
      <c r="D800" t="str">
        <f>VLOOKUP(G800,PathwayLookup!A:B,2,0)</f>
        <v>Short-term residential/nursing care for someone likely to require a longer-term care home placement (pathway 3)</v>
      </c>
      <c r="E800" t="s">
        <v>159</v>
      </c>
      <c r="F800" t="s">
        <v>601</v>
      </c>
      <c r="G800" t="s">
        <v>686</v>
      </c>
      <c r="H800">
        <v>11</v>
      </c>
      <c r="I800">
        <v>11</v>
      </c>
      <c r="J800">
        <v>11</v>
      </c>
      <c r="K800">
        <v>11</v>
      </c>
      <c r="L800">
        <v>11</v>
      </c>
      <c r="M800">
        <v>11</v>
      </c>
      <c r="N800">
        <v>11</v>
      </c>
      <c r="O800">
        <v>11</v>
      </c>
      <c r="P800">
        <v>11</v>
      </c>
      <c r="Q800">
        <v>11</v>
      </c>
      <c r="R800">
        <v>11</v>
      </c>
      <c r="S800">
        <v>11</v>
      </c>
      <c r="T800">
        <f t="shared" si="38"/>
        <v>132</v>
      </c>
      <c r="U800">
        <v>1</v>
      </c>
    </row>
    <row r="801" spans="1:21" x14ac:dyDescent="0.3">
      <c r="A801" t="str">
        <f t="shared" si="36"/>
        <v>HaltonShort-term residential/nursing care for someone likely to require a longer-term care home placement (pathway 3)2</v>
      </c>
      <c r="B801">
        <f>IF(C801="","",COUNTIF($C$2:C801,C801))</f>
        <v>2</v>
      </c>
      <c r="C801" t="str">
        <f t="shared" si="37"/>
        <v>HaltonShort-term residential/nursing care for someone likely to require a longer-term care home placement (pathway 3)</v>
      </c>
      <c r="D801" t="str">
        <f>VLOOKUP(G801,PathwayLookup!A:B,2,0)</f>
        <v>Short-term residential/nursing care for someone likely to require a longer-term care home placement (pathway 3)</v>
      </c>
      <c r="E801" t="s">
        <v>159</v>
      </c>
      <c r="F801" t="s">
        <v>639</v>
      </c>
      <c r="G801" t="s">
        <v>686</v>
      </c>
      <c r="H801">
        <v>7</v>
      </c>
      <c r="I801">
        <v>7</v>
      </c>
      <c r="J801">
        <v>7</v>
      </c>
      <c r="K801">
        <v>7</v>
      </c>
      <c r="L801">
        <v>7</v>
      </c>
      <c r="M801">
        <v>7</v>
      </c>
      <c r="N801">
        <v>7</v>
      </c>
      <c r="O801">
        <v>7</v>
      </c>
      <c r="P801">
        <v>7</v>
      </c>
      <c r="Q801">
        <v>7</v>
      </c>
      <c r="R801">
        <v>7</v>
      </c>
      <c r="S801">
        <v>7</v>
      </c>
      <c r="T801">
        <f t="shared" si="38"/>
        <v>84</v>
      </c>
      <c r="U801">
        <v>1</v>
      </c>
    </row>
    <row r="802" spans="1:21" x14ac:dyDescent="0.3">
      <c r="A802" t="str">
        <f t="shared" si="36"/>
        <v>HaltonShort-term residential/nursing care for someone likely to require a longer-term care home placement (pathway 3)3</v>
      </c>
      <c r="B802">
        <f>IF(C802="","",COUNTIF($C$2:C802,C802))</f>
        <v>3</v>
      </c>
      <c r="C802" t="str">
        <f t="shared" si="37"/>
        <v>HaltonShort-term residential/nursing care for someone likely to require a longer-term care home placement (pathway 3)</v>
      </c>
      <c r="D802" t="str">
        <f>VLOOKUP(G802,PathwayLookup!A:B,2,0)</f>
        <v>Short-term residential/nursing care for someone likely to require a longer-term care home placement (pathway 3)</v>
      </c>
      <c r="E802" t="s">
        <v>159</v>
      </c>
      <c r="F802" t="s">
        <v>651</v>
      </c>
      <c r="G802" t="s">
        <v>686</v>
      </c>
      <c r="H802">
        <v>1</v>
      </c>
      <c r="I802">
        <v>1</v>
      </c>
      <c r="J802">
        <v>1</v>
      </c>
      <c r="K802">
        <v>1</v>
      </c>
      <c r="L802">
        <v>1</v>
      </c>
      <c r="M802">
        <v>1</v>
      </c>
      <c r="N802">
        <v>1</v>
      </c>
      <c r="O802">
        <v>1</v>
      </c>
      <c r="P802">
        <v>1</v>
      </c>
      <c r="Q802">
        <v>1</v>
      </c>
      <c r="R802">
        <v>1</v>
      </c>
      <c r="S802">
        <v>1</v>
      </c>
      <c r="T802">
        <f t="shared" si="38"/>
        <v>12</v>
      </c>
      <c r="U802">
        <v>1</v>
      </c>
    </row>
    <row r="803" spans="1:21" x14ac:dyDescent="0.3">
      <c r="A803" t="str">
        <f t="shared" si="36"/>
        <v>Hammersmith and FulhamSocial support (including VCS) (pathway 0)1</v>
      </c>
      <c r="B803">
        <f>IF(C803="","",COUNTIF($C$2:C803,C803))</f>
        <v>1</v>
      </c>
      <c r="C803" t="str">
        <f t="shared" si="37"/>
        <v>Hammersmith and FulhamSocial support (including VCS) (pathway 0)</v>
      </c>
      <c r="D803" t="str">
        <f>VLOOKUP(G803,PathwayLookup!A:B,2,0)</f>
        <v>Social support (including VCS) (pathway 0)</v>
      </c>
      <c r="E803" t="s">
        <v>161</v>
      </c>
      <c r="F803" t="s">
        <v>476</v>
      </c>
      <c r="G803" t="s">
        <v>682</v>
      </c>
      <c r="H803">
        <v>955</v>
      </c>
      <c r="I803">
        <v>955</v>
      </c>
      <c r="J803">
        <v>955</v>
      </c>
      <c r="K803">
        <v>955</v>
      </c>
      <c r="L803">
        <v>955</v>
      </c>
      <c r="M803">
        <v>955</v>
      </c>
      <c r="N803">
        <v>955</v>
      </c>
      <c r="O803">
        <v>955</v>
      </c>
      <c r="P803">
        <v>955</v>
      </c>
      <c r="Q803">
        <v>955</v>
      </c>
      <c r="R803">
        <v>955</v>
      </c>
      <c r="S803">
        <v>955</v>
      </c>
      <c r="T803">
        <f t="shared" si="38"/>
        <v>11460</v>
      </c>
      <c r="U803">
        <v>1</v>
      </c>
    </row>
    <row r="804" spans="1:21" x14ac:dyDescent="0.3">
      <c r="A804" t="str">
        <f t="shared" si="36"/>
        <v>Hammersmith and FulhamSocial support (including VCS) (pathway 0)2</v>
      </c>
      <c r="B804">
        <f>IF(C804="","",COUNTIF($C$2:C804,C804))</f>
        <v>2</v>
      </c>
      <c r="C804" t="str">
        <f t="shared" si="37"/>
        <v>Hammersmith and FulhamSocial support (including VCS) (pathway 0)</v>
      </c>
      <c r="D804" t="str">
        <f>VLOOKUP(G804,PathwayLookup!A:B,2,0)</f>
        <v>Social support (including VCS) (pathway 0)</v>
      </c>
      <c r="E804" t="s">
        <v>161</v>
      </c>
      <c r="F804" t="s">
        <v>520</v>
      </c>
      <c r="G804" t="s">
        <v>682</v>
      </c>
      <c r="H804">
        <v>1454</v>
      </c>
      <c r="I804">
        <v>1454</v>
      </c>
      <c r="J804">
        <v>1454</v>
      </c>
      <c r="K804">
        <v>1454</v>
      </c>
      <c r="L804">
        <v>1454</v>
      </c>
      <c r="M804">
        <v>1454</v>
      </c>
      <c r="N804">
        <v>1454</v>
      </c>
      <c r="O804">
        <v>1454</v>
      </c>
      <c r="P804">
        <v>1454</v>
      </c>
      <c r="Q804">
        <v>1454</v>
      </c>
      <c r="R804">
        <v>1454</v>
      </c>
      <c r="S804">
        <v>1454</v>
      </c>
      <c r="T804">
        <f t="shared" si="38"/>
        <v>17448</v>
      </c>
      <c r="U804">
        <v>1</v>
      </c>
    </row>
    <row r="805" spans="1:21" x14ac:dyDescent="0.3">
      <c r="A805" t="str">
        <f t="shared" si="36"/>
        <v>Hammersmith and FulhamSocial support (including VCS) (pathway 0)3</v>
      </c>
      <c r="B805">
        <f>IF(C805="","",COUNTIF($C$2:C805,C805))</f>
        <v>3</v>
      </c>
      <c r="C805" t="str">
        <f t="shared" si="37"/>
        <v>Hammersmith and FulhamSocial support (including VCS) (pathway 0)</v>
      </c>
      <c r="D805" t="str">
        <f>VLOOKUP(G805,PathwayLookup!A:B,2,0)</f>
        <v>Social support (including VCS) (pathway 0)</v>
      </c>
      <c r="E805" t="s">
        <v>161</v>
      </c>
      <c r="F805" t="s">
        <v>540</v>
      </c>
      <c r="G805" t="s">
        <v>682</v>
      </c>
      <c r="H805">
        <v>90</v>
      </c>
      <c r="I805">
        <v>90</v>
      </c>
      <c r="J805">
        <v>90</v>
      </c>
      <c r="K805">
        <v>90</v>
      </c>
      <c r="L805">
        <v>90</v>
      </c>
      <c r="M805">
        <v>90</v>
      </c>
      <c r="N805">
        <v>90</v>
      </c>
      <c r="O805">
        <v>90</v>
      </c>
      <c r="P805">
        <v>90</v>
      </c>
      <c r="Q805">
        <v>90</v>
      </c>
      <c r="R805">
        <v>90</v>
      </c>
      <c r="S805">
        <v>90</v>
      </c>
      <c r="T805">
        <f t="shared" si="38"/>
        <v>1080</v>
      </c>
      <c r="U805">
        <v>1</v>
      </c>
    </row>
    <row r="806" spans="1:21" x14ac:dyDescent="0.3">
      <c r="A806" t="str">
        <f t="shared" si="36"/>
        <v>Hammersmith and FulhamSocial support (including VCS) (pathway 0)4</v>
      </c>
      <c r="B806">
        <f>IF(C806="","",COUNTIF($C$2:C806,C806))</f>
        <v>4</v>
      </c>
      <c r="C806" t="str">
        <f t="shared" si="37"/>
        <v>Hammersmith and FulhamSocial support (including VCS) (pathway 0)</v>
      </c>
      <c r="D806" t="str">
        <f>VLOOKUP(G806,PathwayLookup!A:B,2,0)</f>
        <v>Social support (including VCS) (pathway 0)</v>
      </c>
      <c r="E806" t="s">
        <v>161</v>
      </c>
      <c r="F806" t="s">
        <v>613</v>
      </c>
      <c r="G806" t="s">
        <v>682</v>
      </c>
      <c r="H806">
        <v>20</v>
      </c>
      <c r="I806">
        <v>20</v>
      </c>
      <c r="J806">
        <v>20</v>
      </c>
      <c r="K806">
        <v>20</v>
      </c>
      <c r="L806">
        <v>20</v>
      </c>
      <c r="M806">
        <v>20</v>
      </c>
      <c r="N806">
        <v>20</v>
      </c>
      <c r="O806">
        <v>20</v>
      </c>
      <c r="P806">
        <v>20</v>
      </c>
      <c r="Q806">
        <v>20</v>
      </c>
      <c r="R806">
        <v>20</v>
      </c>
      <c r="S806">
        <v>20</v>
      </c>
      <c r="T806">
        <f t="shared" si="38"/>
        <v>240</v>
      </c>
      <c r="U806">
        <v>1</v>
      </c>
    </row>
    <row r="807" spans="1:21" x14ac:dyDescent="0.3">
      <c r="A807" t="str">
        <f t="shared" si="36"/>
        <v>Hammersmith and FulhamReablement &amp; Rehabilitation at home  (pathway 1)1</v>
      </c>
      <c r="B807">
        <f>IF(C807="","",COUNTIF($C$2:C807,C807))</f>
        <v>1</v>
      </c>
      <c r="C807" t="str">
        <f t="shared" si="37"/>
        <v>Hammersmith and FulhamReablement at home  (pathway 1)</v>
      </c>
      <c r="D807" t="str">
        <f>VLOOKUP(G807,PathwayLookup!A:B,2,0)</f>
        <v>Reablement &amp; Rehabilitation at home  (pathway 1)</v>
      </c>
      <c r="E807" t="s">
        <v>161</v>
      </c>
      <c r="F807" t="s">
        <v>476</v>
      </c>
      <c r="G807" t="s">
        <v>718</v>
      </c>
      <c r="H807">
        <v>47</v>
      </c>
      <c r="I807">
        <v>47</v>
      </c>
      <c r="J807">
        <v>47</v>
      </c>
      <c r="K807">
        <v>47</v>
      </c>
      <c r="L807">
        <v>47</v>
      </c>
      <c r="M807">
        <v>47</v>
      </c>
      <c r="N807">
        <v>47</v>
      </c>
      <c r="O807">
        <v>47</v>
      </c>
      <c r="P807">
        <v>47</v>
      </c>
      <c r="Q807">
        <v>47</v>
      </c>
      <c r="R807">
        <v>47</v>
      </c>
      <c r="S807">
        <v>47</v>
      </c>
      <c r="T807">
        <f t="shared" si="38"/>
        <v>564</v>
      </c>
      <c r="U807">
        <v>1</v>
      </c>
    </row>
    <row r="808" spans="1:21" x14ac:dyDescent="0.3">
      <c r="A808" t="str">
        <f t="shared" si="36"/>
        <v>Hammersmith and FulhamReablement &amp; Rehabilitation at home  (pathway 1)2</v>
      </c>
      <c r="B808">
        <f>IF(C808="","",COUNTIF($C$2:C808,C808))</f>
        <v>2</v>
      </c>
      <c r="C808" t="str">
        <f t="shared" si="37"/>
        <v>Hammersmith and FulhamReablement at home  (pathway 1)</v>
      </c>
      <c r="D808" t="str">
        <f>VLOOKUP(G808,PathwayLookup!A:B,2,0)</f>
        <v>Reablement &amp; Rehabilitation at home  (pathway 1)</v>
      </c>
      <c r="E808" t="s">
        <v>161</v>
      </c>
      <c r="F808" t="s">
        <v>520</v>
      </c>
      <c r="G808" t="s">
        <v>718</v>
      </c>
      <c r="H808">
        <v>71</v>
      </c>
      <c r="I808">
        <v>71</v>
      </c>
      <c r="J808">
        <v>71</v>
      </c>
      <c r="K808">
        <v>71</v>
      </c>
      <c r="L808">
        <v>71</v>
      </c>
      <c r="M808">
        <v>71</v>
      </c>
      <c r="N808">
        <v>71</v>
      </c>
      <c r="O808">
        <v>71</v>
      </c>
      <c r="P808">
        <v>71</v>
      </c>
      <c r="Q808">
        <v>71</v>
      </c>
      <c r="R808">
        <v>71</v>
      </c>
      <c r="S808">
        <v>71</v>
      </c>
      <c r="T808">
        <f t="shared" si="38"/>
        <v>852</v>
      </c>
      <c r="U808">
        <v>1</v>
      </c>
    </row>
    <row r="809" spans="1:21" x14ac:dyDescent="0.3">
      <c r="A809" t="str">
        <f t="shared" si="36"/>
        <v>Hammersmith and FulhamReablement &amp; Rehabilitation at home  (pathway 1)3</v>
      </c>
      <c r="B809">
        <f>IF(C809="","",COUNTIF($C$2:C809,C809))</f>
        <v>3</v>
      </c>
      <c r="C809" t="str">
        <f t="shared" si="37"/>
        <v>Hammersmith and FulhamReablement at home  (pathway 1)</v>
      </c>
      <c r="D809" t="str">
        <f>VLOOKUP(G809,PathwayLookup!A:B,2,0)</f>
        <v>Reablement &amp; Rehabilitation at home  (pathway 1)</v>
      </c>
      <c r="E809" t="s">
        <v>161</v>
      </c>
      <c r="F809" t="s">
        <v>540</v>
      </c>
      <c r="G809" t="s">
        <v>718</v>
      </c>
      <c r="H809">
        <v>4</v>
      </c>
      <c r="I809">
        <v>4</v>
      </c>
      <c r="J809">
        <v>4</v>
      </c>
      <c r="K809">
        <v>4</v>
      </c>
      <c r="L809">
        <v>4</v>
      </c>
      <c r="M809">
        <v>4</v>
      </c>
      <c r="N809">
        <v>4</v>
      </c>
      <c r="O809">
        <v>4</v>
      </c>
      <c r="P809">
        <v>4</v>
      </c>
      <c r="Q809">
        <v>4</v>
      </c>
      <c r="R809">
        <v>4</v>
      </c>
      <c r="S809">
        <v>4</v>
      </c>
      <c r="T809">
        <f t="shared" si="38"/>
        <v>48</v>
      </c>
      <c r="U809">
        <v>1</v>
      </c>
    </row>
    <row r="810" spans="1:21" x14ac:dyDescent="0.3">
      <c r="A810" t="str">
        <f t="shared" si="36"/>
        <v>Hammersmith and FulhamReablement &amp; Rehabilitation at home  (pathway 1)4</v>
      </c>
      <c r="B810">
        <f>IF(C810="","",COUNTIF($C$2:C810,C810))</f>
        <v>4</v>
      </c>
      <c r="C810" t="str">
        <f t="shared" si="37"/>
        <v>Hammersmith and FulhamReablement at home  (pathway 1)</v>
      </c>
      <c r="D810" t="str">
        <f>VLOOKUP(G810,PathwayLookup!A:B,2,0)</f>
        <v>Reablement &amp; Rehabilitation at home  (pathway 1)</v>
      </c>
      <c r="E810" t="s">
        <v>161</v>
      </c>
      <c r="F810" t="s">
        <v>613</v>
      </c>
      <c r="G810" t="s">
        <v>718</v>
      </c>
      <c r="H810">
        <v>1</v>
      </c>
      <c r="I810">
        <v>1</v>
      </c>
      <c r="J810">
        <v>1</v>
      </c>
      <c r="K810">
        <v>1</v>
      </c>
      <c r="L810">
        <v>1</v>
      </c>
      <c r="M810">
        <v>1</v>
      </c>
      <c r="N810">
        <v>1</v>
      </c>
      <c r="O810">
        <v>1</v>
      </c>
      <c r="P810">
        <v>1</v>
      </c>
      <c r="Q810">
        <v>1</v>
      </c>
      <c r="R810">
        <v>1</v>
      </c>
      <c r="S810">
        <v>1</v>
      </c>
      <c r="T810">
        <f t="shared" si="38"/>
        <v>12</v>
      </c>
      <c r="U810">
        <v>1</v>
      </c>
    </row>
    <row r="811" spans="1:21" x14ac:dyDescent="0.3">
      <c r="A811" t="str">
        <f t="shared" si="36"/>
        <v>Hammersmith and FulhamReablement &amp; Rehabilitation at home  (pathway 1)1</v>
      </c>
      <c r="B811">
        <f>IF(C811="","",COUNTIF($C$2:C811,C811))</f>
        <v>1</v>
      </c>
      <c r="C811" t="str">
        <f t="shared" si="37"/>
        <v>Hammersmith and FulhamRehabilitation at home (pathway 1)</v>
      </c>
      <c r="D811" t="str">
        <f>VLOOKUP(G811,PathwayLookup!A:B,2,0)</f>
        <v>Reablement &amp; Rehabilitation at home  (pathway 1)</v>
      </c>
      <c r="E811" t="s">
        <v>161</v>
      </c>
      <c r="F811" t="s">
        <v>476</v>
      </c>
      <c r="G811" t="s">
        <v>719</v>
      </c>
      <c r="H811">
        <v>47</v>
      </c>
      <c r="I811">
        <v>47</v>
      </c>
      <c r="J811">
        <v>47</v>
      </c>
      <c r="K811">
        <v>47</v>
      </c>
      <c r="L811">
        <v>47</v>
      </c>
      <c r="M811">
        <v>47</v>
      </c>
      <c r="N811">
        <v>47</v>
      </c>
      <c r="O811">
        <v>47</v>
      </c>
      <c r="P811">
        <v>47</v>
      </c>
      <c r="Q811">
        <v>47</v>
      </c>
      <c r="R811">
        <v>47</v>
      </c>
      <c r="S811">
        <v>47</v>
      </c>
      <c r="T811">
        <f t="shared" si="38"/>
        <v>564</v>
      </c>
      <c r="U811">
        <v>1</v>
      </c>
    </row>
    <row r="812" spans="1:21" x14ac:dyDescent="0.3">
      <c r="A812" t="str">
        <f t="shared" si="36"/>
        <v>Hammersmith and FulhamReablement &amp; Rehabilitation at home  (pathway 1)2</v>
      </c>
      <c r="B812">
        <f>IF(C812="","",COUNTIF($C$2:C812,C812))</f>
        <v>2</v>
      </c>
      <c r="C812" t="str">
        <f t="shared" si="37"/>
        <v>Hammersmith and FulhamRehabilitation at home (pathway 1)</v>
      </c>
      <c r="D812" t="str">
        <f>VLOOKUP(G812,PathwayLookup!A:B,2,0)</f>
        <v>Reablement &amp; Rehabilitation at home  (pathway 1)</v>
      </c>
      <c r="E812" t="s">
        <v>161</v>
      </c>
      <c r="F812" t="s">
        <v>520</v>
      </c>
      <c r="G812" t="s">
        <v>719</v>
      </c>
      <c r="H812">
        <v>71</v>
      </c>
      <c r="I812">
        <v>71</v>
      </c>
      <c r="J812">
        <v>71</v>
      </c>
      <c r="K812">
        <v>71</v>
      </c>
      <c r="L812">
        <v>71</v>
      </c>
      <c r="M812">
        <v>71</v>
      </c>
      <c r="N812">
        <v>71</v>
      </c>
      <c r="O812">
        <v>71</v>
      </c>
      <c r="P812">
        <v>71</v>
      </c>
      <c r="Q812">
        <v>71</v>
      </c>
      <c r="R812">
        <v>71</v>
      </c>
      <c r="S812">
        <v>71</v>
      </c>
      <c r="T812">
        <f t="shared" si="38"/>
        <v>852</v>
      </c>
      <c r="U812">
        <v>1</v>
      </c>
    </row>
    <row r="813" spans="1:21" x14ac:dyDescent="0.3">
      <c r="A813" t="str">
        <f t="shared" si="36"/>
        <v>Hammersmith and FulhamReablement &amp; Rehabilitation at home  (pathway 1)3</v>
      </c>
      <c r="B813">
        <f>IF(C813="","",COUNTIF($C$2:C813,C813))</f>
        <v>3</v>
      </c>
      <c r="C813" t="str">
        <f t="shared" si="37"/>
        <v>Hammersmith and FulhamRehabilitation at home (pathway 1)</v>
      </c>
      <c r="D813" t="str">
        <f>VLOOKUP(G813,PathwayLookup!A:B,2,0)</f>
        <v>Reablement &amp; Rehabilitation at home  (pathway 1)</v>
      </c>
      <c r="E813" t="s">
        <v>161</v>
      </c>
      <c r="F813" t="s">
        <v>540</v>
      </c>
      <c r="G813" t="s">
        <v>719</v>
      </c>
      <c r="H813">
        <v>4</v>
      </c>
      <c r="I813">
        <v>4</v>
      </c>
      <c r="J813">
        <v>4</v>
      </c>
      <c r="K813">
        <v>4</v>
      </c>
      <c r="L813">
        <v>4</v>
      </c>
      <c r="M813">
        <v>4</v>
      </c>
      <c r="N813">
        <v>4</v>
      </c>
      <c r="O813">
        <v>4</v>
      </c>
      <c r="P813">
        <v>4</v>
      </c>
      <c r="Q813">
        <v>4</v>
      </c>
      <c r="R813">
        <v>4</v>
      </c>
      <c r="S813">
        <v>4</v>
      </c>
      <c r="T813">
        <f t="shared" si="38"/>
        <v>48</v>
      </c>
      <c r="U813">
        <v>1</v>
      </c>
    </row>
    <row r="814" spans="1:21" x14ac:dyDescent="0.3">
      <c r="A814" t="str">
        <f t="shared" si="36"/>
        <v>Hammersmith and FulhamReablement &amp; Rehabilitation at home  (pathway 1)4</v>
      </c>
      <c r="B814">
        <f>IF(C814="","",COUNTIF($C$2:C814,C814))</f>
        <v>4</v>
      </c>
      <c r="C814" t="str">
        <f t="shared" si="37"/>
        <v>Hammersmith and FulhamRehabilitation at home (pathway 1)</v>
      </c>
      <c r="D814" t="str">
        <f>VLOOKUP(G814,PathwayLookup!A:B,2,0)</f>
        <v>Reablement &amp; Rehabilitation at home  (pathway 1)</v>
      </c>
      <c r="E814" t="s">
        <v>161</v>
      </c>
      <c r="F814" t="s">
        <v>613</v>
      </c>
      <c r="G814" t="s">
        <v>719</v>
      </c>
      <c r="H814">
        <v>1</v>
      </c>
      <c r="I814">
        <v>1</v>
      </c>
      <c r="J814">
        <v>1</v>
      </c>
      <c r="K814">
        <v>1</v>
      </c>
      <c r="L814">
        <v>1</v>
      </c>
      <c r="M814">
        <v>1</v>
      </c>
      <c r="N814">
        <v>1</v>
      </c>
      <c r="O814">
        <v>1</v>
      </c>
      <c r="P814">
        <v>1</v>
      </c>
      <c r="Q814">
        <v>1</v>
      </c>
      <c r="R814">
        <v>1</v>
      </c>
      <c r="S814">
        <v>1</v>
      </c>
      <c r="T814">
        <f t="shared" si="38"/>
        <v>12</v>
      </c>
      <c r="U814">
        <v>1</v>
      </c>
    </row>
    <row r="815" spans="1:21" x14ac:dyDescent="0.3">
      <c r="A815" t="str">
        <f t="shared" si="36"/>
        <v>Hammersmith and FulhamShort term domiciliary care (pathway 1)1</v>
      </c>
      <c r="B815">
        <f>IF(C815="","",COUNTIF($C$2:C815,C815))</f>
        <v>1</v>
      </c>
      <c r="C815" t="str">
        <f t="shared" si="37"/>
        <v>Hammersmith and FulhamShort term domiciliary care (pathway 1)</v>
      </c>
      <c r="D815" t="str">
        <f>VLOOKUP(G815,PathwayLookup!A:B,2,0)</f>
        <v>Short term domiciliary care (pathway 1)</v>
      </c>
      <c r="E815" t="s">
        <v>161</v>
      </c>
      <c r="F815" t="s">
        <v>476</v>
      </c>
      <c r="G815" t="s">
        <v>684</v>
      </c>
      <c r="H815">
        <v>47</v>
      </c>
      <c r="I815">
        <v>47</v>
      </c>
      <c r="J815">
        <v>47</v>
      </c>
      <c r="K815">
        <v>47</v>
      </c>
      <c r="L815">
        <v>47</v>
      </c>
      <c r="M815">
        <v>47</v>
      </c>
      <c r="N815">
        <v>47</v>
      </c>
      <c r="O815">
        <v>47</v>
      </c>
      <c r="P815">
        <v>47</v>
      </c>
      <c r="Q815">
        <v>47</v>
      </c>
      <c r="R815">
        <v>47</v>
      </c>
      <c r="S815">
        <v>47</v>
      </c>
      <c r="T815">
        <f t="shared" si="38"/>
        <v>564</v>
      </c>
      <c r="U815">
        <v>1</v>
      </c>
    </row>
    <row r="816" spans="1:21" x14ac:dyDescent="0.3">
      <c r="A816" t="str">
        <f t="shared" si="36"/>
        <v>Hammersmith and FulhamShort term domiciliary care (pathway 1)2</v>
      </c>
      <c r="B816">
        <f>IF(C816="","",COUNTIF($C$2:C816,C816))</f>
        <v>2</v>
      </c>
      <c r="C816" t="str">
        <f t="shared" si="37"/>
        <v>Hammersmith and FulhamShort term domiciliary care (pathway 1)</v>
      </c>
      <c r="D816" t="str">
        <f>VLOOKUP(G816,PathwayLookup!A:B,2,0)</f>
        <v>Short term domiciliary care (pathway 1)</v>
      </c>
      <c r="E816" t="s">
        <v>161</v>
      </c>
      <c r="F816" t="s">
        <v>520</v>
      </c>
      <c r="G816" t="s">
        <v>684</v>
      </c>
      <c r="H816">
        <v>71</v>
      </c>
      <c r="I816">
        <v>71</v>
      </c>
      <c r="J816">
        <v>71</v>
      </c>
      <c r="K816">
        <v>71</v>
      </c>
      <c r="L816">
        <v>71</v>
      </c>
      <c r="M816">
        <v>71</v>
      </c>
      <c r="N816">
        <v>71</v>
      </c>
      <c r="O816">
        <v>71</v>
      </c>
      <c r="P816">
        <v>71</v>
      </c>
      <c r="Q816">
        <v>71</v>
      </c>
      <c r="R816">
        <v>71</v>
      </c>
      <c r="S816">
        <v>71</v>
      </c>
      <c r="T816">
        <f t="shared" si="38"/>
        <v>852</v>
      </c>
      <c r="U816">
        <v>1</v>
      </c>
    </row>
    <row r="817" spans="1:21" x14ac:dyDescent="0.3">
      <c r="A817" t="str">
        <f t="shared" si="36"/>
        <v>Hammersmith and FulhamShort term domiciliary care (pathway 1)3</v>
      </c>
      <c r="B817">
        <f>IF(C817="","",COUNTIF($C$2:C817,C817))</f>
        <v>3</v>
      </c>
      <c r="C817" t="str">
        <f t="shared" si="37"/>
        <v>Hammersmith and FulhamShort term domiciliary care (pathway 1)</v>
      </c>
      <c r="D817" t="str">
        <f>VLOOKUP(G817,PathwayLookup!A:B,2,0)</f>
        <v>Short term domiciliary care (pathway 1)</v>
      </c>
      <c r="E817" t="s">
        <v>161</v>
      </c>
      <c r="F817" t="s">
        <v>540</v>
      </c>
      <c r="G817" t="s">
        <v>684</v>
      </c>
      <c r="H817">
        <v>4</v>
      </c>
      <c r="I817">
        <v>4</v>
      </c>
      <c r="J817">
        <v>4</v>
      </c>
      <c r="K817">
        <v>4</v>
      </c>
      <c r="L817">
        <v>4</v>
      </c>
      <c r="M817">
        <v>4</v>
      </c>
      <c r="N817">
        <v>4</v>
      </c>
      <c r="O817">
        <v>4</v>
      </c>
      <c r="P817">
        <v>4</v>
      </c>
      <c r="Q817">
        <v>4</v>
      </c>
      <c r="R817">
        <v>4</v>
      </c>
      <c r="S817">
        <v>4</v>
      </c>
      <c r="T817">
        <f t="shared" si="38"/>
        <v>48</v>
      </c>
      <c r="U817">
        <v>1</v>
      </c>
    </row>
    <row r="818" spans="1:21" x14ac:dyDescent="0.3">
      <c r="A818" t="str">
        <f t="shared" si="36"/>
        <v>Hammersmith and FulhamShort term domiciliary care (pathway 1)4</v>
      </c>
      <c r="B818">
        <f>IF(C818="","",COUNTIF($C$2:C818,C818))</f>
        <v>4</v>
      </c>
      <c r="C818" t="str">
        <f t="shared" si="37"/>
        <v>Hammersmith and FulhamShort term domiciliary care (pathway 1)</v>
      </c>
      <c r="D818" t="str">
        <f>VLOOKUP(G818,PathwayLookup!A:B,2,0)</f>
        <v>Short term domiciliary care (pathway 1)</v>
      </c>
      <c r="E818" t="s">
        <v>161</v>
      </c>
      <c r="F818" t="s">
        <v>613</v>
      </c>
      <c r="G818" t="s">
        <v>684</v>
      </c>
      <c r="H818">
        <v>1</v>
      </c>
      <c r="I818">
        <v>1</v>
      </c>
      <c r="J818">
        <v>1</v>
      </c>
      <c r="K818">
        <v>1</v>
      </c>
      <c r="L818">
        <v>1</v>
      </c>
      <c r="M818">
        <v>1</v>
      </c>
      <c r="N818">
        <v>1</v>
      </c>
      <c r="O818">
        <v>1</v>
      </c>
      <c r="P818">
        <v>1</v>
      </c>
      <c r="Q818">
        <v>1</v>
      </c>
      <c r="R818">
        <v>1</v>
      </c>
      <c r="S818">
        <v>1</v>
      </c>
      <c r="T818">
        <f t="shared" si="38"/>
        <v>12</v>
      </c>
      <c r="U818">
        <v>1</v>
      </c>
    </row>
    <row r="819" spans="1:21" x14ac:dyDescent="0.3">
      <c r="A819" t="str">
        <f t="shared" si="36"/>
        <v/>
      </c>
      <c r="B819" t="str">
        <f>IF(C819="","",COUNTIF($C$2:C819,C819))</f>
        <v/>
      </c>
      <c r="C819" t="str">
        <f t="shared" si="37"/>
        <v/>
      </c>
      <c r="D819" t="str">
        <f>VLOOKUP(G819,PathwayLookup!A:B,2,0)</f>
        <v>Reablement &amp; Rehabilitation in a bedded setting (pathway 2)</v>
      </c>
      <c r="E819" t="s">
        <v>161</v>
      </c>
      <c r="F819" t="s">
        <v>476</v>
      </c>
      <c r="G819" t="s">
        <v>722</v>
      </c>
      <c r="H819">
        <v>0</v>
      </c>
      <c r="I819">
        <v>0</v>
      </c>
      <c r="J819">
        <v>0</v>
      </c>
      <c r="K819">
        <v>0</v>
      </c>
      <c r="L819">
        <v>0</v>
      </c>
      <c r="M819">
        <v>0</v>
      </c>
      <c r="N819">
        <v>0</v>
      </c>
      <c r="O819">
        <v>0</v>
      </c>
      <c r="P819">
        <v>0</v>
      </c>
      <c r="Q819">
        <v>0</v>
      </c>
      <c r="R819">
        <v>0</v>
      </c>
      <c r="S819">
        <v>0</v>
      </c>
      <c r="T819">
        <f t="shared" si="38"/>
        <v>0</v>
      </c>
      <c r="U819">
        <v>1</v>
      </c>
    </row>
    <row r="820" spans="1:21" x14ac:dyDescent="0.3">
      <c r="A820" t="str">
        <f t="shared" si="36"/>
        <v/>
      </c>
      <c r="B820" t="str">
        <f>IF(C820="","",COUNTIF($C$2:C820,C820))</f>
        <v/>
      </c>
      <c r="C820" t="str">
        <f t="shared" si="37"/>
        <v/>
      </c>
      <c r="D820" t="str">
        <f>VLOOKUP(G820,PathwayLookup!A:B,2,0)</f>
        <v>Reablement &amp; Rehabilitation in a bedded setting (pathway 2)</v>
      </c>
      <c r="E820" t="s">
        <v>161</v>
      </c>
      <c r="F820" t="s">
        <v>520</v>
      </c>
      <c r="G820" t="s">
        <v>722</v>
      </c>
      <c r="H820">
        <v>0</v>
      </c>
      <c r="I820">
        <v>0</v>
      </c>
      <c r="J820">
        <v>0</v>
      </c>
      <c r="K820">
        <v>0</v>
      </c>
      <c r="L820">
        <v>0</v>
      </c>
      <c r="M820">
        <v>0</v>
      </c>
      <c r="N820">
        <v>0</v>
      </c>
      <c r="O820">
        <v>0</v>
      </c>
      <c r="P820">
        <v>0</v>
      </c>
      <c r="Q820">
        <v>0</v>
      </c>
      <c r="R820">
        <v>0</v>
      </c>
      <c r="S820">
        <v>0</v>
      </c>
      <c r="T820">
        <f t="shared" si="38"/>
        <v>0</v>
      </c>
      <c r="U820">
        <v>1</v>
      </c>
    </row>
    <row r="821" spans="1:21" x14ac:dyDescent="0.3">
      <c r="A821" t="str">
        <f t="shared" si="36"/>
        <v/>
      </c>
      <c r="B821" t="str">
        <f>IF(C821="","",COUNTIF($C$2:C821,C821))</f>
        <v/>
      </c>
      <c r="C821" t="str">
        <f t="shared" si="37"/>
        <v/>
      </c>
      <c r="D821" t="str">
        <f>VLOOKUP(G821,PathwayLookup!A:B,2,0)</f>
        <v>Reablement &amp; Rehabilitation in a bedded setting (pathway 2)</v>
      </c>
      <c r="E821" t="s">
        <v>161</v>
      </c>
      <c r="F821" t="s">
        <v>540</v>
      </c>
      <c r="G821" t="s">
        <v>722</v>
      </c>
      <c r="H821">
        <v>0</v>
      </c>
      <c r="I821">
        <v>0</v>
      </c>
      <c r="J821">
        <v>0</v>
      </c>
      <c r="K821">
        <v>0</v>
      </c>
      <c r="L821">
        <v>0</v>
      </c>
      <c r="M821">
        <v>0</v>
      </c>
      <c r="N821">
        <v>0</v>
      </c>
      <c r="O821">
        <v>0</v>
      </c>
      <c r="P821">
        <v>0</v>
      </c>
      <c r="Q821">
        <v>0</v>
      </c>
      <c r="R821">
        <v>0</v>
      </c>
      <c r="S821">
        <v>0</v>
      </c>
      <c r="T821">
        <f t="shared" si="38"/>
        <v>0</v>
      </c>
      <c r="U821">
        <v>1</v>
      </c>
    </row>
    <row r="822" spans="1:21" x14ac:dyDescent="0.3">
      <c r="A822" t="str">
        <f t="shared" si="36"/>
        <v/>
      </c>
      <c r="B822" t="str">
        <f>IF(C822="","",COUNTIF($C$2:C822,C822))</f>
        <v/>
      </c>
      <c r="C822" t="str">
        <f t="shared" si="37"/>
        <v/>
      </c>
      <c r="D822" t="str">
        <f>VLOOKUP(G822,PathwayLookup!A:B,2,0)</f>
        <v>Reablement &amp; Rehabilitation in a bedded setting (pathway 2)</v>
      </c>
      <c r="E822" t="s">
        <v>161</v>
      </c>
      <c r="F822" t="s">
        <v>613</v>
      </c>
      <c r="G822" t="s">
        <v>722</v>
      </c>
      <c r="H822">
        <v>0</v>
      </c>
      <c r="I822">
        <v>0</v>
      </c>
      <c r="J822">
        <v>0</v>
      </c>
      <c r="K822">
        <v>0</v>
      </c>
      <c r="L822">
        <v>0</v>
      </c>
      <c r="M822">
        <v>0</v>
      </c>
      <c r="N822">
        <v>0</v>
      </c>
      <c r="O822">
        <v>0</v>
      </c>
      <c r="P822">
        <v>0</v>
      </c>
      <c r="Q822">
        <v>0</v>
      </c>
      <c r="R822">
        <v>0</v>
      </c>
      <c r="S822">
        <v>0</v>
      </c>
      <c r="T822">
        <f t="shared" si="38"/>
        <v>0</v>
      </c>
      <c r="U822">
        <v>1</v>
      </c>
    </row>
    <row r="823" spans="1:21" x14ac:dyDescent="0.3">
      <c r="A823" t="str">
        <f t="shared" si="36"/>
        <v>Hammersmith and FulhamReablement &amp; Rehabilitation in a bedded setting (pathway 2)1</v>
      </c>
      <c r="B823">
        <f>IF(C823="","",COUNTIF($C$2:C823,C823))</f>
        <v>1</v>
      </c>
      <c r="C823" t="str">
        <f t="shared" si="37"/>
        <v>Hammersmith and FulhamRehabilitation in a bedded setting (pathway 2)</v>
      </c>
      <c r="D823" t="str">
        <f>VLOOKUP(G823,PathwayLookup!A:B,2,0)</f>
        <v>Reablement &amp; Rehabilitation in a bedded setting (pathway 2)</v>
      </c>
      <c r="E823" t="s">
        <v>161</v>
      </c>
      <c r="F823" t="s">
        <v>476</v>
      </c>
      <c r="G823" t="s">
        <v>724</v>
      </c>
      <c r="H823">
        <v>10</v>
      </c>
      <c r="I823">
        <v>10</v>
      </c>
      <c r="J823">
        <v>11</v>
      </c>
      <c r="K823">
        <v>10</v>
      </c>
      <c r="L823">
        <v>10</v>
      </c>
      <c r="M823">
        <v>10</v>
      </c>
      <c r="N823">
        <v>11</v>
      </c>
      <c r="O823">
        <v>12</v>
      </c>
      <c r="P823">
        <v>12</v>
      </c>
      <c r="Q823">
        <v>11</v>
      </c>
      <c r="R823">
        <v>10</v>
      </c>
      <c r="S823">
        <v>12</v>
      </c>
      <c r="T823">
        <f t="shared" si="38"/>
        <v>129</v>
      </c>
      <c r="U823">
        <v>1</v>
      </c>
    </row>
    <row r="824" spans="1:21" x14ac:dyDescent="0.3">
      <c r="A824" t="str">
        <f t="shared" si="36"/>
        <v>Hammersmith and FulhamReablement &amp; Rehabilitation in a bedded setting (pathway 2)2</v>
      </c>
      <c r="B824">
        <f>IF(C824="","",COUNTIF($C$2:C824,C824))</f>
        <v>2</v>
      </c>
      <c r="C824" t="str">
        <f t="shared" si="37"/>
        <v>Hammersmith and FulhamRehabilitation in a bedded setting (pathway 2)</v>
      </c>
      <c r="D824" t="str">
        <f>VLOOKUP(G824,PathwayLookup!A:B,2,0)</f>
        <v>Reablement &amp; Rehabilitation in a bedded setting (pathway 2)</v>
      </c>
      <c r="E824" t="s">
        <v>161</v>
      </c>
      <c r="F824" t="s">
        <v>520</v>
      </c>
      <c r="G824" t="s">
        <v>724</v>
      </c>
      <c r="H824">
        <v>13</v>
      </c>
      <c r="I824">
        <v>14</v>
      </c>
      <c r="J824">
        <v>15</v>
      </c>
      <c r="K824">
        <v>14</v>
      </c>
      <c r="L824">
        <v>14</v>
      </c>
      <c r="M824">
        <v>14</v>
      </c>
      <c r="N824">
        <v>14</v>
      </c>
      <c r="O824">
        <v>14</v>
      </c>
      <c r="P824">
        <v>14</v>
      </c>
      <c r="Q824">
        <v>14</v>
      </c>
      <c r="R824">
        <v>14</v>
      </c>
      <c r="S824">
        <v>15</v>
      </c>
      <c r="T824">
        <f t="shared" si="38"/>
        <v>169</v>
      </c>
      <c r="U824">
        <v>1</v>
      </c>
    </row>
    <row r="825" spans="1:21" x14ac:dyDescent="0.3">
      <c r="A825" t="str">
        <f t="shared" si="36"/>
        <v>Hammersmith and FulhamReablement &amp; Rehabilitation in a bedded setting (pathway 2)3</v>
      </c>
      <c r="B825">
        <f>IF(C825="","",COUNTIF($C$2:C825,C825))</f>
        <v>3</v>
      </c>
      <c r="C825" t="str">
        <f t="shared" si="37"/>
        <v>Hammersmith and FulhamRehabilitation in a bedded setting (pathway 2)</v>
      </c>
      <c r="D825" t="str">
        <f>VLOOKUP(G825,PathwayLookup!A:B,2,0)</f>
        <v>Reablement &amp; Rehabilitation in a bedded setting (pathway 2)</v>
      </c>
      <c r="E825" t="s">
        <v>161</v>
      </c>
      <c r="F825" t="s">
        <v>540</v>
      </c>
      <c r="G825" t="s">
        <v>724</v>
      </c>
      <c r="H825">
        <v>2</v>
      </c>
      <c r="I825">
        <v>1</v>
      </c>
      <c r="J825">
        <v>1</v>
      </c>
      <c r="K825">
        <v>1</v>
      </c>
      <c r="L825">
        <v>2</v>
      </c>
      <c r="M825">
        <v>1</v>
      </c>
      <c r="N825">
        <v>1</v>
      </c>
      <c r="O825">
        <v>1</v>
      </c>
      <c r="P825">
        <v>1</v>
      </c>
      <c r="Q825">
        <v>1</v>
      </c>
      <c r="R825">
        <v>1</v>
      </c>
      <c r="S825">
        <v>1</v>
      </c>
      <c r="T825">
        <f t="shared" si="38"/>
        <v>14</v>
      </c>
      <c r="U825">
        <v>1</v>
      </c>
    </row>
    <row r="826" spans="1:21" x14ac:dyDescent="0.3">
      <c r="A826" t="str">
        <f t="shared" si="36"/>
        <v/>
      </c>
      <c r="B826" t="str">
        <f>IF(C826="","",COUNTIF($C$2:C826,C826))</f>
        <v/>
      </c>
      <c r="C826" t="str">
        <f t="shared" si="37"/>
        <v/>
      </c>
      <c r="D826" t="str">
        <f>VLOOKUP(G826,PathwayLookup!A:B,2,0)</f>
        <v>Reablement &amp; Rehabilitation in a bedded setting (pathway 2)</v>
      </c>
      <c r="E826" t="s">
        <v>161</v>
      </c>
      <c r="F826" t="s">
        <v>613</v>
      </c>
      <c r="G826" t="s">
        <v>724</v>
      </c>
      <c r="H826">
        <v>0</v>
      </c>
      <c r="I826">
        <v>0</v>
      </c>
      <c r="J826">
        <v>0</v>
      </c>
      <c r="K826">
        <v>0</v>
      </c>
      <c r="L826">
        <v>0</v>
      </c>
      <c r="M826">
        <v>0</v>
      </c>
      <c r="N826">
        <v>0</v>
      </c>
      <c r="O826">
        <v>0</v>
      </c>
      <c r="P826">
        <v>0</v>
      </c>
      <c r="Q826">
        <v>0</v>
      </c>
      <c r="R826">
        <v>0</v>
      </c>
      <c r="S826">
        <v>0</v>
      </c>
      <c r="T826">
        <f t="shared" si="38"/>
        <v>0</v>
      </c>
      <c r="U826">
        <v>1</v>
      </c>
    </row>
    <row r="827" spans="1:21" x14ac:dyDescent="0.3">
      <c r="A827" t="str">
        <f t="shared" si="36"/>
        <v>Hammersmith and FulhamShort-term residential/nursing care for someone likely to require a longer-term care home placement (pathway 3)1</v>
      </c>
      <c r="B827">
        <f>IF(C827="","",COUNTIF($C$2:C827,C827))</f>
        <v>1</v>
      </c>
      <c r="C827" t="str">
        <f t="shared" si="37"/>
        <v>Hammersmith and FulhamShort-term residential/nursing care for someone likely to require a longer-term care home placement (pathway 3)</v>
      </c>
      <c r="D827" t="str">
        <f>VLOOKUP(G827,PathwayLookup!A:B,2,0)</f>
        <v>Short-term residential/nursing care for someone likely to require a longer-term care home placement (pathway 3)</v>
      </c>
      <c r="E827" t="s">
        <v>161</v>
      </c>
      <c r="F827" t="s">
        <v>476</v>
      </c>
      <c r="G827" t="s">
        <v>686</v>
      </c>
      <c r="H827">
        <v>14</v>
      </c>
      <c r="I827">
        <v>15</v>
      </c>
      <c r="J827">
        <v>15</v>
      </c>
      <c r="K827">
        <v>14</v>
      </c>
      <c r="L827">
        <v>14</v>
      </c>
      <c r="M827">
        <v>15</v>
      </c>
      <c r="N827">
        <v>16</v>
      </c>
      <c r="O827">
        <v>17</v>
      </c>
      <c r="P827">
        <v>17</v>
      </c>
      <c r="Q827">
        <v>15</v>
      </c>
      <c r="R827">
        <v>14</v>
      </c>
      <c r="S827">
        <v>16</v>
      </c>
      <c r="T827">
        <f t="shared" si="38"/>
        <v>182</v>
      </c>
      <c r="U827">
        <v>1</v>
      </c>
    </row>
    <row r="828" spans="1:21" x14ac:dyDescent="0.3">
      <c r="A828" t="str">
        <f t="shared" si="36"/>
        <v>Hammersmith and FulhamShort-term residential/nursing care for someone likely to require a longer-term care home placement (pathway 3)2</v>
      </c>
      <c r="B828">
        <f>IF(C828="","",COUNTIF($C$2:C828,C828))</f>
        <v>2</v>
      </c>
      <c r="C828" t="str">
        <f t="shared" si="37"/>
        <v>Hammersmith and FulhamShort-term residential/nursing care for someone likely to require a longer-term care home placement (pathway 3)</v>
      </c>
      <c r="D828" t="str">
        <f>VLOOKUP(G828,PathwayLookup!A:B,2,0)</f>
        <v>Short-term residential/nursing care for someone likely to require a longer-term care home placement (pathway 3)</v>
      </c>
      <c r="E828" t="s">
        <v>161</v>
      </c>
      <c r="F828" t="s">
        <v>520</v>
      </c>
      <c r="G828" t="s">
        <v>686</v>
      </c>
      <c r="H828">
        <v>18</v>
      </c>
      <c r="I828">
        <v>20</v>
      </c>
      <c r="J828">
        <v>21</v>
      </c>
      <c r="K828">
        <v>20</v>
      </c>
      <c r="L828">
        <v>20</v>
      </c>
      <c r="M828">
        <v>20</v>
      </c>
      <c r="N828">
        <v>20</v>
      </c>
      <c r="O828">
        <v>20</v>
      </c>
      <c r="P828">
        <v>21</v>
      </c>
      <c r="Q828">
        <v>20</v>
      </c>
      <c r="R828">
        <v>20</v>
      </c>
      <c r="S828">
        <v>21</v>
      </c>
      <c r="T828">
        <f t="shared" si="38"/>
        <v>241</v>
      </c>
      <c r="U828">
        <v>1</v>
      </c>
    </row>
    <row r="829" spans="1:21" x14ac:dyDescent="0.3">
      <c r="A829" t="str">
        <f t="shared" si="36"/>
        <v>Hammersmith and FulhamShort-term residential/nursing care for someone likely to require a longer-term care home placement (pathway 3)3</v>
      </c>
      <c r="B829">
        <f>IF(C829="","",COUNTIF($C$2:C829,C829))</f>
        <v>3</v>
      </c>
      <c r="C829" t="str">
        <f t="shared" si="37"/>
        <v>Hammersmith and FulhamShort-term residential/nursing care for someone likely to require a longer-term care home placement (pathway 3)</v>
      </c>
      <c r="D829" t="str">
        <f>VLOOKUP(G829,PathwayLookup!A:B,2,0)</f>
        <v>Short-term residential/nursing care for someone likely to require a longer-term care home placement (pathway 3)</v>
      </c>
      <c r="E829" t="s">
        <v>161</v>
      </c>
      <c r="F829" t="s">
        <v>540</v>
      </c>
      <c r="G829" t="s">
        <v>686</v>
      </c>
      <c r="H829">
        <v>2</v>
      </c>
      <c r="I829">
        <v>2</v>
      </c>
      <c r="J829">
        <v>2</v>
      </c>
      <c r="K829">
        <v>2</v>
      </c>
      <c r="L829">
        <v>2</v>
      </c>
      <c r="M829">
        <v>2</v>
      </c>
      <c r="N829">
        <v>2</v>
      </c>
      <c r="O829">
        <v>2</v>
      </c>
      <c r="P829">
        <v>2</v>
      </c>
      <c r="Q829">
        <v>2</v>
      </c>
      <c r="R829">
        <v>2</v>
      </c>
      <c r="S829">
        <v>2</v>
      </c>
      <c r="T829">
        <f t="shared" si="38"/>
        <v>24</v>
      </c>
      <c r="U829">
        <v>1</v>
      </c>
    </row>
    <row r="830" spans="1:21" x14ac:dyDescent="0.3">
      <c r="A830" t="str">
        <f t="shared" si="36"/>
        <v>Hammersmith and FulhamShort-term residential/nursing care for someone likely to require a longer-term care home placement (pathway 3)4</v>
      </c>
      <c r="B830">
        <f>IF(C830="","",COUNTIF($C$2:C830,C830))</f>
        <v>4</v>
      </c>
      <c r="C830" t="str">
        <f t="shared" si="37"/>
        <v>Hammersmith and FulhamShort-term residential/nursing care for someone likely to require a longer-term care home placement (pathway 3)</v>
      </c>
      <c r="D830" t="str">
        <f>VLOOKUP(G830,PathwayLookup!A:B,2,0)</f>
        <v>Short-term residential/nursing care for someone likely to require a longer-term care home placement (pathway 3)</v>
      </c>
      <c r="E830" t="s">
        <v>161</v>
      </c>
      <c r="F830" t="s">
        <v>613</v>
      </c>
      <c r="G830" t="s">
        <v>686</v>
      </c>
      <c r="H830">
        <v>1</v>
      </c>
      <c r="I830">
        <v>1</v>
      </c>
      <c r="J830">
        <v>1</v>
      </c>
      <c r="K830">
        <v>1</v>
      </c>
      <c r="L830">
        <v>1</v>
      </c>
      <c r="M830">
        <v>1</v>
      </c>
      <c r="N830">
        <v>1</v>
      </c>
      <c r="O830">
        <v>1</v>
      </c>
      <c r="P830">
        <v>1</v>
      </c>
      <c r="Q830">
        <v>1</v>
      </c>
      <c r="R830">
        <v>1</v>
      </c>
      <c r="S830">
        <v>1</v>
      </c>
      <c r="T830">
        <f t="shared" si="38"/>
        <v>12</v>
      </c>
      <c r="U830">
        <v>1</v>
      </c>
    </row>
    <row r="831" spans="1:21" x14ac:dyDescent="0.3">
      <c r="A831" t="str">
        <f t="shared" si="36"/>
        <v>HampshireSocial support (including VCS) (pathway 0)1</v>
      </c>
      <c r="B831">
        <f>IF(C831="","",COUNTIF($C$2:C831,C831))</f>
        <v>1</v>
      </c>
      <c r="C831" t="str">
        <f t="shared" si="37"/>
        <v>HampshireSocial support (including VCS) (pathway 0)</v>
      </c>
      <c r="D831" t="str">
        <f>VLOOKUP(G831,PathwayLookup!A:B,2,0)</f>
        <v>Social support (including VCS) (pathway 0)</v>
      </c>
      <c r="E831" t="s">
        <v>163</v>
      </c>
      <c r="F831" t="s">
        <v>502</v>
      </c>
      <c r="G831" t="s">
        <v>682</v>
      </c>
      <c r="H831">
        <v>1051</v>
      </c>
      <c r="I831">
        <v>1204</v>
      </c>
      <c r="J831">
        <v>1155</v>
      </c>
      <c r="K831">
        <v>1559</v>
      </c>
      <c r="L831">
        <v>1567</v>
      </c>
      <c r="M831">
        <v>1592</v>
      </c>
      <c r="N831">
        <v>1453</v>
      </c>
      <c r="O831">
        <v>1226</v>
      </c>
      <c r="P831">
        <v>1201</v>
      </c>
      <c r="Q831">
        <v>1145</v>
      </c>
      <c r="R831">
        <v>1163</v>
      </c>
      <c r="S831">
        <v>1223</v>
      </c>
      <c r="T831">
        <f t="shared" si="38"/>
        <v>15539</v>
      </c>
      <c r="U831">
        <v>1</v>
      </c>
    </row>
    <row r="832" spans="1:21" x14ac:dyDescent="0.3">
      <c r="A832" t="str">
        <f t="shared" si="36"/>
        <v>HampshireSocial support (including VCS) (pathway 0)2</v>
      </c>
      <c r="B832">
        <f>IF(C832="","",COUNTIF($C$2:C832,C832))</f>
        <v>2</v>
      </c>
      <c r="C832" t="str">
        <f t="shared" si="37"/>
        <v>HampshireSocial support (including VCS) (pathway 0)</v>
      </c>
      <c r="D832" t="str">
        <f>VLOOKUP(G832,PathwayLookup!A:B,2,0)</f>
        <v>Social support (including VCS) (pathway 0)</v>
      </c>
      <c r="E832" t="s">
        <v>163</v>
      </c>
      <c r="F832" t="s">
        <v>511</v>
      </c>
      <c r="G832" t="s">
        <v>682</v>
      </c>
      <c r="H832">
        <v>156.15600000000003</v>
      </c>
      <c r="I832">
        <v>156.15600000000003</v>
      </c>
      <c r="J832">
        <v>156.15600000000003</v>
      </c>
      <c r="K832">
        <v>156.15600000000003</v>
      </c>
      <c r="L832">
        <v>156.15600000000003</v>
      </c>
      <c r="M832">
        <v>156.15600000000003</v>
      </c>
      <c r="N832">
        <v>156.15600000000003</v>
      </c>
      <c r="O832">
        <v>156.15600000000003</v>
      </c>
      <c r="P832">
        <v>156.15600000000003</v>
      </c>
      <c r="Q832">
        <v>156.15600000000003</v>
      </c>
      <c r="R832">
        <v>156.15600000000003</v>
      </c>
      <c r="S832">
        <v>156.15600000000003</v>
      </c>
      <c r="T832">
        <f t="shared" si="38"/>
        <v>1873.8720000000001</v>
      </c>
      <c r="U832">
        <v>1</v>
      </c>
    </row>
    <row r="833" spans="1:21" x14ac:dyDescent="0.3">
      <c r="A833" t="str">
        <f t="shared" si="36"/>
        <v>HampshireSocial support (including VCS) (pathway 0)3</v>
      </c>
      <c r="B833">
        <f>IF(C833="","",COUNTIF($C$2:C833,C833))</f>
        <v>3</v>
      </c>
      <c r="C833" t="str">
        <f t="shared" si="37"/>
        <v>HampshireSocial support (including VCS) (pathway 0)</v>
      </c>
      <c r="D833" t="str">
        <f>VLOOKUP(G833,PathwayLookup!A:B,2,0)</f>
        <v>Social support (including VCS) (pathway 0)</v>
      </c>
      <c r="E833" t="s">
        <v>163</v>
      </c>
      <c r="F833" t="s">
        <v>572</v>
      </c>
      <c r="G833" t="s">
        <v>682</v>
      </c>
      <c r="H833">
        <v>175.91400000000002</v>
      </c>
      <c r="I833">
        <v>175.91400000000002</v>
      </c>
      <c r="J833">
        <v>175.91400000000002</v>
      </c>
      <c r="K833">
        <v>175.91400000000002</v>
      </c>
      <c r="L833">
        <v>175.91400000000002</v>
      </c>
      <c r="M833">
        <v>175.91400000000002</v>
      </c>
      <c r="N833">
        <v>175.91400000000002</v>
      </c>
      <c r="O833">
        <v>175.91400000000002</v>
      </c>
      <c r="P833">
        <v>175.91400000000002</v>
      </c>
      <c r="Q833">
        <v>175.91400000000002</v>
      </c>
      <c r="R833">
        <v>175.91400000000002</v>
      </c>
      <c r="S833">
        <v>175.91400000000002</v>
      </c>
      <c r="T833">
        <f t="shared" si="38"/>
        <v>2110.9680000000003</v>
      </c>
      <c r="U833">
        <v>1</v>
      </c>
    </row>
    <row r="834" spans="1:21" x14ac:dyDescent="0.3">
      <c r="A834" t="str">
        <f t="shared" ref="A834:A897" si="39">IF(B834="","",E834&amp;D834&amp;B834)</f>
        <v>HampshireSocial support (including VCS) (pathway 0)4</v>
      </c>
      <c r="B834">
        <f>IF(C834="","",COUNTIF($C$2:C834,C834))</f>
        <v>4</v>
      </c>
      <c r="C834" t="str">
        <f t="shared" ref="C834:C897" si="40">IF(T834=0,"",E834&amp;G834)</f>
        <v>HampshireSocial support (including VCS) (pathway 0)</v>
      </c>
      <c r="D834" t="str">
        <f>VLOOKUP(G834,PathwayLookup!A:B,2,0)</f>
        <v>Social support (including VCS) (pathway 0)</v>
      </c>
      <c r="E834" t="s">
        <v>163</v>
      </c>
      <c r="F834" t="s">
        <v>581</v>
      </c>
      <c r="G834" t="s">
        <v>682</v>
      </c>
      <c r="H834">
        <v>46</v>
      </c>
      <c r="I834">
        <v>26</v>
      </c>
      <c r="J834">
        <v>36</v>
      </c>
      <c r="K834">
        <v>39</v>
      </c>
      <c r="L834">
        <v>37</v>
      </c>
      <c r="M834">
        <v>34</v>
      </c>
      <c r="N834">
        <v>38</v>
      </c>
      <c r="O834">
        <v>41</v>
      </c>
      <c r="P834">
        <v>34</v>
      </c>
      <c r="Q834">
        <v>44</v>
      </c>
      <c r="R834">
        <v>47</v>
      </c>
      <c r="S834">
        <v>50</v>
      </c>
      <c r="T834">
        <f t="shared" ref="T834:T897" si="41">SUM(H834:S834)</f>
        <v>472</v>
      </c>
      <c r="U834">
        <v>1</v>
      </c>
    </row>
    <row r="835" spans="1:21" x14ac:dyDescent="0.3">
      <c r="A835" t="str">
        <f t="shared" si="39"/>
        <v>HampshireSocial support (including VCS) (pathway 0)5</v>
      </c>
      <c r="B835">
        <f>IF(C835="","",COUNTIF($C$2:C835,C835))</f>
        <v>5</v>
      </c>
      <c r="C835" t="str">
        <f t="shared" si="40"/>
        <v>HampshireSocial support (including VCS) (pathway 0)</v>
      </c>
      <c r="D835" t="str">
        <f>VLOOKUP(G835,PathwayLookup!A:B,2,0)</f>
        <v>Social support (including VCS) (pathway 0)</v>
      </c>
      <c r="E835" t="s">
        <v>163</v>
      </c>
      <c r="F835" t="s">
        <v>627</v>
      </c>
      <c r="G835" t="s">
        <v>682</v>
      </c>
      <c r="H835">
        <v>128.889475</v>
      </c>
      <c r="I835">
        <v>128.889475</v>
      </c>
      <c r="J835">
        <v>128.889475</v>
      </c>
      <c r="K835">
        <v>128.889475</v>
      </c>
      <c r="L835">
        <v>128.889475</v>
      </c>
      <c r="M835">
        <v>128.889475</v>
      </c>
      <c r="N835">
        <v>128.889475</v>
      </c>
      <c r="O835">
        <v>128.889475</v>
      </c>
      <c r="P835">
        <v>128.889475</v>
      </c>
      <c r="Q835">
        <v>128.889475</v>
      </c>
      <c r="R835">
        <v>128.889475</v>
      </c>
      <c r="S835">
        <v>128.889475</v>
      </c>
      <c r="T835">
        <f t="shared" si="41"/>
        <v>1546.6736999999996</v>
      </c>
      <c r="U835">
        <v>1</v>
      </c>
    </row>
    <row r="836" spans="1:21" x14ac:dyDescent="0.3">
      <c r="A836" t="str">
        <f t="shared" si="39"/>
        <v>HampshireReablement &amp; Rehabilitation at home  (pathway 1)1</v>
      </c>
      <c r="B836">
        <f>IF(C836="","",COUNTIF($C$2:C836,C836))</f>
        <v>1</v>
      </c>
      <c r="C836" t="str">
        <f t="shared" si="40"/>
        <v>HampshireReablement at home  (pathway 1)</v>
      </c>
      <c r="D836" t="str">
        <f>VLOOKUP(G836,PathwayLookup!A:B,2,0)</f>
        <v>Reablement &amp; Rehabilitation at home  (pathway 1)</v>
      </c>
      <c r="E836" t="s">
        <v>163</v>
      </c>
      <c r="F836" t="s">
        <v>502</v>
      </c>
      <c r="G836" t="s">
        <v>718</v>
      </c>
      <c r="H836">
        <v>97</v>
      </c>
      <c r="I836">
        <v>110</v>
      </c>
      <c r="J836">
        <v>106</v>
      </c>
      <c r="K836">
        <v>143</v>
      </c>
      <c r="L836">
        <v>144</v>
      </c>
      <c r="M836">
        <v>146</v>
      </c>
      <c r="N836">
        <v>133</v>
      </c>
      <c r="O836">
        <v>112</v>
      </c>
      <c r="P836">
        <v>110</v>
      </c>
      <c r="Q836">
        <v>105</v>
      </c>
      <c r="R836">
        <v>106</v>
      </c>
      <c r="S836">
        <v>112</v>
      </c>
      <c r="T836">
        <f t="shared" si="41"/>
        <v>1424</v>
      </c>
      <c r="U836">
        <v>1</v>
      </c>
    </row>
    <row r="837" spans="1:21" x14ac:dyDescent="0.3">
      <c r="A837" t="str">
        <f t="shared" si="39"/>
        <v>HampshireReablement &amp; Rehabilitation at home  (pathway 1)2</v>
      </c>
      <c r="B837">
        <f>IF(C837="","",COUNTIF($C$2:C837,C837))</f>
        <v>2</v>
      </c>
      <c r="C837" t="str">
        <f t="shared" si="40"/>
        <v>HampshireReablement at home  (pathway 1)</v>
      </c>
      <c r="D837" t="str">
        <f>VLOOKUP(G837,PathwayLookup!A:B,2,0)</f>
        <v>Reablement &amp; Rehabilitation at home  (pathway 1)</v>
      </c>
      <c r="E837" t="s">
        <v>163</v>
      </c>
      <c r="F837" t="s">
        <v>511</v>
      </c>
      <c r="G837" t="s">
        <v>718</v>
      </c>
      <c r="H837">
        <v>75.3</v>
      </c>
      <c r="I837">
        <v>136.9</v>
      </c>
      <c r="J837">
        <v>132.5</v>
      </c>
      <c r="K837">
        <v>174.4</v>
      </c>
      <c r="L837">
        <v>205.5</v>
      </c>
      <c r="M837">
        <v>176.8</v>
      </c>
      <c r="N837">
        <v>136.9</v>
      </c>
      <c r="O837">
        <v>132.5</v>
      </c>
      <c r="P837">
        <v>136.9</v>
      </c>
      <c r="Q837">
        <v>136.9</v>
      </c>
      <c r="R837">
        <v>128.1</v>
      </c>
      <c r="S837">
        <v>136.9</v>
      </c>
      <c r="T837">
        <f t="shared" si="41"/>
        <v>1709.6000000000004</v>
      </c>
      <c r="U837">
        <v>1</v>
      </c>
    </row>
    <row r="838" spans="1:21" x14ac:dyDescent="0.3">
      <c r="A838" t="str">
        <f t="shared" si="39"/>
        <v>HampshireReablement &amp; Rehabilitation at home  (pathway 1)3</v>
      </c>
      <c r="B838">
        <f>IF(C838="","",COUNTIF($C$2:C838,C838))</f>
        <v>3</v>
      </c>
      <c r="C838" t="str">
        <f t="shared" si="40"/>
        <v>HampshireReablement at home  (pathway 1)</v>
      </c>
      <c r="D838" t="str">
        <f>VLOOKUP(G838,PathwayLookup!A:B,2,0)</f>
        <v>Reablement &amp; Rehabilitation at home  (pathway 1)</v>
      </c>
      <c r="E838" t="s">
        <v>163</v>
      </c>
      <c r="F838" t="s">
        <v>572</v>
      </c>
      <c r="G838" t="s">
        <v>718</v>
      </c>
      <c r="H838">
        <v>136.6</v>
      </c>
      <c r="I838">
        <v>145.9</v>
      </c>
      <c r="J838">
        <v>143</v>
      </c>
      <c r="K838">
        <v>148.6</v>
      </c>
      <c r="L838">
        <v>144.1</v>
      </c>
      <c r="M838">
        <v>138.6</v>
      </c>
      <c r="N838">
        <v>142.69999999999999</v>
      </c>
      <c r="O838">
        <v>134.80000000000001</v>
      </c>
      <c r="P838">
        <v>138.30000000000001</v>
      </c>
      <c r="Q838">
        <v>138.30000000000001</v>
      </c>
      <c r="R838">
        <v>129.4</v>
      </c>
      <c r="S838">
        <v>138.30000000000001</v>
      </c>
      <c r="T838">
        <f t="shared" si="41"/>
        <v>1678.6</v>
      </c>
      <c r="U838">
        <v>1</v>
      </c>
    </row>
    <row r="839" spans="1:21" x14ac:dyDescent="0.3">
      <c r="A839" t="str">
        <f t="shared" si="39"/>
        <v>HampshireReablement &amp; Rehabilitation at home  (pathway 1)4</v>
      </c>
      <c r="B839">
        <f>IF(C839="","",COUNTIF($C$2:C839,C839))</f>
        <v>4</v>
      </c>
      <c r="C839" t="str">
        <f t="shared" si="40"/>
        <v>HampshireReablement at home  (pathway 1)</v>
      </c>
      <c r="D839" t="str">
        <f>VLOOKUP(G839,PathwayLookup!A:B,2,0)</f>
        <v>Reablement &amp; Rehabilitation at home  (pathway 1)</v>
      </c>
      <c r="E839" t="s">
        <v>163</v>
      </c>
      <c r="F839" t="s">
        <v>581</v>
      </c>
      <c r="G839" t="s">
        <v>718</v>
      </c>
      <c r="H839">
        <v>4</v>
      </c>
      <c r="I839">
        <v>2</v>
      </c>
      <c r="J839">
        <v>3</v>
      </c>
      <c r="K839">
        <v>3</v>
      </c>
      <c r="L839">
        <v>3</v>
      </c>
      <c r="M839">
        <v>3</v>
      </c>
      <c r="N839">
        <v>3</v>
      </c>
      <c r="O839">
        <v>4</v>
      </c>
      <c r="P839">
        <v>3</v>
      </c>
      <c r="Q839">
        <v>4</v>
      </c>
      <c r="R839">
        <v>4</v>
      </c>
      <c r="S839">
        <v>4</v>
      </c>
      <c r="T839">
        <f t="shared" si="41"/>
        <v>40</v>
      </c>
      <c r="U839">
        <v>1</v>
      </c>
    </row>
    <row r="840" spans="1:21" x14ac:dyDescent="0.3">
      <c r="A840" t="str">
        <f t="shared" si="39"/>
        <v>HampshireReablement &amp; Rehabilitation at home  (pathway 1)5</v>
      </c>
      <c r="B840">
        <f>IF(C840="","",COUNTIF($C$2:C840,C840))</f>
        <v>5</v>
      </c>
      <c r="C840" t="str">
        <f t="shared" si="40"/>
        <v>HampshireReablement at home  (pathway 1)</v>
      </c>
      <c r="D840" t="str">
        <f>VLOOKUP(G840,PathwayLookup!A:B,2,0)</f>
        <v>Reablement &amp; Rehabilitation at home  (pathway 1)</v>
      </c>
      <c r="E840" t="s">
        <v>163</v>
      </c>
      <c r="F840" t="s">
        <v>627</v>
      </c>
      <c r="G840" t="s">
        <v>718</v>
      </c>
      <c r="H840">
        <v>96.7</v>
      </c>
      <c r="I840">
        <v>96.1</v>
      </c>
      <c r="J840">
        <v>86.1</v>
      </c>
      <c r="K840">
        <v>113.4</v>
      </c>
      <c r="L840">
        <v>133.6</v>
      </c>
      <c r="M840">
        <v>113.4</v>
      </c>
      <c r="N840">
        <v>89</v>
      </c>
      <c r="O840">
        <v>86.1</v>
      </c>
      <c r="P840">
        <v>89</v>
      </c>
      <c r="Q840">
        <v>89</v>
      </c>
      <c r="R840">
        <v>83.3</v>
      </c>
      <c r="S840">
        <v>89</v>
      </c>
      <c r="T840">
        <f t="shared" si="41"/>
        <v>1164.7</v>
      </c>
      <c r="U840">
        <v>1</v>
      </c>
    </row>
    <row r="841" spans="1:21" x14ac:dyDescent="0.3">
      <c r="A841" t="str">
        <f t="shared" si="39"/>
        <v>HampshireReablement &amp; Rehabilitation at home  (pathway 1)1</v>
      </c>
      <c r="B841">
        <f>IF(C841="","",COUNTIF($C$2:C841,C841))</f>
        <v>1</v>
      </c>
      <c r="C841" t="str">
        <f t="shared" si="40"/>
        <v>HampshireRehabilitation at home (pathway 1)</v>
      </c>
      <c r="D841" t="str">
        <f>VLOOKUP(G841,PathwayLookup!A:B,2,0)</f>
        <v>Reablement &amp; Rehabilitation at home  (pathway 1)</v>
      </c>
      <c r="E841" t="s">
        <v>163</v>
      </c>
      <c r="F841" t="s">
        <v>502</v>
      </c>
      <c r="G841" t="s">
        <v>719</v>
      </c>
      <c r="H841">
        <v>43</v>
      </c>
      <c r="I841">
        <v>43</v>
      </c>
      <c r="J841">
        <v>43</v>
      </c>
      <c r="K841">
        <v>43</v>
      </c>
      <c r="L841">
        <v>43</v>
      </c>
      <c r="M841">
        <v>43</v>
      </c>
      <c r="N841">
        <v>43</v>
      </c>
      <c r="O841">
        <v>43</v>
      </c>
      <c r="P841">
        <v>43</v>
      </c>
      <c r="Q841">
        <v>43</v>
      </c>
      <c r="R841">
        <v>43</v>
      </c>
      <c r="S841">
        <v>43</v>
      </c>
      <c r="T841">
        <f t="shared" si="41"/>
        <v>516</v>
      </c>
      <c r="U841">
        <v>1</v>
      </c>
    </row>
    <row r="842" spans="1:21" x14ac:dyDescent="0.3">
      <c r="A842" t="str">
        <f t="shared" si="39"/>
        <v>HampshireReablement &amp; Rehabilitation at home  (pathway 1)2</v>
      </c>
      <c r="B842">
        <f>IF(C842="","",COUNTIF($C$2:C842,C842))</f>
        <v>2</v>
      </c>
      <c r="C842" t="str">
        <f t="shared" si="40"/>
        <v>HampshireRehabilitation at home (pathway 1)</v>
      </c>
      <c r="D842" t="str">
        <f>VLOOKUP(G842,PathwayLookup!A:B,2,0)</f>
        <v>Reablement &amp; Rehabilitation at home  (pathway 1)</v>
      </c>
      <c r="E842" t="s">
        <v>163</v>
      </c>
      <c r="F842" t="s">
        <v>511</v>
      </c>
      <c r="G842" t="s">
        <v>719</v>
      </c>
      <c r="H842">
        <v>106.4</v>
      </c>
      <c r="I842">
        <v>193.3</v>
      </c>
      <c r="J842">
        <v>187.1</v>
      </c>
      <c r="K842">
        <v>246.3</v>
      </c>
      <c r="L842">
        <v>290.2</v>
      </c>
      <c r="M842">
        <v>249.7</v>
      </c>
      <c r="N842">
        <v>193.3</v>
      </c>
      <c r="O842">
        <v>187.1</v>
      </c>
      <c r="P842">
        <v>193.3</v>
      </c>
      <c r="Q842">
        <v>193.3</v>
      </c>
      <c r="R842">
        <v>180.8</v>
      </c>
      <c r="S842">
        <v>193.3</v>
      </c>
      <c r="T842">
        <f t="shared" si="41"/>
        <v>2414.1000000000004</v>
      </c>
      <c r="U842">
        <v>1</v>
      </c>
    </row>
    <row r="843" spans="1:21" x14ac:dyDescent="0.3">
      <c r="A843" t="str">
        <f t="shared" si="39"/>
        <v>HampshireReablement &amp; Rehabilitation at home  (pathway 1)3</v>
      </c>
      <c r="B843">
        <f>IF(C843="","",COUNTIF($C$2:C843,C843))</f>
        <v>3</v>
      </c>
      <c r="C843" t="str">
        <f t="shared" si="40"/>
        <v>HampshireRehabilitation at home (pathway 1)</v>
      </c>
      <c r="D843" t="str">
        <f>VLOOKUP(G843,PathwayLookup!A:B,2,0)</f>
        <v>Reablement &amp; Rehabilitation at home  (pathway 1)</v>
      </c>
      <c r="E843" t="s">
        <v>163</v>
      </c>
      <c r="F843" t="s">
        <v>572</v>
      </c>
      <c r="G843" t="s">
        <v>719</v>
      </c>
      <c r="H843">
        <v>184.8</v>
      </c>
      <c r="I843">
        <v>197.4</v>
      </c>
      <c r="J843">
        <v>193.5</v>
      </c>
      <c r="K843">
        <v>201.1</v>
      </c>
      <c r="L843">
        <v>194.9</v>
      </c>
      <c r="M843">
        <v>187.9</v>
      </c>
      <c r="N843">
        <v>193.1</v>
      </c>
      <c r="O843">
        <v>182.4</v>
      </c>
      <c r="P843">
        <v>187.1</v>
      </c>
      <c r="Q843">
        <v>187.1</v>
      </c>
      <c r="R843">
        <v>175</v>
      </c>
      <c r="S843">
        <v>187.1</v>
      </c>
      <c r="T843">
        <f t="shared" si="41"/>
        <v>2271.4</v>
      </c>
      <c r="U843">
        <v>1</v>
      </c>
    </row>
    <row r="844" spans="1:21" x14ac:dyDescent="0.3">
      <c r="A844" t="str">
        <f t="shared" si="39"/>
        <v>HampshireReablement &amp; Rehabilitation at home  (pathway 1)4</v>
      </c>
      <c r="B844">
        <f>IF(C844="","",COUNTIF($C$2:C844,C844))</f>
        <v>4</v>
      </c>
      <c r="C844" t="str">
        <f t="shared" si="40"/>
        <v>HampshireRehabilitation at home (pathway 1)</v>
      </c>
      <c r="D844" t="str">
        <f>VLOOKUP(G844,PathwayLookup!A:B,2,0)</f>
        <v>Reablement &amp; Rehabilitation at home  (pathway 1)</v>
      </c>
      <c r="E844" t="s">
        <v>163</v>
      </c>
      <c r="F844" t="s">
        <v>627</v>
      </c>
      <c r="G844" t="s">
        <v>719</v>
      </c>
      <c r="H844">
        <v>238.3</v>
      </c>
      <c r="I844">
        <v>236.9</v>
      </c>
      <c r="J844">
        <v>212.3</v>
      </c>
      <c r="K844">
        <v>279.60000000000002</v>
      </c>
      <c r="L844">
        <v>329.4</v>
      </c>
      <c r="M844">
        <v>279.5</v>
      </c>
      <c r="N844">
        <v>219.4</v>
      </c>
      <c r="O844">
        <v>212.3</v>
      </c>
      <c r="P844">
        <v>219.4</v>
      </c>
      <c r="Q844">
        <v>219.4</v>
      </c>
      <c r="R844">
        <v>205.3</v>
      </c>
      <c r="S844">
        <v>219.4</v>
      </c>
      <c r="T844">
        <f t="shared" si="41"/>
        <v>2871.2000000000003</v>
      </c>
      <c r="U844">
        <v>1</v>
      </c>
    </row>
    <row r="845" spans="1:21" x14ac:dyDescent="0.3">
      <c r="A845" t="str">
        <f t="shared" si="39"/>
        <v>HampshireShort term domiciliary care (pathway 1)1</v>
      </c>
      <c r="B845">
        <f>IF(C845="","",COUNTIF($C$2:C845,C845))</f>
        <v>1</v>
      </c>
      <c r="C845" t="str">
        <f t="shared" si="40"/>
        <v>HampshireShort term domiciliary care (pathway 1)</v>
      </c>
      <c r="D845" t="str">
        <f>VLOOKUP(G845,PathwayLookup!A:B,2,0)</f>
        <v>Short term domiciliary care (pathway 1)</v>
      </c>
      <c r="E845" t="s">
        <v>163</v>
      </c>
      <c r="F845" t="s">
        <v>511</v>
      </c>
      <c r="G845" t="s">
        <v>684</v>
      </c>
      <c r="H845">
        <v>43</v>
      </c>
      <c r="I845">
        <v>78</v>
      </c>
      <c r="J845">
        <v>75.5</v>
      </c>
      <c r="K845">
        <v>99.4</v>
      </c>
      <c r="L845">
        <v>117.2</v>
      </c>
      <c r="M845">
        <v>100.8</v>
      </c>
      <c r="N845">
        <v>78</v>
      </c>
      <c r="O845">
        <v>75.5</v>
      </c>
      <c r="P845">
        <v>78</v>
      </c>
      <c r="Q845">
        <v>78</v>
      </c>
      <c r="R845">
        <v>73</v>
      </c>
      <c r="S845">
        <v>78</v>
      </c>
      <c r="T845">
        <f t="shared" si="41"/>
        <v>974.4</v>
      </c>
      <c r="U845">
        <v>1</v>
      </c>
    </row>
    <row r="846" spans="1:21" x14ac:dyDescent="0.3">
      <c r="A846" t="str">
        <f t="shared" si="39"/>
        <v>HampshireShort term domiciliary care (pathway 1)2</v>
      </c>
      <c r="B846">
        <f>IF(C846="","",COUNTIF($C$2:C846,C846))</f>
        <v>2</v>
      </c>
      <c r="C846" t="str">
        <f t="shared" si="40"/>
        <v>HampshireShort term domiciliary care (pathway 1)</v>
      </c>
      <c r="D846" t="str">
        <f>VLOOKUP(G846,PathwayLookup!A:B,2,0)</f>
        <v>Short term domiciliary care (pathway 1)</v>
      </c>
      <c r="E846" t="s">
        <v>163</v>
      </c>
      <c r="F846" t="s">
        <v>572</v>
      </c>
      <c r="G846" t="s">
        <v>684</v>
      </c>
      <c r="H846">
        <v>111.6</v>
      </c>
      <c r="I846">
        <v>119.2</v>
      </c>
      <c r="J846">
        <v>116.9</v>
      </c>
      <c r="K846">
        <v>121.4</v>
      </c>
      <c r="L846">
        <v>117.7</v>
      </c>
      <c r="M846">
        <v>113.5</v>
      </c>
      <c r="N846">
        <v>116.6</v>
      </c>
      <c r="O846">
        <v>110.1</v>
      </c>
      <c r="P846">
        <v>113</v>
      </c>
      <c r="Q846">
        <v>113</v>
      </c>
      <c r="R846">
        <v>105.7</v>
      </c>
      <c r="S846">
        <v>113</v>
      </c>
      <c r="T846">
        <f t="shared" si="41"/>
        <v>1371.7</v>
      </c>
      <c r="U846">
        <v>1</v>
      </c>
    </row>
    <row r="847" spans="1:21" x14ac:dyDescent="0.3">
      <c r="A847" t="str">
        <f t="shared" si="39"/>
        <v>HampshireShort term domiciliary care (pathway 1)3</v>
      </c>
      <c r="B847">
        <f>IF(C847="","",COUNTIF($C$2:C847,C847))</f>
        <v>3</v>
      </c>
      <c r="C847" t="str">
        <f t="shared" si="40"/>
        <v>HampshireShort term domiciliary care (pathway 1)</v>
      </c>
      <c r="D847" t="str">
        <f>VLOOKUP(G847,PathwayLookup!A:B,2,0)</f>
        <v>Short term domiciliary care (pathway 1)</v>
      </c>
      <c r="E847" t="s">
        <v>163</v>
      </c>
      <c r="F847" t="s">
        <v>627</v>
      </c>
      <c r="G847" t="s">
        <v>684</v>
      </c>
      <c r="H847">
        <v>108.4</v>
      </c>
      <c r="I847">
        <v>107.8</v>
      </c>
      <c r="J847">
        <v>96.6</v>
      </c>
      <c r="K847">
        <v>127.2</v>
      </c>
      <c r="L847">
        <v>149.9</v>
      </c>
      <c r="M847">
        <v>127.2</v>
      </c>
      <c r="N847">
        <v>99.8</v>
      </c>
      <c r="O847">
        <v>96.6</v>
      </c>
      <c r="P847">
        <v>99.8</v>
      </c>
      <c r="Q847">
        <v>99.8</v>
      </c>
      <c r="R847">
        <v>93.4</v>
      </c>
      <c r="S847">
        <v>99.8</v>
      </c>
      <c r="T847">
        <f t="shared" si="41"/>
        <v>1306.3</v>
      </c>
      <c r="U847">
        <v>1</v>
      </c>
    </row>
    <row r="848" spans="1:21" x14ac:dyDescent="0.3">
      <c r="A848" t="str">
        <f t="shared" si="39"/>
        <v>HampshireReablement &amp; Rehabilitation in a bedded setting (pathway 2)1</v>
      </c>
      <c r="B848">
        <f>IF(C848="","",COUNTIF($C$2:C848,C848))</f>
        <v>1</v>
      </c>
      <c r="C848" t="str">
        <f t="shared" si="40"/>
        <v>HampshireReablement in a bedded setting (pathway 2)</v>
      </c>
      <c r="D848" t="str">
        <f>VLOOKUP(G848,PathwayLookup!A:B,2,0)</f>
        <v>Reablement &amp; Rehabilitation in a bedded setting (pathway 2)</v>
      </c>
      <c r="E848" t="s">
        <v>163</v>
      </c>
      <c r="F848" t="s">
        <v>502</v>
      </c>
      <c r="G848" t="s">
        <v>722</v>
      </c>
      <c r="H848">
        <v>63</v>
      </c>
      <c r="I848">
        <v>71</v>
      </c>
      <c r="J848">
        <v>69</v>
      </c>
      <c r="K848">
        <v>93</v>
      </c>
      <c r="L848">
        <v>93</v>
      </c>
      <c r="M848">
        <v>96</v>
      </c>
      <c r="N848">
        <v>87</v>
      </c>
      <c r="O848">
        <v>74</v>
      </c>
      <c r="P848">
        <v>71</v>
      </c>
      <c r="Q848">
        <v>68</v>
      </c>
      <c r="R848">
        <v>69</v>
      </c>
      <c r="S848">
        <v>74</v>
      </c>
      <c r="T848">
        <f t="shared" si="41"/>
        <v>928</v>
      </c>
      <c r="U848">
        <v>1</v>
      </c>
    </row>
    <row r="849" spans="1:21" x14ac:dyDescent="0.3">
      <c r="A849" t="str">
        <f t="shared" si="39"/>
        <v>HampshireReablement &amp; Rehabilitation in a bedded setting (pathway 2)2</v>
      </c>
      <c r="B849">
        <f>IF(C849="","",COUNTIF($C$2:C849,C849))</f>
        <v>2</v>
      </c>
      <c r="C849" t="str">
        <f t="shared" si="40"/>
        <v>HampshireReablement in a bedded setting (pathway 2)</v>
      </c>
      <c r="D849" t="str">
        <f>VLOOKUP(G849,PathwayLookup!A:B,2,0)</f>
        <v>Reablement &amp; Rehabilitation in a bedded setting (pathway 2)</v>
      </c>
      <c r="E849" t="s">
        <v>163</v>
      </c>
      <c r="F849" t="s">
        <v>511</v>
      </c>
      <c r="G849" t="s">
        <v>722</v>
      </c>
      <c r="H849">
        <v>30.3</v>
      </c>
      <c r="I849">
        <v>55.5</v>
      </c>
      <c r="J849">
        <v>53.2</v>
      </c>
      <c r="K849">
        <v>70.2</v>
      </c>
      <c r="L849">
        <v>82.7</v>
      </c>
      <c r="M849">
        <v>71.099999999999994</v>
      </c>
      <c r="N849">
        <v>55</v>
      </c>
      <c r="O849">
        <v>53.2</v>
      </c>
      <c r="P849">
        <v>55</v>
      </c>
      <c r="Q849">
        <v>55</v>
      </c>
      <c r="R849">
        <v>51.5</v>
      </c>
      <c r="S849">
        <v>55</v>
      </c>
      <c r="T849">
        <f t="shared" si="41"/>
        <v>687.7</v>
      </c>
      <c r="U849">
        <v>1</v>
      </c>
    </row>
    <row r="850" spans="1:21" x14ac:dyDescent="0.3">
      <c r="A850" t="str">
        <f t="shared" si="39"/>
        <v>HampshireReablement &amp; Rehabilitation in a bedded setting (pathway 2)3</v>
      </c>
      <c r="B850">
        <f>IF(C850="","",COUNTIF($C$2:C850,C850))</f>
        <v>3</v>
      </c>
      <c r="C850" t="str">
        <f t="shared" si="40"/>
        <v>HampshireReablement in a bedded setting (pathway 2)</v>
      </c>
      <c r="D850" t="str">
        <f>VLOOKUP(G850,PathwayLookup!A:B,2,0)</f>
        <v>Reablement &amp; Rehabilitation in a bedded setting (pathway 2)</v>
      </c>
      <c r="E850" t="s">
        <v>163</v>
      </c>
      <c r="F850" t="s">
        <v>572</v>
      </c>
      <c r="G850" t="s">
        <v>722</v>
      </c>
      <c r="H850">
        <v>62.5</v>
      </c>
      <c r="I850">
        <v>72.3</v>
      </c>
      <c r="J850">
        <v>73</v>
      </c>
      <c r="K850">
        <v>76.8</v>
      </c>
      <c r="L850">
        <v>69.400000000000006</v>
      </c>
      <c r="M850">
        <v>66.3</v>
      </c>
      <c r="N850">
        <v>67.099999999999994</v>
      </c>
      <c r="O850">
        <v>59.6</v>
      </c>
      <c r="P850">
        <v>60</v>
      </c>
      <c r="Q850">
        <v>60</v>
      </c>
      <c r="R850">
        <v>56.1</v>
      </c>
      <c r="S850">
        <v>60</v>
      </c>
      <c r="T850">
        <f t="shared" si="41"/>
        <v>783.1</v>
      </c>
      <c r="U850">
        <v>1</v>
      </c>
    </row>
    <row r="851" spans="1:21" x14ac:dyDescent="0.3">
      <c r="A851" t="str">
        <f t="shared" si="39"/>
        <v>HampshireReablement &amp; Rehabilitation in a bedded setting (pathway 2)4</v>
      </c>
      <c r="B851">
        <f>IF(C851="","",COUNTIF($C$2:C851,C851))</f>
        <v>4</v>
      </c>
      <c r="C851" t="str">
        <f t="shared" si="40"/>
        <v>HampshireReablement in a bedded setting (pathway 2)</v>
      </c>
      <c r="D851" t="str">
        <f>VLOOKUP(G851,PathwayLookup!A:B,2,0)</f>
        <v>Reablement &amp; Rehabilitation in a bedded setting (pathway 2)</v>
      </c>
      <c r="E851" t="s">
        <v>163</v>
      </c>
      <c r="F851" t="s">
        <v>627</v>
      </c>
      <c r="G851" t="s">
        <v>722</v>
      </c>
      <c r="H851">
        <v>76.2</v>
      </c>
      <c r="I851">
        <v>71.400000000000006</v>
      </c>
      <c r="J851">
        <v>58.6</v>
      </c>
      <c r="K851">
        <v>77.3</v>
      </c>
      <c r="L851">
        <v>91.1</v>
      </c>
      <c r="M851">
        <v>77.2</v>
      </c>
      <c r="N851">
        <v>60.6</v>
      </c>
      <c r="O851">
        <v>58.6</v>
      </c>
      <c r="P851">
        <v>60.6</v>
      </c>
      <c r="Q851">
        <v>60.6</v>
      </c>
      <c r="R851">
        <v>56.7</v>
      </c>
      <c r="S851">
        <v>60.6</v>
      </c>
      <c r="T851">
        <f t="shared" si="41"/>
        <v>809.50000000000011</v>
      </c>
      <c r="U851">
        <v>1</v>
      </c>
    </row>
    <row r="852" spans="1:21" x14ac:dyDescent="0.3">
      <c r="A852" t="str">
        <f t="shared" si="39"/>
        <v>HampshireReablement &amp; Rehabilitation in a bedded setting (pathway 2)1</v>
      </c>
      <c r="B852">
        <f>IF(C852="","",COUNTIF($C$2:C852,C852))</f>
        <v>1</v>
      </c>
      <c r="C852" t="str">
        <f t="shared" si="40"/>
        <v>HampshireRehabilitation in a bedded setting (pathway 2)</v>
      </c>
      <c r="D852" t="str">
        <f>VLOOKUP(G852,PathwayLookup!A:B,2,0)</f>
        <v>Reablement &amp; Rehabilitation in a bedded setting (pathway 2)</v>
      </c>
      <c r="E852" t="s">
        <v>163</v>
      </c>
      <c r="F852" t="s">
        <v>511</v>
      </c>
      <c r="G852" t="s">
        <v>724</v>
      </c>
      <c r="H852">
        <v>36.9</v>
      </c>
      <c r="I852">
        <v>67.099999999999994</v>
      </c>
      <c r="J852">
        <v>65</v>
      </c>
      <c r="K852">
        <v>85.6</v>
      </c>
      <c r="L852">
        <v>100.9</v>
      </c>
      <c r="M852">
        <v>86.8</v>
      </c>
      <c r="N852">
        <v>67.099999999999994</v>
      </c>
      <c r="O852">
        <v>65</v>
      </c>
      <c r="P852">
        <v>67.099999999999994</v>
      </c>
      <c r="Q852">
        <v>67.099999999999994</v>
      </c>
      <c r="R852">
        <v>62.8</v>
      </c>
      <c r="S852">
        <v>67.099999999999994</v>
      </c>
      <c r="T852">
        <f t="shared" si="41"/>
        <v>838.5</v>
      </c>
      <c r="U852">
        <v>1</v>
      </c>
    </row>
    <row r="853" spans="1:21" x14ac:dyDescent="0.3">
      <c r="A853" t="str">
        <f t="shared" si="39"/>
        <v>HampshireReablement &amp; Rehabilitation in a bedded setting (pathway 2)2</v>
      </c>
      <c r="B853">
        <f>IF(C853="","",COUNTIF($C$2:C853,C853))</f>
        <v>2</v>
      </c>
      <c r="C853" t="str">
        <f t="shared" si="40"/>
        <v>HampshireRehabilitation in a bedded setting (pathway 2)</v>
      </c>
      <c r="D853" t="str">
        <f>VLOOKUP(G853,PathwayLookup!A:B,2,0)</f>
        <v>Reablement &amp; Rehabilitation in a bedded setting (pathway 2)</v>
      </c>
      <c r="E853" t="s">
        <v>163</v>
      </c>
      <c r="F853" t="s">
        <v>572</v>
      </c>
      <c r="G853" t="s">
        <v>724</v>
      </c>
      <c r="H853">
        <v>117.6</v>
      </c>
      <c r="I853">
        <v>135.9</v>
      </c>
      <c r="J853">
        <v>137.30000000000001</v>
      </c>
      <c r="K853">
        <v>144.30000000000001</v>
      </c>
      <c r="L853">
        <v>130.4</v>
      </c>
      <c r="M853">
        <v>124.7</v>
      </c>
      <c r="N853">
        <v>126.2</v>
      </c>
      <c r="O853">
        <v>112.1</v>
      </c>
      <c r="P853">
        <v>112.7</v>
      </c>
      <c r="Q853">
        <v>112.7</v>
      </c>
      <c r="R853">
        <v>105.4</v>
      </c>
      <c r="S853">
        <v>112.7</v>
      </c>
      <c r="T853">
        <f t="shared" si="41"/>
        <v>1472.0000000000002</v>
      </c>
      <c r="U853">
        <v>1</v>
      </c>
    </row>
    <row r="854" spans="1:21" x14ac:dyDescent="0.3">
      <c r="A854" t="str">
        <f t="shared" si="39"/>
        <v>HampshireReablement &amp; Rehabilitation in a bedded setting (pathway 2)3</v>
      </c>
      <c r="B854">
        <f>IF(C854="","",COUNTIF($C$2:C854,C854))</f>
        <v>3</v>
      </c>
      <c r="C854" t="str">
        <f t="shared" si="40"/>
        <v>HampshireRehabilitation in a bedded setting (pathway 2)</v>
      </c>
      <c r="D854" t="str">
        <f>VLOOKUP(G854,PathwayLookup!A:B,2,0)</f>
        <v>Reablement &amp; Rehabilitation in a bedded setting (pathway 2)</v>
      </c>
      <c r="E854" t="s">
        <v>163</v>
      </c>
      <c r="F854" t="s">
        <v>627</v>
      </c>
      <c r="G854" t="s">
        <v>724</v>
      </c>
      <c r="H854">
        <v>77.400000000000006</v>
      </c>
      <c r="I854">
        <v>72.599999999999994</v>
      </c>
      <c r="J854">
        <v>59.6</v>
      </c>
      <c r="K854">
        <v>78.5</v>
      </c>
      <c r="L854">
        <v>92.5</v>
      </c>
      <c r="M854">
        <v>78.400000000000006</v>
      </c>
      <c r="N854">
        <v>61.5</v>
      </c>
      <c r="O854">
        <v>59.6</v>
      </c>
      <c r="P854">
        <v>61.5</v>
      </c>
      <c r="Q854">
        <v>61.5</v>
      </c>
      <c r="R854">
        <v>57.6</v>
      </c>
      <c r="S854">
        <v>61.5</v>
      </c>
      <c r="T854">
        <f t="shared" si="41"/>
        <v>822.2</v>
      </c>
      <c r="U854">
        <v>1</v>
      </c>
    </row>
    <row r="855" spans="1:21" x14ac:dyDescent="0.3">
      <c r="A855" t="str">
        <f t="shared" si="39"/>
        <v>HampshireShort-term residential/nursing care for someone likely to require a longer-term care home placement (pathway 3)1</v>
      </c>
      <c r="B855">
        <f>IF(C855="","",COUNTIF($C$2:C855,C855))</f>
        <v>1</v>
      </c>
      <c r="C855" t="str">
        <f t="shared" si="40"/>
        <v>HampshireShort-term residential/nursing care for someone likely to require a longer-term care home placement (pathway 3)</v>
      </c>
      <c r="D855" t="str">
        <f>VLOOKUP(G855,PathwayLookup!A:B,2,0)</f>
        <v>Short-term residential/nursing care for someone likely to require a longer-term care home placement (pathway 3)</v>
      </c>
      <c r="E855" t="s">
        <v>163</v>
      </c>
      <c r="F855" t="s">
        <v>502</v>
      </c>
      <c r="G855" t="s">
        <v>686</v>
      </c>
      <c r="H855">
        <v>19</v>
      </c>
      <c r="I855">
        <v>21</v>
      </c>
      <c r="J855">
        <v>20</v>
      </c>
      <c r="K855">
        <v>27</v>
      </c>
      <c r="L855">
        <v>27</v>
      </c>
      <c r="M855">
        <v>28</v>
      </c>
      <c r="N855">
        <v>25</v>
      </c>
      <c r="O855">
        <v>21</v>
      </c>
      <c r="P855">
        <v>21</v>
      </c>
      <c r="Q855">
        <v>20</v>
      </c>
      <c r="R855">
        <v>20</v>
      </c>
      <c r="S855">
        <v>21</v>
      </c>
      <c r="T855">
        <f t="shared" si="41"/>
        <v>270</v>
      </c>
      <c r="U855">
        <v>1</v>
      </c>
    </row>
    <row r="856" spans="1:21" x14ac:dyDescent="0.3">
      <c r="A856" t="str">
        <f t="shared" si="39"/>
        <v>HampshireShort-term residential/nursing care for someone likely to require a longer-term care home placement (pathway 3)2</v>
      </c>
      <c r="B856">
        <f>IF(C856="","",COUNTIF($C$2:C856,C856))</f>
        <v>2</v>
      </c>
      <c r="C856" t="str">
        <f t="shared" si="40"/>
        <v>HampshireShort-term residential/nursing care for someone likely to require a longer-term care home placement (pathway 3)</v>
      </c>
      <c r="D856" t="str">
        <f>VLOOKUP(G856,PathwayLookup!A:B,2,0)</f>
        <v>Short-term residential/nursing care for someone likely to require a longer-term care home placement (pathway 3)</v>
      </c>
      <c r="E856" t="s">
        <v>163</v>
      </c>
      <c r="F856" t="s">
        <v>511</v>
      </c>
      <c r="G856" t="s">
        <v>686</v>
      </c>
      <c r="H856">
        <v>67.2</v>
      </c>
      <c r="I856">
        <v>122.1</v>
      </c>
      <c r="J856">
        <v>118.2</v>
      </c>
      <c r="K856">
        <v>155.80000000000001</v>
      </c>
      <c r="L856">
        <v>183.6</v>
      </c>
      <c r="M856">
        <v>157.9</v>
      </c>
      <c r="N856">
        <v>122.1</v>
      </c>
      <c r="O856">
        <v>118.2</v>
      </c>
      <c r="P856">
        <v>122.1</v>
      </c>
      <c r="Q856">
        <v>122.1</v>
      </c>
      <c r="R856">
        <v>114.3</v>
      </c>
      <c r="S856">
        <v>122.1</v>
      </c>
      <c r="T856">
        <f t="shared" si="41"/>
        <v>1525.6999999999996</v>
      </c>
      <c r="U856">
        <v>1</v>
      </c>
    </row>
    <row r="857" spans="1:21" x14ac:dyDescent="0.3">
      <c r="A857" t="str">
        <f t="shared" si="39"/>
        <v>HampshireShort-term residential/nursing care for someone likely to require a longer-term care home placement (pathway 3)3</v>
      </c>
      <c r="B857">
        <f>IF(C857="","",COUNTIF($C$2:C857,C857))</f>
        <v>3</v>
      </c>
      <c r="C857" t="str">
        <f t="shared" si="40"/>
        <v>HampshireShort-term residential/nursing care for someone likely to require a longer-term care home placement (pathway 3)</v>
      </c>
      <c r="D857" t="str">
        <f>VLOOKUP(G857,PathwayLookup!A:B,2,0)</f>
        <v>Short-term residential/nursing care for someone likely to require a longer-term care home placement (pathway 3)</v>
      </c>
      <c r="E857" t="s">
        <v>163</v>
      </c>
      <c r="F857" t="s">
        <v>572</v>
      </c>
      <c r="G857" t="s">
        <v>686</v>
      </c>
      <c r="H857">
        <v>46.3</v>
      </c>
      <c r="I857">
        <v>53.5</v>
      </c>
      <c r="J857">
        <v>54.1</v>
      </c>
      <c r="K857">
        <v>56.8</v>
      </c>
      <c r="L857">
        <v>51.3</v>
      </c>
      <c r="M857">
        <v>49.1</v>
      </c>
      <c r="N857">
        <v>49.6</v>
      </c>
      <c r="O857">
        <v>44.1</v>
      </c>
      <c r="P857">
        <v>45.5</v>
      </c>
      <c r="Q857">
        <v>44.3</v>
      </c>
      <c r="R857">
        <v>41.5</v>
      </c>
      <c r="S857">
        <v>44.3</v>
      </c>
      <c r="T857">
        <f t="shared" si="41"/>
        <v>580.40000000000009</v>
      </c>
      <c r="U857">
        <v>1</v>
      </c>
    </row>
    <row r="858" spans="1:21" x14ac:dyDescent="0.3">
      <c r="A858" t="str">
        <f t="shared" si="39"/>
        <v>HampshireShort-term residential/nursing care for someone likely to require a longer-term care home placement (pathway 3)4</v>
      </c>
      <c r="B858">
        <f>IF(C858="","",COUNTIF($C$2:C858,C858))</f>
        <v>4</v>
      </c>
      <c r="C858" t="str">
        <f t="shared" si="40"/>
        <v>HampshireShort-term residential/nursing care for someone likely to require a longer-term care home placement (pathway 3)</v>
      </c>
      <c r="D858" t="str">
        <f>VLOOKUP(G858,PathwayLookup!A:B,2,0)</f>
        <v>Short-term residential/nursing care for someone likely to require a longer-term care home placement (pathway 3)</v>
      </c>
      <c r="E858" t="s">
        <v>163</v>
      </c>
      <c r="F858" t="s">
        <v>581</v>
      </c>
      <c r="G858" t="s">
        <v>686</v>
      </c>
      <c r="H858">
        <v>1</v>
      </c>
      <c r="I858">
        <v>0</v>
      </c>
      <c r="J858">
        <v>1</v>
      </c>
      <c r="K858">
        <v>1</v>
      </c>
      <c r="L858">
        <v>1</v>
      </c>
      <c r="M858">
        <v>1</v>
      </c>
      <c r="N858">
        <v>1</v>
      </c>
      <c r="O858">
        <v>1</v>
      </c>
      <c r="P858">
        <v>1</v>
      </c>
      <c r="Q858">
        <v>1</v>
      </c>
      <c r="R858">
        <v>1</v>
      </c>
      <c r="S858">
        <v>1</v>
      </c>
      <c r="T858">
        <f t="shared" si="41"/>
        <v>11</v>
      </c>
      <c r="U858">
        <v>1</v>
      </c>
    </row>
    <row r="859" spans="1:21" x14ac:dyDescent="0.3">
      <c r="A859" t="str">
        <f t="shared" si="39"/>
        <v>HampshireShort-term residential/nursing care for someone likely to require a longer-term care home placement (pathway 3)5</v>
      </c>
      <c r="B859">
        <f>IF(C859="","",COUNTIF($C$2:C859,C859))</f>
        <v>5</v>
      </c>
      <c r="C859" t="str">
        <f t="shared" si="40"/>
        <v>HampshireShort-term residential/nursing care for someone likely to require a longer-term care home placement (pathway 3)</v>
      </c>
      <c r="D859" t="str">
        <f>VLOOKUP(G859,PathwayLookup!A:B,2,0)</f>
        <v>Short-term residential/nursing care for someone likely to require a longer-term care home placement (pathway 3)</v>
      </c>
      <c r="E859" t="s">
        <v>163</v>
      </c>
      <c r="F859" t="s">
        <v>627</v>
      </c>
      <c r="G859" t="s">
        <v>686</v>
      </c>
      <c r="H859">
        <v>132.69999999999999</v>
      </c>
      <c r="I859">
        <v>144</v>
      </c>
      <c r="J859">
        <v>118.2</v>
      </c>
      <c r="K859">
        <v>155.80000000000001</v>
      </c>
      <c r="L859">
        <v>183.6</v>
      </c>
      <c r="M859">
        <v>155.69999999999999</v>
      </c>
      <c r="N859">
        <v>122.1</v>
      </c>
      <c r="O859">
        <v>118.2</v>
      </c>
      <c r="P859">
        <v>122.1</v>
      </c>
      <c r="Q859">
        <v>122.1</v>
      </c>
      <c r="R859">
        <v>114.3</v>
      </c>
      <c r="S859">
        <v>122.1</v>
      </c>
      <c r="T859">
        <f t="shared" si="41"/>
        <v>1610.8999999999996</v>
      </c>
      <c r="U859">
        <v>1</v>
      </c>
    </row>
    <row r="860" spans="1:21" x14ac:dyDescent="0.3">
      <c r="A860" t="str">
        <f t="shared" si="39"/>
        <v>HaringeySocial support (including VCS) (pathway 0)1</v>
      </c>
      <c r="B860">
        <f>IF(C860="","",COUNTIF($C$2:C860,C860))</f>
        <v>1</v>
      </c>
      <c r="C860" t="str">
        <f t="shared" si="40"/>
        <v>HaringeySocial support (including VCS) (pathway 0)</v>
      </c>
      <c r="D860" t="str">
        <f>VLOOKUP(G860,PathwayLookup!A:B,2,0)</f>
        <v>Social support (including VCS) (pathway 0)</v>
      </c>
      <c r="E860" t="s">
        <v>165</v>
      </c>
      <c r="F860" t="s">
        <v>557</v>
      </c>
      <c r="G860" t="s">
        <v>682</v>
      </c>
      <c r="H860">
        <v>50</v>
      </c>
      <c r="I860">
        <v>49</v>
      </c>
      <c r="J860">
        <v>50</v>
      </c>
      <c r="K860">
        <v>49</v>
      </c>
      <c r="L860">
        <v>50</v>
      </c>
      <c r="M860">
        <v>49</v>
      </c>
      <c r="N860">
        <v>50</v>
      </c>
      <c r="O860">
        <v>49</v>
      </c>
      <c r="P860">
        <v>50</v>
      </c>
      <c r="Q860">
        <v>49</v>
      </c>
      <c r="R860">
        <v>49</v>
      </c>
      <c r="S860">
        <v>49</v>
      </c>
      <c r="T860">
        <f t="shared" si="41"/>
        <v>593</v>
      </c>
      <c r="U860">
        <v>1</v>
      </c>
    </row>
    <row r="861" spans="1:21" x14ac:dyDescent="0.3">
      <c r="A861" t="str">
        <f t="shared" si="39"/>
        <v>HaringeySocial support (including VCS) (pathway 0)2</v>
      </c>
      <c r="B861">
        <f>IF(C861="","",COUNTIF($C$2:C861,C861))</f>
        <v>2</v>
      </c>
      <c r="C861" t="str">
        <f t="shared" si="40"/>
        <v>HaringeySocial support (including VCS) (pathway 0)</v>
      </c>
      <c r="D861" t="str">
        <f>VLOOKUP(G861,PathwayLookup!A:B,2,0)</f>
        <v>Social support (including VCS) (pathway 0)</v>
      </c>
      <c r="E861" t="s">
        <v>165</v>
      </c>
      <c r="F861" t="s">
        <v>578</v>
      </c>
      <c r="G861" t="s">
        <v>682</v>
      </c>
      <c r="H861">
        <v>3</v>
      </c>
      <c r="I861">
        <v>3</v>
      </c>
      <c r="J861">
        <v>3</v>
      </c>
      <c r="K861">
        <v>3</v>
      </c>
      <c r="L861">
        <v>3</v>
      </c>
      <c r="M861">
        <v>3</v>
      </c>
      <c r="N861">
        <v>3</v>
      </c>
      <c r="O861">
        <v>3</v>
      </c>
      <c r="P861">
        <v>3</v>
      </c>
      <c r="Q861">
        <v>3</v>
      </c>
      <c r="R861">
        <v>3</v>
      </c>
      <c r="S861">
        <v>3</v>
      </c>
      <c r="T861">
        <f t="shared" si="41"/>
        <v>36</v>
      </c>
      <c r="U861">
        <v>1</v>
      </c>
    </row>
    <row r="862" spans="1:21" x14ac:dyDescent="0.3">
      <c r="A862" t="str">
        <f t="shared" si="39"/>
        <v>HaringeySocial support (including VCS) (pathway 0)3</v>
      </c>
      <c r="B862">
        <f>IF(C862="","",COUNTIF($C$2:C862,C862))</f>
        <v>3</v>
      </c>
      <c r="C862" t="str">
        <f t="shared" si="40"/>
        <v>HaringeySocial support (including VCS) (pathway 0)</v>
      </c>
      <c r="D862" t="str">
        <f>VLOOKUP(G862,PathwayLookup!A:B,2,0)</f>
        <v>Social support (including VCS) (pathway 0)</v>
      </c>
      <c r="E862" t="s">
        <v>165</v>
      </c>
      <c r="F862" t="s">
        <v>626</v>
      </c>
      <c r="G862" t="s">
        <v>682</v>
      </c>
      <c r="H862">
        <v>1</v>
      </c>
      <c r="I862">
        <v>1</v>
      </c>
      <c r="J862">
        <v>1</v>
      </c>
      <c r="K862">
        <v>1</v>
      </c>
      <c r="L862">
        <v>1</v>
      </c>
      <c r="M862">
        <v>1</v>
      </c>
      <c r="N862">
        <v>1</v>
      </c>
      <c r="O862">
        <v>1</v>
      </c>
      <c r="P862">
        <v>1</v>
      </c>
      <c r="Q862">
        <v>1</v>
      </c>
      <c r="R862">
        <v>1</v>
      </c>
      <c r="S862">
        <v>1</v>
      </c>
      <c r="T862">
        <f t="shared" si="41"/>
        <v>12</v>
      </c>
      <c r="U862">
        <v>1</v>
      </c>
    </row>
    <row r="863" spans="1:21" x14ac:dyDescent="0.3">
      <c r="A863" t="str">
        <f t="shared" si="39"/>
        <v>HaringeySocial support (including VCS) (pathway 0)4</v>
      </c>
      <c r="B863">
        <f>IF(C863="","",COUNTIF($C$2:C863,C863))</f>
        <v>4</v>
      </c>
      <c r="C863" t="str">
        <f t="shared" si="40"/>
        <v>HaringeySocial support (including VCS) (pathway 0)</v>
      </c>
      <c r="D863" t="str">
        <f>VLOOKUP(G863,PathwayLookup!A:B,2,0)</f>
        <v>Social support (including VCS) (pathway 0)</v>
      </c>
      <c r="E863" t="s">
        <v>165</v>
      </c>
      <c r="F863" t="s">
        <v>643</v>
      </c>
      <c r="G863" t="s">
        <v>682</v>
      </c>
      <c r="H863">
        <v>24</v>
      </c>
      <c r="I863">
        <v>24</v>
      </c>
      <c r="J863">
        <v>24</v>
      </c>
      <c r="K863">
        <v>24</v>
      </c>
      <c r="L863">
        <v>24</v>
      </c>
      <c r="M863">
        <v>24</v>
      </c>
      <c r="N863">
        <v>24</v>
      </c>
      <c r="O863">
        <v>24</v>
      </c>
      <c r="P863">
        <v>24</v>
      </c>
      <c r="Q863">
        <v>24</v>
      </c>
      <c r="R863">
        <v>23</v>
      </c>
      <c r="S863">
        <v>24</v>
      </c>
      <c r="T863">
        <f t="shared" si="41"/>
        <v>287</v>
      </c>
      <c r="U863">
        <v>1</v>
      </c>
    </row>
    <row r="864" spans="1:21" x14ac:dyDescent="0.3">
      <c r="A864" t="str">
        <f t="shared" si="39"/>
        <v>HaringeyReablement &amp; Rehabilitation at home  (pathway 1)1</v>
      </c>
      <c r="B864">
        <f>IF(C864="","",COUNTIF($C$2:C864,C864))</f>
        <v>1</v>
      </c>
      <c r="C864" t="str">
        <f t="shared" si="40"/>
        <v>HaringeyReablement at home  (pathway 1)</v>
      </c>
      <c r="D864" t="str">
        <f>VLOOKUP(G864,PathwayLookup!A:B,2,0)</f>
        <v>Reablement &amp; Rehabilitation at home  (pathway 1)</v>
      </c>
      <c r="E864" t="s">
        <v>165</v>
      </c>
      <c r="F864" t="s">
        <v>557</v>
      </c>
      <c r="G864" t="s">
        <v>718</v>
      </c>
      <c r="H864">
        <v>42</v>
      </c>
      <c r="I864">
        <v>37</v>
      </c>
      <c r="J864">
        <v>43</v>
      </c>
      <c r="K864">
        <v>48</v>
      </c>
      <c r="L864">
        <v>26</v>
      </c>
      <c r="M864">
        <v>45</v>
      </c>
      <c r="N864">
        <v>32</v>
      </c>
      <c r="O864">
        <v>45</v>
      </c>
      <c r="P864">
        <v>44</v>
      </c>
      <c r="Q864">
        <v>41</v>
      </c>
      <c r="R864">
        <v>47</v>
      </c>
      <c r="S864">
        <v>24</v>
      </c>
      <c r="T864">
        <f t="shared" si="41"/>
        <v>474</v>
      </c>
      <c r="U864">
        <v>1</v>
      </c>
    </row>
    <row r="865" spans="1:21" x14ac:dyDescent="0.3">
      <c r="A865" t="str">
        <f t="shared" si="39"/>
        <v>HaringeyReablement &amp; Rehabilitation at home  (pathway 1)2</v>
      </c>
      <c r="B865">
        <f>IF(C865="","",COUNTIF($C$2:C865,C865))</f>
        <v>2</v>
      </c>
      <c r="C865" t="str">
        <f t="shared" si="40"/>
        <v>HaringeyReablement at home  (pathway 1)</v>
      </c>
      <c r="D865" t="str">
        <f>VLOOKUP(G865,PathwayLookup!A:B,2,0)</f>
        <v>Reablement &amp; Rehabilitation at home  (pathway 1)</v>
      </c>
      <c r="E865" t="s">
        <v>165</v>
      </c>
      <c r="F865" t="s">
        <v>578</v>
      </c>
      <c r="G865" t="s">
        <v>718</v>
      </c>
      <c r="H865">
        <v>29</v>
      </c>
      <c r="I865">
        <v>31</v>
      </c>
      <c r="J865">
        <v>25</v>
      </c>
      <c r="K865">
        <v>28</v>
      </c>
      <c r="L865">
        <v>21</v>
      </c>
      <c r="M865">
        <v>22</v>
      </c>
      <c r="N865">
        <v>21</v>
      </c>
      <c r="O865">
        <v>22</v>
      </c>
      <c r="P865">
        <v>22</v>
      </c>
      <c r="Q865">
        <v>28</v>
      </c>
      <c r="R865">
        <v>25</v>
      </c>
      <c r="S865">
        <v>33</v>
      </c>
      <c r="T865">
        <f t="shared" si="41"/>
        <v>307</v>
      </c>
      <c r="U865">
        <v>1</v>
      </c>
    </row>
    <row r="866" spans="1:21" x14ac:dyDescent="0.3">
      <c r="A866" t="str">
        <f t="shared" si="39"/>
        <v>HaringeyReablement &amp; Rehabilitation at home  (pathway 1)3</v>
      </c>
      <c r="B866">
        <f>IF(C866="","",COUNTIF($C$2:C866,C866))</f>
        <v>3</v>
      </c>
      <c r="C866" t="str">
        <f t="shared" si="40"/>
        <v>HaringeyReablement at home  (pathway 1)</v>
      </c>
      <c r="D866" t="str">
        <f>VLOOKUP(G866,PathwayLookup!A:B,2,0)</f>
        <v>Reablement &amp; Rehabilitation at home  (pathway 1)</v>
      </c>
      <c r="E866" t="s">
        <v>165</v>
      </c>
      <c r="F866" t="s">
        <v>626</v>
      </c>
      <c r="G866" t="s">
        <v>718</v>
      </c>
      <c r="H866">
        <v>26</v>
      </c>
      <c r="I866">
        <v>22</v>
      </c>
      <c r="J866">
        <v>19</v>
      </c>
      <c r="K866">
        <v>24</v>
      </c>
      <c r="L866">
        <v>17</v>
      </c>
      <c r="M866">
        <v>23</v>
      </c>
      <c r="N866">
        <v>26</v>
      </c>
      <c r="O866">
        <v>22</v>
      </c>
      <c r="P866">
        <v>25</v>
      </c>
      <c r="Q866">
        <v>23</v>
      </c>
      <c r="R866">
        <v>22</v>
      </c>
      <c r="S866">
        <v>23</v>
      </c>
      <c r="T866">
        <f t="shared" si="41"/>
        <v>272</v>
      </c>
      <c r="U866">
        <v>1</v>
      </c>
    </row>
    <row r="867" spans="1:21" x14ac:dyDescent="0.3">
      <c r="A867" t="str">
        <f t="shared" si="39"/>
        <v>HaringeyReablement &amp; Rehabilitation at home  (pathway 1)4</v>
      </c>
      <c r="B867">
        <f>IF(C867="","",COUNTIF($C$2:C867,C867))</f>
        <v>4</v>
      </c>
      <c r="C867" t="str">
        <f t="shared" si="40"/>
        <v>HaringeyReablement at home  (pathway 1)</v>
      </c>
      <c r="D867" t="str">
        <f>VLOOKUP(G867,PathwayLookup!A:B,2,0)</f>
        <v>Reablement &amp; Rehabilitation at home  (pathway 1)</v>
      </c>
      <c r="E867" t="s">
        <v>165</v>
      </c>
      <c r="F867" t="s">
        <v>643</v>
      </c>
      <c r="G867" t="s">
        <v>718</v>
      </c>
      <c r="H867">
        <v>34</v>
      </c>
      <c r="I867">
        <v>34</v>
      </c>
      <c r="J867">
        <v>45</v>
      </c>
      <c r="K867">
        <v>32</v>
      </c>
      <c r="L867">
        <v>28</v>
      </c>
      <c r="M867">
        <v>34</v>
      </c>
      <c r="N867">
        <v>39</v>
      </c>
      <c r="O867">
        <v>31</v>
      </c>
      <c r="P867">
        <v>32</v>
      </c>
      <c r="Q867">
        <v>33</v>
      </c>
      <c r="R867">
        <v>29</v>
      </c>
      <c r="S867">
        <v>34</v>
      </c>
      <c r="T867">
        <f t="shared" si="41"/>
        <v>405</v>
      </c>
      <c r="U867">
        <v>1</v>
      </c>
    </row>
    <row r="868" spans="1:21" x14ac:dyDescent="0.3">
      <c r="A868" t="str">
        <f t="shared" si="39"/>
        <v>HaringeyReablement &amp; Rehabilitation at home  (pathway 1)1</v>
      </c>
      <c r="B868">
        <f>IF(C868="","",COUNTIF($C$2:C868,C868))</f>
        <v>1</v>
      </c>
      <c r="C868" t="str">
        <f t="shared" si="40"/>
        <v>HaringeyRehabilitation at home (pathway 1)</v>
      </c>
      <c r="D868" t="str">
        <f>VLOOKUP(G868,PathwayLookup!A:B,2,0)</f>
        <v>Reablement &amp; Rehabilitation at home  (pathway 1)</v>
      </c>
      <c r="E868" t="s">
        <v>165</v>
      </c>
      <c r="F868" t="s">
        <v>557</v>
      </c>
      <c r="G868" t="s">
        <v>719</v>
      </c>
      <c r="H868">
        <v>0</v>
      </c>
      <c r="I868">
        <v>2</v>
      </c>
      <c r="J868">
        <v>2</v>
      </c>
      <c r="K868">
        <v>2</v>
      </c>
      <c r="L868">
        <v>2</v>
      </c>
      <c r="M868">
        <v>3</v>
      </c>
      <c r="N868">
        <v>4</v>
      </c>
      <c r="O868">
        <v>4</v>
      </c>
      <c r="P868">
        <v>4</v>
      </c>
      <c r="Q868">
        <v>5</v>
      </c>
      <c r="R868">
        <v>4</v>
      </c>
      <c r="S868">
        <v>4</v>
      </c>
      <c r="T868">
        <f t="shared" si="41"/>
        <v>36</v>
      </c>
      <c r="U868">
        <v>1</v>
      </c>
    </row>
    <row r="869" spans="1:21" x14ac:dyDescent="0.3">
      <c r="A869" t="str">
        <f t="shared" si="39"/>
        <v>HaringeyReablement &amp; Rehabilitation at home  (pathway 1)2</v>
      </c>
      <c r="B869">
        <f>IF(C869="","",COUNTIF($C$2:C869,C869))</f>
        <v>2</v>
      </c>
      <c r="C869" t="str">
        <f t="shared" si="40"/>
        <v>HaringeyRehabilitation at home (pathway 1)</v>
      </c>
      <c r="D869" t="str">
        <f>VLOOKUP(G869,PathwayLookup!A:B,2,0)</f>
        <v>Reablement &amp; Rehabilitation at home  (pathway 1)</v>
      </c>
      <c r="E869" t="s">
        <v>165</v>
      </c>
      <c r="F869" t="s">
        <v>578</v>
      </c>
      <c r="G869" t="s">
        <v>719</v>
      </c>
      <c r="H869">
        <v>0</v>
      </c>
      <c r="I869">
        <v>0</v>
      </c>
      <c r="J869">
        <v>1</v>
      </c>
      <c r="K869">
        <v>1</v>
      </c>
      <c r="L869">
        <v>1</v>
      </c>
      <c r="M869">
        <v>1</v>
      </c>
      <c r="N869">
        <v>1</v>
      </c>
      <c r="O869">
        <v>1</v>
      </c>
      <c r="P869">
        <v>1</v>
      </c>
      <c r="Q869">
        <v>1</v>
      </c>
      <c r="R869">
        <v>1</v>
      </c>
      <c r="S869">
        <v>1</v>
      </c>
      <c r="T869">
        <f t="shared" si="41"/>
        <v>10</v>
      </c>
      <c r="U869">
        <v>1</v>
      </c>
    </row>
    <row r="870" spans="1:21" x14ac:dyDescent="0.3">
      <c r="A870" t="str">
        <f t="shared" si="39"/>
        <v/>
      </c>
      <c r="B870" t="str">
        <f>IF(C870="","",COUNTIF($C$2:C870,C870))</f>
        <v/>
      </c>
      <c r="C870" t="str">
        <f t="shared" si="40"/>
        <v/>
      </c>
      <c r="D870" t="str">
        <f>VLOOKUP(G870,PathwayLookup!A:B,2,0)</f>
        <v>Reablement &amp; Rehabilitation at home  (pathway 1)</v>
      </c>
      <c r="E870" t="s">
        <v>165</v>
      </c>
      <c r="F870" t="s">
        <v>626</v>
      </c>
      <c r="G870" t="s">
        <v>719</v>
      </c>
      <c r="H870">
        <v>0</v>
      </c>
      <c r="I870">
        <v>0</v>
      </c>
      <c r="J870">
        <v>0</v>
      </c>
      <c r="K870">
        <v>0</v>
      </c>
      <c r="L870">
        <v>0</v>
      </c>
      <c r="M870">
        <v>0</v>
      </c>
      <c r="N870">
        <v>0</v>
      </c>
      <c r="O870">
        <v>0</v>
      </c>
      <c r="P870">
        <v>0</v>
      </c>
      <c r="Q870">
        <v>0</v>
      </c>
      <c r="R870">
        <v>0</v>
      </c>
      <c r="S870">
        <v>0</v>
      </c>
      <c r="T870">
        <f t="shared" si="41"/>
        <v>0</v>
      </c>
      <c r="U870">
        <v>1</v>
      </c>
    </row>
    <row r="871" spans="1:21" x14ac:dyDescent="0.3">
      <c r="A871" t="str">
        <f t="shared" si="39"/>
        <v>HaringeyReablement &amp; Rehabilitation at home  (pathway 1)3</v>
      </c>
      <c r="B871">
        <f>IF(C871="","",COUNTIF($C$2:C871,C871))</f>
        <v>3</v>
      </c>
      <c r="C871" t="str">
        <f t="shared" si="40"/>
        <v>HaringeyRehabilitation at home (pathway 1)</v>
      </c>
      <c r="D871" t="str">
        <f>VLOOKUP(G871,PathwayLookup!A:B,2,0)</f>
        <v>Reablement &amp; Rehabilitation at home  (pathway 1)</v>
      </c>
      <c r="E871" t="s">
        <v>165</v>
      </c>
      <c r="F871" t="s">
        <v>643</v>
      </c>
      <c r="G871" t="s">
        <v>719</v>
      </c>
      <c r="H871">
        <v>2</v>
      </c>
      <c r="I871">
        <v>2</v>
      </c>
      <c r="J871">
        <v>3</v>
      </c>
      <c r="K871">
        <v>3</v>
      </c>
      <c r="L871">
        <v>8</v>
      </c>
      <c r="M871">
        <v>7</v>
      </c>
      <c r="N871">
        <v>8</v>
      </c>
      <c r="O871">
        <v>8</v>
      </c>
      <c r="P871">
        <v>8</v>
      </c>
      <c r="Q871">
        <v>8</v>
      </c>
      <c r="R871">
        <v>8</v>
      </c>
      <c r="S871">
        <v>8</v>
      </c>
      <c r="T871">
        <f t="shared" si="41"/>
        <v>73</v>
      </c>
      <c r="U871">
        <v>1</v>
      </c>
    </row>
    <row r="872" spans="1:21" x14ac:dyDescent="0.3">
      <c r="A872" t="str">
        <f t="shared" si="39"/>
        <v>HaringeyShort term domiciliary care (pathway 1)1</v>
      </c>
      <c r="B872">
        <f>IF(C872="","",COUNTIF($C$2:C872,C872))</f>
        <v>1</v>
      </c>
      <c r="C872" t="str">
        <f t="shared" si="40"/>
        <v>HaringeyShort term domiciliary care (pathway 1)</v>
      </c>
      <c r="D872" t="str">
        <f>VLOOKUP(G872,PathwayLookup!A:B,2,0)</f>
        <v>Short term domiciliary care (pathway 1)</v>
      </c>
      <c r="E872" t="s">
        <v>165</v>
      </c>
      <c r="F872" t="s">
        <v>557</v>
      </c>
      <c r="G872" t="s">
        <v>684</v>
      </c>
      <c r="H872">
        <v>2</v>
      </c>
      <c r="I872">
        <v>2</v>
      </c>
      <c r="J872">
        <v>2</v>
      </c>
      <c r="K872">
        <v>3</v>
      </c>
      <c r="L872">
        <v>2</v>
      </c>
      <c r="M872">
        <v>2</v>
      </c>
      <c r="N872">
        <v>2</v>
      </c>
      <c r="O872">
        <v>3</v>
      </c>
      <c r="P872">
        <v>2</v>
      </c>
      <c r="Q872">
        <v>2</v>
      </c>
      <c r="R872">
        <v>2</v>
      </c>
      <c r="S872">
        <v>3</v>
      </c>
      <c r="T872">
        <f t="shared" si="41"/>
        <v>27</v>
      </c>
      <c r="U872">
        <v>1</v>
      </c>
    </row>
    <row r="873" spans="1:21" x14ac:dyDescent="0.3">
      <c r="A873" t="str">
        <f t="shared" si="39"/>
        <v>HaringeyShort term domiciliary care (pathway 1)2</v>
      </c>
      <c r="B873">
        <f>IF(C873="","",COUNTIF($C$2:C873,C873))</f>
        <v>2</v>
      </c>
      <c r="C873" t="str">
        <f t="shared" si="40"/>
        <v>HaringeyShort term domiciliary care (pathway 1)</v>
      </c>
      <c r="D873" t="str">
        <f>VLOOKUP(G873,PathwayLookup!A:B,2,0)</f>
        <v>Short term domiciliary care (pathway 1)</v>
      </c>
      <c r="E873" t="s">
        <v>165</v>
      </c>
      <c r="F873" t="s">
        <v>578</v>
      </c>
      <c r="G873" t="s">
        <v>684</v>
      </c>
      <c r="H873">
        <v>1</v>
      </c>
      <c r="I873">
        <v>1</v>
      </c>
      <c r="J873">
        <v>1</v>
      </c>
      <c r="K873">
        <v>1</v>
      </c>
      <c r="L873">
        <v>1</v>
      </c>
      <c r="M873">
        <v>1</v>
      </c>
      <c r="N873">
        <v>1</v>
      </c>
      <c r="O873">
        <v>1</v>
      </c>
      <c r="P873">
        <v>1</v>
      </c>
      <c r="Q873">
        <v>1</v>
      </c>
      <c r="R873">
        <v>1</v>
      </c>
      <c r="S873">
        <v>1</v>
      </c>
      <c r="T873">
        <f t="shared" si="41"/>
        <v>12</v>
      </c>
      <c r="U873">
        <v>1</v>
      </c>
    </row>
    <row r="874" spans="1:21" x14ac:dyDescent="0.3">
      <c r="A874" t="str">
        <f t="shared" si="39"/>
        <v>HaringeyShort term domiciliary care (pathway 1)3</v>
      </c>
      <c r="B874">
        <f>IF(C874="","",COUNTIF($C$2:C874,C874))</f>
        <v>3</v>
      </c>
      <c r="C874" t="str">
        <f t="shared" si="40"/>
        <v>HaringeyShort term domiciliary care (pathway 1)</v>
      </c>
      <c r="D874" t="str">
        <f>VLOOKUP(G874,PathwayLookup!A:B,2,0)</f>
        <v>Short term domiciliary care (pathway 1)</v>
      </c>
      <c r="E874" t="s">
        <v>165</v>
      </c>
      <c r="F874" t="s">
        <v>626</v>
      </c>
      <c r="G874" t="s">
        <v>684</v>
      </c>
      <c r="H874">
        <v>1</v>
      </c>
      <c r="I874">
        <v>1</v>
      </c>
      <c r="J874">
        <v>1</v>
      </c>
      <c r="K874">
        <v>1</v>
      </c>
      <c r="L874">
        <v>1</v>
      </c>
      <c r="M874">
        <v>1</v>
      </c>
      <c r="N874">
        <v>1</v>
      </c>
      <c r="O874">
        <v>1</v>
      </c>
      <c r="P874">
        <v>1</v>
      </c>
      <c r="Q874">
        <v>1</v>
      </c>
      <c r="R874">
        <v>1</v>
      </c>
      <c r="S874">
        <v>1</v>
      </c>
      <c r="T874">
        <f t="shared" si="41"/>
        <v>12</v>
      </c>
      <c r="U874">
        <v>1</v>
      </c>
    </row>
    <row r="875" spans="1:21" x14ac:dyDescent="0.3">
      <c r="A875" t="str">
        <f t="shared" si="39"/>
        <v>HaringeyShort term domiciliary care (pathway 1)4</v>
      </c>
      <c r="B875">
        <f>IF(C875="","",COUNTIF($C$2:C875,C875))</f>
        <v>4</v>
      </c>
      <c r="C875" t="str">
        <f t="shared" si="40"/>
        <v>HaringeyShort term domiciliary care (pathway 1)</v>
      </c>
      <c r="D875" t="str">
        <f>VLOOKUP(G875,PathwayLookup!A:B,2,0)</f>
        <v>Short term domiciliary care (pathway 1)</v>
      </c>
      <c r="E875" t="s">
        <v>165</v>
      </c>
      <c r="F875" t="s">
        <v>643</v>
      </c>
      <c r="G875" t="s">
        <v>684</v>
      </c>
      <c r="H875">
        <v>2</v>
      </c>
      <c r="I875">
        <v>3</v>
      </c>
      <c r="J875">
        <v>2</v>
      </c>
      <c r="K875">
        <v>2</v>
      </c>
      <c r="L875">
        <v>2</v>
      </c>
      <c r="M875">
        <v>3</v>
      </c>
      <c r="N875">
        <v>2</v>
      </c>
      <c r="O875">
        <v>2</v>
      </c>
      <c r="P875">
        <v>2</v>
      </c>
      <c r="Q875">
        <v>3</v>
      </c>
      <c r="R875">
        <v>2</v>
      </c>
      <c r="S875">
        <v>2</v>
      </c>
      <c r="T875">
        <f t="shared" si="41"/>
        <v>27</v>
      </c>
      <c r="U875">
        <v>1</v>
      </c>
    </row>
    <row r="876" spans="1:21" x14ac:dyDescent="0.3">
      <c r="A876" t="str">
        <f t="shared" si="39"/>
        <v>HaringeyReablement &amp; Rehabilitation in a bedded setting (pathway 2)1</v>
      </c>
      <c r="B876">
        <f>IF(C876="","",COUNTIF($C$2:C876,C876))</f>
        <v>1</v>
      </c>
      <c r="C876" t="str">
        <f t="shared" si="40"/>
        <v>HaringeyReablement in a bedded setting (pathway 2)</v>
      </c>
      <c r="D876" t="str">
        <f>VLOOKUP(G876,PathwayLookup!A:B,2,0)</f>
        <v>Reablement &amp; Rehabilitation in a bedded setting (pathway 2)</v>
      </c>
      <c r="E876" t="s">
        <v>165</v>
      </c>
      <c r="F876" t="s">
        <v>557</v>
      </c>
      <c r="G876" t="s">
        <v>722</v>
      </c>
      <c r="H876">
        <v>4</v>
      </c>
      <c r="I876">
        <v>4</v>
      </c>
      <c r="J876">
        <v>4</v>
      </c>
      <c r="K876">
        <v>5</v>
      </c>
      <c r="L876">
        <v>6</v>
      </c>
      <c r="M876">
        <v>6</v>
      </c>
      <c r="N876">
        <v>7</v>
      </c>
      <c r="O876">
        <v>7</v>
      </c>
      <c r="P876">
        <v>7</v>
      </c>
      <c r="Q876">
        <v>7</v>
      </c>
      <c r="R876">
        <v>7</v>
      </c>
      <c r="S876">
        <v>7</v>
      </c>
      <c r="T876">
        <f t="shared" si="41"/>
        <v>71</v>
      </c>
      <c r="U876">
        <v>1</v>
      </c>
    </row>
    <row r="877" spans="1:21" x14ac:dyDescent="0.3">
      <c r="A877" t="str">
        <f t="shared" si="39"/>
        <v>HaringeyReablement &amp; Rehabilitation in a bedded setting (pathway 2)2</v>
      </c>
      <c r="B877">
        <f>IF(C877="","",COUNTIF($C$2:C877,C877))</f>
        <v>2</v>
      </c>
      <c r="C877" t="str">
        <f t="shared" si="40"/>
        <v>HaringeyReablement in a bedded setting (pathway 2)</v>
      </c>
      <c r="D877" t="str">
        <f>VLOOKUP(G877,PathwayLookup!A:B,2,0)</f>
        <v>Reablement &amp; Rehabilitation in a bedded setting (pathway 2)</v>
      </c>
      <c r="E877" t="s">
        <v>165</v>
      </c>
      <c r="F877" t="s">
        <v>578</v>
      </c>
      <c r="G877" t="s">
        <v>722</v>
      </c>
      <c r="H877">
        <v>1</v>
      </c>
      <c r="I877">
        <v>1</v>
      </c>
      <c r="J877">
        <v>1</v>
      </c>
      <c r="K877">
        <v>1</v>
      </c>
      <c r="L877">
        <v>1</v>
      </c>
      <c r="M877">
        <v>1</v>
      </c>
      <c r="N877">
        <v>1</v>
      </c>
      <c r="O877">
        <v>1</v>
      </c>
      <c r="P877">
        <v>1</v>
      </c>
      <c r="Q877">
        <v>1</v>
      </c>
      <c r="R877">
        <v>1</v>
      </c>
      <c r="S877">
        <v>1</v>
      </c>
      <c r="T877">
        <f t="shared" si="41"/>
        <v>12</v>
      </c>
      <c r="U877">
        <v>1</v>
      </c>
    </row>
    <row r="878" spans="1:21" x14ac:dyDescent="0.3">
      <c r="A878" t="str">
        <f t="shared" si="39"/>
        <v>HaringeyReablement &amp; Rehabilitation in a bedded setting (pathway 2)3</v>
      </c>
      <c r="B878">
        <f>IF(C878="","",COUNTIF($C$2:C878,C878))</f>
        <v>3</v>
      </c>
      <c r="C878" t="str">
        <f t="shared" si="40"/>
        <v>HaringeyReablement in a bedded setting (pathway 2)</v>
      </c>
      <c r="D878" t="str">
        <f>VLOOKUP(G878,PathwayLookup!A:B,2,0)</f>
        <v>Reablement &amp; Rehabilitation in a bedded setting (pathway 2)</v>
      </c>
      <c r="E878" t="s">
        <v>165</v>
      </c>
      <c r="F878" t="s">
        <v>626</v>
      </c>
      <c r="G878" t="s">
        <v>722</v>
      </c>
      <c r="H878">
        <v>1</v>
      </c>
      <c r="I878">
        <v>1</v>
      </c>
      <c r="J878">
        <v>1</v>
      </c>
      <c r="K878">
        <v>2</v>
      </c>
      <c r="L878">
        <v>2</v>
      </c>
      <c r="M878">
        <v>2</v>
      </c>
      <c r="N878">
        <v>2</v>
      </c>
      <c r="O878">
        <v>2</v>
      </c>
      <c r="P878">
        <v>2</v>
      </c>
      <c r="Q878">
        <v>2</v>
      </c>
      <c r="R878">
        <v>2</v>
      </c>
      <c r="S878">
        <v>2</v>
      </c>
      <c r="T878">
        <f t="shared" si="41"/>
        <v>21</v>
      </c>
      <c r="U878">
        <v>1</v>
      </c>
    </row>
    <row r="879" spans="1:21" x14ac:dyDescent="0.3">
      <c r="A879" t="str">
        <f t="shared" si="39"/>
        <v>HaringeyReablement &amp; Rehabilitation in a bedded setting (pathway 2)4</v>
      </c>
      <c r="B879">
        <f>IF(C879="","",COUNTIF($C$2:C879,C879))</f>
        <v>4</v>
      </c>
      <c r="C879" t="str">
        <f t="shared" si="40"/>
        <v>HaringeyReablement in a bedded setting (pathway 2)</v>
      </c>
      <c r="D879" t="str">
        <f>VLOOKUP(G879,PathwayLookup!A:B,2,0)</f>
        <v>Reablement &amp; Rehabilitation in a bedded setting (pathway 2)</v>
      </c>
      <c r="E879" t="s">
        <v>165</v>
      </c>
      <c r="F879" t="s">
        <v>643</v>
      </c>
      <c r="G879" t="s">
        <v>722</v>
      </c>
      <c r="H879">
        <v>2</v>
      </c>
      <c r="I879">
        <v>2</v>
      </c>
      <c r="J879">
        <v>2</v>
      </c>
      <c r="K879">
        <v>2</v>
      </c>
      <c r="L879">
        <v>3</v>
      </c>
      <c r="M879">
        <v>3</v>
      </c>
      <c r="N879">
        <v>4</v>
      </c>
      <c r="O879">
        <v>4</v>
      </c>
      <c r="P879">
        <v>4</v>
      </c>
      <c r="Q879">
        <v>4</v>
      </c>
      <c r="R879">
        <v>4</v>
      </c>
      <c r="S879">
        <v>4</v>
      </c>
      <c r="T879">
        <f t="shared" si="41"/>
        <v>38</v>
      </c>
      <c r="U879">
        <v>1</v>
      </c>
    </row>
    <row r="880" spans="1:21" x14ac:dyDescent="0.3">
      <c r="A880" t="str">
        <f t="shared" si="39"/>
        <v>HaringeyReablement &amp; Rehabilitation in a bedded setting (pathway 2)1</v>
      </c>
      <c r="B880">
        <f>IF(C880="","",COUNTIF($C$2:C880,C880))</f>
        <v>1</v>
      </c>
      <c r="C880" t="str">
        <f t="shared" si="40"/>
        <v>HaringeyRehabilitation in a bedded setting (pathway 2)</v>
      </c>
      <c r="D880" t="str">
        <f>VLOOKUP(G880,PathwayLookup!A:B,2,0)</f>
        <v>Reablement &amp; Rehabilitation in a bedded setting (pathway 2)</v>
      </c>
      <c r="E880" t="s">
        <v>165</v>
      </c>
      <c r="F880" t="s">
        <v>557</v>
      </c>
      <c r="G880" t="s">
        <v>724</v>
      </c>
      <c r="H880">
        <v>4</v>
      </c>
      <c r="I880">
        <v>3</v>
      </c>
      <c r="J880">
        <v>4</v>
      </c>
      <c r="K880">
        <v>3</v>
      </c>
      <c r="L880">
        <v>4</v>
      </c>
      <c r="M880">
        <v>3</v>
      </c>
      <c r="N880">
        <v>5</v>
      </c>
      <c r="O880">
        <v>5</v>
      </c>
      <c r="P880">
        <v>5</v>
      </c>
      <c r="Q880">
        <v>5</v>
      </c>
      <c r="R880">
        <v>5</v>
      </c>
      <c r="S880">
        <v>5</v>
      </c>
      <c r="T880">
        <f t="shared" si="41"/>
        <v>51</v>
      </c>
      <c r="U880">
        <v>1</v>
      </c>
    </row>
    <row r="881" spans="1:21" x14ac:dyDescent="0.3">
      <c r="A881" t="str">
        <f t="shared" si="39"/>
        <v>HaringeyReablement &amp; Rehabilitation in a bedded setting (pathway 2)2</v>
      </c>
      <c r="B881">
        <f>IF(C881="","",COUNTIF($C$2:C881,C881))</f>
        <v>2</v>
      </c>
      <c r="C881" t="str">
        <f t="shared" si="40"/>
        <v>HaringeyRehabilitation in a bedded setting (pathway 2)</v>
      </c>
      <c r="D881" t="str">
        <f>VLOOKUP(G881,PathwayLookup!A:B,2,0)</f>
        <v>Reablement &amp; Rehabilitation in a bedded setting (pathway 2)</v>
      </c>
      <c r="E881" t="s">
        <v>165</v>
      </c>
      <c r="F881" t="s">
        <v>578</v>
      </c>
      <c r="G881" t="s">
        <v>724</v>
      </c>
      <c r="H881">
        <v>2</v>
      </c>
      <c r="I881">
        <v>2</v>
      </c>
      <c r="J881">
        <v>2</v>
      </c>
      <c r="K881">
        <v>2</v>
      </c>
      <c r="L881">
        <v>2</v>
      </c>
      <c r="M881">
        <v>2</v>
      </c>
      <c r="N881">
        <v>3</v>
      </c>
      <c r="O881">
        <v>3</v>
      </c>
      <c r="P881">
        <v>3</v>
      </c>
      <c r="Q881">
        <v>3</v>
      </c>
      <c r="R881">
        <v>3</v>
      </c>
      <c r="S881">
        <v>3</v>
      </c>
      <c r="T881">
        <f t="shared" si="41"/>
        <v>30</v>
      </c>
      <c r="U881">
        <v>1</v>
      </c>
    </row>
    <row r="882" spans="1:21" x14ac:dyDescent="0.3">
      <c r="A882" t="str">
        <f t="shared" si="39"/>
        <v>HaringeyReablement &amp; Rehabilitation in a bedded setting (pathway 2)3</v>
      </c>
      <c r="B882">
        <f>IF(C882="","",COUNTIF($C$2:C882,C882))</f>
        <v>3</v>
      </c>
      <c r="C882" t="str">
        <f t="shared" si="40"/>
        <v>HaringeyRehabilitation in a bedded setting (pathway 2)</v>
      </c>
      <c r="D882" t="str">
        <f>VLOOKUP(G882,PathwayLookup!A:B,2,0)</f>
        <v>Reablement &amp; Rehabilitation in a bedded setting (pathway 2)</v>
      </c>
      <c r="E882" t="s">
        <v>165</v>
      </c>
      <c r="F882" t="s">
        <v>626</v>
      </c>
      <c r="G882" t="s">
        <v>724</v>
      </c>
      <c r="H882">
        <v>0</v>
      </c>
      <c r="I882">
        <v>1</v>
      </c>
      <c r="J882">
        <v>0</v>
      </c>
      <c r="K882">
        <v>1</v>
      </c>
      <c r="L882">
        <v>0</v>
      </c>
      <c r="M882">
        <v>1</v>
      </c>
      <c r="N882">
        <v>1</v>
      </c>
      <c r="O882">
        <v>1</v>
      </c>
      <c r="P882">
        <v>1</v>
      </c>
      <c r="Q882">
        <v>1</v>
      </c>
      <c r="R882">
        <v>1</v>
      </c>
      <c r="S882">
        <v>1</v>
      </c>
      <c r="T882">
        <f t="shared" si="41"/>
        <v>9</v>
      </c>
      <c r="U882">
        <v>1</v>
      </c>
    </row>
    <row r="883" spans="1:21" x14ac:dyDescent="0.3">
      <c r="A883" t="str">
        <f t="shared" si="39"/>
        <v>HaringeyReablement &amp; Rehabilitation in a bedded setting (pathway 2)4</v>
      </c>
      <c r="B883">
        <f>IF(C883="","",COUNTIF($C$2:C883,C883))</f>
        <v>4</v>
      </c>
      <c r="C883" t="str">
        <f t="shared" si="40"/>
        <v>HaringeyRehabilitation in a bedded setting (pathway 2)</v>
      </c>
      <c r="D883" t="str">
        <f>VLOOKUP(G883,PathwayLookup!A:B,2,0)</f>
        <v>Reablement &amp; Rehabilitation in a bedded setting (pathway 2)</v>
      </c>
      <c r="E883" t="s">
        <v>165</v>
      </c>
      <c r="F883" t="s">
        <v>643</v>
      </c>
      <c r="G883" t="s">
        <v>724</v>
      </c>
      <c r="H883">
        <v>2</v>
      </c>
      <c r="I883">
        <v>2</v>
      </c>
      <c r="J883">
        <v>2</v>
      </c>
      <c r="K883">
        <v>2</v>
      </c>
      <c r="L883">
        <v>2</v>
      </c>
      <c r="M883">
        <v>2</v>
      </c>
      <c r="N883">
        <v>3</v>
      </c>
      <c r="O883">
        <v>3</v>
      </c>
      <c r="P883">
        <v>3</v>
      </c>
      <c r="Q883">
        <v>3</v>
      </c>
      <c r="R883">
        <v>3</v>
      </c>
      <c r="S883">
        <v>3</v>
      </c>
      <c r="T883">
        <f t="shared" si="41"/>
        <v>30</v>
      </c>
      <c r="U883">
        <v>1</v>
      </c>
    </row>
    <row r="884" spans="1:21" x14ac:dyDescent="0.3">
      <c r="A884" t="str">
        <f t="shared" si="39"/>
        <v>HaringeyShort-term residential/nursing care for someone likely to require a longer-term care home placement (pathway 3)1</v>
      </c>
      <c r="B884">
        <f>IF(C884="","",COUNTIF($C$2:C884,C884))</f>
        <v>1</v>
      </c>
      <c r="C884" t="str">
        <f t="shared" si="40"/>
        <v>HaringeyShort-term residential/nursing care for someone likely to require a longer-term care home placement (pathway 3)</v>
      </c>
      <c r="D884" t="str">
        <f>VLOOKUP(G884,PathwayLookup!A:B,2,0)</f>
        <v>Short-term residential/nursing care for someone likely to require a longer-term care home placement (pathway 3)</v>
      </c>
      <c r="E884" t="s">
        <v>165</v>
      </c>
      <c r="F884" t="s">
        <v>557</v>
      </c>
      <c r="G884" t="s">
        <v>686</v>
      </c>
      <c r="H884">
        <v>41</v>
      </c>
      <c r="I884">
        <v>38</v>
      </c>
      <c r="J884">
        <v>37</v>
      </c>
      <c r="K884">
        <v>52</v>
      </c>
      <c r="L884">
        <v>27</v>
      </c>
      <c r="M884">
        <v>43</v>
      </c>
      <c r="N884">
        <v>32</v>
      </c>
      <c r="O884">
        <v>22</v>
      </c>
      <c r="P884">
        <v>37</v>
      </c>
      <c r="Q884">
        <v>30</v>
      </c>
      <c r="R884">
        <v>24</v>
      </c>
      <c r="S884">
        <v>26</v>
      </c>
      <c r="T884">
        <f t="shared" si="41"/>
        <v>409</v>
      </c>
      <c r="U884">
        <v>1</v>
      </c>
    </row>
    <row r="885" spans="1:21" x14ac:dyDescent="0.3">
      <c r="A885" t="str">
        <f t="shared" si="39"/>
        <v>HaringeyShort-term residential/nursing care for someone likely to require a longer-term care home placement (pathway 3)2</v>
      </c>
      <c r="B885">
        <f>IF(C885="","",COUNTIF($C$2:C885,C885))</f>
        <v>2</v>
      </c>
      <c r="C885" t="str">
        <f t="shared" si="40"/>
        <v>HaringeyShort-term residential/nursing care for someone likely to require a longer-term care home placement (pathway 3)</v>
      </c>
      <c r="D885" t="str">
        <f>VLOOKUP(G885,PathwayLookup!A:B,2,0)</f>
        <v>Short-term residential/nursing care for someone likely to require a longer-term care home placement (pathway 3)</v>
      </c>
      <c r="E885" t="s">
        <v>165</v>
      </c>
      <c r="F885" t="s">
        <v>578</v>
      </c>
      <c r="G885" t="s">
        <v>686</v>
      </c>
      <c r="H885">
        <v>7</v>
      </c>
      <c r="I885">
        <v>7</v>
      </c>
      <c r="J885">
        <v>5</v>
      </c>
      <c r="K885">
        <v>7</v>
      </c>
      <c r="L885">
        <v>5</v>
      </c>
      <c r="M885">
        <v>6</v>
      </c>
      <c r="N885">
        <v>5</v>
      </c>
      <c r="O885">
        <v>6</v>
      </c>
      <c r="P885">
        <v>7</v>
      </c>
      <c r="Q885">
        <v>8</v>
      </c>
      <c r="R885">
        <v>6</v>
      </c>
      <c r="S885">
        <v>7</v>
      </c>
      <c r="T885">
        <f t="shared" si="41"/>
        <v>76</v>
      </c>
      <c r="U885">
        <v>1</v>
      </c>
    </row>
    <row r="886" spans="1:21" x14ac:dyDescent="0.3">
      <c r="A886" t="str">
        <f t="shared" si="39"/>
        <v>HaringeyShort-term residential/nursing care for someone likely to require a longer-term care home placement (pathway 3)3</v>
      </c>
      <c r="B886">
        <f>IF(C886="","",COUNTIF($C$2:C886,C886))</f>
        <v>3</v>
      </c>
      <c r="C886" t="str">
        <f t="shared" si="40"/>
        <v>HaringeyShort-term residential/nursing care for someone likely to require a longer-term care home placement (pathway 3)</v>
      </c>
      <c r="D886" t="str">
        <f>VLOOKUP(G886,PathwayLookup!A:B,2,0)</f>
        <v>Short-term residential/nursing care for someone likely to require a longer-term care home placement (pathway 3)</v>
      </c>
      <c r="E886" t="s">
        <v>165</v>
      </c>
      <c r="F886" t="s">
        <v>626</v>
      </c>
      <c r="G886" t="s">
        <v>686</v>
      </c>
      <c r="H886">
        <v>8</v>
      </c>
      <c r="I886">
        <v>7</v>
      </c>
      <c r="J886">
        <v>5</v>
      </c>
      <c r="K886">
        <v>9</v>
      </c>
      <c r="L886">
        <v>6</v>
      </c>
      <c r="M886">
        <v>7</v>
      </c>
      <c r="N886">
        <v>5</v>
      </c>
      <c r="O886">
        <v>7</v>
      </c>
      <c r="P886">
        <v>8</v>
      </c>
      <c r="Q886">
        <v>8</v>
      </c>
      <c r="R886">
        <v>6</v>
      </c>
      <c r="S886">
        <v>5</v>
      </c>
      <c r="T886">
        <f t="shared" si="41"/>
        <v>81</v>
      </c>
      <c r="U886">
        <v>1</v>
      </c>
    </row>
    <row r="887" spans="1:21" x14ac:dyDescent="0.3">
      <c r="A887" t="str">
        <f t="shared" si="39"/>
        <v>HaringeyShort-term residential/nursing care for someone likely to require a longer-term care home placement (pathway 3)4</v>
      </c>
      <c r="B887">
        <f>IF(C887="","",COUNTIF($C$2:C887,C887))</f>
        <v>4</v>
      </c>
      <c r="C887" t="str">
        <f t="shared" si="40"/>
        <v>HaringeyShort-term residential/nursing care for someone likely to require a longer-term care home placement (pathway 3)</v>
      </c>
      <c r="D887" t="str">
        <f>VLOOKUP(G887,PathwayLookup!A:B,2,0)</f>
        <v>Short-term residential/nursing care for someone likely to require a longer-term care home placement (pathway 3)</v>
      </c>
      <c r="E887" t="s">
        <v>165</v>
      </c>
      <c r="F887" t="s">
        <v>643</v>
      </c>
      <c r="G887" t="s">
        <v>686</v>
      </c>
      <c r="H887">
        <v>15</v>
      </c>
      <c r="I887">
        <v>12</v>
      </c>
      <c r="J887">
        <v>14</v>
      </c>
      <c r="K887">
        <v>22</v>
      </c>
      <c r="L887">
        <v>9</v>
      </c>
      <c r="M887">
        <v>11</v>
      </c>
      <c r="N887">
        <v>7</v>
      </c>
      <c r="O887">
        <v>11</v>
      </c>
      <c r="P887">
        <v>14</v>
      </c>
      <c r="Q887">
        <v>12</v>
      </c>
      <c r="R887">
        <v>11</v>
      </c>
      <c r="S887">
        <v>8</v>
      </c>
      <c r="T887">
        <f t="shared" si="41"/>
        <v>146</v>
      </c>
      <c r="U887">
        <v>1</v>
      </c>
    </row>
    <row r="888" spans="1:21" x14ac:dyDescent="0.3">
      <c r="A888" t="str">
        <f t="shared" si="39"/>
        <v>HarrowSocial support (including VCS) (pathway 0)1</v>
      </c>
      <c r="B888">
        <f>IF(C888="","",COUNTIF($C$2:C888,C888))</f>
        <v>1</v>
      </c>
      <c r="C888" t="str">
        <f t="shared" si="40"/>
        <v>HarrowSocial support (including VCS) (pathway 0)</v>
      </c>
      <c r="D888" t="str">
        <f>VLOOKUP(G888,PathwayLookup!A:B,2,0)</f>
        <v>Social support (including VCS) (pathway 0)</v>
      </c>
      <c r="E888" t="s">
        <v>167</v>
      </c>
      <c r="F888" t="s">
        <v>476</v>
      </c>
      <c r="G888" t="s">
        <v>682</v>
      </c>
      <c r="H888">
        <v>13.636991999999999</v>
      </c>
      <c r="I888">
        <v>23.864736000000001</v>
      </c>
      <c r="J888">
        <v>31.535544000000002</v>
      </c>
      <c r="K888">
        <v>23.864736000000001</v>
      </c>
      <c r="L888">
        <v>16.193928</v>
      </c>
      <c r="M888">
        <v>21.3078</v>
      </c>
      <c r="N888">
        <v>19.603176000000001</v>
      </c>
      <c r="O888">
        <v>23.864736000000001</v>
      </c>
      <c r="P888">
        <v>39.206352000000003</v>
      </c>
      <c r="Q888">
        <v>22.160112000000002</v>
      </c>
      <c r="R888">
        <v>23.864736000000001</v>
      </c>
      <c r="S888">
        <v>31.535544000000002</v>
      </c>
      <c r="T888">
        <f t="shared" si="41"/>
        <v>290.63839200000001</v>
      </c>
      <c r="U888">
        <v>1</v>
      </c>
    </row>
    <row r="889" spans="1:21" x14ac:dyDescent="0.3">
      <c r="A889" t="str">
        <f t="shared" si="39"/>
        <v>HarrowSocial support (including VCS) (pathway 0)2</v>
      </c>
      <c r="B889">
        <f>IF(C889="","",COUNTIF($C$2:C889,C889))</f>
        <v>2</v>
      </c>
      <c r="C889" t="str">
        <f t="shared" si="40"/>
        <v>HarrowSocial support (including VCS) (pathway 0)</v>
      </c>
      <c r="D889" t="str">
        <f>VLOOKUP(G889,PathwayLookup!A:B,2,0)</f>
        <v>Social support (including VCS) (pathway 0)</v>
      </c>
      <c r="E889" t="s">
        <v>167</v>
      </c>
      <c r="F889" t="s">
        <v>520</v>
      </c>
      <c r="G889" t="s">
        <v>682</v>
      </c>
      <c r="H889">
        <v>138.074544</v>
      </c>
      <c r="I889">
        <v>162.79159200000001</v>
      </c>
      <c r="J889">
        <v>147.44997600000002</v>
      </c>
      <c r="K889">
        <v>156.82540800000001</v>
      </c>
      <c r="L889">
        <v>149.15459999999999</v>
      </c>
      <c r="M889">
        <v>161.08696800000001</v>
      </c>
      <c r="N889">
        <v>156.82540800000001</v>
      </c>
      <c r="O889">
        <v>158.53003200000001</v>
      </c>
      <c r="P889">
        <v>156.82540800000001</v>
      </c>
      <c r="Q889">
        <v>150.85922399999998</v>
      </c>
      <c r="R889">
        <v>146.59766400000001</v>
      </c>
      <c r="S889">
        <v>149.15459999999999</v>
      </c>
      <c r="T889">
        <f t="shared" si="41"/>
        <v>1834.1754239999998</v>
      </c>
      <c r="U889">
        <v>1</v>
      </c>
    </row>
    <row r="890" spans="1:21" x14ac:dyDescent="0.3">
      <c r="A890" t="str">
        <f t="shared" si="39"/>
        <v>HarrowSocial support (including VCS) (pathway 0)3</v>
      </c>
      <c r="B890">
        <f>IF(C890="","",COUNTIF($C$2:C890,C890))</f>
        <v>3</v>
      </c>
      <c r="C890" t="str">
        <f t="shared" si="40"/>
        <v>HarrowSocial support (including VCS) (pathway 0)</v>
      </c>
      <c r="D890" t="str">
        <f>VLOOKUP(G890,PathwayLookup!A:B,2,0)</f>
        <v>Social support (including VCS) (pathway 0)</v>
      </c>
      <c r="E890" t="s">
        <v>167</v>
      </c>
      <c r="F890" t="s">
        <v>540</v>
      </c>
      <c r="G890" t="s">
        <v>682</v>
      </c>
      <c r="H890">
        <v>1714.8517439999998</v>
      </c>
      <c r="I890">
        <v>1910.8835039999999</v>
      </c>
      <c r="J890">
        <v>1835.880048</v>
      </c>
      <c r="K890">
        <v>1789.8552</v>
      </c>
      <c r="L890">
        <v>1739.5687920000005</v>
      </c>
      <c r="M890">
        <v>1822.2430560000005</v>
      </c>
      <c r="N890">
        <v>1840.9939199999999</v>
      </c>
      <c r="O890">
        <v>1978.216152</v>
      </c>
      <c r="P890">
        <v>1823.94768</v>
      </c>
      <c r="Q890">
        <v>1823.095368</v>
      </c>
      <c r="R890">
        <v>1757.4673439999999</v>
      </c>
      <c r="S890">
        <v>1992.7054559999999</v>
      </c>
      <c r="T890">
        <f t="shared" si="41"/>
        <v>22029.708264000001</v>
      </c>
      <c r="U890">
        <v>1</v>
      </c>
    </row>
    <row r="891" spans="1:21" x14ac:dyDescent="0.3">
      <c r="A891" t="str">
        <f t="shared" si="39"/>
        <v>HarrowSocial support (including VCS) (pathway 0)4</v>
      </c>
      <c r="B891">
        <f>IF(C891="","",COUNTIF($C$2:C891,C891))</f>
        <v>4</v>
      </c>
      <c r="C891" t="str">
        <f t="shared" si="40"/>
        <v>HarrowSocial support (including VCS) (pathway 0)</v>
      </c>
      <c r="D891" t="str">
        <f>VLOOKUP(G891,PathwayLookup!A:B,2,0)</f>
        <v>Social support (including VCS) (pathway 0)</v>
      </c>
      <c r="E891" t="s">
        <v>167</v>
      </c>
      <c r="F891" t="s">
        <v>613</v>
      </c>
      <c r="G891" t="s">
        <v>682</v>
      </c>
      <c r="H891">
        <v>44.320224000000003</v>
      </c>
      <c r="I891">
        <v>42.615600000000001</v>
      </c>
      <c r="J891">
        <v>36.649416000000002</v>
      </c>
      <c r="K891">
        <v>43.467912000000005</v>
      </c>
      <c r="L891">
        <v>48.581783999999999</v>
      </c>
      <c r="M891">
        <v>38.354039999999998</v>
      </c>
      <c r="N891">
        <v>44.320224000000003</v>
      </c>
      <c r="O891">
        <v>55.400279999999995</v>
      </c>
      <c r="P891">
        <v>59.661840000000005</v>
      </c>
      <c r="Q891">
        <v>36.649416000000002</v>
      </c>
      <c r="R891">
        <v>40.058664</v>
      </c>
      <c r="S891">
        <v>34.092479999999995</v>
      </c>
      <c r="T891">
        <f t="shared" si="41"/>
        <v>524.1718800000001</v>
      </c>
      <c r="U891">
        <v>1</v>
      </c>
    </row>
    <row r="892" spans="1:21" x14ac:dyDescent="0.3">
      <c r="A892" t="str">
        <f t="shared" si="39"/>
        <v>HarrowReablement &amp; Rehabilitation at home  (pathway 1)1</v>
      </c>
      <c r="B892">
        <f>IF(C892="","",COUNTIF($C$2:C892,C892))</f>
        <v>1</v>
      </c>
      <c r="C892" t="str">
        <f t="shared" si="40"/>
        <v>HarrowReablement at home  (pathway 1)</v>
      </c>
      <c r="D892" t="str">
        <f>VLOOKUP(G892,PathwayLookup!A:B,2,0)</f>
        <v>Reablement &amp; Rehabilitation at home  (pathway 1)</v>
      </c>
      <c r="E892" t="s">
        <v>167</v>
      </c>
      <c r="F892" t="s">
        <v>476</v>
      </c>
      <c r="G892" t="s">
        <v>718</v>
      </c>
      <c r="H892">
        <v>0.66748800000000008</v>
      </c>
      <c r="I892">
        <v>1.168104</v>
      </c>
      <c r="J892">
        <v>1.5435660000000002</v>
      </c>
      <c r="K892">
        <v>1.168104</v>
      </c>
      <c r="L892">
        <v>0.79264199999999996</v>
      </c>
      <c r="M892">
        <v>1.04295</v>
      </c>
      <c r="N892">
        <v>0.9595140000000002</v>
      </c>
      <c r="O892">
        <v>1.168104</v>
      </c>
      <c r="P892">
        <v>1.919028</v>
      </c>
      <c r="Q892">
        <v>1.084668</v>
      </c>
      <c r="R892">
        <v>1.168104</v>
      </c>
      <c r="S892">
        <v>1.5435660000000002</v>
      </c>
      <c r="T892">
        <f t="shared" si="41"/>
        <v>14.225838000000001</v>
      </c>
      <c r="U892">
        <v>1</v>
      </c>
    </row>
    <row r="893" spans="1:21" x14ac:dyDescent="0.3">
      <c r="A893" t="str">
        <f t="shared" si="39"/>
        <v>HarrowReablement &amp; Rehabilitation at home  (pathway 1)2</v>
      </c>
      <c r="B893">
        <f>IF(C893="","",COUNTIF($C$2:C893,C893))</f>
        <v>2</v>
      </c>
      <c r="C893" t="str">
        <f t="shared" si="40"/>
        <v>HarrowReablement at home  (pathway 1)</v>
      </c>
      <c r="D893" t="str">
        <f>VLOOKUP(G893,PathwayLookup!A:B,2,0)</f>
        <v>Reablement &amp; Rehabilitation at home  (pathway 1)</v>
      </c>
      <c r="E893" t="s">
        <v>167</v>
      </c>
      <c r="F893" t="s">
        <v>520</v>
      </c>
      <c r="G893" t="s">
        <v>718</v>
      </c>
      <c r="H893">
        <v>6.7583160000000007</v>
      </c>
      <c r="I893">
        <v>7.9681379999999997</v>
      </c>
      <c r="J893">
        <v>7.217214000000002</v>
      </c>
      <c r="K893">
        <v>7.6761119999999998</v>
      </c>
      <c r="L893">
        <v>7.3006500000000001</v>
      </c>
      <c r="M893">
        <v>7.8847019999999999</v>
      </c>
      <c r="N893">
        <v>7.6761119999999998</v>
      </c>
      <c r="O893">
        <v>7.7595479999999997</v>
      </c>
      <c r="P893">
        <v>7.6761119999999998</v>
      </c>
      <c r="Q893">
        <v>7.3840859999999999</v>
      </c>
      <c r="R893">
        <v>7.1754959999999999</v>
      </c>
      <c r="S893">
        <v>7.3006500000000001</v>
      </c>
      <c r="T893">
        <f t="shared" si="41"/>
        <v>89.777135999999999</v>
      </c>
      <c r="U893">
        <v>1</v>
      </c>
    </row>
    <row r="894" spans="1:21" x14ac:dyDescent="0.3">
      <c r="A894" t="str">
        <f t="shared" si="39"/>
        <v>HarrowReablement &amp; Rehabilitation at home  (pathway 1)3</v>
      </c>
      <c r="B894">
        <f>IF(C894="","",COUNTIF($C$2:C894,C894))</f>
        <v>3</v>
      </c>
      <c r="C894" t="str">
        <f t="shared" si="40"/>
        <v>HarrowReablement at home  (pathway 1)</v>
      </c>
      <c r="D894" t="str">
        <f>VLOOKUP(G894,PathwayLookup!A:B,2,0)</f>
        <v>Reablement &amp; Rehabilitation at home  (pathway 1)</v>
      </c>
      <c r="E894" t="s">
        <v>167</v>
      </c>
      <c r="F894" t="s">
        <v>540</v>
      </c>
      <c r="G894" t="s">
        <v>718</v>
      </c>
      <c r="H894">
        <v>83.936616000000001</v>
      </c>
      <c r="I894">
        <v>93.531756000000016</v>
      </c>
      <c r="J894">
        <v>89.860571999999991</v>
      </c>
      <c r="K894">
        <v>87.607799999999997</v>
      </c>
      <c r="L894">
        <v>85.146438000000003</v>
      </c>
      <c r="M894">
        <v>89.193084000000013</v>
      </c>
      <c r="N894">
        <v>90.110879999999995</v>
      </c>
      <c r="O894">
        <v>96.827477999999999</v>
      </c>
      <c r="P894">
        <v>89.276520000000005</v>
      </c>
      <c r="Q894">
        <v>89.234802000000002</v>
      </c>
      <c r="R894">
        <v>86.022515999999996</v>
      </c>
      <c r="S894">
        <v>97.536684000000022</v>
      </c>
      <c r="T894">
        <f t="shared" si="41"/>
        <v>1078.2851459999999</v>
      </c>
      <c r="U894">
        <v>1</v>
      </c>
    </row>
    <row r="895" spans="1:21" x14ac:dyDescent="0.3">
      <c r="A895" t="str">
        <f t="shared" si="39"/>
        <v>HarrowReablement &amp; Rehabilitation at home  (pathway 1)4</v>
      </c>
      <c r="B895">
        <f>IF(C895="","",COUNTIF($C$2:C895,C895))</f>
        <v>4</v>
      </c>
      <c r="C895" t="str">
        <f t="shared" si="40"/>
        <v>HarrowReablement at home  (pathway 1)</v>
      </c>
      <c r="D895" t="str">
        <f>VLOOKUP(G895,PathwayLookup!A:B,2,0)</f>
        <v>Reablement &amp; Rehabilitation at home  (pathway 1)</v>
      </c>
      <c r="E895" t="s">
        <v>167</v>
      </c>
      <c r="F895" t="s">
        <v>613</v>
      </c>
      <c r="G895" t="s">
        <v>718</v>
      </c>
      <c r="H895">
        <v>2.1693359999999999</v>
      </c>
      <c r="I895">
        <v>2.0859000000000001</v>
      </c>
      <c r="J895">
        <v>1.793874</v>
      </c>
      <c r="K895">
        <v>2.1276180000000005</v>
      </c>
      <c r="L895">
        <v>2.377926</v>
      </c>
      <c r="M895">
        <v>1.87731</v>
      </c>
      <c r="N895">
        <v>2.1693359999999999</v>
      </c>
      <c r="O895">
        <v>2.7116699999999998</v>
      </c>
      <c r="P895">
        <v>2.9202600000000003</v>
      </c>
      <c r="Q895">
        <v>1.793874</v>
      </c>
      <c r="R895">
        <v>1.9607460000000001</v>
      </c>
      <c r="S895">
        <v>1.6687199999999998</v>
      </c>
      <c r="T895">
        <f t="shared" si="41"/>
        <v>25.656569999999999</v>
      </c>
      <c r="U895">
        <v>1</v>
      </c>
    </row>
    <row r="896" spans="1:21" x14ac:dyDescent="0.3">
      <c r="A896" t="str">
        <f t="shared" si="39"/>
        <v>HarrowReablement &amp; Rehabilitation at home  (pathway 1)1</v>
      </c>
      <c r="B896">
        <f>IF(C896="","",COUNTIF($C$2:C896,C896))</f>
        <v>1</v>
      </c>
      <c r="C896" t="str">
        <f t="shared" si="40"/>
        <v>HarrowRehabilitation at home (pathway 1)</v>
      </c>
      <c r="D896" t="str">
        <f>VLOOKUP(G896,PathwayLookup!A:B,2,0)</f>
        <v>Reablement &amp; Rehabilitation at home  (pathway 1)</v>
      </c>
      <c r="E896" t="s">
        <v>167</v>
      </c>
      <c r="F896" t="s">
        <v>476</v>
      </c>
      <c r="G896" t="s">
        <v>719</v>
      </c>
      <c r="H896">
        <v>0.66748800000000008</v>
      </c>
      <c r="I896">
        <v>1.168104</v>
      </c>
      <c r="J896">
        <v>1.5435660000000002</v>
      </c>
      <c r="K896">
        <v>1.168104</v>
      </c>
      <c r="L896">
        <v>0.79264199999999996</v>
      </c>
      <c r="M896">
        <v>1.04295</v>
      </c>
      <c r="N896">
        <v>0.9595140000000002</v>
      </c>
      <c r="O896">
        <v>1.168104</v>
      </c>
      <c r="P896">
        <v>1.919028</v>
      </c>
      <c r="Q896">
        <v>1.084668</v>
      </c>
      <c r="R896">
        <v>1.168104</v>
      </c>
      <c r="S896">
        <v>1.5435660000000002</v>
      </c>
      <c r="T896">
        <f t="shared" si="41"/>
        <v>14.225838000000001</v>
      </c>
      <c r="U896">
        <v>1</v>
      </c>
    </row>
    <row r="897" spans="1:21" x14ac:dyDescent="0.3">
      <c r="A897" t="str">
        <f t="shared" si="39"/>
        <v>HarrowReablement &amp; Rehabilitation at home  (pathway 1)2</v>
      </c>
      <c r="B897">
        <f>IF(C897="","",COUNTIF($C$2:C897,C897))</f>
        <v>2</v>
      </c>
      <c r="C897" t="str">
        <f t="shared" si="40"/>
        <v>HarrowRehabilitation at home (pathway 1)</v>
      </c>
      <c r="D897" t="str">
        <f>VLOOKUP(G897,PathwayLookup!A:B,2,0)</f>
        <v>Reablement &amp; Rehabilitation at home  (pathway 1)</v>
      </c>
      <c r="E897" t="s">
        <v>167</v>
      </c>
      <c r="F897" t="s">
        <v>520</v>
      </c>
      <c r="G897" t="s">
        <v>719</v>
      </c>
      <c r="H897">
        <v>6.7583160000000007</v>
      </c>
      <c r="I897">
        <v>7.9681379999999997</v>
      </c>
      <c r="J897">
        <v>7.217214000000002</v>
      </c>
      <c r="K897">
        <v>7.6761119999999998</v>
      </c>
      <c r="L897">
        <v>7.3006500000000001</v>
      </c>
      <c r="M897">
        <v>7.8847019999999999</v>
      </c>
      <c r="N897">
        <v>7.6761119999999998</v>
      </c>
      <c r="O897">
        <v>7.7595479999999997</v>
      </c>
      <c r="P897">
        <v>7.6761119999999998</v>
      </c>
      <c r="Q897">
        <v>7.3840859999999999</v>
      </c>
      <c r="R897">
        <v>7.1754959999999999</v>
      </c>
      <c r="S897">
        <v>7.3006500000000001</v>
      </c>
      <c r="T897">
        <f t="shared" si="41"/>
        <v>89.777135999999999</v>
      </c>
      <c r="U897">
        <v>1</v>
      </c>
    </row>
    <row r="898" spans="1:21" x14ac:dyDescent="0.3">
      <c r="A898" t="str">
        <f t="shared" ref="A898:A961" si="42">IF(B898="","",E898&amp;D898&amp;B898)</f>
        <v>HarrowReablement &amp; Rehabilitation at home  (pathway 1)3</v>
      </c>
      <c r="B898">
        <f>IF(C898="","",COUNTIF($C$2:C898,C898))</f>
        <v>3</v>
      </c>
      <c r="C898" t="str">
        <f t="shared" ref="C898:C961" si="43">IF(T898=0,"",E898&amp;G898)</f>
        <v>HarrowRehabilitation at home (pathway 1)</v>
      </c>
      <c r="D898" t="str">
        <f>VLOOKUP(G898,PathwayLookup!A:B,2,0)</f>
        <v>Reablement &amp; Rehabilitation at home  (pathway 1)</v>
      </c>
      <c r="E898" t="s">
        <v>167</v>
      </c>
      <c r="F898" t="s">
        <v>540</v>
      </c>
      <c r="G898" t="s">
        <v>719</v>
      </c>
      <c r="H898">
        <v>83.936616000000001</v>
      </c>
      <c r="I898">
        <v>93.531756000000016</v>
      </c>
      <c r="J898">
        <v>89.860571999999991</v>
      </c>
      <c r="K898">
        <v>87.607799999999997</v>
      </c>
      <c r="L898">
        <v>85.146438000000003</v>
      </c>
      <c r="M898">
        <v>89.193084000000013</v>
      </c>
      <c r="N898">
        <v>90.110879999999995</v>
      </c>
      <c r="O898">
        <v>96.827477999999999</v>
      </c>
      <c r="P898">
        <v>89.276520000000005</v>
      </c>
      <c r="Q898">
        <v>89.234802000000002</v>
      </c>
      <c r="R898">
        <v>86.022515999999996</v>
      </c>
      <c r="S898">
        <v>97.536684000000022</v>
      </c>
      <c r="T898">
        <f t="shared" ref="T898:T961" si="44">SUM(H898:S898)</f>
        <v>1078.2851459999999</v>
      </c>
      <c r="U898">
        <v>1</v>
      </c>
    </row>
    <row r="899" spans="1:21" x14ac:dyDescent="0.3">
      <c r="A899" t="str">
        <f t="shared" si="42"/>
        <v>HarrowReablement &amp; Rehabilitation at home  (pathway 1)4</v>
      </c>
      <c r="B899">
        <f>IF(C899="","",COUNTIF($C$2:C899,C899))</f>
        <v>4</v>
      </c>
      <c r="C899" t="str">
        <f t="shared" si="43"/>
        <v>HarrowRehabilitation at home (pathway 1)</v>
      </c>
      <c r="D899" t="str">
        <f>VLOOKUP(G899,PathwayLookup!A:B,2,0)</f>
        <v>Reablement &amp; Rehabilitation at home  (pathway 1)</v>
      </c>
      <c r="E899" t="s">
        <v>167</v>
      </c>
      <c r="F899" t="s">
        <v>613</v>
      </c>
      <c r="G899" t="s">
        <v>719</v>
      </c>
      <c r="H899">
        <v>2.1693359999999999</v>
      </c>
      <c r="I899">
        <v>2.0859000000000001</v>
      </c>
      <c r="J899">
        <v>1.793874</v>
      </c>
      <c r="K899">
        <v>2.1276180000000005</v>
      </c>
      <c r="L899">
        <v>2.377926</v>
      </c>
      <c r="M899">
        <v>1.87731</v>
      </c>
      <c r="N899">
        <v>2.1693359999999999</v>
      </c>
      <c r="O899">
        <v>2.7116699999999998</v>
      </c>
      <c r="P899">
        <v>2.9202600000000003</v>
      </c>
      <c r="Q899">
        <v>1.793874</v>
      </c>
      <c r="R899">
        <v>1.9607460000000001</v>
      </c>
      <c r="S899">
        <v>1.6687199999999998</v>
      </c>
      <c r="T899">
        <f t="shared" si="44"/>
        <v>25.656569999999999</v>
      </c>
      <c r="U899">
        <v>1</v>
      </c>
    </row>
    <row r="900" spans="1:21" x14ac:dyDescent="0.3">
      <c r="A900" t="str">
        <f t="shared" si="42"/>
        <v>HarrowShort term domiciliary care (pathway 1)1</v>
      </c>
      <c r="B900">
        <f>IF(C900="","",COUNTIF($C$2:C900,C900))</f>
        <v>1</v>
      </c>
      <c r="C900" t="str">
        <f t="shared" si="43"/>
        <v>HarrowShort term domiciliary care (pathway 1)</v>
      </c>
      <c r="D900" t="str">
        <f>VLOOKUP(G900,PathwayLookup!A:B,2,0)</f>
        <v>Short term domiciliary care (pathway 1)</v>
      </c>
      <c r="E900" t="s">
        <v>167</v>
      </c>
      <c r="F900" t="s">
        <v>476</v>
      </c>
      <c r="G900" t="s">
        <v>684</v>
      </c>
      <c r="H900">
        <v>0.66748800000000008</v>
      </c>
      <c r="I900">
        <v>1.168104</v>
      </c>
      <c r="J900">
        <v>1.5435660000000002</v>
      </c>
      <c r="K900">
        <v>1.168104</v>
      </c>
      <c r="L900">
        <v>0.79264199999999996</v>
      </c>
      <c r="M900">
        <v>1.04295</v>
      </c>
      <c r="N900">
        <v>0.9595140000000002</v>
      </c>
      <c r="O900">
        <v>1.168104</v>
      </c>
      <c r="P900">
        <v>1.919028</v>
      </c>
      <c r="Q900">
        <v>1.084668</v>
      </c>
      <c r="R900">
        <v>1.168104</v>
      </c>
      <c r="S900">
        <v>1.5435660000000002</v>
      </c>
      <c r="T900">
        <f t="shared" si="44"/>
        <v>14.225838000000001</v>
      </c>
      <c r="U900">
        <v>1</v>
      </c>
    </row>
    <row r="901" spans="1:21" x14ac:dyDescent="0.3">
      <c r="A901" t="str">
        <f t="shared" si="42"/>
        <v>HarrowShort term domiciliary care (pathway 1)2</v>
      </c>
      <c r="B901">
        <f>IF(C901="","",COUNTIF($C$2:C901,C901))</f>
        <v>2</v>
      </c>
      <c r="C901" t="str">
        <f t="shared" si="43"/>
        <v>HarrowShort term domiciliary care (pathway 1)</v>
      </c>
      <c r="D901" t="str">
        <f>VLOOKUP(G901,PathwayLookup!A:B,2,0)</f>
        <v>Short term domiciliary care (pathway 1)</v>
      </c>
      <c r="E901" t="s">
        <v>167</v>
      </c>
      <c r="F901" t="s">
        <v>520</v>
      </c>
      <c r="G901" t="s">
        <v>684</v>
      </c>
      <c r="H901">
        <v>6.7583160000000007</v>
      </c>
      <c r="I901">
        <v>7.9681379999999997</v>
      </c>
      <c r="J901">
        <v>7.217214000000002</v>
      </c>
      <c r="K901">
        <v>7.6761119999999998</v>
      </c>
      <c r="L901">
        <v>7.3006500000000001</v>
      </c>
      <c r="M901">
        <v>7.8847019999999999</v>
      </c>
      <c r="N901">
        <v>7.6761119999999998</v>
      </c>
      <c r="O901">
        <v>7.7595479999999997</v>
      </c>
      <c r="P901">
        <v>7.6761119999999998</v>
      </c>
      <c r="Q901">
        <v>7.3840859999999999</v>
      </c>
      <c r="R901">
        <v>7.1754959999999999</v>
      </c>
      <c r="S901">
        <v>7.3006500000000001</v>
      </c>
      <c r="T901">
        <f t="shared" si="44"/>
        <v>89.777135999999999</v>
      </c>
      <c r="U901">
        <v>1</v>
      </c>
    </row>
    <row r="902" spans="1:21" x14ac:dyDescent="0.3">
      <c r="A902" t="str">
        <f t="shared" si="42"/>
        <v>HarrowShort term domiciliary care (pathway 1)3</v>
      </c>
      <c r="B902">
        <f>IF(C902="","",COUNTIF($C$2:C902,C902))</f>
        <v>3</v>
      </c>
      <c r="C902" t="str">
        <f t="shared" si="43"/>
        <v>HarrowShort term domiciliary care (pathway 1)</v>
      </c>
      <c r="D902" t="str">
        <f>VLOOKUP(G902,PathwayLookup!A:B,2,0)</f>
        <v>Short term domiciliary care (pathway 1)</v>
      </c>
      <c r="E902" t="s">
        <v>167</v>
      </c>
      <c r="F902" t="s">
        <v>540</v>
      </c>
      <c r="G902" t="s">
        <v>684</v>
      </c>
      <c r="H902">
        <v>83.936616000000001</v>
      </c>
      <c r="I902">
        <v>93.531756000000016</v>
      </c>
      <c r="J902">
        <v>89.860571999999991</v>
      </c>
      <c r="K902">
        <v>87.607799999999997</v>
      </c>
      <c r="L902">
        <v>85.146438000000003</v>
      </c>
      <c r="M902">
        <v>89.193084000000013</v>
      </c>
      <c r="N902">
        <v>90.110879999999995</v>
      </c>
      <c r="O902">
        <v>96.827477999999999</v>
      </c>
      <c r="P902">
        <v>89.276520000000005</v>
      </c>
      <c r="Q902">
        <v>89.234802000000002</v>
      </c>
      <c r="R902">
        <v>86.022515999999996</v>
      </c>
      <c r="S902">
        <v>97.536684000000022</v>
      </c>
      <c r="T902">
        <f t="shared" si="44"/>
        <v>1078.2851459999999</v>
      </c>
      <c r="U902">
        <v>1</v>
      </c>
    </row>
    <row r="903" spans="1:21" x14ac:dyDescent="0.3">
      <c r="A903" t="str">
        <f t="shared" si="42"/>
        <v>HarrowShort term domiciliary care (pathway 1)4</v>
      </c>
      <c r="B903">
        <f>IF(C903="","",COUNTIF($C$2:C903,C903))</f>
        <v>4</v>
      </c>
      <c r="C903" t="str">
        <f t="shared" si="43"/>
        <v>HarrowShort term domiciliary care (pathway 1)</v>
      </c>
      <c r="D903" t="str">
        <f>VLOOKUP(G903,PathwayLookup!A:B,2,0)</f>
        <v>Short term domiciliary care (pathway 1)</v>
      </c>
      <c r="E903" t="s">
        <v>167</v>
      </c>
      <c r="F903" t="s">
        <v>613</v>
      </c>
      <c r="G903" t="s">
        <v>684</v>
      </c>
      <c r="H903">
        <v>2.1693359999999999</v>
      </c>
      <c r="I903">
        <v>2.0859000000000001</v>
      </c>
      <c r="J903">
        <v>1.793874</v>
      </c>
      <c r="K903">
        <v>2.1276180000000005</v>
      </c>
      <c r="L903">
        <v>2.377926</v>
      </c>
      <c r="M903">
        <v>1.87731</v>
      </c>
      <c r="N903">
        <v>2.1693359999999999</v>
      </c>
      <c r="O903">
        <v>2.7116699999999998</v>
      </c>
      <c r="P903">
        <v>2.9202600000000003</v>
      </c>
      <c r="Q903">
        <v>1.793874</v>
      </c>
      <c r="R903">
        <v>1.9607460000000001</v>
      </c>
      <c r="S903">
        <v>1.6687199999999998</v>
      </c>
      <c r="T903">
        <f t="shared" si="44"/>
        <v>25.656569999999999</v>
      </c>
      <c r="U903">
        <v>1</v>
      </c>
    </row>
    <row r="904" spans="1:21" x14ac:dyDescent="0.3">
      <c r="A904" t="str">
        <f t="shared" si="42"/>
        <v>HarrowReablement &amp; Rehabilitation in a bedded setting (pathway 2)1</v>
      </c>
      <c r="B904">
        <f>IF(C904="","",COUNTIF($C$2:C904,C904))</f>
        <v>1</v>
      </c>
      <c r="C904" t="str">
        <f t="shared" si="43"/>
        <v>HarrowRehabilitation in a bedded setting (pathway 2)</v>
      </c>
      <c r="D904" t="str">
        <f>VLOOKUP(G904,PathwayLookup!A:B,2,0)</f>
        <v>Reablement &amp; Rehabilitation in a bedded setting (pathway 2)</v>
      </c>
      <c r="E904" t="s">
        <v>167</v>
      </c>
      <c r="F904" t="s">
        <v>476</v>
      </c>
      <c r="G904" t="s">
        <v>724</v>
      </c>
      <c r="H904">
        <v>0.28070400000000001</v>
      </c>
      <c r="I904">
        <v>0.491232</v>
      </c>
      <c r="J904">
        <v>0.64912800000000004</v>
      </c>
      <c r="K904">
        <v>0.491232</v>
      </c>
      <c r="L904">
        <v>0.33333599999999997</v>
      </c>
      <c r="M904">
        <v>0.43859999999999999</v>
      </c>
      <c r="N904">
        <v>0.40351199999999998</v>
      </c>
      <c r="O904">
        <v>0.491232</v>
      </c>
      <c r="P904">
        <v>0.80702399999999996</v>
      </c>
      <c r="Q904">
        <v>0.45614399999999999</v>
      </c>
      <c r="R904">
        <v>0.491232</v>
      </c>
      <c r="S904">
        <v>0.64912800000000004</v>
      </c>
      <c r="T904">
        <f t="shared" si="44"/>
        <v>5.9825040000000005</v>
      </c>
      <c r="U904">
        <v>1</v>
      </c>
    </row>
    <row r="905" spans="1:21" x14ac:dyDescent="0.3">
      <c r="A905" t="str">
        <f t="shared" si="42"/>
        <v>HarrowReablement &amp; Rehabilitation in a bedded setting (pathway 2)2</v>
      </c>
      <c r="B905">
        <f>IF(C905="","",COUNTIF($C$2:C905,C905))</f>
        <v>2</v>
      </c>
      <c r="C905" t="str">
        <f t="shared" si="43"/>
        <v>HarrowRehabilitation in a bedded setting (pathway 2)</v>
      </c>
      <c r="D905" t="str">
        <f>VLOOKUP(G905,PathwayLookup!A:B,2,0)</f>
        <v>Reablement &amp; Rehabilitation in a bedded setting (pathway 2)</v>
      </c>
      <c r="E905" t="s">
        <v>167</v>
      </c>
      <c r="F905" t="s">
        <v>520</v>
      </c>
      <c r="G905" t="s">
        <v>724</v>
      </c>
      <c r="H905">
        <v>2.8421280000000002</v>
      </c>
      <c r="I905">
        <v>3.3509039999999999</v>
      </c>
      <c r="J905">
        <v>3.0351120000000003</v>
      </c>
      <c r="K905">
        <v>3.2280960000000003</v>
      </c>
      <c r="L905">
        <v>3.0701999999999998</v>
      </c>
      <c r="M905">
        <v>3.3158159999999999</v>
      </c>
      <c r="N905">
        <v>3.2280960000000003</v>
      </c>
      <c r="O905">
        <v>3.2631839999999999</v>
      </c>
      <c r="P905">
        <v>3.2280960000000003</v>
      </c>
      <c r="Q905">
        <v>3.1052879999999998</v>
      </c>
      <c r="R905">
        <v>3.0175679999999998</v>
      </c>
      <c r="S905">
        <v>3.0701999999999998</v>
      </c>
      <c r="T905">
        <f t="shared" si="44"/>
        <v>37.754687999999994</v>
      </c>
      <c r="U905">
        <v>1</v>
      </c>
    </row>
    <row r="906" spans="1:21" x14ac:dyDescent="0.3">
      <c r="A906" t="str">
        <f t="shared" si="42"/>
        <v>HarrowReablement &amp; Rehabilitation in a bedded setting (pathway 2)3</v>
      </c>
      <c r="B906">
        <f>IF(C906="","",COUNTIF($C$2:C906,C906))</f>
        <v>3</v>
      </c>
      <c r="C906" t="str">
        <f t="shared" si="43"/>
        <v>HarrowRehabilitation in a bedded setting (pathway 2)</v>
      </c>
      <c r="D906" t="str">
        <f>VLOOKUP(G906,PathwayLookup!A:B,2,0)</f>
        <v>Reablement &amp; Rehabilitation in a bedded setting (pathway 2)</v>
      </c>
      <c r="E906" t="s">
        <v>167</v>
      </c>
      <c r="F906" t="s">
        <v>540</v>
      </c>
      <c r="G906" t="s">
        <v>724</v>
      </c>
      <c r="H906">
        <v>35.298527999999997</v>
      </c>
      <c r="I906">
        <v>39.333647999999997</v>
      </c>
      <c r="J906">
        <v>37.789776000000003</v>
      </c>
      <c r="K906">
        <v>36.842399999999998</v>
      </c>
      <c r="L906">
        <v>35.807304000000002</v>
      </c>
      <c r="M906">
        <v>37.509072000000003</v>
      </c>
      <c r="N906">
        <v>37.895039999999995</v>
      </c>
      <c r="O906">
        <v>40.719624000000003</v>
      </c>
      <c r="P906">
        <v>37.544160000000005</v>
      </c>
      <c r="Q906">
        <v>37.526615999999997</v>
      </c>
      <c r="R906">
        <v>36.175727999999999</v>
      </c>
      <c r="S906">
        <v>41.017871999999997</v>
      </c>
      <c r="T906">
        <f t="shared" si="44"/>
        <v>453.459768</v>
      </c>
      <c r="U906">
        <v>1</v>
      </c>
    </row>
    <row r="907" spans="1:21" x14ac:dyDescent="0.3">
      <c r="A907" t="str">
        <f t="shared" si="42"/>
        <v>HarrowReablement &amp; Rehabilitation in a bedded setting (pathway 2)4</v>
      </c>
      <c r="B907">
        <f>IF(C907="","",COUNTIF($C$2:C907,C907))</f>
        <v>4</v>
      </c>
      <c r="C907" t="str">
        <f t="shared" si="43"/>
        <v>HarrowRehabilitation in a bedded setting (pathway 2)</v>
      </c>
      <c r="D907" t="str">
        <f>VLOOKUP(G907,PathwayLookup!A:B,2,0)</f>
        <v>Reablement &amp; Rehabilitation in a bedded setting (pathway 2)</v>
      </c>
      <c r="E907" t="s">
        <v>167</v>
      </c>
      <c r="F907" t="s">
        <v>613</v>
      </c>
      <c r="G907" t="s">
        <v>724</v>
      </c>
      <c r="H907">
        <v>0.91228799999999999</v>
      </c>
      <c r="I907">
        <v>0.87719999999999998</v>
      </c>
      <c r="J907">
        <v>0.75439199999999995</v>
      </c>
      <c r="K907">
        <v>0.89474400000000021</v>
      </c>
      <c r="L907">
        <v>1.000008</v>
      </c>
      <c r="M907">
        <v>0.78947999999999996</v>
      </c>
      <c r="N907">
        <v>0.91228799999999999</v>
      </c>
      <c r="O907">
        <v>1.14036</v>
      </c>
      <c r="P907">
        <v>1.2280800000000001</v>
      </c>
      <c r="Q907">
        <v>0.75439199999999995</v>
      </c>
      <c r="R907">
        <v>0.82456799999999997</v>
      </c>
      <c r="S907">
        <v>0.70175999999999994</v>
      </c>
      <c r="T907">
        <f t="shared" si="44"/>
        <v>10.78956</v>
      </c>
      <c r="U907">
        <v>1</v>
      </c>
    </row>
    <row r="908" spans="1:21" x14ac:dyDescent="0.3">
      <c r="A908" t="str">
        <f t="shared" si="42"/>
        <v>HarrowShort-term residential/nursing care for someone likely to require a longer-term care home placement (pathway 3)1</v>
      </c>
      <c r="B908">
        <f>IF(C908="","",COUNTIF($C$2:C908,C908))</f>
        <v>1</v>
      </c>
      <c r="C908" t="str">
        <f t="shared" si="43"/>
        <v>HarrowShort-term residential/nursing care for someone likely to require a longer-term care home placement (pathway 3)</v>
      </c>
      <c r="D908" t="str">
        <f>VLOOKUP(G908,PathwayLookup!A:B,2,0)</f>
        <v>Short-term residential/nursing care for someone likely to require a longer-term care home placement (pathway 3)</v>
      </c>
      <c r="E908" t="s">
        <v>167</v>
      </c>
      <c r="F908" t="s">
        <v>476</v>
      </c>
      <c r="G908" t="s">
        <v>686</v>
      </c>
      <c r="H908">
        <v>0.39983999999999997</v>
      </c>
      <c r="I908">
        <v>0.69972000000000001</v>
      </c>
      <c r="J908">
        <v>0.92462999999999995</v>
      </c>
      <c r="K908">
        <v>0.69972000000000001</v>
      </c>
      <c r="L908">
        <v>0.47481000000000001</v>
      </c>
      <c r="M908">
        <v>0.62475000000000003</v>
      </c>
      <c r="N908">
        <v>0.57477</v>
      </c>
      <c r="O908">
        <v>0.69972000000000001</v>
      </c>
      <c r="P908">
        <v>1.14954</v>
      </c>
      <c r="Q908">
        <v>0.64973999999999998</v>
      </c>
      <c r="R908">
        <v>0.69972000000000001</v>
      </c>
      <c r="S908">
        <v>0.92462999999999995</v>
      </c>
      <c r="T908">
        <f t="shared" si="44"/>
        <v>8.5215899999999998</v>
      </c>
      <c r="U908">
        <v>1</v>
      </c>
    </row>
    <row r="909" spans="1:21" x14ac:dyDescent="0.3">
      <c r="A909" t="str">
        <f t="shared" si="42"/>
        <v>HarrowShort-term residential/nursing care for someone likely to require a longer-term care home placement (pathway 3)2</v>
      </c>
      <c r="B909">
        <f>IF(C909="","",COUNTIF($C$2:C909,C909))</f>
        <v>2</v>
      </c>
      <c r="C909" t="str">
        <f t="shared" si="43"/>
        <v>HarrowShort-term residential/nursing care for someone likely to require a longer-term care home placement (pathway 3)</v>
      </c>
      <c r="D909" t="str">
        <f>VLOOKUP(G909,PathwayLookup!A:B,2,0)</f>
        <v>Short-term residential/nursing care for someone likely to require a longer-term care home placement (pathway 3)</v>
      </c>
      <c r="E909" t="s">
        <v>167</v>
      </c>
      <c r="F909" t="s">
        <v>520</v>
      </c>
      <c r="G909" t="s">
        <v>686</v>
      </c>
      <c r="H909">
        <v>4.0483800000000008</v>
      </c>
      <c r="I909">
        <v>4.7730899999999998</v>
      </c>
      <c r="J909">
        <v>4.3232699999999999</v>
      </c>
      <c r="K909">
        <v>4.59816</v>
      </c>
      <c r="L909">
        <v>4.3732500000000005</v>
      </c>
      <c r="M909">
        <v>4.7231100000000001</v>
      </c>
      <c r="N909">
        <v>4.59816</v>
      </c>
      <c r="O909">
        <v>4.6481399999999997</v>
      </c>
      <c r="P909">
        <v>4.59816</v>
      </c>
      <c r="Q909">
        <v>4.4232300000000002</v>
      </c>
      <c r="R909">
        <v>4.2982800000000001</v>
      </c>
      <c r="S909">
        <v>4.3732500000000005</v>
      </c>
      <c r="T909">
        <f t="shared" si="44"/>
        <v>53.778479999999995</v>
      </c>
      <c r="U909">
        <v>1</v>
      </c>
    </row>
    <row r="910" spans="1:21" x14ac:dyDescent="0.3">
      <c r="A910" t="str">
        <f t="shared" si="42"/>
        <v>HarrowShort-term residential/nursing care for someone likely to require a longer-term care home placement (pathway 3)3</v>
      </c>
      <c r="B910">
        <f>IF(C910="","",COUNTIF($C$2:C910,C910))</f>
        <v>3</v>
      </c>
      <c r="C910" t="str">
        <f t="shared" si="43"/>
        <v>HarrowShort-term residential/nursing care for someone likely to require a longer-term care home placement (pathway 3)</v>
      </c>
      <c r="D910" t="str">
        <f>VLOOKUP(G910,PathwayLookup!A:B,2,0)</f>
        <v>Short-term residential/nursing care for someone likely to require a longer-term care home placement (pathway 3)</v>
      </c>
      <c r="E910" t="s">
        <v>167</v>
      </c>
      <c r="F910" t="s">
        <v>540</v>
      </c>
      <c r="G910" t="s">
        <v>686</v>
      </c>
      <c r="H910">
        <v>50.279879999999999</v>
      </c>
      <c r="I910">
        <v>56.027580000000007</v>
      </c>
      <c r="J910">
        <v>53.82846</v>
      </c>
      <c r="K910">
        <v>52.478999999999999</v>
      </c>
      <c r="L910">
        <v>51.004590000000007</v>
      </c>
      <c r="M910">
        <v>53.428620000000009</v>
      </c>
      <c r="N910">
        <v>53.978400000000001</v>
      </c>
      <c r="O910">
        <v>58.001790000000007</v>
      </c>
      <c r="P910">
        <v>53.478600000000007</v>
      </c>
      <c r="Q910">
        <v>53.453610000000005</v>
      </c>
      <c r="R910">
        <v>51.529380000000003</v>
      </c>
      <c r="S910">
        <v>58.426620000000007</v>
      </c>
      <c r="T910">
        <f t="shared" si="44"/>
        <v>645.91652999999997</v>
      </c>
      <c r="U910">
        <v>1</v>
      </c>
    </row>
    <row r="911" spans="1:21" x14ac:dyDescent="0.3">
      <c r="A911" t="str">
        <f t="shared" si="42"/>
        <v>HarrowShort-term residential/nursing care for someone likely to require a longer-term care home placement (pathway 3)4</v>
      </c>
      <c r="B911">
        <f>IF(C911="","",COUNTIF($C$2:C911,C911))</f>
        <v>4</v>
      </c>
      <c r="C911" t="str">
        <f t="shared" si="43"/>
        <v>HarrowShort-term residential/nursing care for someone likely to require a longer-term care home placement (pathway 3)</v>
      </c>
      <c r="D911" t="str">
        <f>VLOOKUP(G911,PathwayLookup!A:B,2,0)</f>
        <v>Short-term residential/nursing care for someone likely to require a longer-term care home placement (pathway 3)</v>
      </c>
      <c r="E911" t="s">
        <v>167</v>
      </c>
      <c r="F911" t="s">
        <v>613</v>
      </c>
      <c r="G911" t="s">
        <v>686</v>
      </c>
      <c r="H911">
        <v>1.29948</v>
      </c>
      <c r="I911">
        <v>1.2495000000000001</v>
      </c>
      <c r="J911">
        <v>1.07457</v>
      </c>
      <c r="K911">
        <v>1.2744899999999999</v>
      </c>
      <c r="L911">
        <v>1.4244300000000001</v>
      </c>
      <c r="M911">
        <v>1.1245499999999999</v>
      </c>
      <c r="N911">
        <v>1.29948</v>
      </c>
      <c r="O911">
        <v>1.62435</v>
      </c>
      <c r="P911">
        <v>1.7493000000000003</v>
      </c>
      <c r="Q911">
        <v>1.07457</v>
      </c>
      <c r="R911">
        <v>1.1745300000000001</v>
      </c>
      <c r="S911">
        <v>0.99960000000000004</v>
      </c>
      <c r="T911">
        <f t="shared" si="44"/>
        <v>15.368850000000002</v>
      </c>
      <c r="U911">
        <v>1</v>
      </c>
    </row>
    <row r="912" spans="1:21" x14ac:dyDescent="0.3">
      <c r="A912" t="str">
        <f t="shared" si="42"/>
        <v>HartlepoolSocial support (including VCS) (pathway 0)1</v>
      </c>
      <c r="B912">
        <f>IF(C912="","",COUNTIF($C$2:C912,C912))</f>
        <v>1</v>
      </c>
      <c r="C912" t="str">
        <f t="shared" si="43"/>
        <v>HartlepoolSocial support (including VCS) (pathway 0)</v>
      </c>
      <c r="D912" t="str">
        <f>VLOOKUP(G912,PathwayLookup!A:B,2,0)</f>
        <v>Social support (including VCS) (pathway 0)</v>
      </c>
      <c r="E912" t="s">
        <v>169</v>
      </c>
      <c r="F912" t="s">
        <v>559</v>
      </c>
      <c r="G912" t="s">
        <v>682</v>
      </c>
      <c r="H912">
        <v>669</v>
      </c>
      <c r="I912">
        <v>684</v>
      </c>
      <c r="J912">
        <v>673</v>
      </c>
      <c r="K912">
        <v>670</v>
      </c>
      <c r="L912">
        <v>662</v>
      </c>
      <c r="M912">
        <v>684</v>
      </c>
      <c r="N912">
        <v>623</v>
      </c>
      <c r="O912">
        <v>655</v>
      </c>
      <c r="P912">
        <v>695</v>
      </c>
      <c r="Q912">
        <v>664</v>
      </c>
      <c r="R912">
        <v>607</v>
      </c>
      <c r="S912">
        <v>721</v>
      </c>
      <c r="T912">
        <f t="shared" si="44"/>
        <v>8007</v>
      </c>
      <c r="U912">
        <v>1</v>
      </c>
    </row>
    <row r="913" spans="1:21" x14ac:dyDescent="0.3">
      <c r="A913" t="str">
        <f t="shared" si="42"/>
        <v>HartlepoolSocial support (including VCS) (pathway 0)2</v>
      </c>
      <c r="B913">
        <f>IF(C913="","",COUNTIF($C$2:C913,C913))</f>
        <v>2</v>
      </c>
      <c r="C913" t="str">
        <f t="shared" si="43"/>
        <v>HartlepoolSocial support (including VCS) (pathway 0)</v>
      </c>
      <c r="D913" t="str">
        <f>VLOOKUP(G913,PathwayLookup!A:B,2,0)</f>
        <v>Social support (including VCS) (pathway 0)</v>
      </c>
      <c r="E913" t="s">
        <v>169</v>
      </c>
      <c r="F913" t="s">
        <v>651</v>
      </c>
      <c r="G913" t="s">
        <v>682</v>
      </c>
      <c r="H913">
        <v>92</v>
      </c>
      <c r="I913">
        <v>114</v>
      </c>
      <c r="J913">
        <v>112</v>
      </c>
      <c r="K913">
        <v>111</v>
      </c>
      <c r="L913">
        <v>110</v>
      </c>
      <c r="M913">
        <v>109</v>
      </c>
      <c r="N913">
        <v>112</v>
      </c>
      <c r="O913">
        <v>115</v>
      </c>
      <c r="P913">
        <v>115</v>
      </c>
      <c r="Q913">
        <v>117</v>
      </c>
      <c r="R913">
        <v>110</v>
      </c>
      <c r="S913">
        <v>115</v>
      </c>
      <c r="T913">
        <f t="shared" si="44"/>
        <v>1332</v>
      </c>
      <c r="U913">
        <v>1</v>
      </c>
    </row>
    <row r="914" spans="1:21" x14ac:dyDescent="0.3">
      <c r="A914" t="str">
        <f t="shared" si="42"/>
        <v>HartlepoolReablement &amp; Rehabilitation at home  (pathway 1)1</v>
      </c>
      <c r="B914">
        <f>IF(C914="","",COUNTIF($C$2:C914,C914))</f>
        <v>1</v>
      </c>
      <c r="C914" t="str">
        <f t="shared" si="43"/>
        <v>HartlepoolReablement at home  (pathway 1)</v>
      </c>
      <c r="D914" t="str">
        <f>VLOOKUP(G914,PathwayLookup!A:B,2,0)</f>
        <v>Reablement &amp; Rehabilitation at home  (pathway 1)</v>
      </c>
      <c r="E914" t="s">
        <v>169</v>
      </c>
      <c r="F914" t="s">
        <v>559</v>
      </c>
      <c r="G914" t="s">
        <v>718</v>
      </c>
      <c r="H914">
        <v>54</v>
      </c>
      <c r="I914">
        <v>65</v>
      </c>
      <c r="J914">
        <v>51</v>
      </c>
      <c r="K914">
        <v>48</v>
      </c>
      <c r="L914">
        <v>52</v>
      </c>
      <c r="M914">
        <v>39</v>
      </c>
      <c r="N914">
        <v>47</v>
      </c>
      <c r="O914">
        <v>51</v>
      </c>
      <c r="P914">
        <v>54</v>
      </c>
      <c r="Q914">
        <v>50</v>
      </c>
      <c r="R914">
        <v>38</v>
      </c>
      <c r="S914">
        <v>45</v>
      </c>
      <c r="T914">
        <f t="shared" si="44"/>
        <v>594</v>
      </c>
      <c r="U914">
        <v>1</v>
      </c>
    </row>
    <row r="915" spans="1:21" x14ac:dyDescent="0.3">
      <c r="A915" t="str">
        <f t="shared" si="42"/>
        <v>HartlepoolReablement &amp; Rehabilitation at home  (pathway 1)2</v>
      </c>
      <c r="B915">
        <f>IF(C915="","",COUNTIF($C$2:C915,C915))</f>
        <v>2</v>
      </c>
      <c r="C915" t="str">
        <f t="shared" si="43"/>
        <v>HartlepoolReablement at home  (pathway 1)</v>
      </c>
      <c r="D915" t="str">
        <f>VLOOKUP(G915,PathwayLookup!A:B,2,0)</f>
        <v>Reablement &amp; Rehabilitation at home  (pathway 1)</v>
      </c>
      <c r="E915" t="s">
        <v>169</v>
      </c>
      <c r="F915" t="s">
        <v>651</v>
      </c>
      <c r="G915" t="s">
        <v>718</v>
      </c>
      <c r="H915">
        <v>15</v>
      </c>
      <c r="I915">
        <v>18</v>
      </c>
      <c r="J915">
        <v>18</v>
      </c>
      <c r="K915">
        <v>18</v>
      </c>
      <c r="L915">
        <v>18</v>
      </c>
      <c r="M915">
        <v>17</v>
      </c>
      <c r="N915">
        <v>18</v>
      </c>
      <c r="O915">
        <v>18</v>
      </c>
      <c r="P915">
        <v>19</v>
      </c>
      <c r="Q915">
        <v>19</v>
      </c>
      <c r="R915">
        <v>18</v>
      </c>
      <c r="S915">
        <v>18</v>
      </c>
      <c r="T915">
        <f t="shared" si="44"/>
        <v>214</v>
      </c>
      <c r="U915">
        <v>1</v>
      </c>
    </row>
    <row r="916" spans="1:21" x14ac:dyDescent="0.3">
      <c r="A916" t="str">
        <f t="shared" si="42"/>
        <v/>
      </c>
      <c r="B916" t="str">
        <f>IF(C916="","",COUNTIF($C$2:C916,C916))</f>
        <v/>
      </c>
      <c r="C916" t="str">
        <f t="shared" si="43"/>
        <v/>
      </c>
      <c r="D916" t="str">
        <f>VLOOKUP(G916,PathwayLookup!A:B,2,0)</f>
        <v>Reablement &amp; Rehabilitation at home  (pathway 1)</v>
      </c>
      <c r="E916" t="s">
        <v>169</v>
      </c>
      <c r="F916" t="s">
        <v>559</v>
      </c>
      <c r="G916" t="s">
        <v>719</v>
      </c>
      <c r="H916">
        <v>0</v>
      </c>
      <c r="I916">
        <v>0</v>
      </c>
      <c r="J916">
        <v>0</v>
      </c>
      <c r="K916">
        <v>0</v>
      </c>
      <c r="L916">
        <v>0</v>
      </c>
      <c r="M916">
        <v>0</v>
      </c>
      <c r="N916">
        <v>0</v>
      </c>
      <c r="O916">
        <v>0</v>
      </c>
      <c r="P916">
        <v>0</v>
      </c>
      <c r="Q916">
        <v>0</v>
      </c>
      <c r="R916">
        <v>0</v>
      </c>
      <c r="S916">
        <v>0</v>
      </c>
      <c r="T916">
        <f t="shared" si="44"/>
        <v>0</v>
      </c>
      <c r="U916">
        <v>1</v>
      </c>
    </row>
    <row r="917" spans="1:21" x14ac:dyDescent="0.3">
      <c r="A917" t="str">
        <f t="shared" si="42"/>
        <v/>
      </c>
      <c r="B917" t="str">
        <f>IF(C917="","",COUNTIF($C$2:C917,C917))</f>
        <v/>
      </c>
      <c r="C917" t="str">
        <f t="shared" si="43"/>
        <v/>
      </c>
      <c r="D917" t="str">
        <f>VLOOKUP(G917,PathwayLookup!A:B,2,0)</f>
        <v>Reablement &amp; Rehabilitation at home  (pathway 1)</v>
      </c>
      <c r="E917" t="s">
        <v>169</v>
      </c>
      <c r="F917" t="s">
        <v>651</v>
      </c>
      <c r="G917" t="s">
        <v>719</v>
      </c>
      <c r="H917">
        <v>0</v>
      </c>
      <c r="I917">
        <v>0</v>
      </c>
      <c r="J917">
        <v>0</v>
      </c>
      <c r="K917">
        <v>0</v>
      </c>
      <c r="L917">
        <v>0</v>
      </c>
      <c r="M917">
        <v>0</v>
      </c>
      <c r="N917">
        <v>0</v>
      </c>
      <c r="O917">
        <v>0</v>
      </c>
      <c r="P917">
        <v>0</v>
      </c>
      <c r="Q917">
        <v>0</v>
      </c>
      <c r="R917">
        <v>0</v>
      </c>
      <c r="S917">
        <v>0</v>
      </c>
      <c r="T917">
        <f t="shared" si="44"/>
        <v>0</v>
      </c>
      <c r="U917">
        <v>1</v>
      </c>
    </row>
    <row r="918" spans="1:21" x14ac:dyDescent="0.3">
      <c r="A918" t="str">
        <f t="shared" si="42"/>
        <v/>
      </c>
      <c r="B918" t="str">
        <f>IF(C918="","",COUNTIF($C$2:C918,C918))</f>
        <v/>
      </c>
      <c r="C918" t="str">
        <f t="shared" si="43"/>
        <v/>
      </c>
      <c r="D918" t="str">
        <f>VLOOKUP(G918,PathwayLookup!A:B,2,0)</f>
        <v>Short term domiciliary care (pathway 1)</v>
      </c>
      <c r="E918" t="s">
        <v>169</v>
      </c>
      <c r="F918" t="s">
        <v>559</v>
      </c>
      <c r="G918" t="s">
        <v>684</v>
      </c>
      <c r="H918">
        <v>0</v>
      </c>
      <c r="I918">
        <v>0</v>
      </c>
      <c r="J918">
        <v>0</v>
      </c>
      <c r="K918">
        <v>0</v>
      </c>
      <c r="L918">
        <v>0</v>
      </c>
      <c r="M918">
        <v>0</v>
      </c>
      <c r="N918">
        <v>0</v>
      </c>
      <c r="O918">
        <v>0</v>
      </c>
      <c r="P918">
        <v>0</v>
      </c>
      <c r="Q918">
        <v>0</v>
      </c>
      <c r="R918">
        <v>0</v>
      </c>
      <c r="S918">
        <v>0</v>
      </c>
      <c r="T918">
        <f t="shared" si="44"/>
        <v>0</v>
      </c>
      <c r="U918">
        <v>1</v>
      </c>
    </row>
    <row r="919" spans="1:21" x14ac:dyDescent="0.3">
      <c r="A919" t="str">
        <f t="shared" si="42"/>
        <v/>
      </c>
      <c r="B919" t="str">
        <f>IF(C919="","",COUNTIF($C$2:C919,C919))</f>
        <v/>
      </c>
      <c r="C919" t="str">
        <f t="shared" si="43"/>
        <v/>
      </c>
      <c r="D919" t="str">
        <f>VLOOKUP(G919,PathwayLookup!A:B,2,0)</f>
        <v>Short term domiciliary care (pathway 1)</v>
      </c>
      <c r="E919" t="s">
        <v>169</v>
      </c>
      <c r="F919" t="s">
        <v>651</v>
      </c>
      <c r="G919" t="s">
        <v>684</v>
      </c>
      <c r="H919">
        <v>0</v>
      </c>
      <c r="I919">
        <v>0</v>
      </c>
      <c r="J919">
        <v>0</v>
      </c>
      <c r="K919">
        <v>0</v>
      </c>
      <c r="L919">
        <v>0</v>
      </c>
      <c r="M919">
        <v>0</v>
      </c>
      <c r="N919">
        <v>0</v>
      </c>
      <c r="O919">
        <v>0</v>
      </c>
      <c r="P919">
        <v>0</v>
      </c>
      <c r="Q919">
        <v>0</v>
      </c>
      <c r="R919">
        <v>0</v>
      </c>
      <c r="S919">
        <v>0</v>
      </c>
      <c r="T919">
        <f t="shared" si="44"/>
        <v>0</v>
      </c>
      <c r="U919">
        <v>1</v>
      </c>
    </row>
    <row r="920" spans="1:21" x14ac:dyDescent="0.3">
      <c r="A920" t="str">
        <f t="shared" si="42"/>
        <v>HartlepoolReablement &amp; Rehabilitation in a bedded setting (pathway 2)1</v>
      </c>
      <c r="B920">
        <f>IF(C920="","",COUNTIF($C$2:C920,C920))</f>
        <v>1</v>
      </c>
      <c r="C920" t="str">
        <f t="shared" si="43"/>
        <v>HartlepoolReablement in a bedded setting (pathway 2)</v>
      </c>
      <c r="D920" t="str">
        <f>VLOOKUP(G920,PathwayLookup!A:B,2,0)</f>
        <v>Reablement &amp; Rehabilitation in a bedded setting (pathway 2)</v>
      </c>
      <c r="E920" t="s">
        <v>169</v>
      </c>
      <c r="F920" t="s">
        <v>559</v>
      </c>
      <c r="G920" t="s">
        <v>722</v>
      </c>
      <c r="H920">
        <v>35</v>
      </c>
      <c r="I920">
        <v>41</v>
      </c>
      <c r="J920">
        <v>36</v>
      </c>
      <c r="K920">
        <v>43</v>
      </c>
      <c r="L920">
        <v>44</v>
      </c>
      <c r="M920">
        <v>35</v>
      </c>
      <c r="N920">
        <v>41</v>
      </c>
      <c r="O920">
        <v>42</v>
      </c>
      <c r="P920">
        <v>55</v>
      </c>
      <c r="Q920">
        <v>52</v>
      </c>
      <c r="R920">
        <v>50</v>
      </c>
      <c r="S920">
        <v>50</v>
      </c>
      <c r="T920">
        <f t="shared" si="44"/>
        <v>524</v>
      </c>
      <c r="U920">
        <v>1</v>
      </c>
    </row>
    <row r="921" spans="1:21" x14ac:dyDescent="0.3">
      <c r="A921" t="str">
        <f t="shared" si="42"/>
        <v>HartlepoolReablement &amp; Rehabilitation in a bedded setting (pathway 2)2</v>
      </c>
      <c r="B921">
        <f>IF(C921="","",COUNTIF($C$2:C921,C921))</f>
        <v>2</v>
      </c>
      <c r="C921" t="str">
        <f t="shared" si="43"/>
        <v>HartlepoolReablement in a bedded setting (pathway 2)</v>
      </c>
      <c r="D921" t="str">
        <f>VLOOKUP(G921,PathwayLookup!A:B,2,0)</f>
        <v>Reablement &amp; Rehabilitation in a bedded setting (pathway 2)</v>
      </c>
      <c r="E921" t="s">
        <v>169</v>
      </c>
      <c r="F921" t="s">
        <v>651</v>
      </c>
      <c r="G921" t="s">
        <v>722</v>
      </c>
      <c r="H921">
        <v>2</v>
      </c>
      <c r="I921">
        <v>2</v>
      </c>
      <c r="J921">
        <v>2</v>
      </c>
      <c r="K921">
        <v>2</v>
      </c>
      <c r="L921">
        <v>2</v>
      </c>
      <c r="M921">
        <v>2</v>
      </c>
      <c r="N921">
        <v>2</v>
      </c>
      <c r="O921">
        <v>2</v>
      </c>
      <c r="P921">
        <v>2</v>
      </c>
      <c r="Q921">
        <v>2</v>
      </c>
      <c r="R921">
        <v>2</v>
      </c>
      <c r="S921">
        <v>2</v>
      </c>
      <c r="T921">
        <f t="shared" si="44"/>
        <v>24</v>
      </c>
      <c r="U921">
        <v>1</v>
      </c>
    </row>
    <row r="922" spans="1:21" x14ac:dyDescent="0.3">
      <c r="A922" t="str">
        <f t="shared" si="42"/>
        <v/>
      </c>
      <c r="B922" t="str">
        <f>IF(C922="","",COUNTIF($C$2:C922,C922))</f>
        <v/>
      </c>
      <c r="C922" t="str">
        <f t="shared" si="43"/>
        <v/>
      </c>
      <c r="D922" t="str">
        <f>VLOOKUP(G922,PathwayLookup!A:B,2,0)</f>
        <v>Reablement &amp; Rehabilitation in a bedded setting (pathway 2)</v>
      </c>
      <c r="E922" t="s">
        <v>169</v>
      </c>
      <c r="F922" t="s">
        <v>559</v>
      </c>
      <c r="G922" t="s">
        <v>724</v>
      </c>
      <c r="H922">
        <v>0</v>
      </c>
      <c r="I922">
        <v>0</v>
      </c>
      <c r="J922">
        <v>0</v>
      </c>
      <c r="K922">
        <v>0</v>
      </c>
      <c r="L922">
        <v>0</v>
      </c>
      <c r="M922">
        <v>0</v>
      </c>
      <c r="N922">
        <v>0</v>
      </c>
      <c r="O922">
        <v>0</v>
      </c>
      <c r="P922">
        <v>0</v>
      </c>
      <c r="Q922">
        <v>0</v>
      </c>
      <c r="R922">
        <v>0</v>
      </c>
      <c r="S922">
        <v>0</v>
      </c>
      <c r="T922">
        <f t="shared" si="44"/>
        <v>0</v>
      </c>
      <c r="U922">
        <v>1</v>
      </c>
    </row>
    <row r="923" spans="1:21" x14ac:dyDescent="0.3">
      <c r="A923" t="str">
        <f t="shared" si="42"/>
        <v/>
      </c>
      <c r="B923" t="str">
        <f>IF(C923="","",COUNTIF($C$2:C923,C923))</f>
        <v/>
      </c>
      <c r="C923" t="str">
        <f t="shared" si="43"/>
        <v/>
      </c>
      <c r="D923" t="str">
        <f>VLOOKUP(G923,PathwayLookup!A:B,2,0)</f>
        <v>Reablement &amp; Rehabilitation in a bedded setting (pathway 2)</v>
      </c>
      <c r="E923" t="s">
        <v>169</v>
      </c>
      <c r="F923" t="s">
        <v>651</v>
      </c>
      <c r="G923" t="s">
        <v>724</v>
      </c>
      <c r="H923">
        <v>0</v>
      </c>
      <c r="I923">
        <v>0</v>
      </c>
      <c r="J923">
        <v>0</v>
      </c>
      <c r="K923">
        <v>0</v>
      </c>
      <c r="L923">
        <v>0</v>
      </c>
      <c r="M923">
        <v>0</v>
      </c>
      <c r="N923">
        <v>0</v>
      </c>
      <c r="O923">
        <v>0</v>
      </c>
      <c r="P923">
        <v>0</v>
      </c>
      <c r="Q923">
        <v>0</v>
      </c>
      <c r="R923">
        <v>0</v>
      </c>
      <c r="S923">
        <v>0</v>
      </c>
      <c r="T923">
        <f t="shared" si="44"/>
        <v>0</v>
      </c>
      <c r="U923">
        <v>1</v>
      </c>
    </row>
    <row r="924" spans="1:21" x14ac:dyDescent="0.3">
      <c r="A924" t="str">
        <f t="shared" si="42"/>
        <v>HartlepoolShort-term residential/nursing care for someone likely to require a longer-term care home placement (pathway 3)1</v>
      </c>
      <c r="B924">
        <f>IF(C924="","",COUNTIF($C$2:C924,C924))</f>
        <v>1</v>
      </c>
      <c r="C924" t="str">
        <f t="shared" si="43"/>
        <v>HartlepoolShort-term residential/nursing care for someone likely to require a longer-term care home placement (pathway 3)</v>
      </c>
      <c r="D924" t="str">
        <f>VLOOKUP(G924,PathwayLookup!A:B,2,0)</f>
        <v>Short-term residential/nursing care for someone likely to require a longer-term care home placement (pathway 3)</v>
      </c>
      <c r="E924" t="s">
        <v>169</v>
      </c>
      <c r="F924" t="s">
        <v>559</v>
      </c>
      <c r="G924" t="s">
        <v>686</v>
      </c>
      <c r="H924">
        <v>19</v>
      </c>
      <c r="I924">
        <v>14</v>
      </c>
      <c r="J924">
        <v>7</v>
      </c>
      <c r="K924">
        <v>9</v>
      </c>
      <c r="L924">
        <v>6</v>
      </c>
      <c r="M924">
        <v>6</v>
      </c>
      <c r="N924">
        <v>10</v>
      </c>
      <c r="O924">
        <v>12</v>
      </c>
      <c r="P924">
        <v>9</v>
      </c>
      <c r="Q924">
        <v>13</v>
      </c>
      <c r="R924">
        <v>8</v>
      </c>
      <c r="S924">
        <v>18</v>
      </c>
      <c r="T924">
        <f t="shared" si="44"/>
        <v>131</v>
      </c>
      <c r="U924">
        <v>1</v>
      </c>
    </row>
    <row r="925" spans="1:21" x14ac:dyDescent="0.3">
      <c r="A925" t="str">
        <f t="shared" si="42"/>
        <v>HartlepoolShort-term residential/nursing care for someone likely to require a longer-term care home placement (pathway 3)2</v>
      </c>
      <c r="B925">
        <f>IF(C925="","",COUNTIF($C$2:C925,C925))</f>
        <v>2</v>
      </c>
      <c r="C925" t="str">
        <f t="shared" si="43"/>
        <v>HartlepoolShort-term residential/nursing care for someone likely to require a longer-term care home placement (pathway 3)</v>
      </c>
      <c r="D925" t="str">
        <f>VLOOKUP(G925,PathwayLookup!A:B,2,0)</f>
        <v>Short-term residential/nursing care for someone likely to require a longer-term care home placement (pathway 3)</v>
      </c>
      <c r="E925" t="s">
        <v>169</v>
      </c>
      <c r="F925" t="s">
        <v>651</v>
      </c>
      <c r="G925" t="s">
        <v>686</v>
      </c>
      <c r="H925">
        <v>6</v>
      </c>
      <c r="I925">
        <v>8</v>
      </c>
      <c r="J925">
        <v>8</v>
      </c>
      <c r="K925">
        <v>8</v>
      </c>
      <c r="L925">
        <v>7</v>
      </c>
      <c r="M925">
        <v>7</v>
      </c>
      <c r="N925">
        <v>8</v>
      </c>
      <c r="O925">
        <v>8</v>
      </c>
      <c r="P925">
        <v>8</v>
      </c>
      <c r="Q925">
        <v>8</v>
      </c>
      <c r="R925">
        <v>7</v>
      </c>
      <c r="S925">
        <v>8</v>
      </c>
      <c r="T925">
        <f t="shared" si="44"/>
        <v>91</v>
      </c>
      <c r="U925">
        <v>1</v>
      </c>
    </row>
    <row r="926" spans="1:21" x14ac:dyDescent="0.3">
      <c r="A926" t="str">
        <f t="shared" si="42"/>
        <v>HaveringSocial support (including VCS) (pathway 0)1</v>
      </c>
      <c r="B926">
        <f>IF(C926="","",COUNTIF($C$2:C926,C926))</f>
        <v>1</v>
      </c>
      <c r="C926" t="str">
        <f t="shared" si="43"/>
        <v>HaveringSocial support (including VCS) (pathway 0)</v>
      </c>
      <c r="D926" t="str">
        <f>VLOOKUP(G926,PathwayLookup!A:B,2,0)</f>
        <v>Social support (including VCS) (pathway 0)</v>
      </c>
      <c r="E926" t="s">
        <v>171</v>
      </c>
      <c r="F926" t="s">
        <v>453</v>
      </c>
      <c r="G926" t="s">
        <v>682</v>
      </c>
      <c r="H926">
        <v>55</v>
      </c>
      <c r="I926">
        <v>62</v>
      </c>
      <c r="J926">
        <v>76</v>
      </c>
      <c r="K926">
        <v>68</v>
      </c>
      <c r="L926">
        <v>73</v>
      </c>
      <c r="M926">
        <v>66</v>
      </c>
      <c r="N926">
        <v>51</v>
      </c>
      <c r="O926">
        <v>77</v>
      </c>
      <c r="P926">
        <v>59</v>
      </c>
      <c r="Q926">
        <v>56</v>
      </c>
      <c r="R926">
        <v>67</v>
      </c>
      <c r="S926">
        <v>67</v>
      </c>
      <c r="T926">
        <f t="shared" si="44"/>
        <v>777</v>
      </c>
      <c r="U926">
        <v>1</v>
      </c>
    </row>
    <row r="927" spans="1:21" x14ac:dyDescent="0.3">
      <c r="A927" t="str">
        <f t="shared" si="42"/>
        <v>HaveringReablement &amp; Rehabilitation at home  (pathway 1)1</v>
      </c>
      <c r="B927">
        <f>IF(C927="","",COUNTIF($C$2:C927,C927))</f>
        <v>1</v>
      </c>
      <c r="C927" t="str">
        <f t="shared" si="43"/>
        <v>HaveringReablement at home  (pathway 1)</v>
      </c>
      <c r="D927" t="str">
        <f>VLOOKUP(G927,PathwayLookup!A:B,2,0)</f>
        <v>Reablement &amp; Rehabilitation at home  (pathway 1)</v>
      </c>
      <c r="E927" t="s">
        <v>171</v>
      </c>
      <c r="F927" t="s">
        <v>453</v>
      </c>
      <c r="G927" t="s">
        <v>718</v>
      </c>
      <c r="H927">
        <v>108</v>
      </c>
      <c r="I927">
        <v>131</v>
      </c>
      <c r="J927">
        <v>100</v>
      </c>
      <c r="K927">
        <v>137</v>
      </c>
      <c r="L927">
        <v>108</v>
      </c>
      <c r="M927">
        <v>110</v>
      </c>
      <c r="N927">
        <v>96</v>
      </c>
      <c r="O927">
        <v>101</v>
      </c>
      <c r="P927">
        <v>110</v>
      </c>
      <c r="Q927">
        <v>121</v>
      </c>
      <c r="R927">
        <v>116</v>
      </c>
      <c r="S927">
        <v>138</v>
      </c>
      <c r="T927">
        <f t="shared" si="44"/>
        <v>1376</v>
      </c>
      <c r="U927">
        <v>1</v>
      </c>
    </row>
    <row r="928" spans="1:21" x14ac:dyDescent="0.3">
      <c r="A928" t="str">
        <f t="shared" si="42"/>
        <v>HaveringReablement &amp; Rehabilitation at home  (pathway 1)1</v>
      </c>
      <c r="B928">
        <f>IF(C928="","",COUNTIF($C$2:C928,C928))</f>
        <v>1</v>
      </c>
      <c r="C928" t="str">
        <f t="shared" si="43"/>
        <v>HaveringRehabilitation at home (pathway 1)</v>
      </c>
      <c r="D928" t="str">
        <f>VLOOKUP(G928,PathwayLookup!A:B,2,0)</f>
        <v>Reablement &amp; Rehabilitation at home  (pathway 1)</v>
      </c>
      <c r="E928" t="s">
        <v>171</v>
      </c>
      <c r="F928" t="s">
        <v>453</v>
      </c>
      <c r="G928" t="s">
        <v>719</v>
      </c>
      <c r="H928">
        <v>44</v>
      </c>
      <c r="I928">
        <v>32</v>
      </c>
      <c r="J928">
        <v>38</v>
      </c>
      <c r="K928">
        <v>30</v>
      </c>
      <c r="L928">
        <v>22</v>
      </c>
      <c r="M928">
        <v>20</v>
      </c>
      <c r="N928">
        <v>39</v>
      </c>
      <c r="O928">
        <v>39</v>
      </c>
      <c r="P928">
        <v>27</v>
      </c>
      <c r="Q928">
        <v>32</v>
      </c>
      <c r="R928">
        <v>35</v>
      </c>
      <c r="S928">
        <v>18.600000000000001</v>
      </c>
      <c r="T928">
        <f t="shared" si="44"/>
        <v>376.6</v>
      </c>
      <c r="U928">
        <v>1</v>
      </c>
    </row>
    <row r="929" spans="1:21" x14ac:dyDescent="0.3">
      <c r="A929" t="str">
        <f t="shared" si="42"/>
        <v>HaveringShort term domiciliary care (pathway 1)1</v>
      </c>
      <c r="B929">
        <f>IF(C929="","",COUNTIF($C$2:C929,C929))</f>
        <v>1</v>
      </c>
      <c r="C929" t="str">
        <f t="shared" si="43"/>
        <v>HaveringShort term domiciliary care (pathway 1)</v>
      </c>
      <c r="D929" t="str">
        <f>VLOOKUP(G929,PathwayLookup!A:B,2,0)</f>
        <v>Short term domiciliary care (pathway 1)</v>
      </c>
      <c r="E929" t="s">
        <v>171</v>
      </c>
      <c r="F929" t="s">
        <v>453</v>
      </c>
      <c r="G929" t="s">
        <v>684</v>
      </c>
      <c r="H929">
        <v>33</v>
      </c>
      <c r="I929">
        <v>26</v>
      </c>
      <c r="J929">
        <v>40</v>
      </c>
      <c r="K929">
        <v>24</v>
      </c>
      <c r="L929">
        <v>33</v>
      </c>
      <c r="M929">
        <v>33</v>
      </c>
      <c r="N929">
        <v>40</v>
      </c>
      <c r="O929">
        <v>37</v>
      </c>
      <c r="P929">
        <v>37</v>
      </c>
      <c r="Q929">
        <v>35</v>
      </c>
      <c r="R929">
        <v>37</v>
      </c>
      <c r="S929">
        <v>36</v>
      </c>
      <c r="T929">
        <f t="shared" si="44"/>
        <v>411</v>
      </c>
      <c r="U929">
        <v>1</v>
      </c>
    </row>
    <row r="930" spans="1:21" x14ac:dyDescent="0.3">
      <c r="A930" t="str">
        <f t="shared" si="42"/>
        <v>HaveringReablement &amp; Rehabilitation in a bedded setting (pathway 2)1</v>
      </c>
      <c r="B930">
        <f>IF(C930="","",COUNTIF($C$2:C930,C930))</f>
        <v>1</v>
      </c>
      <c r="C930" t="str">
        <f t="shared" si="43"/>
        <v>HaveringReablement in a bedded setting (pathway 2)</v>
      </c>
      <c r="D930" t="str">
        <f>VLOOKUP(G930,PathwayLookup!A:B,2,0)</f>
        <v>Reablement &amp; Rehabilitation in a bedded setting (pathway 2)</v>
      </c>
      <c r="E930" t="s">
        <v>171</v>
      </c>
      <c r="F930" t="s">
        <v>453</v>
      </c>
      <c r="G930" t="s">
        <v>722</v>
      </c>
      <c r="H930">
        <v>8</v>
      </c>
      <c r="I930">
        <v>9</v>
      </c>
      <c r="J930">
        <v>8</v>
      </c>
      <c r="K930">
        <v>7</v>
      </c>
      <c r="L930">
        <v>7</v>
      </c>
      <c r="M930">
        <v>6</v>
      </c>
      <c r="N930">
        <v>4</v>
      </c>
      <c r="O930">
        <v>4</v>
      </c>
      <c r="P930">
        <v>6</v>
      </c>
      <c r="Q930">
        <v>7</v>
      </c>
      <c r="R930">
        <v>7</v>
      </c>
      <c r="S930">
        <v>8</v>
      </c>
      <c r="T930">
        <f t="shared" si="44"/>
        <v>81</v>
      </c>
      <c r="U930">
        <v>1</v>
      </c>
    </row>
    <row r="931" spans="1:21" x14ac:dyDescent="0.3">
      <c r="A931" t="str">
        <f t="shared" si="42"/>
        <v>HaveringReablement &amp; Rehabilitation in a bedded setting (pathway 2)1</v>
      </c>
      <c r="B931">
        <f>IF(C931="","",COUNTIF($C$2:C931,C931))</f>
        <v>1</v>
      </c>
      <c r="C931" t="str">
        <f t="shared" si="43"/>
        <v>HaveringRehabilitation in a bedded setting (pathway 2)</v>
      </c>
      <c r="D931" t="str">
        <f>VLOOKUP(G931,PathwayLookup!A:B,2,0)</f>
        <v>Reablement &amp; Rehabilitation in a bedded setting (pathway 2)</v>
      </c>
      <c r="E931" t="s">
        <v>171</v>
      </c>
      <c r="F931" t="s">
        <v>453</v>
      </c>
      <c r="G931" t="s">
        <v>724</v>
      </c>
      <c r="H931">
        <v>34</v>
      </c>
      <c r="I931">
        <v>31</v>
      </c>
      <c r="J931">
        <v>31</v>
      </c>
      <c r="K931">
        <v>31</v>
      </c>
      <c r="L931">
        <v>31</v>
      </c>
      <c r="M931">
        <v>31</v>
      </c>
      <c r="N931">
        <v>31</v>
      </c>
      <c r="O931">
        <v>34</v>
      </c>
      <c r="P931">
        <v>34</v>
      </c>
      <c r="Q931">
        <v>34</v>
      </c>
      <c r="R931">
        <v>34</v>
      </c>
      <c r="S931">
        <v>34</v>
      </c>
      <c r="T931">
        <f t="shared" si="44"/>
        <v>390</v>
      </c>
      <c r="U931">
        <v>1</v>
      </c>
    </row>
    <row r="932" spans="1:21" x14ac:dyDescent="0.3">
      <c r="A932" t="str">
        <f t="shared" si="42"/>
        <v>HaveringShort-term residential/nursing care for someone likely to require a longer-term care home placement (pathway 3)1</v>
      </c>
      <c r="B932">
        <f>IF(C932="","",COUNTIF($C$2:C932,C932))</f>
        <v>1</v>
      </c>
      <c r="C932" t="str">
        <f t="shared" si="43"/>
        <v>HaveringShort-term residential/nursing care for someone likely to require a longer-term care home placement (pathway 3)</v>
      </c>
      <c r="D932" t="str">
        <f>VLOOKUP(G932,PathwayLookup!A:B,2,0)</f>
        <v>Short-term residential/nursing care for someone likely to require a longer-term care home placement (pathway 3)</v>
      </c>
      <c r="E932" t="s">
        <v>171</v>
      </c>
      <c r="F932" t="s">
        <v>453</v>
      </c>
      <c r="G932" t="s">
        <v>686</v>
      </c>
      <c r="H932">
        <v>17</v>
      </c>
      <c r="I932">
        <v>14</v>
      </c>
      <c r="J932">
        <v>14</v>
      </c>
      <c r="K932">
        <v>22</v>
      </c>
      <c r="L932">
        <v>12</v>
      </c>
      <c r="M932">
        <v>11</v>
      </c>
      <c r="N932">
        <v>14</v>
      </c>
      <c r="O932">
        <v>11</v>
      </c>
      <c r="P932">
        <v>14</v>
      </c>
      <c r="Q932">
        <v>14</v>
      </c>
      <c r="R932">
        <v>10</v>
      </c>
      <c r="S932">
        <v>11</v>
      </c>
      <c r="T932">
        <f t="shared" si="44"/>
        <v>164</v>
      </c>
      <c r="U932">
        <v>1</v>
      </c>
    </row>
    <row r="933" spans="1:21" x14ac:dyDescent="0.3">
      <c r="A933" t="str">
        <f t="shared" si="42"/>
        <v>Herefordshire, County ofSocial support (including VCS) (pathway 0)1</v>
      </c>
      <c r="B933">
        <f>IF(C933="","",COUNTIF($C$2:C933,C933))</f>
        <v>1</v>
      </c>
      <c r="C933" t="str">
        <f t="shared" si="43"/>
        <v>Herefordshire, County ofSocial support (including VCS) (pathway 0)</v>
      </c>
      <c r="D933" t="str">
        <f>VLOOKUP(G933,PathwayLookup!A:B,2,0)</f>
        <v>Social support (including VCS) (pathway 0)</v>
      </c>
      <c r="E933" t="s">
        <v>173</v>
      </c>
      <c r="F933" t="s">
        <v>648</v>
      </c>
      <c r="G933" t="s">
        <v>682</v>
      </c>
      <c r="H933">
        <v>70.240000000000009</v>
      </c>
      <c r="I933">
        <v>53.92</v>
      </c>
      <c r="J933">
        <v>55.04</v>
      </c>
      <c r="K933">
        <v>42.64</v>
      </c>
      <c r="L933">
        <v>60.04</v>
      </c>
      <c r="M933">
        <v>70.92</v>
      </c>
      <c r="N933">
        <v>58.36</v>
      </c>
      <c r="O933">
        <v>55.36</v>
      </c>
      <c r="P933">
        <v>52.879999999999995</v>
      </c>
      <c r="Q933">
        <v>44.96</v>
      </c>
      <c r="R933">
        <v>47.32</v>
      </c>
      <c r="S933">
        <v>52.400000000000006</v>
      </c>
      <c r="T933">
        <f t="shared" si="44"/>
        <v>664.08000000000015</v>
      </c>
      <c r="U933">
        <v>1</v>
      </c>
    </row>
    <row r="934" spans="1:21" x14ac:dyDescent="0.3">
      <c r="A934" t="str">
        <f t="shared" si="42"/>
        <v>Herefordshire, County ofReablement &amp; Rehabilitation at home  (pathway 1)1</v>
      </c>
      <c r="B934">
        <f>IF(C934="","",COUNTIF($C$2:C934,C934))</f>
        <v>1</v>
      </c>
      <c r="C934" t="str">
        <f t="shared" si="43"/>
        <v>Herefordshire, County ofReablement at home  (pathway 1)</v>
      </c>
      <c r="D934" t="str">
        <f>VLOOKUP(G934,PathwayLookup!A:B,2,0)</f>
        <v>Reablement &amp; Rehabilitation at home  (pathway 1)</v>
      </c>
      <c r="E934" t="s">
        <v>173</v>
      </c>
      <c r="F934" t="s">
        <v>648</v>
      </c>
      <c r="G934" t="s">
        <v>718</v>
      </c>
      <c r="H934">
        <v>58.76</v>
      </c>
      <c r="I934">
        <v>55.08</v>
      </c>
      <c r="J934">
        <v>48.96</v>
      </c>
      <c r="K934">
        <v>35.36</v>
      </c>
      <c r="L934">
        <v>48.96</v>
      </c>
      <c r="M934">
        <v>56.08</v>
      </c>
      <c r="N934">
        <v>49.64</v>
      </c>
      <c r="O934">
        <v>51.64</v>
      </c>
      <c r="P934">
        <v>57.120000000000005</v>
      </c>
      <c r="Q934">
        <v>38.04</v>
      </c>
      <c r="R934">
        <v>52.68</v>
      </c>
      <c r="S934">
        <v>47.599999999999994</v>
      </c>
      <c r="T934">
        <f t="shared" si="44"/>
        <v>599.92000000000007</v>
      </c>
      <c r="U934">
        <v>1</v>
      </c>
    </row>
    <row r="935" spans="1:21" x14ac:dyDescent="0.3">
      <c r="A935" t="str">
        <f t="shared" si="42"/>
        <v>Herefordshire, County ofReablement &amp; Rehabilitation at home  (pathway 1)1</v>
      </c>
      <c r="B935">
        <f>IF(C935="","",COUNTIF($C$2:C935,C935))</f>
        <v>1</v>
      </c>
      <c r="C935" t="str">
        <f t="shared" si="43"/>
        <v>Herefordshire, County ofRehabilitation at home (pathway 1)</v>
      </c>
      <c r="D935" t="str">
        <f>VLOOKUP(G935,PathwayLookup!A:B,2,0)</f>
        <v>Reablement &amp; Rehabilitation at home  (pathway 1)</v>
      </c>
      <c r="E935" t="s">
        <v>173</v>
      </c>
      <c r="F935" t="s">
        <v>648</v>
      </c>
      <c r="G935" t="s">
        <v>719</v>
      </c>
      <c r="H935">
        <v>10</v>
      </c>
      <c r="I935">
        <v>15</v>
      </c>
      <c r="J935">
        <v>10</v>
      </c>
      <c r="K935">
        <v>22</v>
      </c>
      <c r="L935">
        <v>13</v>
      </c>
      <c r="M935">
        <v>10</v>
      </c>
      <c r="N935">
        <v>12</v>
      </c>
      <c r="O935">
        <v>15</v>
      </c>
      <c r="P935">
        <v>11</v>
      </c>
      <c r="Q935">
        <v>7</v>
      </c>
      <c r="R935">
        <v>9</v>
      </c>
      <c r="S935">
        <v>7</v>
      </c>
      <c r="T935">
        <f t="shared" si="44"/>
        <v>141</v>
      </c>
      <c r="U935">
        <v>1</v>
      </c>
    </row>
    <row r="936" spans="1:21" x14ac:dyDescent="0.3">
      <c r="A936" t="str">
        <f t="shared" si="42"/>
        <v>Herefordshire, County ofReablement &amp; Rehabilitation in a bedded setting (pathway 2)1</v>
      </c>
      <c r="B936">
        <f>IF(C936="","",COUNTIF($C$2:C936,C936))</f>
        <v>1</v>
      </c>
      <c r="C936" t="str">
        <f t="shared" si="43"/>
        <v>Herefordshire, County ofReablement in a bedded setting (pathway 2)</v>
      </c>
      <c r="D936" t="str">
        <f>VLOOKUP(G936,PathwayLookup!A:B,2,0)</f>
        <v>Reablement &amp; Rehabilitation in a bedded setting (pathway 2)</v>
      </c>
      <c r="E936" t="s">
        <v>173</v>
      </c>
      <c r="F936" t="s">
        <v>648</v>
      </c>
      <c r="G936" t="s">
        <v>722</v>
      </c>
      <c r="H936">
        <v>7.370000000000001</v>
      </c>
      <c r="I936">
        <v>7.370000000000001</v>
      </c>
      <c r="J936">
        <v>8.2959999999999994</v>
      </c>
      <c r="K936">
        <v>8.0160000000000018</v>
      </c>
      <c r="L936">
        <v>6.5139999999999993</v>
      </c>
      <c r="M936">
        <v>8.8719999999999999</v>
      </c>
      <c r="N936">
        <v>6.6539999999999999</v>
      </c>
      <c r="O936">
        <v>5.9380000000000006</v>
      </c>
      <c r="P936">
        <v>4.4359999999999999</v>
      </c>
      <c r="Q936">
        <v>7.3</v>
      </c>
      <c r="R936">
        <v>7.23</v>
      </c>
      <c r="S936">
        <v>2.8639999999999999</v>
      </c>
      <c r="T936">
        <f t="shared" si="44"/>
        <v>80.860000000000014</v>
      </c>
      <c r="U936">
        <v>1</v>
      </c>
    </row>
    <row r="937" spans="1:21" x14ac:dyDescent="0.3">
      <c r="A937" t="str">
        <f t="shared" si="42"/>
        <v>Herefordshire, County ofReablement &amp; Rehabilitation in a bedded setting (pathway 2)1</v>
      </c>
      <c r="B937">
        <f>IF(C937="","",COUNTIF($C$2:C937,C937))</f>
        <v>1</v>
      </c>
      <c r="C937" t="str">
        <f t="shared" si="43"/>
        <v>Herefordshire, County ofRehabilitation in a bedded setting (pathway 2)</v>
      </c>
      <c r="D937" t="str">
        <f>VLOOKUP(G937,PathwayLookup!A:B,2,0)</f>
        <v>Reablement &amp; Rehabilitation in a bedded setting (pathway 2)</v>
      </c>
      <c r="E937" t="s">
        <v>173</v>
      </c>
      <c r="F937" t="s">
        <v>648</v>
      </c>
      <c r="G937" t="s">
        <v>724</v>
      </c>
      <c r="H937">
        <v>22.637</v>
      </c>
      <c r="I937">
        <v>18.262</v>
      </c>
      <c r="J937">
        <v>20.444000000000003</v>
      </c>
      <c r="K937">
        <v>21.069000000000003</v>
      </c>
      <c r="L937">
        <v>23.103000000000002</v>
      </c>
      <c r="M937">
        <v>18.367999999999999</v>
      </c>
      <c r="N937">
        <v>19.364000000000001</v>
      </c>
      <c r="O937">
        <v>21.747</v>
      </c>
      <c r="P937">
        <v>19.565000000000001</v>
      </c>
      <c r="Q937">
        <v>26.334</v>
      </c>
      <c r="R937">
        <v>30.02</v>
      </c>
      <c r="S937">
        <v>24.724</v>
      </c>
      <c r="T937">
        <f t="shared" si="44"/>
        <v>265.63700000000006</v>
      </c>
      <c r="U937">
        <v>1</v>
      </c>
    </row>
    <row r="938" spans="1:21" x14ac:dyDescent="0.3">
      <c r="A938" t="str">
        <f t="shared" si="42"/>
        <v/>
      </c>
      <c r="B938" t="str">
        <f>IF(C938="","",COUNTIF($C$2:C938,C938))</f>
        <v/>
      </c>
      <c r="C938" t="str">
        <f t="shared" si="43"/>
        <v/>
      </c>
      <c r="D938" t="str">
        <f>VLOOKUP(G938,PathwayLookup!A:B,2,0)</f>
        <v>Short term domiciliary care (pathway 1)</v>
      </c>
      <c r="E938" t="s">
        <v>173</v>
      </c>
      <c r="F938" t="s">
        <v>648</v>
      </c>
      <c r="G938" t="s">
        <v>684</v>
      </c>
      <c r="H938">
        <v>0</v>
      </c>
      <c r="I938">
        <v>0</v>
      </c>
      <c r="J938">
        <v>0</v>
      </c>
      <c r="K938">
        <v>0</v>
      </c>
      <c r="L938">
        <v>0</v>
      </c>
      <c r="M938">
        <v>0</v>
      </c>
      <c r="N938">
        <v>0</v>
      </c>
      <c r="O938">
        <v>0</v>
      </c>
      <c r="P938">
        <v>0</v>
      </c>
      <c r="Q938">
        <v>0</v>
      </c>
      <c r="R938">
        <v>0</v>
      </c>
      <c r="S938">
        <v>0</v>
      </c>
      <c r="T938">
        <f t="shared" si="44"/>
        <v>0</v>
      </c>
      <c r="U938">
        <v>1</v>
      </c>
    </row>
    <row r="939" spans="1:21" x14ac:dyDescent="0.3">
      <c r="A939" t="str">
        <f t="shared" si="42"/>
        <v>Herefordshire, County ofShort-term residential/nursing care for someone likely to require a longer-term care home placement (pathway 3)1</v>
      </c>
      <c r="B939">
        <f>IF(C939="","",COUNTIF($C$2:C939,C939))</f>
        <v>1</v>
      </c>
      <c r="C939" t="str">
        <f t="shared" si="43"/>
        <v>Herefordshire, County ofShort-term residential/nursing care for someone likely to require a longer-term care home placement (pathway 3)</v>
      </c>
      <c r="D939" t="str">
        <f>VLOOKUP(G939,PathwayLookup!A:B,2,0)</f>
        <v>Short-term residential/nursing care for someone likely to require a longer-term care home placement (pathway 3)</v>
      </c>
      <c r="E939" t="s">
        <v>173</v>
      </c>
      <c r="F939" t="s">
        <v>648</v>
      </c>
      <c r="G939" t="s">
        <v>686</v>
      </c>
      <c r="H939">
        <v>17.992999999999999</v>
      </c>
      <c r="I939">
        <v>15.368</v>
      </c>
      <c r="J939">
        <v>17.259999999999998</v>
      </c>
      <c r="K939">
        <v>17.914999999999999</v>
      </c>
      <c r="L939">
        <v>18.382999999999999</v>
      </c>
      <c r="M939">
        <v>15.76</v>
      </c>
      <c r="N939">
        <v>14.981999999999999</v>
      </c>
      <c r="O939">
        <v>17.314999999999998</v>
      </c>
      <c r="P939">
        <v>14.999000000000001</v>
      </c>
      <c r="Q939">
        <v>20.366</v>
      </c>
      <c r="R939">
        <v>23.75</v>
      </c>
      <c r="S939">
        <v>17.411999999999999</v>
      </c>
      <c r="T939">
        <f t="shared" si="44"/>
        <v>211.50300000000001</v>
      </c>
      <c r="U939">
        <v>1</v>
      </c>
    </row>
    <row r="940" spans="1:21" x14ac:dyDescent="0.3">
      <c r="A940" t="str">
        <f t="shared" si="42"/>
        <v>HertfordshireSocial support (including VCS) (pathway 0)1</v>
      </c>
      <c r="B940">
        <f>IF(C940="","",COUNTIF($C$2:C940,C940))</f>
        <v>1</v>
      </c>
      <c r="C940" t="str">
        <f t="shared" si="43"/>
        <v>HertfordshireSocial support (including VCS) (pathway 0)</v>
      </c>
      <c r="D940" t="str">
        <f>VLOOKUP(G940,PathwayLookup!A:B,2,0)</f>
        <v>Social support (including VCS) (pathway 0)</v>
      </c>
      <c r="E940" t="s">
        <v>175</v>
      </c>
      <c r="F940" t="s">
        <v>493</v>
      </c>
      <c r="G940" t="s">
        <v>682</v>
      </c>
      <c r="H940">
        <v>1659</v>
      </c>
      <c r="I940">
        <v>1712</v>
      </c>
      <c r="J940">
        <v>1659</v>
      </c>
      <c r="K940">
        <v>1712</v>
      </c>
      <c r="L940">
        <v>1712</v>
      </c>
      <c r="M940">
        <v>1659</v>
      </c>
      <c r="N940">
        <v>1712</v>
      </c>
      <c r="O940">
        <v>1659</v>
      </c>
      <c r="P940">
        <v>1712</v>
      </c>
      <c r="Q940">
        <v>1712</v>
      </c>
      <c r="R940">
        <v>1607</v>
      </c>
      <c r="S940">
        <v>1712</v>
      </c>
      <c r="T940">
        <f t="shared" si="44"/>
        <v>20227</v>
      </c>
      <c r="U940">
        <v>1</v>
      </c>
    </row>
    <row r="941" spans="1:21" x14ac:dyDescent="0.3">
      <c r="A941" t="str">
        <f t="shared" si="42"/>
        <v>HertfordshireSocial support (including VCS) (pathway 0)2</v>
      </c>
      <c r="B941">
        <f>IF(C941="","",COUNTIF($C$2:C941,C941))</f>
        <v>2</v>
      </c>
      <c r="C941" t="str">
        <f t="shared" si="43"/>
        <v>HertfordshireSocial support (including VCS) (pathway 0)</v>
      </c>
      <c r="D941" t="str">
        <f>VLOOKUP(G941,PathwayLookup!A:B,2,0)</f>
        <v>Social support (including VCS) (pathway 0)</v>
      </c>
      <c r="E941" t="s">
        <v>175</v>
      </c>
      <c r="F941" t="s">
        <v>615</v>
      </c>
      <c r="G941" t="s">
        <v>682</v>
      </c>
      <c r="H941">
        <v>64</v>
      </c>
      <c r="I941">
        <v>66</v>
      </c>
      <c r="J941">
        <v>64</v>
      </c>
      <c r="K941">
        <v>66</v>
      </c>
      <c r="L941">
        <v>66</v>
      </c>
      <c r="M941">
        <v>64</v>
      </c>
      <c r="N941">
        <v>66</v>
      </c>
      <c r="O941">
        <v>64</v>
      </c>
      <c r="P941">
        <v>66</v>
      </c>
      <c r="Q941">
        <v>66</v>
      </c>
      <c r="R941">
        <v>62</v>
      </c>
      <c r="S941">
        <v>66</v>
      </c>
      <c r="T941">
        <f t="shared" si="44"/>
        <v>780</v>
      </c>
      <c r="U941">
        <v>1</v>
      </c>
    </row>
    <row r="942" spans="1:21" x14ac:dyDescent="0.3">
      <c r="A942" t="str">
        <f t="shared" si="42"/>
        <v>HertfordshireSocial support (including VCS) (pathway 0)3</v>
      </c>
      <c r="B942">
        <f>IF(C942="","",COUNTIF($C$2:C942,C942))</f>
        <v>3</v>
      </c>
      <c r="C942" t="str">
        <f t="shared" si="43"/>
        <v>HertfordshireSocial support (including VCS) (pathway 0)</v>
      </c>
      <c r="D942" t="str">
        <f>VLOOKUP(G942,PathwayLookup!A:B,2,0)</f>
        <v>Social support (including VCS) (pathway 0)</v>
      </c>
      <c r="E942" t="s">
        <v>175</v>
      </c>
      <c r="F942" t="s">
        <v>640</v>
      </c>
      <c r="G942" t="s">
        <v>682</v>
      </c>
      <c r="H942">
        <v>2590</v>
      </c>
      <c r="I942">
        <v>2673</v>
      </c>
      <c r="J942">
        <v>2590</v>
      </c>
      <c r="K942">
        <v>2673</v>
      </c>
      <c r="L942">
        <v>2673</v>
      </c>
      <c r="M942">
        <v>2590</v>
      </c>
      <c r="N942">
        <v>2673</v>
      </c>
      <c r="O942">
        <v>2590</v>
      </c>
      <c r="P942">
        <v>2673</v>
      </c>
      <c r="Q942">
        <v>2673</v>
      </c>
      <c r="R942">
        <v>2506</v>
      </c>
      <c r="S942">
        <v>2673</v>
      </c>
      <c r="T942">
        <f t="shared" si="44"/>
        <v>31577</v>
      </c>
      <c r="U942">
        <v>1</v>
      </c>
    </row>
    <row r="943" spans="1:21" x14ac:dyDescent="0.3">
      <c r="A943" t="str">
        <f t="shared" si="42"/>
        <v/>
      </c>
      <c r="B943" t="str">
        <f>IF(C943="","",COUNTIF($C$2:C943,C943))</f>
        <v/>
      </c>
      <c r="C943" t="str">
        <f t="shared" si="43"/>
        <v/>
      </c>
      <c r="D943" t="str">
        <f>VLOOKUP(G943,PathwayLookup!A:B,2,0)</f>
        <v>Social support (including VCS) (pathway 0)</v>
      </c>
      <c r="E943" t="s">
        <v>175</v>
      </c>
      <c r="F943" t="s">
        <v>651</v>
      </c>
      <c r="G943" t="s">
        <v>682</v>
      </c>
      <c r="H943">
        <v>0</v>
      </c>
      <c r="I943">
        <v>0</v>
      </c>
      <c r="J943">
        <v>0</v>
      </c>
      <c r="K943">
        <v>0</v>
      </c>
      <c r="L943">
        <v>0</v>
      </c>
      <c r="M943">
        <v>0</v>
      </c>
      <c r="N943">
        <v>0</v>
      </c>
      <c r="O943">
        <v>0</v>
      </c>
      <c r="P943">
        <v>0</v>
      </c>
      <c r="Q943">
        <v>0</v>
      </c>
      <c r="R943">
        <v>0</v>
      </c>
      <c r="S943">
        <v>0</v>
      </c>
      <c r="T943">
        <f t="shared" si="44"/>
        <v>0</v>
      </c>
      <c r="U943">
        <v>1</v>
      </c>
    </row>
    <row r="944" spans="1:21" x14ac:dyDescent="0.3">
      <c r="A944" t="str">
        <f t="shared" si="42"/>
        <v>HertfordshireReablement &amp; Rehabilitation at home  (pathway 1)1</v>
      </c>
      <c r="B944">
        <f>IF(C944="","",COUNTIF($C$2:C944,C944))</f>
        <v>1</v>
      </c>
      <c r="C944" t="str">
        <f t="shared" si="43"/>
        <v>HertfordshireReablement at home  (pathway 1)</v>
      </c>
      <c r="D944" t="str">
        <f>VLOOKUP(G944,PathwayLookup!A:B,2,0)</f>
        <v>Reablement &amp; Rehabilitation at home  (pathway 1)</v>
      </c>
      <c r="E944" t="s">
        <v>175</v>
      </c>
      <c r="F944" t="s">
        <v>493</v>
      </c>
      <c r="G944" t="s">
        <v>718</v>
      </c>
      <c r="H944">
        <v>134</v>
      </c>
      <c r="I944">
        <v>138</v>
      </c>
      <c r="J944">
        <v>134</v>
      </c>
      <c r="K944">
        <v>138</v>
      </c>
      <c r="L944">
        <v>138</v>
      </c>
      <c r="M944">
        <v>134</v>
      </c>
      <c r="N944">
        <v>138</v>
      </c>
      <c r="O944">
        <v>134</v>
      </c>
      <c r="P944">
        <v>138</v>
      </c>
      <c r="Q944">
        <v>138</v>
      </c>
      <c r="R944">
        <v>130</v>
      </c>
      <c r="S944">
        <v>138</v>
      </c>
      <c r="T944">
        <f t="shared" si="44"/>
        <v>1632</v>
      </c>
      <c r="U944">
        <v>1</v>
      </c>
    </row>
    <row r="945" spans="1:21" x14ac:dyDescent="0.3">
      <c r="A945" t="str">
        <f t="shared" si="42"/>
        <v>HertfordshireReablement &amp; Rehabilitation at home  (pathway 1)2</v>
      </c>
      <c r="B945">
        <f>IF(C945="","",COUNTIF($C$2:C945,C945))</f>
        <v>2</v>
      </c>
      <c r="C945" t="str">
        <f t="shared" si="43"/>
        <v>HertfordshireReablement at home  (pathway 1)</v>
      </c>
      <c r="D945" t="str">
        <f>VLOOKUP(G945,PathwayLookup!A:B,2,0)</f>
        <v>Reablement &amp; Rehabilitation at home  (pathway 1)</v>
      </c>
      <c r="E945" t="s">
        <v>175</v>
      </c>
      <c r="F945" t="s">
        <v>615</v>
      </c>
      <c r="G945" t="s">
        <v>718</v>
      </c>
      <c r="H945">
        <v>55</v>
      </c>
      <c r="I945">
        <v>57</v>
      </c>
      <c r="J945">
        <v>55</v>
      </c>
      <c r="K945">
        <v>57</v>
      </c>
      <c r="L945">
        <v>57</v>
      </c>
      <c r="M945">
        <v>55</v>
      </c>
      <c r="N945">
        <v>57</v>
      </c>
      <c r="O945">
        <v>55</v>
      </c>
      <c r="P945">
        <v>57</v>
      </c>
      <c r="Q945">
        <v>57</v>
      </c>
      <c r="R945">
        <v>53</v>
      </c>
      <c r="S945">
        <v>57</v>
      </c>
      <c r="T945">
        <f t="shared" si="44"/>
        <v>672</v>
      </c>
      <c r="U945">
        <v>1</v>
      </c>
    </row>
    <row r="946" spans="1:21" x14ac:dyDescent="0.3">
      <c r="A946" t="str">
        <f t="shared" si="42"/>
        <v>HertfordshireReablement &amp; Rehabilitation at home  (pathway 1)3</v>
      </c>
      <c r="B946">
        <f>IF(C946="","",COUNTIF($C$2:C946,C946))</f>
        <v>3</v>
      </c>
      <c r="C946" t="str">
        <f t="shared" si="43"/>
        <v>HertfordshireReablement at home  (pathway 1)</v>
      </c>
      <c r="D946" t="str">
        <f>VLOOKUP(G946,PathwayLookup!A:B,2,0)</f>
        <v>Reablement &amp; Rehabilitation at home  (pathway 1)</v>
      </c>
      <c r="E946" t="s">
        <v>175</v>
      </c>
      <c r="F946" t="s">
        <v>640</v>
      </c>
      <c r="G946" t="s">
        <v>718</v>
      </c>
      <c r="H946">
        <v>168</v>
      </c>
      <c r="I946">
        <v>173</v>
      </c>
      <c r="J946">
        <v>168</v>
      </c>
      <c r="K946">
        <v>173</v>
      </c>
      <c r="L946">
        <v>173</v>
      </c>
      <c r="M946">
        <v>168</v>
      </c>
      <c r="N946">
        <v>173</v>
      </c>
      <c r="O946">
        <v>168</v>
      </c>
      <c r="P946">
        <v>173</v>
      </c>
      <c r="Q946">
        <v>173</v>
      </c>
      <c r="R946">
        <v>162</v>
      </c>
      <c r="S946">
        <v>173</v>
      </c>
      <c r="T946">
        <f t="shared" si="44"/>
        <v>2045</v>
      </c>
      <c r="U946">
        <v>1</v>
      </c>
    </row>
    <row r="947" spans="1:21" x14ac:dyDescent="0.3">
      <c r="A947" t="str">
        <f t="shared" si="42"/>
        <v>HertfordshireReablement &amp; Rehabilitation at home  (pathway 1)4</v>
      </c>
      <c r="B947">
        <f>IF(C947="","",COUNTIF($C$2:C947,C947))</f>
        <v>4</v>
      </c>
      <c r="C947" t="str">
        <f t="shared" si="43"/>
        <v>HertfordshireReablement at home  (pathway 1)</v>
      </c>
      <c r="D947" t="str">
        <f>VLOOKUP(G947,PathwayLookup!A:B,2,0)</f>
        <v>Reablement &amp; Rehabilitation at home  (pathway 1)</v>
      </c>
      <c r="E947" t="s">
        <v>175</v>
      </c>
      <c r="F947" t="s">
        <v>651</v>
      </c>
      <c r="G947" t="s">
        <v>718</v>
      </c>
      <c r="H947">
        <v>25</v>
      </c>
      <c r="I947">
        <v>25</v>
      </c>
      <c r="J947">
        <v>25</v>
      </c>
      <c r="K947">
        <v>25</v>
      </c>
      <c r="L947">
        <v>25</v>
      </c>
      <c r="M947">
        <v>25</v>
      </c>
      <c r="N947">
        <v>25</v>
      </c>
      <c r="O947">
        <v>25</v>
      </c>
      <c r="P947">
        <v>25</v>
      </c>
      <c r="Q947">
        <v>25</v>
      </c>
      <c r="R947">
        <v>25</v>
      </c>
      <c r="S947">
        <v>25</v>
      </c>
      <c r="T947">
        <f t="shared" si="44"/>
        <v>300</v>
      </c>
      <c r="U947">
        <v>1</v>
      </c>
    </row>
    <row r="948" spans="1:21" x14ac:dyDescent="0.3">
      <c r="A948" t="str">
        <f t="shared" si="42"/>
        <v>HertfordshireReablement &amp; Rehabilitation at home  (pathway 1)1</v>
      </c>
      <c r="B948">
        <f>IF(C948="","",COUNTIF($C$2:C948,C948))</f>
        <v>1</v>
      </c>
      <c r="C948" t="str">
        <f t="shared" si="43"/>
        <v>HertfordshireRehabilitation at home (pathway 1)</v>
      </c>
      <c r="D948" t="str">
        <f>VLOOKUP(G948,PathwayLookup!A:B,2,0)</f>
        <v>Reablement &amp; Rehabilitation at home  (pathway 1)</v>
      </c>
      <c r="E948" t="s">
        <v>175</v>
      </c>
      <c r="F948" t="s">
        <v>493</v>
      </c>
      <c r="G948" t="s">
        <v>719</v>
      </c>
      <c r="H948">
        <v>129</v>
      </c>
      <c r="I948">
        <v>133</v>
      </c>
      <c r="J948">
        <v>129</v>
      </c>
      <c r="K948">
        <v>133</v>
      </c>
      <c r="L948">
        <v>133</v>
      </c>
      <c r="M948">
        <v>129</v>
      </c>
      <c r="N948">
        <v>133</v>
      </c>
      <c r="O948">
        <v>129</v>
      </c>
      <c r="P948">
        <v>133</v>
      </c>
      <c r="Q948">
        <v>133</v>
      </c>
      <c r="R948">
        <v>125</v>
      </c>
      <c r="S948">
        <v>133</v>
      </c>
      <c r="T948">
        <f t="shared" si="44"/>
        <v>1572</v>
      </c>
      <c r="U948">
        <v>1</v>
      </c>
    </row>
    <row r="949" spans="1:21" x14ac:dyDescent="0.3">
      <c r="A949" t="str">
        <f t="shared" si="42"/>
        <v>HertfordshireReablement &amp; Rehabilitation at home  (pathway 1)2</v>
      </c>
      <c r="B949">
        <f>IF(C949="","",COUNTIF($C$2:C949,C949))</f>
        <v>2</v>
      </c>
      <c r="C949" t="str">
        <f t="shared" si="43"/>
        <v>HertfordshireRehabilitation at home (pathway 1)</v>
      </c>
      <c r="D949" t="str">
        <f>VLOOKUP(G949,PathwayLookup!A:B,2,0)</f>
        <v>Reablement &amp; Rehabilitation at home  (pathway 1)</v>
      </c>
      <c r="E949" t="s">
        <v>175</v>
      </c>
      <c r="F949" t="s">
        <v>615</v>
      </c>
      <c r="G949" t="s">
        <v>719</v>
      </c>
      <c r="H949">
        <v>29</v>
      </c>
      <c r="I949">
        <v>30</v>
      </c>
      <c r="J949">
        <v>29</v>
      </c>
      <c r="K949">
        <v>30</v>
      </c>
      <c r="L949">
        <v>30</v>
      </c>
      <c r="M949">
        <v>29</v>
      </c>
      <c r="N949">
        <v>30</v>
      </c>
      <c r="O949">
        <v>29</v>
      </c>
      <c r="P949">
        <v>30</v>
      </c>
      <c r="Q949">
        <v>30</v>
      </c>
      <c r="R949">
        <v>28</v>
      </c>
      <c r="S949">
        <v>30</v>
      </c>
      <c r="T949">
        <f t="shared" si="44"/>
        <v>354</v>
      </c>
      <c r="U949">
        <v>1</v>
      </c>
    </row>
    <row r="950" spans="1:21" x14ac:dyDescent="0.3">
      <c r="A950" t="str">
        <f t="shared" si="42"/>
        <v>HertfordshireReablement &amp; Rehabilitation at home  (pathway 1)3</v>
      </c>
      <c r="B950">
        <f>IF(C950="","",COUNTIF($C$2:C950,C950))</f>
        <v>3</v>
      </c>
      <c r="C950" t="str">
        <f t="shared" si="43"/>
        <v>HertfordshireRehabilitation at home (pathway 1)</v>
      </c>
      <c r="D950" t="str">
        <f>VLOOKUP(G950,PathwayLookup!A:B,2,0)</f>
        <v>Reablement &amp; Rehabilitation at home  (pathway 1)</v>
      </c>
      <c r="E950" t="s">
        <v>175</v>
      </c>
      <c r="F950" t="s">
        <v>640</v>
      </c>
      <c r="G950" t="s">
        <v>719</v>
      </c>
      <c r="H950">
        <v>162</v>
      </c>
      <c r="I950">
        <v>167</v>
      </c>
      <c r="J950">
        <v>162</v>
      </c>
      <c r="K950">
        <v>167</v>
      </c>
      <c r="L950">
        <v>167</v>
      </c>
      <c r="M950">
        <v>162</v>
      </c>
      <c r="N950">
        <v>167</v>
      </c>
      <c r="O950">
        <v>162</v>
      </c>
      <c r="P950">
        <v>167</v>
      </c>
      <c r="Q950">
        <v>167</v>
      </c>
      <c r="R950">
        <v>156</v>
      </c>
      <c r="S950">
        <v>167</v>
      </c>
      <c r="T950">
        <f t="shared" si="44"/>
        <v>1973</v>
      </c>
      <c r="U950">
        <v>1</v>
      </c>
    </row>
    <row r="951" spans="1:21" x14ac:dyDescent="0.3">
      <c r="A951" t="str">
        <f t="shared" si="42"/>
        <v>HertfordshireReablement &amp; Rehabilitation at home  (pathway 1)4</v>
      </c>
      <c r="B951">
        <f>IF(C951="","",COUNTIF($C$2:C951,C951))</f>
        <v>4</v>
      </c>
      <c r="C951" t="str">
        <f t="shared" si="43"/>
        <v>HertfordshireRehabilitation at home (pathway 1)</v>
      </c>
      <c r="D951" t="str">
        <f>VLOOKUP(G951,PathwayLookup!A:B,2,0)</f>
        <v>Reablement &amp; Rehabilitation at home  (pathway 1)</v>
      </c>
      <c r="E951" t="s">
        <v>175</v>
      </c>
      <c r="F951" t="s">
        <v>651</v>
      </c>
      <c r="G951" t="s">
        <v>719</v>
      </c>
      <c r="H951">
        <v>260</v>
      </c>
      <c r="I951">
        <v>260</v>
      </c>
      <c r="J951">
        <v>260</v>
      </c>
      <c r="K951">
        <v>260</v>
      </c>
      <c r="L951">
        <v>260</v>
      </c>
      <c r="M951">
        <v>260</v>
      </c>
      <c r="N951">
        <v>260</v>
      </c>
      <c r="O951">
        <v>260</v>
      </c>
      <c r="P951">
        <v>260</v>
      </c>
      <c r="Q951">
        <v>260</v>
      </c>
      <c r="R951">
        <v>260</v>
      </c>
      <c r="S951">
        <v>260</v>
      </c>
      <c r="T951">
        <f t="shared" si="44"/>
        <v>3120</v>
      </c>
      <c r="U951">
        <v>1</v>
      </c>
    </row>
    <row r="952" spans="1:21" x14ac:dyDescent="0.3">
      <c r="A952" t="str">
        <f t="shared" si="42"/>
        <v/>
      </c>
      <c r="B952" t="str">
        <f>IF(C952="","",COUNTIF($C$2:C952,C952))</f>
        <v/>
      </c>
      <c r="C952" t="str">
        <f t="shared" si="43"/>
        <v/>
      </c>
      <c r="D952" t="str">
        <f>VLOOKUP(G952,PathwayLookup!A:B,2,0)</f>
        <v>Short term domiciliary care (pathway 1)</v>
      </c>
      <c r="E952" t="s">
        <v>175</v>
      </c>
      <c r="F952" t="s">
        <v>493</v>
      </c>
      <c r="G952" t="s">
        <v>684</v>
      </c>
      <c r="H952">
        <v>0</v>
      </c>
      <c r="I952">
        <v>0</v>
      </c>
      <c r="J952">
        <v>0</v>
      </c>
      <c r="K952">
        <v>0</v>
      </c>
      <c r="L952">
        <v>0</v>
      </c>
      <c r="M952">
        <v>0</v>
      </c>
      <c r="N952">
        <v>0</v>
      </c>
      <c r="O952">
        <v>0</v>
      </c>
      <c r="P952">
        <v>0</v>
      </c>
      <c r="Q952">
        <v>0</v>
      </c>
      <c r="R952">
        <v>0</v>
      </c>
      <c r="S952">
        <v>0</v>
      </c>
      <c r="T952">
        <f t="shared" si="44"/>
        <v>0</v>
      </c>
      <c r="U952">
        <v>1</v>
      </c>
    </row>
    <row r="953" spans="1:21" x14ac:dyDescent="0.3">
      <c r="A953" t="str">
        <f t="shared" si="42"/>
        <v/>
      </c>
      <c r="B953" t="str">
        <f>IF(C953="","",COUNTIF($C$2:C953,C953))</f>
        <v/>
      </c>
      <c r="C953" t="str">
        <f t="shared" si="43"/>
        <v/>
      </c>
      <c r="D953" t="str">
        <f>VLOOKUP(G953,PathwayLookup!A:B,2,0)</f>
        <v>Short term domiciliary care (pathway 1)</v>
      </c>
      <c r="E953" t="s">
        <v>175</v>
      </c>
      <c r="F953" t="s">
        <v>615</v>
      </c>
      <c r="G953" t="s">
        <v>684</v>
      </c>
      <c r="H953">
        <v>0</v>
      </c>
      <c r="I953">
        <v>0</v>
      </c>
      <c r="J953">
        <v>0</v>
      </c>
      <c r="K953">
        <v>0</v>
      </c>
      <c r="L953">
        <v>0</v>
      </c>
      <c r="M953">
        <v>0</v>
      </c>
      <c r="N953">
        <v>0</v>
      </c>
      <c r="O953">
        <v>0</v>
      </c>
      <c r="P953">
        <v>0</v>
      </c>
      <c r="Q953">
        <v>0</v>
      </c>
      <c r="R953">
        <v>0</v>
      </c>
      <c r="S953">
        <v>0</v>
      </c>
      <c r="T953">
        <f t="shared" si="44"/>
        <v>0</v>
      </c>
      <c r="U953">
        <v>1</v>
      </c>
    </row>
    <row r="954" spans="1:21" x14ac:dyDescent="0.3">
      <c r="A954" t="str">
        <f t="shared" si="42"/>
        <v/>
      </c>
      <c r="B954" t="str">
        <f>IF(C954="","",COUNTIF($C$2:C954,C954))</f>
        <v/>
      </c>
      <c r="C954" t="str">
        <f t="shared" si="43"/>
        <v/>
      </c>
      <c r="D954" t="str">
        <f>VLOOKUP(G954,PathwayLookup!A:B,2,0)</f>
        <v>Short term domiciliary care (pathway 1)</v>
      </c>
      <c r="E954" t="s">
        <v>175</v>
      </c>
      <c r="F954" t="s">
        <v>640</v>
      </c>
      <c r="G954" t="s">
        <v>684</v>
      </c>
      <c r="H954">
        <v>0</v>
      </c>
      <c r="I954">
        <v>0</v>
      </c>
      <c r="J954">
        <v>0</v>
      </c>
      <c r="K954">
        <v>0</v>
      </c>
      <c r="L954">
        <v>0</v>
      </c>
      <c r="M954">
        <v>0</v>
      </c>
      <c r="N954">
        <v>0</v>
      </c>
      <c r="O954">
        <v>0</v>
      </c>
      <c r="P954">
        <v>0</v>
      </c>
      <c r="Q954">
        <v>0</v>
      </c>
      <c r="R954">
        <v>0</v>
      </c>
      <c r="S954">
        <v>0</v>
      </c>
      <c r="T954">
        <f t="shared" si="44"/>
        <v>0</v>
      </c>
      <c r="U954">
        <v>1</v>
      </c>
    </row>
    <row r="955" spans="1:21" x14ac:dyDescent="0.3">
      <c r="A955" t="str">
        <f t="shared" si="42"/>
        <v/>
      </c>
      <c r="B955" t="str">
        <f>IF(C955="","",COUNTIF($C$2:C955,C955))</f>
        <v/>
      </c>
      <c r="C955" t="str">
        <f t="shared" si="43"/>
        <v/>
      </c>
      <c r="D955" t="str">
        <f>VLOOKUP(G955,PathwayLookup!A:B,2,0)</f>
        <v>Short term domiciliary care (pathway 1)</v>
      </c>
      <c r="E955" t="s">
        <v>175</v>
      </c>
      <c r="F955" t="s">
        <v>651</v>
      </c>
      <c r="G955" t="s">
        <v>684</v>
      </c>
      <c r="H955">
        <v>0</v>
      </c>
      <c r="I955">
        <v>0</v>
      </c>
      <c r="J955">
        <v>0</v>
      </c>
      <c r="K955">
        <v>0</v>
      </c>
      <c r="L955">
        <v>0</v>
      </c>
      <c r="M955">
        <v>0</v>
      </c>
      <c r="N955">
        <v>0</v>
      </c>
      <c r="O955">
        <v>0</v>
      </c>
      <c r="P955">
        <v>0</v>
      </c>
      <c r="Q955">
        <v>0</v>
      </c>
      <c r="R955">
        <v>0</v>
      </c>
      <c r="S955">
        <v>0</v>
      </c>
      <c r="T955">
        <f t="shared" si="44"/>
        <v>0</v>
      </c>
      <c r="U955">
        <v>1</v>
      </c>
    </row>
    <row r="956" spans="1:21" x14ac:dyDescent="0.3">
      <c r="A956" t="str">
        <f t="shared" si="42"/>
        <v>HertfordshireReablement &amp; Rehabilitation in a bedded setting (pathway 2)1</v>
      </c>
      <c r="B956">
        <f>IF(C956="","",COUNTIF($C$2:C956,C956))</f>
        <v>1</v>
      </c>
      <c r="C956" t="str">
        <f t="shared" si="43"/>
        <v>HertfordshireReablement in a bedded setting (pathway 2)</v>
      </c>
      <c r="D956" t="str">
        <f>VLOOKUP(G956,PathwayLookup!A:B,2,0)</f>
        <v>Reablement &amp; Rehabilitation in a bedded setting (pathway 2)</v>
      </c>
      <c r="E956" t="s">
        <v>175</v>
      </c>
      <c r="F956" t="s">
        <v>493</v>
      </c>
      <c r="G956" t="s">
        <v>722</v>
      </c>
      <c r="H956">
        <v>25</v>
      </c>
      <c r="I956">
        <v>26</v>
      </c>
      <c r="J956">
        <v>25</v>
      </c>
      <c r="K956">
        <v>26</v>
      </c>
      <c r="L956">
        <v>26</v>
      </c>
      <c r="M956">
        <v>25</v>
      </c>
      <c r="N956">
        <v>26</v>
      </c>
      <c r="O956">
        <v>25</v>
      </c>
      <c r="P956">
        <v>26</v>
      </c>
      <c r="Q956">
        <v>26</v>
      </c>
      <c r="R956">
        <v>24</v>
      </c>
      <c r="S956">
        <v>26</v>
      </c>
      <c r="T956">
        <f t="shared" si="44"/>
        <v>306</v>
      </c>
      <c r="U956">
        <v>1</v>
      </c>
    </row>
    <row r="957" spans="1:21" x14ac:dyDescent="0.3">
      <c r="A957" t="str">
        <f t="shared" si="42"/>
        <v>HertfordshireReablement &amp; Rehabilitation in a bedded setting (pathway 2)2</v>
      </c>
      <c r="B957">
        <f>IF(C957="","",COUNTIF($C$2:C957,C957))</f>
        <v>2</v>
      </c>
      <c r="C957" t="str">
        <f t="shared" si="43"/>
        <v>HertfordshireReablement in a bedded setting (pathway 2)</v>
      </c>
      <c r="D957" t="str">
        <f>VLOOKUP(G957,PathwayLookup!A:B,2,0)</f>
        <v>Reablement &amp; Rehabilitation in a bedded setting (pathway 2)</v>
      </c>
      <c r="E957" t="s">
        <v>175</v>
      </c>
      <c r="F957" t="s">
        <v>615</v>
      </c>
      <c r="G957" t="s">
        <v>722</v>
      </c>
      <c r="H957">
        <v>8</v>
      </c>
      <c r="I957">
        <v>9</v>
      </c>
      <c r="J957">
        <v>8</v>
      </c>
      <c r="K957">
        <v>9</v>
      </c>
      <c r="L957">
        <v>9</v>
      </c>
      <c r="M957">
        <v>8</v>
      </c>
      <c r="N957">
        <v>9</v>
      </c>
      <c r="O957">
        <v>8</v>
      </c>
      <c r="P957">
        <v>9</v>
      </c>
      <c r="Q957">
        <v>9</v>
      </c>
      <c r="R957">
        <v>8</v>
      </c>
      <c r="S957">
        <v>9</v>
      </c>
      <c r="T957">
        <f t="shared" si="44"/>
        <v>103</v>
      </c>
      <c r="U957">
        <v>1</v>
      </c>
    </row>
    <row r="958" spans="1:21" x14ac:dyDescent="0.3">
      <c r="A958" t="str">
        <f t="shared" si="42"/>
        <v>HertfordshireReablement &amp; Rehabilitation in a bedded setting (pathway 2)3</v>
      </c>
      <c r="B958">
        <f>IF(C958="","",COUNTIF($C$2:C958,C958))</f>
        <v>3</v>
      </c>
      <c r="C958" t="str">
        <f t="shared" si="43"/>
        <v>HertfordshireReablement in a bedded setting (pathway 2)</v>
      </c>
      <c r="D958" t="str">
        <f>VLOOKUP(G958,PathwayLookup!A:B,2,0)</f>
        <v>Reablement &amp; Rehabilitation in a bedded setting (pathway 2)</v>
      </c>
      <c r="E958" t="s">
        <v>175</v>
      </c>
      <c r="F958" t="s">
        <v>640</v>
      </c>
      <c r="G958" t="s">
        <v>722</v>
      </c>
      <c r="H958">
        <v>31</v>
      </c>
      <c r="I958">
        <v>32</v>
      </c>
      <c r="J958">
        <v>31</v>
      </c>
      <c r="K958">
        <v>32</v>
      </c>
      <c r="L958">
        <v>32</v>
      </c>
      <c r="M958">
        <v>31</v>
      </c>
      <c r="N958">
        <v>32</v>
      </c>
      <c r="O958">
        <v>31</v>
      </c>
      <c r="P958">
        <v>32</v>
      </c>
      <c r="Q958">
        <v>32</v>
      </c>
      <c r="R958">
        <v>30</v>
      </c>
      <c r="S958">
        <v>32</v>
      </c>
      <c r="T958">
        <f t="shared" si="44"/>
        <v>378</v>
      </c>
      <c r="U958">
        <v>1</v>
      </c>
    </row>
    <row r="959" spans="1:21" x14ac:dyDescent="0.3">
      <c r="A959" t="str">
        <f t="shared" si="42"/>
        <v>HertfordshireReablement &amp; Rehabilitation in a bedded setting (pathway 2)4</v>
      </c>
      <c r="B959">
        <f>IF(C959="","",COUNTIF($C$2:C959,C959))</f>
        <v>4</v>
      </c>
      <c r="C959" t="str">
        <f t="shared" si="43"/>
        <v>HertfordshireReablement in a bedded setting (pathway 2)</v>
      </c>
      <c r="D959" t="str">
        <f>VLOOKUP(G959,PathwayLookup!A:B,2,0)</f>
        <v>Reablement &amp; Rehabilitation in a bedded setting (pathway 2)</v>
      </c>
      <c r="E959" t="s">
        <v>175</v>
      </c>
      <c r="F959" t="s">
        <v>651</v>
      </c>
      <c r="G959" t="s">
        <v>722</v>
      </c>
      <c r="H959">
        <v>196</v>
      </c>
      <c r="I959">
        <v>196</v>
      </c>
      <c r="J959">
        <v>196</v>
      </c>
      <c r="K959">
        <v>196</v>
      </c>
      <c r="L959">
        <v>196</v>
      </c>
      <c r="M959">
        <v>196</v>
      </c>
      <c r="N959">
        <v>196</v>
      </c>
      <c r="O959">
        <v>196</v>
      </c>
      <c r="P959">
        <v>196</v>
      </c>
      <c r="Q959">
        <v>196</v>
      </c>
      <c r="R959">
        <v>196</v>
      </c>
      <c r="S959">
        <v>196</v>
      </c>
      <c r="T959">
        <f t="shared" si="44"/>
        <v>2352</v>
      </c>
      <c r="U959">
        <v>1</v>
      </c>
    </row>
    <row r="960" spans="1:21" x14ac:dyDescent="0.3">
      <c r="A960" t="str">
        <f t="shared" si="42"/>
        <v>HertfordshireReablement &amp; Rehabilitation in a bedded setting (pathway 2)1</v>
      </c>
      <c r="B960">
        <f>IF(C960="","",COUNTIF($C$2:C960,C960))</f>
        <v>1</v>
      </c>
      <c r="C960" t="str">
        <f t="shared" si="43"/>
        <v>HertfordshireRehabilitation in a bedded setting (pathway 2)</v>
      </c>
      <c r="D960" t="str">
        <f>VLOOKUP(G960,PathwayLookup!A:B,2,0)</f>
        <v>Reablement &amp; Rehabilitation in a bedded setting (pathway 2)</v>
      </c>
      <c r="E960" t="s">
        <v>175</v>
      </c>
      <c r="F960" t="s">
        <v>493</v>
      </c>
      <c r="G960" t="s">
        <v>724</v>
      </c>
      <c r="H960">
        <v>55</v>
      </c>
      <c r="I960">
        <v>57</v>
      </c>
      <c r="J960">
        <v>55</v>
      </c>
      <c r="K960">
        <v>57</v>
      </c>
      <c r="L960">
        <v>57</v>
      </c>
      <c r="M960">
        <v>55</v>
      </c>
      <c r="N960">
        <v>57</v>
      </c>
      <c r="O960">
        <v>55</v>
      </c>
      <c r="P960">
        <v>57</v>
      </c>
      <c r="Q960">
        <v>57</v>
      </c>
      <c r="R960">
        <v>54</v>
      </c>
      <c r="S960">
        <v>57</v>
      </c>
      <c r="T960">
        <f t="shared" si="44"/>
        <v>673</v>
      </c>
      <c r="U960">
        <v>1</v>
      </c>
    </row>
    <row r="961" spans="1:21" x14ac:dyDescent="0.3">
      <c r="A961" t="str">
        <f t="shared" si="42"/>
        <v>HertfordshireReablement &amp; Rehabilitation in a bedded setting (pathway 2)2</v>
      </c>
      <c r="B961">
        <f>IF(C961="","",COUNTIF($C$2:C961,C961))</f>
        <v>2</v>
      </c>
      <c r="C961" t="str">
        <f t="shared" si="43"/>
        <v>HertfordshireRehabilitation in a bedded setting (pathway 2)</v>
      </c>
      <c r="D961" t="str">
        <f>VLOOKUP(G961,PathwayLookup!A:B,2,0)</f>
        <v>Reablement &amp; Rehabilitation in a bedded setting (pathway 2)</v>
      </c>
      <c r="E961" t="s">
        <v>175</v>
      </c>
      <c r="F961" t="s">
        <v>615</v>
      </c>
      <c r="G961" t="s">
        <v>724</v>
      </c>
      <c r="H961">
        <v>15</v>
      </c>
      <c r="I961">
        <v>15</v>
      </c>
      <c r="J961">
        <v>15</v>
      </c>
      <c r="K961">
        <v>15</v>
      </c>
      <c r="L961">
        <v>15</v>
      </c>
      <c r="M961">
        <v>15</v>
      </c>
      <c r="N961">
        <v>15</v>
      </c>
      <c r="O961">
        <v>15</v>
      </c>
      <c r="P961">
        <v>15</v>
      </c>
      <c r="Q961">
        <v>15</v>
      </c>
      <c r="R961">
        <v>14</v>
      </c>
      <c r="S961">
        <v>15</v>
      </c>
      <c r="T961">
        <f t="shared" si="44"/>
        <v>179</v>
      </c>
      <c r="U961">
        <v>1</v>
      </c>
    </row>
    <row r="962" spans="1:21" x14ac:dyDescent="0.3">
      <c r="A962" t="str">
        <f t="shared" ref="A962:A1025" si="45">IF(B962="","",E962&amp;D962&amp;B962)</f>
        <v>HertfordshireReablement &amp; Rehabilitation in a bedded setting (pathway 2)3</v>
      </c>
      <c r="B962">
        <f>IF(C962="","",COUNTIF($C$2:C962,C962))</f>
        <v>3</v>
      </c>
      <c r="C962" t="str">
        <f t="shared" ref="C962:C1025" si="46">IF(T962=0,"",E962&amp;G962)</f>
        <v>HertfordshireRehabilitation in a bedded setting (pathway 2)</v>
      </c>
      <c r="D962" t="str">
        <f>VLOOKUP(G962,PathwayLookup!A:B,2,0)</f>
        <v>Reablement &amp; Rehabilitation in a bedded setting (pathway 2)</v>
      </c>
      <c r="E962" t="s">
        <v>175</v>
      </c>
      <c r="F962" t="s">
        <v>640</v>
      </c>
      <c r="G962" t="s">
        <v>724</v>
      </c>
      <c r="H962">
        <v>69</v>
      </c>
      <c r="I962">
        <v>71</v>
      </c>
      <c r="J962">
        <v>69</v>
      </c>
      <c r="K962">
        <v>71</v>
      </c>
      <c r="L962">
        <v>71</v>
      </c>
      <c r="M962">
        <v>69</v>
      </c>
      <c r="N962">
        <v>71</v>
      </c>
      <c r="O962">
        <v>69</v>
      </c>
      <c r="P962">
        <v>71</v>
      </c>
      <c r="Q962">
        <v>71</v>
      </c>
      <c r="R962">
        <v>67</v>
      </c>
      <c r="S962">
        <v>71</v>
      </c>
      <c r="T962">
        <f t="shared" ref="T962:T1025" si="47">SUM(H962:S962)</f>
        <v>840</v>
      </c>
      <c r="U962">
        <v>1</v>
      </c>
    </row>
    <row r="963" spans="1:21" x14ac:dyDescent="0.3">
      <c r="A963" t="str">
        <f t="shared" si="45"/>
        <v>HertfordshireReablement &amp; Rehabilitation in a bedded setting (pathway 2)4</v>
      </c>
      <c r="B963">
        <f>IF(C963="","",COUNTIF($C$2:C963,C963))</f>
        <v>4</v>
      </c>
      <c r="C963" t="str">
        <f t="shared" si="46"/>
        <v>HertfordshireRehabilitation in a bedded setting (pathway 2)</v>
      </c>
      <c r="D963" t="str">
        <f>VLOOKUP(G963,PathwayLookup!A:B,2,0)</f>
        <v>Reablement &amp; Rehabilitation in a bedded setting (pathway 2)</v>
      </c>
      <c r="E963" t="s">
        <v>175</v>
      </c>
      <c r="F963" t="s">
        <v>651</v>
      </c>
      <c r="G963" t="s">
        <v>724</v>
      </c>
      <c r="H963">
        <v>46</v>
      </c>
      <c r="I963">
        <v>48</v>
      </c>
      <c r="J963">
        <v>46</v>
      </c>
      <c r="K963">
        <v>48</v>
      </c>
      <c r="L963">
        <v>48</v>
      </c>
      <c r="M963">
        <v>46</v>
      </c>
      <c r="N963">
        <v>48</v>
      </c>
      <c r="O963">
        <v>46</v>
      </c>
      <c r="P963">
        <v>46</v>
      </c>
      <c r="Q963">
        <v>48</v>
      </c>
      <c r="R963">
        <v>45</v>
      </c>
      <c r="S963">
        <v>48</v>
      </c>
      <c r="T963">
        <f t="shared" si="47"/>
        <v>563</v>
      </c>
      <c r="U963">
        <v>1</v>
      </c>
    </row>
    <row r="964" spans="1:21" x14ac:dyDescent="0.3">
      <c r="A964" t="str">
        <f t="shared" si="45"/>
        <v>HertfordshireShort-term residential/nursing care for someone likely to require a longer-term care home placement (pathway 3)1</v>
      </c>
      <c r="B964">
        <f>IF(C964="","",COUNTIF($C$2:C964,C964))</f>
        <v>1</v>
      </c>
      <c r="C964" t="str">
        <f t="shared" si="46"/>
        <v>HertfordshireShort-term residential/nursing care for someone likely to require a longer-term care home placement (pathway 3)</v>
      </c>
      <c r="D964" t="str">
        <f>VLOOKUP(G964,PathwayLookup!A:B,2,0)</f>
        <v>Short-term residential/nursing care for someone likely to require a longer-term care home placement (pathway 3)</v>
      </c>
      <c r="E964" t="s">
        <v>175</v>
      </c>
      <c r="F964" t="s">
        <v>493</v>
      </c>
      <c r="G964" t="s">
        <v>686</v>
      </c>
      <c r="H964">
        <v>5</v>
      </c>
      <c r="I964">
        <v>5</v>
      </c>
      <c r="J964">
        <v>5</v>
      </c>
      <c r="K964">
        <v>5</v>
      </c>
      <c r="L964">
        <v>5</v>
      </c>
      <c r="M964">
        <v>5</v>
      </c>
      <c r="N964">
        <v>5</v>
      </c>
      <c r="O964">
        <v>5</v>
      </c>
      <c r="P964">
        <v>5</v>
      </c>
      <c r="Q964">
        <v>5</v>
      </c>
      <c r="R964">
        <v>5</v>
      </c>
      <c r="S964">
        <v>5</v>
      </c>
      <c r="T964">
        <f t="shared" si="47"/>
        <v>60</v>
      </c>
      <c r="U964">
        <v>1</v>
      </c>
    </row>
    <row r="965" spans="1:21" x14ac:dyDescent="0.3">
      <c r="A965" t="str">
        <f t="shared" si="45"/>
        <v>HertfordshireShort-term residential/nursing care for someone likely to require a longer-term care home placement (pathway 3)2</v>
      </c>
      <c r="B965">
        <f>IF(C965="","",COUNTIF($C$2:C965,C965))</f>
        <v>2</v>
      </c>
      <c r="C965" t="str">
        <f t="shared" si="46"/>
        <v>HertfordshireShort-term residential/nursing care for someone likely to require a longer-term care home placement (pathway 3)</v>
      </c>
      <c r="D965" t="str">
        <f>VLOOKUP(G965,PathwayLookup!A:B,2,0)</f>
        <v>Short-term residential/nursing care for someone likely to require a longer-term care home placement (pathway 3)</v>
      </c>
      <c r="E965" t="s">
        <v>175</v>
      </c>
      <c r="F965" t="s">
        <v>615</v>
      </c>
      <c r="G965" t="s">
        <v>686</v>
      </c>
      <c r="H965">
        <v>1</v>
      </c>
      <c r="I965">
        <v>2</v>
      </c>
      <c r="J965">
        <v>1</v>
      </c>
      <c r="K965">
        <v>2</v>
      </c>
      <c r="L965">
        <v>2</v>
      </c>
      <c r="M965">
        <v>1</v>
      </c>
      <c r="N965">
        <v>2</v>
      </c>
      <c r="O965">
        <v>1</v>
      </c>
      <c r="P965">
        <v>2</v>
      </c>
      <c r="Q965">
        <v>2</v>
      </c>
      <c r="R965">
        <v>1</v>
      </c>
      <c r="S965">
        <v>2</v>
      </c>
      <c r="T965">
        <f t="shared" si="47"/>
        <v>19</v>
      </c>
      <c r="U965">
        <v>1</v>
      </c>
    </row>
    <row r="966" spans="1:21" x14ac:dyDescent="0.3">
      <c r="A966" t="str">
        <f t="shared" si="45"/>
        <v>HertfordshireShort-term residential/nursing care for someone likely to require a longer-term care home placement (pathway 3)3</v>
      </c>
      <c r="B966">
        <f>IF(C966="","",COUNTIF($C$2:C966,C966))</f>
        <v>3</v>
      </c>
      <c r="C966" t="str">
        <f t="shared" si="46"/>
        <v>HertfordshireShort-term residential/nursing care for someone likely to require a longer-term care home placement (pathway 3)</v>
      </c>
      <c r="D966" t="str">
        <f>VLOOKUP(G966,PathwayLookup!A:B,2,0)</f>
        <v>Short-term residential/nursing care for someone likely to require a longer-term care home placement (pathway 3)</v>
      </c>
      <c r="E966" t="s">
        <v>175</v>
      </c>
      <c r="F966" t="s">
        <v>640</v>
      </c>
      <c r="G966" t="s">
        <v>686</v>
      </c>
      <c r="H966">
        <v>6</v>
      </c>
      <c r="I966">
        <v>6</v>
      </c>
      <c r="J966">
        <v>6</v>
      </c>
      <c r="K966">
        <v>6</v>
      </c>
      <c r="L966">
        <v>6</v>
      </c>
      <c r="M966">
        <v>6</v>
      </c>
      <c r="N966">
        <v>6</v>
      </c>
      <c r="O966">
        <v>6</v>
      </c>
      <c r="P966">
        <v>6</v>
      </c>
      <c r="Q966">
        <v>6</v>
      </c>
      <c r="R966">
        <v>6</v>
      </c>
      <c r="S966">
        <v>6</v>
      </c>
      <c r="T966">
        <f t="shared" si="47"/>
        <v>72</v>
      </c>
      <c r="U966">
        <v>1</v>
      </c>
    </row>
    <row r="967" spans="1:21" x14ac:dyDescent="0.3">
      <c r="A967" t="str">
        <f t="shared" si="45"/>
        <v/>
      </c>
      <c r="B967" t="str">
        <f>IF(C967="","",COUNTIF($C$2:C967,C967))</f>
        <v/>
      </c>
      <c r="C967" t="str">
        <f t="shared" si="46"/>
        <v/>
      </c>
      <c r="D967" t="str">
        <f>VLOOKUP(G967,PathwayLookup!A:B,2,0)</f>
        <v>Short-term residential/nursing care for someone likely to require a longer-term care home placement (pathway 3)</v>
      </c>
      <c r="E967" t="s">
        <v>175</v>
      </c>
      <c r="F967" t="s">
        <v>651</v>
      </c>
      <c r="G967" t="s">
        <v>686</v>
      </c>
      <c r="H967">
        <v>0</v>
      </c>
      <c r="I967">
        <v>0</v>
      </c>
      <c r="J967">
        <v>0</v>
      </c>
      <c r="K967">
        <v>0</v>
      </c>
      <c r="L967">
        <v>0</v>
      </c>
      <c r="M967">
        <v>0</v>
      </c>
      <c r="N967">
        <v>0</v>
      </c>
      <c r="O967">
        <v>0</v>
      </c>
      <c r="P967">
        <v>0</v>
      </c>
      <c r="Q967">
        <v>0</v>
      </c>
      <c r="R967">
        <v>0</v>
      </c>
      <c r="S967">
        <v>0</v>
      </c>
      <c r="T967">
        <f t="shared" si="47"/>
        <v>0</v>
      </c>
      <c r="U967">
        <v>1</v>
      </c>
    </row>
    <row r="968" spans="1:21" x14ac:dyDescent="0.3">
      <c r="A968" t="str">
        <f t="shared" si="45"/>
        <v>HillingdonSocial support (including VCS) (pathway 0)1</v>
      </c>
      <c r="B968">
        <f>IF(C968="","",COUNTIF($C$2:C968,C968))</f>
        <v>1</v>
      </c>
      <c r="C968" t="str">
        <f t="shared" si="46"/>
        <v>HillingdonSocial support (including VCS) (pathway 0)</v>
      </c>
      <c r="D968" t="str">
        <f>VLOOKUP(G968,PathwayLookup!A:B,2,0)</f>
        <v>Social support (including VCS) (pathway 0)</v>
      </c>
      <c r="E968" t="s">
        <v>177</v>
      </c>
      <c r="F968" t="s">
        <v>476</v>
      </c>
      <c r="G968" t="s">
        <v>682</v>
      </c>
      <c r="H968">
        <v>51</v>
      </c>
      <c r="I968">
        <v>56</v>
      </c>
      <c r="J968">
        <v>37</v>
      </c>
      <c r="K968">
        <v>42</v>
      </c>
      <c r="L968">
        <v>51</v>
      </c>
      <c r="M968">
        <v>43</v>
      </c>
      <c r="N968">
        <v>53</v>
      </c>
      <c r="O968">
        <v>74</v>
      </c>
      <c r="P968">
        <v>53</v>
      </c>
      <c r="Q968">
        <v>50</v>
      </c>
      <c r="R968">
        <v>64</v>
      </c>
      <c r="S968">
        <v>44</v>
      </c>
      <c r="T968">
        <f t="shared" si="47"/>
        <v>618</v>
      </c>
      <c r="U968">
        <v>1</v>
      </c>
    </row>
    <row r="969" spans="1:21" x14ac:dyDescent="0.3">
      <c r="A969" t="str">
        <f t="shared" si="45"/>
        <v>HillingdonSocial support (including VCS) (pathway 0)2</v>
      </c>
      <c r="B969">
        <f>IF(C969="","",COUNTIF($C$2:C969,C969))</f>
        <v>2</v>
      </c>
      <c r="C969" t="str">
        <f t="shared" si="46"/>
        <v>HillingdonSocial support (including VCS) (pathway 0)</v>
      </c>
      <c r="D969" t="str">
        <f>VLOOKUP(G969,PathwayLookup!A:B,2,0)</f>
        <v>Social support (including VCS) (pathway 0)</v>
      </c>
      <c r="E969" t="s">
        <v>177</v>
      </c>
      <c r="F969" t="s">
        <v>520</v>
      </c>
      <c r="G969" t="s">
        <v>682</v>
      </c>
      <c r="H969">
        <v>142</v>
      </c>
      <c r="I969">
        <v>178</v>
      </c>
      <c r="J969">
        <v>141</v>
      </c>
      <c r="K969">
        <v>174</v>
      </c>
      <c r="L969">
        <v>135</v>
      </c>
      <c r="M969">
        <v>131</v>
      </c>
      <c r="N969">
        <v>178</v>
      </c>
      <c r="O969">
        <v>161</v>
      </c>
      <c r="P969">
        <v>149</v>
      </c>
      <c r="Q969">
        <v>173</v>
      </c>
      <c r="R969">
        <v>152</v>
      </c>
      <c r="S969">
        <v>156</v>
      </c>
      <c r="T969">
        <f t="shared" si="47"/>
        <v>1870</v>
      </c>
      <c r="U969">
        <v>1</v>
      </c>
    </row>
    <row r="970" spans="1:21" x14ac:dyDescent="0.3">
      <c r="A970" t="str">
        <f t="shared" si="45"/>
        <v>HillingdonSocial support (including VCS) (pathway 0)3</v>
      </c>
      <c r="B970">
        <f>IF(C970="","",COUNTIF($C$2:C970,C970))</f>
        <v>3</v>
      </c>
      <c r="C970" t="str">
        <f t="shared" si="46"/>
        <v>HillingdonSocial support (including VCS) (pathway 0)</v>
      </c>
      <c r="D970" t="str">
        <f>VLOOKUP(G970,PathwayLookup!A:B,2,0)</f>
        <v>Social support (including VCS) (pathway 0)</v>
      </c>
      <c r="E970" t="s">
        <v>177</v>
      </c>
      <c r="F970" t="s">
        <v>540</v>
      </c>
      <c r="G970" t="s">
        <v>682</v>
      </c>
      <c r="H970">
        <v>311</v>
      </c>
      <c r="I970">
        <v>374</v>
      </c>
      <c r="J970">
        <v>328</v>
      </c>
      <c r="K970">
        <v>299</v>
      </c>
      <c r="L970">
        <v>290</v>
      </c>
      <c r="M970">
        <v>320</v>
      </c>
      <c r="N970">
        <v>338</v>
      </c>
      <c r="O970">
        <v>363</v>
      </c>
      <c r="P970">
        <v>321</v>
      </c>
      <c r="Q970">
        <v>387</v>
      </c>
      <c r="R970">
        <v>286</v>
      </c>
      <c r="S970">
        <v>350</v>
      </c>
      <c r="T970">
        <f t="shared" si="47"/>
        <v>3967</v>
      </c>
      <c r="U970">
        <v>1</v>
      </c>
    </row>
    <row r="971" spans="1:21" x14ac:dyDescent="0.3">
      <c r="A971" t="str">
        <f t="shared" si="45"/>
        <v>HillingdonSocial support (including VCS) (pathway 0)4</v>
      </c>
      <c r="B971">
        <f>IF(C971="","",COUNTIF($C$2:C971,C971))</f>
        <v>4</v>
      </c>
      <c r="C971" t="str">
        <f t="shared" si="46"/>
        <v>HillingdonSocial support (including VCS) (pathway 0)</v>
      </c>
      <c r="D971" t="str">
        <f>VLOOKUP(G971,PathwayLookup!A:B,2,0)</f>
        <v>Social support (including VCS) (pathway 0)</v>
      </c>
      <c r="E971" t="s">
        <v>177</v>
      </c>
      <c r="F971" t="s">
        <v>613</v>
      </c>
      <c r="G971" t="s">
        <v>682</v>
      </c>
      <c r="H971">
        <v>1439</v>
      </c>
      <c r="I971">
        <v>1613</v>
      </c>
      <c r="J971">
        <v>1522</v>
      </c>
      <c r="K971">
        <v>1546</v>
      </c>
      <c r="L971">
        <v>1526</v>
      </c>
      <c r="M971">
        <v>1583</v>
      </c>
      <c r="N971">
        <v>1521</v>
      </c>
      <c r="O971">
        <v>1573</v>
      </c>
      <c r="P971">
        <v>1474</v>
      </c>
      <c r="Q971">
        <v>1564</v>
      </c>
      <c r="R971">
        <v>1554</v>
      </c>
      <c r="S971">
        <v>1709</v>
      </c>
      <c r="T971">
        <f t="shared" si="47"/>
        <v>18624</v>
      </c>
      <c r="U971">
        <v>1</v>
      </c>
    </row>
    <row r="972" spans="1:21" x14ac:dyDescent="0.3">
      <c r="A972" t="str">
        <f t="shared" si="45"/>
        <v>HillingdonReablement &amp; Rehabilitation at home  (pathway 1)1</v>
      </c>
      <c r="B972">
        <f>IF(C972="","",COUNTIF($C$2:C972,C972))</f>
        <v>1</v>
      </c>
      <c r="C972" t="str">
        <f t="shared" si="46"/>
        <v>HillingdonReablement at home  (pathway 1)</v>
      </c>
      <c r="D972" t="str">
        <f>VLOOKUP(G972,PathwayLookup!A:B,2,0)</f>
        <v>Reablement &amp; Rehabilitation at home  (pathway 1)</v>
      </c>
      <c r="E972" t="s">
        <v>177</v>
      </c>
      <c r="F972" t="s">
        <v>476</v>
      </c>
      <c r="G972" t="s">
        <v>718</v>
      </c>
      <c r="H972">
        <v>3</v>
      </c>
      <c r="I972">
        <v>3</v>
      </c>
      <c r="J972">
        <v>3</v>
      </c>
      <c r="K972">
        <v>3</v>
      </c>
      <c r="L972">
        <v>3</v>
      </c>
      <c r="M972">
        <v>3</v>
      </c>
      <c r="N972">
        <v>3</v>
      </c>
      <c r="O972">
        <v>3</v>
      </c>
      <c r="P972">
        <v>3</v>
      </c>
      <c r="Q972">
        <v>3</v>
      </c>
      <c r="R972">
        <v>3</v>
      </c>
      <c r="S972">
        <v>3</v>
      </c>
      <c r="T972">
        <f t="shared" si="47"/>
        <v>36</v>
      </c>
      <c r="U972">
        <v>1</v>
      </c>
    </row>
    <row r="973" spans="1:21" x14ac:dyDescent="0.3">
      <c r="A973" t="str">
        <f t="shared" si="45"/>
        <v>HillingdonReablement &amp; Rehabilitation at home  (pathway 1)2</v>
      </c>
      <c r="B973">
        <f>IF(C973="","",COUNTIF($C$2:C973,C973))</f>
        <v>2</v>
      </c>
      <c r="C973" t="str">
        <f t="shared" si="46"/>
        <v>HillingdonReablement at home  (pathway 1)</v>
      </c>
      <c r="D973" t="str">
        <f>VLOOKUP(G973,PathwayLookup!A:B,2,0)</f>
        <v>Reablement &amp; Rehabilitation at home  (pathway 1)</v>
      </c>
      <c r="E973" t="s">
        <v>177</v>
      </c>
      <c r="F973" t="s">
        <v>520</v>
      </c>
      <c r="G973" t="s">
        <v>718</v>
      </c>
      <c r="H973">
        <v>7</v>
      </c>
      <c r="I973">
        <v>7</v>
      </c>
      <c r="J973">
        <v>7</v>
      </c>
      <c r="K973">
        <v>7</v>
      </c>
      <c r="L973">
        <v>6</v>
      </c>
      <c r="M973">
        <v>7</v>
      </c>
      <c r="N973">
        <v>7</v>
      </c>
      <c r="O973">
        <v>7</v>
      </c>
      <c r="P973">
        <v>8</v>
      </c>
      <c r="Q973">
        <v>8</v>
      </c>
      <c r="R973">
        <v>8</v>
      </c>
      <c r="S973">
        <v>7</v>
      </c>
      <c r="T973">
        <f t="shared" si="47"/>
        <v>86</v>
      </c>
      <c r="U973">
        <v>1</v>
      </c>
    </row>
    <row r="974" spans="1:21" x14ac:dyDescent="0.3">
      <c r="A974" t="str">
        <f t="shared" si="45"/>
        <v>HillingdonReablement &amp; Rehabilitation at home  (pathway 1)3</v>
      </c>
      <c r="B974">
        <f>IF(C974="","",COUNTIF($C$2:C974,C974))</f>
        <v>3</v>
      </c>
      <c r="C974" t="str">
        <f t="shared" si="46"/>
        <v>HillingdonReablement at home  (pathway 1)</v>
      </c>
      <c r="D974" t="str">
        <f>VLOOKUP(G974,PathwayLookup!A:B,2,0)</f>
        <v>Reablement &amp; Rehabilitation at home  (pathway 1)</v>
      </c>
      <c r="E974" t="s">
        <v>177</v>
      </c>
      <c r="F974" t="s">
        <v>540</v>
      </c>
      <c r="G974" t="s">
        <v>718</v>
      </c>
      <c r="H974">
        <v>11</v>
      </c>
      <c r="I974">
        <v>11</v>
      </c>
      <c r="J974">
        <v>11</v>
      </c>
      <c r="K974">
        <v>11</v>
      </c>
      <c r="L974">
        <v>11</v>
      </c>
      <c r="M974">
        <v>10</v>
      </c>
      <c r="N974">
        <v>11</v>
      </c>
      <c r="O974">
        <v>10</v>
      </c>
      <c r="P974">
        <v>12</v>
      </c>
      <c r="Q974">
        <v>12</v>
      </c>
      <c r="R974">
        <v>12</v>
      </c>
      <c r="S974">
        <v>11</v>
      </c>
      <c r="T974">
        <f t="shared" si="47"/>
        <v>133</v>
      </c>
      <c r="U974">
        <v>1</v>
      </c>
    </row>
    <row r="975" spans="1:21" x14ac:dyDescent="0.3">
      <c r="A975" t="str">
        <f t="shared" si="45"/>
        <v>HillingdonReablement &amp; Rehabilitation at home  (pathway 1)4</v>
      </c>
      <c r="B975">
        <f>IF(C975="","",COUNTIF($C$2:C975,C975))</f>
        <v>4</v>
      </c>
      <c r="C975" t="str">
        <f t="shared" si="46"/>
        <v>HillingdonReablement at home  (pathway 1)</v>
      </c>
      <c r="D975" t="str">
        <f>VLOOKUP(G975,PathwayLookup!A:B,2,0)</f>
        <v>Reablement &amp; Rehabilitation at home  (pathway 1)</v>
      </c>
      <c r="E975" t="s">
        <v>177</v>
      </c>
      <c r="F975" t="s">
        <v>613</v>
      </c>
      <c r="G975" t="s">
        <v>718</v>
      </c>
      <c r="H975">
        <v>65</v>
      </c>
      <c r="I975">
        <v>68</v>
      </c>
      <c r="J975">
        <v>66</v>
      </c>
      <c r="K975">
        <v>64</v>
      </c>
      <c r="L975">
        <v>57</v>
      </c>
      <c r="M975">
        <v>61</v>
      </c>
      <c r="N975">
        <v>66</v>
      </c>
      <c r="O975">
        <v>62</v>
      </c>
      <c r="P975">
        <v>72</v>
      </c>
      <c r="Q975">
        <v>71</v>
      </c>
      <c r="R975">
        <v>71</v>
      </c>
      <c r="S975">
        <v>67</v>
      </c>
      <c r="T975">
        <f t="shared" si="47"/>
        <v>790</v>
      </c>
      <c r="U975">
        <v>1</v>
      </c>
    </row>
    <row r="976" spans="1:21" x14ac:dyDescent="0.3">
      <c r="A976" t="str">
        <f t="shared" si="45"/>
        <v>HillingdonReablement &amp; Rehabilitation at home  (pathway 1)1</v>
      </c>
      <c r="B976">
        <f>IF(C976="","",COUNTIF($C$2:C976,C976))</f>
        <v>1</v>
      </c>
      <c r="C976" t="str">
        <f t="shared" si="46"/>
        <v>HillingdonRehabilitation at home (pathway 1)</v>
      </c>
      <c r="D976" t="str">
        <f>VLOOKUP(G976,PathwayLookup!A:B,2,0)</f>
        <v>Reablement &amp; Rehabilitation at home  (pathway 1)</v>
      </c>
      <c r="E976" t="s">
        <v>177</v>
      </c>
      <c r="F976" t="s">
        <v>476</v>
      </c>
      <c r="G976" t="s">
        <v>719</v>
      </c>
      <c r="H976">
        <v>3</v>
      </c>
      <c r="I976">
        <v>3</v>
      </c>
      <c r="J976">
        <v>3</v>
      </c>
      <c r="K976">
        <v>3</v>
      </c>
      <c r="L976">
        <v>3</v>
      </c>
      <c r="M976">
        <v>2</v>
      </c>
      <c r="N976">
        <v>3</v>
      </c>
      <c r="O976">
        <v>3</v>
      </c>
      <c r="P976">
        <v>3</v>
      </c>
      <c r="Q976">
        <v>3</v>
      </c>
      <c r="R976">
        <v>3</v>
      </c>
      <c r="S976">
        <v>3</v>
      </c>
      <c r="T976">
        <f t="shared" si="47"/>
        <v>35</v>
      </c>
      <c r="U976">
        <v>1</v>
      </c>
    </row>
    <row r="977" spans="1:21" x14ac:dyDescent="0.3">
      <c r="A977" t="str">
        <f t="shared" si="45"/>
        <v>HillingdonReablement &amp; Rehabilitation at home  (pathway 1)2</v>
      </c>
      <c r="B977">
        <f>IF(C977="","",COUNTIF($C$2:C977,C977))</f>
        <v>2</v>
      </c>
      <c r="C977" t="str">
        <f t="shared" si="46"/>
        <v>HillingdonRehabilitation at home (pathway 1)</v>
      </c>
      <c r="D977" t="str">
        <f>VLOOKUP(G977,PathwayLookup!A:B,2,0)</f>
        <v>Reablement &amp; Rehabilitation at home  (pathway 1)</v>
      </c>
      <c r="E977" t="s">
        <v>177</v>
      </c>
      <c r="F977" t="s">
        <v>520</v>
      </c>
      <c r="G977" t="s">
        <v>719</v>
      </c>
      <c r="H977">
        <v>7</v>
      </c>
      <c r="I977">
        <v>7</v>
      </c>
      <c r="J977">
        <v>6</v>
      </c>
      <c r="K977">
        <v>7</v>
      </c>
      <c r="L977">
        <v>6</v>
      </c>
      <c r="M977">
        <v>6</v>
      </c>
      <c r="N977">
        <v>7</v>
      </c>
      <c r="O977">
        <v>7</v>
      </c>
      <c r="P977">
        <v>7</v>
      </c>
      <c r="Q977">
        <v>7</v>
      </c>
      <c r="R977">
        <v>7</v>
      </c>
      <c r="S977">
        <v>6</v>
      </c>
      <c r="T977">
        <f t="shared" si="47"/>
        <v>80</v>
      </c>
      <c r="U977">
        <v>1</v>
      </c>
    </row>
    <row r="978" spans="1:21" x14ac:dyDescent="0.3">
      <c r="A978" t="str">
        <f t="shared" si="45"/>
        <v>HillingdonReablement &amp; Rehabilitation at home  (pathway 1)3</v>
      </c>
      <c r="B978">
        <f>IF(C978="","",COUNTIF($C$2:C978,C978))</f>
        <v>3</v>
      </c>
      <c r="C978" t="str">
        <f t="shared" si="46"/>
        <v>HillingdonRehabilitation at home (pathway 1)</v>
      </c>
      <c r="D978" t="str">
        <f>VLOOKUP(G978,PathwayLookup!A:B,2,0)</f>
        <v>Reablement &amp; Rehabilitation at home  (pathway 1)</v>
      </c>
      <c r="E978" t="s">
        <v>177</v>
      </c>
      <c r="F978" t="s">
        <v>540</v>
      </c>
      <c r="G978" t="s">
        <v>719</v>
      </c>
      <c r="H978">
        <v>10</v>
      </c>
      <c r="I978">
        <v>10</v>
      </c>
      <c r="J978">
        <v>9</v>
      </c>
      <c r="K978">
        <v>10</v>
      </c>
      <c r="L978">
        <v>9</v>
      </c>
      <c r="M978">
        <v>9</v>
      </c>
      <c r="N978">
        <v>11</v>
      </c>
      <c r="O978">
        <v>10</v>
      </c>
      <c r="P978">
        <v>11</v>
      </c>
      <c r="Q978">
        <v>11</v>
      </c>
      <c r="R978">
        <v>10</v>
      </c>
      <c r="S978">
        <v>10</v>
      </c>
      <c r="T978">
        <f t="shared" si="47"/>
        <v>120</v>
      </c>
      <c r="U978">
        <v>1</v>
      </c>
    </row>
    <row r="979" spans="1:21" x14ac:dyDescent="0.3">
      <c r="A979" t="str">
        <f t="shared" si="45"/>
        <v>HillingdonReablement &amp; Rehabilitation at home  (pathway 1)4</v>
      </c>
      <c r="B979">
        <f>IF(C979="","",COUNTIF($C$2:C979,C979))</f>
        <v>4</v>
      </c>
      <c r="C979" t="str">
        <f t="shared" si="46"/>
        <v>HillingdonRehabilitation at home (pathway 1)</v>
      </c>
      <c r="D979" t="str">
        <f>VLOOKUP(G979,PathwayLookup!A:B,2,0)</f>
        <v>Reablement &amp; Rehabilitation at home  (pathway 1)</v>
      </c>
      <c r="E979" t="s">
        <v>177</v>
      </c>
      <c r="F979" t="s">
        <v>613</v>
      </c>
      <c r="G979" t="s">
        <v>719</v>
      </c>
      <c r="H979">
        <v>60</v>
      </c>
      <c r="I979">
        <v>61</v>
      </c>
      <c r="J979">
        <v>57</v>
      </c>
      <c r="K979">
        <v>61</v>
      </c>
      <c r="L979">
        <v>57</v>
      </c>
      <c r="M979">
        <v>53</v>
      </c>
      <c r="N979">
        <v>65</v>
      </c>
      <c r="O979">
        <v>61</v>
      </c>
      <c r="P979">
        <v>66</v>
      </c>
      <c r="Q979">
        <v>64</v>
      </c>
      <c r="R979">
        <v>63</v>
      </c>
      <c r="S979">
        <v>58</v>
      </c>
      <c r="T979">
        <f t="shared" si="47"/>
        <v>726</v>
      </c>
      <c r="U979">
        <v>1</v>
      </c>
    </row>
    <row r="980" spans="1:21" x14ac:dyDescent="0.3">
      <c r="A980" t="str">
        <f t="shared" si="45"/>
        <v>HillingdonShort term domiciliary care (pathway 1)1</v>
      </c>
      <c r="B980">
        <f>IF(C980="","",COUNTIF($C$2:C980,C980))</f>
        <v>1</v>
      </c>
      <c r="C980" t="str">
        <f t="shared" si="46"/>
        <v>HillingdonShort term domiciliary care (pathway 1)</v>
      </c>
      <c r="D980" t="str">
        <f>VLOOKUP(G980,PathwayLookup!A:B,2,0)</f>
        <v>Short term domiciliary care (pathway 1)</v>
      </c>
      <c r="E980" t="s">
        <v>177</v>
      </c>
      <c r="F980" t="s">
        <v>476</v>
      </c>
      <c r="G980" t="s">
        <v>684</v>
      </c>
      <c r="H980">
        <v>6</v>
      </c>
      <c r="I980">
        <v>6</v>
      </c>
      <c r="J980">
        <v>6</v>
      </c>
      <c r="K980">
        <v>6</v>
      </c>
      <c r="L980">
        <v>6</v>
      </c>
      <c r="M980">
        <v>5</v>
      </c>
      <c r="N980">
        <v>5</v>
      </c>
      <c r="O980">
        <v>5</v>
      </c>
      <c r="P980">
        <v>6</v>
      </c>
      <c r="Q980">
        <v>6</v>
      </c>
      <c r="R980">
        <v>6</v>
      </c>
      <c r="S980">
        <v>6</v>
      </c>
      <c r="T980">
        <f t="shared" si="47"/>
        <v>69</v>
      </c>
      <c r="U980">
        <v>1</v>
      </c>
    </row>
    <row r="981" spans="1:21" x14ac:dyDescent="0.3">
      <c r="A981" t="str">
        <f t="shared" si="45"/>
        <v>HillingdonShort term domiciliary care (pathway 1)2</v>
      </c>
      <c r="B981">
        <f>IF(C981="","",COUNTIF($C$2:C981,C981))</f>
        <v>2</v>
      </c>
      <c r="C981" t="str">
        <f t="shared" si="46"/>
        <v>HillingdonShort term domiciliary care (pathway 1)</v>
      </c>
      <c r="D981" t="str">
        <f>VLOOKUP(G981,PathwayLookup!A:B,2,0)</f>
        <v>Short term domiciliary care (pathway 1)</v>
      </c>
      <c r="E981" t="s">
        <v>177</v>
      </c>
      <c r="F981" t="s">
        <v>520</v>
      </c>
      <c r="G981" t="s">
        <v>684</v>
      </c>
      <c r="H981">
        <v>14</v>
      </c>
      <c r="I981">
        <v>15</v>
      </c>
      <c r="J981">
        <v>13</v>
      </c>
      <c r="K981">
        <v>13</v>
      </c>
      <c r="L981">
        <v>14</v>
      </c>
      <c r="M981">
        <v>13</v>
      </c>
      <c r="N981">
        <v>13</v>
      </c>
      <c r="O981">
        <v>11</v>
      </c>
      <c r="P981">
        <v>15</v>
      </c>
      <c r="Q981">
        <v>15</v>
      </c>
      <c r="R981">
        <v>14</v>
      </c>
      <c r="S981">
        <v>15</v>
      </c>
      <c r="T981">
        <f t="shared" si="47"/>
        <v>165</v>
      </c>
      <c r="U981">
        <v>1</v>
      </c>
    </row>
    <row r="982" spans="1:21" x14ac:dyDescent="0.3">
      <c r="A982" t="str">
        <f t="shared" si="45"/>
        <v>HillingdonShort term domiciliary care (pathway 1)3</v>
      </c>
      <c r="B982">
        <f>IF(C982="","",COUNTIF($C$2:C982,C982))</f>
        <v>3</v>
      </c>
      <c r="C982" t="str">
        <f t="shared" si="46"/>
        <v>HillingdonShort term domiciliary care (pathway 1)</v>
      </c>
      <c r="D982" t="str">
        <f>VLOOKUP(G982,PathwayLookup!A:B,2,0)</f>
        <v>Short term domiciliary care (pathway 1)</v>
      </c>
      <c r="E982" t="s">
        <v>177</v>
      </c>
      <c r="F982" t="s">
        <v>540</v>
      </c>
      <c r="G982" t="s">
        <v>684</v>
      </c>
      <c r="H982">
        <v>21</v>
      </c>
      <c r="I982">
        <v>22</v>
      </c>
      <c r="J982">
        <v>20</v>
      </c>
      <c r="K982">
        <v>20</v>
      </c>
      <c r="L982">
        <v>22</v>
      </c>
      <c r="M982">
        <v>20</v>
      </c>
      <c r="N982">
        <v>19</v>
      </c>
      <c r="O982">
        <v>17</v>
      </c>
      <c r="P982">
        <v>23</v>
      </c>
      <c r="Q982">
        <v>23</v>
      </c>
      <c r="R982">
        <v>21</v>
      </c>
      <c r="S982">
        <v>22</v>
      </c>
      <c r="T982">
        <f t="shared" si="47"/>
        <v>250</v>
      </c>
      <c r="U982">
        <v>1</v>
      </c>
    </row>
    <row r="983" spans="1:21" x14ac:dyDescent="0.3">
      <c r="A983" t="str">
        <f t="shared" si="45"/>
        <v>HillingdonShort term domiciliary care (pathway 1)4</v>
      </c>
      <c r="B983">
        <f>IF(C983="","",COUNTIF($C$2:C983,C983))</f>
        <v>4</v>
      </c>
      <c r="C983" t="str">
        <f t="shared" si="46"/>
        <v>HillingdonShort term domiciliary care (pathway 1)</v>
      </c>
      <c r="D983" t="str">
        <f>VLOOKUP(G983,PathwayLookup!A:B,2,0)</f>
        <v>Short term domiciliary care (pathway 1)</v>
      </c>
      <c r="E983" t="s">
        <v>177</v>
      </c>
      <c r="F983" t="s">
        <v>613</v>
      </c>
      <c r="G983" t="s">
        <v>684</v>
      </c>
      <c r="H983">
        <v>127</v>
      </c>
      <c r="I983">
        <v>134</v>
      </c>
      <c r="J983">
        <v>124</v>
      </c>
      <c r="K983">
        <v>124</v>
      </c>
      <c r="L983">
        <v>130</v>
      </c>
      <c r="M983">
        <v>122</v>
      </c>
      <c r="N983">
        <v>117</v>
      </c>
      <c r="O983">
        <v>102</v>
      </c>
      <c r="P983">
        <v>140</v>
      </c>
      <c r="Q983">
        <v>141</v>
      </c>
      <c r="R983">
        <v>125</v>
      </c>
      <c r="S983">
        <v>134</v>
      </c>
      <c r="T983">
        <f t="shared" si="47"/>
        <v>1520</v>
      </c>
      <c r="U983">
        <v>1</v>
      </c>
    </row>
    <row r="984" spans="1:21" x14ac:dyDescent="0.3">
      <c r="A984" t="str">
        <f t="shared" si="45"/>
        <v/>
      </c>
      <c r="B984" t="str">
        <f>IF(C984="","",COUNTIF($C$2:C984,C984))</f>
        <v/>
      </c>
      <c r="C984" t="str">
        <f t="shared" si="46"/>
        <v/>
      </c>
      <c r="D984" t="str">
        <f>VLOOKUP(G984,PathwayLookup!A:B,2,0)</f>
        <v>Reablement &amp; Rehabilitation in a bedded setting (pathway 2)</v>
      </c>
      <c r="E984" t="s">
        <v>177</v>
      </c>
      <c r="F984" t="s">
        <v>476</v>
      </c>
      <c r="G984" t="s">
        <v>722</v>
      </c>
      <c r="H984">
        <v>0</v>
      </c>
      <c r="I984">
        <v>0</v>
      </c>
      <c r="J984">
        <v>0</v>
      </c>
      <c r="K984">
        <v>0</v>
      </c>
      <c r="L984">
        <v>0</v>
      </c>
      <c r="M984">
        <v>0</v>
      </c>
      <c r="N984">
        <v>0</v>
      </c>
      <c r="O984">
        <v>0</v>
      </c>
      <c r="P984">
        <v>0</v>
      </c>
      <c r="Q984">
        <v>0</v>
      </c>
      <c r="R984">
        <v>0</v>
      </c>
      <c r="S984">
        <v>0</v>
      </c>
      <c r="T984">
        <f t="shared" si="47"/>
        <v>0</v>
      </c>
      <c r="U984">
        <v>1</v>
      </c>
    </row>
    <row r="985" spans="1:21" x14ac:dyDescent="0.3">
      <c r="A985" t="str">
        <f t="shared" si="45"/>
        <v/>
      </c>
      <c r="B985" t="str">
        <f>IF(C985="","",COUNTIF($C$2:C985,C985))</f>
        <v/>
      </c>
      <c r="C985" t="str">
        <f t="shared" si="46"/>
        <v/>
      </c>
      <c r="D985" t="str">
        <f>VLOOKUP(G985,PathwayLookup!A:B,2,0)</f>
        <v>Reablement &amp; Rehabilitation in a bedded setting (pathway 2)</v>
      </c>
      <c r="E985" t="s">
        <v>177</v>
      </c>
      <c r="F985" t="s">
        <v>520</v>
      </c>
      <c r="G985" t="s">
        <v>722</v>
      </c>
      <c r="H985">
        <v>0</v>
      </c>
      <c r="I985">
        <v>0</v>
      </c>
      <c r="J985">
        <v>0</v>
      </c>
      <c r="K985">
        <v>0</v>
      </c>
      <c r="L985">
        <v>0</v>
      </c>
      <c r="M985">
        <v>0</v>
      </c>
      <c r="N985">
        <v>0</v>
      </c>
      <c r="O985">
        <v>0</v>
      </c>
      <c r="P985">
        <v>0</v>
      </c>
      <c r="Q985">
        <v>0</v>
      </c>
      <c r="R985">
        <v>0</v>
      </c>
      <c r="S985">
        <v>0</v>
      </c>
      <c r="T985">
        <f t="shared" si="47"/>
        <v>0</v>
      </c>
      <c r="U985">
        <v>1</v>
      </c>
    </row>
    <row r="986" spans="1:21" x14ac:dyDescent="0.3">
      <c r="A986" t="str">
        <f t="shared" si="45"/>
        <v/>
      </c>
      <c r="B986" t="str">
        <f>IF(C986="","",COUNTIF($C$2:C986,C986))</f>
        <v/>
      </c>
      <c r="C986" t="str">
        <f t="shared" si="46"/>
        <v/>
      </c>
      <c r="D986" t="str">
        <f>VLOOKUP(G986,PathwayLookup!A:B,2,0)</f>
        <v>Reablement &amp; Rehabilitation in a bedded setting (pathway 2)</v>
      </c>
      <c r="E986" t="s">
        <v>177</v>
      </c>
      <c r="F986" t="s">
        <v>540</v>
      </c>
      <c r="G986" t="s">
        <v>722</v>
      </c>
      <c r="H986">
        <v>0</v>
      </c>
      <c r="I986">
        <v>0</v>
      </c>
      <c r="J986">
        <v>0</v>
      </c>
      <c r="K986">
        <v>0</v>
      </c>
      <c r="L986">
        <v>0</v>
      </c>
      <c r="M986">
        <v>0</v>
      </c>
      <c r="N986">
        <v>0</v>
      </c>
      <c r="O986">
        <v>0</v>
      </c>
      <c r="P986">
        <v>0</v>
      </c>
      <c r="Q986">
        <v>0</v>
      </c>
      <c r="R986">
        <v>0</v>
      </c>
      <c r="S986">
        <v>0</v>
      </c>
      <c r="T986">
        <f t="shared" si="47"/>
        <v>0</v>
      </c>
      <c r="U986">
        <v>1</v>
      </c>
    </row>
    <row r="987" spans="1:21" x14ac:dyDescent="0.3">
      <c r="A987" t="str">
        <f t="shared" si="45"/>
        <v/>
      </c>
      <c r="B987" t="str">
        <f>IF(C987="","",COUNTIF($C$2:C987,C987))</f>
        <v/>
      </c>
      <c r="C987" t="str">
        <f t="shared" si="46"/>
        <v/>
      </c>
      <c r="D987" t="str">
        <f>VLOOKUP(G987,PathwayLookup!A:B,2,0)</f>
        <v>Reablement &amp; Rehabilitation in a bedded setting (pathway 2)</v>
      </c>
      <c r="E987" t="s">
        <v>177</v>
      </c>
      <c r="F987" t="s">
        <v>613</v>
      </c>
      <c r="G987" t="s">
        <v>722</v>
      </c>
      <c r="H987">
        <v>0</v>
      </c>
      <c r="I987">
        <v>0</v>
      </c>
      <c r="J987">
        <v>0</v>
      </c>
      <c r="K987">
        <v>0</v>
      </c>
      <c r="L987">
        <v>0</v>
      </c>
      <c r="M987">
        <v>0</v>
      </c>
      <c r="N987">
        <v>0</v>
      </c>
      <c r="O987">
        <v>0</v>
      </c>
      <c r="P987">
        <v>0</v>
      </c>
      <c r="Q987">
        <v>0</v>
      </c>
      <c r="R987">
        <v>0</v>
      </c>
      <c r="S987">
        <v>0</v>
      </c>
      <c r="T987">
        <f t="shared" si="47"/>
        <v>0</v>
      </c>
      <c r="U987">
        <v>1</v>
      </c>
    </row>
    <row r="988" spans="1:21" x14ac:dyDescent="0.3">
      <c r="A988" t="str">
        <f t="shared" si="45"/>
        <v>HillingdonReablement &amp; Rehabilitation in a bedded setting (pathway 2)1</v>
      </c>
      <c r="B988">
        <f>IF(C988="","",COUNTIF($C$2:C988,C988))</f>
        <v>1</v>
      </c>
      <c r="C988" t="str">
        <f t="shared" si="46"/>
        <v>HillingdonRehabilitation in a bedded setting (pathway 2)</v>
      </c>
      <c r="D988" t="str">
        <f>VLOOKUP(G988,PathwayLookup!A:B,2,0)</f>
        <v>Reablement &amp; Rehabilitation in a bedded setting (pathway 2)</v>
      </c>
      <c r="E988" t="s">
        <v>177</v>
      </c>
      <c r="F988" t="s">
        <v>476</v>
      </c>
      <c r="G988" t="s">
        <v>724</v>
      </c>
      <c r="H988">
        <v>1</v>
      </c>
      <c r="I988">
        <v>1</v>
      </c>
      <c r="J988">
        <v>1</v>
      </c>
      <c r="K988">
        <v>1</v>
      </c>
      <c r="L988">
        <v>1</v>
      </c>
      <c r="M988">
        <v>1</v>
      </c>
      <c r="N988">
        <v>1</v>
      </c>
      <c r="O988">
        <v>1</v>
      </c>
      <c r="P988">
        <v>1</v>
      </c>
      <c r="Q988">
        <v>2</v>
      </c>
      <c r="R988">
        <v>1</v>
      </c>
      <c r="S988">
        <v>1</v>
      </c>
      <c r="T988">
        <f t="shared" si="47"/>
        <v>13</v>
      </c>
      <c r="U988">
        <v>1</v>
      </c>
    </row>
    <row r="989" spans="1:21" x14ac:dyDescent="0.3">
      <c r="A989" t="str">
        <f t="shared" si="45"/>
        <v>HillingdonReablement &amp; Rehabilitation in a bedded setting (pathway 2)2</v>
      </c>
      <c r="B989">
        <f>IF(C989="","",COUNTIF($C$2:C989,C989))</f>
        <v>2</v>
      </c>
      <c r="C989" t="str">
        <f t="shared" si="46"/>
        <v>HillingdonRehabilitation in a bedded setting (pathway 2)</v>
      </c>
      <c r="D989" t="str">
        <f>VLOOKUP(G989,PathwayLookup!A:B,2,0)</f>
        <v>Reablement &amp; Rehabilitation in a bedded setting (pathway 2)</v>
      </c>
      <c r="E989" t="s">
        <v>177</v>
      </c>
      <c r="F989" t="s">
        <v>520</v>
      </c>
      <c r="G989" t="s">
        <v>724</v>
      </c>
      <c r="H989">
        <v>3</v>
      </c>
      <c r="I989">
        <v>2</v>
      </c>
      <c r="J989">
        <v>2</v>
      </c>
      <c r="K989">
        <v>2</v>
      </c>
      <c r="L989">
        <v>2</v>
      </c>
      <c r="M989">
        <v>2</v>
      </c>
      <c r="N989">
        <v>2</v>
      </c>
      <c r="O989">
        <v>2</v>
      </c>
      <c r="P989">
        <v>3</v>
      </c>
      <c r="Q989">
        <v>4</v>
      </c>
      <c r="R989">
        <v>2</v>
      </c>
      <c r="S989">
        <v>3</v>
      </c>
      <c r="T989">
        <f t="shared" si="47"/>
        <v>29</v>
      </c>
      <c r="U989">
        <v>1</v>
      </c>
    </row>
    <row r="990" spans="1:21" x14ac:dyDescent="0.3">
      <c r="A990" t="str">
        <f t="shared" si="45"/>
        <v>HillingdonReablement &amp; Rehabilitation in a bedded setting (pathway 2)3</v>
      </c>
      <c r="B990">
        <f>IF(C990="","",COUNTIF($C$2:C990,C990))</f>
        <v>3</v>
      </c>
      <c r="C990" t="str">
        <f t="shared" si="46"/>
        <v>HillingdonRehabilitation in a bedded setting (pathway 2)</v>
      </c>
      <c r="D990" t="str">
        <f>VLOOKUP(G990,PathwayLookup!A:B,2,0)</f>
        <v>Reablement &amp; Rehabilitation in a bedded setting (pathway 2)</v>
      </c>
      <c r="E990" t="s">
        <v>177</v>
      </c>
      <c r="F990" t="s">
        <v>540</v>
      </c>
      <c r="G990" t="s">
        <v>724</v>
      </c>
      <c r="H990">
        <v>6</v>
      </c>
      <c r="I990">
        <v>8</v>
      </c>
      <c r="J990">
        <v>7</v>
      </c>
      <c r="K990">
        <v>6</v>
      </c>
      <c r="L990">
        <v>6</v>
      </c>
      <c r="M990">
        <v>6</v>
      </c>
      <c r="N990">
        <v>7</v>
      </c>
      <c r="O990">
        <v>7</v>
      </c>
      <c r="P990">
        <v>7</v>
      </c>
      <c r="Q990">
        <v>8</v>
      </c>
      <c r="R990">
        <v>6</v>
      </c>
      <c r="S990">
        <v>7</v>
      </c>
      <c r="T990">
        <f t="shared" si="47"/>
        <v>81</v>
      </c>
      <c r="U990">
        <v>1</v>
      </c>
    </row>
    <row r="991" spans="1:21" x14ac:dyDescent="0.3">
      <c r="A991" t="str">
        <f t="shared" si="45"/>
        <v>HillingdonReablement &amp; Rehabilitation in a bedded setting (pathway 2)4</v>
      </c>
      <c r="B991">
        <f>IF(C991="","",COUNTIF($C$2:C991,C991))</f>
        <v>4</v>
      </c>
      <c r="C991" t="str">
        <f t="shared" si="46"/>
        <v>HillingdonRehabilitation in a bedded setting (pathway 2)</v>
      </c>
      <c r="D991" t="str">
        <f>VLOOKUP(G991,PathwayLookup!A:B,2,0)</f>
        <v>Reablement &amp; Rehabilitation in a bedded setting (pathway 2)</v>
      </c>
      <c r="E991" t="s">
        <v>177</v>
      </c>
      <c r="F991" t="s">
        <v>613</v>
      </c>
      <c r="G991" t="s">
        <v>724</v>
      </c>
      <c r="H991">
        <v>24</v>
      </c>
      <c r="I991">
        <v>22</v>
      </c>
      <c r="J991">
        <v>20</v>
      </c>
      <c r="K991">
        <v>20</v>
      </c>
      <c r="L991">
        <v>20</v>
      </c>
      <c r="M991">
        <v>17</v>
      </c>
      <c r="N991">
        <v>15</v>
      </c>
      <c r="O991">
        <v>14</v>
      </c>
      <c r="P991">
        <v>29</v>
      </c>
      <c r="Q991">
        <v>35</v>
      </c>
      <c r="R991">
        <v>15</v>
      </c>
      <c r="S991">
        <v>26</v>
      </c>
      <c r="T991">
        <f t="shared" si="47"/>
        <v>257</v>
      </c>
      <c r="U991">
        <v>1</v>
      </c>
    </row>
    <row r="992" spans="1:21" x14ac:dyDescent="0.3">
      <c r="A992" t="str">
        <f t="shared" si="45"/>
        <v>HillingdonShort-term residential/nursing care for someone likely to require a longer-term care home placement (pathway 3)1</v>
      </c>
      <c r="B992">
        <f>IF(C992="","",COUNTIF($C$2:C992,C992))</f>
        <v>1</v>
      </c>
      <c r="C992" t="str">
        <f t="shared" si="46"/>
        <v>HillingdonShort-term residential/nursing care for someone likely to require a longer-term care home placement (pathway 3)</v>
      </c>
      <c r="D992" t="str">
        <f>VLOOKUP(G992,PathwayLookup!A:B,2,0)</f>
        <v>Short-term residential/nursing care for someone likely to require a longer-term care home placement (pathway 3)</v>
      </c>
      <c r="E992" t="s">
        <v>177</v>
      </c>
      <c r="F992" t="s">
        <v>476</v>
      </c>
      <c r="G992" t="s">
        <v>686</v>
      </c>
      <c r="H992">
        <v>2</v>
      </c>
      <c r="I992">
        <v>2</v>
      </c>
      <c r="J992">
        <v>1</v>
      </c>
      <c r="K992">
        <v>1</v>
      </c>
      <c r="L992">
        <v>2</v>
      </c>
      <c r="M992">
        <v>1</v>
      </c>
      <c r="N992">
        <v>2</v>
      </c>
      <c r="O992">
        <v>2</v>
      </c>
      <c r="P992">
        <v>2</v>
      </c>
      <c r="Q992">
        <v>2</v>
      </c>
      <c r="R992">
        <v>3</v>
      </c>
      <c r="S992">
        <v>1</v>
      </c>
      <c r="T992">
        <f t="shared" si="47"/>
        <v>21</v>
      </c>
      <c r="U992">
        <v>1</v>
      </c>
    </row>
    <row r="993" spans="1:21" x14ac:dyDescent="0.3">
      <c r="A993" t="str">
        <f t="shared" si="45"/>
        <v>HillingdonShort-term residential/nursing care for someone likely to require a longer-term care home placement (pathway 3)2</v>
      </c>
      <c r="B993">
        <f>IF(C993="","",COUNTIF($C$2:C993,C993))</f>
        <v>2</v>
      </c>
      <c r="C993" t="str">
        <f t="shared" si="46"/>
        <v>HillingdonShort-term residential/nursing care for someone likely to require a longer-term care home placement (pathway 3)</v>
      </c>
      <c r="D993" t="str">
        <f>VLOOKUP(G993,PathwayLookup!A:B,2,0)</f>
        <v>Short-term residential/nursing care for someone likely to require a longer-term care home placement (pathway 3)</v>
      </c>
      <c r="E993" t="s">
        <v>177</v>
      </c>
      <c r="F993" t="s">
        <v>520</v>
      </c>
      <c r="G993" t="s">
        <v>686</v>
      </c>
      <c r="H993">
        <v>4</v>
      </c>
      <c r="I993">
        <v>5</v>
      </c>
      <c r="J993">
        <v>4</v>
      </c>
      <c r="K993">
        <v>5</v>
      </c>
      <c r="L993">
        <v>4</v>
      </c>
      <c r="M993">
        <v>4</v>
      </c>
      <c r="N993">
        <v>5</v>
      </c>
      <c r="O993">
        <v>5</v>
      </c>
      <c r="P993">
        <v>5</v>
      </c>
      <c r="Q993">
        <v>5</v>
      </c>
      <c r="R993">
        <v>5</v>
      </c>
      <c r="S993">
        <v>5</v>
      </c>
      <c r="T993">
        <f t="shared" si="47"/>
        <v>56</v>
      </c>
      <c r="U993">
        <v>1</v>
      </c>
    </row>
    <row r="994" spans="1:21" x14ac:dyDescent="0.3">
      <c r="A994" t="str">
        <f t="shared" si="45"/>
        <v>HillingdonShort-term residential/nursing care for someone likely to require a longer-term care home placement (pathway 3)3</v>
      </c>
      <c r="B994">
        <f>IF(C994="","",COUNTIF($C$2:C994,C994))</f>
        <v>3</v>
      </c>
      <c r="C994" t="str">
        <f t="shared" si="46"/>
        <v>HillingdonShort-term residential/nursing care for someone likely to require a longer-term care home placement (pathway 3)</v>
      </c>
      <c r="D994" t="str">
        <f>VLOOKUP(G994,PathwayLookup!A:B,2,0)</f>
        <v>Short-term residential/nursing care for someone likely to require a longer-term care home placement (pathway 3)</v>
      </c>
      <c r="E994" t="s">
        <v>177</v>
      </c>
      <c r="F994" t="s">
        <v>540</v>
      </c>
      <c r="G994" t="s">
        <v>686</v>
      </c>
      <c r="H994">
        <v>9</v>
      </c>
      <c r="I994">
        <v>9</v>
      </c>
      <c r="J994">
        <v>8</v>
      </c>
      <c r="K994">
        <v>8</v>
      </c>
      <c r="L994">
        <v>8</v>
      </c>
      <c r="M994">
        <v>8</v>
      </c>
      <c r="N994">
        <v>9</v>
      </c>
      <c r="O994">
        <v>10</v>
      </c>
      <c r="P994">
        <v>9</v>
      </c>
      <c r="Q994">
        <v>11</v>
      </c>
      <c r="R994">
        <v>10</v>
      </c>
      <c r="S994">
        <v>9</v>
      </c>
      <c r="T994">
        <f t="shared" si="47"/>
        <v>108</v>
      </c>
      <c r="U994">
        <v>1</v>
      </c>
    </row>
    <row r="995" spans="1:21" x14ac:dyDescent="0.3">
      <c r="A995" t="str">
        <f t="shared" si="45"/>
        <v>HillingdonShort-term residential/nursing care for someone likely to require a longer-term care home placement (pathway 3)4</v>
      </c>
      <c r="B995">
        <f>IF(C995="","",COUNTIF($C$2:C995,C995))</f>
        <v>4</v>
      </c>
      <c r="C995" t="str">
        <f t="shared" si="46"/>
        <v>HillingdonShort-term residential/nursing care for someone likely to require a longer-term care home placement (pathway 3)</v>
      </c>
      <c r="D995" t="str">
        <f>VLOOKUP(G995,PathwayLookup!A:B,2,0)</f>
        <v>Short-term residential/nursing care for someone likely to require a longer-term care home placement (pathway 3)</v>
      </c>
      <c r="E995" t="s">
        <v>177</v>
      </c>
      <c r="F995" t="s">
        <v>613</v>
      </c>
      <c r="G995" t="s">
        <v>686</v>
      </c>
      <c r="H995">
        <v>44</v>
      </c>
      <c r="I995">
        <v>49</v>
      </c>
      <c r="J995">
        <v>46</v>
      </c>
      <c r="K995">
        <v>47</v>
      </c>
      <c r="L995">
        <v>46</v>
      </c>
      <c r="M995">
        <v>47</v>
      </c>
      <c r="N995">
        <v>46</v>
      </c>
      <c r="O995">
        <v>46</v>
      </c>
      <c r="P995">
        <v>46</v>
      </c>
      <c r="Q995">
        <v>48</v>
      </c>
      <c r="R995">
        <v>47</v>
      </c>
      <c r="S995">
        <v>51</v>
      </c>
      <c r="T995">
        <f t="shared" si="47"/>
        <v>563</v>
      </c>
      <c r="U995">
        <v>1</v>
      </c>
    </row>
    <row r="996" spans="1:21" x14ac:dyDescent="0.3">
      <c r="A996" t="str">
        <f t="shared" si="45"/>
        <v>HounslowSocial support (including VCS) (pathway 0)1</v>
      </c>
      <c r="B996">
        <f>IF(C996="","",COUNTIF($C$2:C996,C996))</f>
        <v>1</v>
      </c>
      <c r="C996" t="str">
        <f t="shared" si="46"/>
        <v>HounslowSocial support (including VCS) (pathway 0)</v>
      </c>
      <c r="D996" t="str">
        <f>VLOOKUP(G996,PathwayLookup!A:B,2,0)</f>
        <v>Social support (including VCS) (pathway 0)</v>
      </c>
      <c r="E996" t="s">
        <v>179</v>
      </c>
      <c r="F996" t="s">
        <v>476</v>
      </c>
      <c r="G996" t="s">
        <v>682</v>
      </c>
      <c r="H996">
        <v>1881.67968</v>
      </c>
      <c r="I996">
        <v>2101.5498600000001</v>
      </c>
      <c r="J996">
        <v>1989.0581400000001</v>
      </c>
      <c r="K996">
        <v>2079.3924000000002</v>
      </c>
      <c r="L996">
        <v>2111.7763799999998</v>
      </c>
      <c r="M996">
        <v>2055.5305199999998</v>
      </c>
      <c r="N996">
        <v>2113.4807999999998</v>
      </c>
      <c r="O996">
        <v>2128.8205800000001</v>
      </c>
      <c r="P996">
        <v>2098.14102</v>
      </c>
      <c r="Q996">
        <v>2093.87997</v>
      </c>
      <c r="R996">
        <v>2063.2004099999999</v>
      </c>
      <c r="S996">
        <v>2162.0567699999997</v>
      </c>
      <c r="T996">
        <f t="shared" si="47"/>
        <v>24878.566529999996</v>
      </c>
      <c r="U996">
        <v>1</v>
      </c>
    </row>
    <row r="997" spans="1:21" x14ac:dyDescent="0.3">
      <c r="A997" t="str">
        <f t="shared" si="45"/>
        <v>HounslowSocial support (including VCS) (pathway 0)2</v>
      </c>
      <c r="B997">
        <f>IF(C997="","",COUNTIF($C$2:C997,C997))</f>
        <v>2</v>
      </c>
      <c r="C997" t="str">
        <f t="shared" si="46"/>
        <v>HounslowSocial support (including VCS) (pathway 0)</v>
      </c>
      <c r="D997" t="str">
        <f>VLOOKUP(G997,PathwayLookup!A:B,2,0)</f>
        <v>Social support (including VCS) (pathway 0)</v>
      </c>
      <c r="E997" t="s">
        <v>179</v>
      </c>
      <c r="F997" t="s">
        <v>520</v>
      </c>
      <c r="G997" t="s">
        <v>682</v>
      </c>
      <c r="H997">
        <v>357.9282</v>
      </c>
      <c r="I997">
        <v>358.78041000000002</v>
      </c>
      <c r="J997">
        <v>339.17957999999999</v>
      </c>
      <c r="K997">
        <v>378.38123999999999</v>
      </c>
      <c r="L997">
        <v>366.45030000000003</v>
      </c>
      <c r="M997">
        <v>360.48482999999999</v>
      </c>
      <c r="N997">
        <v>322.98759000000001</v>
      </c>
      <c r="O997">
        <v>349.40609999999998</v>
      </c>
      <c r="P997">
        <v>317.87432999999999</v>
      </c>
      <c r="Q997">
        <v>357.9282</v>
      </c>
      <c r="R997">
        <v>330.65748000000002</v>
      </c>
      <c r="S997">
        <v>386.05113</v>
      </c>
      <c r="T997">
        <f t="shared" si="47"/>
        <v>4226.1093900000005</v>
      </c>
      <c r="U997">
        <v>1</v>
      </c>
    </row>
    <row r="998" spans="1:21" x14ac:dyDescent="0.3">
      <c r="A998" t="str">
        <f t="shared" si="45"/>
        <v>HounslowSocial support (including VCS) (pathway 0)3</v>
      </c>
      <c r="B998">
        <f>IF(C998="","",COUNTIF($C$2:C998,C998))</f>
        <v>3</v>
      </c>
      <c r="C998" t="str">
        <f t="shared" si="46"/>
        <v>HounslowSocial support (including VCS) (pathway 0)</v>
      </c>
      <c r="D998" t="str">
        <f>VLOOKUP(G998,PathwayLookup!A:B,2,0)</f>
        <v>Social support (including VCS) (pathway 0)</v>
      </c>
      <c r="E998" t="s">
        <v>179</v>
      </c>
      <c r="F998" t="s">
        <v>540</v>
      </c>
      <c r="G998" t="s">
        <v>682</v>
      </c>
      <c r="H998">
        <v>94.595309999999998</v>
      </c>
      <c r="I998">
        <v>90.33426</v>
      </c>
      <c r="J998">
        <v>92.038679999999999</v>
      </c>
      <c r="K998">
        <v>90.33426</v>
      </c>
      <c r="L998">
        <v>86.925420000000003</v>
      </c>
      <c r="M998">
        <v>78.403319999999994</v>
      </c>
      <c r="N998">
        <v>72.437849999999997</v>
      </c>
      <c r="O998">
        <v>81.812160000000006</v>
      </c>
      <c r="P998">
        <v>75.846690000000009</v>
      </c>
      <c r="Q998">
        <v>91.18647</v>
      </c>
      <c r="R998">
        <v>69.881219999999999</v>
      </c>
      <c r="S998">
        <v>86.073210000000003</v>
      </c>
      <c r="T998">
        <f t="shared" si="47"/>
        <v>1009.8688500000001</v>
      </c>
      <c r="U998">
        <v>1</v>
      </c>
    </row>
    <row r="999" spans="1:21" x14ac:dyDescent="0.3">
      <c r="A999" t="str">
        <f t="shared" si="45"/>
        <v>HounslowSocial support (including VCS) (pathway 0)4</v>
      </c>
      <c r="B999">
        <f>IF(C999="","",COUNTIF($C$2:C999,C999))</f>
        <v>4</v>
      </c>
      <c r="C999" t="str">
        <f t="shared" si="46"/>
        <v>HounslowSocial support (including VCS) (pathway 0)</v>
      </c>
      <c r="D999" t="str">
        <f>VLOOKUP(G999,PathwayLookup!A:B,2,0)</f>
        <v>Social support (including VCS) (pathway 0)</v>
      </c>
      <c r="E999" t="s">
        <v>179</v>
      </c>
      <c r="F999" t="s">
        <v>613</v>
      </c>
      <c r="G999" t="s">
        <v>682</v>
      </c>
      <c r="H999">
        <v>36.645029999999998</v>
      </c>
      <c r="I999">
        <v>36.645029999999998</v>
      </c>
      <c r="J999">
        <v>38.349449999999997</v>
      </c>
      <c r="K999">
        <v>35.792820000000006</v>
      </c>
      <c r="L999">
        <v>30.679559999999999</v>
      </c>
      <c r="M999">
        <v>32.383980000000001</v>
      </c>
      <c r="N999">
        <v>33.236190000000001</v>
      </c>
      <c r="O999">
        <v>31.531770000000002</v>
      </c>
      <c r="P999">
        <v>45.16713</v>
      </c>
      <c r="Q999">
        <v>34.0884</v>
      </c>
      <c r="R999">
        <v>31.531770000000002</v>
      </c>
      <c r="S999">
        <v>34.0884</v>
      </c>
      <c r="T999">
        <f t="shared" si="47"/>
        <v>420.13952999999998</v>
      </c>
      <c r="U999">
        <v>1</v>
      </c>
    </row>
    <row r="1000" spans="1:21" x14ac:dyDescent="0.3">
      <c r="A1000" t="str">
        <f t="shared" si="45"/>
        <v>HounslowReablement &amp; Rehabilitation at home  (pathway 1)1</v>
      </c>
      <c r="B1000">
        <f>IF(C1000="","",COUNTIF($C$2:C1000,C1000))</f>
        <v>1</v>
      </c>
      <c r="C1000" t="str">
        <f t="shared" si="46"/>
        <v>HounslowReablement at home  (pathway 1)</v>
      </c>
      <c r="D1000" t="str">
        <f>VLOOKUP(G1000,PathwayLookup!A:B,2,0)</f>
        <v>Reablement &amp; Rehabilitation at home  (pathway 1)</v>
      </c>
      <c r="E1000" t="s">
        <v>179</v>
      </c>
      <c r="F1000" t="s">
        <v>476</v>
      </c>
      <c r="G1000" t="s">
        <v>718</v>
      </c>
      <c r="H1000">
        <v>30.397403520000001</v>
      </c>
      <c r="I1000">
        <v>33.949274040000006</v>
      </c>
      <c r="J1000">
        <v>32.132037960000005</v>
      </c>
      <c r="K1000">
        <v>33.591333599999999</v>
      </c>
      <c r="L1000">
        <v>34.114477319999999</v>
      </c>
      <c r="M1000">
        <v>33.205859279999999</v>
      </c>
      <c r="N1000">
        <v>34.142011199999999</v>
      </c>
      <c r="O1000">
        <v>34.389816120000006</v>
      </c>
      <c r="P1000">
        <v>33.894206279999999</v>
      </c>
      <c r="Q1000">
        <v>33.825371580000002</v>
      </c>
      <c r="R1000">
        <v>33.329761740000002</v>
      </c>
      <c r="S1000">
        <v>34.926726779999996</v>
      </c>
      <c r="T1000">
        <f t="shared" si="47"/>
        <v>401.89827941999999</v>
      </c>
      <c r="U1000">
        <v>1</v>
      </c>
    </row>
    <row r="1001" spans="1:21" x14ac:dyDescent="0.3">
      <c r="A1001" t="str">
        <f t="shared" si="45"/>
        <v>HounslowReablement &amp; Rehabilitation at home  (pathway 1)2</v>
      </c>
      <c r="B1001">
        <f>IF(C1001="","",COUNTIF($C$2:C1001,C1001))</f>
        <v>2</v>
      </c>
      <c r="C1001" t="str">
        <f t="shared" si="46"/>
        <v>HounslowReablement at home  (pathway 1)</v>
      </c>
      <c r="D1001" t="str">
        <f>VLOOKUP(G1001,PathwayLookup!A:B,2,0)</f>
        <v>Reablement &amp; Rehabilitation at home  (pathway 1)</v>
      </c>
      <c r="E1001" t="s">
        <v>179</v>
      </c>
      <c r="F1001" t="s">
        <v>520</v>
      </c>
      <c r="G1001" t="s">
        <v>718</v>
      </c>
      <c r="H1001">
        <v>5.7821148000000004</v>
      </c>
      <c r="I1001">
        <v>5.7958817399999996</v>
      </c>
      <c r="J1001">
        <v>5.4792421200000003</v>
      </c>
      <c r="K1001">
        <v>6.1125213599999997</v>
      </c>
      <c r="L1001">
        <v>5.9197842000000005</v>
      </c>
      <c r="M1001">
        <v>5.8234156200000005</v>
      </c>
      <c r="N1001">
        <v>5.2176702600000002</v>
      </c>
      <c r="O1001">
        <v>5.6444453999999995</v>
      </c>
      <c r="P1001">
        <v>5.1350686200000002</v>
      </c>
      <c r="Q1001">
        <v>5.7821148000000004</v>
      </c>
      <c r="R1001">
        <v>5.3415727200000003</v>
      </c>
      <c r="S1001">
        <v>6.2364238200000006</v>
      </c>
      <c r="T1001">
        <f t="shared" si="47"/>
        <v>68.270255460000001</v>
      </c>
      <c r="U1001">
        <v>1</v>
      </c>
    </row>
    <row r="1002" spans="1:21" x14ac:dyDescent="0.3">
      <c r="A1002" t="str">
        <f t="shared" si="45"/>
        <v>HounslowReablement &amp; Rehabilitation at home  (pathway 1)3</v>
      </c>
      <c r="B1002">
        <f>IF(C1002="","",COUNTIF($C$2:C1002,C1002))</f>
        <v>3</v>
      </c>
      <c r="C1002" t="str">
        <f t="shared" si="46"/>
        <v>HounslowReablement at home  (pathway 1)</v>
      </c>
      <c r="D1002" t="str">
        <f>VLOOKUP(G1002,PathwayLookup!A:B,2,0)</f>
        <v>Reablement &amp; Rehabilitation at home  (pathway 1)</v>
      </c>
      <c r="E1002" t="s">
        <v>179</v>
      </c>
      <c r="F1002" t="s">
        <v>540</v>
      </c>
      <c r="G1002" t="s">
        <v>718</v>
      </c>
      <c r="H1002">
        <v>1.5281303399999999</v>
      </c>
      <c r="I1002">
        <v>1.4592956399999999</v>
      </c>
      <c r="J1002">
        <v>1.4868295199999999</v>
      </c>
      <c r="K1002">
        <v>1.4592956399999999</v>
      </c>
      <c r="L1002">
        <v>1.4042278800000003</v>
      </c>
      <c r="M1002">
        <v>1.2665584800000005</v>
      </c>
      <c r="N1002">
        <v>1.1701899</v>
      </c>
      <c r="O1002">
        <v>1.3216262400000001</v>
      </c>
      <c r="P1002">
        <v>1.22525766</v>
      </c>
      <c r="Q1002">
        <v>1.4730625799999999</v>
      </c>
      <c r="R1002">
        <v>1.1288890800000002</v>
      </c>
      <c r="S1002">
        <v>1.3904609400000001</v>
      </c>
      <c r="T1002">
        <f t="shared" si="47"/>
        <v>16.313823900000003</v>
      </c>
      <c r="U1002">
        <v>1</v>
      </c>
    </row>
    <row r="1003" spans="1:21" x14ac:dyDescent="0.3">
      <c r="A1003" t="str">
        <f t="shared" si="45"/>
        <v>HounslowReablement &amp; Rehabilitation at home  (pathway 1)4</v>
      </c>
      <c r="B1003">
        <f>IF(C1003="","",COUNTIF($C$2:C1003,C1003))</f>
        <v>4</v>
      </c>
      <c r="C1003" t="str">
        <f t="shared" si="46"/>
        <v>HounslowReablement at home  (pathway 1)</v>
      </c>
      <c r="D1003" t="str">
        <f>VLOOKUP(G1003,PathwayLookup!A:B,2,0)</f>
        <v>Reablement &amp; Rehabilitation at home  (pathway 1)</v>
      </c>
      <c r="E1003" t="s">
        <v>179</v>
      </c>
      <c r="F1003" t="s">
        <v>613</v>
      </c>
      <c r="G1003" t="s">
        <v>718</v>
      </c>
      <c r="H1003">
        <v>0.59197842000000001</v>
      </c>
      <c r="I1003">
        <v>0.59197842000000001</v>
      </c>
      <c r="J1003">
        <v>0.61951230000000002</v>
      </c>
      <c r="K1003">
        <v>0.57821148000000011</v>
      </c>
      <c r="L1003">
        <v>0.49560984000000002</v>
      </c>
      <c r="M1003">
        <v>0.52314371999999998</v>
      </c>
      <c r="N1003">
        <v>0.53691065999999998</v>
      </c>
      <c r="O1003">
        <v>0.50937678000000008</v>
      </c>
      <c r="P1003">
        <v>0.72964781999999995</v>
      </c>
      <c r="Q1003">
        <v>0.55067759999999999</v>
      </c>
      <c r="R1003">
        <v>0.50937678000000008</v>
      </c>
      <c r="S1003">
        <v>0.55067759999999999</v>
      </c>
      <c r="T1003">
        <f t="shared" si="47"/>
        <v>6.7871014200000017</v>
      </c>
      <c r="U1003">
        <v>1</v>
      </c>
    </row>
    <row r="1004" spans="1:21" x14ac:dyDescent="0.3">
      <c r="A1004" t="str">
        <f t="shared" si="45"/>
        <v>HounslowReablement &amp; Rehabilitation at home  (pathway 1)1</v>
      </c>
      <c r="B1004">
        <f>IF(C1004="","",COUNTIF($C$2:C1004,C1004))</f>
        <v>1</v>
      </c>
      <c r="C1004" t="str">
        <f t="shared" si="46"/>
        <v>HounslowRehabilitation at home (pathway 1)</v>
      </c>
      <c r="D1004" t="str">
        <f>VLOOKUP(G1004,PathwayLookup!A:B,2,0)</f>
        <v>Reablement &amp; Rehabilitation at home  (pathway 1)</v>
      </c>
      <c r="E1004" t="s">
        <v>179</v>
      </c>
      <c r="F1004" t="s">
        <v>476</v>
      </c>
      <c r="G1004" t="s">
        <v>719</v>
      </c>
      <c r="H1004">
        <v>232.12562688</v>
      </c>
      <c r="I1004">
        <v>259.24900176</v>
      </c>
      <c r="J1004">
        <v>245.37192623999999</v>
      </c>
      <c r="K1004">
        <v>256.5156384</v>
      </c>
      <c r="L1004">
        <v>260.51055408000002</v>
      </c>
      <c r="M1004">
        <v>253.57201631999999</v>
      </c>
      <c r="N1004">
        <v>260.72081279999998</v>
      </c>
      <c r="O1004">
        <v>262.61314128000004</v>
      </c>
      <c r="P1004">
        <v>258.82848431999997</v>
      </c>
      <c r="Q1004">
        <v>258.30283751999997</v>
      </c>
      <c r="R1004">
        <v>254.51818055999999</v>
      </c>
      <c r="S1004">
        <v>266.71318631999998</v>
      </c>
      <c r="T1004">
        <f t="shared" si="47"/>
        <v>3069.0414064800007</v>
      </c>
      <c r="U1004">
        <v>1</v>
      </c>
    </row>
    <row r="1005" spans="1:21" x14ac:dyDescent="0.3">
      <c r="A1005" t="str">
        <f t="shared" si="45"/>
        <v>HounslowReablement &amp; Rehabilitation at home  (pathway 1)2</v>
      </c>
      <c r="B1005">
        <f>IF(C1005="","",COUNTIF($C$2:C1005,C1005))</f>
        <v>2</v>
      </c>
      <c r="C1005" t="str">
        <f t="shared" si="46"/>
        <v>HounslowRehabilitation at home (pathway 1)</v>
      </c>
      <c r="D1005" t="str">
        <f>VLOOKUP(G1005,PathwayLookup!A:B,2,0)</f>
        <v>Reablement &amp; Rehabilitation at home  (pathway 1)</v>
      </c>
      <c r="E1005" t="s">
        <v>179</v>
      </c>
      <c r="F1005" t="s">
        <v>520</v>
      </c>
      <c r="G1005" t="s">
        <v>719</v>
      </c>
      <c r="H1005">
        <v>44.154331199999994</v>
      </c>
      <c r="I1005">
        <v>44.259460560000001</v>
      </c>
      <c r="J1005">
        <v>41.841485280000001</v>
      </c>
      <c r="K1005">
        <v>46.677435840000001</v>
      </c>
      <c r="L1005">
        <v>45.205624800000002</v>
      </c>
      <c r="M1005">
        <v>44.46971928</v>
      </c>
      <c r="N1005">
        <v>39.844027439999998</v>
      </c>
      <c r="O1005">
        <v>43.103037599999993</v>
      </c>
      <c r="P1005">
        <v>39.213251280000001</v>
      </c>
      <c r="Q1005">
        <v>44.154331199999994</v>
      </c>
      <c r="R1005">
        <v>40.79019168</v>
      </c>
      <c r="S1005">
        <v>47.623600080000003</v>
      </c>
      <c r="T1005">
        <f t="shared" si="47"/>
        <v>521.33649623999997</v>
      </c>
      <c r="U1005">
        <v>1</v>
      </c>
    </row>
    <row r="1006" spans="1:21" x14ac:dyDescent="0.3">
      <c r="A1006" t="str">
        <f t="shared" si="45"/>
        <v>HounslowReablement &amp; Rehabilitation at home  (pathway 1)3</v>
      </c>
      <c r="B1006">
        <f>IF(C1006="","",COUNTIF($C$2:C1006,C1006))</f>
        <v>3</v>
      </c>
      <c r="C1006" t="str">
        <f t="shared" si="46"/>
        <v>HounslowRehabilitation at home (pathway 1)</v>
      </c>
      <c r="D1006" t="str">
        <f>VLOOKUP(G1006,PathwayLookup!A:B,2,0)</f>
        <v>Reablement &amp; Rehabilitation at home  (pathway 1)</v>
      </c>
      <c r="E1006" t="s">
        <v>179</v>
      </c>
      <c r="F1006" t="s">
        <v>540</v>
      </c>
      <c r="G1006" t="s">
        <v>719</v>
      </c>
      <c r="H1006">
        <v>11.66935896</v>
      </c>
      <c r="I1006">
        <v>11.14371216</v>
      </c>
      <c r="J1006">
        <v>11.35397088</v>
      </c>
      <c r="K1006">
        <v>11.14371216</v>
      </c>
      <c r="L1006">
        <v>10.72319472</v>
      </c>
      <c r="M1006">
        <v>9.6719011200000011</v>
      </c>
      <c r="N1006">
        <v>8.9359956</v>
      </c>
      <c r="O1006">
        <v>10.09241856</v>
      </c>
      <c r="P1006">
        <v>9.3565130400000012</v>
      </c>
      <c r="Q1006">
        <v>11.248841519999999</v>
      </c>
      <c r="R1006">
        <v>8.6206075200000001</v>
      </c>
      <c r="S1006">
        <v>10.618065359999999</v>
      </c>
      <c r="T1006">
        <f t="shared" si="47"/>
        <v>124.5782916</v>
      </c>
      <c r="U1006">
        <v>1</v>
      </c>
    </row>
    <row r="1007" spans="1:21" x14ac:dyDescent="0.3">
      <c r="A1007" t="str">
        <f t="shared" si="45"/>
        <v>HounslowReablement &amp; Rehabilitation at home  (pathway 1)4</v>
      </c>
      <c r="B1007">
        <f>IF(C1007="","",COUNTIF($C$2:C1007,C1007))</f>
        <v>4</v>
      </c>
      <c r="C1007" t="str">
        <f t="shared" si="46"/>
        <v>HounslowRehabilitation at home (pathway 1)</v>
      </c>
      <c r="D1007" t="str">
        <f>VLOOKUP(G1007,PathwayLookup!A:B,2,0)</f>
        <v>Reablement &amp; Rehabilitation at home  (pathway 1)</v>
      </c>
      <c r="E1007" t="s">
        <v>179</v>
      </c>
      <c r="F1007" t="s">
        <v>613</v>
      </c>
      <c r="G1007" t="s">
        <v>719</v>
      </c>
      <c r="H1007">
        <v>4.5205624799999997</v>
      </c>
      <c r="I1007">
        <v>4.5205624799999997</v>
      </c>
      <c r="J1007">
        <v>4.7308211999999994</v>
      </c>
      <c r="K1007">
        <v>4.4154331200000003</v>
      </c>
      <c r="L1007">
        <v>3.7846569599999991</v>
      </c>
      <c r="M1007">
        <v>3.9949156800000001</v>
      </c>
      <c r="N1007">
        <v>4.1000450400000004</v>
      </c>
      <c r="O1007">
        <v>3.8897863199999998</v>
      </c>
      <c r="P1007">
        <v>5.5718560799999999</v>
      </c>
      <c r="Q1007">
        <v>4.2051743999999998</v>
      </c>
      <c r="R1007">
        <v>3.8897863199999998</v>
      </c>
      <c r="S1007">
        <v>4.2051743999999998</v>
      </c>
      <c r="T1007">
        <f t="shared" si="47"/>
        <v>51.828774479999993</v>
      </c>
      <c r="U1007">
        <v>1</v>
      </c>
    </row>
    <row r="1008" spans="1:21" x14ac:dyDescent="0.3">
      <c r="A1008" t="str">
        <f t="shared" si="45"/>
        <v>HounslowShort term domiciliary care (pathway 1)1</v>
      </c>
      <c r="B1008">
        <f>IF(C1008="","",COUNTIF($C$2:C1008,C1008))</f>
        <v>1</v>
      </c>
      <c r="C1008" t="str">
        <f t="shared" si="46"/>
        <v>HounslowShort term domiciliary care (pathway 1)</v>
      </c>
      <c r="D1008" t="str">
        <f>VLOOKUP(G1008,PathwayLookup!A:B,2,0)</f>
        <v>Short term domiciliary care (pathway 1)</v>
      </c>
      <c r="E1008" t="s">
        <v>179</v>
      </c>
      <c r="F1008" t="s">
        <v>476</v>
      </c>
      <c r="G1008" t="s">
        <v>684</v>
      </c>
      <c r="H1008">
        <v>13.817001599999999</v>
      </c>
      <c r="I1008">
        <v>15.431488200000002</v>
      </c>
      <c r="J1008">
        <v>14.605471800000002</v>
      </c>
      <c r="K1008">
        <v>15.268788000000001</v>
      </c>
      <c r="L1008">
        <v>15.506580599999999</v>
      </c>
      <c r="M1008">
        <v>15.093572399999999</v>
      </c>
      <c r="N1008">
        <v>15.519095999999999</v>
      </c>
      <c r="O1008">
        <v>15.6317346</v>
      </c>
      <c r="P1008">
        <v>15.406457400000001</v>
      </c>
      <c r="Q1008">
        <v>15.3751689</v>
      </c>
      <c r="R1008">
        <v>15.1498917</v>
      </c>
      <c r="S1008">
        <v>15.875784899999999</v>
      </c>
      <c r="T1008">
        <f t="shared" si="47"/>
        <v>182.68103610000003</v>
      </c>
      <c r="U1008">
        <v>1</v>
      </c>
    </row>
    <row r="1009" spans="1:21" x14ac:dyDescent="0.3">
      <c r="A1009" t="str">
        <f t="shared" si="45"/>
        <v>HounslowShort term domiciliary care (pathway 1)2</v>
      </c>
      <c r="B1009">
        <f>IF(C1009="","",COUNTIF($C$2:C1009,C1009))</f>
        <v>2</v>
      </c>
      <c r="C1009" t="str">
        <f t="shared" si="46"/>
        <v>HounslowShort term domiciliary care (pathway 1)</v>
      </c>
      <c r="D1009" t="str">
        <f>VLOOKUP(G1009,PathwayLookup!A:B,2,0)</f>
        <v>Short term domiciliary care (pathway 1)</v>
      </c>
      <c r="E1009" t="s">
        <v>179</v>
      </c>
      <c r="F1009" t="s">
        <v>520</v>
      </c>
      <c r="G1009" t="s">
        <v>684</v>
      </c>
      <c r="H1009">
        <v>2.628234</v>
      </c>
      <c r="I1009">
        <v>2.6344917000000003</v>
      </c>
      <c r="J1009">
        <v>2.4905646000000004</v>
      </c>
      <c r="K1009">
        <v>2.7784188000000003</v>
      </c>
      <c r="L1009">
        <v>2.6908110000000001</v>
      </c>
      <c r="M1009">
        <v>2.6470071000000002</v>
      </c>
      <c r="N1009">
        <v>2.3716683000000001</v>
      </c>
      <c r="O1009">
        <v>2.5656569999999999</v>
      </c>
      <c r="P1009">
        <v>2.3341221000000001</v>
      </c>
      <c r="Q1009">
        <v>2.628234</v>
      </c>
      <c r="R1009">
        <v>2.4279875999999998</v>
      </c>
      <c r="S1009">
        <v>2.8347381000000005</v>
      </c>
      <c r="T1009">
        <f t="shared" si="47"/>
        <v>31.031934300000007</v>
      </c>
      <c r="U1009">
        <v>1</v>
      </c>
    </row>
    <row r="1010" spans="1:21" x14ac:dyDescent="0.3">
      <c r="A1010" t="str">
        <f t="shared" si="45"/>
        <v>HounslowShort term domiciliary care (pathway 1)3</v>
      </c>
      <c r="B1010">
        <f>IF(C1010="","",COUNTIF($C$2:C1010,C1010))</f>
        <v>3</v>
      </c>
      <c r="C1010" t="str">
        <f t="shared" si="46"/>
        <v>HounslowShort term domiciliary care (pathway 1)</v>
      </c>
      <c r="D1010" t="str">
        <f>VLOOKUP(G1010,PathwayLookup!A:B,2,0)</f>
        <v>Short term domiciliary care (pathway 1)</v>
      </c>
      <c r="E1010" t="s">
        <v>179</v>
      </c>
      <c r="F1010" t="s">
        <v>540</v>
      </c>
      <c r="G1010" t="s">
        <v>684</v>
      </c>
      <c r="H1010">
        <v>0.69460470000000007</v>
      </c>
      <c r="I1010">
        <v>0.66331620000000013</v>
      </c>
      <c r="J1010">
        <v>0.67583159999999998</v>
      </c>
      <c r="K1010">
        <v>0.66331620000000013</v>
      </c>
      <c r="L1010">
        <v>0.63828540000000011</v>
      </c>
      <c r="M1010">
        <v>0.57570840000000012</v>
      </c>
      <c r="N1010">
        <v>0.5319045</v>
      </c>
      <c r="O1010">
        <v>0.60073920000000003</v>
      </c>
      <c r="P1010">
        <v>0.55693530000000002</v>
      </c>
      <c r="Q1010">
        <v>0.66957390000000006</v>
      </c>
      <c r="R1010">
        <v>0.51313140000000013</v>
      </c>
      <c r="S1010">
        <v>0.63202770000000008</v>
      </c>
      <c r="T1010">
        <f t="shared" si="47"/>
        <v>7.4153745000000013</v>
      </c>
      <c r="U1010">
        <v>1</v>
      </c>
    </row>
    <row r="1011" spans="1:21" x14ac:dyDescent="0.3">
      <c r="A1011" t="str">
        <f t="shared" si="45"/>
        <v>HounslowShort term domiciliary care (pathway 1)4</v>
      </c>
      <c r="B1011">
        <f>IF(C1011="","",COUNTIF($C$2:C1011,C1011))</f>
        <v>4</v>
      </c>
      <c r="C1011" t="str">
        <f t="shared" si="46"/>
        <v>HounslowShort term domiciliary care (pathway 1)</v>
      </c>
      <c r="D1011" t="str">
        <f>VLOOKUP(G1011,PathwayLookup!A:B,2,0)</f>
        <v>Short term domiciliary care (pathway 1)</v>
      </c>
      <c r="E1011" t="s">
        <v>179</v>
      </c>
      <c r="F1011" t="s">
        <v>613</v>
      </c>
      <c r="G1011" t="s">
        <v>684</v>
      </c>
      <c r="H1011">
        <v>0.26908110000000002</v>
      </c>
      <c r="I1011">
        <v>0.26908110000000002</v>
      </c>
      <c r="J1011">
        <v>0.28159649999999997</v>
      </c>
      <c r="K1011">
        <v>0.26282340000000004</v>
      </c>
      <c r="L1011">
        <v>0.22527720000000001</v>
      </c>
      <c r="M1011">
        <v>0.23779259999999999</v>
      </c>
      <c r="N1011">
        <v>0.24405030000000005</v>
      </c>
      <c r="O1011">
        <v>0.23153490000000004</v>
      </c>
      <c r="P1011">
        <v>0.33165810000000007</v>
      </c>
      <c r="Q1011">
        <v>0.25030799999999997</v>
      </c>
      <c r="R1011">
        <v>0.23153490000000004</v>
      </c>
      <c r="S1011">
        <v>0.25030799999999997</v>
      </c>
      <c r="T1011">
        <f t="shared" si="47"/>
        <v>3.0850461</v>
      </c>
      <c r="U1011">
        <v>1</v>
      </c>
    </row>
    <row r="1012" spans="1:21" x14ac:dyDescent="0.3">
      <c r="A1012" t="str">
        <f t="shared" si="45"/>
        <v/>
      </c>
      <c r="B1012" t="str">
        <f>IF(C1012="","",COUNTIF($C$2:C1012,C1012))</f>
        <v/>
      </c>
      <c r="C1012" t="str">
        <f t="shared" si="46"/>
        <v/>
      </c>
      <c r="D1012" t="str">
        <f>VLOOKUP(G1012,PathwayLookup!A:B,2,0)</f>
        <v>Reablement &amp; Rehabilitation in a bedded setting (pathway 2)</v>
      </c>
      <c r="E1012" t="s">
        <v>179</v>
      </c>
      <c r="F1012" t="s">
        <v>476</v>
      </c>
      <c r="G1012" t="s">
        <v>722</v>
      </c>
      <c r="H1012">
        <v>0</v>
      </c>
      <c r="I1012">
        <v>0</v>
      </c>
      <c r="J1012">
        <v>0</v>
      </c>
      <c r="K1012">
        <v>0</v>
      </c>
      <c r="L1012">
        <v>0</v>
      </c>
      <c r="M1012">
        <v>0</v>
      </c>
      <c r="N1012">
        <v>0</v>
      </c>
      <c r="O1012">
        <v>0</v>
      </c>
      <c r="P1012">
        <v>0</v>
      </c>
      <c r="Q1012">
        <v>0</v>
      </c>
      <c r="R1012">
        <v>0</v>
      </c>
      <c r="S1012">
        <v>0</v>
      </c>
      <c r="T1012">
        <f t="shared" si="47"/>
        <v>0</v>
      </c>
      <c r="U1012">
        <v>1</v>
      </c>
    </row>
    <row r="1013" spans="1:21" x14ac:dyDescent="0.3">
      <c r="A1013" t="str">
        <f t="shared" si="45"/>
        <v/>
      </c>
      <c r="B1013" t="str">
        <f>IF(C1013="","",COUNTIF($C$2:C1013,C1013))</f>
        <v/>
      </c>
      <c r="C1013" t="str">
        <f t="shared" si="46"/>
        <v/>
      </c>
      <c r="D1013" t="str">
        <f>VLOOKUP(G1013,PathwayLookup!A:B,2,0)</f>
        <v>Reablement &amp; Rehabilitation in a bedded setting (pathway 2)</v>
      </c>
      <c r="E1013" t="s">
        <v>179</v>
      </c>
      <c r="F1013" t="s">
        <v>520</v>
      </c>
      <c r="G1013" t="s">
        <v>722</v>
      </c>
      <c r="H1013">
        <v>0</v>
      </c>
      <c r="I1013">
        <v>0</v>
      </c>
      <c r="J1013">
        <v>0</v>
      </c>
      <c r="K1013">
        <v>0</v>
      </c>
      <c r="L1013">
        <v>0</v>
      </c>
      <c r="M1013">
        <v>0</v>
      </c>
      <c r="N1013">
        <v>0</v>
      </c>
      <c r="O1013">
        <v>0</v>
      </c>
      <c r="P1013">
        <v>0</v>
      </c>
      <c r="Q1013">
        <v>0</v>
      </c>
      <c r="R1013">
        <v>0</v>
      </c>
      <c r="S1013">
        <v>0</v>
      </c>
      <c r="T1013">
        <f t="shared" si="47"/>
        <v>0</v>
      </c>
      <c r="U1013">
        <v>1</v>
      </c>
    </row>
    <row r="1014" spans="1:21" x14ac:dyDescent="0.3">
      <c r="A1014" t="str">
        <f t="shared" si="45"/>
        <v/>
      </c>
      <c r="B1014" t="str">
        <f>IF(C1014="","",COUNTIF($C$2:C1014,C1014))</f>
        <v/>
      </c>
      <c r="C1014" t="str">
        <f t="shared" si="46"/>
        <v/>
      </c>
      <c r="D1014" t="str">
        <f>VLOOKUP(G1014,PathwayLookup!A:B,2,0)</f>
        <v>Reablement &amp; Rehabilitation in a bedded setting (pathway 2)</v>
      </c>
      <c r="E1014" t="s">
        <v>179</v>
      </c>
      <c r="F1014" t="s">
        <v>540</v>
      </c>
      <c r="G1014" t="s">
        <v>722</v>
      </c>
      <c r="H1014">
        <v>0</v>
      </c>
      <c r="I1014">
        <v>0</v>
      </c>
      <c r="J1014">
        <v>0</v>
      </c>
      <c r="K1014">
        <v>0</v>
      </c>
      <c r="L1014">
        <v>0</v>
      </c>
      <c r="M1014">
        <v>0</v>
      </c>
      <c r="N1014">
        <v>0</v>
      </c>
      <c r="O1014">
        <v>0</v>
      </c>
      <c r="P1014">
        <v>0</v>
      </c>
      <c r="Q1014">
        <v>0</v>
      </c>
      <c r="R1014">
        <v>0</v>
      </c>
      <c r="S1014">
        <v>0</v>
      </c>
      <c r="T1014">
        <f t="shared" si="47"/>
        <v>0</v>
      </c>
      <c r="U1014">
        <v>1</v>
      </c>
    </row>
    <row r="1015" spans="1:21" x14ac:dyDescent="0.3">
      <c r="A1015" t="str">
        <f t="shared" si="45"/>
        <v/>
      </c>
      <c r="B1015" t="str">
        <f>IF(C1015="","",COUNTIF($C$2:C1015,C1015))</f>
        <v/>
      </c>
      <c r="C1015" t="str">
        <f t="shared" si="46"/>
        <v/>
      </c>
      <c r="D1015" t="str">
        <f>VLOOKUP(G1015,PathwayLookup!A:B,2,0)</f>
        <v>Reablement &amp; Rehabilitation in a bedded setting (pathway 2)</v>
      </c>
      <c r="E1015" t="s">
        <v>179</v>
      </c>
      <c r="F1015" t="s">
        <v>613</v>
      </c>
      <c r="G1015" t="s">
        <v>722</v>
      </c>
      <c r="H1015">
        <v>0</v>
      </c>
      <c r="I1015">
        <v>0</v>
      </c>
      <c r="J1015">
        <v>0</v>
      </c>
      <c r="K1015">
        <v>0</v>
      </c>
      <c r="L1015">
        <v>0</v>
      </c>
      <c r="M1015">
        <v>0</v>
      </c>
      <c r="N1015">
        <v>0</v>
      </c>
      <c r="O1015">
        <v>0</v>
      </c>
      <c r="P1015">
        <v>0</v>
      </c>
      <c r="Q1015">
        <v>0</v>
      </c>
      <c r="R1015">
        <v>0</v>
      </c>
      <c r="S1015">
        <v>0</v>
      </c>
      <c r="T1015">
        <f t="shared" si="47"/>
        <v>0</v>
      </c>
      <c r="U1015">
        <v>1</v>
      </c>
    </row>
    <row r="1016" spans="1:21" x14ac:dyDescent="0.3">
      <c r="A1016" t="str">
        <f t="shared" si="45"/>
        <v>HounslowReablement &amp; Rehabilitation in a bedded setting (pathway 2)1</v>
      </c>
      <c r="B1016">
        <f>IF(C1016="","",COUNTIF($C$2:C1016,C1016))</f>
        <v>1</v>
      </c>
      <c r="C1016" t="str">
        <f t="shared" si="46"/>
        <v>HounslowRehabilitation in a bedded setting (pathway 2)</v>
      </c>
      <c r="D1016" t="str">
        <f>VLOOKUP(G1016,PathwayLookup!A:B,2,0)</f>
        <v>Reablement &amp; Rehabilitation in a bedded setting (pathway 2)</v>
      </c>
      <c r="E1016" t="s">
        <v>179</v>
      </c>
      <c r="F1016" t="s">
        <v>476</v>
      </c>
      <c r="G1016" t="s">
        <v>724</v>
      </c>
      <c r="H1016">
        <v>38.737000000000002</v>
      </c>
      <c r="I1016">
        <v>43.264000000000003</v>
      </c>
      <c r="J1016">
        <v>40.948</v>
      </c>
      <c r="K1016">
        <v>42.807000000000002</v>
      </c>
      <c r="L1016">
        <v>43.473999999999997</v>
      </c>
      <c r="M1016">
        <v>42.316000000000003</v>
      </c>
      <c r="N1016">
        <v>43.509</v>
      </c>
      <c r="O1016">
        <v>43.825000000000003</v>
      </c>
      <c r="P1016">
        <v>43.192999999999998</v>
      </c>
      <c r="Q1016">
        <v>43.106000000000002</v>
      </c>
      <c r="R1016">
        <v>42.747</v>
      </c>
      <c r="S1016">
        <v>44.509</v>
      </c>
      <c r="T1016">
        <f t="shared" si="47"/>
        <v>512.43499999999995</v>
      </c>
      <c r="U1016">
        <v>1</v>
      </c>
    </row>
    <row r="1017" spans="1:21" x14ac:dyDescent="0.3">
      <c r="A1017" t="str">
        <f t="shared" si="45"/>
        <v>HounslowReablement &amp; Rehabilitation in a bedded setting (pathway 2)2</v>
      </c>
      <c r="B1017">
        <f>IF(C1017="","",COUNTIF($C$2:C1017,C1017))</f>
        <v>2</v>
      </c>
      <c r="C1017" t="str">
        <f t="shared" si="46"/>
        <v>HounslowRehabilitation in a bedded setting (pathway 2)</v>
      </c>
      <c r="D1017" t="str">
        <f>VLOOKUP(G1017,PathwayLookup!A:B,2,0)</f>
        <v>Reablement &amp; Rehabilitation in a bedded setting (pathway 2)</v>
      </c>
      <c r="E1017" t="s">
        <v>179</v>
      </c>
      <c r="F1017" t="s">
        <v>520</v>
      </c>
      <c r="G1017" t="s">
        <v>724</v>
      </c>
      <c r="H1017">
        <v>7.3680000000000003</v>
      </c>
      <c r="I1017">
        <v>7.3860000000000001</v>
      </c>
      <c r="J1017">
        <v>6.9829999999999997</v>
      </c>
      <c r="K1017">
        <v>7.79</v>
      </c>
      <c r="L1017">
        <v>7.5439999999999996</v>
      </c>
      <c r="M1017">
        <v>7.4210000000000003</v>
      </c>
      <c r="N1017">
        <v>6.649</v>
      </c>
      <c r="O1017">
        <v>7.1929999999999996</v>
      </c>
      <c r="P1017">
        <v>6.5439999999999996</v>
      </c>
      <c r="Q1017">
        <v>7.3680000000000003</v>
      </c>
      <c r="R1017">
        <v>6.8070000000000004</v>
      </c>
      <c r="S1017">
        <v>7.9470000000000001</v>
      </c>
      <c r="T1017">
        <f t="shared" si="47"/>
        <v>87</v>
      </c>
      <c r="U1017">
        <v>1</v>
      </c>
    </row>
    <row r="1018" spans="1:21" x14ac:dyDescent="0.3">
      <c r="A1018" t="str">
        <f t="shared" si="45"/>
        <v>HounslowReablement &amp; Rehabilitation in a bedded setting (pathway 2)3</v>
      </c>
      <c r="B1018">
        <f>IF(C1018="","",COUNTIF($C$2:C1018,C1018))</f>
        <v>3</v>
      </c>
      <c r="C1018" t="str">
        <f t="shared" si="46"/>
        <v>HounslowRehabilitation in a bedded setting (pathway 2)</v>
      </c>
      <c r="D1018" t="str">
        <f>VLOOKUP(G1018,PathwayLookup!A:B,2,0)</f>
        <v>Reablement &amp; Rehabilitation in a bedded setting (pathway 2)</v>
      </c>
      <c r="E1018" t="s">
        <v>179</v>
      </c>
      <c r="F1018" t="s">
        <v>540</v>
      </c>
      <c r="G1018" t="s">
        <v>724</v>
      </c>
      <c r="H1018">
        <v>1.9470000000000001</v>
      </c>
      <c r="I1018">
        <v>1.86</v>
      </c>
      <c r="J1018">
        <v>1.895</v>
      </c>
      <c r="K1018">
        <v>1.86</v>
      </c>
      <c r="L1018">
        <v>1.7889999999999999</v>
      </c>
      <c r="M1018">
        <v>1.6140000000000001</v>
      </c>
      <c r="N1018">
        <v>1.4910000000000001</v>
      </c>
      <c r="O1018">
        <v>1.6839999999999999</v>
      </c>
      <c r="P1018">
        <v>1.5609999999999999</v>
      </c>
      <c r="Q1018">
        <v>1.877</v>
      </c>
      <c r="R1018">
        <v>1.4390000000000001</v>
      </c>
      <c r="S1018">
        <v>1.772</v>
      </c>
      <c r="T1018">
        <f t="shared" si="47"/>
        <v>20.788999999999998</v>
      </c>
      <c r="U1018">
        <v>1</v>
      </c>
    </row>
    <row r="1019" spans="1:21" x14ac:dyDescent="0.3">
      <c r="A1019" t="str">
        <f t="shared" si="45"/>
        <v>HounslowReablement &amp; Rehabilitation in a bedded setting (pathway 2)4</v>
      </c>
      <c r="B1019">
        <f>IF(C1019="","",COUNTIF($C$2:C1019,C1019))</f>
        <v>4</v>
      </c>
      <c r="C1019" t="str">
        <f t="shared" si="46"/>
        <v>HounslowRehabilitation in a bedded setting (pathway 2)</v>
      </c>
      <c r="D1019" t="str">
        <f>VLOOKUP(G1019,PathwayLookup!A:B,2,0)</f>
        <v>Reablement &amp; Rehabilitation in a bedded setting (pathway 2)</v>
      </c>
      <c r="E1019" t="s">
        <v>179</v>
      </c>
      <c r="F1019" t="s">
        <v>613</v>
      </c>
      <c r="G1019" t="s">
        <v>724</v>
      </c>
      <c r="H1019">
        <v>0.75439199999999995</v>
      </c>
      <c r="I1019">
        <v>0.75439199999999995</v>
      </c>
      <c r="J1019">
        <v>0.78947999999999996</v>
      </c>
      <c r="K1019">
        <v>0.73684799999999995</v>
      </c>
      <c r="L1019">
        <v>0.63158400000000003</v>
      </c>
      <c r="M1019">
        <v>0.66667199999999993</v>
      </c>
      <c r="N1019">
        <v>0.68421600000000005</v>
      </c>
      <c r="O1019">
        <v>0.64912800000000004</v>
      </c>
      <c r="P1019">
        <v>0.92983199999999999</v>
      </c>
      <c r="Q1019">
        <v>0.70175999999999994</v>
      </c>
      <c r="R1019">
        <v>0.64912800000000004</v>
      </c>
      <c r="S1019">
        <v>0.70175999999999994</v>
      </c>
      <c r="T1019">
        <f t="shared" si="47"/>
        <v>8.6491920000000011</v>
      </c>
      <c r="U1019">
        <v>1</v>
      </c>
    </row>
    <row r="1020" spans="1:21" x14ac:dyDescent="0.3">
      <c r="A1020" t="str">
        <f t="shared" si="45"/>
        <v>HounslowShort-term residential/nursing care for someone likely to require a longer-term care home placement (pathway 3)1</v>
      </c>
      <c r="B1020">
        <f>IF(C1020="","",COUNTIF($C$2:C1020,C1020))</f>
        <v>1</v>
      </c>
      <c r="C1020" t="str">
        <f t="shared" si="46"/>
        <v>HounslowShort-term residential/nursing care for someone likely to require a longer-term care home placement (pathway 3)</v>
      </c>
      <c r="D1020" t="str">
        <f>VLOOKUP(G1020,PathwayLookup!A:B,2,0)</f>
        <v>Short-term residential/nursing care for someone likely to require a longer-term care home placement (pathway 3)</v>
      </c>
      <c r="E1020" t="s">
        <v>179</v>
      </c>
      <c r="F1020" t="s">
        <v>476</v>
      </c>
      <c r="G1020" t="s">
        <v>686</v>
      </c>
      <c r="H1020">
        <v>55.177999999999997</v>
      </c>
      <c r="I1020">
        <v>61.625</v>
      </c>
      <c r="J1020">
        <v>58.326999999999998</v>
      </c>
      <c r="K1020">
        <v>60.975999999999999</v>
      </c>
      <c r="L1020">
        <v>61.924999999999997</v>
      </c>
      <c r="M1020">
        <v>60.276000000000003</v>
      </c>
      <c r="N1020">
        <v>61.975000000000001</v>
      </c>
      <c r="O1020">
        <v>62.424999999999997</v>
      </c>
      <c r="P1020">
        <v>61.524999999999999</v>
      </c>
      <c r="Q1020">
        <v>61.4</v>
      </c>
      <c r="R1020">
        <v>60.500999999999998</v>
      </c>
      <c r="S1020">
        <v>63.4</v>
      </c>
      <c r="T1020">
        <f t="shared" si="47"/>
        <v>729.53300000000002</v>
      </c>
      <c r="U1020">
        <v>1</v>
      </c>
    </row>
    <row r="1021" spans="1:21" x14ac:dyDescent="0.3">
      <c r="A1021" t="str">
        <f t="shared" si="45"/>
        <v>HounslowShort-term residential/nursing care for someone likely to require a longer-term care home placement (pathway 3)2</v>
      </c>
      <c r="B1021">
        <f>IF(C1021="","",COUNTIF($C$2:C1021,C1021))</f>
        <v>2</v>
      </c>
      <c r="C1021" t="str">
        <f t="shared" si="46"/>
        <v>HounslowShort-term residential/nursing care for someone likely to require a longer-term care home placement (pathway 3)</v>
      </c>
      <c r="D1021" t="str">
        <f>VLOOKUP(G1021,PathwayLookup!A:B,2,0)</f>
        <v>Short-term residential/nursing care for someone likely to require a longer-term care home placement (pathway 3)</v>
      </c>
      <c r="E1021" t="s">
        <v>179</v>
      </c>
      <c r="F1021" t="s">
        <v>520</v>
      </c>
      <c r="G1021" t="s">
        <v>686</v>
      </c>
      <c r="H1021">
        <v>10.496</v>
      </c>
      <c r="I1021">
        <v>10.521000000000001</v>
      </c>
      <c r="J1021">
        <v>9.9459999999999997</v>
      </c>
      <c r="K1021">
        <v>11.096</v>
      </c>
      <c r="L1021">
        <v>10.746</v>
      </c>
      <c r="M1021">
        <v>10.571</v>
      </c>
      <c r="N1021">
        <v>9.4710000000000001</v>
      </c>
      <c r="O1021">
        <v>10.246</v>
      </c>
      <c r="P1021">
        <v>9.3209999999999997</v>
      </c>
      <c r="Q1021">
        <v>10.496</v>
      </c>
      <c r="R1021">
        <v>9.6959999999999997</v>
      </c>
      <c r="S1021">
        <v>11.32</v>
      </c>
      <c r="T1021">
        <f t="shared" si="47"/>
        <v>123.92599999999999</v>
      </c>
      <c r="U1021">
        <v>1</v>
      </c>
    </row>
    <row r="1022" spans="1:21" x14ac:dyDescent="0.3">
      <c r="A1022" t="str">
        <f t="shared" si="45"/>
        <v>HounslowShort-term residential/nursing care for someone likely to require a longer-term care home placement (pathway 3)3</v>
      </c>
      <c r="B1022">
        <f>IF(C1022="","",COUNTIF($C$2:C1022,C1022))</f>
        <v>3</v>
      </c>
      <c r="C1022" t="str">
        <f t="shared" si="46"/>
        <v>HounslowShort-term residential/nursing care for someone likely to require a longer-term care home placement (pathway 3)</v>
      </c>
      <c r="D1022" t="str">
        <f>VLOOKUP(G1022,PathwayLookup!A:B,2,0)</f>
        <v>Short-term residential/nursing care for someone likely to require a longer-term care home placement (pathway 3)</v>
      </c>
      <c r="E1022" t="s">
        <v>179</v>
      </c>
      <c r="F1022" t="s">
        <v>540</v>
      </c>
      <c r="G1022" t="s">
        <v>686</v>
      </c>
      <c r="H1022">
        <v>2.774</v>
      </c>
      <c r="I1022">
        <v>2.649</v>
      </c>
      <c r="J1022">
        <v>2.6989999999999998</v>
      </c>
      <c r="K1022">
        <v>2.649</v>
      </c>
      <c r="L1022">
        <v>2.5489999999999999</v>
      </c>
      <c r="M1022">
        <v>2.2989999999999999</v>
      </c>
      <c r="N1022">
        <v>2.1240000000000001</v>
      </c>
      <c r="O1022">
        <v>2.399</v>
      </c>
      <c r="P1022">
        <v>2.2240000000000002</v>
      </c>
      <c r="Q1022">
        <v>2.6739999999999999</v>
      </c>
      <c r="R1022">
        <v>2.0489999999999999</v>
      </c>
      <c r="S1022">
        <v>2.524</v>
      </c>
      <c r="T1022">
        <f t="shared" si="47"/>
        <v>29.613</v>
      </c>
      <c r="U1022">
        <v>1</v>
      </c>
    </row>
    <row r="1023" spans="1:21" x14ac:dyDescent="0.3">
      <c r="A1023" t="str">
        <f t="shared" si="45"/>
        <v>HounslowShort-term residential/nursing care for someone likely to require a longer-term care home placement (pathway 3)4</v>
      </c>
      <c r="B1023">
        <f>IF(C1023="","",COUNTIF($C$2:C1023,C1023))</f>
        <v>4</v>
      </c>
      <c r="C1023" t="str">
        <f t="shared" si="46"/>
        <v>HounslowShort-term residential/nursing care for someone likely to require a longer-term care home placement (pathway 3)</v>
      </c>
      <c r="D1023" t="str">
        <f>VLOOKUP(G1023,PathwayLookup!A:B,2,0)</f>
        <v>Short-term residential/nursing care for someone likely to require a longer-term care home placement (pathway 3)</v>
      </c>
      <c r="E1023" t="s">
        <v>179</v>
      </c>
      <c r="F1023" t="s">
        <v>613</v>
      </c>
      <c r="G1023" t="s">
        <v>686</v>
      </c>
      <c r="H1023">
        <v>1.07457</v>
      </c>
      <c r="I1023">
        <v>1.07457</v>
      </c>
      <c r="J1023">
        <v>1.1245499999999999</v>
      </c>
      <c r="K1023">
        <v>1.0495800000000002</v>
      </c>
      <c r="L1023">
        <v>0.89964</v>
      </c>
      <c r="M1023">
        <v>0.94962000000000002</v>
      </c>
      <c r="N1023">
        <v>0.9746100000000002</v>
      </c>
      <c r="O1023">
        <v>0.92462999999999995</v>
      </c>
      <c r="P1023">
        <v>1.32447</v>
      </c>
      <c r="Q1023">
        <v>0.99960000000000004</v>
      </c>
      <c r="R1023">
        <v>0.92462999999999995</v>
      </c>
      <c r="S1023">
        <v>0.99960000000000004</v>
      </c>
      <c r="T1023">
        <f t="shared" si="47"/>
        <v>12.320070000000001</v>
      </c>
      <c r="U1023">
        <v>1</v>
      </c>
    </row>
    <row r="1024" spans="1:21" x14ac:dyDescent="0.3">
      <c r="A1024" t="str">
        <f t="shared" si="45"/>
        <v>Isle of WightSocial support (including VCS) (pathway 0)1</v>
      </c>
      <c r="B1024">
        <f>IF(C1024="","",COUNTIF($C$2:C1024,C1024))</f>
        <v>1</v>
      </c>
      <c r="C1024" t="str">
        <f t="shared" si="46"/>
        <v>Isle of WightSocial support (including VCS) (pathway 0)</v>
      </c>
      <c r="D1024" t="str">
        <f>VLOOKUP(G1024,PathwayLookup!A:B,2,0)</f>
        <v>Social support (including VCS) (pathway 0)</v>
      </c>
      <c r="E1024" t="s">
        <v>181</v>
      </c>
      <c r="F1024" t="s">
        <v>521</v>
      </c>
      <c r="G1024" t="s">
        <v>682</v>
      </c>
      <c r="H1024">
        <v>157</v>
      </c>
      <c r="I1024">
        <v>215</v>
      </c>
      <c r="J1024">
        <v>157</v>
      </c>
      <c r="K1024">
        <v>157</v>
      </c>
      <c r="L1024">
        <v>215</v>
      </c>
      <c r="M1024">
        <v>157</v>
      </c>
      <c r="N1024">
        <v>215</v>
      </c>
      <c r="O1024">
        <v>129</v>
      </c>
      <c r="P1024">
        <v>157</v>
      </c>
      <c r="Q1024">
        <v>163</v>
      </c>
      <c r="R1024">
        <v>142</v>
      </c>
      <c r="S1024">
        <v>215</v>
      </c>
      <c r="T1024">
        <f t="shared" si="47"/>
        <v>2079</v>
      </c>
      <c r="U1024">
        <v>1</v>
      </c>
    </row>
    <row r="1025" spans="1:21" x14ac:dyDescent="0.3">
      <c r="A1025" t="str">
        <f t="shared" si="45"/>
        <v>Isle of WightReablement &amp; Rehabilitation at home  (pathway 1)1</v>
      </c>
      <c r="B1025">
        <f>IF(C1025="","",COUNTIF($C$2:C1025,C1025))</f>
        <v>1</v>
      </c>
      <c r="C1025" t="str">
        <f t="shared" si="46"/>
        <v>Isle of WightReablement at home  (pathway 1)</v>
      </c>
      <c r="D1025" t="str">
        <f>VLOOKUP(G1025,PathwayLookup!A:B,2,0)</f>
        <v>Reablement &amp; Rehabilitation at home  (pathway 1)</v>
      </c>
      <c r="E1025" t="s">
        <v>181</v>
      </c>
      <c r="F1025" t="s">
        <v>521</v>
      </c>
      <c r="G1025" t="s">
        <v>718</v>
      </c>
      <c r="H1025">
        <v>527</v>
      </c>
      <c r="I1025">
        <v>539</v>
      </c>
      <c r="J1025">
        <v>527</v>
      </c>
      <c r="K1025">
        <v>527</v>
      </c>
      <c r="L1025">
        <v>539</v>
      </c>
      <c r="M1025">
        <v>527</v>
      </c>
      <c r="N1025">
        <v>539</v>
      </c>
      <c r="O1025">
        <v>567</v>
      </c>
      <c r="P1025">
        <v>567</v>
      </c>
      <c r="Q1025">
        <v>579</v>
      </c>
      <c r="R1025">
        <v>439</v>
      </c>
      <c r="S1025">
        <v>451</v>
      </c>
      <c r="T1025">
        <f t="shared" si="47"/>
        <v>6328</v>
      </c>
      <c r="U1025">
        <v>1</v>
      </c>
    </row>
    <row r="1026" spans="1:21" x14ac:dyDescent="0.3">
      <c r="A1026" t="str">
        <f t="shared" ref="A1026:A1089" si="48">IF(B1026="","",E1026&amp;D1026&amp;B1026)</f>
        <v>Isle of WightReablement &amp; Rehabilitation in a bedded setting (pathway 2)1</v>
      </c>
      <c r="B1026">
        <f>IF(C1026="","",COUNTIF($C$2:C1026,C1026))</f>
        <v>1</v>
      </c>
      <c r="C1026" t="str">
        <f t="shared" ref="C1026:C1089" si="49">IF(T1026=0,"",E1026&amp;G1026)</f>
        <v>Isle of WightReablement in a bedded setting (pathway 2)</v>
      </c>
      <c r="D1026" t="str">
        <f>VLOOKUP(G1026,PathwayLookup!A:B,2,0)</f>
        <v>Reablement &amp; Rehabilitation in a bedded setting (pathway 2)</v>
      </c>
      <c r="E1026" t="s">
        <v>181</v>
      </c>
      <c r="F1026" t="s">
        <v>521</v>
      </c>
      <c r="G1026" t="s">
        <v>722</v>
      </c>
      <c r="H1026">
        <v>74</v>
      </c>
      <c r="I1026">
        <v>74</v>
      </c>
      <c r="J1026">
        <v>74</v>
      </c>
      <c r="K1026">
        <v>74</v>
      </c>
      <c r="L1026">
        <v>74</v>
      </c>
      <c r="M1026">
        <v>112</v>
      </c>
      <c r="N1026">
        <v>147</v>
      </c>
      <c r="O1026">
        <v>147</v>
      </c>
      <c r="P1026">
        <v>147</v>
      </c>
      <c r="Q1026">
        <v>147</v>
      </c>
      <c r="R1026">
        <v>147</v>
      </c>
      <c r="S1026">
        <v>147</v>
      </c>
      <c r="T1026">
        <f t="shared" ref="T1026:T1089" si="50">SUM(H1026:S1026)</f>
        <v>1364</v>
      </c>
      <c r="U1026">
        <v>1</v>
      </c>
    </row>
    <row r="1027" spans="1:21" x14ac:dyDescent="0.3">
      <c r="A1027" t="str">
        <f t="shared" si="48"/>
        <v>Isle of WightReablement &amp; Rehabilitation in a bedded setting (pathway 2)1</v>
      </c>
      <c r="B1027">
        <f>IF(C1027="","",COUNTIF($C$2:C1027,C1027))</f>
        <v>1</v>
      </c>
      <c r="C1027" t="str">
        <f t="shared" si="49"/>
        <v>Isle of WightRehabilitation in a bedded setting (pathway 2)</v>
      </c>
      <c r="D1027" t="str">
        <f>VLOOKUP(G1027,PathwayLookup!A:B,2,0)</f>
        <v>Reablement &amp; Rehabilitation in a bedded setting (pathway 2)</v>
      </c>
      <c r="E1027" t="s">
        <v>181</v>
      </c>
      <c r="F1027" t="s">
        <v>521</v>
      </c>
      <c r="G1027" t="s">
        <v>724</v>
      </c>
      <c r="H1027">
        <v>110</v>
      </c>
      <c r="I1027">
        <v>117</v>
      </c>
      <c r="J1027">
        <v>110</v>
      </c>
      <c r="K1027">
        <v>110</v>
      </c>
      <c r="L1027">
        <v>117</v>
      </c>
      <c r="M1027">
        <v>110</v>
      </c>
      <c r="N1027">
        <v>117</v>
      </c>
      <c r="O1027">
        <v>110</v>
      </c>
      <c r="P1027">
        <v>110</v>
      </c>
      <c r="Q1027">
        <v>117</v>
      </c>
      <c r="R1027">
        <v>110</v>
      </c>
      <c r="S1027">
        <v>117</v>
      </c>
      <c r="T1027">
        <f t="shared" si="50"/>
        <v>1355</v>
      </c>
      <c r="U1027">
        <v>1</v>
      </c>
    </row>
    <row r="1028" spans="1:21" x14ac:dyDescent="0.3">
      <c r="A1028" t="str">
        <f t="shared" si="48"/>
        <v>Isle of WightShort-term residential/nursing care for someone likely to require a longer-term care home placement (pathway 3)1</v>
      </c>
      <c r="B1028">
        <f>IF(C1028="","",COUNTIF($C$2:C1028,C1028))</f>
        <v>1</v>
      </c>
      <c r="C1028" t="str">
        <f t="shared" si="49"/>
        <v>Isle of WightShort-term residential/nursing care for someone likely to require a longer-term care home placement (pathway 3)</v>
      </c>
      <c r="D1028" t="str">
        <f>VLOOKUP(G1028,PathwayLookup!A:B,2,0)</f>
        <v>Short-term residential/nursing care for someone likely to require a longer-term care home placement (pathway 3)</v>
      </c>
      <c r="E1028" t="s">
        <v>181</v>
      </c>
      <c r="F1028" t="s">
        <v>521</v>
      </c>
      <c r="G1028" t="s">
        <v>686</v>
      </c>
      <c r="H1028">
        <v>5</v>
      </c>
      <c r="I1028">
        <v>6</v>
      </c>
      <c r="J1028">
        <v>5</v>
      </c>
      <c r="K1028">
        <v>5</v>
      </c>
      <c r="L1028">
        <v>6</v>
      </c>
      <c r="M1028">
        <v>5</v>
      </c>
      <c r="N1028">
        <v>6</v>
      </c>
      <c r="O1028">
        <v>5</v>
      </c>
      <c r="P1028">
        <v>5</v>
      </c>
      <c r="Q1028">
        <v>6</v>
      </c>
      <c r="R1028">
        <v>5</v>
      </c>
      <c r="S1028">
        <v>6</v>
      </c>
      <c r="T1028">
        <f t="shared" si="50"/>
        <v>65</v>
      </c>
      <c r="U1028">
        <v>1</v>
      </c>
    </row>
    <row r="1029" spans="1:21" x14ac:dyDescent="0.3">
      <c r="A1029" t="str">
        <f t="shared" si="48"/>
        <v>IslingtonSocial support (including VCS) (pathway 0)1</v>
      </c>
      <c r="B1029">
        <f>IF(C1029="","",COUNTIF($C$2:C1029,C1029))</f>
        <v>1</v>
      </c>
      <c r="C1029" t="str">
        <f t="shared" si="49"/>
        <v>IslingtonSocial support (including VCS) (pathway 0)</v>
      </c>
      <c r="D1029" t="str">
        <f>VLOOKUP(G1029,PathwayLookup!A:B,2,0)</f>
        <v>Social support (including VCS) (pathway 0)</v>
      </c>
      <c r="E1029" t="s">
        <v>183</v>
      </c>
      <c r="F1029" t="s">
        <v>578</v>
      </c>
      <c r="G1029" t="s">
        <v>682</v>
      </c>
      <c r="H1029">
        <v>2</v>
      </c>
      <c r="I1029">
        <v>2</v>
      </c>
      <c r="J1029">
        <v>2</v>
      </c>
      <c r="K1029">
        <v>2</v>
      </c>
      <c r="L1029">
        <v>2</v>
      </c>
      <c r="M1029">
        <v>2</v>
      </c>
      <c r="N1029">
        <v>2</v>
      </c>
      <c r="O1029">
        <v>2</v>
      </c>
      <c r="P1029">
        <v>2</v>
      </c>
      <c r="Q1029">
        <v>2</v>
      </c>
      <c r="R1029">
        <v>2</v>
      </c>
      <c r="S1029">
        <v>2</v>
      </c>
      <c r="T1029">
        <f t="shared" si="50"/>
        <v>24</v>
      </c>
      <c r="U1029">
        <v>1</v>
      </c>
    </row>
    <row r="1030" spans="1:21" x14ac:dyDescent="0.3">
      <c r="A1030" t="str">
        <f t="shared" si="48"/>
        <v>IslingtonSocial support (including VCS) (pathway 0)2</v>
      </c>
      <c r="B1030">
        <f>IF(C1030="","",COUNTIF($C$2:C1030,C1030))</f>
        <v>2</v>
      </c>
      <c r="C1030" t="str">
        <f t="shared" si="49"/>
        <v>IslingtonSocial support (including VCS) (pathway 0)</v>
      </c>
      <c r="D1030" t="str">
        <f>VLOOKUP(G1030,PathwayLookup!A:B,2,0)</f>
        <v>Social support (including VCS) (pathway 0)</v>
      </c>
      <c r="E1030" t="s">
        <v>183</v>
      </c>
      <c r="F1030" t="s">
        <v>626</v>
      </c>
      <c r="G1030" t="s">
        <v>682</v>
      </c>
      <c r="H1030">
        <v>4</v>
      </c>
      <c r="I1030">
        <v>4</v>
      </c>
      <c r="J1030">
        <v>4</v>
      </c>
      <c r="K1030">
        <v>4</v>
      </c>
      <c r="L1030">
        <v>4</v>
      </c>
      <c r="M1030">
        <v>4</v>
      </c>
      <c r="N1030">
        <v>4</v>
      </c>
      <c r="O1030">
        <v>4</v>
      </c>
      <c r="P1030">
        <v>4</v>
      </c>
      <c r="Q1030">
        <v>4</v>
      </c>
      <c r="R1030">
        <v>4</v>
      </c>
      <c r="S1030">
        <v>4</v>
      </c>
      <c r="T1030">
        <f t="shared" si="50"/>
        <v>48</v>
      </c>
      <c r="U1030">
        <v>1</v>
      </c>
    </row>
    <row r="1031" spans="1:21" x14ac:dyDescent="0.3">
      <c r="A1031" t="str">
        <f t="shared" si="48"/>
        <v>IslingtonSocial support (including VCS) (pathway 0)3</v>
      </c>
      <c r="B1031">
        <f>IF(C1031="","",COUNTIF($C$2:C1031,C1031))</f>
        <v>3</v>
      </c>
      <c r="C1031" t="str">
        <f t="shared" si="49"/>
        <v>IslingtonSocial support (including VCS) (pathway 0)</v>
      </c>
      <c r="D1031" t="str">
        <f>VLOOKUP(G1031,PathwayLookup!A:B,2,0)</f>
        <v>Social support (including VCS) (pathway 0)</v>
      </c>
      <c r="E1031" t="s">
        <v>183</v>
      </c>
      <c r="F1031" t="s">
        <v>643</v>
      </c>
      <c r="G1031" t="s">
        <v>682</v>
      </c>
      <c r="H1031">
        <v>4</v>
      </c>
      <c r="I1031">
        <v>4</v>
      </c>
      <c r="J1031">
        <v>4</v>
      </c>
      <c r="K1031">
        <v>4</v>
      </c>
      <c r="L1031">
        <v>4</v>
      </c>
      <c r="M1031">
        <v>4</v>
      </c>
      <c r="N1031">
        <v>4</v>
      </c>
      <c r="O1031">
        <v>4</v>
      </c>
      <c r="P1031">
        <v>4</v>
      </c>
      <c r="Q1031">
        <v>4</v>
      </c>
      <c r="R1031">
        <v>4</v>
      </c>
      <c r="S1031">
        <v>4</v>
      </c>
      <c r="T1031">
        <f t="shared" si="50"/>
        <v>48</v>
      </c>
      <c r="U1031">
        <v>1</v>
      </c>
    </row>
    <row r="1032" spans="1:21" x14ac:dyDescent="0.3">
      <c r="A1032" t="str">
        <f t="shared" si="48"/>
        <v/>
      </c>
      <c r="B1032" t="str">
        <f>IF(C1032="","",COUNTIF($C$2:C1032,C1032))</f>
        <v/>
      </c>
      <c r="C1032" t="str">
        <f t="shared" si="49"/>
        <v/>
      </c>
      <c r="D1032" t="str">
        <f>VLOOKUP(G1032,PathwayLookup!A:B,2,0)</f>
        <v>Social support (including VCS) (pathway 0)</v>
      </c>
      <c r="E1032" t="s">
        <v>183</v>
      </c>
      <c r="F1032" t="s">
        <v>651</v>
      </c>
      <c r="G1032" t="s">
        <v>682</v>
      </c>
      <c r="H1032">
        <v>0</v>
      </c>
      <c r="I1032">
        <v>0</v>
      </c>
      <c r="J1032">
        <v>0</v>
      </c>
      <c r="K1032">
        <v>0</v>
      </c>
      <c r="L1032">
        <v>0</v>
      </c>
      <c r="M1032">
        <v>0</v>
      </c>
      <c r="N1032">
        <v>0</v>
      </c>
      <c r="O1032">
        <v>0</v>
      </c>
      <c r="P1032">
        <v>0</v>
      </c>
      <c r="Q1032">
        <v>0</v>
      </c>
      <c r="R1032">
        <v>0</v>
      </c>
      <c r="S1032">
        <v>0</v>
      </c>
      <c r="T1032">
        <f t="shared" si="50"/>
        <v>0</v>
      </c>
      <c r="U1032">
        <v>1</v>
      </c>
    </row>
    <row r="1033" spans="1:21" x14ac:dyDescent="0.3">
      <c r="A1033" t="str">
        <f t="shared" si="48"/>
        <v>IslingtonReablement &amp; Rehabilitation at home  (pathway 1)1</v>
      </c>
      <c r="B1033">
        <f>IF(C1033="","",COUNTIF($C$2:C1033,C1033))</f>
        <v>1</v>
      </c>
      <c r="C1033" t="str">
        <f t="shared" si="49"/>
        <v>IslingtonReablement at home  (pathway 1)</v>
      </c>
      <c r="D1033" t="str">
        <f>VLOOKUP(G1033,PathwayLookup!A:B,2,0)</f>
        <v>Reablement &amp; Rehabilitation at home  (pathway 1)</v>
      </c>
      <c r="E1033" t="s">
        <v>183</v>
      </c>
      <c r="F1033" t="s">
        <v>578</v>
      </c>
      <c r="G1033" t="s">
        <v>718</v>
      </c>
      <c r="H1033">
        <v>5</v>
      </c>
      <c r="I1033">
        <v>5</v>
      </c>
      <c r="J1033">
        <v>3</v>
      </c>
      <c r="K1033">
        <v>6</v>
      </c>
      <c r="L1033">
        <v>3</v>
      </c>
      <c r="M1033">
        <v>4</v>
      </c>
      <c r="N1033">
        <v>3</v>
      </c>
      <c r="O1033">
        <v>3</v>
      </c>
      <c r="P1033">
        <v>5</v>
      </c>
      <c r="Q1033">
        <v>5</v>
      </c>
      <c r="R1033">
        <v>6</v>
      </c>
      <c r="S1033">
        <v>6</v>
      </c>
      <c r="T1033">
        <f t="shared" si="50"/>
        <v>54</v>
      </c>
      <c r="U1033">
        <v>1</v>
      </c>
    </row>
    <row r="1034" spans="1:21" x14ac:dyDescent="0.3">
      <c r="A1034" t="str">
        <f t="shared" si="48"/>
        <v>IslingtonReablement &amp; Rehabilitation at home  (pathway 1)2</v>
      </c>
      <c r="B1034">
        <f>IF(C1034="","",COUNTIF($C$2:C1034,C1034))</f>
        <v>2</v>
      </c>
      <c r="C1034" t="str">
        <f t="shared" si="49"/>
        <v>IslingtonReablement at home  (pathway 1)</v>
      </c>
      <c r="D1034" t="str">
        <f>VLOOKUP(G1034,PathwayLookup!A:B,2,0)</f>
        <v>Reablement &amp; Rehabilitation at home  (pathway 1)</v>
      </c>
      <c r="E1034" t="s">
        <v>183</v>
      </c>
      <c r="F1034" t="s">
        <v>626</v>
      </c>
      <c r="G1034" t="s">
        <v>718</v>
      </c>
      <c r="H1034">
        <v>22</v>
      </c>
      <c r="I1034">
        <v>15</v>
      </c>
      <c r="J1034">
        <v>13</v>
      </c>
      <c r="K1034">
        <v>20</v>
      </c>
      <c r="L1034">
        <v>16</v>
      </c>
      <c r="M1034">
        <v>24</v>
      </c>
      <c r="N1034">
        <v>24</v>
      </c>
      <c r="O1034">
        <v>19</v>
      </c>
      <c r="P1034">
        <v>25</v>
      </c>
      <c r="Q1034">
        <v>21</v>
      </c>
      <c r="R1034">
        <v>25</v>
      </c>
      <c r="S1034">
        <v>18</v>
      </c>
      <c r="T1034">
        <f t="shared" si="50"/>
        <v>242</v>
      </c>
      <c r="U1034">
        <v>1</v>
      </c>
    </row>
    <row r="1035" spans="1:21" x14ac:dyDescent="0.3">
      <c r="A1035" t="str">
        <f t="shared" si="48"/>
        <v>IslingtonReablement &amp; Rehabilitation at home  (pathway 1)3</v>
      </c>
      <c r="B1035">
        <f>IF(C1035="","",COUNTIF($C$2:C1035,C1035))</f>
        <v>3</v>
      </c>
      <c r="C1035" t="str">
        <f t="shared" si="49"/>
        <v>IslingtonReablement at home  (pathway 1)</v>
      </c>
      <c r="D1035" t="str">
        <f>VLOOKUP(G1035,PathwayLookup!A:B,2,0)</f>
        <v>Reablement &amp; Rehabilitation at home  (pathway 1)</v>
      </c>
      <c r="E1035" t="s">
        <v>183</v>
      </c>
      <c r="F1035" t="s">
        <v>643</v>
      </c>
      <c r="G1035" t="s">
        <v>718</v>
      </c>
      <c r="H1035">
        <v>23</v>
      </c>
      <c r="I1035">
        <v>16</v>
      </c>
      <c r="J1035">
        <v>13</v>
      </c>
      <c r="K1035">
        <v>20</v>
      </c>
      <c r="L1035">
        <v>14</v>
      </c>
      <c r="M1035">
        <v>26</v>
      </c>
      <c r="N1035">
        <v>26</v>
      </c>
      <c r="O1035">
        <v>19</v>
      </c>
      <c r="P1035">
        <v>26</v>
      </c>
      <c r="Q1035">
        <v>21</v>
      </c>
      <c r="R1035">
        <v>26</v>
      </c>
      <c r="S1035">
        <v>18</v>
      </c>
      <c r="T1035">
        <f t="shared" si="50"/>
        <v>248</v>
      </c>
      <c r="U1035">
        <v>1</v>
      </c>
    </row>
    <row r="1036" spans="1:21" x14ac:dyDescent="0.3">
      <c r="A1036" t="str">
        <f t="shared" si="48"/>
        <v>IslingtonReablement &amp; Rehabilitation at home  (pathway 1)4</v>
      </c>
      <c r="B1036">
        <f>IF(C1036="","",COUNTIF($C$2:C1036,C1036))</f>
        <v>4</v>
      </c>
      <c r="C1036" t="str">
        <f t="shared" si="49"/>
        <v>IslingtonReablement at home  (pathway 1)</v>
      </c>
      <c r="D1036" t="str">
        <f>VLOOKUP(G1036,PathwayLookup!A:B,2,0)</f>
        <v>Reablement &amp; Rehabilitation at home  (pathway 1)</v>
      </c>
      <c r="E1036" t="s">
        <v>183</v>
      </c>
      <c r="F1036" t="s">
        <v>651</v>
      </c>
      <c r="G1036" t="s">
        <v>718</v>
      </c>
      <c r="H1036">
        <v>2</v>
      </c>
      <c r="I1036">
        <v>2</v>
      </c>
      <c r="J1036">
        <v>2</v>
      </c>
      <c r="K1036">
        <v>2</v>
      </c>
      <c r="L1036">
        <v>2</v>
      </c>
      <c r="M1036">
        <v>2</v>
      </c>
      <c r="N1036">
        <v>2</v>
      </c>
      <c r="O1036">
        <v>2</v>
      </c>
      <c r="P1036">
        <v>2</v>
      </c>
      <c r="Q1036">
        <v>2</v>
      </c>
      <c r="R1036">
        <v>2</v>
      </c>
      <c r="S1036">
        <v>2</v>
      </c>
      <c r="T1036">
        <f t="shared" si="50"/>
        <v>24</v>
      </c>
      <c r="U1036">
        <v>1</v>
      </c>
    </row>
    <row r="1037" spans="1:21" x14ac:dyDescent="0.3">
      <c r="A1037" t="str">
        <f t="shared" si="48"/>
        <v>IslingtonReablement &amp; Rehabilitation at home  (pathway 1)1</v>
      </c>
      <c r="B1037">
        <f>IF(C1037="","",COUNTIF($C$2:C1037,C1037))</f>
        <v>1</v>
      </c>
      <c r="C1037" t="str">
        <f t="shared" si="49"/>
        <v>IslingtonRehabilitation at home (pathway 1)</v>
      </c>
      <c r="D1037" t="str">
        <f>VLOOKUP(G1037,PathwayLookup!A:B,2,0)</f>
        <v>Reablement &amp; Rehabilitation at home  (pathway 1)</v>
      </c>
      <c r="E1037" t="s">
        <v>183</v>
      </c>
      <c r="F1037" t="s">
        <v>578</v>
      </c>
      <c r="G1037" t="s">
        <v>719</v>
      </c>
      <c r="H1037">
        <v>2</v>
      </c>
      <c r="I1037">
        <v>2</v>
      </c>
      <c r="J1037">
        <v>2</v>
      </c>
      <c r="K1037">
        <v>3</v>
      </c>
      <c r="L1037">
        <v>2</v>
      </c>
      <c r="M1037">
        <v>2</v>
      </c>
      <c r="N1037">
        <v>2</v>
      </c>
      <c r="O1037">
        <v>2</v>
      </c>
      <c r="P1037">
        <v>2</v>
      </c>
      <c r="Q1037">
        <v>2</v>
      </c>
      <c r="R1037">
        <v>3</v>
      </c>
      <c r="S1037">
        <v>3</v>
      </c>
      <c r="T1037">
        <f t="shared" si="50"/>
        <v>27</v>
      </c>
      <c r="U1037">
        <v>1</v>
      </c>
    </row>
    <row r="1038" spans="1:21" x14ac:dyDescent="0.3">
      <c r="A1038" t="str">
        <f t="shared" si="48"/>
        <v>IslingtonReablement &amp; Rehabilitation at home  (pathway 1)2</v>
      </c>
      <c r="B1038">
        <f>IF(C1038="","",COUNTIF($C$2:C1038,C1038))</f>
        <v>2</v>
      </c>
      <c r="C1038" t="str">
        <f t="shared" si="49"/>
        <v>IslingtonRehabilitation at home (pathway 1)</v>
      </c>
      <c r="D1038" t="str">
        <f>VLOOKUP(G1038,PathwayLookup!A:B,2,0)</f>
        <v>Reablement &amp; Rehabilitation at home  (pathway 1)</v>
      </c>
      <c r="E1038" t="s">
        <v>183</v>
      </c>
      <c r="F1038" t="s">
        <v>626</v>
      </c>
      <c r="G1038" t="s">
        <v>719</v>
      </c>
      <c r="H1038">
        <v>10</v>
      </c>
      <c r="I1038">
        <v>8</v>
      </c>
      <c r="J1038">
        <v>7</v>
      </c>
      <c r="K1038">
        <v>9</v>
      </c>
      <c r="L1038">
        <v>7</v>
      </c>
      <c r="M1038">
        <v>10</v>
      </c>
      <c r="N1038">
        <v>10</v>
      </c>
      <c r="O1038">
        <v>9</v>
      </c>
      <c r="P1038">
        <v>10</v>
      </c>
      <c r="Q1038">
        <v>9</v>
      </c>
      <c r="R1038">
        <v>10</v>
      </c>
      <c r="S1038">
        <v>8</v>
      </c>
      <c r="T1038">
        <f t="shared" si="50"/>
        <v>107</v>
      </c>
      <c r="U1038">
        <v>1</v>
      </c>
    </row>
    <row r="1039" spans="1:21" x14ac:dyDescent="0.3">
      <c r="A1039" t="str">
        <f t="shared" si="48"/>
        <v>IslingtonReablement &amp; Rehabilitation at home  (pathway 1)3</v>
      </c>
      <c r="B1039">
        <f>IF(C1039="","",COUNTIF($C$2:C1039,C1039))</f>
        <v>3</v>
      </c>
      <c r="C1039" t="str">
        <f t="shared" si="49"/>
        <v>IslingtonRehabilitation at home (pathway 1)</v>
      </c>
      <c r="D1039" t="str">
        <f>VLOOKUP(G1039,PathwayLookup!A:B,2,0)</f>
        <v>Reablement &amp; Rehabilitation at home  (pathway 1)</v>
      </c>
      <c r="E1039" t="s">
        <v>183</v>
      </c>
      <c r="F1039" t="s">
        <v>643</v>
      </c>
      <c r="G1039" t="s">
        <v>719</v>
      </c>
      <c r="H1039">
        <v>9</v>
      </c>
      <c r="I1039">
        <v>6</v>
      </c>
      <c r="J1039">
        <v>8</v>
      </c>
      <c r="K1039">
        <v>9</v>
      </c>
      <c r="L1039">
        <v>6</v>
      </c>
      <c r="M1039">
        <v>9</v>
      </c>
      <c r="N1039">
        <v>8</v>
      </c>
      <c r="O1039">
        <v>7</v>
      </c>
      <c r="P1039">
        <v>10</v>
      </c>
      <c r="Q1039">
        <v>10</v>
      </c>
      <c r="R1039">
        <v>6</v>
      </c>
      <c r="S1039">
        <v>9</v>
      </c>
      <c r="T1039">
        <f t="shared" si="50"/>
        <v>97</v>
      </c>
      <c r="U1039">
        <v>1</v>
      </c>
    </row>
    <row r="1040" spans="1:21" x14ac:dyDescent="0.3">
      <c r="A1040" t="str">
        <f t="shared" si="48"/>
        <v>IslingtonReablement &amp; Rehabilitation at home  (pathway 1)4</v>
      </c>
      <c r="B1040">
        <f>IF(C1040="","",COUNTIF($C$2:C1040,C1040))</f>
        <v>4</v>
      </c>
      <c r="C1040" t="str">
        <f t="shared" si="49"/>
        <v>IslingtonRehabilitation at home (pathway 1)</v>
      </c>
      <c r="D1040" t="str">
        <f>VLOOKUP(G1040,PathwayLookup!A:B,2,0)</f>
        <v>Reablement &amp; Rehabilitation at home  (pathway 1)</v>
      </c>
      <c r="E1040" t="s">
        <v>183</v>
      </c>
      <c r="F1040" t="s">
        <v>651</v>
      </c>
      <c r="G1040" t="s">
        <v>719</v>
      </c>
      <c r="H1040">
        <v>1</v>
      </c>
      <c r="I1040">
        <v>1</v>
      </c>
      <c r="J1040">
        <v>1</v>
      </c>
      <c r="K1040">
        <v>1</v>
      </c>
      <c r="L1040">
        <v>1</v>
      </c>
      <c r="M1040">
        <v>1</v>
      </c>
      <c r="N1040">
        <v>1</v>
      </c>
      <c r="O1040">
        <v>1</v>
      </c>
      <c r="P1040">
        <v>1</v>
      </c>
      <c r="Q1040">
        <v>1</v>
      </c>
      <c r="R1040">
        <v>1</v>
      </c>
      <c r="S1040">
        <v>1</v>
      </c>
      <c r="T1040">
        <f t="shared" si="50"/>
        <v>12</v>
      </c>
      <c r="U1040">
        <v>1</v>
      </c>
    </row>
    <row r="1041" spans="1:21" x14ac:dyDescent="0.3">
      <c r="A1041" t="str">
        <f t="shared" si="48"/>
        <v>IslingtonShort term domiciliary care (pathway 1)1</v>
      </c>
      <c r="B1041">
        <f>IF(C1041="","",COUNTIF($C$2:C1041,C1041))</f>
        <v>1</v>
      </c>
      <c r="C1041" t="str">
        <f t="shared" si="49"/>
        <v>IslingtonShort term domiciliary care (pathway 1)</v>
      </c>
      <c r="D1041" t="str">
        <f>VLOOKUP(G1041,PathwayLookup!A:B,2,0)</f>
        <v>Short term domiciliary care (pathway 1)</v>
      </c>
      <c r="E1041" t="s">
        <v>183</v>
      </c>
      <c r="F1041" t="s">
        <v>578</v>
      </c>
      <c r="G1041" t="s">
        <v>684</v>
      </c>
      <c r="H1041">
        <v>4</v>
      </c>
      <c r="I1041">
        <v>4</v>
      </c>
      <c r="J1041">
        <v>3</v>
      </c>
      <c r="K1041">
        <v>4</v>
      </c>
      <c r="L1041">
        <v>3</v>
      </c>
      <c r="M1041">
        <v>3</v>
      </c>
      <c r="N1041">
        <v>3</v>
      </c>
      <c r="O1041">
        <v>3</v>
      </c>
      <c r="P1041">
        <v>4</v>
      </c>
      <c r="Q1041">
        <v>4</v>
      </c>
      <c r="R1041">
        <v>3</v>
      </c>
      <c r="S1041">
        <v>4</v>
      </c>
      <c r="T1041">
        <f t="shared" si="50"/>
        <v>42</v>
      </c>
      <c r="U1041">
        <v>1</v>
      </c>
    </row>
    <row r="1042" spans="1:21" x14ac:dyDescent="0.3">
      <c r="A1042" t="str">
        <f t="shared" si="48"/>
        <v>IslingtonShort term domiciliary care (pathway 1)2</v>
      </c>
      <c r="B1042">
        <f>IF(C1042="","",COUNTIF($C$2:C1042,C1042))</f>
        <v>2</v>
      </c>
      <c r="C1042" t="str">
        <f t="shared" si="49"/>
        <v>IslingtonShort term domiciliary care (pathway 1)</v>
      </c>
      <c r="D1042" t="str">
        <f>VLOOKUP(G1042,PathwayLookup!A:B,2,0)</f>
        <v>Short term domiciliary care (pathway 1)</v>
      </c>
      <c r="E1042" t="s">
        <v>183</v>
      </c>
      <c r="F1042" t="s">
        <v>626</v>
      </c>
      <c r="G1042" t="s">
        <v>684</v>
      </c>
      <c r="H1042">
        <v>34</v>
      </c>
      <c r="I1042">
        <v>31</v>
      </c>
      <c r="J1042">
        <v>29</v>
      </c>
      <c r="K1042">
        <v>33</v>
      </c>
      <c r="L1042">
        <v>30</v>
      </c>
      <c r="M1042">
        <v>35</v>
      </c>
      <c r="N1042">
        <v>36</v>
      </c>
      <c r="O1042">
        <v>32</v>
      </c>
      <c r="P1042">
        <v>35</v>
      </c>
      <c r="Q1042">
        <v>33</v>
      </c>
      <c r="R1042">
        <v>36</v>
      </c>
      <c r="S1042">
        <v>32</v>
      </c>
      <c r="T1042">
        <f t="shared" si="50"/>
        <v>396</v>
      </c>
      <c r="U1042">
        <v>1</v>
      </c>
    </row>
    <row r="1043" spans="1:21" x14ac:dyDescent="0.3">
      <c r="A1043" t="str">
        <f t="shared" si="48"/>
        <v>IslingtonShort term domiciliary care (pathway 1)3</v>
      </c>
      <c r="B1043">
        <f>IF(C1043="","",COUNTIF($C$2:C1043,C1043))</f>
        <v>3</v>
      </c>
      <c r="C1043" t="str">
        <f t="shared" si="49"/>
        <v>IslingtonShort term domiciliary care (pathway 1)</v>
      </c>
      <c r="D1043" t="str">
        <f>VLOOKUP(G1043,PathwayLookup!A:B,2,0)</f>
        <v>Short term domiciliary care (pathway 1)</v>
      </c>
      <c r="E1043" t="s">
        <v>183</v>
      </c>
      <c r="F1043" t="s">
        <v>643</v>
      </c>
      <c r="G1043" t="s">
        <v>684</v>
      </c>
      <c r="H1043">
        <v>36</v>
      </c>
      <c r="I1043">
        <v>33</v>
      </c>
      <c r="J1043">
        <v>31</v>
      </c>
      <c r="K1043">
        <v>35</v>
      </c>
      <c r="L1043">
        <v>32</v>
      </c>
      <c r="M1043">
        <v>37</v>
      </c>
      <c r="N1043">
        <v>38</v>
      </c>
      <c r="O1043">
        <v>34</v>
      </c>
      <c r="P1043">
        <v>37</v>
      </c>
      <c r="Q1043">
        <v>35</v>
      </c>
      <c r="R1043">
        <v>38</v>
      </c>
      <c r="S1043">
        <v>34</v>
      </c>
      <c r="T1043">
        <f t="shared" si="50"/>
        <v>420</v>
      </c>
      <c r="U1043">
        <v>1</v>
      </c>
    </row>
    <row r="1044" spans="1:21" x14ac:dyDescent="0.3">
      <c r="A1044" t="str">
        <f t="shared" si="48"/>
        <v>IslingtonShort term domiciliary care (pathway 1)4</v>
      </c>
      <c r="B1044">
        <f>IF(C1044="","",COUNTIF($C$2:C1044,C1044))</f>
        <v>4</v>
      </c>
      <c r="C1044" t="str">
        <f t="shared" si="49"/>
        <v>IslingtonShort term domiciliary care (pathway 1)</v>
      </c>
      <c r="D1044" t="str">
        <f>VLOOKUP(G1044,PathwayLookup!A:B,2,0)</f>
        <v>Short term domiciliary care (pathway 1)</v>
      </c>
      <c r="E1044" t="s">
        <v>183</v>
      </c>
      <c r="F1044" t="s">
        <v>651</v>
      </c>
      <c r="G1044" t="s">
        <v>684</v>
      </c>
      <c r="H1044">
        <v>1</v>
      </c>
      <c r="I1044">
        <v>1</v>
      </c>
      <c r="J1044">
        <v>1</v>
      </c>
      <c r="K1044">
        <v>1</v>
      </c>
      <c r="L1044">
        <v>1</v>
      </c>
      <c r="M1044">
        <v>1</v>
      </c>
      <c r="N1044">
        <v>1</v>
      </c>
      <c r="O1044">
        <v>1</v>
      </c>
      <c r="P1044">
        <v>1</v>
      </c>
      <c r="Q1044">
        <v>1</v>
      </c>
      <c r="R1044">
        <v>1</v>
      </c>
      <c r="S1044">
        <v>1</v>
      </c>
      <c r="T1044">
        <f t="shared" si="50"/>
        <v>12</v>
      </c>
      <c r="U1044">
        <v>1</v>
      </c>
    </row>
    <row r="1045" spans="1:21" x14ac:dyDescent="0.3">
      <c r="A1045" t="str">
        <f t="shared" si="48"/>
        <v>IslingtonReablement &amp; Rehabilitation in a bedded setting (pathway 2)1</v>
      </c>
      <c r="B1045">
        <f>IF(C1045="","",COUNTIF($C$2:C1045,C1045))</f>
        <v>1</v>
      </c>
      <c r="C1045" t="str">
        <f t="shared" si="49"/>
        <v>IslingtonReablement in a bedded setting (pathway 2)</v>
      </c>
      <c r="D1045" t="str">
        <f>VLOOKUP(G1045,PathwayLookup!A:B,2,0)</f>
        <v>Reablement &amp; Rehabilitation in a bedded setting (pathway 2)</v>
      </c>
      <c r="E1045" t="s">
        <v>183</v>
      </c>
      <c r="F1045" t="s">
        <v>578</v>
      </c>
      <c r="G1045" t="s">
        <v>722</v>
      </c>
      <c r="H1045">
        <v>1</v>
      </c>
      <c r="I1045">
        <v>1</v>
      </c>
      <c r="J1045">
        <v>1</v>
      </c>
      <c r="K1045">
        <v>1</v>
      </c>
      <c r="L1045">
        <v>1</v>
      </c>
      <c r="M1045">
        <v>1</v>
      </c>
      <c r="N1045">
        <v>1</v>
      </c>
      <c r="O1045">
        <v>1</v>
      </c>
      <c r="P1045">
        <v>1</v>
      </c>
      <c r="Q1045">
        <v>1</v>
      </c>
      <c r="R1045">
        <v>1</v>
      </c>
      <c r="S1045">
        <v>1</v>
      </c>
      <c r="T1045">
        <f t="shared" si="50"/>
        <v>12</v>
      </c>
      <c r="U1045">
        <v>1</v>
      </c>
    </row>
    <row r="1046" spans="1:21" x14ac:dyDescent="0.3">
      <c r="A1046" t="str">
        <f t="shared" si="48"/>
        <v>IslingtonReablement &amp; Rehabilitation in a bedded setting (pathway 2)2</v>
      </c>
      <c r="B1046">
        <f>IF(C1046="","",COUNTIF($C$2:C1046,C1046))</f>
        <v>2</v>
      </c>
      <c r="C1046" t="str">
        <f t="shared" si="49"/>
        <v>IslingtonReablement in a bedded setting (pathway 2)</v>
      </c>
      <c r="D1046" t="str">
        <f>VLOOKUP(G1046,PathwayLookup!A:B,2,0)</f>
        <v>Reablement &amp; Rehabilitation in a bedded setting (pathway 2)</v>
      </c>
      <c r="E1046" t="s">
        <v>183</v>
      </c>
      <c r="F1046" t="s">
        <v>626</v>
      </c>
      <c r="G1046" t="s">
        <v>722</v>
      </c>
      <c r="H1046">
        <v>7</v>
      </c>
      <c r="I1046">
        <v>8</v>
      </c>
      <c r="J1046">
        <v>7</v>
      </c>
      <c r="K1046">
        <v>8</v>
      </c>
      <c r="L1046">
        <v>8</v>
      </c>
      <c r="M1046">
        <v>7</v>
      </c>
      <c r="N1046">
        <v>8</v>
      </c>
      <c r="O1046">
        <v>7</v>
      </c>
      <c r="P1046">
        <v>8</v>
      </c>
      <c r="Q1046">
        <v>8</v>
      </c>
      <c r="R1046">
        <v>7</v>
      </c>
      <c r="S1046">
        <v>8</v>
      </c>
      <c r="T1046">
        <f t="shared" si="50"/>
        <v>91</v>
      </c>
      <c r="U1046">
        <v>1</v>
      </c>
    </row>
    <row r="1047" spans="1:21" x14ac:dyDescent="0.3">
      <c r="A1047" t="str">
        <f t="shared" si="48"/>
        <v>IslingtonReablement &amp; Rehabilitation in a bedded setting (pathway 2)3</v>
      </c>
      <c r="B1047">
        <f>IF(C1047="","",COUNTIF($C$2:C1047,C1047))</f>
        <v>3</v>
      </c>
      <c r="C1047" t="str">
        <f t="shared" si="49"/>
        <v>IslingtonReablement in a bedded setting (pathway 2)</v>
      </c>
      <c r="D1047" t="str">
        <f>VLOOKUP(G1047,PathwayLookup!A:B,2,0)</f>
        <v>Reablement &amp; Rehabilitation in a bedded setting (pathway 2)</v>
      </c>
      <c r="E1047" t="s">
        <v>183</v>
      </c>
      <c r="F1047" t="s">
        <v>643</v>
      </c>
      <c r="G1047" t="s">
        <v>722</v>
      </c>
      <c r="H1047">
        <v>3</v>
      </c>
      <c r="I1047">
        <v>4</v>
      </c>
      <c r="J1047">
        <v>5</v>
      </c>
      <c r="K1047">
        <v>6</v>
      </c>
      <c r="L1047">
        <v>3</v>
      </c>
      <c r="M1047">
        <v>4</v>
      </c>
      <c r="N1047">
        <v>3</v>
      </c>
      <c r="O1047">
        <v>4</v>
      </c>
      <c r="P1047">
        <v>4</v>
      </c>
      <c r="Q1047">
        <v>4</v>
      </c>
      <c r="R1047">
        <v>4</v>
      </c>
      <c r="S1047">
        <v>3</v>
      </c>
      <c r="T1047">
        <f t="shared" si="50"/>
        <v>47</v>
      </c>
      <c r="U1047">
        <v>1</v>
      </c>
    </row>
    <row r="1048" spans="1:21" x14ac:dyDescent="0.3">
      <c r="A1048" t="str">
        <f t="shared" si="48"/>
        <v>IslingtonReablement &amp; Rehabilitation in a bedded setting (pathway 2)4</v>
      </c>
      <c r="B1048">
        <f>IF(C1048="","",COUNTIF($C$2:C1048,C1048))</f>
        <v>4</v>
      </c>
      <c r="C1048" t="str">
        <f t="shared" si="49"/>
        <v>IslingtonReablement in a bedded setting (pathway 2)</v>
      </c>
      <c r="D1048" t="str">
        <f>VLOOKUP(G1048,PathwayLookup!A:B,2,0)</f>
        <v>Reablement &amp; Rehabilitation in a bedded setting (pathway 2)</v>
      </c>
      <c r="E1048" t="s">
        <v>183</v>
      </c>
      <c r="F1048" t="s">
        <v>651</v>
      </c>
      <c r="G1048" t="s">
        <v>722</v>
      </c>
      <c r="H1048">
        <v>1</v>
      </c>
      <c r="I1048">
        <v>1</v>
      </c>
      <c r="J1048">
        <v>1</v>
      </c>
      <c r="K1048">
        <v>1</v>
      </c>
      <c r="L1048">
        <v>1</v>
      </c>
      <c r="M1048">
        <v>1</v>
      </c>
      <c r="N1048">
        <v>1</v>
      </c>
      <c r="O1048">
        <v>1</v>
      </c>
      <c r="P1048">
        <v>1</v>
      </c>
      <c r="Q1048">
        <v>1</v>
      </c>
      <c r="R1048">
        <v>1</v>
      </c>
      <c r="S1048">
        <v>1</v>
      </c>
      <c r="T1048">
        <f t="shared" si="50"/>
        <v>12</v>
      </c>
      <c r="U1048">
        <v>1</v>
      </c>
    </row>
    <row r="1049" spans="1:21" x14ac:dyDescent="0.3">
      <c r="A1049" t="str">
        <f t="shared" si="48"/>
        <v>IslingtonReablement &amp; Rehabilitation in a bedded setting (pathway 2)1</v>
      </c>
      <c r="B1049">
        <f>IF(C1049="","",COUNTIF($C$2:C1049,C1049))</f>
        <v>1</v>
      </c>
      <c r="C1049" t="str">
        <f t="shared" si="49"/>
        <v>IslingtonRehabilitation in a bedded setting (pathway 2)</v>
      </c>
      <c r="D1049" t="str">
        <f>VLOOKUP(G1049,PathwayLookup!A:B,2,0)</f>
        <v>Reablement &amp; Rehabilitation in a bedded setting (pathway 2)</v>
      </c>
      <c r="E1049" t="s">
        <v>183</v>
      </c>
      <c r="F1049" t="s">
        <v>578</v>
      </c>
      <c r="G1049" t="s">
        <v>724</v>
      </c>
      <c r="H1049">
        <v>2</v>
      </c>
      <c r="I1049">
        <v>3</v>
      </c>
      <c r="J1049">
        <v>2</v>
      </c>
      <c r="K1049">
        <v>3</v>
      </c>
      <c r="L1049">
        <v>3</v>
      </c>
      <c r="M1049">
        <v>2</v>
      </c>
      <c r="N1049">
        <v>3</v>
      </c>
      <c r="O1049">
        <v>2</v>
      </c>
      <c r="P1049">
        <v>3</v>
      </c>
      <c r="Q1049">
        <v>3</v>
      </c>
      <c r="R1049">
        <v>2</v>
      </c>
      <c r="S1049">
        <v>3</v>
      </c>
      <c r="T1049">
        <f t="shared" si="50"/>
        <v>31</v>
      </c>
      <c r="U1049">
        <v>1</v>
      </c>
    </row>
    <row r="1050" spans="1:21" x14ac:dyDescent="0.3">
      <c r="A1050" t="str">
        <f t="shared" si="48"/>
        <v>IslingtonReablement &amp; Rehabilitation in a bedded setting (pathway 2)2</v>
      </c>
      <c r="B1050">
        <f>IF(C1050="","",COUNTIF($C$2:C1050,C1050))</f>
        <v>2</v>
      </c>
      <c r="C1050" t="str">
        <f t="shared" si="49"/>
        <v>IslingtonRehabilitation in a bedded setting (pathway 2)</v>
      </c>
      <c r="D1050" t="str">
        <f>VLOOKUP(G1050,PathwayLookup!A:B,2,0)</f>
        <v>Reablement &amp; Rehabilitation in a bedded setting (pathway 2)</v>
      </c>
      <c r="E1050" t="s">
        <v>183</v>
      </c>
      <c r="F1050" t="s">
        <v>626</v>
      </c>
      <c r="G1050" t="s">
        <v>724</v>
      </c>
      <c r="H1050">
        <v>20</v>
      </c>
      <c r="I1050">
        <v>20</v>
      </c>
      <c r="J1050">
        <v>20</v>
      </c>
      <c r="K1050">
        <v>20</v>
      </c>
      <c r="L1050">
        <v>20</v>
      </c>
      <c r="M1050">
        <v>20</v>
      </c>
      <c r="N1050">
        <v>20</v>
      </c>
      <c r="O1050">
        <v>20</v>
      </c>
      <c r="P1050">
        <v>20</v>
      </c>
      <c r="Q1050">
        <v>20</v>
      </c>
      <c r="R1050">
        <v>18</v>
      </c>
      <c r="S1050">
        <v>20</v>
      </c>
      <c r="T1050">
        <f t="shared" si="50"/>
        <v>238</v>
      </c>
      <c r="U1050">
        <v>1</v>
      </c>
    </row>
    <row r="1051" spans="1:21" x14ac:dyDescent="0.3">
      <c r="A1051" t="str">
        <f t="shared" si="48"/>
        <v>IslingtonReablement &amp; Rehabilitation in a bedded setting (pathway 2)3</v>
      </c>
      <c r="B1051">
        <f>IF(C1051="","",COUNTIF($C$2:C1051,C1051))</f>
        <v>3</v>
      </c>
      <c r="C1051" t="str">
        <f t="shared" si="49"/>
        <v>IslingtonRehabilitation in a bedded setting (pathway 2)</v>
      </c>
      <c r="D1051" t="str">
        <f>VLOOKUP(G1051,PathwayLookup!A:B,2,0)</f>
        <v>Reablement &amp; Rehabilitation in a bedded setting (pathway 2)</v>
      </c>
      <c r="E1051" t="s">
        <v>183</v>
      </c>
      <c r="F1051" t="s">
        <v>643</v>
      </c>
      <c r="G1051" t="s">
        <v>724</v>
      </c>
      <c r="H1051">
        <v>11</v>
      </c>
      <c r="I1051">
        <v>11</v>
      </c>
      <c r="J1051">
        <v>11</v>
      </c>
      <c r="K1051">
        <v>11</v>
      </c>
      <c r="L1051">
        <v>11</v>
      </c>
      <c r="M1051">
        <v>11</v>
      </c>
      <c r="N1051">
        <v>11</v>
      </c>
      <c r="O1051">
        <v>11</v>
      </c>
      <c r="P1051">
        <v>11</v>
      </c>
      <c r="Q1051">
        <v>11</v>
      </c>
      <c r="R1051">
        <v>10</v>
      </c>
      <c r="S1051">
        <v>11</v>
      </c>
      <c r="T1051">
        <f t="shared" si="50"/>
        <v>131</v>
      </c>
      <c r="U1051">
        <v>1</v>
      </c>
    </row>
    <row r="1052" spans="1:21" x14ac:dyDescent="0.3">
      <c r="A1052" t="str">
        <f t="shared" si="48"/>
        <v>IslingtonReablement &amp; Rehabilitation in a bedded setting (pathway 2)4</v>
      </c>
      <c r="B1052">
        <f>IF(C1052="","",COUNTIF($C$2:C1052,C1052))</f>
        <v>4</v>
      </c>
      <c r="C1052" t="str">
        <f t="shared" si="49"/>
        <v>IslingtonRehabilitation in a bedded setting (pathway 2)</v>
      </c>
      <c r="D1052" t="str">
        <f>VLOOKUP(G1052,PathwayLookup!A:B,2,0)</f>
        <v>Reablement &amp; Rehabilitation in a bedded setting (pathway 2)</v>
      </c>
      <c r="E1052" t="s">
        <v>183</v>
      </c>
      <c r="F1052" t="s">
        <v>651</v>
      </c>
      <c r="G1052" t="s">
        <v>724</v>
      </c>
      <c r="H1052">
        <v>1</v>
      </c>
      <c r="I1052">
        <v>1</v>
      </c>
      <c r="J1052">
        <v>1</v>
      </c>
      <c r="K1052">
        <v>1</v>
      </c>
      <c r="L1052">
        <v>1</v>
      </c>
      <c r="M1052">
        <v>1</v>
      </c>
      <c r="N1052">
        <v>1</v>
      </c>
      <c r="O1052">
        <v>1</v>
      </c>
      <c r="P1052">
        <v>1</v>
      </c>
      <c r="Q1052">
        <v>1</v>
      </c>
      <c r="R1052">
        <v>1</v>
      </c>
      <c r="S1052">
        <v>1</v>
      </c>
      <c r="T1052">
        <f t="shared" si="50"/>
        <v>12</v>
      </c>
      <c r="U1052">
        <v>1</v>
      </c>
    </row>
    <row r="1053" spans="1:21" x14ac:dyDescent="0.3">
      <c r="A1053" t="str">
        <f t="shared" si="48"/>
        <v>IslingtonShort-term residential/nursing care for someone likely to require a longer-term care home placement (pathway 3)1</v>
      </c>
      <c r="B1053">
        <f>IF(C1053="","",COUNTIF($C$2:C1053,C1053))</f>
        <v>1</v>
      </c>
      <c r="C1053" t="str">
        <f t="shared" si="49"/>
        <v>IslingtonShort-term residential/nursing care for someone likely to require a longer-term care home placement (pathway 3)</v>
      </c>
      <c r="D1053" t="str">
        <f>VLOOKUP(G1053,PathwayLookup!A:B,2,0)</f>
        <v>Short-term residential/nursing care for someone likely to require a longer-term care home placement (pathway 3)</v>
      </c>
      <c r="E1053" t="s">
        <v>183</v>
      </c>
      <c r="F1053" t="s">
        <v>578</v>
      </c>
      <c r="G1053" t="s">
        <v>686</v>
      </c>
      <c r="H1053">
        <v>1</v>
      </c>
      <c r="I1053">
        <v>2</v>
      </c>
      <c r="J1053">
        <v>1</v>
      </c>
      <c r="K1053">
        <v>1</v>
      </c>
      <c r="L1053">
        <v>2</v>
      </c>
      <c r="M1053">
        <v>1</v>
      </c>
      <c r="N1053">
        <v>2</v>
      </c>
      <c r="O1053">
        <v>2</v>
      </c>
      <c r="P1053">
        <v>2</v>
      </c>
      <c r="Q1053">
        <v>3</v>
      </c>
      <c r="R1053">
        <v>1</v>
      </c>
      <c r="S1053">
        <v>2</v>
      </c>
      <c r="T1053">
        <f t="shared" si="50"/>
        <v>20</v>
      </c>
      <c r="U1053">
        <v>1</v>
      </c>
    </row>
    <row r="1054" spans="1:21" x14ac:dyDescent="0.3">
      <c r="A1054" t="str">
        <f t="shared" si="48"/>
        <v>IslingtonShort-term residential/nursing care for someone likely to require a longer-term care home placement (pathway 3)2</v>
      </c>
      <c r="B1054">
        <f>IF(C1054="","",COUNTIF($C$2:C1054,C1054))</f>
        <v>2</v>
      </c>
      <c r="C1054" t="str">
        <f t="shared" si="49"/>
        <v>IslingtonShort-term residential/nursing care for someone likely to require a longer-term care home placement (pathway 3)</v>
      </c>
      <c r="D1054" t="str">
        <f>VLOOKUP(G1054,PathwayLookup!A:B,2,0)</f>
        <v>Short-term residential/nursing care for someone likely to require a longer-term care home placement (pathway 3)</v>
      </c>
      <c r="E1054" t="s">
        <v>183</v>
      </c>
      <c r="F1054" t="s">
        <v>626</v>
      </c>
      <c r="G1054" t="s">
        <v>686</v>
      </c>
      <c r="H1054">
        <v>5</v>
      </c>
      <c r="I1054">
        <v>2</v>
      </c>
      <c r="J1054">
        <v>1</v>
      </c>
      <c r="K1054">
        <v>2</v>
      </c>
      <c r="L1054">
        <v>2</v>
      </c>
      <c r="M1054">
        <v>1</v>
      </c>
      <c r="N1054">
        <v>2</v>
      </c>
      <c r="O1054">
        <v>3</v>
      </c>
      <c r="P1054">
        <v>2</v>
      </c>
      <c r="Q1054">
        <v>2</v>
      </c>
      <c r="R1054">
        <v>3</v>
      </c>
      <c r="S1054">
        <v>2</v>
      </c>
      <c r="T1054">
        <f t="shared" si="50"/>
        <v>27</v>
      </c>
      <c r="U1054">
        <v>1</v>
      </c>
    </row>
    <row r="1055" spans="1:21" x14ac:dyDescent="0.3">
      <c r="A1055" t="str">
        <f t="shared" si="48"/>
        <v>IslingtonShort-term residential/nursing care for someone likely to require a longer-term care home placement (pathway 3)3</v>
      </c>
      <c r="B1055">
        <f>IF(C1055="","",COUNTIF($C$2:C1055,C1055))</f>
        <v>3</v>
      </c>
      <c r="C1055" t="str">
        <f t="shared" si="49"/>
        <v>IslingtonShort-term residential/nursing care for someone likely to require a longer-term care home placement (pathway 3)</v>
      </c>
      <c r="D1055" t="str">
        <f>VLOOKUP(G1055,PathwayLookup!A:B,2,0)</f>
        <v>Short-term residential/nursing care for someone likely to require a longer-term care home placement (pathway 3)</v>
      </c>
      <c r="E1055" t="s">
        <v>183</v>
      </c>
      <c r="F1055" t="s">
        <v>643</v>
      </c>
      <c r="G1055" t="s">
        <v>686</v>
      </c>
      <c r="H1055">
        <v>13</v>
      </c>
      <c r="I1055">
        <v>9</v>
      </c>
      <c r="J1055">
        <v>6</v>
      </c>
      <c r="K1055">
        <v>15</v>
      </c>
      <c r="L1055">
        <v>9</v>
      </c>
      <c r="M1055">
        <v>8</v>
      </c>
      <c r="N1055">
        <v>6</v>
      </c>
      <c r="O1055">
        <v>14</v>
      </c>
      <c r="P1055">
        <v>14</v>
      </c>
      <c r="Q1055">
        <v>11</v>
      </c>
      <c r="R1055">
        <v>11</v>
      </c>
      <c r="S1055">
        <v>10</v>
      </c>
      <c r="T1055">
        <f t="shared" si="50"/>
        <v>126</v>
      </c>
      <c r="U1055">
        <v>1</v>
      </c>
    </row>
    <row r="1056" spans="1:21" x14ac:dyDescent="0.3">
      <c r="A1056" t="str">
        <f t="shared" si="48"/>
        <v>IslingtonShort-term residential/nursing care for someone likely to require a longer-term care home placement (pathway 3)4</v>
      </c>
      <c r="B1056">
        <f>IF(C1056="","",COUNTIF($C$2:C1056,C1056))</f>
        <v>4</v>
      </c>
      <c r="C1056" t="str">
        <f t="shared" si="49"/>
        <v>IslingtonShort-term residential/nursing care for someone likely to require a longer-term care home placement (pathway 3)</v>
      </c>
      <c r="D1056" t="str">
        <f>VLOOKUP(G1056,PathwayLookup!A:B,2,0)</f>
        <v>Short-term residential/nursing care for someone likely to require a longer-term care home placement (pathway 3)</v>
      </c>
      <c r="E1056" t="s">
        <v>183</v>
      </c>
      <c r="F1056" t="s">
        <v>651</v>
      </c>
      <c r="G1056" t="s">
        <v>686</v>
      </c>
      <c r="H1056">
        <v>1</v>
      </c>
      <c r="I1056">
        <v>1</v>
      </c>
      <c r="J1056">
        <v>1</v>
      </c>
      <c r="K1056">
        <v>1</v>
      </c>
      <c r="L1056">
        <v>1</v>
      </c>
      <c r="M1056">
        <v>1</v>
      </c>
      <c r="N1056">
        <v>1</v>
      </c>
      <c r="O1056">
        <v>1</v>
      </c>
      <c r="P1056">
        <v>1</v>
      </c>
      <c r="Q1056">
        <v>1</v>
      </c>
      <c r="R1056">
        <v>1</v>
      </c>
      <c r="S1056">
        <v>1</v>
      </c>
      <c r="T1056">
        <f t="shared" si="50"/>
        <v>12</v>
      </c>
      <c r="U1056">
        <v>1</v>
      </c>
    </row>
    <row r="1057" spans="1:21" x14ac:dyDescent="0.3">
      <c r="A1057" t="str">
        <f t="shared" si="48"/>
        <v>Kensington and ChelseaSocial support (including VCS) (pathway 0)1</v>
      </c>
      <c r="B1057">
        <f>IF(C1057="","",COUNTIF($C$2:C1057,C1057))</f>
        <v>1</v>
      </c>
      <c r="C1057" t="str">
        <f t="shared" si="49"/>
        <v>Kensington and ChelseaSocial support (including VCS) (pathway 0)</v>
      </c>
      <c r="D1057" t="str">
        <f>VLOOKUP(G1057,PathwayLookup!A:B,2,0)</f>
        <v>Social support (including VCS) (pathway 0)</v>
      </c>
      <c r="E1057" t="s">
        <v>185</v>
      </c>
      <c r="F1057" t="s">
        <v>476</v>
      </c>
      <c r="G1057" t="s">
        <v>682</v>
      </c>
      <c r="H1057">
        <v>642</v>
      </c>
      <c r="I1057">
        <v>658</v>
      </c>
      <c r="J1057">
        <v>717</v>
      </c>
      <c r="K1057">
        <v>649</v>
      </c>
      <c r="L1057">
        <v>649</v>
      </c>
      <c r="M1057">
        <v>661</v>
      </c>
      <c r="N1057">
        <v>737</v>
      </c>
      <c r="O1057">
        <v>753</v>
      </c>
      <c r="P1057">
        <v>726</v>
      </c>
      <c r="Q1057">
        <v>753</v>
      </c>
      <c r="R1057">
        <v>643</v>
      </c>
      <c r="S1057">
        <v>791</v>
      </c>
      <c r="T1057">
        <f t="shared" si="50"/>
        <v>8379</v>
      </c>
      <c r="U1057">
        <v>1</v>
      </c>
    </row>
    <row r="1058" spans="1:21" x14ac:dyDescent="0.3">
      <c r="A1058" t="str">
        <f t="shared" si="48"/>
        <v>Kensington and ChelseaSocial support (including VCS) (pathway 0)2</v>
      </c>
      <c r="B1058">
        <f>IF(C1058="","",COUNTIF($C$2:C1058,C1058))</f>
        <v>2</v>
      </c>
      <c r="C1058" t="str">
        <f t="shared" si="49"/>
        <v>Kensington and ChelseaSocial support (including VCS) (pathway 0)</v>
      </c>
      <c r="D1058" t="str">
        <f>VLOOKUP(G1058,PathwayLookup!A:B,2,0)</f>
        <v>Social support (including VCS) (pathway 0)</v>
      </c>
      <c r="E1058" t="s">
        <v>185</v>
      </c>
      <c r="F1058" t="s">
        <v>520</v>
      </c>
      <c r="G1058" t="s">
        <v>682</v>
      </c>
      <c r="H1058">
        <v>628</v>
      </c>
      <c r="I1058">
        <v>651</v>
      </c>
      <c r="J1058">
        <v>702</v>
      </c>
      <c r="K1058">
        <v>689</v>
      </c>
      <c r="L1058">
        <v>672</v>
      </c>
      <c r="M1058">
        <v>637</v>
      </c>
      <c r="N1058">
        <v>707</v>
      </c>
      <c r="O1058">
        <v>737</v>
      </c>
      <c r="P1058">
        <v>649</v>
      </c>
      <c r="Q1058">
        <v>658</v>
      </c>
      <c r="R1058">
        <v>644</v>
      </c>
      <c r="S1058">
        <v>758</v>
      </c>
      <c r="T1058">
        <f t="shared" si="50"/>
        <v>8132</v>
      </c>
      <c r="U1058">
        <v>1</v>
      </c>
    </row>
    <row r="1059" spans="1:21" x14ac:dyDescent="0.3">
      <c r="A1059" t="str">
        <f t="shared" si="48"/>
        <v>Kensington and ChelseaSocial support (including VCS) (pathway 0)3</v>
      </c>
      <c r="B1059">
        <f>IF(C1059="","",COUNTIF($C$2:C1059,C1059))</f>
        <v>3</v>
      </c>
      <c r="C1059" t="str">
        <f t="shared" si="49"/>
        <v>Kensington and ChelseaSocial support (including VCS) (pathway 0)</v>
      </c>
      <c r="D1059" t="str">
        <f>VLOOKUP(G1059,PathwayLookup!A:B,2,0)</f>
        <v>Social support (including VCS) (pathway 0)</v>
      </c>
      <c r="E1059" t="s">
        <v>185</v>
      </c>
      <c r="F1059" t="s">
        <v>540</v>
      </c>
      <c r="G1059" t="s">
        <v>682</v>
      </c>
      <c r="H1059">
        <v>19</v>
      </c>
      <c r="I1059">
        <v>28</v>
      </c>
      <c r="J1059">
        <v>30</v>
      </c>
      <c r="K1059">
        <v>26</v>
      </c>
      <c r="L1059">
        <v>30</v>
      </c>
      <c r="M1059">
        <v>28</v>
      </c>
      <c r="N1059">
        <v>26</v>
      </c>
      <c r="O1059">
        <v>19</v>
      </c>
      <c r="P1059">
        <v>32</v>
      </c>
      <c r="Q1059">
        <v>28</v>
      </c>
      <c r="R1059">
        <v>26</v>
      </c>
      <c r="S1059">
        <v>29</v>
      </c>
      <c r="T1059">
        <f t="shared" si="50"/>
        <v>321</v>
      </c>
      <c r="U1059">
        <v>1</v>
      </c>
    </row>
    <row r="1060" spans="1:21" x14ac:dyDescent="0.3">
      <c r="A1060" t="str">
        <f t="shared" si="48"/>
        <v>Kensington and ChelseaSocial support (including VCS) (pathway 0)4</v>
      </c>
      <c r="B1060">
        <f>IF(C1060="","",COUNTIF($C$2:C1060,C1060))</f>
        <v>4</v>
      </c>
      <c r="C1060" t="str">
        <f t="shared" si="49"/>
        <v>Kensington and ChelseaSocial support (including VCS) (pathway 0)</v>
      </c>
      <c r="D1060" t="str">
        <f>VLOOKUP(G1060,PathwayLookup!A:B,2,0)</f>
        <v>Social support (including VCS) (pathway 0)</v>
      </c>
      <c r="E1060" t="s">
        <v>185</v>
      </c>
      <c r="F1060" t="s">
        <v>613</v>
      </c>
      <c r="G1060" t="s">
        <v>682</v>
      </c>
      <c r="H1060">
        <v>3</v>
      </c>
      <c r="I1060">
        <v>2</v>
      </c>
      <c r="J1060">
        <v>3</v>
      </c>
      <c r="K1060">
        <v>1</v>
      </c>
      <c r="L1060">
        <v>1</v>
      </c>
      <c r="M1060">
        <v>5</v>
      </c>
      <c r="N1060">
        <v>7</v>
      </c>
      <c r="O1060">
        <v>3</v>
      </c>
      <c r="P1060">
        <v>4</v>
      </c>
      <c r="Q1060">
        <v>4</v>
      </c>
      <c r="R1060">
        <v>3</v>
      </c>
      <c r="S1060">
        <v>4</v>
      </c>
      <c r="T1060">
        <f t="shared" si="50"/>
        <v>40</v>
      </c>
      <c r="U1060">
        <v>1</v>
      </c>
    </row>
    <row r="1061" spans="1:21" x14ac:dyDescent="0.3">
      <c r="A1061" t="str">
        <f t="shared" si="48"/>
        <v>Kensington and ChelseaReablement &amp; Rehabilitation at home  (pathway 1)1</v>
      </c>
      <c r="B1061">
        <f>IF(C1061="","",COUNTIF($C$2:C1061,C1061))</f>
        <v>1</v>
      </c>
      <c r="C1061" t="str">
        <f t="shared" si="49"/>
        <v>Kensington and ChelseaReablement at home  (pathway 1)</v>
      </c>
      <c r="D1061" t="str">
        <f>VLOOKUP(G1061,PathwayLookup!A:B,2,0)</f>
        <v>Reablement &amp; Rehabilitation at home  (pathway 1)</v>
      </c>
      <c r="E1061" t="s">
        <v>185</v>
      </c>
      <c r="F1061" t="s">
        <v>476</v>
      </c>
      <c r="G1061" t="s">
        <v>718</v>
      </c>
      <c r="H1061">
        <v>31</v>
      </c>
      <c r="I1061">
        <v>32</v>
      </c>
      <c r="J1061">
        <v>35</v>
      </c>
      <c r="K1061">
        <v>32</v>
      </c>
      <c r="L1061">
        <v>32</v>
      </c>
      <c r="M1061">
        <v>32</v>
      </c>
      <c r="N1061">
        <v>36</v>
      </c>
      <c r="O1061">
        <v>37</v>
      </c>
      <c r="P1061">
        <v>36</v>
      </c>
      <c r="Q1061">
        <v>37</v>
      </c>
      <c r="R1061">
        <v>31</v>
      </c>
      <c r="S1061">
        <v>39</v>
      </c>
      <c r="T1061">
        <f t="shared" si="50"/>
        <v>410</v>
      </c>
      <c r="U1061">
        <v>1</v>
      </c>
    </row>
    <row r="1062" spans="1:21" x14ac:dyDescent="0.3">
      <c r="A1062" t="str">
        <f t="shared" si="48"/>
        <v>Kensington and ChelseaReablement &amp; Rehabilitation at home  (pathway 1)2</v>
      </c>
      <c r="B1062">
        <f>IF(C1062="","",COUNTIF($C$2:C1062,C1062))</f>
        <v>2</v>
      </c>
      <c r="C1062" t="str">
        <f t="shared" si="49"/>
        <v>Kensington and ChelseaReablement at home  (pathway 1)</v>
      </c>
      <c r="D1062" t="str">
        <f>VLOOKUP(G1062,PathwayLookup!A:B,2,0)</f>
        <v>Reablement &amp; Rehabilitation at home  (pathway 1)</v>
      </c>
      <c r="E1062" t="s">
        <v>185</v>
      </c>
      <c r="F1062" t="s">
        <v>520</v>
      </c>
      <c r="G1062" t="s">
        <v>718</v>
      </c>
      <c r="H1062">
        <v>31</v>
      </c>
      <c r="I1062">
        <v>32</v>
      </c>
      <c r="J1062">
        <v>34</v>
      </c>
      <c r="K1062">
        <v>34</v>
      </c>
      <c r="L1062">
        <v>33</v>
      </c>
      <c r="M1062">
        <v>31</v>
      </c>
      <c r="N1062">
        <v>35</v>
      </c>
      <c r="O1062">
        <v>36</v>
      </c>
      <c r="P1062">
        <v>32</v>
      </c>
      <c r="Q1062">
        <v>32</v>
      </c>
      <c r="R1062">
        <v>32</v>
      </c>
      <c r="S1062">
        <v>37</v>
      </c>
      <c r="T1062">
        <f t="shared" si="50"/>
        <v>399</v>
      </c>
      <c r="U1062">
        <v>1</v>
      </c>
    </row>
    <row r="1063" spans="1:21" x14ac:dyDescent="0.3">
      <c r="A1063" t="str">
        <f t="shared" si="48"/>
        <v>Kensington and ChelseaReablement &amp; Rehabilitation at home  (pathway 1)3</v>
      </c>
      <c r="B1063">
        <f>IF(C1063="","",COUNTIF($C$2:C1063,C1063))</f>
        <v>3</v>
      </c>
      <c r="C1063" t="str">
        <f t="shared" si="49"/>
        <v>Kensington and ChelseaReablement at home  (pathway 1)</v>
      </c>
      <c r="D1063" t="str">
        <f>VLOOKUP(G1063,PathwayLookup!A:B,2,0)</f>
        <v>Reablement &amp; Rehabilitation at home  (pathway 1)</v>
      </c>
      <c r="E1063" t="s">
        <v>185</v>
      </c>
      <c r="F1063" t="s">
        <v>540</v>
      </c>
      <c r="G1063" t="s">
        <v>718</v>
      </c>
      <c r="H1063">
        <v>1</v>
      </c>
      <c r="I1063">
        <v>1</v>
      </c>
      <c r="J1063">
        <v>1</v>
      </c>
      <c r="K1063">
        <v>1</v>
      </c>
      <c r="L1063">
        <v>1</v>
      </c>
      <c r="M1063">
        <v>1</v>
      </c>
      <c r="N1063">
        <v>1</v>
      </c>
      <c r="O1063">
        <v>1</v>
      </c>
      <c r="P1063">
        <v>2</v>
      </c>
      <c r="Q1063">
        <v>1</v>
      </c>
      <c r="R1063">
        <v>1</v>
      </c>
      <c r="S1063">
        <v>1</v>
      </c>
      <c r="T1063">
        <f t="shared" si="50"/>
        <v>13</v>
      </c>
      <c r="U1063">
        <v>1</v>
      </c>
    </row>
    <row r="1064" spans="1:21" x14ac:dyDescent="0.3">
      <c r="A1064" t="str">
        <f t="shared" si="48"/>
        <v/>
      </c>
      <c r="B1064" t="str">
        <f>IF(C1064="","",COUNTIF($C$2:C1064,C1064))</f>
        <v/>
      </c>
      <c r="C1064" t="str">
        <f t="shared" si="49"/>
        <v/>
      </c>
      <c r="D1064" t="str">
        <f>VLOOKUP(G1064,PathwayLookup!A:B,2,0)</f>
        <v>Reablement &amp; Rehabilitation at home  (pathway 1)</v>
      </c>
      <c r="E1064" t="s">
        <v>185</v>
      </c>
      <c r="F1064" t="s">
        <v>613</v>
      </c>
      <c r="G1064" t="s">
        <v>718</v>
      </c>
      <c r="H1064">
        <v>0</v>
      </c>
      <c r="I1064">
        <v>0</v>
      </c>
      <c r="J1064">
        <v>0</v>
      </c>
      <c r="K1064">
        <v>0</v>
      </c>
      <c r="L1064">
        <v>0</v>
      </c>
      <c r="M1064">
        <v>0</v>
      </c>
      <c r="N1064">
        <v>0</v>
      </c>
      <c r="O1064">
        <v>0</v>
      </c>
      <c r="P1064">
        <v>0</v>
      </c>
      <c r="Q1064">
        <v>0</v>
      </c>
      <c r="R1064">
        <v>0</v>
      </c>
      <c r="S1064">
        <v>0</v>
      </c>
      <c r="T1064">
        <f t="shared" si="50"/>
        <v>0</v>
      </c>
      <c r="U1064">
        <v>1</v>
      </c>
    </row>
    <row r="1065" spans="1:21" x14ac:dyDescent="0.3">
      <c r="A1065" t="str">
        <f t="shared" si="48"/>
        <v>Kensington and ChelseaReablement &amp; Rehabilitation at home  (pathway 1)1</v>
      </c>
      <c r="B1065">
        <f>IF(C1065="","",COUNTIF($C$2:C1065,C1065))</f>
        <v>1</v>
      </c>
      <c r="C1065" t="str">
        <f t="shared" si="49"/>
        <v>Kensington and ChelseaRehabilitation at home (pathway 1)</v>
      </c>
      <c r="D1065" t="str">
        <f>VLOOKUP(G1065,PathwayLookup!A:B,2,0)</f>
        <v>Reablement &amp; Rehabilitation at home  (pathway 1)</v>
      </c>
      <c r="E1065" t="s">
        <v>185</v>
      </c>
      <c r="F1065" t="s">
        <v>476</v>
      </c>
      <c r="G1065" t="s">
        <v>719</v>
      </c>
      <c r="H1065">
        <v>31</v>
      </c>
      <c r="I1065">
        <v>32</v>
      </c>
      <c r="J1065">
        <v>35</v>
      </c>
      <c r="K1065">
        <v>32</v>
      </c>
      <c r="L1065">
        <v>32</v>
      </c>
      <c r="M1065">
        <v>32</v>
      </c>
      <c r="N1065">
        <v>36</v>
      </c>
      <c r="O1065">
        <v>37</v>
      </c>
      <c r="P1065">
        <v>36</v>
      </c>
      <c r="Q1065">
        <v>37</v>
      </c>
      <c r="R1065">
        <v>31</v>
      </c>
      <c r="S1065">
        <v>39</v>
      </c>
      <c r="T1065">
        <f t="shared" si="50"/>
        <v>410</v>
      </c>
      <c r="U1065">
        <v>1</v>
      </c>
    </row>
    <row r="1066" spans="1:21" x14ac:dyDescent="0.3">
      <c r="A1066" t="str">
        <f t="shared" si="48"/>
        <v>Kensington and ChelseaReablement &amp; Rehabilitation at home  (pathway 1)2</v>
      </c>
      <c r="B1066">
        <f>IF(C1066="","",COUNTIF($C$2:C1066,C1066))</f>
        <v>2</v>
      </c>
      <c r="C1066" t="str">
        <f t="shared" si="49"/>
        <v>Kensington and ChelseaRehabilitation at home (pathway 1)</v>
      </c>
      <c r="D1066" t="str">
        <f>VLOOKUP(G1066,PathwayLookup!A:B,2,0)</f>
        <v>Reablement &amp; Rehabilitation at home  (pathway 1)</v>
      </c>
      <c r="E1066" t="s">
        <v>185</v>
      </c>
      <c r="F1066" t="s">
        <v>520</v>
      </c>
      <c r="G1066" t="s">
        <v>719</v>
      </c>
      <c r="H1066">
        <v>31</v>
      </c>
      <c r="I1066">
        <v>32</v>
      </c>
      <c r="J1066">
        <v>34</v>
      </c>
      <c r="K1066">
        <v>34</v>
      </c>
      <c r="L1066">
        <v>33</v>
      </c>
      <c r="M1066">
        <v>31</v>
      </c>
      <c r="N1066">
        <v>35</v>
      </c>
      <c r="O1066">
        <v>36</v>
      </c>
      <c r="P1066">
        <v>32</v>
      </c>
      <c r="Q1066">
        <v>32</v>
      </c>
      <c r="R1066">
        <v>32</v>
      </c>
      <c r="S1066">
        <v>37</v>
      </c>
      <c r="T1066">
        <f t="shared" si="50"/>
        <v>399</v>
      </c>
      <c r="U1066">
        <v>1</v>
      </c>
    </row>
    <row r="1067" spans="1:21" x14ac:dyDescent="0.3">
      <c r="A1067" t="str">
        <f t="shared" si="48"/>
        <v>Kensington and ChelseaReablement &amp; Rehabilitation at home  (pathway 1)3</v>
      </c>
      <c r="B1067">
        <f>IF(C1067="","",COUNTIF($C$2:C1067,C1067))</f>
        <v>3</v>
      </c>
      <c r="C1067" t="str">
        <f t="shared" si="49"/>
        <v>Kensington and ChelseaRehabilitation at home (pathway 1)</v>
      </c>
      <c r="D1067" t="str">
        <f>VLOOKUP(G1067,PathwayLookup!A:B,2,0)</f>
        <v>Reablement &amp; Rehabilitation at home  (pathway 1)</v>
      </c>
      <c r="E1067" t="s">
        <v>185</v>
      </c>
      <c r="F1067" t="s">
        <v>540</v>
      </c>
      <c r="G1067" t="s">
        <v>719</v>
      </c>
      <c r="H1067">
        <v>1</v>
      </c>
      <c r="I1067">
        <v>1</v>
      </c>
      <c r="J1067">
        <v>1</v>
      </c>
      <c r="K1067">
        <v>1</v>
      </c>
      <c r="L1067">
        <v>1</v>
      </c>
      <c r="M1067">
        <v>1</v>
      </c>
      <c r="N1067">
        <v>1</v>
      </c>
      <c r="O1067">
        <v>1</v>
      </c>
      <c r="P1067">
        <v>2</v>
      </c>
      <c r="Q1067">
        <v>1</v>
      </c>
      <c r="R1067">
        <v>1</v>
      </c>
      <c r="S1067">
        <v>1</v>
      </c>
      <c r="T1067">
        <f t="shared" si="50"/>
        <v>13</v>
      </c>
      <c r="U1067">
        <v>1</v>
      </c>
    </row>
    <row r="1068" spans="1:21" x14ac:dyDescent="0.3">
      <c r="A1068" t="str">
        <f t="shared" si="48"/>
        <v/>
      </c>
      <c r="B1068" t="str">
        <f>IF(C1068="","",COUNTIF($C$2:C1068,C1068))</f>
        <v/>
      </c>
      <c r="C1068" t="str">
        <f t="shared" si="49"/>
        <v/>
      </c>
      <c r="D1068" t="str">
        <f>VLOOKUP(G1068,PathwayLookup!A:B,2,0)</f>
        <v>Reablement &amp; Rehabilitation at home  (pathway 1)</v>
      </c>
      <c r="E1068" t="s">
        <v>185</v>
      </c>
      <c r="F1068" t="s">
        <v>613</v>
      </c>
      <c r="G1068" t="s">
        <v>719</v>
      </c>
      <c r="H1068">
        <v>0</v>
      </c>
      <c r="I1068">
        <v>0</v>
      </c>
      <c r="J1068">
        <v>0</v>
      </c>
      <c r="K1068">
        <v>0</v>
      </c>
      <c r="L1068">
        <v>0</v>
      </c>
      <c r="M1068">
        <v>0</v>
      </c>
      <c r="N1068">
        <v>0</v>
      </c>
      <c r="O1068">
        <v>0</v>
      </c>
      <c r="P1068">
        <v>0</v>
      </c>
      <c r="Q1068">
        <v>0</v>
      </c>
      <c r="R1068">
        <v>0</v>
      </c>
      <c r="S1068">
        <v>0</v>
      </c>
      <c r="T1068">
        <f t="shared" si="50"/>
        <v>0</v>
      </c>
      <c r="U1068">
        <v>1</v>
      </c>
    </row>
    <row r="1069" spans="1:21" x14ac:dyDescent="0.3">
      <c r="A1069" t="str">
        <f t="shared" si="48"/>
        <v>Kensington and ChelseaShort term domiciliary care (pathway 1)1</v>
      </c>
      <c r="B1069">
        <f>IF(C1069="","",COUNTIF($C$2:C1069,C1069))</f>
        <v>1</v>
      </c>
      <c r="C1069" t="str">
        <f t="shared" si="49"/>
        <v>Kensington and ChelseaShort term domiciliary care (pathway 1)</v>
      </c>
      <c r="D1069" t="str">
        <f>VLOOKUP(G1069,PathwayLookup!A:B,2,0)</f>
        <v>Short term domiciliary care (pathway 1)</v>
      </c>
      <c r="E1069" t="s">
        <v>185</v>
      </c>
      <c r="F1069" t="s">
        <v>476</v>
      </c>
      <c r="G1069" t="s">
        <v>684</v>
      </c>
      <c r="H1069">
        <v>31</v>
      </c>
      <c r="I1069">
        <v>32</v>
      </c>
      <c r="J1069">
        <v>35</v>
      </c>
      <c r="K1069">
        <v>32</v>
      </c>
      <c r="L1069">
        <v>32</v>
      </c>
      <c r="M1069">
        <v>32</v>
      </c>
      <c r="N1069">
        <v>36</v>
      </c>
      <c r="O1069">
        <v>37</v>
      </c>
      <c r="P1069">
        <v>36</v>
      </c>
      <c r="Q1069">
        <v>37</v>
      </c>
      <c r="R1069">
        <v>31</v>
      </c>
      <c r="S1069">
        <v>39</v>
      </c>
      <c r="T1069">
        <f t="shared" si="50"/>
        <v>410</v>
      </c>
      <c r="U1069">
        <v>1</v>
      </c>
    </row>
    <row r="1070" spans="1:21" x14ac:dyDescent="0.3">
      <c r="A1070" t="str">
        <f t="shared" si="48"/>
        <v>Kensington and ChelseaShort term domiciliary care (pathway 1)2</v>
      </c>
      <c r="B1070">
        <f>IF(C1070="","",COUNTIF($C$2:C1070,C1070))</f>
        <v>2</v>
      </c>
      <c r="C1070" t="str">
        <f t="shared" si="49"/>
        <v>Kensington and ChelseaShort term domiciliary care (pathway 1)</v>
      </c>
      <c r="D1070" t="str">
        <f>VLOOKUP(G1070,PathwayLookup!A:B,2,0)</f>
        <v>Short term domiciliary care (pathway 1)</v>
      </c>
      <c r="E1070" t="s">
        <v>185</v>
      </c>
      <c r="F1070" t="s">
        <v>520</v>
      </c>
      <c r="G1070" t="s">
        <v>684</v>
      </c>
      <c r="H1070">
        <v>31</v>
      </c>
      <c r="I1070">
        <v>32</v>
      </c>
      <c r="J1070">
        <v>34</v>
      </c>
      <c r="K1070">
        <v>34</v>
      </c>
      <c r="L1070">
        <v>33</v>
      </c>
      <c r="M1070">
        <v>31</v>
      </c>
      <c r="N1070">
        <v>35</v>
      </c>
      <c r="O1070">
        <v>36</v>
      </c>
      <c r="P1070">
        <v>32</v>
      </c>
      <c r="Q1070">
        <v>32</v>
      </c>
      <c r="R1070">
        <v>32</v>
      </c>
      <c r="S1070">
        <v>37</v>
      </c>
      <c r="T1070">
        <f t="shared" si="50"/>
        <v>399</v>
      </c>
      <c r="U1070">
        <v>1</v>
      </c>
    </row>
    <row r="1071" spans="1:21" x14ac:dyDescent="0.3">
      <c r="A1071" t="str">
        <f t="shared" si="48"/>
        <v>Kensington and ChelseaShort term domiciliary care (pathway 1)3</v>
      </c>
      <c r="B1071">
        <f>IF(C1071="","",COUNTIF($C$2:C1071,C1071))</f>
        <v>3</v>
      </c>
      <c r="C1071" t="str">
        <f t="shared" si="49"/>
        <v>Kensington and ChelseaShort term domiciliary care (pathway 1)</v>
      </c>
      <c r="D1071" t="str">
        <f>VLOOKUP(G1071,PathwayLookup!A:B,2,0)</f>
        <v>Short term domiciliary care (pathway 1)</v>
      </c>
      <c r="E1071" t="s">
        <v>185</v>
      </c>
      <c r="F1071" t="s">
        <v>540</v>
      </c>
      <c r="G1071" t="s">
        <v>684</v>
      </c>
      <c r="H1071">
        <v>1</v>
      </c>
      <c r="I1071">
        <v>1</v>
      </c>
      <c r="J1071">
        <v>1</v>
      </c>
      <c r="K1071">
        <v>1</v>
      </c>
      <c r="L1071">
        <v>1</v>
      </c>
      <c r="M1071">
        <v>1</v>
      </c>
      <c r="N1071">
        <v>1</v>
      </c>
      <c r="O1071">
        <v>1</v>
      </c>
      <c r="P1071">
        <v>2</v>
      </c>
      <c r="Q1071">
        <v>1</v>
      </c>
      <c r="R1071">
        <v>1</v>
      </c>
      <c r="S1071">
        <v>1</v>
      </c>
      <c r="T1071">
        <f t="shared" si="50"/>
        <v>13</v>
      </c>
      <c r="U1071">
        <v>1</v>
      </c>
    </row>
    <row r="1072" spans="1:21" x14ac:dyDescent="0.3">
      <c r="A1072" t="str">
        <f t="shared" si="48"/>
        <v/>
      </c>
      <c r="B1072" t="str">
        <f>IF(C1072="","",COUNTIF($C$2:C1072,C1072))</f>
        <v/>
      </c>
      <c r="C1072" t="str">
        <f t="shared" si="49"/>
        <v/>
      </c>
      <c r="D1072" t="str">
        <f>VLOOKUP(G1072,PathwayLookup!A:B,2,0)</f>
        <v>Short term domiciliary care (pathway 1)</v>
      </c>
      <c r="E1072" t="s">
        <v>185</v>
      </c>
      <c r="F1072" t="s">
        <v>613</v>
      </c>
      <c r="G1072" t="s">
        <v>684</v>
      </c>
      <c r="H1072">
        <v>0</v>
      </c>
      <c r="I1072">
        <v>0</v>
      </c>
      <c r="J1072">
        <v>0</v>
      </c>
      <c r="K1072">
        <v>0</v>
      </c>
      <c r="L1072">
        <v>0</v>
      </c>
      <c r="M1072">
        <v>0</v>
      </c>
      <c r="N1072">
        <v>0</v>
      </c>
      <c r="O1072">
        <v>0</v>
      </c>
      <c r="P1072">
        <v>0</v>
      </c>
      <c r="Q1072">
        <v>0</v>
      </c>
      <c r="R1072">
        <v>0</v>
      </c>
      <c r="S1072">
        <v>0</v>
      </c>
      <c r="T1072">
        <f t="shared" si="50"/>
        <v>0</v>
      </c>
      <c r="U1072">
        <v>1</v>
      </c>
    </row>
    <row r="1073" spans="1:21" x14ac:dyDescent="0.3">
      <c r="A1073" t="str">
        <f t="shared" si="48"/>
        <v/>
      </c>
      <c r="B1073" t="str">
        <f>IF(C1073="","",COUNTIF($C$2:C1073,C1073))</f>
        <v/>
      </c>
      <c r="C1073" t="str">
        <f t="shared" si="49"/>
        <v/>
      </c>
      <c r="D1073" t="str">
        <f>VLOOKUP(G1073,PathwayLookup!A:B,2,0)</f>
        <v>Reablement &amp; Rehabilitation in a bedded setting (pathway 2)</v>
      </c>
      <c r="E1073" t="s">
        <v>185</v>
      </c>
      <c r="F1073" t="s">
        <v>476</v>
      </c>
      <c r="G1073" t="s">
        <v>722</v>
      </c>
      <c r="H1073">
        <v>0</v>
      </c>
      <c r="I1073">
        <v>0</v>
      </c>
      <c r="J1073">
        <v>0</v>
      </c>
      <c r="K1073">
        <v>0</v>
      </c>
      <c r="L1073">
        <v>0</v>
      </c>
      <c r="M1073">
        <v>0</v>
      </c>
      <c r="N1073">
        <v>0</v>
      </c>
      <c r="O1073">
        <v>0</v>
      </c>
      <c r="P1073">
        <v>0</v>
      </c>
      <c r="Q1073">
        <v>0</v>
      </c>
      <c r="R1073">
        <v>0</v>
      </c>
      <c r="S1073">
        <v>0</v>
      </c>
      <c r="T1073">
        <f t="shared" si="50"/>
        <v>0</v>
      </c>
      <c r="U1073">
        <v>1</v>
      </c>
    </row>
    <row r="1074" spans="1:21" x14ac:dyDescent="0.3">
      <c r="A1074" t="str">
        <f t="shared" si="48"/>
        <v/>
      </c>
      <c r="B1074" t="str">
        <f>IF(C1074="","",COUNTIF($C$2:C1074,C1074))</f>
        <v/>
      </c>
      <c r="C1074" t="str">
        <f t="shared" si="49"/>
        <v/>
      </c>
      <c r="D1074" t="str">
        <f>VLOOKUP(G1074,PathwayLookup!A:B,2,0)</f>
        <v>Reablement &amp; Rehabilitation in a bedded setting (pathway 2)</v>
      </c>
      <c r="E1074" t="s">
        <v>185</v>
      </c>
      <c r="F1074" t="s">
        <v>520</v>
      </c>
      <c r="G1074" t="s">
        <v>722</v>
      </c>
      <c r="H1074">
        <v>0</v>
      </c>
      <c r="I1074">
        <v>0</v>
      </c>
      <c r="J1074">
        <v>0</v>
      </c>
      <c r="K1074">
        <v>0</v>
      </c>
      <c r="L1074">
        <v>0</v>
      </c>
      <c r="M1074">
        <v>0</v>
      </c>
      <c r="N1074">
        <v>0</v>
      </c>
      <c r="O1074">
        <v>0</v>
      </c>
      <c r="P1074">
        <v>0</v>
      </c>
      <c r="Q1074">
        <v>0</v>
      </c>
      <c r="R1074">
        <v>0</v>
      </c>
      <c r="S1074">
        <v>0</v>
      </c>
      <c r="T1074">
        <f t="shared" si="50"/>
        <v>0</v>
      </c>
      <c r="U1074">
        <v>1</v>
      </c>
    </row>
    <row r="1075" spans="1:21" x14ac:dyDescent="0.3">
      <c r="A1075" t="str">
        <f t="shared" si="48"/>
        <v/>
      </c>
      <c r="B1075" t="str">
        <f>IF(C1075="","",COUNTIF($C$2:C1075,C1075))</f>
        <v/>
      </c>
      <c r="C1075" t="str">
        <f t="shared" si="49"/>
        <v/>
      </c>
      <c r="D1075" t="str">
        <f>VLOOKUP(G1075,PathwayLookup!A:B,2,0)</f>
        <v>Reablement &amp; Rehabilitation in a bedded setting (pathway 2)</v>
      </c>
      <c r="E1075" t="s">
        <v>185</v>
      </c>
      <c r="F1075" t="s">
        <v>540</v>
      </c>
      <c r="G1075" t="s">
        <v>722</v>
      </c>
      <c r="H1075">
        <v>0</v>
      </c>
      <c r="I1075">
        <v>0</v>
      </c>
      <c r="J1075">
        <v>0</v>
      </c>
      <c r="K1075">
        <v>0</v>
      </c>
      <c r="L1075">
        <v>0</v>
      </c>
      <c r="M1075">
        <v>0</v>
      </c>
      <c r="N1075">
        <v>0</v>
      </c>
      <c r="O1075">
        <v>0</v>
      </c>
      <c r="P1075">
        <v>0</v>
      </c>
      <c r="Q1075">
        <v>0</v>
      </c>
      <c r="R1075">
        <v>0</v>
      </c>
      <c r="S1075">
        <v>0</v>
      </c>
      <c r="T1075">
        <f t="shared" si="50"/>
        <v>0</v>
      </c>
      <c r="U1075">
        <v>1</v>
      </c>
    </row>
    <row r="1076" spans="1:21" x14ac:dyDescent="0.3">
      <c r="A1076" t="str">
        <f t="shared" si="48"/>
        <v/>
      </c>
      <c r="B1076" t="str">
        <f>IF(C1076="","",COUNTIF($C$2:C1076,C1076))</f>
        <v/>
      </c>
      <c r="C1076" t="str">
        <f t="shared" si="49"/>
        <v/>
      </c>
      <c r="D1076" t="str">
        <f>VLOOKUP(G1076,PathwayLookup!A:B,2,0)</f>
        <v>Reablement &amp; Rehabilitation in a bedded setting (pathway 2)</v>
      </c>
      <c r="E1076" t="s">
        <v>185</v>
      </c>
      <c r="F1076" t="s">
        <v>613</v>
      </c>
      <c r="G1076" t="s">
        <v>722</v>
      </c>
      <c r="H1076">
        <v>0</v>
      </c>
      <c r="I1076">
        <v>0</v>
      </c>
      <c r="J1076">
        <v>0</v>
      </c>
      <c r="K1076">
        <v>0</v>
      </c>
      <c r="L1076">
        <v>0</v>
      </c>
      <c r="M1076">
        <v>0</v>
      </c>
      <c r="N1076">
        <v>0</v>
      </c>
      <c r="O1076">
        <v>0</v>
      </c>
      <c r="P1076">
        <v>0</v>
      </c>
      <c r="Q1076">
        <v>0</v>
      </c>
      <c r="R1076">
        <v>0</v>
      </c>
      <c r="S1076">
        <v>0</v>
      </c>
      <c r="T1076">
        <f t="shared" si="50"/>
        <v>0</v>
      </c>
      <c r="U1076">
        <v>1</v>
      </c>
    </row>
    <row r="1077" spans="1:21" x14ac:dyDescent="0.3">
      <c r="A1077" t="str">
        <f t="shared" si="48"/>
        <v>Kensington and ChelseaReablement &amp; Rehabilitation in a bedded setting (pathway 2)1</v>
      </c>
      <c r="B1077">
        <f>IF(C1077="","",COUNTIF($C$2:C1077,C1077))</f>
        <v>1</v>
      </c>
      <c r="C1077" t="str">
        <f t="shared" si="49"/>
        <v>Kensington and ChelseaRehabilitation in a bedded setting (pathway 2)</v>
      </c>
      <c r="D1077" t="str">
        <f>VLOOKUP(G1077,PathwayLookup!A:B,2,0)</f>
        <v>Reablement &amp; Rehabilitation in a bedded setting (pathway 2)</v>
      </c>
      <c r="E1077" t="s">
        <v>185</v>
      </c>
      <c r="F1077" t="s">
        <v>476</v>
      </c>
      <c r="G1077" t="s">
        <v>724</v>
      </c>
      <c r="H1077">
        <v>13</v>
      </c>
      <c r="I1077">
        <v>13</v>
      </c>
      <c r="J1077">
        <v>14</v>
      </c>
      <c r="K1077">
        <v>13</v>
      </c>
      <c r="L1077">
        <v>13</v>
      </c>
      <c r="M1077">
        <v>13</v>
      </c>
      <c r="N1077">
        <v>15</v>
      </c>
      <c r="O1077">
        <v>15</v>
      </c>
      <c r="P1077">
        <v>15</v>
      </c>
      <c r="Q1077">
        <v>15</v>
      </c>
      <c r="R1077">
        <v>13</v>
      </c>
      <c r="S1077">
        <v>16</v>
      </c>
      <c r="T1077">
        <f t="shared" si="50"/>
        <v>168</v>
      </c>
      <c r="U1077">
        <v>1</v>
      </c>
    </row>
    <row r="1078" spans="1:21" x14ac:dyDescent="0.3">
      <c r="A1078" t="str">
        <f t="shared" si="48"/>
        <v>Kensington and ChelseaReablement &amp; Rehabilitation in a bedded setting (pathway 2)2</v>
      </c>
      <c r="B1078">
        <f>IF(C1078="","",COUNTIF($C$2:C1078,C1078))</f>
        <v>2</v>
      </c>
      <c r="C1078" t="str">
        <f t="shared" si="49"/>
        <v>Kensington and ChelseaRehabilitation in a bedded setting (pathway 2)</v>
      </c>
      <c r="D1078" t="str">
        <f>VLOOKUP(G1078,PathwayLookup!A:B,2,0)</f>
        <v>Reablement &amp; Rehabilitation in a bedded setting (pathway 2)</v>
      </c>
      <c r="E1078" t="s">
        <v>185</v>
      </c>
      <c r="F1078" t="s">
        <v>520</v>
      </c>
      <c r="G1078" t="s">
        <v>724</v>
      </c>
      <c r="H1078">
        <v>0</v>
      </c>
      <c r="I1078">
        <v>1</v>
      </c>
      <c r="J1078">
        <v>1</v>
      </c>
      <c r="K1078">
        <v>1</v>
      </c>
      <c r="L1078">
        <v>1</v>
      </c>
      <c r="M1078">
        <v>1</v>
      </c>
      <c r="N1078">
        <v>1</v>
      </c>
      <c r="O1078">
        <v>0</v>
      </c>
      <c r="P1078">
        <v>1</v>
      </c>
      <c r="Q1078">
        <v>1</v>
      </c>
      <c r="R1078">
        <v>1</v>
      </c>
      <c r="S1078">
        <v>1</v>
      </c>
      <c r="T1078">
        <f t="shared" si="50"/>
        <v>10</v>
      </c>
      <c r="U1078">
        <v>1</v>
      </c>
    </row>
    <row r="1079" spans="1:21" x14ac:dyDescent="0.3">
      <c r="A1079" t="str">
        <f t="shared" si="48"/>
        <v>Kensington and ChelseaReablement &amp; Rehabilitation in a bedded setting (pathway 2)3</v>
      </c>
      <c r="B1079">
        <f>IF(C1079="","",COUNTIF($C$2:C1079,C1079))</f>
        <v>3</v>
      </c>
      <c r="C1079" t="str">
        <f t="shared" si="49"/>
        <v>Kensington and ChelseaRehabilitation in a bedded setting (pathway 2)</v>
      </c>
      <c r="D1079" t="str">
        <f>VLOOKUP(G1079,PathwayLookup!A:B,2,0)</f>
        <v>Reablement &amp; Rehabilitation in a bedded setting (pathway 2)</v>
      </c>
      <c r="E1079" t="s">
        <v>185</v>
      </c>
      <c r="F1079" t="s">
        <v>540</v>
      </c>
      <c r="G1079" t="s">
        <v>724</v>
      </c>
      <c r="H1079">
        <v>0</v>
      </c>
      <c r="I1079">
        <v>1</v>
      </c>
      <c r="J1079">
        <v>1</v>
      </c>
      <c r="K1079">
        <v>1</v>
      </c>
      <c r="L1079">
        <v>1</v>
      </c>
      <c r="M1079">
        <v>1</v>
      </c>
      <c r="N1079">
        <v>1</v>
      </c>
      <c r="O1079">
        <v>0</v>
      </c>
      <c r="P1079">
        <v>1</v>
      </c>
      <c r="Q1079">
        <v>1</v>
      </c>
      <c r="R1079">
        <v>1</v>
      </c>
      <c r="S1079">
        <v>1</v>
      </c>
      <c r="T1079">
        <f t="shared" si="50"/>
        <v>10</v>
      </c>
      <c r="U1079">
        <v>1</v>
      </c>
    </row>
    <row r="1080" spans="1:21" x14ac:dyDescent="0.3">
      <c r="A1080" t="str">
        <f t="shared" si="48"/>
        <v/>
      </c>
      <c r="B1080" t="str">
        <f>IF(C1080="","",COUNTIF($C$2:C1080,C1080))</f>
        <v/>
      </c>
      <c r="C1080" t="str">
        <f t="shared" si="49"/>
        <v/>
      </c>
      <c r="D1080" t="str">
        <f>VLOOKUP(G1080,PathwayLookup!A:B,2,0)</f>
        <v>Reablement &amp; Rehabilitation in a bedded setting (pathway 2)</v>
      </c>
      <c r="E1080" t="s">
        <v>185</v>
      </c>
      <c r="F1080" t="s">
        <v>613</v>
      </c>
      <c r="G1080" t="s">
        <v>724</v>
      </c>
      <c r="H1080">
        <v>0</v>
      </c>
      <c r="I1080">
        <v>0</v>
      </c>
      <c r="J1080">
        <v>0</v>
      </c>
      <c r="K1080">
        <v>0</v>
      </c>
      <c r="L1080">
        <v>0</v>
      </c>
      <c r="M1080">
        <v>0</v>
      </c>
      <c r="N1080">
        <v>0</v>
      </c>
      <c r="O1080">
        <v>0</v>
      </c>
      <c r="P1080">
        <v>0</v>
      </c>
      <c r="Q1080">
        <v>0</v>
      </c>
      <c r="R1080">
        <v>0</v>
      </c>
      <c r="S1080">
        <v>0</v>
      </c>
      <c r="T1080">
        <f t="shared" si="50"/>
        <v>0</v>
      </c>
      <c r="U1080">
        <v>1</v>
      </c>
    </row>
    <row r="1081" spans="1:21" x14ac:dyDescent="0.3">
      <c r="A1081" t="str">
        <f t="shared" si="48"/>
        <v/>
      </c>
      <c r="B1081" t="str">
        <f>IF(C1081="","",COUNTIF($C$2:C1081,C1081))</f>
        <v/>
      </c>
      <c r="C1081" t="str">
        <f t="shared" si="49"/>
        <v/>
      </c>
      <c r="D1081" t="str">
        <f>VLOOKUP(G1081,PathwayLookup!A:B,2,0)</f>
        <v>Short-term residential/nursing care for someone likely to require a longer-term care home placement (pathway 3)</v>
      </c>
      <c r="E1081" t="s">
        <v>185</v>
      </c>
      <c r="F1081" t="s">
        <v>476</v>
      </c>
      <c r="G1081" t="s">
        <v>686</v>
      </c>
      <c r="H1081">
        <v>0</v>
      </c>
      <c r="I1081">
        <v>0</v>
      </c>
      <c r="J1081">
        <v>0</v>
      </c>
      <c r="K1081">
        <v>0</v>
      </c>
      <c r="L1081">
        <v>0</v>
      </c>
      <c r="M1081">
        <v>0</v>
      </c>
      <c r="N1081">
        <v>0</v>
      </c>
      <c r="O1081">
        <v>0</v>
      </c>
      <c r="P1081">
        <v>0</v>
      </c>
      <c r="Q1081">
        <v>0</v>
      </c>
      <c r="R1081">
        <v>0</v>
      </c>
      <c r="S1081">
        <v>0</v>
      </c>
      <c r="T1081">
        <f t="shared" si="50"/>
        <v>0</v>
      </c>
      <c r="U1081">
        <v>1</v>
      </c>
    </row>
    <row r="1082" spans="1:21" x14ac:dyDescent="0.3">
      <c r="A1082" t="str">
        <f t="shared" si="48"/>
        <v/>
      </c>
      <c r="B1082" t="str">
        <f>IF(C1082="","",COUNTIF($C$2:C1082,C1082))</f>
        <v/>
      </c>
      <c r="C1082" t="str">
        <f t="shared" si="49"/>
        <v/>
      </c>
      <c r="D1082" t="str">
        <f>VLOOKUP(G1082,PathwayLookup!A:B,2,0)</f>
        <v>Short-term residential/nursing care for someone likely to require a longer-term care home placement (pathway 3)</v>
      </c>
      <c r="E1082" t="s">
        <v>185</v>
      </c>
      <c r="F1082" t="s">
        <v>520</v>
      </c>
      <c r="G1082" t="s">
        <v>686</v>
      </c>
      <c r="H1082">
        <v>0</v>
      </c>
      <c r="I1082">
        <v>0</v>
      </c>
      <c r="J1082">
        <v>0</v>
      </c>
      <c r="K1082">
        <v>0</v>
      </c>
      <c r="L1082">
        <v>0</v>
      </c>
      <c r="M1082">
        <v>0</v>
      </c>
      <c r="N1082">
        <v>0</v>
      </c>
      <c r="O1082">
        <v>0</v>
      </c>
      <c r="P1082">
        <v>0</v>
      </c>
      <c r="Q1082">
        <v>0</v>
      </c>
      <c r="R1082">
        <v>0</v>
      </c>
      <c r="S1082">
        <v>0</v>
      </c>
      <c r="T1082">
        <f t="shared" si="50"/>
        <v>0</v>
      </c>
      <c r="U1082">
        <v>1</v>
      </c>
    </row>
    <row r="1083" spans="1:21" x14ac:dyDescent="0.3">
      <c r="A1083" t="str">
        <f t="shared" si="48"/>
        <v>Kensington and ChelseaShort-term residential/nursing care for someone likely to require a longer-term care home placement (pathway 3)1</v>
      </c>
      <c r="B1083">
        <f>IF(C1083="","",COUNTIF($C$2:C1083,C1083))</f>
        <v>1</v>
      </c>
      <c r="C1083" t="str">
        <f t="shared" si="49"/>
        <v>Kensington and ChelseaShort-term residential/nursing care for someone likely to require a longer-term care home placement (pathway 3)</v>
      </c>
      <c r="D1083" t="str">
        <f>VLOOKUP(G1083,PathwayLookup!A:B,2,0)</f>
        <v>Short-term residential/nursing care for someone likely to require a longer-term care home placement (pathway 3)</v>
      </c>
      <c r="E1083" t="s">
        <v>185</v>
      </c>
      <c r="F1083" t="s">
        <v>540</v>
      </c>
      <c r="G1083" t="s">
        <v>686</v>
      </c>
      <c r="H1083">
        <v>1</v>
      </c>
      <c r="I1083">
        <v>1</v>
      </c>
      <c r="J1083">
        <v>1</v>
      </c>
      <c r="K1083">
        <v>1</v>
      </c>
      <c r="L1083">
        <v>1</v>
      </c>
      <c r="M1083">
        <v>1</v>
      </c>
      <c r="N1083">
        <v>1</v>
      </c>
      <c r="O1083">
        <v>1</v>
      </c>
      <c r="P1083">
        <v>1</v>
      </c>
      <c r="Q1083">
        <v>1</v>
      </c>
      <c r="R1083">
        <v>1</v>
      </c>
      <c r="S1083">
        <v>1</v>
      </c>
      <c r="T1083">
        <f t="shared" si="50"/>
        <v>12</v>
      </c>
      <c r="U1083">
        <v>1</v>
      </c>
    </row>
    <row r="1084" spans="1:21" x14ac:dyDescent="0.3">
      <c r="A1084" t="str">
        <f t="shared" si="48"/>
        <v/>
      </c>
      <c r="B1084" t="str">
        <f>IF(C1084="","",COUNTIF($C$2:C1084,C1084))</f>
        <v/>
      </c>
      <c r="C1084" t="str">
        <f t="shared" si="49"/>
        <v/>
      </c>
      <c r="D1084" t="str">
        <f>VLOOKUP(G1084,PathwayLookup!A:B,2,0)</f>
        <v>Short-term residential/nursing care for someone likely to require a longer-term care home placement (pathway 3)</v>
      </c>
      <c r="E1084" t="s">
        <v>185</v>
      </c>
      <c r="F1084" t="s">
        <v>613</v>
      </c>
      <c r="G1084" t="s">
        <v>686</v>
      </c>
      <c r="H1084">
        <v>0</v>
      </c>
      <c r="I1084">
        <v>0</v>
      </c>
      <c r="J1084">
        <v>0</v>
      </c>
      <c r="K1084">
        <v>0</v>
      </c>
      <c r="L1084">
        <v>0</v>
      </c>
      <c r="M1084">
        <v>0</v>
      </c>
      <c r="N1084">
        <v>0</v>
      </c>
      <c r="O1084">
        <v>0</v>
      </c>
      <c r="P1084">
        <v>0</v>
      </c>
      <c r="Q1084">
        <v>0</v>
      </c>
      <c r="R1084">
        <v>0</v>
      </c>
      <c r="S1084">
        <v>0</v>
      </c>
      <c r="T1084">
        <f t="shared" si="50"/>
        <v>0</v>
      </c>
      <c r="U1084">
        <v>1</v>
      </c>
    </row>
    <row r="1085" spans="1:21" x14ac:dyDescent="0.3">
      <c r="A1085" t="str">
        <f t="shared" si="48"/>
        <v>KentSocial support (including VCS) (pathway 0)1</v>
      </c>
      <c r="B1085">
        <f>IF(C1085="","",COUNTIF($C$2:C1085,C1085))</f>
        <v>1</v>
      </c>
      <c r="C1085" t="str">
        <f t="shared" si="49"/>
        <v>KentSocial support (including VCS) (pathway 0)</v>
      </c>
      <c r="D1085" t="str">
        <f>VLOOKUP(G1085,PathwayLookup!A:B,2,0)</f>
        <v>Social support (including VCS) (pathway 0)</v>
      </c>
      <c r="E1085" t="s">
        <v>187</v>
      </c>
      <c r="F1085" t="s">
        <v>485</v>
      </c>
      <c r="G1085" t="s">
        <v>682</v>
      </c>
      <c r="H1085">
        <v>1186</v>
      </c>
      <c r="I1085">
        <v>1498</v>
      </c>
      <c r="J1085">
        <v>1272</v>
      </c>
      <c r="K1085">
        <v>1204</v>
      </c>
      <c r="L1085">
        <v>1464</v>
      </c>
      <c r="M1085">
        <v>1230</v>
      </c>
      <c r="N1085">
        <v>1173</v>
      </c>
      <c r="O1085">
        <v>1169</v>
      </c>
      <c r="P1085">
        <v>1205</v>
      </c>
      <c r="Q1085">
        <v>1171</v>
      </c>
      <c r="R1085">
        <v>1217</v>
      </c>
      <c r="S1085">
        <v>1226</v>
      </c>
      <c r="T1085">
        <f t="shared" si="50"/>
        <v>15015</v>
      </c>
      <c r="U1085">
        <v>1</v>
      </c>
    </row>
    <row r="1086" spans="1:21" x14ac:dyDescent="0.3">
      <c r="A1086" t="str">
        <f t="shared" si="48"/>
        <v>KentSocial support (including VCS) (pathway 0)2</v>
      </c>
      <c r="B1086">
        <f>IF(C1086="","",COUNTIF($C$2:C1086,C1086))</f>
        <v>2</v>
      </c>
      <c r="C1086" t="str">
        <f t="shared" si="49"/>
        <v>KentSocial support (including VCS) (pathway 0)</v>
      </c>
      <c r="D1086" t="str">
        <f>VLOOKUP(G1086,PathwayLookup!A:B,2,0)</f>
        <v>Social support (including VCS) (pathway 0)</v>
      </c>
      <c r="E1086" t="s">
        <v>187</v>
      </c>
      <c r="F1086" t="s">
        <v>495</v>
      </c>
      <c r="G1086" t="s">
        <v>682</v>
      </c>
      <c r="H1086">
        <v>3164</v>
      </c>
      <c r="I1086">
        <v>3531</v>
      </c>
      <c r="J1086">
        <v>4133</v>
      </c>
      <c r="K1086">
        <v>4907</v>
      </c>
      <c r="L1086">
        <v>3591</v>
      </c>
      <c r="M1086">
        <v>3350</v>
      </c>
      <c r="N1086">
        <v>2972</v>
      </c>
      <c r="O1086">
        <v>3410</v>
      </c>
      <c r="P1086">
        <v>3067</v>
      </c>
      <c r="Q1086">
        <v>2702</v>
      </c>
      <c r="R1086">
        <v>2596</v>
      </c>
      <c r="S1086">
        <v>3220</v>
      </c>
      <c r="T1086">
        <f t="shared" si="50"/>
        <v>40643</v>
      </c>
      <c r="U1086">
        <v>1</v>
      </c>
    </row>
    <row r="1087" spans="1:21" x14ac:dyDescent="0.3">
      <c r="A1087" t="str">
        <f t="shared" si="48"/>
        <v>KentSocial support (including VCS) (pathway 0)3</v>
      </c>
      <c r="B1087">
        <f>IF(C1087="","",COUNTIF($C$2:C1087,C1087))</f>
        <v>3</v>
      </c>
      <c r="C1087" t="str">
        <f t="shared" si="49"/>
        <v>KentSocial support (including VCS) (pathway 0)</v>
      </c>
      <c r="D1087" t="str">
        <f>VLOOKUP(G1087,PathwayLookup!A:B,2,0)</f>
        <v>Social support (including VCS) (pathway 0)</v>
      </c>
      <c r="E1087" t="s">
        <v>187</v>
      </c>
      <c r="F1087" t="s">
        <v>541</v>
      </c>
      <c r="G1087" t="s">
        <v>682</v>
      </c>
      <c r="H1087">
        <v>1803</v>
      </c>
      <c r="I1087">
        <v>2159</v>
      </c>
      <c r="J1087">
        <v>2040</v>
      </c>
      <c r="K1087">
        <v>1836</v>
      </c>
      <c r="L1087">
        <v>2054</v>
      </c>
      <c r="M1087">
        <v>1932</v>
      </c>
      <c r="N1087">
        <v>1847</v>
      </c>
      <c r="O1087">
        <v>2104</v>
      </c>
      <c r="P1087">
        <v>1829</v>
      </c>
      <c r="Q1087">
        <v>1931</v>
      </c>
      <c r="R1087">
        <v>1800</v>
      </c>
      <c r="S1087">
        <v>2137</v>
      </c>
      <c r="T1087">
        <f t="shared" si="50"/>
        <v>23472</v>
      </c>
      <c r="U1087">
        <v>1</v>
      </c>
    </row>
    <row r="1088" spans="1:21" x14ac:dyDescent="0.3">
      <c r="A1088" t="str">
        <f t="shared" si="48"/>
        <v>KentReablement &amp; Rehabilitation at home  (pathway 1)1</v>
      </c>
      <c r="B1088">
        <f>IF(C1088="","",COUNTIF($C$2:C1088,C1088))</f>
        <v>1</v>
      </c>
      <c r="C1088" t="str">
        <f t="shared" si="49"/>
        <v>KentReablement at home  (pathway 1)</v>
      </c>
      <c r="D1088" t="str">
        <f>VLOOKUP(G1088,PathwayLookup!A:B,2,0)</f>
        <v>Reablement &amp; Rehabilitation at home  (pathway 1)</v>
      </c>
      <c r="E1088" t="s">
        <v>187</v>
      </c>
      <c r="F1088" t="s">
        <v>485</v>
      </c>
      <c r="G1088" t="s">
        <v>718</v>
      </c>
      <c r="H1088">
        <v>162</v>
      </c>
      <c r="I1088">
        <v>158</v>
      </c>
      <c r="J1088">
        <v>130</v>
      </c>
      <c r="K1088">
        <v>123</v>
      </c>
      <c r="L1088">
        <v>128</v>
      </c>
      <c r="M1088">
        <v>98</v>
      </c>
      <c r="N1088">
        <v>114</v>
      </c>
      <c r="O1088">
        <v>140</v>
      </c>
      <c r="P1088">
        <v>108</v>
      </c>
      <c r="Q1088">
        <v>147</v>
      </c>
      <c r="R1088">
        <v>171</v>
      </c>
      <c r="S1088">
        <v>153</v>
      </c>
      <c r="T1088">
        <f t="shared" si="50"/>
        <v>1632</v>
      </c>
      <c r="U1088">
        <v>1</v>
      </c>
    </row>
    <row r="1089" spans="1:21" x14ac:dyDescent="0.3">
      <c r="A1089" t="str">
        <f t="shared" si="48"/>
        <v>KentReablement &amp; Rehabilitation at home  (pathway 1)2</v>
      </c>
      <c r="B1089">
        <f>IF(C1089="","",COUNTIF($C$2:C1089,C1089))</f>
        <v>2</v>
      </c>
      <c r="C1089" t="str">
        <f t="shared" si="49"/>
        <v>KentReablement at home  (pathway 1)</v>
      </c>
      <c r="D1089" t="str">
        <f>VLOOKUP(G1089,PathwayLookup!A:B,2,0)</f>
        <v>Reablement &amp; Rehabilitation at home  (pathway 1)</v>
      </c>
      <c r="E1089" t="s">
        <v>187</v>
      </c>
      <c r="F1089" t="s">
        <v>495</v>
      </c>
      <c r="G1089" t="s">
        <v>718</v>
      </c>
      <c r="H1089">
        <v>134</v>
      </c>
      <c r="I1089">
        <v>102</v>
      </c>
      <c r="J1089">
        <v>59</v>
      </c>
      <c r="K1089">
        <v>54</v>
      </c>
      <c r="L1089">
        <v>59</v>
      </c>
      <c r="M1089">
        <v>42</v>
      </c>
      <c r="N1089">
        <v>61</v>
      </c>
      <c r="O1089">
        <v>64</v>
      </c>
      <c r="P1089">
        <v>53</v>
      </c>
      <c r="Q1089">
        <v>64</v>
      </c>
      <c r="R1089">
        <v>90</v>
      </c>
      <c r="S1089">
        <v>112</v>
      </c>
      <c r="T1089">
        <f t="shared" si="50"/>
        <v>894</v>
      </c>
      <c r="U1089">
        <v>1</v>
      </c>
    </row>
    <row r="1090" spans="1:21" x14ac:dyDescent="0.3">
      <c r="A1090" t="str">
        <f t="shared" ref="A1090:A1153" si="51">IF(B1090="","",E1090&amp;D1090&amp;B1090)</f>
        <v>KentReablement &amp; Rehabilitation at home  (pathway 1)3</v>
      </c>
      <c r="B1090">
        <f>IF(C1090="","",COUNTIF($C$2:C1090,C1090))</f>
        <v>3</v>
      </c>
      <c r="C1090" t="str">
        <f t="shared" ref="C1090:C1153" si="52">IF(T1090=0,"",E1090&amp;G1090)</f>
        <v>KentReablement at home  (pathway 1)</v>
      </c>
      <c r="D1090" t="str">
        <f>VLOOKUP(G1090,PathwayLookup!A:B,2,0)</f>
        <v>Reablement &amp; Rehabilitation at home  (pathway 1)</v>
      </c>
      <c r="E1090" t="s">
        <v>187</v>
      </c>
      <c r="F1090" t="s">
        <v>541</v>
      </c>
      <c r="G1090" t="s">
        <v>718</v>
      </c>
      <c r="H1090">
        <v>230</v>
      </c>
      <c r="I1090">
        <v>260</v>
      </c>
      <c r="J1090">
        <v>257</v>
      </c>
      <c r="K1090">
        <v>236</v>
      </c>
      <c r="L1090">
        <v>220</v>
      </c>
      <c r="M1090">
        <v>194</v>
      </c>
      <c r="N1090">
        <v>265</v>
      </c>
      <c r="O1090">
        <v>264</v>
      </c>
      <c r="P1090">
        <v>209</v>
      </c>
      <c r="Q1090">
        <v>216</v>
      </c>
      <c r="R1090">
        <v>200</v>
      </c>
      <c r="S1090">
        <v>235</v>
      </c>
      <c r="T1090">
        <f t="shared" ref="T1090:T1153" si="53">SUM(H1090:S1090)</f>
        <v>2786</v>
      </c>
      <c r="U1090">
        <v>1</v>
      </c>
    </row>
    <row r="1091" spans="1:21" x14ac:dyDescent="0.3">
      <c r="A1091" t="str">
        <f t="shared" si="51"/>
        <v>KentReablement &amp; Rehabilitation at home  (pathway 1)1</v>
      </c>
      <c r="B1091">
        <f>IF(C1091="","",COUNTIF($C$2:C1091,C1091))</f>
        <v>1</v>
      </c>
      <c r="C1091" t="str">
        <f t="shared" si="52"/>
        <v>KentRehabilitation at home (pathway 1)</v>
      </c>
      <c r="D1091" t="str">
        <f>VLOOKUP(G1091,PathwayLookup!A:B,2,0)</f>
        <v>Reablement &amp; Rehabilitation at home  (pathway 1)</v>
      </c>
      <c r="E1091" t="s">
        <v>187</v>
      </c>
      <c r="F1091" t="s">
        <v>485</v>
      </c>
      <c r="G1091" t="s">
        <v>719</v>
      </c>
      <c r="H1091">
        <v>93</v>
      </c>
      <c r="I1091">
        <v>92</v>
      </c>
      <c r="J1091">
        <v>76</v>
      </c>
      <c r="K1091">
        <v>75</v>
      </c>
      <c r="L1091">
        <v>73</v>
      </c>
      <c r="M1091">
        <v>86</v>
      </c>
      <c r="N1091">
        <v>63</v>
      </c>
      <c r="O1091">
        <v>89</v>
      </c>
      <c r="P1091">
        <v>77</v>
      </c>
      <c r="Q1091">
        <v>89</v>
      </c>
      <c r="R1091">
        <v>91</v>
      </c>
      <c r="S1091">
        <v>92</v>
      </c>
      <c r="T1091">
        <f t="shared" si="53"/>
        <v>996</v>
      </c>
      <c r="U1091">
        <v>1</v>
      </c>
    </row>
    <row r="1092" spans="1:21" x14ac:dyDescent="0.3">
      <c r="A1092" t="str">
        <f t="shared" si="51"/>
        <v>KentReablement &amp; Rehabilitation at home  (pathway 1)2</v>
      </c>
      <c r="B1092">
        <f>IF(C1092="","",COUNTIF($C$2:C1092,C1092))</f>
        <v>2</v>
      </c>
      <c r="C1092" t="str">
        <f t="shared" si="52"/>
        <v>KentRehabilitation at home (pathway 1)</v>
      </c>
      <c r="D1092" t="str">
        <f>VLOOKUP(G1092,PathwayLookup!A:B,2,0)</f>
        <v>Reablement &amp; Rehabilitation at home  (pathway 1)</v>
      </c>
      <c r="E1092" t="s">
        <v>187</v>
      </c>
      <c r="F1092" t="s">
        <v>495</v>
      </c>
      <c r="G1092" t="s">
        <v>719</v>
      </c>
      <c r="H1092">
        <v>88</v>
      </c>
      <c r="I1092">
        <v>86</v>
      </c>
      <c r="J1092">
        <v>98</v>
      </c>
      <c r="K1092">
        <v>92</v>
      </c>
      <c r="L1092">
        <v>95</v>
      </c>
      <c r="M1092">
        <v>65</v>
      </c>
      <c r="N1092">
        <v>61</v>
      </c>
      <c r="O1092">
        <v>84</v>
      </c>
      <c r="P1092">
        <v>75</v>
      </c>
      <c r="Q1092">
        <v>98</v>
      </c>
      <c r="R1092">
        <v>110</v>
      </c>
      <c r="S1092">
        <v>122</v>
      </c>
      <c r="T1092">
        <f t="shared" si="53"/>
        <v>1074</v>
      </c>
      <c r="U1092">
        <v>1</v>
      </c>
    </row>
    <row r="1093" spans="1:21" x14ac:dyDescent="0.3">
      <c r="A1093" t="str">
        <f t="shared" si="51"/>
        <v>KentReablement &amp; Rehabilitation at home  (pathway 1)3</v>
      </c>
      <c r="B1093">
        <f>IF(C1093="","",COUNTIF($C$2:C1093,C1093))</f>
        <v>3</v>
      </c>
      <c r="C1093" t="str">
        <f t="shared" si="52"/>
        <v>KentRehabilitation at home (pathway 1)</v>
      </c>
      <c r="D1093" t="str">
        <f>VLOOKUP(G1093,PathwayLookup!A:B,2,0)</f>
        <v>Reablement &amp; Rehabilitation at home  (pathway 1)</v>
      </c>
      <c r="E1093" t="s">
        <v>187</v>
      </c>
      <c r="F1093" t="s">
        <v>541</v>
      </c>
      <c r="G1093" t="s">
        <v>719</v>
      </c>
      <c r="H1093">
        <v>94</v>
      </c>
      <c r="I1093">
        <v>113</v>
      </c>
      <c r="J1093">
        <v>57</v>
      </c>
      <c r="K1093">
        <v>80</v>
      </c>
      <c r="L1093">
        <v>84</v>
      </c>
      <c r="M1093">
        <v>78</v>
      </c>
      <c r="N1093">
        <v>91</v>
      </c>
      <c r="O1093">
        <v>104</v>
      </c>
      <c r="P1093">
        <v>81</v>
      </c>
      <c r="Q1093">
        <v>97</v>
      </c>
      <c r="R1093">
        <v>86</v>
      </c>
      <c r="S1093">
        <v>92</v>
      </c>
      <c r="T1093">
        <f t="shared" si="53"/>
        <v>1057</v>
      </c>
      <c r="U1093">
        <v>1</v>
      </c>
    </row>
    <row r="1094" spans="1:21" x14ac:dyDescent="0.3">
      <c r="A1094" t="str">
        <f t="shared" si="51"/>
        <v>KentShort term domiciliary care (pathway 1)1</v>
      </c>
      <c r="B1094">
        <f>IF(C1094="","",COUNTIF($C$2:C1094,C1094))</f>
        <v>1</v>
      </c>
      <c r="C1094" t="str">
        <f t="shared" si="52"/>
        <v>KentShort term domiciliary care (pathway 1)</v>
      </c>
      <c r="D1094" t="str">
        <f>VLOOKUP(G1094,PathwayLookup!A:B,2,0)</f>
        <v>Short term domiciliary care (pathway 1)</v>
      </c>
      <c r="E1094" t="s">
        <v>187</v>
      </c>
      <c r="F1094" t="s">
        <v>485</v>
      </c>
      <c r="G1094" t="s">
        <v>684</v>
      </c>
      <c r="H1094">
        <v>33</v>
      </c>
      <c r="I1094">
        <v>80</v>
      </c>
      <c r="J1094">
        <v>49</v>
      </c>
      <c r="K1094">
        <v>34</v>
      </c>
      <c r="L1094">
        <v>47</v>
      </c>
      <c r="M1094">
        <v>33</v>
      </c>
      <c r="N1094">
        <v>66</v>
      </c>
      <c r="O1094">
        <v>39</v>
      </c>
      <c r="P1094">
        <v>98</v>
      </c>
      <c r="Q1094">
        <v>99</v>
      </c>
      <c r="R1094">
        <v>67</v>
      </c>
      <c r="S1094">
        <v>54</v>
      </c>
      <c r="T1094">
        <f t="shared" si="53"/>
        <v>699</v>
      </c>
      <c r="U1094">
        <v>1</v>
      </c>
    </row>
    <row r="1095" spans="1:21" x14ac:dyDescent="0.3">
      <c r="A1095" t="str">
        <f t="shared" si="51"/>
        <v>KentShort term domiciliary care (pathway 1)2</v>
      </c>
      <c r="B1095">
        <f>IF(C1095="","",COUNTIF($C$2:C1095,C1095))</f>
        <v>2</v>
      </c>
      <c r="C1095" t="str">
        <f t="shared" si="52"/>
        <v>KentShort term domiciliary care (pathway 1)</v>
      </c>
      <c r="D1095" t="str">
        <f>VLOOKUP(G1095,PathwayLookup!A:B,2,0)</f>
        <v>Short term domiciliary care (pathway 1)</v>
      </c>
      <c r="E1095" t="s">
        <v>187</v>
      </c>
      <c r="F1095" t="s">
        <v>495</v>
      </c>
      <c r="G1095" t="s">
        <v>684</v>
      </c>
      <c r="H1095">
        <v>531</v>
      </c>
      <c r="I1095">
        <v>533</v>
      </c>
      <c r="J1095">
        <v>520</v>
      </c>
      <c r="K1095">
        <v>587</v>
      </c>
      <c r="L1095">
        <v>591</v>
      </c>
      <c r="M1095">
        <v>414</v>
      </c>
      <c r="N1095">
        <v>463</v>
      </c>
      <c r="O1095">
        <v>431</v>
      </c>
      <c r="P1095">
        <v>489</v>
      </c>
      <c r="Q1095">
        <v>707</v>
      </c>
      <c r="R1095">
        <v>684</v>
      </c>
      <c r="S1095">
        <v>955</v>
      </c>
      <c r="T1095">
        <f t="shared" si="53"/>
        <v>6905</v>
      </c>
      <c r="U1095">
        <v>1</v>
      </c>
    </row>
    <row r="1096" spans="1:21" x14ac:dyDescent="0.3">
      <c r="A1096" t="str">
        <f t="shared" si="51"/>
        <v>KentShort term domiciliary care (pathway 1)3</v>
      </c>
      <c r="B1096">
        <f>IF(C1096="","",COUNTIF($C$2:C1096,C1096))</f>
        <v>3</v>
      </c>
      <c r="C1096" t="str">
        <f t="shared" si="52"/>
        <v>KentShort term domiciliary care (pathway 1)</v>
      </c>
      <c r="D1096" t="str">
        <f>VLOOKUP(G1096,PathwayLookup!A:B,2,0)</f>
        <v>Short term domiciliary care (pathway 1)</v>
      </c>
      <c r="E1096" t="s">
        <v>187</v>
      </c>
      <c r="F1096" t="s">
        <v>541</v>
      </c>
      <c r="G1096" t="s">
        <v>684</v>
      </c>
      <c r="H1096">
        <v>171</v>
      </c>
      <c r="I1096">
        <v>169</v>
      </c>
      <c r="J1096">
        <v>207</v>
      </c>
      <c r="K1096">
        <v>185</v>
      </c>
      <c r="L1096">
        <v>169</v>
      </c>
      <c r="M1096">
        <v>139</v>
      </c>
      <c r="N1096">
        <v>179</v>
      </c>
      <c r="O1096">
        <v>165</v>
      </c>
      <c r="P1096">
        <v>179</v>
      </c>
      <c r="Q1096">
        <v>212</v>
      </c>
      <c r="R1096">
        <v>170</v>
      </c>
      <c r="S1096">
        <v>246</v>
      </c>
      <c r="T1096">
        <f t="shared" si="53"/>
        <v>2191</v>
      </c>
      <c r="U1096">
        <v>1</v>
      </c>
    </row>
    <row r="1097" spans="1:21" x14ac:dyDescent="0.3">
      <c r="A1097" t="str">
        <f t="shared" si="51"/>
        <v>KentReablement &amp; Rehabilitation in a bedded setting (pathway 2)1</v>
      </c>
      <c r="B1097">
        <f>IF(C1097="","",COUNTIF($C$2:C1097,C1097))</f>
        <v>1</v>
      </c>
      <c r="C1097" t="str">
        <f t="shared" si="52"/>
        <v>KentRehabilitation in a bedded setting (pathway 2)</v>
      </c>
      <c r="D1097" t="str">
        <f>VLOOKUP(G1097,PathwayLookup!A:B,2,0)</f>
        <v>Reablement &amp; Rehabilitation in a bedded setting (pathway 2)</v>
      </c>
      <c r="E1097" t="s">
        <v>187</v>
      </c>
      <c r="F1097" t="s">
        <v>485</v>
      </c>
      <c r="G1097" t="s">
        <v>724</v>
      </c>
      <c r="H1097">
        <v>101</v>
      </c>
      <c r="I1097">
        <v>104</v>
      </c>
      <c r="J1097">
        <v>101</v>
      </c>
      <c r="K1097">
        <v>104</v>
      </c>
      <c r="L1097">
        <v>104</v>
      </c>
      <c r="M1097">
        <v>101</v>
      </c>
      <c r="N1097">
        <v>102</v>
      </c>
      <c r="O1097">
        <v>98</v>
      </c>
      <c r="P1097">
        <v>102</v>
      </c>
      <c r="Q1097">
        <v>102</v>
      </c>
      <c r="R1097">
        <v>92</v>
      </c>
      <c r="S1097">
        <v>102</v>
      </c>
      <c r="T1097">
        <f t="shared" si="53"/>
        <v>1213</v>
      </c>
      <c r="U1097">
        <v>1</v>
      </c>
    </row>
    <row r="1098" spans="1:21" x14ac:dyDescent="0.3">
      <c r="A1098" t="str">
        <f t="shared" si="51"/>
        <v>KentReablement &amp; Rehabilitation in a bedded setting (pathway 2)2</v>
      </c>
      <c r="B1098">
        <f>IF(C1098="","",COUNTIF($C$2:C1098,C1098))</f>
        <v>2</v>
      </c>
      <c r="C1098" t="str">
        <f t="shared" si="52"/>
        <v>KentRehabilitation in a bedded setting (pathway 2)</v>
      </c>
      <c r="D1098" t="str">
        <f>VLOOKUP(G1098,PathwayLookup!A:B,2,0)</f>
        <v>Reablement &amp; Rehabilitation in a bedded setting (pathway 2)</v>
      </c>
      <c r="E1098" t="s">
        <v>187</v>
      </c>
      <c r="F1098" t="s">
        <v>495</v>
      </c>
      <c r="G1098" t="s">
        <v>724</v>
      </c>
      <c r="H1098">
        <v>122</v>
      </c>
      <c r="I1098">
        <v>126</v>
      </c>
      <c r="J1098">
        <v>122</v>
      </c>
      <c r="K1098">
        <v>148</v>
      </c>
      <c r="L1098">
        <v>148</v>
      </c>
      <c r="M1098">
        <v>144</v>
      </c>
      <c r="N1098">
        <v>126</v>
      </c>
      <c r="O1098">
        <v>122</v>
      </c>
      <c r="P1098">
        <v>126</v>
      </c>
      <c r="Q1098">
        <v>126</v>
      </c>
      <c r="R1098">
        <v>114</v>
      </c>
      <c r="S1098">
        <v>126</v>
      </c>
      <c r="T1098">
        <f t="shared" si="53"/>
        <v>1550</v>
      </c>
      <c r="U1098">
        <v>1</v>
      </c>
    </row>
    <row r="1099" spans="1:21" x14ac:dyDescent="0.3">
      <c r="A1099" t="str">
        <f t="shared" si="51"/>
        <v>KentReablement &amp; Rehabilitation in a bedded setting (pathway 2)3</v>
      </c>
      <c r="B1099">
        <f>IF(C1099="","",COUNTIF($C$2:C1099,C1099))</f>
        <v>3</v>
      </c>
      <c r="C1099" t="str">
        <f t="shared" si="52"/>
        <v>KentRehabilitation in a bedded setting (pathway 2)</v>
      </c>
      <c r="D1099" t="str">
        <f>VLOOKUP(G1099,PathwayLookup!A:B,2,0)</f>
        <v>Reablement &amp; Rehabilitation in a bedded setting (pathway 2)</v>
      </c>
      <c r="E1099" t="s">
        <v>187</v>
      </c>
      <c r="F1099" t="s">
        <v>541</v>
      </c>
      <c r="G1099" t="s">
        <v>724</v>
      </c>
      <c r="H1099">
        <v>135</v>
      </c>
      <c r="I1099">
        <v>140</v>
      </c>
      <c r="J1099">
        <v>135</v>
      </c>
      <c r="K1099">
        <v>140</v>
      </c>
      <c r="L1099">
        <v>140</v>
      </c>
      <c r="M1099">
        <v>135</v>
      </c>
      <c r="N1099">
        <v>136</v>
      </c>
      <c r="O1099">
        <v>132</v>
      </c>
      <c r="P1099">
        <v>136</v>
      </c>
      <c r="Q1099">
        <v>136</v>
      </c>
      <c r="R1099">
        <v>123</v>
      </c>
      <c r="S1099">
        <v>136</v>
      </c>
      <c r="T1099">
        <f t="shared" si="53"/>
        <v>1624</v>
      </c>
      <c r="U1099">
        <v>1</v>
      </c>
    </row>
    <row r="1100" spans="1:21" x14ac:dyDescent="0.3">
      <c r="A1100" t="str">
        <f t="shared" si="51"/>
        <v>KentShort-term residential/nursing care for someone likely to require a longer-term care home placement (pathway 3)1</v>
      </c>
      <c r="B1100">
        <f>IF(C1100="","",COUNTIF($C$2:C1100,C1100))</f>
        <v>1</v>
      </c>
      <c r="C1100" t="str">
        <f t="shared" si="52"/>
        <v>KentShort-term residential/nursing care for someone likely to require a longer-term care home placement (pathway 3)</v>
      </c>
      <c r="D1100" t="str">
        <f>VLOOKUP(G1100,PathwayLookup!A:B,2,0)</f>
        <v>Short-term residential/nursing care for someone likely to require a longer-term care home placement (pathway 3)</v>
      </c>
      <c r="E1100" t="s">
        <v>187</v>
      </c>
      <c r="F1100" t="s">
        <v>485</v>
      </c>
      <c r="G1100" t="s">
        <v>686</v>
      </c>
      <c r="H1100">
        <v>10</v>
      </c>
      <c r="I1100">
        <v>28</v>
      </c>
      <c r="J1100">
        <v>29</v>
      </c>
      <c r="K1100">
        <v>28</v>
      </c>
      <c r="L1100">
        <v>28</v>
      </c>
      <c r="M1100">
        <v>19</v>
      </c>
      <c r="N1100">
        <v>17</v>
      </c>
      <c r="O1100">
        <v>16</v>
      </c>
      <c r="P1100">
        <v>15</v>
      </c>
      <c r="Q1100">
        <v>14</v>
      </c>
      <c r="R1100">
        <v>13</v>
      </c>
      <c r="S1100">
        <v>13</v>
      </c>
      <c r="T1100">
        <f t="shared" si="53"/>
        <v>230</v>
      </c>
      <c r="U1100">
        <v>1</v>
      </c>
    </row>
    <row r="1101" spans="1:21" x14ac:dyDescent="0.3">
      <c r="A1101" t="str">
        <f t="shared" si="51"/>
        <v>KentShort-term residential/nursing care for someone likely to require a longer-term care home placement (pathway 3)2</v>
      </c>
      <c r="B1101">
        <f>IF(C1101="","",COUNTIF($C$2:C1101,C1101))</f>
        <v>2</v>
      </c>
      <c r="C1101" t="str">
        <f t="shared" si="52"/>
        <v>KentShort-term residential/nursing care for someone likely to require a longer-term care home placement (pathway 3)</v>
      </c>
      <c r="D1101" t="str">
        <f>VLOOKUP(G1101,PathwayLookup!A:B,2,0)</f>
        <v>Short-term residential/nursing care for someone likely to require a longer-term care home placement (pathway 3)</v>
      </c>
      <c r="E1101" t="s">
        <v>187</v>
      </c>
      <c r="F1101" t="s">
        <v>495</v>
      </c>
      <c r="G1101" t="s">
        <v>686</v>
      </c>
      <c r="H1101">
        <v>257</v>
      </c>
      <c r="I1101">
        <v>273</v>
      </c>
      <c r="J1101">
        <v>270</v>
      </c>
      <c r="K1101">
        <v>307</v>
      </c>
      <c r="L1101">
        <v>313</v>
      </c>
      <c r="M1101">
        <v>287</v>
      </c>
      <c r="N1101">
        <v>221</v>
      </c>
      <c r="O1101">
        <v>202</v>
      </c>
      <c r="P1101">
        <v>148</v>
      </c>
      <c r="Q1101">
        <v>105</v>
      </c>
      <c r="R1101">
        <v>65</v>
      </c>
      <c r="S1101">
        <v>39</v>
      </c>
      <c r="T1101">
        <f t="shared" si="53"/>
        <v>2487</v>
      </c>
      <c r="U1101">
        <v>1</v>
      </c>
    </row>
    <row r="1102" spans="1:21" x14ac:dyDescent="0.3">
      <c r="A1102" t="str">
        <f t="shared" si="51"/>
        <v>KentShort-term residential/nursing care for someone likely to require a longer-term care home placement (pathway 3)3</v>
      </c>
      <c r="B1102">
        <f>IF(C1102="","",COUNTIF($C$2:C1102,C1102))</f>
        <v>3</v>
      </c>
      <c r="C1102" t="str">
        <f t="shared" si="52"/>
        <v>KentShort-term residential/nursing care for someone likely to require a longer-term care home placement (pathway 3)</v>
      </c>
      <c r="D1102" t="str">
        <f>VLOOKUP(G1102,PathwayLookup!A:B,2,0)</f>
        <v>Short-term residential/nursing care for someone likely to require a longer-term care home placement (pathway 3)</v>
      </c>
      <c r="E1102" t="s">
        <v>187</v>
      </c>
      <c r="F1102" t="s">
        <v>541</v>
      </c>
      <c r="G1102" t="s">
        <v>686</v>
      </c>
      <c r="H1102">
        <v>102</v>
      </c>
      <c r="I1102">
        <v>105</v>
      </c>
      <c r="J1102">
        <v>107</v>
      </c>
      <c r="K1102">
        <v>97</v>
      </c>
      <c r="L1102">
        <v>104</v>
      </c>
      <c r="M1102">
        <v>67</v>
      </c>
      <c r="N1102">
        <v>60</v>
      </c>
      <c r="O1102">
        <v>58</v>
      </c>
      <c r="P1102">
        <v>43</v>
      </c>
      <c r="Q1102">
        <v>38</v>
      </c>
      <c r="R1102">
        <v>27</v>
      </c>
      <c r="S1102">
        <v>23</v>
      </c>
      <c r="T1102">
        <f t="shared" si="53"/>
        <v>831</v>
      </c>
      <c r="U1102">
        <v>1</v>
      </c>
    </row>
    <row r="1103" spans="1:21" x14ac:dyDescent="0.3">
      <c r="A1103" t="str">
        <f t="shared" si="51"/>
        <v>Kingston upon Hull, City ofSocial support (including VCS) (pathway 0)1</v>
      </c>
      <c r="B1103">
        <f>IF(C1103="","",COUNTIF($C$2:C1103,C1103))</f>
        <v>1</v>
      </c>
      <c r="C1103" t="str">
        <f t="shared" si="52"/>
        <v>Kingston upon Hull, City ofSocial support (including VCS) (pathway 0)</v>
      </c>
      <c r="D1103" t="str">
        <f>VLOOKUP(G1103,PathwayLookup!A:B,2,0)</f>
        <v>Social support (including VCS) (pathway 0)</v>
      </c>
      <c r="E1103" t="s">
        <v>189</v>
      </c>
      <c r="F1103" t="s">
        <v>518</v>
      </c>
      <c r="G1103" t="s">
        <v>682</v>
      </c>
      <c r="H1103">
        <v>142</v>
      </c>
      <c r="I1103">
        <v>111</v>
      </c>
      <c r="J1103">
        <v>115</v>
      </c>
      <c r="K1103">
        <v>131</v>
      </c>
      <c r="L1103">
        <v>126</v>
      </c>
      <c r="M1103">
        <v>120</v>
      </c>
      <c r="N1103">
        <v>123</v>
      </c>
      <c r="O1103">
        <v>133</v>
      </c>
      <c r="P1103">
        <v>136</v>
      </c>
      <c r="Q1103">
        <v>131</v>
      </c>
      <c r="R1103">
        <v>130</v>
      </c>
      <c r="S1103">
        <v>142</v>
      </c>
      <c r="T1103">
        <f t="shared" si="53"/>
        <v>1540</v>
      </c>
      <c r="U1103">
        <v>1</v>
      </c>
    </row>
    <row r="1104" spans="1:21" x14ac:dyDescent="0.3">
      <c r="A1104" t="str">
        <f t="shared" si="51"/>
        <v/>
      </c>
      <c r="B1104" t="str">
        <f>IF(C1104="","",COUNTIF($C$2:C1104,C1104))</f>
        <v/>
      </c>
      <c r="C1104" t="str">
        <f t="shared" si="52"/>
        <v/>
      </c>
      <c r="D1104" t="str">
        <f>VLOOKUP(G1104,PathwayLookup!A:B,2,0)</f>
        <v>Social support (including VCS) (pathway 0)</v>
      </c>
      <c r="E1104" t="s">
        <v>189</v>
      </c>
      <c r="F1104" t="s">
        <v>651</v>
      </c>
      <c r="G1104" t="s">
        <v>682</v>
      </c>
      <c r="H1104">
        <v>0</v>
      </c>
      <c r="I1104">
        <v>0</v>
      </c>
      <c r="J1104">
        <v>0</v>
      </c>
      <c r="K1104">
        <v>0</v>
      </c>
      <c r="L1104">
        <v>0</v>
      </c>
      <c r="M1104">
        <v>0</v>
      </c>
      <c r="N1104">
        <v>0</v>
      </c>
      <c r="O1104">
        <v>0</v>
      </c>
      <c r="P1104">
        <v>0</v>
      </c>
      <c r="Q1104">
        <v>0</v>
      </c>
      <c r="R1104">
        <v>0</v>
      </c>
      <c r="S1104">
        <v>0</v>
      </c>
      <c r="T1104">
        <f t="shared" si="53"/>
        <v>0</v>
      </c>
      <c r="U1104">
        <v>1</v>
      </c>
    </row>
    <row r="1105" spans="1:21" x14ac:dyDescent="0.3">
      <c r="A1105" t="str">
        <f t="shared" si="51"/>
        <v>Kingston upon Hull, City ofReablement &amp; Rehabilitation at home  (pathway 1)1</v>
      </c>
      <c r="B1105">
        <f>IF(C1105="","",COUNTIF($C$2:C1105,C1105))</f>
        <v>1</v>
      </c>
      <c r="C1105" t="str">
        <f t="shared" si="52"/>
        <v>Kingston upon Hull, City ofReablement at home  (pathway 1)</v>
      </c>
      <c r="D1105" t="str">
        <f>VLOOKUP(G1105,PathwayLookup!A:B,2,0)</f>
        <v>Reablement &amp; Rehabilitation at home  (pathway 1)</v>
      </c>
      <c r="E1105" t="s">
        <v>189</v>
      </c>
      <c r="F1105" t="s">
        <v>518</v>
      </c>
      <c r="G1105" t="s">
        <v>718</v>
      </c>
      <c r="H1105">
        <v>127</v>
      </c>
      <c r="I1105">
        <v>124</v>
      </c>
      <c r="J1105">
        <v>124</v>
      </c>
      <c r="K1105">
        <v>118</v>
      </c>
      <c r="L1105">
        <v>115</v>
      </c>
      <c r="M1105">
        <v>108</v>
      </c>
      <c r="N1105">
        <v>118</v>
      </c>
      <c r="O1105">
        <v>120</v>
      </c>
      <c r="P1105">
        <v>138</v>
      </c>
      <c r="Q1105">
        <v>139</v>
      </c>
      <c r="R1105">
        <v>112</v>
      </c>
      <c r="S1105">
        <v>138</v>
      </c>
      <c r="T1105">
        <f t="shared" si="53"/>
        <v>1481</v>
      </c>
      <c r="U1105">
        <v>1</v>
      </c>
    </row>
    <row r="1106" spans="1:21" x14ac:dyDescent="0.3">
      <c r="A1106" t="str">
        <f t="shared" si="51"/>
        <v>Kingston upon Hull, City ofReablement &amp; Rehabilitation at home  (pathway 1)2</v>
      </c>
      <c r="B1106">
        <f>IF(C1106="","",COUNTIF($C$2:C1106,C1106))</f>
        <v>2</v>
      </c>
      <c r="C1106" t="str">
        <f t="shared" si="52"/>
        <v>Kingston upon Hull, City ofReablement at home  (pathway 1)</v>
      </c>
      <c r="D1106" t="str">
        <f>VLOOKUP(G1106,PathwayLookup!A:B,2,0)</f>
        <v>Reablement &amp; Rehabilitation at home  (pathway 1)</v>
      </c>
      <c r="E1106" t="s">
        <v>189</v>
      </c>
      <c r="F1106" t="s">
        <v>651</v>
      </c>
      <c r="G1106" t="s">
        <v>718</v>
      </c>
      <c r="H1106">
        <v>4</v>
      </c>
      <c r="I1106">
        <v>4</v>
      </c>
      <c r="J1106">
        <v>4</v>
      </c>
      <c r="K1106">
        <v>4</v>
      </c>
      <c r="L1106">
        <v>4</v>
      </c>
      <c r="M1106">
        <v>4</v>
      </c>
      <c r="N1106">
        <v>4</v>
      </c>
      <c r="O1106">
        <v>4</v>
      </c>
      <c r="P1106">
        <v>3</v>
      </c>
      <c r="Q1106">
        <v>3</v>
      </c>
      <c r="R1106">
        <v>3</v>
      </c>
      <c r="S1106">
        <v>4</v>
      </c>
      <c r="T1106">
        <f t="shared" si="53"/>
        <v>45</v>
      </c>
      <c r="U1106">
        <v>1</v>
      </c>
    </row>
    <row r="1107" spans="1:21" x14ac:dyDescent="0.3">
      <c r="A1107" t="str">
        <f t="shared" si="51"/>
        <v/>
      </c>
      <c r="B1107" t="str">
        <f>IF(C1107="","",COUNTIF($C$2:C1107,C1107))</f>
        <v/>
      </c>
      <c r="C1107" t="str">
        <f t="shared" si="52"/>
        <v/>
      </c>
      <c r="D1107" t="str">
        <f>VLOOKUP(G1107,PathwayLookup!A:B,2,0)</f>
        <v>Reablement &amp; Rehabilitation at home  (pathway 1)</v>
      </c>
      <c r="E1107" t="s">
        <v>189</v>
      </c>
      <c r="F1107" t="s">
        <v>518</v>
      </c>
      <c r="G1107" t="s">
        <v>719</v>
      </c>
      <c r="H1107">
        <v>0</v>
      </c>
      <c r="I1107">
        <v>0</v>
      </c>
      <c r="J1107">
        <v>0</v>
      </c>
      <c r="K1107">
        <v>0</v>
      </c>
      <c r="L1107">
        <v>0</v>
      </c>
      <c r="M1107">
        <v>0</v>
      </c>
      <c r="N1107">
        <v>0</v>
      </c>
      <c r="O1107">
        <v>0</v>
      </c>
      <c r="P1107">
        <v>0</v>
      </c>
      <c r="Q1107">
        <v>0</v>
      </c>
      <c r="R1107">
        <v>0</v>
      </c>
      <c r="S1107">
        <v>0</v>
      </c>
      <c r="T1107">
        <f t="shared" si="53"/>
        <v>0</v>
      </c>
      <c r="U1107">
        <v>1</v>
      </c>
    </row>
    <row r="1108" spans="1:21" x14ac:dyDescent="0.3">
      <c r="A1108" t="str">
        <f t="shared" si="51"/>
        <v/>
      </c>
      <c r="B1108" t="str">
        <f>IF(C1108="","",COUNTIF($C$2:C1108,C1108))</f>
        <v/>
      </c>
      <c r="C1108" t="str">
        <f t="shared" si="52"/>
        <v/>
      </c>
      <c r="D1108" t="str">
        <f>VLOOKUP(G1108,PathwayLookup!A:B,2,0)</f>
        <v>Reablement &amp; Rehabilitation at home  (pathway 1)</v>
      </c>
      <c r="E1108" t="s">
        <v>189</v>
      </c>
      <c r="F1108" t="s">
        <v>651</v>
      </c>
      <c r="G1108" t="s">
        <v>719</v>
      </c>
      <c r="H1108">
        <v>0</v>
      </c>
      <c r="I1108">
        <v>0</v>
      </c>
      <c r="J1108">
        <v>0</v>
      </c>
      <c r="K1108">
        <v>0</v>
      </c>
      <c r="L1108">
        <v>0</v>
      </c>
      <c r="M1108">
        <v>0</v>
      </c>
      <c r="N1108">
        <v>0</v>
      </c>
      <c r="O1108">
        <v>0</v>
      </c>
      <c r="P1108">
        <v>0</v>
      </c>
      <c r="Q1108">
        <v>0</v>
      </c>
      <c r="R1108">
        <v>0</v>
      </c>
      <c r="S1108">
        <v>0</v>
      </c>
      <c r="T1108">
        <f t="shared" si="53"/>
        <v>0</v>
      </c>
      <c r="U1108">
        <v>1</v>
      </c>
    </row>
    <row r="1109" spans="1:21" x14ac:dyDescent="0.3">
      <c r="A1109" t="str">
        <f t="shared" si="51"/>
        <v>Kingston upon Hull, City ofShort term domiciliary care (pathway 1)1</v>
      </c>
      <c r="B1109">
        <f>IF(C1109="","",COUNTIF($C$2:C1109,C1109))</f>
        <v>1</v>
      </c>
      <c r="C1109" t="str">
        <f t="shared" si="52"/>
        <v>Kingston upon Hull, City ofShort term domiciliary care (pathway 1)</v>
      </c>
      <c r="D1109" t="str">
        <f>VLOOKUP(G1109,PathwayLookup!A:B,2,0)</f>
        <v>Short term domiciliary care (pathway 1)</v>
      </c>
      <c r="E1109" t="s">
        <v>189</v>
      </c>
      <c r="F1109" t="s">
        <v>518</v>
      </c>
      <c r="G1109" t="s">
        <v>684</v>
      </c>
      <c r="H1109">
        <v>100</v>
      </c>
      <c r="I1109">
        <v>100</v>
      </c>
      <c r="J1109">
        <v>100</v>
      </c>
      <c r="K1109">
        <v>100</v>
      </c>
      <c r="L1109">
        <v>100</v>
      </c>
      <c r="M1109">
        <v>100</v>
      </c>
      <c r="N1109">
        <v>100</v>
      </c>
      <c r="O1109">
        <v>100</v>
      </c>
      <c r="P1109">
        <v>100</v>
      </c>
      <c r="Q1109">
        <v>100</v>
      </c>
      <c r="R1109">
        <v>100</v>
      </c>
      <c r="S1109">
        <v>100</v>
      </c>
      <c r="T1109">
        <f t="shared" si="53"/>
        <v>1200</v>
      </c>
      <c r="U1109">
        <v>1</v>
      </c>
    </row>
    <row r="1110" spans="1:21" x14ac:dyDescent="0.3">
      <c r="A1110" t="str">
        <f t="shared" si="51"/>
        <v/>
      </c>
      <c r="B1110" t="str">
        <f>IF(C1110="","",COUNTIF($C$2:C1110,C1110))</f>
        <v/>
      </c>
      <c r="C1110" t="str">
        <f t="shared" si="52"/>
        <v/>
      </c>
      <c r="D1110" t="str">
        <f>VLOOKUP(G1110,PathwayLookup!A:B,2,0)</f>
        <v>Short term domiciliary care (pathway 1)</v>
      </c>
      <c r="E1110" t="s">
        <v>189</v>
      </c>
      <c r="F1110" t="s">
        <v>651</v>
      </c>
      <c r="G1110" t="s">
        <v>684</v>
      </c>
      <c r="H1110">
        <v>0</v>
      </c>
      <c r="I1110">
        <v>0</v>
      </c>
      <c r="J1110">
        <v>0</v>
      </c>
      <c r="K1110">
        <v>0</v>
      </c>
      <c r="L1110">
        <v>0</v>
      </c>
      <c r="M1110">
        <v>0</v>
      </c>
      <c r="N1110">
        <v>0</v>
      </c>
      <c r="O1110">
        <v>0</v>
      </c>
      <c r="P1110">
        <v>0</v>
      </c>
      <c r="Q1110">
        <v>0</v>
      </c>
      <c r="R1110">
        <v>0</v>
      </c>
      <c r="S1110">
        <v>0</v>
      </c>
      <c r="T1110">
        <f t="shared" si="53"/>
        <v>0</v>
      </c>
      <c r="U1110">
        <v>1</v>
      </c>
    </row>
    <row r="1111" spans="1:21" x14ac:dyDescent="0.3">
      <c r="A1111" t="str">
        <f t="shared" si="51"/>
        <v>Kingston upon Hull, City ofReablement &amp; Rehabilitation in a bedded setting (pathway 2)1</v>
      </c>
      <c r="B1111">
        <f>IF(C1111="","",COUNTIF($C$2:C1111,C1111))</f>
        <v>1</v>
      </c>
      <c r="C1111" t="str">
        <f t="shared" si="52"/>
        <v>Kingston upon Hull, City ofReablement in a bedded setting (pathway 2)</v>
      </c>
      <c r="D1111" t="str">
        <f>VLOOKUP(G1111,PathwayLookup!A:B,2,0)</f>
        <v>Reablement &amp; Rehabilitation in a bedded setting (pathway 2)</v>
      </c>
      <c r="E1111" t="s">
        <v>189</v>
      </c>
      <c r="F1111" t="s">
        <v>518</v>
      </c>
      <c r="G1111" t="s">
        <v>722</v>
      </c>
      <c r="H1111">
        <v>84</v>
      </c>
      <c r="I1111">
        <v>91</v>
      </c>
      <c r="J1111">
        <v>80</v>
      </c>
      <c r="K1111">
        <v>77</v>
      </c>
      <c r="L1111">
        <v>77</v>
      </c>
      <c r="M1111">
        <v>72</v>
      </c>
      <c r="N1111">
        <v>83</v>
      </c>
      <c r="O1111">
        <v>79</v>
      </c>
      <c r="P1111">
        <v>96</v>
      </c>
      <c r="Q1111">
        <v>99</v>
      </c>
      <c r="R1111">
        <v>86</v>
      </c>
      <c r="S1111">
        <v>86</v>
      </c>
      <c r="T1111">
        <f t="shared" si="53"/>
        <v>1010</v>
      </c>
      <c r="U1111">
        <v>1</v>
      </c>
    </row>
    <row r="1112" spans="1:21" x14ac:dyDescent="0.3">
      <c r="A1112" t="str">
        <f t="shared" si="51"/>
        <v>Kingston upon Hull, City ofReablement &amp; Rehabilitation in a bedded setting (pathway 2)2</v>
      </c>
      <c r="B1112">
        <f>IF(C1112="","",COUNTIF($C$2:C1112,C1112))</f>
        <v>2</v>
      </c>
      <c r="C1112" t="str">
        <f t="shared" si="52"/>
        <v>Kingston upon Hull, City ofReablement in a bedded setting (pathway 2)</v>
      </c>
      <c r="D1112" t="str">
        <f>VLOOKUP(G1112,PathwayLookup!A:B,2,0)</f>
        <v>Reablement &amp; Rehabilitation in a bedded setting (pathway 2)</v>
      </c>
      <c r="E1112" t="s">
        <v>189</v>
      </c>
      <c r="F1112" t="s">
        <v>651</v>
      </c>
      <c r="G1112" t="s">
        <v>722</v>
      </c>
      <c r="H1112">
        <v>3</v>
      </c>
      <c r="I1112">
        <v>3</v>
      </c>
      <c r="J1112">
        <v>3</v>
      </c>
      <c r="K1112">
        <v>3</v>
      </c>
      <c r="L1112">
        <v>3</v>
      </c>
      <c r="M1112">
        <v>3</v>
      </c>
      <c r="N1112">
        <v>3</v>
      </c>
      <c r="O1112">
        <v>3</v>
      </c>
      <c r="P1112">
        <v>2</v>
      </c>
      <c r="Q1112">
        <v>2</v>
      </c>
      <c r="R1112">
        <v>2</v>
      </c>
      <c r="S1112">
        <v>3</v>
      </c>
      <c r="T1112">
        <f t="shared" si="53"/>
        <v>33</v>
      </c>
      <c r="U1112">
        <v>1</v>
      </c>
    </row>
    <row r="1113" spans="1:21" x14ac:dyDescent="0.3">
      <c r="A1113" t="str">
        <f t="shared" si="51"/>
        <v/>
      </c>
      <c r="B1113" t="str">
        <f>IF(C1113="","",COUNTIF($C$2:C1113,C1113))</f>
        <v/>
      </c>
      <c r="C1113" t="str">
        <f t="shared" si="52"/>
        <v/>
      </c>
      <c r="D1113" t="str">
        <f>VLOOKUP(G1113,PathwayLookup!A:B,2,0)</f>
        <v>Reablement &amp; Rehabilitation in a bedded setting (pathway 2)</v>
      </c>
      <c r="E1113" t="s">
        <v>189</v>
      </c>
      <c r="F1113" t="s">
        <v>518</v>
      </c>
      <c r="G1113" t="s">
        <v>724</v>
      </c>
      <c r="H1113">
        <v>0</v>
      </c>
      <c r="I1113">
        <v>0</v>
      </c>
      <c r="J1113">
        <v>0</v>
      </c>
      <c r="K1113">
        <v>0</v>
      </c>
      <c r="L1113">
        <v>0</v>
      </c>
      <c r="M1113">
        <v>0</v>
      </c>
      <c r="N1113">
        <v>0</v>
      </c>
      <c r="O1113">
        <v>0</v>
      </c>
      <c r="P1113">
        <v>0</v>
      </c>
      <c r="Q1113">
        <v>0</v>
      </c>
      <c r="R1113">
        <v>0</v>
      </c>
      <c r="S1113">
        <v>0</v>
      </c>
      <c r="T1113">
        <f t="shared" si="53"/>
        <v>0</v>
      </c>
      <c r="U1113">
        <v>1</v>
      </c>
    </row>
    <row r="1114" spans="1:21" x14ac:dyDescent="0.3">
      <c r="A1114" t="str">
        <f t="shared" si="51"/>
        <v/>
      </c>
      <c r="B1114" t="str">
        <f>IF(C1114="","",COUNTIF($C$2:C1114,C1114))</f>
        <v/>
      </c>
      <c r="C1114" t="str">
        <f t="shared" si="52"/>
        <v/>
      </c>
      <c r="D1114" t="str">
        <f>VLOOKUP(G1114,PathwayLookup!A:B,2,0)</f>
        <v>Reablement &amp; Rehabilitation in a bedded setting (pathway 2)</v>
      </c>
      <c r="E1114" t="s">
        <v>189</v>
      </c>
      <c r="F1114" t="s">
        <v>651</v>
      </c>
      <c r="G1114" t="s">
        <v>724</v>
      </c>
      <c r="H1114">
        <v>0</v>
      </c>
      <c r="I1114">
        <v>0</v>
      </c>
      <c r="J1114">
        <v>0</v>
      </c>
      <c r="K1114">
        <v>0</v>
      </c>
      <c r="L1114">
        <v>0</v>
      </c>
      <c r="M1114">
        <v>0</v>
      </c>
      <c r="N1114">
        <v>0</v>
      </c>
      <c r="O1114">
        <v>0</v>
      </c>
      <c r="P1114">
        <v>0</v>
      </c>
      <c r="Q1114">
        <v>0</v>
      </c>
      <c r="R1114">
        <v>0</v>
      </c>
      <c r="S1114">
        <v>0</v>
      </c>
      <c r="T1114">
        <f t="shared" si="53"/>
        <v>0</v>
      </c>
      <c r="U1114">
        <v>1</v>
      </c>
    </row>
    <row r="1115" spans="1:21" x14ac:dyDescent="0.3">
      <c r="A1115" t="str">
        <f t="shared" si="51"/>
        <v>Kingston upon Hull, City ofShort-term residential/nursing care for someone likely to require a longer-term care home placement (pathway 3)1</v>
      </c>
      <c r="B1115">
        <f>IF(C1115="","",COUNTIF($C$2:C1115,C1115))</f>
        <v>1</v>
      </c>
      <c r="C1115" t="str">
        <f t="shared" si="52"/>
        <v>Kingston upon Hull, City ofShort-term residential/nursing care for someone likely to require a longer-term care home placement (pathway 3)</v>
      </c>
      <c r="D1115" t="str">
        <f>VLOOKUP(G1115,PathwayLookup!A:B,2,0)</f>
        <v>Short-term residential/nursing care for someone likely to require a longer-term care home placement (pathway 3)</v>
      </c>
      <c r="E1115" t="s">
        <v>189</v>
      </c>
      <c r="F1115" t="s">
        <v>518</v>
      </c>
      <c r="G1115" t="s">
        <v>686</v>
      </c>
      <c r="H1115">
        <v>73</v>
      </c>
      <c r="I1115">
        <v>82</v>
      </c>
      <c r="J1115">
        <v>74</v>
      </c>
      <c r="K1115">
        <v>77</v>
      </c>
      <c r="L1115">
        <v>76</v>
      </c>
      <c r="M1115">
        <v>71</v>
      </c>
      <c r="N1115">
        <v>74</v>
      </c>
      <c r="O1115">
        <v>74</v>
      </c>
      <c r="P1115">
        <v>80</v>
      </c>
      <c r="Q1115">
        <v>81</v>
      </c>
      <c r="R1115">
        <v>69</v>
      </c>
      <c r="S1115">
        <v>82</v>
      </c>
      <c r="T1115">
        <f t="shared" si="53"/>
        <v>913</v>
      </c>
      <c r="U1115">
        <v>1</v>
      </c>
    </row>
    <row r="1116" spans="1:21" x14ac:dyDescent="0.3">
      <c r="A1116" t="str">
        <f t="shared" si="51"/>
        <v>Kingston upon Hull, City ofShort-term residential/nursing care for someone likely to require a longer-term care home placement (pathway 3)2</v>
      </c>
      <c r="B1116">
        <f>IF(C1116="","",COUNTIF($C$2:C1116,C1116))</f>
        <v>2</v>
      </c>
      <c r="C1116" t="str">
        <f t="shared" si="52"/>
        <v>Kingston upon Hull, City ofShort-term residential/nursing care for someone likely to require a longer-term care home placement (pathway 3)</v>
      </c>
      <c r="D1116" t="str">
        <f>VLOOKUP(G1116,PathwayLookup!A:B,2,0)</f>
        <v>Short-term residential/nursing care for someone likely to require a longer-term care home placement (pathway 3)</v>
      </c>
      <c r="E1116" t="s">
        <v>189</v>
      </c>
      <c r="F1116" t="s">
        <v>651</v>
      </c>
      <c r="G1116" t="s">
        <v>686</v>
      </c>
      <c r="H1116">
        <v>3</v>
      </c>
      <c r="I1116">
        <v>3</v>
      </c>
      <c r="J1116">
        <v>3</v>
      </c>
      <c r="K1116">
        <v>3</v>
      </c>
      <c r="L1116">
        <v>3</v>
      </c>
      <c r="M1116">
        <v>3</v>
      </c>
      <c r="N1116">
        <v>3</v>
      </c>
      <c r="O1116">
        <v>3</v>
      </c>
      <c r="P1116">
        <v>2</v>
      </c>
      <c r="Q1116">
        <v>2</v>
      </c>
      <c r="R1116">
        <v>2</v>
      </c>
      <c r="S1116">
        <v>3</v>
      </c>
      <c r="T1116">
        <f t="shared" si="53"/>
        <v>33</v>
      </c>
      <c r="U1116">
        <v>1</v>
      </c>
    </row>
    <row r="1117" spans="1:21" x14ac:dyDescent="0.3">
      <c r="A1117" t="str">
        <f t="shared" si="51"/>
        <v>Kingston upon ThamesSocial support (including VCS) (pathway 0)1</v>
      </c>
      <c r="B1117">
        <f>IF(C1117="","",COUNTIF($C$2:C1117,C1117))</f>
        <v>1</v>
      </c>
      <c r="C1117" t="str">
        <f t="shared" si="52"/>
        <v>Kingston upon ThamesSocial support (including VCS) (pathway 0)</v>
      </c>
      <c r="D1117" t="str">
        <f>VLOOKUP(G1117,PathwayLookup!A:B,2,0)</f>
        <v>Social support (including VCS) (pathway 0)</v>
      </c>
      <c r="E1117" t="s">
        <v>191</v>
      </c>
      <c r="F1117" t="s">
        <v>527</v>
      </c>
      <c r="G1117" t="s">
        <v>682</v>
      </c>
      <c r="H1117">
        <v>286</v>
      </c>
      <c r="I1117">
        <v>378</v>
      </c>
      <c r="J1117">
        <v>396</v>
      </c>
      <c r="K1117">
        <v>320</v>
      </c>
      <c r="L1117">
        <v>312</v>
      </c>
      <c r="M1117">
        <v>360</v>
      </c>
      <c r="N1117">
        <v>367</v>
      </c>
      <c r="O1117">
        <v>339</v>
      </c>
      <c r="P1117">
        <v>352</v>
      </c>
      <c r="Q1117">
        <v>355</v>
      </c>
      <c r="R1117">
        <v>336</v>
      </c>
      <c r="S1117">
        <v>401</v>
      </c>
      <c r="T1117">
        <f t="shared" si="53"/>
        <v>4202</v>
      </c>
      <c r="U1117">
        <v>1</v>
      </c>
    </row>
    <row r="1118" spans="1:21" x14ac:dyDescent="0.3">
      <c r="A1118" t="str">
        <f t="shared" si="51"/>
        <v>Kingston upon ThamesSocial support (including VCS) (pathway 0)2</v>
      </c>
      <c r="B1118">
        <f>IF(C1118="","",COUNTIF($C$2:C1118,C1118))</f>
        <v>2</v>
      </c>
      <c r="C1118" t="str">
        <f t="shared" si="52"/>
        <v>Kingston upon ThamesSocial support (including VCS) (pathway 0)</v>
      </c>
      <c r="D1118" t="str">
        <f>VLOOKUP(G1118,PathwayLookup!A:B,2,0)</f>
        <v>Social support (including VCS) (pathway 0)</v>
      </c>
      <c r="E1118" t="s">
        <v>191</v>
      </c>
      <c r="F1118" t="s">
        <v>596</v>
      </c>
      <c r="G1118" t="s">
        <v>682</v>
      </c>
      <c r="H1118">
        <v>10</v>
      </c>
      <c r="I1118">
        <v>13</v>
      </c>
      <c r="J1118">
        <v>16</v>
      </c>
      <c r="K1118">
        <v>13</v>
      </c>
      <c r="L1118">
        <v>11</v>
      </c>
      <c r="M1118">
        <v>17</v>
      </c>
      <c r="N1118">
        <v>16</v>
      </c>
      <c r="O1118">
        <v>11</v>
      </c>
      <c r="P1118">
        <v>18</v>
      </c>
      <c r="Q1118">
        <v>11</v>
      </c>
      <c r="R1118">
        <v>14</v>
      </c>
      <c r="S1118">
        <v>11</v>
      </c>
      <c r="T1118">
        <f t="shared" si="53"/>
        <v>161</v>
      </c>
      <c r="U1118">
        <v>1</v>
      </c>
    </row>
    <row r="1119" spans="1:21" x14ac:dyDescent="0.3">
      <c r="A1119" t="str">
        <f t="shared" si="51"/>
        <v>Kingston upon ThamesReablement &amp; Rehabilitation at home  (pathway 1)1</v>
      </c>
      <c r="B1119">
        <f>IF(C1119="","",COUNTIF($C$2:C1119,C1119))</f>
        <v>1</v>
      </c>
      <c r="C1119" t="str">
        <f t="shared" si="52"/>
        <v>Kingston upon ThamesReablement at home  (pathway 1)</v>
      </c>
      <c r="D1119" t="str">
        <f>VLOOKUP(G1119,PathwayLookup!A:B,2,0)</f>
        <v>Reablement &amp; Rehabilitation at home  (pathway 1)</v>
      </c>
      <c r="E1119" t="s">
        <v>191</v>
      </c>
      <c r="F1119" t="s">
        <v>527</v>
      </c>
      <c r="G1119" t="s">
        <v>718</v>
      </c>
      <c r="H1119">
        <v>47</v>
      </c>
      <c r="I1119">
        <v>37</v>
      </c>
      <c r="J1119">
        <v>26</v>
      </c>
      <c r="K1119">
        <v>30</v>
      </c>
      <c r="L1119">
        <v>19</v>
      </c>
      <c r="M1119">
        <v>26</v>
      </c>
      <c r="N1119">
        <v>35</v>
      </c>
      <c r="O1119">
        <v>41</v>
      </c>
      <c r="P1119">
        <v>38</v>
      </c>
      <c r="Q1119">
        <v>22</v>
      </c>
      <c r="R1119">
        <v>16</v>
      </c>
      <c r="S1119">
        <v>22</v>
      </c>
      <c r="T1119">
        <f t="shared" si="53"/>
        <v>359</v>
      </c>
      <c r="U1119">
        <v>1</v>
      </c>
    </row>
    <row r="1120" spans="1:21" x14ac:dyDescent="0.3">
      <c r="A1120" t="str">
        <f t="shared" si="51"/>
        <v/>
      </c>
      <c r="B1120" t="str">
        <f>IF(C1120="","",COUNTIF($C$2:C1120,C1120))</f>
        <v/>
      </c>
      <c r="C1120" t="str">
        <f t="shared" si="52"/>
        <v/>
      </c>
      <c r="D1120" t="str">
        <f>VLOOKUP(G1120,PathwayLookup!A:B,2,0)</f>
        <v>Reablement &amp; Rehabilitation at home  (pathway 1)</v>
      </c>
      <c r="E1120" t="s">
        <v>191</v>
      </c>
      <c r="F1120" t="s">
        <v>596</v>
      </c>
      <c r="G1120" t="s">
        <v>718</v>
      </c>
      <c r="H1120">
        <v>0</v>
      </c>
      <c r="I1120">
        <v>0</v>
      </c>
      <c r="J1120">
        <v>0</v>
      </c>
      <c r="K1120">
        <v>0</v>
      </c>
      <c r="L1120">
        <v>0</v>
      </c>
      <c r="M1120">
        <v>0</v>
      </c>
      <c r="N1120">
        <v>0</v>
      </c>
      <c r="O1120">
        <v>0</v>
      </c>
      <c r="P1120">
        <v>0</v>
      </c>
      <c r="Q1120">
        <v>0</v>
      </c>
      <c r="R1120">
        <v>0</v>
      </c>
      <c r="S1120">
        <v>0</v>
      </c>
      <c r="T1120">
        <f t="shared" si="53"/>
        <v>0</v>
      </c>
      <c r="U1120">
        <v>1</v>
      </c>
    </row>
    <row r="1121" spans="1:21" x14ac:dyDescent="0.3">
      <c r="A1121" t="str">
        <f t="shared" si="51"/>
        <v/>
      </c>
      <c r="B1121" t="str">
        <f>IF(C1121="","",COUNTIF($C$2:C1121,C1121))</f>
        <v/>
      </c>
      <c r="C1121" t="str">
        <f t="shared" si="52"/>
        <v/>
      </c>
      <c r="D1121" t="str">
        <f>VLOOKUP(G1121,PathwayLookup!A:B,2,0)</f>
        <v>Reablement &amp; Rehabilitation at home  (pathway 1)</v>
      </c>
      <c r="E1121" t="s">
        <v>191</v>
      </c>
      <c r="F1121" t="s">
        <v>527</v>
      </c>
      <c r="G1121" t="s">
        <v>719</v>
      </c>
      <c r="H1121">
        <v>0</v>
      </c>
      <c r="I1121">
        <v>0</v>
      </c>
      <c r="J1121">
        <v>0</v>
      </c>
      <c r="K1121">
        <v>0</v>
      </c>
      <c r="L1121">
        <v>0</v>
      </c>
      <c r="M1121">
        <v>0</v>
      </c>
      <c r="N1121">
        <v>0</v>
      </c>
      <c r="O1121">
        <v>0</v>
      </c>
      <c r="P1121">
        <v>0</v>
      </c>
      <c r="Q1121">
        <v>0</v>
      </c>
      <c r="R1121">
        <v>0</v>
      </c>
      <c r="S1121">
        <v>0</v>
      </c>
      <c r="T1121">
        <f t="shared" si="53"/>
        <v>0</v>
      </c>
      <c r="U1121">
        <v>1</v>
      </c>
    </row>
    <row r="1122" spans="1:21" x14ac:dyDescent="0.3">
      <c r="A1122" t="str">
        <f t="shared" si="51"/>
        <v/>
      </c>
      <c r="B1122" t="str">
        <f>IF(C1122="","",COUNTIF($C$2:C1122,C1122))</f>
        <v/>
      </c>
      <c r="C1122" t="str">
        <f t="shared" si="52"/>
        <v/>
      </c>
      <c r="D1122" t="str">
        <f>VLOOKUP(G1122,PathwayLookup!A:B,2,0)</f>
        <v>Reablement &amp; Rehabilitation at home  (pathway 1)</v>
      </c>
      <c r="E1122" t="s">
        <v>191</v>
      </c>
      <c r="F1122" t="s">
        <v>596</v>
      </c>
      <c r="G1122" t="s">
        <v>719</v>
      </c>
      <c r="H1122">
        <v>0</v>
      </c>
      <c r="I1122">
        <v>0</v>
      </c>
      <c r="J1122">
        <v>0</v>
      </c>
      <c r="K1122">
        <v>0</v>
      </c>
      <c r="L1122">
        <v>0</v>
      </c>
      <c r="M1122">
        <v>0</v>
      </c>
      <c r="N1122">
        <v>0</v>
      </c>
      <c r="O1122">
        <v>0</v>
      </c>
      <c r="P1122">
        <v>0</v>
      </c>
      <c r="Q1122">
        <v>0</v>
      </c>
      <c r="R1122">
        <v>0</v>
      </c>
      <c r="S1122">
        <v>0</v>
      </c>
      <c r="T1122">
        <f t="shared" si="53"/>
        <v>0</v>
      </c>
      <c r="U1122">
        <v>1</v>
      </c>
    </row>
    <row r="1123" spans="1:21" x14ac:dyDescent="0.3">
      <c r="A1123" t="str">
        <f t="shared" si="51"/>
        <v>Kingston upon ThamesShort term domiciliary care (pathway 1)1</v>
      </c>
      <c r="B1123">
        <f>IF(C1123="","",COUNTIF($C$2:C1123,C1123))</f>
        <v>1</v>
      </c>
      <c r="C1123" t="str">
        <f t="shared" si="52"/>
        <v>Kingston upon ThamesShort term domiciliary care (pathway 1)</v>
      </c>
      <c r="D1123" t="str">
        <f>VLOOKUP(G1123,PathwayLookup!A:B,2,0)</f>
        <v>Short term domiciliary care (pathway 1)</v>
      </c>
      <c r="E1123" t="s">
        <v>191</v>
      </c>
      <c r="F1123" t="s">
        <v>527</v>
      </c>
      <c r="G1123" t="s">
        <v>684</v>
      </c>
      <c r="H1123">
        <v>1</v>
      </c>
      <c r="I1123">
        <v>2</v>
      </c>
      <c r="J1123">
        <v>2</v>
      </c>
      <c r="K1123">
        <v>2</v>
      </c>
      <c r="L1123">
        <v>2</v>
      </c>
      <c r="M1123">
        <v>2</v>
      </c>
      <c r="N1123">
        <v>2</v>
      </c>
      <c r="O1123">
        <v>2</v>
      </c>
      <c r="P1123">
        <v>2</v>
      </c>
      <c r="Q1123">
        <v>2</v>
      </c>
      <c r="R1123">
        <v>2</v>
      </c>
      <c r="S1123">
        <v>2</v>
      </c>
      <c r="T1123">
        <f t="shared" si="53"/>
        <v>23</v>
      </c>
      <c r="U1123">
        <v>1</v>
      </c>
    </row>
    <row r="1124" spans="1:21" x14ac:dyDescent="0.3">
      <c r="A1124" t="str">
        <f t="shared" si="51"/>
        <v>Kingston upon ThamesShort term domiciliary care (pathway 1)2</v>
      </c>
      <c r="B1124">
        <f>IF(C1124="","",COUNTIF($C$2:C1124,C1124))</f>
        <v>2</v>
      </c>
      <c r="C1124" t="str">
        <f t="shared" si="52"/>
        <v>Kingston upon ThamesShort term domiciliary care (pathway 1)</v>
      </c>
      <c r="D1124" t="str">
        <f>VLOOKUP(G1124,PathwayLookup!A:B,2,0)</f>
        <v>Short term domiciliary care (pathway 1)</v>
      </c>
      <c r="E1124" t="s">
        <v>191</v>
      </c>
      <c r="F1124" t="s">
        <v>596</v>
      </c>
      <c r="G1124" t="s">
        <v>684</v>
      </c>
      <c r="H1124">
        <v>3</v>
      </c>
      <c r="I1124">
        <v>2</v>
      </c>
      <c r="J1124">
        <v>5</v>
      </c>
      <c r="K1124">
        <v>7</v>
      </c>
      <c r="L1124">
        <v>2</v>
      </c>
      <c r="M1124">
        <v>3</v>
      </c>
      <c r="N1124">
        <v>1</v>
      </c>
      <c r="O1124">
        <v>1</v>
      </c>
      <c r="P1124">
        <v>2</v>
      </c>
      <c r="Q1124">
        <v>5</v>
      </c>
      <c r="R1124">
        <v>5</v>
      </c>
      <c r="S1124">
        <v>3</v>
      </c>
      <c r="T1124">
        <f t="shared" si="53"/>
        <v>39</v>
      </c>
      <c r="U1124">
        <v>1</v>
      </c>
    </row>
    <row r="1125" spans="1:21" x14ac:dyDescent="0.3">
      <c r="A1125" t="str">
        <f t="shared" si="51"/>
        <v>Kingston upon ThamesReablement &amp; Rehabilitation in a bedded setting (pathway 2)1</v>
      </c>
      <c r="B1125">
        <f>IF(C1125="","",COUNTIF($C$2:C1125,C1125))</f>
        <v>1</v>
      </c>
      <c r="C1125" t="str">
        <f t="shared" si="52"/>
        <v>Kingston upon ThamesReablement in a bedded setting (pathway 2)</v>
      </c>
      <c r="D1125" t="str">
        <f>VLOOKUP(G1125,PathwayLookup!A:B,2,0)</f>
        <v>Reablement &amp; Rehabilitation in a bedded setting (pathway 2)</v>
      </c>
      <c r="E1125" t="s">
        <v>191</v>
      </c>
      <c r="F1125" t="s">
        <v>527</v>
      </c>
      <c r="G1125" t="s">
        <v>722</v>
      </c>
      <c r="H1125">
        <v>15</v>
      </c>
      <c r="I1125">
        <v>26</v>
      </c>
      <c r="J1125">
        <v>23</v>
      </c>
      <c r="K1125">
        <v>15</v>
      </c>
      <c r="L1125">
        <v>26</v>
      </c>
      <c r="M1125">
        <v>16</v>
      </c>
      <c r="N1125">
        <v>24</v>
      </c>
      <c r="O1125">
        <v>36</v>
      </c>
      <c r="P1125">
        <v>36</v>
      </c>
      <c r="Q1125">
        <v>29</v>
      </c>
      <c r="R1125">
        <v>23</v>
      </c>
      <c r="S1125">
        <v>27</v>
      </c>
      <c r="T1125">
        <f t="shared" si="53"/>
        <v>296</v>
      </c>
      <c r="U1125">
        <v>1</v>
      </c>
    </row>
    <row r="1126" spans="1:21" x14ac:dyDescent="0.3">
      <c r="A1126" t="str">
        <f t="shared" si="51"/>
        <v/>
      </c>
      <c r="B1126" t="str">
        <f>IF(C1126="","",COUNTIF($C$2:C1126,C1126))</f>
        <v/>
      </c>
      <c r="C1126" t="str">
        <f t="shared" si="52"/>
        <v/>
      </c>
      <c r="D1126" t="str">
        <f>VLOOKUP(G1126,PathwayLookup!A:B,2,0)</f>
        <v>Reablement &amp; Rehabilitation in a bedded setting (pathway 2)</v>
      </c>
      <c r="E1126" t="s">
        <v>191</v>
      </c>
      <c r="F1126" t="s">
        <v>596</v>
      </c>
      <c r="G1126" t="s">
        <v>722</v>
      </c>
      <c r="H1126">
        <v>0</v>
      </c>
      <c r="I1126">
        <v>0</v>
      </c>
      <c r="J1126">
        <v>0</v>
      </c>
      <c r="K1126">
        <v>0</v>
      </c>
      <c r="L1126">
        <v>0</v>
      </c>
      <c r="M1126">
        <v>0</v>
      </c>
      <c r="N1126">
        <v>0</v>
      </c>
      <c r="O1126">
        <v>0</v>
      </c>
      <c r="P1126">
        <v>0</v>
      </c>
      <c r="Q1126">
        <v>0</v>
      </c>
      <c r="R1126">
        <v>0</v>
      </c>
      <c r="S1126">
        <v>0</v>
      </c>
      <c r="T1126">
        <f t="shared" si="53"/>
        <v>0</v>
      </c>
      <c r="U1126">
        <v>1</v>
      </c>
    </row>
    <row r="1127" spans="1:21" x14ac:dyDescent="0.3">
      <c r="A1127" t="str">
        <f t="shared" si="51"/>
        <v>Kingston upon ThamesReablement &amp; Rehabilitation in a bedded setting (pathway 2)1</v>
      </c>
      <c r="B1127">
        <f>IF(C1127="","",COUNTIF($C$2:C1127,C1127))</f>
        <v>1</v>
      </c>
      <c r="C1127" t="str">
        <f t="shared" si="52"/>
        <v>Kingston upon ThamesRehabilitation in a bedded setting (pathway 2)</v>
      </c>
      <c r="D1127" t="str">
        <f>VLOOKUP(G1127,PathwayLookup!A:B,2,0)</f>
        <v>Reablement &amp; Rehabilitation in a bedded setting (pathway 2)</v>
      </c>
      <c r="E1127" t="s">
        <v>191</v>
      </c>
      <c r="F1127" t="s">
        <v>527</v>
      </c>
      <c r="G1127" t="s">
        <v>724</v>
      </c>
      <c r="H1127">
        <v>31</v>
      </c>
      <c r="I1127">
        <v>31</v>
      </c>
      <c r="J1127">
        <v>31</v>
      </c>
      <c r="K1127">
        <v>31</v>
      </c>
      <c r="L1127">
        <v>31</v>
      </c>
      <c r="M1127">
        <v>31</v>
      </c>
      <c r="N1127">
        <v>31</v>
      </c>
      <c r="O1127">
        <v>31</v>
      </c>
      <c r="P1127">
        <v>31</v>
      </c>
      <c r="Q1127">
        <v>31</v>
      </c>
      <c r="R1127">
        <v>31</v>
      </c>
      <c r="S1127">
        <v>31</v>
      </c>
      <c r="T1127">
        <f t="shared" si="53"/>
        <v>372</v>
      </c>
      <c r="U1127">
        <v>1</v>
      </c>
    </row>
    <row r="1128" spans="1:21" x14ac:dyDescent="0.3">
      <c r="A1128" t="str">
        <f t="shared" si="51"/>
        <v/>
      </c>
      <c r="B1128" t="str">
        <f>IF(C1128="","",COUNTIF($C$2:C1128,C1128))</f>
        <v/>
      </c>
      <c r="C1128" t="str">
        <f t="shared" si="52"/>
        <v/>
      </c>
      <c r="D1128" t="str">
        <f>VLOOKUP(G1128,PathwayLookup!A:B,2,0)</f>
        <v>Reablement &amp; Rehabilitation in a bedded setting (pathway 2)</v>
      </c>
      <c r="E1128" t="s">
        <v>191</v>
      </c>
      <c r="F1128" t="s">
        <v>596</v>
      </c>
      <c r="G1128" t="s">
        <v>724</v>
      </c>
      <c r="H1128">
        <v>0</v>
      </c>
      <c r="I1128">
        <v>0</v>
      </c>
      <c r="J1128">
        <v>0</v>
      </c>
      <c r="K1128">
        <v>0</v>
      </c>
      <c r="L1128">
        <v>0</v>
      </c>
      <c r="M1128">
        <v>0</v>
      </c>
      <c r="N1128">
        <v>0</v>
      </c>
      <c r="O1128">
        <v>0</v>
      </c>
      <c r="P1128">
        <v>0</v>
      </c>
      <c r="Q1128">
        <v>0</v>
      </c>
      <c r="R1128">
        <v>0</v>
      </c>
      <c r="S1128">
        <v>0</v>
      </c>
      <c r="T1128">
        <f t="shared" si="53"/>
        <v>0</v>
      </c>
      <c r="U1128">
        <v>1</v>
      </c>
    </row>
    <row r="1129" spans="1:21" x14ac:dyDescent="0.3">
      <c r="A1129" t="str">
        <f t="shared" si="51"/>
        <v>Kingston upon ThamesShort-term residential/nursing care for someone likely to require a longer-term care home placement (pathway 3)1</v>
      </c>
      <c r="B1129">
        <f>IF(C1129="","",COUNTIF($C$2:C1129,C1129))</f>
        <v>1</v>
      </c>
      <c r="C1129" t="str">
        <f t="shared" si="52"/>
        <v>Kingston upon ThamesShort-term residential/nursing care for someone likely to require a longer-term care home placement (pathway 3)</v>
      </c>
      <c r="D1129" t="str">
        <f>VLOOKUP(G1129,PathwayLookup!A:B,2,0)</f>
        <v>Short-term residential/nursing care for someone likely to require a longer-term care home placement (pathway 3)</v>
      </c>
      <c r="E1129" t="s">
        <v>191</v>
      </c>
      <c r="F1129" t="s">
        <v>527</v>
      </c>
      <c r="G1129" t="s">
        <v>686</v>
      </c>
      <c r="H1129">
        <v>14</v>
      </c>
      <c r="I1129">
        <v>22</v>
      </c>
      <c r="J1129">
        <v>19</v>
      </c>
      <c r="K1129">
        <v>19</v>
      </c>
      <c r="L1129">
        <v>21</v>
      </c>
      <c r="M1129">
        <v>18</v>
      </c>
      <c r="N1129">
        <v>23</v>
      </c>
      <c r="O1129">
        <v>25</v>
      </c>
      <c r="P1129">
        <v>24</v>
      </c>
      <c r="Q1129">
        <v>35</v>
      </c>
      <c r="R1129">
        <v>35</v>
      </c>
      <c r="S1129">
        <v>11</v>
      </c>
      <c r="T1129">
        <f t="shared" si="53"/>
        <v>266</v>
      </c>
      <c r="U1129">
        <v>1</v>
      </c>
    </row>
    <row r="1130" spans="1:21" x14ac:dyDescent="0.3">
      <c r="A1130" t="str">
        <f t="shared" si="51"/>
        <v>Kingston upon ThamesShort-term residential/nursing care for someone likely to require a longer-term care home placement (pathway 3)2</v>
      </c>
      <c r="B1130">
        <f>IF(C1130="","",COUNTIF($C$2:C1130,C1130))</f>
        <v>2</v>
      </c>
      <c r="C1130" t="str">
        <f t="shared" si="52"/>
        <v>Kingston upon ThamesShort-term residential/nursing care for someone likely to require a longer-term care home placement (pathway 3)</v>
      </c>
      <c r="D1130" t="str">
        <f>VLOOKUP(G1130,PathwayLookup!A:B,2,0)</f>
        <v>Short-term residential/nursing care for someone likely to require a longer-term care home placement (pathway 3)</v>
      </c>
      <c r="E1130" t="s">
        <v>191</v>
      </c>
      <c r="F1130" t="s">
        <v>596</v>
      </c>
      <c r="G1130" t="s">
        <v>686</v>
      </c>
      <c r="H1130">
        <v>0</v>
      </c>
      <c r="I1130">
        <v>0</v>
      </c>
      <c r="J1130">
        <v>2</v>
      </c>
      <c r="K1130">
        <v>0</v>
      </c>
      <c r="L1130">
        <v>1</v>
      </c>
      <c r="M1130">
        <v>3</v>
      </c>
      <c r="N1130">
        <v>2</v>
      </c>
      <c r="O1130">
        <v>2</v>
      </c>
      <c r="P1130">
        <v>0</v>
      </c>
      <c r="Q1130">
        <v>0</v>
      </c>
      <c r="R1130">
        <v>0</v>
      </c>
      <c r="S1130">
        <v>1</v>
      </c>
      <c r="T1130">
        <f t="shared" si="53"/>
        <v>11</v>
      </c>
      <c r="U1130">
        <v>1</v>
      </c>
    </row>
    <row r="1131" spans="1:21" x14ac:dyDescent="0.3">
      <c r="A1131" t="str">
        <f t="shared" si="51"/>
        <v>KirkleesSocial support (including VCS) (pathway 0)1</v>
      </c>
      <c r="B1131">
        <f>IF(C1131="","",COUNTIF($C$2:C1131,C1131))</f>
        <v>1</v>
      </c>
      <c r="C1131" t="str">
        <f t="shared" si="52"/>
        <v>KirkleesSocial support (including VCS) (pathway 0)</v>
      </c>
      <c r="D1131" t="str">
        <f>VLOOKUP(G1131,PathwayLookup!A:B,2,0)</f>
        <v>Social support (including VCS) (pathway 0)</v>
      </c>
      <c r="E1131" t="s">
        <v>193</v>
      </c>
      <c r="F1131" t="s">
        <v>469</v>
      </c>
      <c r="G1131" t="s">
        <v>682</v>
      </c>
      <c r="H1131">
        <v>541</v>
      </c>
      <c r="I1131">
        <v>585</v>
      </c>
      <c r="J1131">
        <v>533</v>
      </c>
      <c r="K1131">
        <v>612</v>
      </c>
      <c r="L1131">
        <v>598</v>
      </c>
      <c r="M1131">
        <v>526</v>
      </c>
      <c r="N1131">
        <v>550</v>
      </c>
      <c r="O1131">
        <v>590</v>
      </c>
      <c r="P1131">
        <v>614</v>
      </c>
      <c r="Q1131">
        <v>658</v>
      </c>
      <c r="R1131">
        <v>597</v>
      </c>
      <c r="S1131">
        <v>694</v>
      </c>
      <c r="T1131">
        <f t="shared" si="53"/>
        <v>7098</v>
      </c>
      <c r="U1131">
        <v>1</v>
      </c>
    </row>
    <row r="1132" spans="1:21" x14ac:dyDescent="0.3">
      <c r="A1132" t="str">
        <f t="shared" si="51"/>
        <v>KirkleesSocial support (including VCS) (pathway 0)2</v>
      </c>
      <c r="B1132">
        <f>IF(C1132="","",COUNTIF($C$2:C1132,C1132))</f>
        <v>2</v>
      </c>
      <c r="C1132" t="str">
        <f t="shared" si="52"/>
        <v>KirkleesSocial support (including VCS) (pathway 0)</v>
      </c>
      <c r="D1132" t="str">
        <f>VLOOKUP(G1132,PathwayLookup!A:B,2,0)</f>
        <v>Social support (including VCS) (pathway 0)</v>
      </c>
      <c r="E1132" t="s">
        <v>193</v>
      </c>
      <c r="F1132" t="s">
        <v>547</v>
      </c>
      <c r="G1132" t="s">
        <v>682</v>
      </c>
      <c r="H1132">
        <v>361</v>
      </c>
      <c r="I1132">
        <v>390</v>
      </c>
      <c r="J1132">
        <v>355</v>
      </c>
      <c r="K1132">
        <v>408</v>
      </c>
      <c r="L1132">
        <v>399</v>
      </c>
      <c r="M1132">
        <v>351</v>
      </c>
      <c r="N1132">
        <v>367</v>
      </c>
      <c r="O1132">
        <v>393</v>
      </c>
      <c r="P1132">
        <v>409</v>
      </c>
      <c r="Q1132">
        <v>439</v>
      </c>
      <c r="R1132">
        <v>398</v>
      </c>
      <c r="S1132">
        <v>463</v>
      </c>
      <c r="T1132">
        <f t="shared" si="53"/>
        <v>4733</v>
      </c>
      <c r="U1132">
        <v>1</v>
      </c>
    </row>
    <row r="1133" spans="1:21" x14ac:dyDescent="0.3">
      <c r="A1133" t="str">
        <f t="shared" si="51"/>
        <v>KirkleesReablement &amp; Rehabilitation at home  (pathway 1)1</v>
      </c>
      <c r="B1133">
        <f>IF(C1133="","",COUNTIF($C$2:C1133,C1133))</f>
        <v>1</v>
      </c>
      <c r="C1133" t="str">
        <f t="shared" si="52"/>
        <v>KirkleesReablement at home  (pathway 1)</v>
      </c>
      <c r="D1133" t="str">
        <f>VLOOKUP(G1133,PathwayLookup!A:B,2,0)</f>
        <v>Reablement &amp; Rehabilitation at home  (pathway 1)</v>
      </c>
      <c r="E1133" t="s">
        <v>193</v>
      </c>
      <c r="F1133" t="s">
        <v>469</v>
      </c>
      <c r="G1133" t="s">
        <v>718</v>
      </c>
      <c r="H1133">
        <v>82</v>
      </c>
      <c r="I1133">
        <v>89</v>
      </c>
      <c r="J1133">
        <v>81</v>
      </c>
      <c r="K1133">
        <v>93</v>
      </c>
      <c r="L1133">
        <v>91</v>
      </c>
      <c r="M1133">
        <v>80</v>
      </c>
      <c r="N1133">
        <v>84</v>
      </c>
      <c r="O1133">
        <v>90</v>
      </c>
      <c r="P1133">
        <v>93</v>
      </c>
      <c r="Q1133">
        <v>100</v>
      </c>
      <c r="R1133">
        <v>91</v>
      </c>
      <c r="S1133">
        <v>106</v>
      </c>
      <c r="T1133">
        <f t="shared" si="53"/>
        <v>1080</v>
      </c>
      <c r="U1133">
        <v>1</v>
      </c>
    </row>
    <row r="1134" spans="1:21" x14ac:dyDescent="0.3">
      <c r="A1134" t="str">
        <f t="shared" si="51"/>
        <v>KirkleesReablement &amp; Rehabilitation at home  (pathway 1)2</v>
      </c>
      <c r="B1134">
        <f>IF(C1134="","",COUNTIF($C$2:C1134,C1134))</f>
        <v>2</v>
      </c>
      <c r="C1134" t="str">
        <f t="shared" si="52"/>
        <v>KirkleesReablement at home  (pathway 1)</v>
      </c>
      <c r="D1134" t="str">
        <f>VLOOKUP(G1134,PathwayLookup!A:B,2,0)</f>
        <v>Reablement &amp; Rehabilitation at home  (pathway 1)</v>
      </c>
      <c r="E1134" t="s">
        <v>193</v>
      </c>
      <c r="F1134" t="s">
        <v>547</v>
      </c>
      <c r="G1134" t="s">
        <v>718</v>
      </c>
      <c r="H1134">
        <v>55</v>
      </c>
      <c r="I1134">
        <v>59</v>
      </c>
      <c r="J1134">
        <v>54</v>
      </c>
      <c r="K1134">
        <v>62</v>
      </c>
      <c r="L1134">
        <v>61</v>
      </c>
      <c r="M1134">
        <v>53</v>
      </c>
      <c r="N1134">
        <v>56</v>
      </c>
      <c r="O1134">
        <v>60</v>
      </c>
      <c r="P1134">
        <v>62</v>
      </c>
      <c r="Q1134">
        <v>67</v>
      </c>
      <c r="R1134">
        <v>61</v>
      </c>
      <c r="S1134">
        <v>70</v>
      </c>
      <c r="T1134">
        <f t="shared" si="53"/>
        <v>720</v>
      </c>
      <c r="U1134">
        <v>1</v>
      </c>
    </row>
    <row r="1135" spans="1:21" x14ac:dyDescent="0.3">
      <c r="A1135" t="str">
        <f t="shared" si="51"/>
        <v>KirkleesReablement &amp; Rehabilitation at home  (pathway 1)1</v>
      </c>
      <c r="B1135">
        <f>IF(C1135="","",COUNTIF($C$2:C1135,C1135))</f>
        <v>1</v>
      </c>
      <c r="C1135" t="str">
        <f t="shared" si="52"/>
        <v>KirkleesRehabilitation at home (pathway 1)</v>
      </c>
      <c r="D1135" t="str">
        <f>VLOOKUP(G1135,PathwayLookup!A:B,2,0)</f>
        <v>Reablement &amp; Rehabilitation at home  (pathway 1)</v>
      </c>
      <c r="E1135" t="s">
        <v>193</v>
      </c>
      <c r="F1135" t="s">
        <v>469</v>
      </c>
      <c r="G1135" t="s">
        <v>719</v>
      </c>
      <c r="H1135">
        <v>88</v>
      </c>
      <c r="I1135">
        <v>95</v>
      </c>
      <c r="J1135">
        <v>87</v>
      </c>
      <c r="K1135">
        <v>99</v>
      </c>
      <c r="L1135">
        <v>97</v>
      </c>
      <c r="M1135">
        <v>85</v>
      </c>
      <c r="N1135">
        <v>89</v>
      </c>
      <c r="O1135">
        <v>96</v>
      </c>
      <c r="P1135">
        <v>100</v>
      </c>
      <c r="Q1135">
        <v>107</v>
      </c>
      <c r="R1135">
        <v>97</v>
      </c>
      <c r="S1135">
        <v>113</v>
      </c>
      <c r="T1135">
        <f t="shared" si="53"/>
        <v>1153</v>
      </c>
      <c r="U1135">
        <v>1</v>
      </c>
    </row>
    <row r="1136" spans="1:21" x14ac:dyDescent="0.3">
      <c r="A1136" t="str">
        <f t="shared" si="51"/>
        <v>KirkleesReablement &amp; Rehabilitation at home  (pathway 1)2</v>
      </c>
      <c r="B1136">
        <f>IF(C1136="","",COUNTIF($C$2:C1136,C1136))</f>
        <v>2</v>
      </c>
      <c r="C1136" t="str">
        <f t="shared" si="52"/>
        <v>KirkleesRehabilitation at home (pathway 1)</v>
      </c>
      <c r="D1136" t="str">
        <f>VLOOKUP(G1136,PathwayLookup!A:B,2,0)</f>
        <v>Reablement &amp; Rehabilitation at home  (pathway 1)</v>
      </c>
      <c r="E1136" t="s">
        <v>193</v>
      </c>
      <c r="F1136" t="s">
        <v>547</v>
      </c>
      <c r="G1136" t="s">
        <v>719</v>
      </c>
      <c r="H1136">
        <v>59</v>
      </c>
      <c r="I1136">
        <v>63</v>
      </c>
      <c r="J1136">
        <v>58</v>
      </c>
      <c r="K1136">
        <v>66</v>
      </c>
      <c r="L1136">
        <v>65</v>
      </c>
      <c r="M1136">
        <v>57</v>
      </c>
      <c r="N1136">
        <v>60</v>
      </c>
      <c r="O1136">
        <v>64</v>
      </c>
      <c r="P1136">
        <v>66</v>
      </c>
      <c r="Q1136">
        <v>71</v>
      </c>
      <c r="R1136">
        <v>65</v>
      </c>
      <c r="S1136">
        <v>75</v>
      </c>
      <c r="T1136">
        <f t="shared" si="53"/>
        <v>769</v>
      </c>
      <c r="U1136">
        <v>1</v>
      </c>
    </row>
    <row r="1137" spans="1:21" x14ac:dyDescent="0.3">
      <c r="A1137" t="str">
        <f t="shared" si="51"/>
        <v>KirkleesShort term domiciliary care (pathway 1)1</v>
      </c>
      <c r="B1137">
        <f>IF(C1137="","",COUNTIF($C$2:C1137,C1137))</f>
        <v>1</v>
      </c>
      <c r="C1137" t="str">
        <f t="shared" si="52"/>
        <v>KirkleesShort term domiciliary care (pathway 1)</v>
      </c>
      <c r="D1137" t="str">
        <f>VLOOKUP(G1137,PathwayLookup!A:B,2,0)</f>
        <v>Short term domiciliary care (pathway 1)</v>
      </c>
      <c r="E1137" t="s">
        <v>193</v>
      </c>
      <c r="F1137" t="s">
        <v>469</v>
      </c>
      <c r="G1137" t="s">
        <v>684</v>
      </c>
      <c r="H1137">
        <v>70</v>
      </c>
      <c r="I1137">
        <v>76</v>
      </c>
      <c r="J1137">
        <v>69</v>
      </c>
      <c r="K1137">
        <v>79</v>
      </c>
      <c r="L1137">
        <v>78</v>
      </c>
      <c r="M1137">
        <v>68</v>
      </c>
      <c r="N1137">
        <v>71</v>
      </c>
      <c r="O1137">
        <v>77</v>
      </c>
      <c r="P1137">
        <v>80</v>
      </c>
      <c r="Q1137">
        <v>85</v>
      </c>
      <c r="R1137">
        <v>78</v>
      </c>
      <c r="S1137">
        <v>90</v>
      </c>
      <c r="T1137">
        <f t="shared" si="53"/>
        <v>921</v>
      </c>
      <c r="U1137">
        <v>1</v>
      </c>
    </row>
    <row r="1138" spans="1:21" x14ac:dyDescent="0.3">
      <c r="A1138" t="str">
        <f t="shared" si="51"/>
        <v>KirkleesShort term domiciliary care (pathway 1)2</v>
      </c>
      <c r="B1138">
        <f>IF(C1138="","",COUNTIF($C$2:C1138,C1138))</f>
        <v>2</v>
      </c>
      <c r="C1138" t="str">
        <f t="shared" si="52"/>
        <v>KirkleesShort term domiciliary care (pathway 1)</v>
      </c>
      <c r="D1138" t="str">
        <f>VLOOKUP(G1138,PathwayLookup!A:B,2,0)</f>
        <v>Short term domiciliary care (pathway 1)</v>
      </c>
      <c r="E1138" t="s">
        <v>193</v>
      </c>
      <c r="F1138" t="s">
        <v>547</v>
      </c>
      <c r="G1138" t="s">
        <v>684</v>
      </c>
      <c r="H1138">
        <v>47</v>
      </c>
      <c r="I1138">
        <v>51</v>
      </c>
      <c r="J1138">
        <v>46</v>
      </c>
      <c r="K1138">
        <v>53</v>
      </c>
      <c r="L1138">
        <v>52</v>
      </c>
      <c r="M1138">
        <v>46</v>
      </c>
      <c r="N1138">
        <v>48</v>
      </c>
      <c r="O1138">
        <v>51</v>
      </c>
      <c r="P1138">
        <v>53</v>
      </c>
      <c r="Q1138">
        <v>57</v>
      </c>
      <c r="R1138">
        <v>52</v>
      </c>
      <c r="S1138">
        <v>60</v>
      </c>
      <c r="T1138">
        <f t="shared" si="53"/>
        <v>616</v>
      </c>
      <c r="U1138">
        <v>1</v>
      </c>
    </row>
    <row r="1139" spans="1:21" x14ac:dyDescent="0.3">
      <c r="A1139" t="str">
        <f t="shared" si="51"/>
        <v/>
      </c>
      <c r="B1139" t="str">
        <f>IF(C1139="","",COUNTIF($C$2:C1139,C1139))</f>
        <v/>
      </c>
      <c r="C1139" t="str">
        <f t="shared" si="52"/>
        <v/>
      </c>
      <c r="D1139" t="str">
        <f>VLOOKUP(G1139,PathwayLookup!A:B,2,0)</f>
        <v>Reablement &amp; Rehabilitation in a bedded setting (pathway 2)</v>
      </c>
      <c r="E1139" t="s">
        <v>193</v>
      </c>
      <c r="F1139" t="s">
        <v>469</v>
      </c>
      <c r="G1139" t="s">
        <v>722</v>
      </c>
      <c r="H1139">
        <v>0</v>
      </c>
      <c r="I1139">
        <v>0</v>
      </c>
      <c r="J1139">
        <v>0</v>
      </c>
      <c r="K1139">
        <v>0</v>
      </c>
      <c r="L1139">
        <v>0</v>
      </c>
      <c r="M1139">
        <v>0</v>
      </c>
      <c r="N1139">
        <v>0</v>
      </c>
      <c r="O1139">
        <v>0</v>
      </c>
      <c r="P1139">
        <v>0</v>
      </c>
      <c r="Q1139">
        <v>0</v>
      </c>
      <c r="R1139">
        <v>0</v>
      </c>
      <c r="S1139">
        <v>0</v>
      </c>
      <c r="T1139">
        <f t="shared" si="53"/>
        <v>0</v>
      </c>
      <c r="U1139">
        <v>1</v>
      </c>
    </row>
    <row r="1140" spans="1:21" x14ac:dyDescent="0.3">
      <c r="A1140" t="str">
        <f t="shared" si="51"/>
        <v/>
      </c>
      <c r="B1140" t="str">
        <f>IF(C1140="","",COUNTIF($C$2:C1140,C1140))</f>
        <v/>
      </c>
      <c r="C1140" t="str">
        <f t="shared" si="52"/>
        <v/>
      </c>
      <c r="D1140" t="str">
        <f>VLOOKUP(G1140,PathwayLookup!A:B,2,0)</f>
        <v>Reablement &amp; Rehabilitation in a bedded setting (pathway 2)</v>
      </c>
      <c r="E1140" t="s">
        <v>193</v>
      </c>
      <c r="F1140" t="s">
        <v>547</v>
      </c>
      <c r="G1140" t="s">
        <v>722</v>
      </c>
      <c r="H1140">
        <v>0</v>
      </c>
      <c r="I1140">
        <v>0</v>
      </c>
      <c r="J1140">
        <v>0</v>
      </c>
      <c r="K1140">
        <v>0</v>
      </c>
      <c r="L1140">
        <v>0</v>
      </c>
      <c r="M1140">
        <v>0</v>
      </c>
      <c r="N1140">
        <v>0</v>
      </c>
      <c r="O1140">
        <v>0</v>
      </c>
      <c r="P1140">
        <v>0</v>
      </c>
      <c r="Q1140">
        <v>0</v>
      </c>
      <c r="R1140">
        <v>0</v>
      </c>
      <c r="S1140">
        <v>0</v>
      </c>
      <c r="T1140">
        <f t="shared" si="53"/>
        <v>0</v>
      </c>
      <c r="U1140">
        <v>1</v>
      </c>
    </row>
    <row r="1141" spans="1:21" x14ac:dyDescent="0.3">
      <c r="A1141" t="str">
        <f t="shared" si="51"/>
        <v>KirkleesReablement &amp; Rehabilitation in a bedded setting (pathway 2)1</v>
      </c>
      <c r="B1141">
        <f>IF(C1141="","",COUNTIF($C$2:C1141,C1141))</f>
        <v>1</v>
      </c>
      <c r="C1141" t="str">
        <f t="shared" si="52"/>
        <v>KirkleesRehabilitation in a bedded setting (pathway 2)</v>
      </c>
      <c r="D1141" t="str">
        <f>VLOOKUP(G1141,PathwayLookup!A:B,2,0)</f>
        <v>Reablement &amp; Rehabilitation in a bedded setting (pathway 2)</v>
      </c>
      <c r="E1141" t="s">
        <v>193</v>
      </c>
      <c r="F1141" t="s">
        <v>469</v>
      </c>
      <c r="G1141" t="s">
        <v>724</v>
      </c>
      <c r="H1141">
        <v>20</v>
      </c>
      <c r="I1141">
        <v>22</v>
      </c>
      <c r="J1141">
        <v>20</v>
      </c>
      <c r="K1141">
        <v>23</v>
      </c>
      <c r="L1141">
        <v>22</v>
      </c>
      <c r="M1141">
        <v>20</v>
      </c>
      <c r="N1141">
        <v>21</v>
      </c>
      <c r="O1141">
        <v>22</v>
      </c>
      <c r="P1141">
        <v>23</v>
      </c>
      <c r="Q1141">
        <v>25</v>
      </c>
      <c r="R1141">
        <v>22</v>
      </c>
      <c r="S1141">
        <v>26</v>
      </c>
      <c r="T1141">
        <f t="shared" si="53"/>
        <v>266</v>
      </c>
      <c r="U1141">
        <v>1</v>
      </c>
    </row>
    <row r="1142" spans="1:21" x14ac:dyDescent="0.3">
      <c r="A1142" t="str">
        <f t="shared" si="51"/>
        <v>KirkleesReablement &amp; Rehabilitation in a bedded setting (pathway 2)2</v>
      </c>
      <c r="B1142">
        <f>IF(C1142="","",COUNTIF($C$2:C1142,C1142))</f>
        <v>2</v>
      </c>
      <c r="C1142" t="str">
        <f t="shared" si="52"/>
        <v>KirkleesRehabilitation in a bedded setting (pathway 2)</v>
      </c>
      <c r="D1142" t="str">
        <f>VLOOKUP(G1142,PathwayLookup!A:B,2,0)</f>
        <v>Reablement &amp; Rehabilitation in a bedded setting (pathway 2)</v>
      </c>
      <c r="E1142" t="s">
        <v>193</v>
      </c>
      <c r="F1142" t="s">
        <v>547</v>
      </c>
      <c r="G1142" t="s">
        <v>724</v>
      </c>
      <c r="H1142">
        <v>14</v>
      </c>
      <c r="I1142">
        <v>15</v>
      </c>
      <c r="J1142">
        <v>13</v>
      </c>
      <c r="K1142">
        <v>15</v>
      </c>
      <c r="L1142">
        <v>15</v>
      </c>
      <c r="M1142">
        <v>13</v>
      </c>
      <c r="N1142">
        <v>14</v>
      </c>
      <c r="O1142">
        <v>15</v>
      </c>
      <c r="P1142">
        <v>15</v>
      </c>
      <c r="Q1142">
        <v>16</v>
      </c>
      <c r="R1142">
        <v>15</v>
      </c>
      <c r="S1142">
        <v>17</v>
      </c>
      <c r="T1142">
        <f t="shared" si="53"/>
        <v>177</v>
      </c>
      <c r="U1142">
        <v>1</v>
      </c>
    </row>
    <row r="1143" spans="1:21" x14ac:dyDescent="0.3">
      <c r="A1143" t="str">
        <f t="shared" si="51"/>
        <v>KirkleesShort-term residential/nursing care for someone likely to require a longer-term care home placement (pathway 3)1</v>
      </c>
      <c r="B1143">
        <f>IF(C1143="","",COUNTIF($C$2:C1143,C1143))</f>
        <v>1</v>
      </c>
      <c r="C1143" t="str">
        <f t="shared" si="52"/>
        <v>KirkleesShort-term residential/nursing care for someone likely to require a longer-term care home placement (pathway 3)</v>
      </c>
      <c r="D1143" t="str">
        <f>VLOOKUP(G1143,PathwayLookup!A:B,2,0)</f>
        <v>Short-term residential/nursing care for someone likely to require a longer-term care home placement (pathway 3)</v>
      </c>
      <c r="E1143" t="s">
        <v>193</v>
      </c>
      <c r="F1143" t="s">
        <v>469</v>
      </c>
      <c r="G1143" t="s">
        <v>686</v>
      </c>
      <c r="H1143">
        <v>43</v>
      </c>
      <c r="I1143">
        <v>46</v>
      </c>
      <c r="J1143">
        <v>42</v>
      </c>
      <c r="K1143">
        <v>48</v>
      </c>
      <c r="L1143">
        <v>47</v>
      </c>
      <c r="M1143">
        <v>42</v>
      </c>
      <c r="N1143">
        <v>44</v>
      </c>
      <c r="O1143">
        <v>47</v>
      </c>
      <c r="P1143">
        <v>49</v>
      </c>
      <c r="Q1143">
        <v>52</v>
      </c>
      <c r="R1143">
        <v>47</v>
      </c>
      <c r="S1143">
        <v>55</v>
      </c>
      <c r="T1143">
        <f t="shared" si="53"/>
        <v>562</v>
      </c>
      <c r="U1143">
        <v>1</v>
      </c>
    </row>
    <row r="1144" spans="1:21" x14ac:dyDescent="0.3">
      <c r="A1144" t="str">
        <f t="shared" si="51"/>
        <v>KirkleesShort-term residential/nursing care for someone likely to require a longer-term care home placement (pathway 3)2</v>
      </c>
      <c r="B1144">
        <f>IF(C1144="","",COUNTIF($C$2:C1144,C1144))</f>
        <v>2</v>
      </c>
      <c r="C1144" t="str">
        <f t="shared" si="52"/>
        <v>KirkleesShort-term residential/nursing care for someone likely to require a longer-term care home placement (pathway 3)</v>
      </c>
      <c r="D1144" t="str">
        <f>VLOOKUP(G1144,PathwayLookup!A:B,2,0)</f>
        <v>Short-term residential/nursing care for someone likely to require a longer-term care home placement (pathway 3)</v>
      </c>
      <c r="E1144" t="s">
        <v>193</v>
      </c>
      <c r="F1144" t="s">
        <v>547</v>
      </c>
      <c r="G1144" t="s">
        <v>686</v>
      </c>
      <c r="H1144">
        <v>29</v>
      </c>
      <c r="I1144">
        <v>31</v>
      </c>
      <c r="J1144">
        <v>28</v>
      </c>
      <c r="K1144">
        <v>32</v>
      </c>
      <c r="L1144">
        <v>32</v>
      </c>
      <c r="M1144">
        <v>28</v>
      </c>
      <c r="N1144">
        <v>29</v>
      </c>
      <c r="O1144">
        <v>31</v>
      </c>
      <c r="P1144">
        <v>32</v>
      </c>
      <c r="Q1144">
        <v>35</v>
      </c>
      <c r="R1144">
        <v>31</v>
      </c>
      <c r="S1144">
        <v>37</v>
      </c>
      <c r="T1144">
        <f t="shared" si="53"/>
        <v>375</v>
      </c>
      <c r="U1144">
        <v>1</v>
      </c>
    </row>
    <row r="1145" spans="1:21" x14ac:dyDescent="0.3">
      <c r="A1145" t="str">
        <f t="shared" si="51"/>
        <v>KnowsleySocial support (including VCS) (pathway 0)1</v>
      </c>
      <c r="B1145">
        <f>IF(C1145="","",COUNTIF($C$2:C1145,C1145))</f>
        <v>1</v>
      </c>
      <c r="C1145" t="str">
        <f t="shared" si="52"/>
        <v>KnowsleySocial support (including VCS) (pathway 0)</v>
      </c>
      <c r="D1145" t="str">
        <f>VLOOKUP(G1145,PathwayLookup!A:B,2,0)</f>
        <v>Social support (including VCS) (pathway 0)</v>
      </c>
      <c r="E1145" t="s">
        <v>195</v>
      </c>
      <c r="F1145" t="s">
        <v>538</v>
      </c>
      <c r="G1145" t="s">
        <v>682</v>
      </c>
      <c r="H1145">
        <v>357</v>
      </c>
      <c r="I1145">
        <v>391</v>
      </c>
      <c r="J1145">
        <v>411</v>
      </c>
      <c r="K1145">
        <v>409</v>
      </c>
      <c r="L1145">
        <v>402</v>
      </c>
      <c r="M1145">
        <v>382</v>
      </c>
      <c r="N1145">
        <v>421</v>
      </c>
      <c r="O1145">
        <v>416</v>
      </c>
      <c r="P1145">
        <v>358</v>
      </c>
      <c r="Q1145">
        <v>415</v>
      </c>
      <c r="R1145">
        <v>398</v>
      </c>
      <c r="S1145">
        <v>401</v>
      </c>
      <c r="T1145">
        <f t="shared" si="53"/>
        <v>4761</v>
      </c>
      <c r="U1145">
        <v>1</v>
      </c>
    </row>
    <row r="1146" spans="1:21" x14ac:dyDescent="0.3">
      <c r="A1146" t="str">
        <f t="shared" si="51"/>
        <v>KnowsleySocial support (including VCS) (pathway 0)2</v>
      </c>
      <c r="B1146">
        <f>IF(C1146="","",COUNTIF($C$2:C1146,C1146))</f>
        <v>2</v>
      </c>
      <c r="C1146" t="str">
        <f t="shared" si="52"/>
        <v>KnowsleySocial support (including VCS) (pathway 0)</v>
      </c>
      <c r="D1146" t="str">
        <f>VLOOKUP(G1146,PathwayLookup!A:B,2,0)</f>
        <v>Social support (including VCS) (pathway 0)</v>
      </c>
      <c r="E1146" t="s">
        <v>195</v>
      </c>
      <c r="F1146" t="s">
        <v>601</v>
      </c>
      <c r="G1146" t="s">
        <v>682</v>
      </c>
      <c r="H1146">
        <v>867</v>
      </c>
      <c r="I1146">
        <v>947</v>
      </c>
      <c r="J1146">
        <v>996</v>
      </c>
      <c r="K1146">
        <v>992</v>
      </c>
      <c r="L1146">
        <v>976</v>
      </c>
      <c r="M1146">
        <v>926</v>
      </c>
      <c r="N1146">
        <v>1020</v>
      </c>
      <c r="O1146">
        <v>1009</v>
      </c>
      <c r="P1146">
        <v>869</v>
      </c>
      <c r="Q1146">
        <v>1007</v>
      </c>
      <c r="R1146">
        <v>965</v>
      </c>
      <c r="S1146">
        <v>972</v>
      </c>
      <c r="T1146">
        <f t="shared" si="53"/>
        <v>11546</v>
      </c>
      <c r="U1146">
        <v>1</v>
      </c>
    </row>
    <row r="1147" spans="1:21" x14ac:dyDescent="0.3">
      <c r="A1147" t="str">
        <f t="shared" si="51"/>
        <v>KnowsleySocial support (including VCS) (pathway 0)3</v>
      </c>
      <c r="B1147">
        <f>IF(C1147="","",COUNTIF($C$2:C1147,C1147))</f>
        <v>3</v>
      </c>
      <c r="C1147" t="str">
        <f t="shared" si="52"/>
        <v>KnowsleySocial support (including VCS) (pathway 0)</v>
      </c>
      <c r="D1147" t="str">
        <f>VLOOKUP(G1147,PathwayLookup!A:B,2,0)</f>
        <v>Social support (including VCS) (pathway 0)</v>
      </c>
      <c r="E1147" t="s">
        <v>195</v>
      </c>
      <c r="F1147" t="s">
        <v>651</v>
      </c>
      <c r="G1147" t="s">
        <v>682</v>
      </c>
      <c r="H1147">
        <v>23</v>
      </c>
      <c r="I1147">
        <v>25</v>
      </c>
      <c r="J1147">
        <v>26</v>
      </c>
      <c r="K1147">
        <v>26</v>
      </c>
      <c r="L1147">
        <v>26</v>
      </c>
      <c r="M1147">
        <v>24</v>
      </c>
      <c r="N1147">
        <v>27</v>
      </c>
      <c r="O1147">
        <v>27</v>
      </c>
      <c r="P1147">
        <v>23</v>
      </c>
      <c r="Q1147">
        <v>27</v>
      </c>
      <c r="R1147">
        <v>26</v>
      </c>
      <c r="S1147">
        <v>26</v>
      </c>
      <c r="T1147">
        <f t="shared" si="53"/>
        <v>306</v>
      </c>
      <c r="U1147">
        <v>1</v>
      </c>
    </row>
    <row r="1148" spans="1:21" x14ac:dyDescent="0.3">
      <c r="A1148" t="str">
        <f t="shared" si="51"/>
        <v>KnowsleyReablement &amp; Rehabilitation at home  (pathway 1)1</v>
      </c>
      <c r="B1148">
        <f>IF(C1148="","",COUNTIF($C$2:C1148,C1148))</f>
        <v>1</v>
      </c>
      <c r="C1148" t="str">
        <f t="shared" si="52"/>
        <v>KnowsleyReablement at home  (pathway 1)</v>
      </c>
      <c r="D1148" t="str">
        <f>VLOOKUP(G1148,PathwayLookup!A:B,2,0)</f>
        <v>Reablement &amp; Rehabilitation at home  (pathway 1)</v>
      </c>
      <c r="E1148" t="s">
        <v>195</v>
      </c>
      <c r="F1148" t="s">
        <v>538</v>
      </c>
      <c r="G1148" t="s">
        <v>718</v>
      </c>
      <c r="H1148">
        <v>3</v>
      </c>
      <c r="I1148">
        <v>3</v>
      </c>
      <c r="J1148">
        <v>3</v>
      </c>
      <c r="K1148">
        <v>3</v>
      </c>
      <c r="L1148">
        <v>3</v>
      </c>
      <c r="M1148">
        <v>3</v>
      </c>
      <c r="N1148">
        <v>3</v>
      </c>
      <c r="O1148">
        <v>3</v>
      </c>
      <c r="P1148">
        <v>3</v>
      </c>
      <c r="Q1148">
        <v>3</v>
      </c>
      <c r="R1148">
        <v>3</v>
      </c>
      <c r="S1148">
        <v>3</v>
      </c>
      <c r="T1148">
        <f t="shared" si="53"/>
        <v>36</v>
      </c>
      <c r="U1148">
        <v>1</v>
      </c>
    </row>
    <row r="1149" spans="1:21" x14ac:dyDescent="0.3">
      <c r="A1149" t="str">
        <f t="shared" si="51"/>
        <v>KnowsleyReablement &amp; Rehabilitation at home  (pathway 1)2</v>
      </c>
      <c r="B1149">
        <f>IF(C1149="","",COUNTIF($C$2:C1149,C1149))</f>
        <v>2</v>
      </c>
      <c r="C1149" t="str">
        <f t="shared" si="52"/>
        <v>KnowsleyReablement at home  (pathway 1)</v>
      </c>
      <c r="D1149" t="str">
        <f>VLOOKUP(G1149,PathwayLookup!A:B,2,0)</f>
        <v>Reablement &amp; Rehabilitation at home  (pathway 1)</v>
      </c>
      <c r="E1149" t="s">
        <v>195</v>
      </c>
      <c r="F1149" t="s">
        <v>601</v>
      </c>
      <c r="G1149" t="s">
        <v>718</v>
      </c>
      <c r="H1149">
        <v>6</v>
      </c>
      <c r="I1149">
        <v>6</v>
      </c>
      <c r="J1149">
        <v>6</v>
      </c>
      <c r="K1149">
        <v>6</v>
      </c>
      <c r="L1149">
        <v>6</v>
      </c>
      <c r="M1149">
        <v>6</v>
      </c>
      <c r="N1149">
        <v>6</v>
      </c>
      <c r="O1149">
        <v>6</v>
      </c>
      <c r="P1149">
        <v>6</v>
      </c>
      <c r="Q1149">
        <v>6</v>
      </c>
      <c r="R1149">
        <v>6</v>
      </c>
      <c r="S1149">
        <v>6</v>
      </c>
      <c r="T1149">
        <f t="shared" si="53"/>
        <v>72</v>
      </c>
      <c r="U1149">
        <v>1</v>
      </c>
    </row>
    <row r="1150" spans="1:21" x14ac:dyDescent="0.3">
      <c r="A1150" t="str">
        <f t="shared" si="51"/>
        <v/>
      </c>
      <c r="B1150" t="str">
        <f>IF(C1150="","",COUNTIF($C$2:C1150,C1150))</f>
        <v/>
      </c>
      <c r="C1150" t="str">
        <f t="shared" si="52"/>
        <v/>
      </c>
      <c r="D1150" t="str">
        <f>VLOOKUP(G1150,PathwayLookup!A:B,2,0)</f>
        <v>Reablement &amp; Rehabilitation at home  (pathway 1)</v>
      </c>
      <c r="E1150" t="s">
        <v>195</v>
      </c>
      <c r="F1150" t="s">
        <v>651</v>
      </c>
      <c r="G1150" t="s">
        <v>718</v>
      </c>
      <c r="H1150">
        <v>0</v>
      </c>
      <c r="I1150">
        <v>0</v>
      </c>
      <c r="J1150">
        <v>0</v>
      </c>
      <c r="K1150">
        <v>0</v>
      </c>
      <c r="L1150">
        <v>0</v>
      </c>
      <c r="M1150">
        <v>0</v>
      </c>
      <c r="N1150">
        <v>0</v>
      </c>
      <c r="O1150">
        <v>0</v>
      </c>
      <c r="P1150">
        <v>0</v>
      </c>
      <c r="Q1150">
        <v>0</v>
      </c>
      <c r="R1150">
        <v>0</v>
      </c>
      <c r="S1150">
        <v>0</v>
      </c>
      <c r="T1150">
        <f t="shared" si="53"/>
        <v>0</v>
      </c>
      <c r="U1150">
        <v>1</v>
      </c>
    </row>
    <row r="1151" spans="1:21" x14ac:dyDescent="0.3">
      <c r="A1151" t="str">
        <f t="shared" si="51"/>
        <v/>
      </c>
      <c r="B1151" t="str">
        <f>IF(C1151="","",COUNTIF($C$2:C1151,C1151))</f>
        <v/>
      </c>
      <c r="C1151" t="str">
        <f t="shared" si="52"/>
        <v/>
      </c>
      <c r="D1151" t="str">
        <f>VLOOKUP(G1151,PathwayLookup!A:B,2,0)</f>
        <v>Reablement &amp; Rehabilitation at home  (pathway 1)</v>
      </c>
      <c r="E1151" t="s">
        <v>195</v>
      </c>
      <c r="F1151" t="s">
        <v>538</v>
      </c>
      <c r="G1151" t="s">
        <v>719</v>
      </c>
      <c r="H1151">
        <v>0</v>
      </c>
      <c r="I1151">
        <v>0</v>
      </c>
      <c r="J1151">
        <v>0</v>
      </c>
      <c r="K1151">
        <v>0</v>
      </c>
      <c r="L1151">
        <v>0</v>
      </c>
      <c r="M1151">
        <v>0</v>
      </c>
      <c r="N1151">
        <v>0</v>
      </c>
      <c r="O1151">
        <v>0</v>
      </c>
      <c r="P1151">
        <v>0</v>
      </c>
      <c r="Q1151">
        <v>0</v>
      </c>
      <c r="R1151">
        <v>0</v>
      </c>
      <c r="S1151">
        <v>0</v>
      </c>
      <c r="T1151">
        <f t="shared" si="53"/>
        <v>0</v>
      </c>
      <c r="U1151">
        <v>1</v>
      </c>
    </row>
    <row r="1152" spans="1:21" x14ac:dyDescent="0.3">
      <c r="A1152" t="str">
        <f t="shared" si="51"/>
        <v/>
      </c>
      <c r="B1152" t="str">
        <f>IF(C1152="","",COUNTIF($C$2:C1152,C1152))</f>
        <v/>
      </c>
      <c r="C1152" t="str">
        <f t="shared" si="52"/>
        <v/>
      </c>
      <c r="D1152" t="str">
        <f>VLOOKUP(G1152,PathwayLookup!A:B,2,0)</f>
        <v>Reablement &amp; Rehabilitation at home  (pathway 1)</v>
      </c>
      <c r="E1152" t="s">
        <v>195</v>
      </c>
      <c r="F1152" t="s">
        <v>601</v>
      </c>
      <c r="G1152" t="s">
        <v>719</v>
      </c>
      <c r="H1152">
        <v>0</v>
      </c>
      <c r="I1152">
        <v>0</v>
      </c>
      <c r="J1152">
        <v>0</v>
      </c>
      <c r="K1152">
        <v>0</v>
      </c>
      <c r="L1152">
        <v>0</v>
      </c>
      <c r="M1152">
        <v>0</v>
      </c>
      <c r="N1152">
        <v>0</v>
      </c>
      <c r="O1152">
        <v>0</v>
      </c>
      <c r="P1152">
        <v>0</v>
      </c>
      <c r="Q1152">
        <v>0</v>
      </c>
      <c r="R1152">
        <v>0</v>
      </c>
      <c r="S1152">
        <v>0</v>
      </c>
      <c r="T1152">
        <f t="shared" si="53"/>
        <v>0</v>
      </c>
      <c r="U1152">
        <v>1</v>
      </c>
    </row>
    <row r="1153" spans="1:21" x14ac:dyDescent="0.3">
      <c r="A1153" t="str">
        <f t="shared" si="51"/>
        <v/>
      </c>
      <c r="B1153" t="str">
        <f>IF(C1153="","",COUNTIF($C$2:C1153,C1153))</f>
        <v/>
      </c>
      <c r="C1153" t="str">
        <f t="shared" si="52"/>
        <v/>
      </c>
      <c r="D1153" t="str">
        <f>VLOOKUP(G1153,PathwayLookup!A:B,2,0)</f>
        <v>Reablement &amp; Rehabilitation at home  (pathway 1)</v>
      </c>
      <c r="E1153" t="s">
        <v>195</v>
      </c>
      <c r="F1153" t="s">
        <v>651</v>
      </c>
      <c r="G1153" t="s">
        <v>719</v>
      </c>
      <c r="H1153">
        <v>0</v>
      </c>
      <c r="I1153">
        <v>0</v>
      </c>
      <c r="J1153">
        <v>0</v>
      </c>
      <c r="K1153">
        <v>0</v>
      </c>
      <c r="L1153">
        <v>0</v>
      </c>
      <c r="M1153">
        <v>0</v>
      </c>
      <c r="N1153">
        <v>0</v>
      </c>
      <c r="O1153">
        <v>0</v>
      </c>
      <c r="P1153">
        <v>0</v>
      </c>
      <c r="Q1153">
        <v>0</v>
      </c>
      <c r="R1153">
        <v>0</v>
      </c>
      <c r="S1153">
        <v>0</v>
      </c>
      <c r="T1153">
        <f t="shared" si="53"/>
        <v>0</v>
      </c>
      <c r="U1153">
        <v>1</v>
      </c>
    </row>
    <row r="1154" spans="1:21" x14ac:dyDescent="0.3">
      <c r="A1154" t="str">
        <f t="shared" ref="A1154:A1217" si="54">IF(B1154="","",E1154&amp;D1154&amp;B1154)</f>
        <v>KnowsleyShort term domiciliary care (pathway 1)1</v>
      </c>
      <c r="B1154">
        <f>IF(C1154="","",COUNTIF($C$2:C1154,C1154))</f>
        <v>1</v>
      </c>
      <c r="C1154" t="str">
        <f t="shared" ref="C1154:C1217" si="55">IF(T1154=0,"",E1154&amp;G1154)</f>
        <v>KnowsleyShort term domiciliary care (pathway 1)</v>
      </c>
      <c r="D1154" t="str">
        <f>VLOOKUP(G1154,PathwayLookup!A:B,2,0)</f>
        <v>Short term domiciliary care (pathway 1)</v>
      </c>
      <c r="E1154" t="s">
        <v>195</v>
      </c>
      <c r="F1154" t="s">
        <v>538</v>
      </c>
      <c r="G1154" t="s">
        <v>684</v>
      </c>
      <c r="H1154">
        <v>20</v>
      </c>
      <c r="I1154">
        <v>20</v>
      </c>
      <c r="J1154">
        <v>20</v>
      </c>
      <c r="K1154">
        <v>20</v>
      </c>
      <c r="L1154">
        <v>20</v>
      </c>
      <c r="M1154">
        <v>20</v>
      </c>
      <c r="N1154">
        <v>20</v>
      </c>
      <c r="O1154">
        <v>20</v>
      </c>
      <c r="P1154">
        <v>20</v>
      </c>
      <c r="Q1154">
        <v>20</v>
      </c>
      <c r="R1154">
        <v>20</v>
      </c>
      <c r="S1154">
        <v>20</v>
      </c>
      <c r="T1154">
        <f t="shared" ref="T1154:T1217" si="56">SUM(H1154:S1154)</f>
        <v>240</v>
      </c>
      <c r="U1154">
        <v>1</v>
      </c>
    </row>
    <row r="1155" spans="1:21" x14ac:dyDescent="0.3">
      <c r="A1155" t="str">
        <f t="shared" si="54"/>
        <v>KnowsleyShort term domiciliary care (pathway 1)2</v>
      </c>
      <c r="B1155">
        <f>IF(C1155="","",COUNTIF($C$2:C1155,C1155))</f>
        <v>2</v>
      </c>
      <c r="C1155" t="str">
        <f t="shared" si="55"/>
        <v>KnowsleyShort term domiciliary care (pathway 1)</v>
      </c>
      <c r="D1155" t="str">
        <f>VLOOKUP(G1155,PathwayLookup!A:B,2,0)</f>
        <v>Short term domiciliary care (pathway 1)</v>
      </c>
      <c r="E1155" t="s">
        <v>195</v>
      </c>
      <c r="F1155" t="s">
        <v>601</v>
      </c>
      <c r="G1155" t="s">
        <v>684</v>
      </c>
      <c r="H1155">
        <v>48</v>
      </c>
      <c r="I1155">
        <v>48</v>
      </c>
      <c r="J1155">
        <v>48</v>
      </c>
      <c r="K1155">
        <v>48</v>
      </c>
      <c r="L1155">
        <v>48</v>
      </c>
      <c r="M1155">
        <v>48</v>
      </c>
      <c r="N1155">
        <v>48</v>
      </c>
      <c r="O1155">
        <v>48</v>
      </c>
      <c r="P1155">
        <v>48</v>
      </c>
      <c r="Q1155">
        <v>48</v>
      </c>
      <c r="R1155">
        <v>48</v>
      </c>
      <c r="S1155">
        <v>48</v>
      </c>
      <c r="T1155">
        <f t="shared" si="56"/>
        <v>576</v>
      </c>
      <c r="U1155">
        <v>1</v>
      </c>
    </row>
    <row r="1156" spans="1:21" x14ac:dyDescent="0.3">
      <c r="A1156" t="str">
        <f t="shared" si="54"/>
        <v>KnowsleyShort term domiciliary care (pathway 1)3</v>
      </c>
      <c r="B1156">
        <f>IF(C1156="","",COUNTIF($C$2:C1156,C1156))</f>
        <v>3</v>
      </c>
      <c r="C1156" t="str">
        <f t="shared" si="55"/>
        <v>KnowsleyShort term domiciliary care (pathway 1)</v>
      </c>
      <c r="D1156" t="str">
        <f>VLOOKUP(G1156,PathwayLookup!A:B,2,0)</f>
        <v>Short term domiciliary care (pathway 1)</v>
      </c>
      <c r="E1156" t="s">
        <v>195</v>
      </c>
      <c r="F1156" t="s">
        <v>651</v>
      </c>
      <c r="G1156" t="s">
        <v>684</v>
      </c>
      <c r="H1156">
        <v>1</v>
      </c>
      <c r="I1156">
        <v>1</v>
      </c>
      <c r="J1156">
        <v>1</v>
      </c>
      <c r="K1156">
        <v>1</v>
      </c>
      <c r="L1156">
        <v>1</v>
      </c>
      <c r="M1156">
        <v>1</v>
      </c>
      <c r="N1156">
        <v>1</v>
      </c>
      <c r="O1156">
        <v>1</v>
      </c>
      <c r="P1156">
        <v>1</v>
      </c>
      <c r="Q1156">
        <v>1</v>
      </c>
      <c r="R1156">
        <v>1</v>
      </c>
      <c r="S1156">
        <v>1</v>
      </c>
      <c r="T1156">
        <f t="shared" si="56"/>
        <v>12</v>
      </c>
      <c r="U1156">
        <v>1</v>
      </c>
    </row>
    <row r="1157" spans="1:21" x14ac:dyDescent="0.3">
      <c r="A1157" t="str">
        <f t="shared" si="54"/>
        <v/>
      </c>
      <c r="B1157" t="str">
        <f>IF(C1157="","",COUNTIF($C$2:C1157,C1157))</f>
        <v/>
      </c>
      <c r="C1157" t="str">
        <f t="shared" si="55"/>
        <v/>
      </c>
      <c r="D1157" t="str">
        <f>VLOOKUP(G1157,PathwayLookup!A:B,2,0)</f>
        <v>Reablement &amp; Rehabilitation in a bedded setting (pathway 2)</v>
      </c>
      <c r="E1157" t="s">
        <v>195</v>
      </c>
      <c r="F1157" t="s">
        <v>538</v>
      </c>
      <c r="G1157" t="s">
        <v>722</v>
      </c>
      <c r="H1157">
        <v>0</v>
      </c>
      <c r="I1157">
        <v>0</v>
      </c>
      <c r="J1157">
        <v>0</v>
      </c>
      <c r="K1157">
        <v>0</v>
      </c>
      <c r="L1157">
        <v>0</v>
      </c>
      <c r="M1157">
        <v>0</v>
      </c>
      <c r="N1157">
        <v>0</v>
      </c>
      <c r="O1157">
        <v>0</v>
      </c>
      <c r="P1157">
        <v>0</v>
      </c>
      <c r="Q1157">
        <v>0</v>
      </c>
      <c r="R1157">
        <v>0</v>
      </c>
      <c r="S1157">
        <v>0</v>
      </c>
      <c r="T1157">
        <f t="shared" si="56"/>
        <v>0</v>
      </c>
      <c r="U1157">
        <v>1</v>
      </c>
    </row>
    <row r="1158" spans="1:21" x14ac:dyDescent="0.3">
      <c r="A1158" t="str">
        <f t="shared" si="54"/>
        <v/>
      </c>
      <c r="B1158" t="str">
        <f>IF(C1158="","",COUNTIF($C$2:C1158,C1158))</f>
        <v/>
      </c>
      <c r="C1158" t="str">
        <f t="shared" si="55"/>
        <v/>
      </c>
      <c r="D1158" t="str">
        <f>VLOOKUP(G1158,PathwayLookup!A:B,2,0)</f>
        <v>Reablement &amp; Rehabilitation in a bedded setting (pathway 2)</v>
      </c>
      <c r="E1158" t="s">
        <v>195</v>
      </c>
      <c r="F1158" t="s">
        <v>601</v>
      </c>
      <c r="G1158" t="s">
        <v>722</v>
      </c>
      <c r="H1158">
        <v>0</v>
      </c>
      <c r="I1158">
        <v>0</v>
      </c>
      <c r="J1158">
        <v>0</v>
      </c>
      <c r="K1158">
        <v>0</v>
      </c>
      <c r="L1158">
        <v>0</v>
      </c>
      <c r="M1158">
        <v>0</v>
      </c>
      <c r="N1158">
        <v>0</v>
      </c>
      <c r="O1158">
        <v>0</v>
      </c>
      <c r="P1158">
        <v>0</v>
      </c>
      <c r="Q1158">
        <v>0</v>
      </c>
      <c r="R1158">
        <v>0</v>
      </c>
      <c r="S1158">
        <v>0</v>
      </c>
      <c r="T1158">
        <f t="shared" si="56"/>
        <v>0</v>
      </c>
      <c r="U1158">
        <v>1</v>
      </c>
    </row>
    <row r="1159" spans="1:21" x14ac:dyDescent="0.3">
      <c r="A1159" t="str">
        <f t="shared" si="54"/>
        <v/>
      </c>
      <c r="B1159" t="str">
        <f>IF(C1159="","",COUNTIF($C$2:C1159,C1159))</f>
        <v/>
      </c>
      <c r="C1159" t="str">
        <f t="shared" si="55"/>
        <v/>
      </c>
      <c r="D1159" t="str">
        <f>VLOOKUP(G1159,PathwayLookup!A:B,2,0)</f>
        <v>Reablement &amp; Rehabilitation in a bedded setting (pathway 2)</v>
      </c>
      <c r="E1159" t="s">
        <v>195</v>
      </c>
      <c r="F1159" t="s">
        <v>651</v>
      </c>
      <c r="G1159" t="s">
        <v>722</v>
      </c>
      <c r="H1159">
        <v>0</v>
      </c>
      <c r="I1159">
        <v>0</v>
      </c>
      <c r="J1159">
        <v>0</v>
      </c>
      <c r="K1159">
        <v>0</v>
      </c>
      <c r="L1159">
        <v>0</v>
      </c>
      <c r="M1159">
        <v>0</v>
      </c>
      <c r="N1159">
        <v>0</v>
      </c>
      <c r="O1159">
        <v>0</v>
      </c>
      <c r="P1159">
        <v>0</v>
      </c>
      <c r="Q1159">
        <v>0</v>
      </c>
      <c r="R1159">
        <v>0</v>
      </c>
      <c r="S1159">
        <v>0</v>
      </c>
      <c r="T1159">
        <f t="shared" si="56"/>
        <v>0</v>
      </c>
      <c r="U1159">
        <v>1</v>
      </c>
    </row>
    <row r="1160" spans="1:21" x14ac:dyDescent="0.3">
      <c r="A1160" t="str">
        <f t="shared" si="54"/>
        <v>KnowsleyReablement &amp; Rehabilitation in a bedded setting (pathway 2)1</v>
      </c>
      <c r="B1160">
        <f>IF(C1160="","",COUNTIF($C$2:C1160,C1160))</f>
        <v>1</v>
      </c>
      <c r="C1160" t="str">
        <f t="shared" si="55"/>
        <v>KnowsleyRehabilitation in a bedded setting (pathway 2)</v>
      </c>
      <c r="D1160" t="str">
        <f>VLOOKUP(G1160,PathwayLookup!A:B,2,0)</f>
        <v>Reablement &amp; Rehabilitation in a bedded setting (pathway 2)</v>
      </c>
      <c r="E1160" t="s">
        <v>195</v>
      </c>
      <c r="F1160" t="s">
        <v>538</v>
      </c>
      <c r="G1160" t="s">
        <v>724</v>
      </c>
      <c r="H1160">
        <v>4</v>
      </c>
      <c r="I1160">
        <v>4</v>
      </c>
      <c r="J1160">
        <v>4</v>
      </c>
      <c r="K1160">
        <v>4</v>
      </c>
      <c r="L1160">
        <v>4</v>
      </c>
      <c r="M1160">
        <v>4</v>
      </c>
      <c r="N1160">
        <v>4</v>
      </c>
      <c r="O1160">
        <v>4</v>
      </c>
      <c r="P1160">
        <v>4</v>
      </c>
      <c r="Q1160">
        <v>4</v>
      </c>
      <c r="R1160">
        <v>4</v>
      </c>
      <c r="S1160">
        <v>4</v>
      </c>
      <c r="T1160">
        <f t="shared" si="56"/>
        <v>48</v>
      </c>
      <c r="U1160">
        <v>1</v>
      </c>
    </row>
    <row r="1161" spans="1:21" x14ac:dyDescent="0.3">
      <c r="A1161" t="str">
        <f t="shared" si="54"/>
        <v>KnowsleyReablement &amp; Rehabilitation in a bedded setting (pathway 2)2</v>
      </c>
      <c r="B1161">
        <f>IF(C1161="","",COUNTIF($C$2:C1161,C1161))</f>
        <v>2</v>
      </c>
      <c r="C1161" t="str">
        <f t="shared" si="55"/>
        <v>KnowsleyRehabilitation in a bedded setting (pathway 2)</v>
      </c>
      <c r="D1161" t="str">
        <f>VLOOKUP(G1161,PathwayLookup!A:B,2,0)</f>
        <v>Reablement &amp; Rehabilitation in a bedded setting (pathway 2)</v>
      </c>
      <c r="E1161" t="s">
        <v>195</v>
      </c>
      <c r="F1161" t="s">
        <v>601</v>
      </c>
      <c r="G1161" t="s">
        <v>724</v>
      </c>
      <c r="H1161">
        <v>10</v>
      </c>
      <c r="I1161">
        <v>10</v>
      </c>
      <c r="J1161">
        <v>10</v>
      </c>
      <c r="K1161">
        <v>10</v>
      </c>
      <c r="L1161">
        <v>10</v>
      </c>
      <c r="M1161">
        <v>10</v>
      </c>
      <c r="N1161">
        <v>10</v>
      </c>
      <c r="O1161">
        <v>10</v>
      </c>
      <c r="P1161">
        <v>10</v>
      </c>
      <c r="Q1161">
        <v>10</v>
      </c>
      <c r="R1161">
        <v>10</v>
      </c>
      <c r="S1161">
        <v>10</v>
      </c>
      <c r="T1161">
        <f t="shared" si="56"/>
        <v>120</v>
      </c>
      <c r="U1161">
        <v>1</v>
      </c>
    </row>
    <row r="1162" spans="1:21" x14ac:dyDescent="0.3">
      <c r="A1162" t="str">
        <f t="shared" si="54"/>
        <v>KnowsleyReablement &amp; Rehabilitation in a bedded setting (pathway 2)3</v>
      </c>
      <c r="B1162">
        <f>IF(C1162="","",COUNTIF($C$2:C1162,C1162))</f>
        <v>3</v>
      </c>
      <c r="C1162" t="str">
        <f t="shared" si="55"/>
        <v>KnowsleyRehabilitation in a bedded setting (pathway 2)</v>
      </c>
      <c r="D1162" t="str">
        <f>VLOOKUP(G1162,PathwayLookup!A:B,2,0)</f>
        <v>Reablement &amp; Rehabilitation in a bedded setting (pathway 2)</v>
      </c>
      <c r="E1162" t="s">
        <v>195</v>
      </c>
      <c r="F1162" t="s">
        <v>651</v>
      </c>
      <c r="G1162" t="s">
        <v>724</v>
      </c>
      <c r="H1162">
        <v>1</v>
      </c>
      <c r="I1162">
        <v>1</v>
      </c>
      <c r="J1162">
        <v>1</v>
      </c>
      <c r="K1162">
        <v>1</v>
      </c>
      <c r="L1162">
        <v>1</v>
      </c>
      <c r="M1162">
        <v>1</v>
      </c>
      <c r="N1162">
        <v>1</v>
      </c>
      <c r="O1162">
        <v>1</v>
      </c>
      <c r="P1162">
        <v>1</v>
      </c>
      <c r="Q1162">
        <v>1</v>
      </c>
      <c r="R1162">
        <v>1</v>
      </c>
      <c r="S1162">
        <v>1</v>
      </c>
      <c r="T1162">
        <f t="shared" si="56"/>
        <v>12</v>
      </c>
      <c r="U1162">
        <v>1</v>
      </c>
    </row>
    <row r="1163" spans="1:21" x14ac:dyDescent="0.3">
      <c r="A1163" t="str">
        <f t="shared" si="54"/>
        <v>KnowsleyShort-term residential/nursing care for someone likely to require a longer-term care home placement (pathway 3)1</v>
      </c>
      <c r="B1163">
        <f>IF(C1163="","",COUNTIF($C$2:C1163,C1163))</f>
        <v>1</v>
      </c>
      <c r="C1163" t="str">
        <f t="shared" si="55"/>
        <v>KnowsleyShort-term residential/nursing care for someone likely to require a longer-term care home placement (pathway 3)</v>
      </c>
      <c r="D1163" t="str">
        <f>VLOOKUP(G1163,PathwayLookup!A:B,2,0)</f>
        <v>Short-term residential/nursing care for someone likely to require a longer-term care home placement (pathway 3)</v>
      </c>
      <c r="E1163" t="s">
        <v>195</v>
      </c>
      <c r="F1163" t="s">
        <v>538</v>
      </c>
      <c r="G1163" t="s">
        <v>686</v>
      </c>
      <c r="H1163">
        <v>12</v>
      </c>
      <c r="I1163">
        <v>12</v>
      </c>
      <c r="J1163">
        <v>12</v>
      </c>
      <c r="K1163">
        <v>12</v>
      </c>
      <c r="L1163">
        <v>12</v>
      </c>
      <c r="M1163">
        <v>12</v>
      </c>
      <c r="N1163">
        <v>12</v>
      </c>
      <c r="O1163">
        <v>12</v>
      </c>
      <c r="P1163">
        <v>12</v>
      </c>
      <c r="Q1163">
        <v>12</v>
      </c>
      <c r="R1163">
        <v>12</v>
      </c>
      <c r="S1163">
        <v>12</v>
      </c>
      <c r="T1163">
        <f t="shared" si="56"/>
        <v>144</v>
      </c>
      <c r="U1163">
        <v>1</v>
      </c>
    </row>
    <row r="1164" spans="1:21" x14ac:dyDescent="0.3">
      <c r="A1164" t="str">
        <f t="shared" si="54"/>
        <v>KnowsleyShort-term residential/nursing care for someone likely to require a longer-term care home placement (pathway 3)2</v>
      </c>
      <c r="B1164">
        <f>IF(C1164="","",COUNTIF($C$2:C1164,C1164))</f>
        <v>2</v>
      </c>
      <c r="C1164" t="str">
        <f t="shared" si="55"/>
        <v>KnowsleyShort-term residential/nursing care for someone likely to require a longer-term care home placement (pathway 3)</v>
      </c>
      <c r="D1164" t="str">
        <f>VLOOKUP(G1164,PathwayLookup!A:B,2,0)</f>
        <v>Short-term residential/nursing care for someone likely to require a longer-term care home placement (pathway 3)</v>
      </c>
      <c r="E1164" t="s">
        <v>195</v>
      </c>
      <c r="F1164" t="s">
        <v>601</v>
      </c>
      <c r="G1164" t="s">
        <v>686</v>
      </c>
      <c r="H1164">
        <v>30</v>
      </c>
      <c r="I1164">
        <v>30</v>
      </c>
      <c r="J1164">
        <v>30</v>
      </c>
      <c r="K1164">
        <v>30</v>
      </c>
      <c r="L1164">
        <v>30</v>
      </c>
      <c r="M1164">
        <v>30</v>
      </c>
      <c r="N1164">
        <v>30</v>
      </c>
      <c r="O1164">
        <v>30</v>
      </c>
      <c r="P1164">
        <v>30</v>
      </c>
      <c r="Q1164">
        <v>30</v>
      </c>
      <c r="R1164">
        <v>30</v>
      </c>
      <c r="S1164">
        <v>30</v>
      </c>
      <c r="T1164">
        <f t="shared" si="56"/>
        <v>360</v>
      </c>
      <c r="U1164">
        <v>1</v>
      </c>
    </row>
    <row r="1165" spans="1:21" x14ac:dyDescent="0.3">
      <c r="A1165" t="str">
        <f t="shared" si="54"/>
        <v>KnowsleyShort-term residential/nursing care for someone likely to require a longer-term care home placement (pathway 3)3</v>
      </c>
      <c r="B1165">
        <f>IF(C1165="","",COUNTIF($C$2:C1165,C1165))</f>
        <v>3</v>
      </c>
      <c r="C1165" t="str">
        <f t="shared" si="55"/>
        <v>KnowsleyShort-term residential/nursing care for someone likely to require a longer-term care home placement (pathway 3)</v>
      </c>
      <c r="D1165" t="str">
        <f>VLOOKUP(G1165,PathwayLookup!A:B,2,0)</f>
        <v>Short-term residential/nursing care for someone likely to require a longer-term care home placement (pathway 3)</v>
      </c>
      <c r="E1165" t="s">
        <v>195</v>
      </c>
      <c r="F1165" t="s">
        <v>651</v>
      </c>
      <c r="G1165" t="s">
        <v>686</v>
      </c>
      <c r="H1165">
        <v>1</v>
      </c>
      <c r="I1165">
        <v>1</v>
      </c>
      <c r="J1165">
        <v>1</v>
      </c>
      <c r="K1165">
        <v>1</v>
      </c>
      <c r="L1165">
        <v>1</v>
      </c>
      <c r="M1165">
        <v>1</v>
      </c>
      <c r="N1165">
        <v>1</v>
      </c>
      <c r="O1165">
        <v>1</v>
      </c>
      <c r="P1165">
        <v>1</v>
      </c>
      <c r="Q1165">
        <v>1</v>
      </c>
      <c r="R1165">
        <v>1</v>
      </c>
      <c r="S1165">
        <v>1</v>
      </c>
      <c r="T1165">
        <f t="shared" si="56"/>
        <v>12</v>
      </c>
      <c r="U1165">
        <v>1</v>
      </c>
    </row>
    <row r="1166" spans="1:21" x14ac:dyDescent="0.3">
      <c r="A1166" t="str">
        <f t="shared" si="54"/>
        <v>LambethSocial support (including VCS) (pathway 0)1</v>
      </c>
      <c r="B1166">
        <f>IF(C1166="","",COUNTIF($C$2:C1166,C1166))</f>
        <v>1</v>
      </c>
      <c r="C1166" t="str">
        <f t="shared" si="55"/>
        <v>LambethSocial support (including VCS) (pathway 0)</v>
      </c>
      <c r="D1166" t="str">
        <f>VLOOKUP(G1166,PathwayLookup!A:B,2,0)</f>
        <v>Social support (including VCS) (pathway 0)</v>
      </c>
      <c r="E1166" t="s">
        <v>197</v>
      </c>
      <c r="F1166" t="s">
        <v>448</v>
      </c>
      <c r="G1166" t="s">
        <v>682</v>
      </c>
      <c r="H1166">
        <v>10</v>
      </c>
      <c r="I1166">
        <v>10</v>
      </c>
      <c r="J1166">
        <v>10</v>
      </c>
      <c r="K1166">
        <v>10</v>
      </c>
      <c r="L1166">
        <v>10</v>
      </c>
      <c r="M1166">
        <v>10</v>
      </c>
      <c r="N1166">
        <v>10</v>
      </c>
      <c r="O1166">
        <v>10</v>
      </c>
      <c r="P1166">
        <v>10</v>
      </c>
      <c r="Q1166">
        <v>10</v>
      </c>
      <c r="R1166">
        <v>10</v>
      </c>
      <c r="S1166">
        <v>10</v>
      </c>
      <c r="T1166">
        <f t="shared" si="56"/>
        <v>120</v>
      </c>
      <c r="U1166">
        <v>1</v>
      </c>
    </row>
    <row r="1167" spans="1:21" x14ac:dyDescent="0.3">
      <c r="A1167" t="str">
        <f t="shared" si="54"/>
        <v>LambethSocial support (including VCS) (pathway 0)2</v>
      </c>
      <c r="B1167">
        <f>IF(C1167="","",COUNTIF($C$2:C1167,C1167))</f>
        <v>2</v>
      </c>
      <c r="C1167" t="str">
        <f t="shared" si="55"/>
        <v>LambethSocial support (including VCS) (pathway 0)</v>
      </c>
      <c r="D1167" t="str">
        <f>VLOOKUP(G1167,PathwayLookup!A:B,2,0)</f>
        <v>Social support (including VCS) (pathway 0)</v>
      </c>
      <c r="E1167" t="s">
        <v>197</v>
      </c>
      <c r="F1167" t="s">
        <v>510</v>
      </c>
      <c r="G1167" t="s">
        <v>682</v>
      </c>
      <c r="H1167">
        <v>44.21324756803957</v>
      </c>
      <c r="I1167">
        <v>52.128416783478471</v>
      </c>
      <c r="J1167">
        <v>49.924506953051903</v>
      </c>
      <c r="K1167">
        <v>49.829754195581891</v>
      </c>
      <c r="L1167">
        <v>50.908144467689702</v>
      </c>
      <c r="M1167">
        <v>44.556381036292585</v>
      </c>
      <c r="N1167">
        <v>49.450111097388103</v>
      </c>
      <c r="O1167">
        <v>51.185367989780971</v>
      </c>
      <c r="P1167">
        <v>46.143507431555626</v>
      </c>
      <c r="Q1167">
        <v>48.775827565025779</v>
      </c>
      <c r="R1167">
        <v>45.622750951704461</v>
      </c>
      <c r="S1167">
        <v>47.758717263165565</v>
      </c>
      <c r="T1167">
        <f t="shared" si="56"/>
        <v>580.49673330275459</v>
      </c>
      <c r="U1167">
        <v>1</v>
      </c>
    </row>
    <row r="1168" spans="1:21" x14ac:dyDescent="0.3">
      <c r="A1168" t="str">
        <f t="shared" si="54"/>
        <v>LambethSocial support (including VCS) (pathway 0)3</v>
      </c>
      <c r="B1168">
        <f>IF(C1168="","",COUNTIF($C$2:C1168,C1168))</f>
        <v>3</v>
      </c>
      <c r="C1168" t="str">
        <f t="shared" si="55"/>
        <v>LambethSocial support (including VCS) (pathway 0)</v>
      </c>
      <c r="D1168" t="str">
        <f>VLOOKUP(G1168,PathwayLookup!A:B,2,0)</f>
        <v>Social support (including VCS) (pathway 0)</v>
      </c>
      <c r="E1168" t="s">
        <v>197</v>
      </c>
      <c r="F1168" t="s">
        <v>526</v>
      </c>
      <c r="G1168" t="s">
        <v>682</v>
      </c>
      <c r="H1168">
        <v>44.21324756803957</v>
      </c>
      <c r="I1168">
        <v>52.128416783478471</v>
      </c>
      <c r="J1168">
        <v>49.924506953051903</v>
      </c>
      <c r="K1168">
        <v>49.829754195581891</v>
      </c>
      <c r="L1168">
        <v>50.908144467689702</v>
      </c>
      <c r="M1168">
        <v>44.556381036292585</v>
      </c>
      <c r="N1168">
        <v>49.450111097388103</v>
      </c>
      <c r="O1168">
        <v>51.185367989780971</v>
      </c>
      <c r="P1168">
        <v>46.143507431555626</v>
      </c>
      <c r="Q1168">
        <v>48.775827565025779</v>
      </c>
      <c r="R1168">
        <v>45.622750951704461</v>
      </c>
      <c r="S1168">
        <v>47.758717263165565</v>
      </c>
      <c r="T1168">
        <f t="shared" si="56"/>
        <v>580.49673330275459</v>
      </c>
      <c r="U1168">
        <v>1</v>
      </c>
    </row>
    <row r="1169" spans="1:21" x14ac:dyDescent="0.3">
      <c r="A1169" t="str">
        <f t="shared" si="54"/>
        <v/>
      </c>
      <c r="B1169" t="str">
        <f>IF(C1169="","",COUNTIF($C$2:C1169,C1169))</f>
        <v/>
      </c>
      <c r="C1169" t="str">
        <f t="shared" si="55"/>
        <v/>
      </c>
      <c r="D1169" t="str">
        <f>VLOOKUP(G1169,PathwayLookup!A:B,2,0)</f>
        <v>Social support (including VCS) (pathway 0)</v>
      </c>
      <c r="E1169" t="s">
        <v>197</v>
      </c>
      <c r="F1169" t="s">
        <v>592</v>
      </c>
      <c r="G1169" t="s">
        <v>682</v>
      </c>
      <c r="H1169">
        <v>0</v>
      </c>
      <c r="I1169">
        <v>0</v>
      </c>
      <c r="J1169">
        <v>0</v>
      </c>
      <c r="K1169">
        <v>0</v>
      </c>
      <c r="L1169">
        <v>0</v>
      </c>
      <c r="M1169">
        <v>0</v>
      </c>
      <c r="N1169">
        <v>0</v>
      </c>
      <c r="O1169">
        <v>0</v>
      </c>
      <c r="P1169">
        <v>0</v>
      </c>
      <c r="Q1169">
        <v>0</v>
      </c>
      <c r="R1169">
        <v>0</v>
      </c>
      <c r="S1169">
        <v>0</v>
      </c>
      <c r="T1169">
        <f t="shared" si="56"/>
        <v>0</v>
      </c>
      <c r="U1169">
        <v>1</v>
      </c>
    </row>
    <row r="1170" spans="1:21" x14ac:dyDescent="0.3">
      <c r="A1170" t="str">
        <f t="shared" si="54"/>
        <v>LambethSocial support (including VCS) (pathway 0)4</v>
      </c>
      <c r="B1170">
        <f>IF(C1170="","",COUNTIF($C$2:C1170,C1170))</f>
        <v>4</v>
      </c>
      <c r="C1170" t="str">
        <f t="shared" si="55"/>
        <v>LambethSocial support (including VCS) (pathway 0)</v>
      </c>
      <c r="D1170" t="str">
        <f>VLOOKUP(G1170,PathwayLookup!A:B,2,0)</f>
        <v>Social support (including VCS) (pathway 0)</v>
      </c>
      <c r="E1170" t="s">
        <v>197</v>
      </c>
      <c r="F1170" t="s">
        <v>600</v>
      </c>
      <c r="G1170" t="s">
        <v>682</v>
      </c>
      <c r="H1170">
        <v>22.106623784019785</v>
      </c>
      <c r="I1170">
        <v>26.064208391739236</v>
      </c>
      <c r="J1170">
        <v>24.962253476525952</v>
      </c>
      <c r="K1170">
        <v>24.914877097790946</v>
      </c>
      <c r="L1170">
        <v>25.454072233844851</v>
      </c>
      <c r="M1170">
        <v>22.278190518146292</v>
      </c>
      <c r="N1170">
        <v>24.725055548694051</v>
      </c>
      <c r="O1170">
        <v>25.592683994890489</v>
      </c>
      <c r="P1170">
        <v>23.071753715777813</v>
      </c>
      <c r="Q1170">
        <v>24.387913782512889</v>
      </c>
      <c r="R1170">
        <v>22.81137547585223</v>
      </c>
      <c r="S1170">
        <v>23.879358631582782</v>
      </c>
      <c r="T1170">
        <f t="shared" si="56"/>
        <v>290.2483666513773</v>
      </c>
      <c r="U1170">
        <v>1</v>
      </c>
    </row>
    <row r="1171" spans="1:21" x14ac:dyDescent="0.3">
      <c r="A1171" t="str">
        <f t="shared" si="54"/>
        <v/>
      </c>
      <c r="B1171" t="str">
        <f>IF(C1171="","",COUNTIF($C$2:C1171,C1171))</f>
        <v/>
      </c>
      <c r="C1171" t="str">
        <f t="shared" si="55"/>
        <v/>
      </c>
      <c r="D1171" t="str">
        <f>VLOOKUP(G1171,PathwayLookup!A:B,2,0)</f>
        <v>Social support (including VCS) (pathway 0)</v>
      </c>
      <c r="E1171" t="s">
        <v>197</v>
      </c>
      <c r="F1171" t="s">
        <v>651</v>
      </c>
      <c r="G1171" t="s">
        <v>682</v>
      </c>
      <c r="H1171">
        <v>0</v>
      </c>
      <c r="I1171">
        <v>0</v>
      </c>
      <c r="J1171">
        <v>0</v>
      </c>
      <c r="K1171">
        <v>0</v>
      </c>
      <c r="L1171">
        <v>0</v>
      </c>
      <c r="M1171">
        <v>0</v>
      </c>
      <c r="N1171">
        <v>0</v>
      </c>
      <c r="O1171">
        <v>0</v>
      </c>
      <c r="P1171">
        <v>0</v>
      </c>
      <c r="Q1171">
        <v>0</v>
      </c>
      <c r="R1171">
        <v>0</v>
      </c>
      <c r="S1171">
        <v>0</v>
      </c>
      <c r="T1171">
        <f t="shared" si="56"/>
        <v>0</v>
      </c>
      <c r="U1171">
        <v>1</v>
      </c>
    </row>
    <row r="1172" spans="1:21" x14ac:dyDescent="0.3">
      <c r="A1172" t="str">
        <f t="shared" si="54"/>
        <v>LambethReablement &amp; Rehabilitation at home  (pathway 1)1</v>
      </c>
      <c r="B1172">
        <f>IF(C1172="","",COUNTIF($C$2:C1172,C1172))</f>
        <v>1</v>
      </c>
      <c r="C1172" t="str">
        <f t="shared" si="55"/>
        <v>LambethReablement at home  (pathway 1)</v>
      </c>
      <c r="D1172" t="str">
        <f>VLOOKUP(G1172,PathwayLookup!A:B,2,0)</f>
        <v>Reablement &amp; Rehabilitation at home  (pathway 1)</v>
      </c>
      <c r="E1172" t="s">
        <v>197</v>
      </c>
      <c r="F1172" t="s">
        <v>510</v>
      </c>
      <c r="G1172" t="s">
        <v>718</v>
      </c>
      <c r="H1172">
        <v>61.201762743314475</v>
      </c>
      <c r="I1172">
        <v>72.158259608897637</v>
      </c>
      <c r="J1172">
        <v>69.107518621327046</v>
      </c>
      <c r="K1172">
        <v>68.976358028044871</v>
      </c>
      <c r="L1172">
        <v>70.46910939123471</v>
      </c>
      <c r="M1172">
        <v>61.676741946798558</v>
      </c>
      <c r="N1172">
        <v>68.450840720431657</v>
      </c>
      <c r="O1172">
        <v>70.852853385606238</v>
      </c>
      <c r="P1172">
        <v>63.873706395905366</v>
      </c>
      <c r="Q1172">
        <v>67.517470225403969</v>
      </c>
      <c r="R1172">
        <v>63.152854246832881</v>
      </c>
      <c r="S1172">
        <v>66.109545071694441</v>
      </c>
      <c r="T1172">
        <f t="shared" si="56"/>
        <v>803.54702038549192</v>
      </c>
      <c r="U1172">
        <v>1</v>
      </c>
    </row>
    <row r="1173" spans="1:21" x14ac:dyDescent="0.3">
      <c r="A1173" t="str">
        <f t="shared" si="54"/>
        <v>LambethReablement &amp; Rehabilitation at home  (pathway 1)2</v>
      </c>
      <c r="B1173">
        <f>IF(C1173="","",COUNTIF($C$2:C1173,C1173))</f>
        <v>2</v>
      </c>
      <c r="C1173" t="str">
        <f t="shared" si="55"/>
        <v>LambethReablement at home  (pathway 1)</v>
      </c>
      <c r="D1173" t="str">
        <f>VLOOKUP(G1173,PathwayLookup!A:B,2,0)</f>
        <v>Reablement &amp; Rehabilitation at home  (pathway 1)</v>
      </c>
      <c r="E1173" t="s">
        <v>197</v>
      </c>
      <c r="F1173" t="s">
        <v>526</v>
      </c>
      <c r="G1173" t="s">
        <v>718</v>
      </c>
      <c r="H1173">
        <v>51.00146895276206</v>
      </c>
      <c r="I1173">
        <v>60.1318830074147</v>
      </c>
      <c r="J1173">
        <v>57.589598851105869</v>
      </c>
      <c r="K1173">
        <v>57.480298356704054</v>
      </c>
      <c r="L1173">
        <v>58.724257826028925</v>
      </c>
      <c r="M1173">
        <v>51.397284955665462</v>
      </c>
      <c r="N1173">
        <v>57.042367267026378</v>
      </c>
      <c r="O1173">
        <v>59.044044488005191</v>
      </c>
      <c r="P1173">
        <v>53.228088663254461</v>
      </c>
      <c r="Q1173">
        <v>56.264558521169974</v>
      </c>
      <c r="R1173">
        <v>52.627378539027411</v>
      </c>
      <c r="S1173">
        <v>55.091287559745375</v>
      </c>
      <c r="T1173">
        <f t="shared" si="56"/>
        <v>669.62251698790988</v>
      </c>
      <c r="U1173">
        <v>1</v>
      </c>
    </row>
    <row r="1174" spans="1:21" x14ac:dyDescent="0.3">
      <c r="A1174" t="str">
        <f t="shared" si="54"/>
        <v/>
      </c>
      <c r="B1174" t="str">
        <f>IF(C1174="","",COUNTIF($C$2:C1174,C1174))</f>
        <v/>
      </c>
      <c r="C1174" t="str">
        <f t="shared" si="55"/>
        <v/>
      </c>
      <c r="D1174" t="str">
        <f>VLOOKUP(G1174,PathwayLookup!A:B,2,0)</f>
        <v>Reablement &amp; Rehabilitation at home  (pathway 1)</v>
      </c>
      <c r="E1174" t="s">
        <v>197</v>
      </c>
      <c r="F1174" t="s">
        <v>592</v>
      </c>
      <c r="G1174" t="s">
        <v>718</v>
      </c>
      <c r="H1174">
        <v>0</v>
      </c>
      <c r="I1174">
        <v>0</v>
      </c>
      <c r="J1174">
        <v>0</v>
      </c>
      <c r="K1174">
        <v>0</v>
      </c>
      <c r="L1174">
        <v>0</v>
      </c>
      <c r="M1174">
        <v>0</v>
      </c>
      <c r="N1174">
        <v>0</v>
      </c>
      <c r="O1174">
        <v>0</v>
      </c>
      <c r="P1174">
        <v>0</v>
      </c>
      <c r="Q1174">
        <v>0</v>
      </c>
      <c r="R1174">
        <v>0</v>
      </c>
      <c r="S1174">
        <v>0</v>
      </c>
      <c r="T1174">
        <f t="shared" si="56"/>
        <v>0</v>
      </c>
      <c r="U1174">
        <v>1</v>
      </c>
    </row>
    <row r="1175" spans="1:21" x14ac:dyDescent="0.3">
      <c r="A1175" t="str">
        <f t="shared" si="54"/>
        <v/>
      </c>
      <c r="B1175" t="str">
        <f>IF(C1175="","",COUNTIF($C$2:C1175,C1175))</f>
        <v/>
      </c>
      <c r="C1175" t="str">
        <f t="shared" si="55"/>
        <v/>
      </c>
      <c r="D1175" t="str">
        <f>VLOOKUP(G1175,PathwayLookup!A:B,2,0)</f>
        <v>Reablement &amp; Rehabilitation at home  (pathway 1)</v>
      </c>
      <c r="E1175" t="s">
        <v>197</v>
      </c>
      <c r="F1175" t="s">
        <v>600</v>
      </c>
      <c r="G1175" t="s">
        <v>718</v>
      </c>
      <c r="H1175">
        <v>0</v>
      </c>
      <c r="I1175">
        <v>0</v>
      </c>
      <c r="J1175">
        <v>0</v>
      </c>
      <c r="K1175">
        <v>0</v>
      </c>
      <c r="L1175">
        <v>0</v>
      </c>
      <c r="M1175">
        <v>0</v>
      </c>
      <c r="N1175">
        <v>0</v>
      </c>
      <c r="O1175">
        <v>0</v>
      </c>
      <c r="P1175">
        <v>0</v>
      </c>
      <c r="Q1175">
        <v>0</v>
      </c>
      <c r="R1175">
        <v>0</v>
      </c>
      <c r="S1175">
        <v>0</v>
      </c>
      <c r="T1175">
        <f t="shared" si="56"/>
        <v>0</v>
      </c>
      <c r="U1175">
        <v>1</v>
      </c>
    </row>
    <row r="1176" spans="1:21" x14ac:dyDescent="0.3">
      <c r="A1176" t="str">
        <f t="shared" si="54"/>
        <v/>
      </c>
      <c r="B1176" t="str">
        <f>IF(C1176="","",COUNTIF($C$2:C1176,C1176))</f>
        <v/>
      </c>
      <c r="C1176" t="str">
        <f t="shared" si="55"/>
        <v/>
      </c>
      <c r="D1176" t="str">
        <f>VLOOKUP(G1176,PathwayLookup!A:B,2,0)</f>
        <v>Reablement &amp; Rehabilitation at home  (pathway 1)</v>
      </c>
      <c r="E1176" t="s">
        <v>197</v>
      </c>
      <c r="F1176" t="s">
        <v>651</v>
      </c>
      <c r="G1176" t="s">
        <v>718</v>
      </c>
      <c r="H1176">
        <v>0</v>
      </c>
      <c r="I1176">
        <v>0</v>
      </c>
      <c r="J1176">
        <v>0</v>
      </c>
      <c r="K1176">
        <v>0</v>
      </c>
      <c r="L1176">
        <v>0</v>
      </c>
      <c r="M1176">
        <v>0</v>
      </c>
      <c r="N1176">
        <v>0</v>
      </c>
      <c r="O1176">
        <v>0</v>
      </c>
      <c r="P1176">
        <v>0</v>
      </c>
      <c r="Q1176">
        <v>0</v>
      </c>
      <c r="R1176">
        <v>0</v>
      </c>
      <c r="S1176">
        <v>0</v>
      </c>
      <c r="T1176">
        <f t="shared" si="56"/>
        <v>0</v>
      </c>
      <c r="U1176">
        <v>1</v>
      </c>
    </row>
    <row r="1177" spans="1:21" x14ac:dyDescent="0.3">
      <c r="A1177" t="str">
        <f t="shared" si="54"/>
        <v/>
      </c>
      <c r="B1177" t="str">
        <f>IF(C1177="","",COUNTIF($C$2:C1177,C1177))</f>
        <v/>
      </c>
      <c r="C1177" t="str">
        <f t="shared" si="55"/>
        <v/>
      </c>
      <c r="D1177" t="str">
        <f>VLOOKUP(G1177,PathwayLookup!A:B,2,0)</f>
        <v>Reablement &amp; Rehabilitation at home  (pathway 1)</v>
      </c>
      <c r="E1177" t="s">
        <v>197</v>
      </c>
      <c r="F1177" t="s">
        <v>510</v>
      </c>
      <c r="G1177" t="s">
        <v>719</v>
      </c>
      <c r="H1177">
        <v>0</v>
      </c>
      <c r="I1177">
        <v>0</v>
      </c>
      <c r="J1177">
        <v>0</v>
      </c>
      <c r="K1177">
        <v>0</v>
      </c>
      <c r="L1177">
        <v>0</v>
      </c>
      <c r="M1177">
        <v>0</v>
      </c>
      <c r="N1177">
        <v>0</v>
      </c>
      <c r="O1177">
        <v>0</v>
      </c>
      <c r="P1177">
        <v>0</v>
      </c>
      <c r="Q1177">
        <v>0</v>
      </c>
      <c r="R1177">
        <v>0</v>
      </c>
      <c r="S1177">
        <v>0</v>
      </c>
      <c r="T1177">
        <f t="shared" si="56"/>
        <v>0</v>
      </c>
      <c r="U1177">
        <v>1</v>
      </c>
    </row>
    <row r="1178" spans="1:21" x14ac:dyDescent="0.3">
      <c r="A1178" t="str">
        <f t="shared" si="54"/>
        <v/>
      </c>
      <c r="B1178" t="str">
        <f>IF(C1178="","",COUNTIF($C$2:C1178,C1178))</f>
        <v/>
      </c>
      <c r="C1178" t="str">
        <f t="shared" si="55"/>
        <v/>
      </c>
      <c r="D1178" t="str">
        <f>VLOOKUP(G1178,PathwayLookup!A:B,2,0)</f>
        <v>Reablement &amp; Rehabilitation at home  (pathway 1)</v>
      </c>
      <c r="E1178" t="s">
        <v>197</v>
      </c>
      <c r="F1178" t="s">
        <v>526</v>
      </c>
      <c r="G1178" t="s">
        <v>719</v>
      </c>
      <c r="H1178">
        <v>0</v>
      </c>
      <c r="I1178">
        <v>0</v>
      </c>
      <c r="J1178">
        <v>0</v>
      </c>
      <c r="K1178">
        <v>0</v>
      </c>
      <c r="L1178">
        <v>0</v>
      </c>
      <c r="M1178">
        <v>0</v>
      </c>
      <c r="N1178">
        <v>0</v>
      </c>
      <c r="O1178">
        <v>0</v>
      </c>
      <c r="P1178">
        <v>0</v>
      </c>
      <c r="Q1178">
        <v>0</v>
      </c>
      <c r="R1178">
        <v>0</v>
      </c>
      <c r="S1178">
        <v>0</v>
      </c>
      <c r="T1178">
        <f t="shared" si="56"/>
        <v>0</v>
      </c>
      <c r="U1178">
        <v>1</v>
      </c>
    </row>
    <row r="1179" spans="1:21" x14ac:dyDescent="0.3">
      <c r="A1179" t="str">
        <f t="shared" si="54"/>
        <v/>
      </c>
      <c r="B1179" t="str">
        <f>IF(C1179="","",COUNTIF($C$2:C1179,C1179))</f>
        <v/>
      </c>
      <c r="C1179" t="str">
        <f t="shared" si="55"/>
        <v/>
      </c>
      <c r="D1179" t="str">
        <f>VLOOKUP(G1179,PathwayLookup!A:B,2,0)</f>
        <v>Reablement &amp; Rehabilitation at home  (pathway 1)</v>
      </c>
      <c r="E1179" t="s">
        <v>197</v>
      </c>
      <c r="F1179" t="s">
        <v>592</v>
      </c>
      <c r="G1179" t="s">
        <v>719</v>
      </c>
      <c r="H1179">
        <v>0</v>
      </c>
      <c r="I1179">
        <v>0</v>
      </c>
      <c r="J1179">
        <v>0</v>
      </c>
      <c r="K1179">
        <v>0</v>
      </c>
      <c r="L1179">
        <v>0</v>
      </c>
      <c r="M1179">
        <v>0</v>
      </c>
      <c r="N1179">
        <v>0</v>
      </c>
      <c r="O1179">
        <v>0</v>
      </c>
      <c r="P1179">
        <v>0</v>
      </c>
      <c r="Q1179">
        <v>0</v>
      </c>
      <c r="R1179">
        <v>0</v>
      </c>
      <c r="S1179">
        <v>0</v>
      </c>
      <c r="T1179">
        <f t="shared" si="56"/>
        <v>0</v>
      </c>
      <c r="U1179">
        <v>1</v>
      </c>
    </row>
    <row r="1180" spans="1:21" x14ac:dyDescent="0.3">
      <c r="A1180" t="str">
        <f t="shared" si="54"/>
        <v/>
      </c>
      <c r="B1180" t="str">
        <f>IF(C1180="","",COUNTIF($C$2:C1180,C1180))</f>
        <v/>
      </c>
      <c r="C1180" t="str">
        <f t="shared" si="55"/>
        <v/>
      </c>
      <c r="D1180" t="str">
        <f>VLOOKUP(G1180,PathwayLookup!A:B,2,0)</f>
        <v>Reablement &amp; Rehabilitation at home  (pathway 1)</v>
      </c>
      <c r="E1180" t="s">
        <v>197</v>
      </c>
      <c r="F1180" t="s">
        <v>600</v>
      </c>
      <c r="G1180" t="s">
        <v>719</v>
      </c>
      <c r="H1180">
        <v>0</v>
      </c>
      <c r="I1180">
        <v>0</v>
      </c>
      <c r="J1180">
        <v>0</v>
      </c>
      <c r="K1180">
        <v>0</v>
      </c>
      <c r="L1180">
        <v>0</v>
      </c>
      <c r="M1180">
        <v>0</v>
      </c>
      <c r="N1180">
        <v>0</v>
      </c>
      <c r="O1180">
        <v>0</v>
      </c>
      <c r="P1180">
        <v>0</v>
      </c>
      <c r="Q1180">
        <v>0</v>
      </c>
      <c r="R1180">
        <v>0</v>
      </c>
      <c r="S1180">
        <v>0</v>
      </c>
      <c r="T1180">
        <f t="shared" si="56"/>
        <v>0</v>
      </c>
      <c r="U1180">
        <v>1</v>
      </c>
    </row>
    <row r="1181" spans="1:21" x14ac:dyDescent="0.3">
      <c r="A1181" t="str">
        <f t="shared" si="54"/>
        <v/>
      </c>
      <c r="B1181" t="str">
        <f>IF(C1181="","",COUNTIF($C$2:C1181,C1181))</f>
        <v/>
      </c>
      <c r="C1181" t="str">
        <f t="shared" si="55"/>
        <v/>
      </c>
      <c r="D1181" t="str">
        <f>VLOOKUP(G1181,PathwayLookup!A:B,2,0)</f>
        <v>Reablement &amp; Rehabilitation at home  (pathway 1)</v>
      </c>
      <c r="E1181" t="s">
        <v>197</v>
      </c>
      <c r="F1181" t="s">
        <v>651</v>
      </c>
      <c r="G1181" t="s">
        <v>719</v>
      </c>
      <c r="H1181">
        <v>0</v>
      </c>
      <c r="I1181">
        <v>0</v>
      </c>
      <c r="J1181">
        <v>0</v>
      </c>
      <c r="K1181">
        <v>0</v>
      </c>
      <c r="L1181">
        <v>0</v>
      </c>
      <c r="M1181">
        <v>0</v>
      </c>
      <c r="N1181">
        <v>0</v>
      </c>
      <c r="O1181">
        <v>0</v>
      </c>
      <c r="P1181">
        <v>0</v>
      </c>
      <c r="Q1181">
        <v>0</v>
      </c>
      <c r="R1181">
        <v>0</v>
      </c>
      <c r="S1181">
        <v>0</v>
      </c>
      <c r="T1181">
        <f t="shared" si="56"/>
        <v>0</v>
      </c>
      <c r="U1181">
        <v>1</v>
      </c>
    </row>
    <row r="1182" spans="1:21" x14ac:dyDescent="0.3">
      <c r="A1182" t="str">
        <f t="shared" si="54"/>
        <v/>
      </c>
      <c r="B1182" t="str">
        <f>IF(C1182="","",COUNTIF($C$2:C1182,C1182))</f>
        <v/>
      </c>
      <c r="C1182" t="str">
        <f t="shared" si="55"/>
        <v/>
      </c>
      <c r="D1182" t="str">
        <f>VLOOKUP(G1182,PathwayLookup!A:B,2,0)</f>
        <v>Short term domiciliary care (pathway 1)</v>
      </c>
      <c r="E1182" t="s">
        <v>197</v>
      </c>
      <c r="F1182" t="s">
        <v>510</v>
      </c>
      <c r="G1182" t="s">
        <v>684</v>
      </c>
      <c r="H1182">
        <v>0</v>
      </c>
      <c r="I1182">
        <v>0</v>
      </c>
      <c r="J1182">
        <v>0</v>
      </c>
      <c r="K1182">
        <v>0</v>
      </c>
      <c r="L1182">
        <v>0</v>
      </c>
      <c r="M1182">
        <v>0</v>
      </c>
      <c r="N1182">
        <v>0</v>
      </c>
      <c r="O1182">
        <v>0</v>
      </c>
      <c r="P1182">
        <v>0</v>
      </c>
      <c r="Q1182">
        <v>0</v>
      </c>
      <c r="R1182">
        <v>0</v>
      </c>
      <c r="S1182">
        <v>0</v>
      </c>
      <c r="T1182">
        <f t="shared" si="56"/>
        <v>0</v>
      </c>
      <c r="U1182">
        <v>1</v>
      </c>
    </row>
    <row r="1183" spans="1:21" x14ac:dyDescent="0.3">
      <c r="A1183" t="str">
        <f t="shared" si="54"/>
        <v/>
      </c>
      <c r="B1183" t="str">
        <f>IF(C1183="","",COUNTIF($C$2:C1183,C1183))</f>
        <v/>
      </c>
      <c r="C1183" t="str">
        <f t="shared" si="55"/>
        <v/>
      </c>
      <c r="D1183" t="str">
        <f>VLOOKUP(G1183,PathwayLookup!A:B,2,0)</f>
        <v>Short term domiciliary care (pathway 1)</v>
      </c>
      <c r="E1183" t="s">
        <v>197</v>
      </c>
      <c r="F1183" t="s">
        <v>526</v>
      </c>
      <c r="G1183" t="s">
        <v>684</v>
      </c>
      <c r="H1183">
        <v>0</v>
      </c>
      <c r="I1183">
        <v>0</v>
      </c>
      <c r="J1183">
        <v>0</v>
      </c>
      <c r="K1183">
        <v>0</v>
      </c>
      <c r="L1183">
        <v>0</v>
      </c>
      <c r="M1183">
        <v>0</v>
      </c>
      <c r="N1183">
        <v>0</v>
      </c>
      <c r="O1183">
        <v>0</v>
      </c>
      <c r="P1183">
        <v>0</v>
      </c>
      <c r="Q1183">
        <v>0</v>
      </c>
      <c r="R1183">
        <v>0</v>
      </c>
      <c r="S1183">
        <v>0</v>
      </c>
      <c r="T1183">
        <f t="shared" si="56"/>
        <v>0</v>
      </c>
      <c r="U1183">
        <v>1</v>
      </c>
    </row>
    <row r="1184" spans="1:21" x14ac:dyDescent="0.3">
      <c r="A1184" t="str">
        <f t="shared" si="54"/>
        <v/>
      </c>
      <c r="B1184" t="str">
        <f>IF(C1184="","",COUNTIF($C$2:C1184,C1184))</f>
        <v/>
      </c>
      <c r="C1184" t="str">
        <f t="shared" si="55"/>
        <v/>
      </c>
      <c r="D1184" t="str">
        <f>VLOOKUP(G1184,PathwayLookup!A:B,2,0)</f>
        <v>Short term domiciliary care (pathway 1)</v>
      </c>
      <c r="E1184" t="s">
        <v>197</v>
      </c>
      <c r="F1184" t="s">
        <v>592</v>
      </c>
      <c r="G1184" t="s">
        <v>684</v>
      </c>
      <c r="H1184">
        <v>0</v>
      </c>
      <c r="I1184">
        <v>0</v>
      </c>
      <c r="J1184">
        <v>0</v>
      </c>
      <c r="K1184">
        <v>0</v>
      </c>
      <c r="L1184">
        <v>0</v>
      </c>
      <c r="M1184">
        <v>0</v>
      </c>
      <c r="N1184">
        <v>0</v>
      </c>
      <c r="O1184">
        <v>0</v>
      </c>
      <c r="P1184">
        <v>0</v>
      </c>
      <c r="Q1184">
        <v>0</v>
      </c>
      <c r="R1184">
        <v>0</v>
      </c>
      <c r="S1184">
        <v>0</v>
      </c>
      <c r="T1184">
        <f t="shared" si="56"/>
        <v>0</v>
      </c>
      <c r="U1184">
        <v>1</v>
      </c>
    </row>
    <row r="1185" spans="1:21" x14ac:dyDescent="0.3">
      <c r="A1185" t="str">
        <f t="shared" si="54"/>
        <v/>
      </c>
      <c r="B1185" t="str">
        <f>IF(C1185="","",COUNTIF($C$2:C1185,C1185))</f>
        <v/>
      </c>
      <c r="C1185" t="str">
        <f t="shared" si="55"/>
        <v/>
      </c>
      <c r="D1185" t="str">
        <f>VLOOKUP(G1185,PathwayLookup!A:B,2,0)</f>
        <v>Short term domiciliary care (pathway 1)</v>
      </c>
      <c r="E1185" t="s">
        <v>197</v>
      </c>
      <c r="F1185" t="s">
        <v>600</v>
      </c>
      <c r="G1185" t="s">
        <v>684</v>
      </c>
      <c r="H1185">
        <v>0</v>
      </c>
      <c r="I1185">
        <v>0</v>
      </c>
      <c r="J1185">
        <v>0</v>
      </c>
      <c r="K1185">
        <v>0</v>
      </c>
      <c r="L1185">
        <v>0</v>
      </c>
      <c r="M1185">
        <v>0</v>
      </c>
      <c r="N1185">
        <v>0</v>
      </c>
      <c r="O1185">
        <v>0</v>
      </c>
      <c r="P1185">
        <v>0</v>
      </c>
      <c r="Q1185">
        <v>0</v>
      </c>
      <c r="R1185">
        <v>0</v>
      </c>
      <c r="S1185">
        <v>0</v>
      </c>
      <c r="T1185">
        <f t="shared" si="56"/>
        <v>0</v>
      </c>
      <c r="U1185">
        <v>1</v>
      </c>
    </row>
    <row r="1186" spans="1:21" x14ac:dyDescent="0.3">
      <c r="A1186" t="str">
        <f t="shared" si="54"/>
        <v/>
      </c>
      <c r="B1186" t="str">
        <f>IF(C1186="","",COUNTIF($C$2:C1186,C1186))</f>
        <v/>
      </c>
      <c r="C1186" t="str">
        <f t="shared" si="55"/>
        <v/>
      </c>
      <c r="D1186" t="str">
        <f>VLOOKUP(G1186,PathwayLookup!A:B,2,0)</f>
        <v>Short term domiciliary care (pathway 1)</v>
      </c>
      <c r="E1186" t="s">
        <v>197</v>
      </c>
      <c r="F1186" t="s">
        <v>651</v>
      </c>
      <c r="G1186" t="s">
        <v>684</v>
      </c>
      <c r="H1186">
        <v>0</v>
      </c>
      <c r="I1186">
        <v>0</v>
      </c>
      <c r="J1186">
        <v>0</v>
      </c>
      <c r="K1186">
        <v>0</v>
      </c>
      <c r="L1186">
        <v>0</v>
      </c>
      <c r="M1186">
        <v>0</v>
      </c>
      <c r="N1186">
        <v>0</v>
      </c>
      <c r="O1186">
        <v>0</v>
      </c>
      <c r="P1186">
        <v>0</v>
      </c>
      <c r="Q1186">
        <v>0</v>
      </c>
      <c r="R1186">
        <v>0</v>
      </c>
      <c r="S1186">
        <v>0</v>
      </c>
      <c r="T1186">
        <f t="shared" si="56"/>
        <v>0</v>
      </c>
      <c r="U1186">
        <v>1</v>
      </c>
    </row>
    <row r="1187" spans="1:21" x14ac:dyDescent="0.3">
      <c r="A1187" t="str">
        <f t="shared" si="54"/>
        <v/>
      </c>
      <c r="B1187" t="str">
        <f>IF(C1187="","",COUNTIF($C$2:C1187,C1187))</f>
        <v/>
      </c>
      <c r="C1187" t="str">
        <f t="shared" si="55"/>
        <v/>
      </c>
      <c r="D1187" t="str">
        <f>VLOOKUP(G1187,PathwayLookup!A:B,2,0)</f>
        <v>Reablement &amp; Rehabilitation in a bedded setting (pathway 2)</v>
      </c>
      <c r="E1187" t="s">
        <v>197</v>
      </c>
      <c r="F1187" t="s">
        <v>448</v>
      </c>
      <c r="G1187" t="s">
        <v>722</v>
      </c>
      <c r="H1187">
        <v>0</v>
      </c>
      <c r="I1187">
        <v>0</v>
      </c>
      <c r="J1187">
        <v>0</v>
      </c>
      <c r="K1187">
        <v>0</v>
      </c>
      <c r="L1187">
        <v>0</v>
      </c>
      <c r="M1187">
        <v>0</v>
      </c>
      <c r="N1187">
        <v>0</v>
      </c>
      <c r="O1187">
        <v>0</v>
      </c>
      <c r="P1187">
        <v>0</v>
      </c>
      <c r="Q1187">
        <v>0</v>
      </c>
      <c r="R1187">
        <v>0</v>
      </c>
      <c r="S1187">
        <v>0</v>
      </c>
      <c r="T1187">
        <f t="shared" si="56"/>
        <v>0</v>
      </c>
      <c r="U1187">
        <v>1</v>
      </c>
    </row>
    <row r="1188" spans="1:21" x14ac:dyDescent="0.3">
      <c r="A1188" t="str">
        <f t="shared" si="54"/>
        <v/>
      </c>
      <c r="B1188" t="str">
        <f>IF(C1188="","",COUNTIF($C$2:C1188,C1188))</f>
        <v/>
      </c>
      <c r="C1188" t="str">
        <f t="shared" si="55"/>
        <v/>
      </c>
      <c r="D1188" t="str">
        <f>VLOOKUP(G1188,PathwayLookup!A:B,2,0)</f>
        <v>Reablement &amp; Rehabilitation in a bedded setting (pathway 2)</v>
      </c>
      <c r="E1188" t="s">
        <v>197</v>
      </c>
      <c r="F1188" t="s">
        <v>510</v>
      </c>
      <c r="G1188" t="s">
        <v>722</v>
      </c>
      <c r="H1188">
        <v>0</v>
      </c>
      <c r="I1188">
        <v>0</v>
      </c>
      <c r="J1188">
        <v>0</v>
      </c>
      <c r="K1188">
        <v>0</v>
      </c>
      <c r="L1188">
        <v>0</v>
      </c>
      <c r="M1188">
        <v>0</v>
      </c>
      <c r="N1188">
        <v>0</v>
      </c>
      <c r="O1188">
        <v>0</v>
      </c>
      <c r="P1188">
        <v>0</v>
      </c>
      <c r="Q1188">
        <v>0</v>
      </c>
      <c r="R1188">
        <v>0</v>
      </c>
      <c r="S1188">
        <v>0</v>
      </c>
      <c r="T1188">
        <f t="shared" si="56"/>
        <v>0</v>
      </c>
      <c r="U1188">
        <v>1</v>
      </c>
    </row>
    <row r="1189" spans="1:21" x14ac:dyDescent="0.3">
      <c r="A1189" t="str">
        <f t="shared" si="54"/>
        <v/>
      </c>
      <c r="B1189" t="str">
        <f>IF(C1189="","",COUNTIF($C$2:C1189,C1189))</f>
        <v/>
      </c>
      <c r="C1189" t="str">
        <f t="shared" si="55"/>
        <v/>
      </c>
      <c r="D1189" t="str">
        <f>VLOOKUP(G1189,PathwayLookup!A:B,2,0)</f>
        <v>Reablement &amp; Rehabilitation in a bedded setting (pathway 2)</v>
      </c>
      <c r="E1189" t="s">
        <v>197</v>
      </c>
      <c r="F1189" t="s">
        <v>526</v>
      </c>
      <c r="G1189" t="s">
        <v>722</v>
      </c>
      <c r="H1189">
        <v>0</v>
      </c>
      <c r="I1189">
        <v>0</v>
      </c>
      <c r="J1189">
        <v>0</v>
      </c>
      <c r="K1189">
        <v>0</v>
      </c>
      <c r="L1189">
        <v>0</v>
      </c>
      <c r="M1189">
        <v>0</v>
      </c>
      <c r="N1189">
        <v>0</v>
      </c>
      <c r="O1189">
        <v>0</v>
      </c>
      <c r="P1189">
        <v>0</v>
      </c>
      <c r="Q1189">
        <v>0</v>
      </c>
      <c r="R1189">
        <v>0</v>
      </c>
      <c r="S1189">
        <v>0</v>
      </c>
      <c r="T1189">
        <f t="shared" si="56"/>
        <v>0</v>
      </c>
      <c r="U1189">
        <v>1</v>
      </c>
    </row>
    <row r="1190" spans="1:21" x14ac:dyDescent="0.3">
      <c r="A1190" t="str">
        <f t="shared" si="54"/>
        <v/>
      </c>
      <c r="B1190" t="str">
        <f>IF(C1190="","",COUNTIF($C$2:C1190,C1190))</f>
        <v/>
      </c>
      <c r="C1190" t="str">
        <f t="shared" si="55"/>
        <v/>
      </c>
      <c r="D1190" t="str">
        <f>VLOOKUP(G1190,PathwayLookup!A:B,2,0)</f>
        <v>Reablement &amp; Rehabilitation in a bedded setting (pathway 2)</v>
      </c>
      <c r="E1190" t="s">
        <v>197</v>
      </c>
      <c r="F1190" t="s">
        <v>592</v>
      </c>
      <c r="G1190" t="s">
        <v>722</v>
      </c>
      <c r="H1190">
        <v>0</v>
      </c>
      <c r="I1190">
        <v>0</v>
      </c>
      <c r="J1190">
        <v>0</v>
      </c>
      <c r="K1190">
        <v>0</v>
      </c>
      <c r="L1190">
        <v>0</v>
      </c>
      <c r="M1190">
        <v>0</v>
      </c>
      <c r="N1190">
        <v>0</v>
      </c>
      <c r="O1190">
        <v>0</v>
      </c>
      <c r="P1190">
        <v>0</v>
      </c>
      <c r="Q1190">
        <v>0</v>
      </c>
      <c r="R1190">
        <v>0</v>
      </c>
      <c r="S1190">
        <v>0</v>
      </c>
      <c r="T1190">
        <f t="shared" si="56"/>
        <v>0</v>
      </c>
      <c r="U1190">
        <v>1</v>
      </c>
    </row>
    <row r="1191" spans="1:21" x14ac:dyDescent="0.3">
      <c r="A1191" t="str">
        <f t="shared" si="54"/>
        <v/>
      </c>
      <c r="B1191" t="str">
        <f>IF(C1191="","",COUNTIF($C$2:C1191,C1191))</f>
        <v/>
      </c>
      <c r="C1191" t="str">
        <f t="shared" si="55"/>
        <v/>
      </c>
      <c r="D1191" t="str">
        <f>VLOOKUP(G1191,PathwayLookup!A:B,2,0)</f>
        <v>Reablement &amp; Rehabilitation in a bedded setting (pathway 2)</v>
      </c>
      <c r="E1191" t="s">
        <v>197</v>
      </c>
      <c r="F1191" t="s">
        <v>600</v>
      </c>
      <c r="G1191" t="s">
        <v>722</v>
      </c>
      <c r="H1191">
        <v>0</v>
      </c>
      <c r="I1191">
        <v>0</v>
      </c>
      <c r="J1191">
        <v>0</v>
      </c>
      <c r="K1191">
        <v>0</v>
      </c>
      <c r="L1191">
        <v>0</v>
      </c>
      <c r="M1191">
        <v>0</v>
      </c>
      <c r="N1191">
        <v>0</v>
      </c>
      <c r="O1191">
        <v>0</v>
      </c>
      <c r="P1191">
        <v>0</v>
      </c>
      <c r="Q1191">
        <v>0</v>
      </c>
      <c r="R1191">
        <v>0</v>
      </c>
      <c r="S1191">
        <v>0</v>
      </c>
      <c r="T1191">
        <f t="shared" si="56"/>
        <v>0</v>
      </c>
      <c r="U1191">
        <v>1</v>
      </c>
    </row>
    <row r="1192" spans="1:21" x14ac:dyDescent="0.3">
      <c r="A1192" t="str">
        <f t="shared" si="54"/>
        <v/>
      </c>
      <c r="B1192" t="str">
        <f>IF(C1192="","",COUNTIF($C$2:C1192,C1192))</f>
        <v/>
      </c>
      <c r="C1192" t="str">
        <f t="shared" si="55"/>
        <v/>
      </c>
      <c r="D1192" t="str">
        <f>VLOOKUP(G1192,PathwayLookup!A:B,2,0)</f>
        <v>Reablement &amp; Rehabilitation in a bedded setting (pathway 2)</v>
      </c>
      <c r="E1192" t="s">
        <v>197</v>
      </c>
      <c r="F1192" t="s">
        <v>651</v>
      </c>
      <c r="G1192" t="s">
        <v>722</v>
      </c>
      <c r="H1192">
        <v>0</v>
      </c>
      <c r="I1192">
        <v>0</v>
      </c>
      <c r="J1192">
        <v>0</v>
      </c>
      <c r="K1192">
        <v>0</v>
      </c>
      <c r="L1192">
        <v>0</v>
      </c>
      <c r="M1192">
        <v>0</v>
      </c>
      <c r="N1192">
        <v>0</v>
      </c>
      <c r="O1192">
        <v>0</v>
      </c>
      <c r="P1192">
        <v>0</v>
      </c>
      <c r="Q1192">
        <v>0</v>
      </c>
      <c r="R1192">
        <v>0</v>
      </c>
      <c r="S1192">
        <v>0</v>
      </c>
      <c r="T1192">
        <f t="shared" si="56"/>
        <v>0</v>
      </c>
      <c r="U1192">
        <v>1</v>
      </c>
    </row>
    <row r="1193" spans="1:21" x14ac:dyDescent="0.3">
      <c r="A1193" t="str">
        <f t="shared" si="54"/>
        <v>LambethReablement &amp; Rehabilitation in a bedded setting (pathway 2)1</v>
      </c>
      <c r="B1193">
        <f>IF(C1193="","",COUNTIF($C$2:C1193,C1193))</f>
        <v>1</v>
      </c>
      <c r="C1193" t="str">
        <f t="shared" si="55"/>
        <v>LambethRehabilitation in a bedded setting (pathway 2)</v>
      </c>
      <c r="D1193" t="str">
        <f>VLOOKUP(G1193,PathwayLookup!A:B,2,0)</f>
        <v>Reablement &amp; Rehabilitation in a bedded setting (pathway 2)</v>
      </c>
      <c r="E1193" t="s">
        <v>197</v>
      </c>
      <c r="F1193" t="s">
        <v>510</v>
      </c>
      <c r="G1193" t="s">
        <v>724</v>
      </c>
      <c r="H1193">
        <v>3.7993922635361073</v>
      </c>
      <c r="I1193">
        <v>4.4795692316594904</v>
      </c>
      <c r="J1193">
        <v>4.2901798875185095</v>
      </c>
      <c r="K1193">
        <v>4.2820374661067744</v>
      </c>
      <c r="L1193">
        <v>4.37470714956791</v>
      </c>
      <c r="M1193">
        <v>3.8288788702965486</v>
      </c>
      <c r="N1193">
        <v>4.2494134647152775</v>
      </c>
      <c r="O1193">
        <v>4.3985298941759128</v>
      </c>
      <c r="P1193">
        <v>3.9652659506198527</v>
      </c>
      <c r="Q1193">
        <v>4.1914700251987664</v>
      </c>
      <c r="R1193">
        <v>3.9205156042968863</v>
      </c>
      <c r="S1193">
        <v>4.1040663345717974</v>
      </c>
      <c r="T1193">
        <f t="shared" si="56"/>
        <v>49.884026142263842</v>
      </c>
      <c r="U1193">
        <v>1</v>
      </c>
    </row>
    <row r="1194" spans="1:21" x14ac:dyDescent="0.3">
      <c r="A1194" t="str">
        <f t="shared" si="54"/>
        <v>LambethReablement &amp; Rehabilitation in a bedded setting (pathway 2)2</v>
      </c>
      <c r="B1194">
        <f>IF(C1194="","",COUNTIF($C$2:C1194,C1194))</f>
        <v>2</v>
      </c>
      <c r="C1194" t="str">
        <f t="shared" si="55"/>
        <v>LambethRehabilitation in a bedded setting (pathway 2)</v>
      </c>
      <c r="D1194" t="str">
        <f>VLOOKUP(G1194,PathwayLookup!A:B,2,0)</f>
        <v>Reablement &amp; Rehabilitation in a bedded setting (pathway 2)</v>
      </c>
      <c r="E1194" t="s">
        <v>197</v>
      </c>
      <c r="F1194" t="s">
        <v>526</v>
      </c>
      <c r="G1194" t="s">
        <v>724</v>
      </c>
      <c r="H1194">
        <v>3.1661602196134222</v>
      </c>
      <c r="I1194">
        <v>3.7329743597162426</v>
      </c>
      <c r="J1194">
        <v>3.5751499062654246</v>
      </c>
      <c r="K1194">
        <v>3.5683645550889787</v>
      </c>
      <c r="L1194">
        <v>3.6455892913065919</v>
      </c>
      <c r="M1194">
        <v>3.1907323919137904</v>
      </c>
      <c r="N1194">
        <v>3.5411778872627315</v>
      </c>
      <c r="O1194">
        <v>3.665441578479927</v>
      </c>
      <c r="P1194">
        <v>3.3043882921832104</v>
      </c>
      <c r="Q1194">
        <v>3.4928916876656388</v>
      </c>
      <c r="R1194">
        <v>3.2670963369140722</v>
      </c>
      <c r="S1194">
        <v>3.4200552788098308</v>
      </c>
      <c r="T1194">
        <f t="shared" si="56"/>
        <v>41.570021785219865</v>
      </c>
      <c r="U1194">
        <v>1</v>
      </c>
    </row>
    <row r="1195" spans="1:21" x14ac:dyDescent="0.3">
      <c r="A1195" t="str">
        <f t="shared" si="54"/>
        <v/>
      </c>
      <c r="B1195" t="str">
        <f>IF(C1195="","",COUNTIF($C$2:C1195,C1195))</f>
        <v/>
      </c>
      <c r="C1195" t="str">
        <f t="shared" si="55"/>
        <v/>
      </c>
      <c r="D1195" t="str">
        <f>VLOOKUP(G1195,PathwayLookup!A:B,2,0)</f>
        <v>Reablement &amp; Rehabilitation in a bedded setting (pathway 2)</v>
      </c>
      <c r="E1195" t="s">
        <v>197</v>
      </c>
      <c r="F1195" t="s">
        <v>592</v>
      </c>
      <c r="G1195" t="s">
        <v>724</v>
      </c>
      <c r="H1195">
        <v>0</v>
      </c>
      <c r="I1195">
        <v>0</v>
      </c>
      <c r="J1195">
        <v>0</v>
      </c>
      <c r="K1195">
        <v>0</v>
      </c>
      <c r="L1195">
        <v>0</v>
      </c>
      <c r="M1195">
        <v>0</v>
      </c>
      <c r="N1195">
        <v>0</v>
      </c>
      <c r="O1195">
        <v>0</v>
      </c>
      <c r="P1195">
        <v>0</v>
      </c>
      <c r="Q1195">
        <v>0</v>
      </c>
      <c r="R1195">
        <v>0</v>
      </c>
      <c r="S1195">
        <v>0</v>
      </c>
      <c r="T1195">
        <f t="shared" si="56"/>
        <v>0</v>
      </c>
      <c r="U1195">
        <v>1</v>
      </c>
    </row>
    <row r="1196" spans="1:21" x14ac:dyDescent="0.3">
      <c r="A1196" t="str">
        <f t="shared" si="54"/>
        <v>LambethReablement &amp; Rehabilitation in a bedded setting (pathway 2)3</v>
      </c>
      <c r="B1196">
        <f>IF(C1196="","",COUNTIF($C$2:C1196,C1196))</f>
        <v>3</v>
      </c>
      <c r="C1196" t="str">
        <f t="shared" si="55"/>
        <v>LambethRehabilitation in a bedded setting (pathway 2)</v>
      </c>
      <c r="D1196" t="str">
        <f>VLOOKUP(G1196,PathwayLookup!A:B,2,0)</f>
        <v>Reablement &amp; Rehabilitation in a bedded setting (pathway 2)</v>
      </c>
      <c r="E1196" t="s">
        <v>197</v>
      </c>
      <c r="F1196" t="s">
        <v>600</v>
      </c>
      <c r="G1196" t="s">
        <v>724</v>
      </c>
      <c r="H1196">
        <v>1.1760023672849858</v>
      </c>
      <c r="I1196">
        <v>1.3865333336088901</v>
      </c>
      <c r="J1196">
        <v>1.3279128223271579</v>
      </c>
      <c r="K1196">
        <v>1.3253925490330494</v>
      </c>
      <c r="L1196">
        <v>1.3540760224853057</v>
      </c>
      <c r="M1196">
        <v>1.1851291741394081</v>
      </c>
      <c r="N1196">
        <v>1.3152946438404431</v>
      </c>
      <c r="O1196">
        <v>1.3614497291496874</v>
      </c>
      <c r="P1196">
        <v>1.2273442228109068</v>
      </c>
      <c r="Q1196">
        <v>1.2973597697043804</v>
      </c>
      <c r="R1196">
        <v>1.2134929251395126</v>
      </c>
      <c r="S1196">
        <v>1.2703062464150805</v>
      </c>
      <c r="T1196">
        <f t="shared" si="56"/>
        <v>15.440293805938806</v>
      </c>
      <c r="U1196">
        <v>1</v>
      </c>
    </row>
    <row r="1197" spans="1:21" x14ac:dyDescent="0.3">
      <c r="A1197" t="str">
        <f t="shared" si="54"/>
        <v>LambethReablement &amp; Rehabilitation in a bedded setting (pathway 2)4</v>
      </c>
      <c r="B1197">
        <f>IF(C1197="","",COUNTIF($C$2:C1197,C1197))</f>
        <v>4</v>
      </c>
      <c r="C1197" t="str">
        <f t="shared" si="55"/>
        <v>LambethRehabilitation in a bedded setting (pathway 2)</v>
      </c>
      <c r="D1197" t="str">
        <f>VLOOKUP(G1197,PathwayLookup!A:B,2,0)</f>
        <v>Reablement &amp; Rehabilitation in a bedded setting (pathway 2)</v>
      </c>
      <c r="E1197" t="s">
        <v>197</v>
      </c>
      <c r="F1197" t="s">
        <v>651</v>
      </c>
      <c r="G1197" t="s">
        <v>724</v>
      </c>
      <c r="H1197">
        <v>0.90461720560383518</v>
      </c>
      <c r="I1197">
        <v>1.0665641027760693</v>
      </c>
      <c r="J1197">
        <v>1.0214714017901214</v>
      </c>
      <c r="K1197">
        <v>1.0195327300254229</v>
      </c>
      <c r="L1197">
        <v>1.0415969403733121</v>
      </c>
      <c r="M1197">
        <v>0.91163782626108303</v>
      </c>
      <c r="N1197">
        <v>1.0117651106464949</v>
      </c>
      <c r="O1197">
        <v>1.0472690224228365</v>
      </c>
      <c r="P1197">
        <v>0.94411094062377454</v>
      </c>
      <c r="Q1197">
        <v>0.99796905361875399</v>
      </c>
      <c r="R1197">
        <v>0.93345609626116355</v>
      </c>
      <c r="S1197">
        <v>0.9771586510885234</v>
      </c>
      <c r="T1197">
        <f t="shared" si="56"/>
        <v>11.877149081491391</v>
      </c>
      <c r="U1197">
        <v>1</v>
      </c>
    </row>
    <row r="1198" spans="1:21" x14ac:dyDescent="0.3">
      <c r="A1198" t="str">
        <f t="shared" si="54"/>
        <v>LambethShort-term residential/nursing care for someone likely to require a longer-term care home placement (pathway 3)1</v>
      </c>
      <c r="B1198">
        <f>IF(C1198="","",COUNTIF($C$2:C1198,C1198))</f>
        <v>1</v>
      </c>
      <c r="C1198" t="str">
        <f t="shared" si="55"/>
        <v>LambethShort-term residential/nursing care for someone likely to require a longer-term care home placement (pathway 3)</v>
      </c>
      <c r="D1198" t="str">
        <f>VLOOKUP(G1198,PathwayLookup!A:B,2,0)</f>
        <v>Short-term residential/nursing care for someone likely to require a longer-term care home placement (pathway 3)</v>
      </c>
      <c r="E1198" t="s">
        <v>197</v>
      </c>
      <c r="F1198" t="s">
        <v>510</v>
      </c>
      <c r="G1198" t="s">
        <v>686</v>
      </c>
      <c r="H1198">
        <v>6.6112168629039836</v>
      </c>
      <c r="I1198">
        <v>7.7947738976890788</v>
      </c>
      <c r="J1198">
        <v>7.4652227645628946</v>
      </c>
      <c r="K1198">
        <v>7.451054363406012</v>
      </c>
      <c r="L1198">
        <v>7.6123063035802625</v>
      </c>
      <c r="M1198">
        <v>6.6625256876640302</v>
      </c>
      <c r="N1198">
        <v>7.3942862454612417</v>
      </c>
      <c r="O1198">
        <v>7.6537595992519503</v>
      </c>
      <c r="P1198">
        <v>6.8998490548692031</v>
      </c>
      <c r="Q1198">
        <v>7.2934604770606706</v>
      </c>
      <c r="R1198">
        <v>6.8219802211953038</v>
      </c>
      <c r="S1198">
        <v>7.1413717446339575</v>
      </c>
      <c r="T1198">
        <f t="shared" si="56"/>
        <v>86.801807222278597</v>
      </c>
      <c r="U1198">
        <v>1</v>
      </c>
    </row>
    <row r="1199" spans="1:21" x14ac:dyDescent="0.3">
      <c r="A1199" t="str">
        <f t="shared" si="54"/>
        <v>LambethShort-term residential/nursing care for someone likely to require a longer-term care home placement (pathway 3)2</v>
      </c>
      <c r="B1199">
        <f>IF(C1199="","",COUNTIF($C$2:C1199,C1199))</f>
        <v>2</v>
      </c>
      <c r="C1199" t="str">
        <f t="shared" si="55"/>
        <v>LambethShort-term residential/nursing care for someone likely to require a longer-term care home placement (pathway 3)</v>
      </c>
      <c r="D1199" t="str">
        <f>VLOOKUP(G1199,PathwayLookup!A:B,2,0)</f>
        <v>Short-term residential/nursing care for someone likely to require a longer-term care home placement (pathway 3)</v>
      </c>
      <c r="E1199" t="s">
        <v>197</v>
      </c>
      <c r="F1199" t="s">
        <v>526</v>
      </c>
      <c r="G1199" t="s">
        <v>686</v>
      </c>
      <c r="H1199">
        <v>5.5093473857533199</v>
      </c>
      <c r="I1199">
        <v>6.4956449147408977</v>
      </c>
      <c r="J1199">
        <v>6.2210189704690775</v>
      </c>
      <c r="K1199">
        <v>6.2092119695050103</v>
      </c>
      <c r="L1199">
        <v>6.3435885863168853</v>
      </c>
      <c r="M1199">
        <v>5.5521047397200247</v>
      </c>
      <c r="N1199">
        <v>6.1619052045510339</v>
      </c>
      <c r="O1199">
        <v>6.3781329993766249</v>
      </c>
      <c r="P1199">
        <v>5.7498742123910027</v>
      </c>
      <c r="Q1199">
        <v>6.077883730883892</v>
      </c>
      <c r="R1199">
        <v>5.6849835176627534</v>
      </c>
      <c r="S1199">
        <v>5.9511431205282976</v>
      </c>
      <c r="T1199">
        <f t="shared" si="56"/>
        <v>72.334839351898808</v>
      </c>
      <c r="U1199">
        <v>1</v>
      </c>
    </row>
    <row r="1200" spans="1:21" x14ac:dyDescent="0.3">
      <c r="A1200" t="str">
        <f t="shared" si="54"/>
        <v/>
      </c>
      <c r="B1200" t="str">
        <f>IF(C1200="","",COUNTIF($C$2:C1200,C1200))</f>
        <v/>
      </c>
      <c r="C1200" t="str">
        <f t="shared" si="55"/>
        <v/>
      </c>
      <c r="D1200" t="str">
        <f>VLOOKUP(G1200,PathwayLookup!A:B,2,0)</f>
        <v>Short-term residential/nursing care for someone likely to require a longer-term care home placement (pathway 3)</v>
      </c>
      <c r="E1200" t="s">
        <v>197</v>
      </c>
      <c r="F1200" t="s">
        <v>592</v>
      </c>
      <c r="G1200" t="s">
        <v>686</v>
      </c>
      <c r="H1200">
        <v>0</v>
      </c>
      <c r="I1200">
        <v>0</v>
      </c>
      <c r="J1200">
        <v>0</v>
      </c>
      <c r="K1200">
        <v>0</v>
      </c>
      <c r="L1200">
        <v>0</v>
      </c>
      <c r="M1200">
        <v>0</v>
      </c>
      <c r="N1200">
        <v>0</v>
      </c>
      <c r="O1200">
        <v>0</v>
      </c>
      <c r="P1200">
        <v>0</v>
      </c>
      <c r="Q1200">
        <v>0</v>
      </c>
      <c r="R1200">
        <v>0</v>
      </c>
      <c r="S1200">
        <v>0</v>
      </c>
      <c r="T1200">
        <f t="shared" si="56"/>
        <v>0</v>
      </c>
      <c r="U1200">
        <v>1</v>
      </c>
    </row>
    <row r="1201" spans="1:21" x14ac:dyDescent="0.3">
      <c r="A1201" t="str">
        <f t="shared" si="54"/>
        <v>LambethShort-term residential/nursing care for someone likely to require a longer-term care home placement (pathway 3)3</v>
      </c>
      <c r="B1201">
        <f>IF(C1201="","",COUNTIF($C$2:C1201,C1201))</f>
        <v>3</v>
      </c>
      <c r="C1201" t="str">
        <f t="shared" si="55"/>
        <v>LambethShort-term residential/nursing care for someone likely to require a longer-term care home placement (pathway 3)</v>
      </c>
      <c r="D1201" t="str">
        <f>VLOOKUP(G1201,PathwayLookup!A:B,2,0)</f>
        <v>Short-term residential/nursing care for someone likely to require a longer-term care home placement (pathway 3)</v>
      </c>
      <c r="E1201" t="s">
        <v>197</v>
      </c>
      <c r="F1201" t="s">
        <v>600</v>
      </c>
      <c r="G1201" t="s">
        <v>686</v>
      </c>
      <c r="H1201">
        <v>2.0463290289940903</v>
      </c>
      <c r="I1201">
        <v>2.4126681111894768</v>
      </c>
      <c r="J1201">
        <v>2.3106641890313719</v>
      </c>
      <c r="K1201">
        <v>2.3062787315304325</v>
      </c>
      <c r="L1201">
        <v>2.3561900463462719</v>
      </c>
      <c r="M1201">
        <v>2.0622103318960097</v>
      </c>
      <c r="N1201">
        <v>2.2887076474046699</v>
      </c>
      <c r="O1201">
        <v>2.3690208283398895</v>
      </c>
      <c r="P1201">
        <v>2.1356675646023726</v>
      </c>
      <c r="Q1201">
        <v>2.2574996714711602</v>
      </c>
      <c r="R1201">
        <v>2.1115653065604514</v>
      </c>
      <c r="S1201">
        <v>2.2104245876247965</v>
      </c>
      <c r="T1201">
        <f t="shared" si="56"/>
        <v>26.867226044990989</v>
      </c>
      <c r="U1201">
        <v>1</v>
      </c>
    </row>
    <row r="1202" spans="1:21" x14ac:dyDescent="0.3">
      <c r="A1202" t="str">
        <f t="shared" si="54"/>
        <v>LambethShort-term residential/nursing care for someone likely to require a longer-term care home placement (pathway 3)4</v>
      </c>
      <c r="B1202">
        <f>IF(C1202="","",COUNTIF($C$2:C1202,C1202))</f>
        <v>4</v>
      </c>
      <c r="C1202" t="str">
        <f t="shared" si="55"/>
        <v>LambethShort-term residential/nursing care for someone likely to require a longer-term care home placement (pathway 3)</v>
      </c>
      <c r="D1202" t="str">
        <f>VLOOKUP(G1202,PathwayLookup!A:B,2,0)</f>
        <v>Short-term residential/nursing care for someone likely to require a longer-term care home placement (pathway 3)</v>
      </c>
      <c r="E1202" t="s">
        <v>197</v>
      </c>
      <c r="F1202" t="s">
        <v>651</v>
      </c>
      <c r="G1202" t="s">
        <v>686</v>
      </c>
      <c r="H1202">
        <v>1.5740992530723772</v>
      </c>
      <c r="I1202">
        <v>1.8558985470688285</v>
      </c>
      <c r="J1202">
        <v>1.7774339915625941</v>
      </c>
      <c r="K1202">
        <v>1.7740605627157171</v>
      </c>
      <c r="L1202">
        <v>1.8124538818048244</v>
      </c>
      <c r="M1202">
        <v>1.5863156399200071</v>
      </c>
      <c r="N1202">
        <v>1.7605443441574384</v>
      </c>
      <c r="O1202">
        <v>1.8223237141076072</v>
      </c>
      <c r="P1202">
        <v>1.6428212035402865</v>
      </c>
      <c r="Q1202">
        <v>1.7365382088239691</v>
      </c>
      <c r="R1202">
        <v>1.6242810050465013</v>
      </c>
      <c r="S1202">
        <v>1.700326605865228</v>
      </c>
      <c r="T1202">
        <f t="shared" si="56"/>
        <v>20.667096957685381</v>
      </c>
      <c r="U1202">
        <v>1</v>
      </c>
    </row>
    <row r="1203" spans="1:21" x14ac:dyDescent="0.3">
      <c r="A1203" t="str">
        <f t="shared" si="54"/>
        <v>LancashireSocial support (including VCS) (pathway 0)1</v>
      </c>
      <c r="B1203">
        <f>IF(C1203="","",COUNTIF($C$2:C1203,C1203))</f>
        <v>1</v>
      </c>
      <c r="C1203" t="str">
        <f t="shared" si="55"/>
        <v>LancashireSocial support (including VCS) (pathway 0)</v>
      </c>
      <c r="D1203" t="str">
        <f>VLOOKUP(G1203,PathwayLookup!A:B,2,0)</f>
        <v>Social support (including VCS) (pathway 0)</v>
      </c>
      <c r="E1203" t="s">
        <v>199</v>
      </c>
      <c r="F1203" t="s">
        <v>463</v>
      </c>
      <c r="G1203" t="s">
        <v>682</v>
      </c>
      <c r="H1203">
        <v>683</v>
      </c>
      <c r="I1203">
        <v>709</v>
      </c>
      <c r="J1203">
        <v>696</v>
      </c>
      <c r="K1203">
        <v>713</v>
      </c>
      <c r="L1203">
        <v>716</v>
      </c>
      <c r="M1203">
        <v>692</v>
      </c>
      <c r="N1203">
        <v>716</v>
      </c>
      <c r="O1203">
        <v>696</v>
      </c>
      <c r="P1203">
        <v>706</v>
      </c>
      <c r="Q1203">
        <v>716</v>
      </c>
      <c r="R1203">
        <v>672</v>
      </c>
      <c r="S1203">
        <v>709</v>
      </c>
      <c r="T1203">
        <f t="shared" si="56"/>
        <v>8424</v>
      </c>
      <c r="U1203">
        <v>1</v>
      </c>
    </row>
    <row r="1204" spans="1:21" x14ac:dyDescent="0.3">
      <c r="A1204" t="str">
        <f t="shared" si="54"/>
        <v>LancashireSocial support (including VCS) (pathway 0)2</v>
      </c>
      <c r="B1204">
        <f>IF(C1204="","",COUNTIF($C$2:C1204,C1204))</f>
        <v>2</v>
      </c>
      <c r="C1204" t="str">
        <f t="shared" si="55"/>
        <v>LancashireSocial support (including VCS) (pathway 0)</v>
      </c>
      <c r="D1204" t="str">
        <f>VLOOKUP(G1204,PathwayLookup!A:B,2,0)</f>
        <v>Social support (including VCS) (pathway 0)</v>
      </c>
      <c r="E1204" t="s">
        <v>199</v>
      </c>
      <c r="F1204" t="s">
        <v>496</v>
      </c>
      <c r="G1204" t="s">
        <v>682</v>
      </c>
      <c r="H1204">
        <v>3041</v>
      </c>
      <c r="I1204">
        <v>3429</v>
      </c>
      <c r="J1204">
        <v>3287</v>
      </c>
      <c r="K1204">
        <v>3140</v>
      </c>
      <c r="L1204">
        <v>2969</v>
      </c>
      <c r="M1204">
        <v>3034</v>
      </c>
      <c r="N1204">
        <v>3228</v>
      </c>
      <c r="O1204">
        <v>3353</v>
      </c>
      <c r="P1204">
        <v>3341</v>
      </c>
      <c r="Q1204">
        <v>3138</v>
      </c>
      <c r="R1204">
        <v>2924</v>
      </c>
      <c r="S1204">
        <v>3238</v>
      </c>
      <c r="T1204">
        <f t="shared" si="56"/>
        <v>38122</v>
      </c>
      <c r="U1204">
        <v>1</v>
      </c>
    </row>
    <row r="1205" spans="1:21" x14ac:dyDescent="0.3">
      <c r="A1205" t="str">
        <f t="shared" si="54"/>
        <v>LancashireSocial support (including VCS) (pathway 0)3</v>
      </c>
      <c r="B1205">
        <f>IF(C1205="","",COUNTIF($C$2:C1205,C1205))</f>
        <v>3</v>
      </c>
      <c r="C1205" t="str">
        <f t="shared" si="55"/>
        <v>LancashireSocial support (including VCS) (pathway 0)</v>
      </c>
      <c r="D1205" t="str">
        <f>VLOOKUP(G1205,PathwayLookup!A:B,2,0)</f>
        <v>Social support (including VCS) (pathway 0)</v>
      </c>
      <c r="E1205" t="s">
        <v>199</v>
      </c>
      <c r="F1205" t="s">
        <v>529</v>
      </c>
      <c r="G1205" t="s">
        <v>682</v>
      </c>
      <c r="H1205">
        <v>2538</v>
      </c>
      <c r="I1205">
        <v>2676</v>
      </c>
      <c r="J1205">
        <v>2534</v>
      </c>
      <c r="K1205">
        <v>2582</v>
      </c>
      <c r="L1205">
        <v>2488</v>
      </c>
      <c r="M1205">
        <v>2528</v>
      </c>
      <c r="N1205">
        <v>2746</v>
      </c>
      <c r="O1205">
        <v>2790</v>
      </c>
      <c r="P1205">
        <v>2690</v>
      </c>
      <c r="Q1205">
        <v>2718</v>
      </c>
      <c r="R1205">
        <v>2495</v>
      </c>
      <c r="S1205">
        <v>2673</v>
      </c>
      <c r="T1205">
        <f t="shared" si="56"/>
        <v>31458</v>
      </c>
      <c r="U1205">
        <v>1</v>
      </c>
    </row>
    <row r="1206" spans="1:21" x14ac:dyDescent="0.3">
      <c r="A1206" t="str">
        <f t="shared" si="54"/>
        <v>LancashireSocial support (including VCS) (pathway 0)4</v>
      </c>
      <c r="B1206">
        <f>IF(C1206="","",COUNTIF($C$2:C1206,C1206))</f>
        <v>4</v>
      </c>
      <c r="C1206" t="str">
        <f t="shared" si="55"/>
        <v>LancashireSocial support (including VCS) (pathway 0)</v>
      </c>
      <c r="D1206" t="str">
        <f>VLOOKUP(G1206,PathwayLookup!A:B,2,0)</f>
        <v>Social support (including VCS) (pathway 0)</v>
      </c>
      <c r="E1206" t="s">
        <v>199</v>
      </c>
      <c r="F1206" t="s">
        <v>599</v>
      </c>
      <c r="G1206" t="s">
        <v>682</v>
      </c>
      <c r="H1206">
        <v>239</v>
      </c>
      <c r="I1206">
        <v>263</v>
      </c>
      <c r="J1206">
        <v>249</v>
      </c>
      <c r="K1206">
        <v>247</v>
      </c>
      <c r="L1206">
        <v>238</v>
      </c>
      <c r="M1206">
        <v>240</v>
      </c>
      <c r="N1206">
        <v>255</v>
      </c>
      <c r="O1206">
        <v>261</v>
      </c>
      <c r="P1206">
        <v>256</v>
      </c>
      <c r="Q1206">
        <v>252</v>
      </c>
      <c r="R1206">
        <v>232</v>
      </c>
      <c r="S1206">
        <v>254</v>
      </c>
      <c r="T1206">
        <f t="shared" si="56"/>
        <v>2986</v>
      </c>
      <c r="U1206">
        <v>1</v>
      </c>
    </row>
    <row r="1207" spans="1:21" x14ac:dyDescent="0.3">
      <c r="A1207" t="str">
        <f t="shared" si="54"/>
        <v>LancashireSocial support (including VCS) (pathway 0)5</v>
      </c>
      <c r="B1207">
        <f>IF(C1207="","",COUNTIF($C$2:C1207,C1207))</f>
        <v>5</v>
      </c>
      <c r="C1207" t="str">
        <f t="shared" si="55"/>
        <v>LancashireSocial support (including VCS) (pathway 0)</v>
      </c>
      <c r="D1207" t="str">
        <f>VLOOKUP(G1207,PathwayLookup!A:B,2,0)</f>
        <v>Social support (including VCS) (pathway 0)</v>
      </c>
      <c r="E1207" t="s">
        <v>199</v>
      </c>
      <c r="F1207" t="s">
        <v>634</v>
      </c>
      <c r="G1207" t="s">
        <v>682</v>
      </c>
      <c r="H1207">
        <v>920</v>
      </c>
      <c r="I1207">
        <v>1073</v>
      </c>
      <c r="J1207">
        <v>968</v>
      </c>
      <c r="K1207">
        <v>989</v>
      </c>
      <c r="L1207">
        <v>957</v>
      </c>
      <c r="M1207">
        <v>936</v>
      </c>
      <c r="N1207">
        <v>977</v>
      </c>
      <c r="O1207">
        <v>994</v>
      </c>
      <c r="P1207">
        <v>938</v>
      </c>
      <c r="Q1207">
        <v>996</v>
      </c>
      <c r="R1207">
        <v>866</v>
      </c>
      <c r="S1207">
        <v>999</v>
      </c>
      <c r="T1207">
        <f t="shared" si="56"/>
        <v>11613</v>
      </c>
      <c r="U1207">
        <v>1</v>
      </c>
    </row>
    <row r="1208" spans="1:21" x14ac:dyDescent="0.3">
      <c r="A1208" t="str">
        <f t="shared" si="54"/>
        <v>LancashireSocial support (including VCS) (pathway 0)6</v>
      </c>
      <c r="B1208">
        <f>IF(C1208="","",COUNTIF($C$2:C1208,C1208))</f>
        <v>6</v>
      </c>
      <c r="C1208" t="str">
        <f t="shared" si="55"/>
        <v>LancashireSocial support (including VCS) (pathway 0)</v>
      </c>
      <c r="D1208" t="str">
        <f>VLOOKUP(G1208,PathwayLookup!A:B,2,0)</f>
        <v>Social support (including VCS) (pathway 0)</v>
      </c>
      <c r="E1208" t="s">
        <v>199</v>
      </c>
      <c r="F1208" t="s">
        <v>651</v>
      </c>
      <c r="G1208" t="s">
        <v>682</v>
      </c>
      <c r="H1208">
        <v>120</v>
      </c>
      <c r="I1208">
        <v>131</v>
      </c>
      <c r="J1208">
        <v>125</v>
      </c>
      <c r="K1208">
        <v>124</v>
      </c>
      <c r="L1208">
        <v>119</v>
      </c>
      <c r="M1208">
        <v>120</v>
      </c>
      <c r="N1208">
        <v>128</v>
      </c>
      <c r="O1208">
        <v>131</v>
      </c>
      <c r="P1208">
        <v>128</v>
      </c>
      <c r="Q1208">
        <v>126</v>
      </c>
      <c r="R1208">
        <v>116</v>
      </c>
      <c r="S1208">
        <v>127</v>
      </c>
      <c r="T1208">
        <f t="shared" si="56"/>
        <v>1495</v>
      </c>
      <c r="U1208">
        <v>1</v>
      </c>
    </row>
    <row r="1209" spans="1:21" x14ac:dyDescent="0.3">
      <c r="A1209" t="str">
        <f t="shared" si="54"/>
        <v>LancashireReablement &amp; Rehabilitation at home  (pathway 1)1</v>
      </c>
      <c r="B1209">
        <f>IF(C1209="","",COUNTIF($C$2:C1209,C1209))</f>
        <v>1</v>
      </c>
      <c r="C1209" t="str">
        <f t="shared" si="55"/>
        <v>LancashireReablement at home  (pathway 1)</v>
      </c>
      <c r="D1209" t="str">
        <f>VLOOKUP(G1209,PathwayLookup!A:B,2,0)</f>
        <v>Reablement &amp; Rehabilitation at home  (pathway 1)</v>
      </c>
      <c r="E1209" t="s">
        <v>199</v>
      </c>
      <c r="F1209" t="s">
        <v>463</v>
      </c>
      <c r="G1209" t="s">
        <v>718</v>
      </c>
      <c r="H1209">
        <v>78</v>
      </c>
      <c r="I1209">
        <v>81</v>
      </c>
      <c r="J1209">
        <v>79</v>
      </c>
      <c r="K1209">
        <v>81</v>
      </c>
      <c r="L1209">
        <v>82</v>
      </c>
      <c r="M1209">
        <v>79</v>
      </c>
      <c r="N1209">
        <v>82</v>
      </c>
      <c r="O1209">
        <v>79</v>
      </c>
      <c r="P1209">
        <v>81</v>
      </c>
      <c r="Q1209">
        <v>82</v>
      </c>
      <c r="R1209">
        <v>77</v>
      </c>
      <c r="S1209">
        <v>81</v>
      </c>
      <c r="T1209">
        <f t="shared" si="56"/>
        <v>962</v>
      </c>
      <c r="U1209">
        <v>1</v>
      </c>
    </row>
    <row r="1210" spans="1:21" x14ac:dyDescent="0.3">
      <c r="A1210" t="str">
        <f t="shared" si="54"/>
        <v>LancashireReablement &amp; Rehabilitation at home  (pathway 1)2</v>
      </c>
      <c r="B1210">
        <f>IF(C1210="","",COUNTIF($C$2:C1210,C1210))</f>
        <v>2</v>
      </c>
      <c r="C1210" t="str">
        <f t="shared" si="55"/>
        <v>LancashireReablement at home  (pathway 1)</v>
      </c>
      <c r="D1210" t="str">
        <f>VLOOKUP(G1210,PathwayLookup!A:B,2,0)</f>
        <v>Reablement &amp; Rehabilitation at home  (pathway 1)</v>
      </c>
      <c r="E1210" t="s">
        <v>199</v>
      </c>
      <c r="F1210" t="s">
        <v>496</v>
      </c>
      <c r="G1210" t="s">
        <v>718</v>
      </c>
      <c r="H1210">
        <v>84</v>
      </c>
      <c r="I1210">
        <v>70</v>
      </c>
      <c r="J1210">
        <v>103</v>
      </c>
      <c r="K1210">
        <v>97</v>
      </c>
      <c r="L1210">
        <v>106</v>
      </c>
      <c r="M1210">
        <v>101</v>
      </c>
      <c r="N1210">
        <v>185</v>
      </c>
      <c r="O1210">
        <v>175</v>
      </c>
      <c r="P1210">
        <v>163</v>
      </c>
      <c r="Q1210">
        <v>151</v>
      </c>
      <c r="R1210">
        <v>113</v>
      </c>
      <c r="S1210">
        <v>125</v>
      </c>
      <c r="T1210">
        <f t="shared" si="56"/>
        <v>1473</v>
      </c>
      <c r="U1210">
        <v>1</v>
      </c>
    </row>
    <row r="1211" spans="1:21" x14ac:dyDescent="0.3">
      <c r="A1211" t="str">
        <f t="shared" si="54"/>
        <v>LancashireReablement &amp; Rehabilitation at home  (pathway 1)3</v>
      </c>
      <c r="B1211">
        <f>IF(C1211="","",COUNTIF($C$2:C1211,C1211))</f>
        <v>3</v>
      </c>
      <c r="C1211" t="str">
        <f t="shared" si="55"/>
        <v>LancashireReablement at home  (pathway 1)</v>
      </c>
      <c r="D1211" t="str">
        <f>VLOOKUP(G1211,PathwayLookup!A:B,2,0)</f>
        <v>Reablement &amp; Rehabilitation at home  (pathway 1)</v>
      </c>
      <c r="E1211" t="s">
        <v>199</v>
      </c>
      <c r="F1211" t="s">
        <v>529</v>
      </c>
      <c r="G1211" t="s">
        <v>718</v>
      </c>
      <c r="H1211">
        <v>200</v>
      </c>
      <c r="I1211">
        <v>211</v>
      </c>
      <c r="J1211">
        <v>200</v>
      </c>
      <c r="K1211">
        <v>204</v>
      </c>
      <c r="L1211">
        <v>197</v>
      </c>
      <c r="M1211">
        <v>199</v>
      </c>
      <c r="N1211">
        <v>217</v>
      </c>
      <c r="O1211">
        <v>220</v>
      </c>
      <c r="P1211">
        <v>212</v>
      </c>
      <c r="Q1211">
        <v>215</v>
      </c>
      <c r="R1211">
        <v>197</v>
      </c>
      <c r="S1211">
        <v>211</v>
      </c>
      <c r="T1211">
        <f t="shared" si="56"/>
        <v>2483</v>
      </c>
      <c r="U1211">
        <v>1</v>
      </c>
    </row>
    <row r="1212" spans="1:21" x14ac:dyDescent="0.3">
      <c r="A1212" t="str">
        <f t="shared" si="54"/>
        <v>LancashireReablement &amp; Rehabilitation at home  (pathway 1)4</v>
      </c>
      <c r="B1212">
        <f>IF(C1212="","",COUNTIF($C$2:C1212,C1212))</f>
        <v>4</v>
      </c>
      <c r="C1212" t="str">
        <f t="shared" si="55"/>
        <v>LancashireReablement at home  (pathway 1)</v>
      </c>
      <c r="D1212" t="str">
        <f>VLOOKUP(G1212,PathwayLookup!A:B,2,0)</f>
        <v>Reablement &amp; Rehabilitation at home  (pathway 1)</v>
      </c>
      <c r="E1212" t="s">
        <v>199</v>
      </c>
      <c r="F1212" t="s">
        <v>599</v>
      </c>
      <c r="G1212" t="s">
        <v>718</v>
      </c>
      <c r="H1212">
        <v>28</v>
      </c>
      <c r="I1212">
        <v>38</v>
      </c>
      <c r="J1212">
        <v>28</v>
      </c>
      <c r="K1212">
        <v>36</v>
      </c>
      <c r="L1212">
        <v>35</v>
      </c>
      <c r="M1212">
        <v>35</v>
      </c>
      <c r="N1212">
        <v>30</v>
      </c>
      <c r="O1212">
        <v>32</v>
      </c>
      <c r="P1212">
        <v>24</v>
      </c>
      <c r="Q1212">
        <v>29</v>
      </c>
      <c r="R1212">
        <v>26</v>
      </c>
      <c r="S1212">
        <v>30</v>
      </c>
      <c r="T1212">
        <f t="shared" si="56"/>
        <v>371</v>
      </c>
      <c r="U1212">
        <v>1</v>
      </c>
    </row>
    <row r="1213" spans="1:21" x14ac:dyDescent="0.3">
      <c r="A1213" t="str">
        <f t="shared" si="54"/>
        <v>LancashireReablement &amp; Rehabilitation at home  (pathway 1)5</v>
      </c>
      <c r="B1213">
        <f>IF(C1213="","",COUNTIF($C$2:C1213,C1213))</f>
        <v>5</v>
      </c>
      <c r="C1213" t="str">
        <f t="shared" si="55"/>
        <v>LancashireReablement at home  (pathway 1)</v>
      </c>
      <c r="D1213" t="str">
        <f>VLOOKUP(G1213,PathwayLookup!A:B,2,0)</f>
        <v>Reablement &amp; Rehabilitation at home  (pathway 1)</v>
      </c>
      <c r="E1213" t="s">
        <v>199</v>
      </c>
      <c r="F1213" t="s">
        <v>634</v>
      </c>
      <c r="G1213" t="s">
        <v>718</v>
      </c>
      <c r="H1213">
        <v>61</v>
      </c>
      <c r="I1213">
        <v>71</v>
      </c>
      <c r="J1213">
        <v>65</v>
      </c>
      <c r="K1213">
        <v>66</v>
      </c>
      <c r="L1213">
        <v>64</v>
      </c>
      <c r="M1213">
        <v>62</v>
      </c>
      <c r="N1213">
        <v>65</v>
      </c>
      <c r="O1213">
        <v>66</v>
      </c>
      <c r="P1213">
        <v>62</v>
      </c>
      <c r="Q1213">
        <v>66</v>
      </c>
      <c r="R1213">
        <v>57</v>
      </c>
      <c r="S1213">
        <v>66</v>
      </c>
      <c r="T1213">
        <f t="shared" si="56"/>
        <v>771</v>
      </c>
      <c r="U1213">
        <v>1</v>
      </c>
    </row>
    <row r="1214" spans="1:21" x14ac:dyDescent="0.3">
      <c r="A1214" t="str">
        <f t="shared" si="54"/>
        <v>LancashireReablement &amp; Rehabilitation at home  (pathway 1)6</v>
      </c>
      <c r="B1214">
        <f>IF(C1214="","",COUNTIF($C$2:C1214,C1214))</f>
        <v>6</v>
      </c>
      <c r="C1214" t="str">
        <f t="shared" si="55"/>
        <v>LancashireReablement at home  (pathway 1)</v>
      </c>
      <c r="D1214" t="str">
        <f>VLOOKUP(G1214,PathwayLookup!A:B,2,0)</f>
        <v>Reablement &amp; Rehabilitation at home  (pathway 1)</v>
      </c>
      <c r="E1214" t="s">
        <v>199</v>
      </c>
      <c r="F1214" t="s">
        <v>651</v>
      </c>
      <c r="G1214" t="s">
        <v>718</v>
      </c>
      <c r="H1214">
        <v>14</v>
      </c>
      <c r="I1214">
        <v>18</v>
      </c>
      <c r="J1214">
        <v>14</v>
      </c>
      <c r="K1214">
        <v>19</v>
      </c>
      <c r="L1214">
        <v>18</v>
      </c>
      <c r="M1214">
        <v>17</v>
      </c>
      <c r="N1214">
        <v>16</v>
      </c>
      <c r="O1214">
        <v>16</v>
      </c>
      <c r="P1214">
        <v>12</v>
      </c>
      <c r="Q1214">
        <v>14</v>
      </c>
      <c r="R1214">
        <v>13</v>
      </c>
      <c r="S1214">
        <v>16</v>
      </c>
      <c r="T1214">
        <f t="shared" si="56"/>
        <v>187</v>
      </c>
      <c r="U1214">
        <v>1</v>
      </c>
    </row>
    <row r="1215" spans="1:21" x14ac:dyDescent="0.3">
      <c r="A1215" t="str">
        <f t="shared" si="54"/>
        <v>LancashireReablement &amp; Rehabilitation in a bedded setting (pathway 2)1</v>
      </c>
      <c r="B1215">
        <f>IF(C1215="","",COUNTIF($C$2:C1215,C1215))</f>
        <v>1</v>
      </c>
      <c r="C1215" t="str">
        <f t="shared" si="55"/>
        <v>LancashireReablement in a bedded setting (pathway 2)</v>
      </c>
      <c r="D1215" t="str">
        <f>VLOOKUP(G1215,PathwayLookup!A:B,2,0)</f>
        <v>Reablement &amp; Rehabilitation in a bedded setting (pathway 2)</v>
      </c>
      <c r="E1215" t="s">
        <v>199</v>
      </c>
      <c r="F1215" t="s">
        <v>463</v>
      </c>
      <c r="G1215" t="s">
        <v>722</v>
      </c>
      <c r="H1215">
        <v>67</v>
      </c>
      <c r="I1215">
        <v>70</v>
      </c>
      <c r="J1215">
        <v>69</v>
      </c>
      <c r="K1215">
        <v>70</v>
      </c>
      <c r="L1215">
        <v>71</v>
      </c>
      <c r="M1215">
        <v>68</v>
      </c>
      <c r="N1215">
        <v>71</v>
      </c>
      <c r="O1215">
        <v>69</v>
      </c>
      <c r="P1215">
        <v>70</v>
      </c>
      <c r="Q1215">
        <v>71</v>
      </c>
      <c r="R1215">
        <v>66</v>
      </c>
      <c r="S1215">
        <v>70</v>
      </c>
      <c r="T1215">
        <f t="shared" si="56"/>
        <v>832</v>
      </c>
      <c r="U1215">
        <v>1</v>
      </c>
    </row>
    <row r="1216" spans="1:21" x14ac:dyDescent="0.3">
      <c r="A1216" t="str">
        <f t="shared" si="54"/>
        <v>LancashireReablement &amp; Rehabilitation in a bedded setting (pathway 2)2</v>
      </c>
      <c r="B1216">
        <f>IF(C1216="","",COUNTIF($C$2:C1216,C1216))</f>
        <v>2</v>
      </c>
      <c r="C1216" t="str">
        <f t="shared" si="55"/>
        <v>LancashireReablement in a bedded setting (pathway 2)</v>
      </c>
      <c r="D1216" t="str">
        <f>VLOOKUP(G1216,PathwayLookup!A:B,2,0)</f>
        <v>Reablement &amp; Rehabilitation in a bedded setting (pathway 2)</v>
      </c>
      <c r="E1216" t="s">
        <v>199</v>
      </c>
      <c r="F1216" t="s">
        <v>496</v>
      </c>
      <c r="G1216" t="s">
        <v>722</v>
      </c>
      <c r="H1216">
        <v>101</v>
      </c>
      <c r="I1216">
        <v>89</v>
      </c>
      <c r="J1216">
        <v>111</v>
      </c>
      <c r="K1216">
        <v>137</v>
      </c>
      <c r="L1216">
        <v>109</v>
      </c>
      <c r="M1216">
        <v>112</v>
      </c>
      <c r="N1216">
        <v>122</v>
      </c>
      <c r="O1216">
        <v>143</v>
      </c>
      <c r="P1216">
        <v>183</v>
      </c>
      <c r="Q1216">
        <v>174</v>
      </c>
      <c r="R1216">
        <v>117</v>
      </c>
      <c r="S1216">
        <v>130</v>
      </c>
      <c r="T1216">
        <f t="shared" si="56"/>
        <v>1528</v>
      </c>
      <c r="U1216">
        <v>1</v>
      </c>
    </row>
    <row r="1217" spans="1:21" x14ac:dyDescent="0.3">
      <c r="A1217" t="str">
        <f t="shared" si="54"/>
        <v>LancashireReablement &amp; Rehabilitation in a bedded setting (pathway 2)3</v>
      </c>
      <c r="B1217">
        <f>IF(C1217="","",COUNTIF($C$2:C1217,C1217))</f>
        <v>3</v>
      </c>
      <c r="C1217" t="str">
        <f t="shared" si="55"/>
        <v>LancashireReablement in a bedded setting (pathway 2)</v>
      </c>
      <c r="D1217" t="str">
        <f>VLOOKUP(G1217,PathwayLookup!A:B,2,0)</f>
        <v>Reablement &amp; Rehabilitation in a bedded setting (pathway 2)</v>
      </c>
      <c r="E1217" t="s">
        <v>199</v>
      </c>
      <c r="F1217" t="s">
        <v>529</v>
      </c>
      <c r="G1217" t="s">
        <v>722</v>
      </c>
      <c r="H1217">
        <v>129</v>
      </c>
      <c r="I1217">
        <v>136</v>
      </c>
      <c r="J1217">
        <v>128</v>
      </c>
      <c r="K1217">
        <v>131</v>
      </c>
      <c r="L1217">
        <v>127</v>
      </c>
      <c r="M1217">
        <v>128</v>
      </c>
      <c r="N1217">
        <v>139</v>
      </c>
      <c r="O1217">
        <v>142</v>
      </c>
      <c r="P1217">
        <v>137</v>
      </c>
      <c r="Q1217">
        <v>138</v>
      </c>
      <c r="R1217">
        <v>127</v>
      </c>
      <c r="S1217">
        <v>136</v>
      </c>
      <c r="T1217">
        <f t="shared" si="56"/>
        <v>1598</v>
      </c>
      <c r="U1217">
        <v>1</v>
      </c>
    </row>
    <row r="1218" spans="1:21" x14ac:dyDescent="0.3">
      <c r="A1218" t="str">
        <f t="shared" ref="A1218:A1281" si="57">IF(B1218="","",E1218&amp;D1218&amp;B1218)</f>
        <v>LancashireReablement &amp; Rehabilitation in a bedded setting (pathway 2)4</v>
      </c>
      <c r="B1218">
        <f>IF(C1218="","",COUNTIF($C$2:C1218,C1218))</f>
        <v>4</v>
      </c>
      <c r="C1218" t="str">
        <f t="shared" ref="C1218:C1281" si="58">IF(T1218=0,"",E1218&amp;G1218)</f>
        <v>LancashireReablement in a bedded setting (pathway 2)</v>
      </c>
      <c r="D1218" t="str">
        <f>VLOOKUP(G1218,PathwayLookup!A:B,2,0)</f>
        <v>Reablement &amp; Rehabilitation in a bedded setting (pathway 2)</v>
      </c>
      <c r="E1218" t="s">
        <v>199</v>
      </c>
      <c r="F1218" t="s">
        <v>599</v>
      </c>
      <c r="G1218" t="s">
        <v>722</v>
      </c>
      <c r="H1218">
        <v>22</v>
      </c>
      <c r="I1218">
        <v>29</v>
      </c>
      <c r="J1218">
        <v>22</v>
      </c>
      <c r="K1218">
        <v>28</v>
      </c>
      <c r="L1218">
        <v>27</v>
      </c>
      <c r="M1218">
        <v>27</v>
      </c>
      <c r="N1218">
        <v>24</v>
      </c>
      <c r="O1218">
        <v>25</v>
      </c>
      <c r="P1218">
        <v>19</v>
      </c>
      <c r="Q1218">
        <v>22</v>
      </c>
      <c r="R1218">
        <v>20</v>
      </c>
      <c r="S1218">
        <v>24</v>
      </c>
      <c r="T1218">
        <f t="shared" ref="T1218:T1281" si="59">SUM(H1218:S1218)</f>
        <v>289</v>
      </c>
      <c r="U1218">
        <v>1</v>
      </c>
    </row>
    <row r="1219" spans="1:21" x14ac:dyDescent="0.3">
      <c r="A1219" t="str">
        <f t="shared" si="57"/>
        <v>LancashireReablement &amp; Rehabilitation in a bedded setting (pathway 2)5</v>
      </c>
      <c r="B1219">
        <f>IF(C1219="","",COUNTIF($C$2:C1219,C1219))</f>
        <v>5</v>
      </c>
      <c r="C1219" t="str">
        <f t="shared" si="58"/>
        <v>LancashireReablement in a bedded setting (pathway 2)</v>
      </c>
      <c r="D1219" t="str">
        <f>VLOOKUP(G1219,PathwayLookup!A:B,2,0)</f>
        <v>Reablement &amp; Rehabilitation in a bedded setting (pathway 2)</v>
      </c>
      <c r="E1219" t="s">
        <v>199</v>
      </c>
      <c r="F1219" t="s">
        <v>634</v>
      </c>
      <c r="G1219" t="s">
        <v>722</v>
      </c>
      <c r="H1219">
        <v>35</v>
      </c>
      <c r="I1219">
        <v>42</v>
      </c>
      <c r="J1219">
        <v>37</v>
      </c>
      <c r="K1219">
        <v>38</v>
      </c>
      <c r="L1219">
        <v>37</v>
      </c>
      <c r="M1219">
        <v>36</v>
      </c>
      <c r="N1219">
        <v>38</v>
      </c>
      <c r="O1219">
        <v>38</v>
      </c>
      <c r="P1219">
        <v>36</v>
      </c>
      <c r="Q1219">
        <v>38</v>
      </c>
      <c r="R1219">
        <v>34</v>
      </c>
      <c r="S1219">
        <v>38</v>
      </c>
      <c r="T1219">
        <f t="shared" si="59"/>
        <v>447</v>
      </c>
      <c r="U1219">
        <v>1</v>
      </c>
    </row>
    <row r="1220" spans="1:21" x14ac:dyDescent="0.3">
      <c r="A1220" t="str">
        <f t="shared" si="57"/>
        <v>LancashireReablement &amp; Rehabilitation in a bedded setting (pathway 2)6</v>
      </c>
      <c r="B1220">
        <f>IF(C1220="","",COUNTIF($C$2:C1220,C1220))</f>
        <v>6</v>
      </c>
      <c r="C1220" t="str">
        <f t="shared" si="58"/>
        <v>LancashireReablement in a bedded setting (pathway 2)</v>
      </c>
      <c r="D1220" t="str">
        <f>VLOOKUP(G1220,PathwayLookup!A:B,2,0)</f>
        <v>Reablement &amp; Rehabilitation in a bedded setting (pathway 2)</v>
      </c>
      <c r="E1220" t="s">
        <v>199</v>
      </c>
      <c r="F1220" t="s">
        <v>651</v>
      </c>
      <c r="G1220" t="s">
        <v>722</v>
      </c>
      <c r="H1220">
        <v>11</v>
      </c>
      <c r="I1220">
        <v>15</v>
      </c>
      <c r="J1220">
        <v>10</v>
      </c>
      <c r="K1220">
        <v>14</v>
      </c>
      <c r="L1220">
        <v>14</v>
      </c>
      <c r="M1220">
        <v>13</v>
      </c>
      <c r="N1220">
        <v>11</v>
      </c>
      <c r="O1220">
        <v>12</v>
      </c>
      <c r="P1220">
        <v>9</v>
      </c>
      <c r="Q1220">
        <v>11</v>
      </c>
      <c r="R1220">
        <v>10</v>
      </c>
      <c r="S1220">
        <v>11</v>
      </c>
      <c r="T1220">
        <f t="shared" si="59"/>
        <v>141</v>
      </c>
      <c r="U1220">
        <v>1</v>
      </c>
    </row>
    <row r="1221" spans="1:21" x14ac:dyDescent="0.3">
      <c r="A1221" t="str">
        <f t="shared" si="57"/>
        <v>LancashireShort-term residential/nursing care for someone likely to require a longer-term care home placement (pathway 3)1</v>
      </c>
      <c r="B1221">
        <f>IF(C1221="","",COUNTIF($C$2:C1221,C1221))</f>
        <v>1</v>
      </c>
      <c r="C1221" t="str">
        <f t="shared" si="58"/>
        <v>LancashireShort-term residential/nursing care for someone likely to require a longer-term care home placement (pathway 3)</v>
      </c>
      <c r="D1221" t="str">
        <f>VLOOKUP(G1221,PathwayLookup!A:B,2,0)</f>
        <v>Short-term residential/nursing care for someone likely to require a longer-term care home placement (pathway 3)</v>
      </c>
      <c r="E1221" t="s">
        <v>199</v>
      </c>
      <c r="F1221" t="s">
        <v>463</v>
      </c>
      <c r="G1221" t="s">
        <v>686</v>
      </c>
      <c r="H1221">
        <v>5</v>
      </c>
      <c r="I1221">
        <v>5</v>
      </c>
      <c r="J1221">
        <v>5</v>
      </c>
      <c r="K1221">
        <v>5</v>
      </c>
      <c r="L1221">
        <v>5</v>
      </c>
      <c r="M1221">
        <v>5</v>
      </c>
      <c r="N1221">
        <v>5</v>
      </c>
      <c r="O1221">
        <v>5</v>
      </c>
      <c r="P1221">
        <v>5</v>
      </c>
      <c r="Q1221">
        <v>5</v>
      </c>
      <c r="R1221">
        <v>5</v>
      </c>
      <c r="S1221">
        <v>5</v>
      </c>
      <c r="T1221">
        <f t="shared" si="59"/>
        <v>60</v>
      </c>
      <c r="U1221">
        <v>1</v>
      </c>
    </row>
    <row r="1222" spans="1:21" x14ac:dyDescent="0.3">
      <c r="A1222" t="str">
        <f t="shared" si="57"/>
        <v>LancashireShort-term residential/nursing care for someone likely to require a longer-term care home placement (pathway 3)2</v>
      </c>
      <c r="B1222">
        <f>IF(C1222="","",COUNTIF($C$2:C1222,C1222))</f>
        <v>2</v>
      </c>
      <c r="C1222" t="str">
        <f t="shared" si="58"/>
        <v>LancashireShort-term residential/nursing care for someone likely to require a longer-term care home placement (pathway 3)</v>
      </c>
      <c r="D1222" t="str">
        <f>VLOOKUP(G1222,PathwayLookup!A:B,2,0)</f>
        <v>Short-term residential/nursing care for someone likely to require a longer-term care home placement (pathway 3)</v>
      </c>
      <c r="E1222" t="s">
        <v>199</v>
      </c>
      <c r="F1222" t="s">
        <v>496</v>
      </c>
      <c r="G1222" t="s">
        <v>686</v>
      </c>
      <c r="H1222">
        <v>18</v>
      </c>
      <c r="I1222">
        <v>20</v>
      </c>
      <c r="J1222">
        <v>14</v>
      </c>
      <c r="K1222">
        <v>5</v>
      </c>
      <c r="L1222">
        <v>12</v>
      </c>
      <c r="M1222">
        <v>13</v>
      </c>
      <c r="N1222">
        <v>24</v>
      </c>
      <c r="O1222">
        <v>11</v>
      </c>
      <c r="P1222">
        <v>14</v>
      </c>
      <c r="Q1222">
        <v>5</v>
      </c>
      <c r="R1222">
        <v>13</v>
      </c>
      <c r="S1222">
        <v>14</v>
      </c>
      <c r="T1222">
        <f t="shared" si="59"/>
        <v>163</v>
      </c>
      <c r="U1222">
        <v>1</v>
      </c>
    </row>
    <row r="1223" spans="1:21" x14ac:dyDescent="0.3">
      <c r="A1223" t="str">
        <f t="shared" si="57"/>
        <v>LancashireShort-term residential/nursing care for someone likely to require a longer-term care home placement (pathway 3)3</v>
      </c>
      <c r="B1223">
        <f>IF(C1223="","",COUNTIF($C$2:C1223,C1223))</f>
        <v>3</v>
      </c>
      <c r="C1223" t="str">
        <f t="shared" si="58"/>
        <v>LancashireShort-term residential/nursing care for someone likely to require a longer-term care home placement (pathway 3)</v>
      </c>
      <c r="D1223" t="str">
        <f>VLOOKUP(G1223,PathwayLookup!A:B,2,0)</f>
        <v>Short-term residential/nursing care for someone likely to require a longer-term care home placement (pathway 3)</v>
      </c>
      <c r="E1223" t="s">
        <v>199</v>
      </c>
      <c r="F1223" t="s">
        <v>529</v>
      </c>
      <c r="G1223" t="s">
        <v>686</v>
      </c>
      <c r="H1223">
        <v>17</v>
      </c>
      <c r="I1223">
        <v>18</v>
      </c>
      <c r="J1223">
        <v>17</v>
      </c>
      <c r="K1223">
        <v>17</v>
      </c>
      <c r="L1223">
        <v>16</v>
      </c>
      <c r="M1223">
        <v>17</v>
      </c>
      <c r="N1223">
        <v>18</v>
      </c>
      <c r="O1223">
        <v>19</v>
      </c>
      <c r="P1223">
        <v>18</v>
      </c>
      <c r="Q1223">
        <v>18</v>
      </c>
      <c r="R1223">
        <v>17</v>
      </c>
      <c r="S1223">
        <v>18</v>
      </c>
      <c r="T1223">
        <f t="shared" si="59"/>
        <v>210</v>
      </c>
      <c r="U1223">
        <v>1</v>
      </c>
    </row>
    <row r="1224" spans="1:21" x14ac:dyDescent="0.3">
      <c r="A1224" t="str">
        <f t="shared" si="57"/>
        <v>LancashireShort-term residential/nursing care for someone likely to require a longer-term care home placement (pathway 3)4</v>
      </c>
      <c r="B1224">
        <f>IF(C1224="","",COUNTIF($C$2:C1224,C1224))</f>
        <v>4</v>
      </c>
      <c r="C1224" t="str">
        <f t="shared" si="58"/>
        <v>LancashireShort-term residential/nursing care for someone likely to require a longer-term care home placement (pathway 3)</v>
      </c>
      <c r="D1224" t="str">
        <f>VLOOKUP(G1224,PathwayLookup!A:B,2,0)</f>
        <v>Short-term residential/nursing care for someone likely to require a longer-term care home placement (pathway 3)</v>
      </c>
      <c r="E1224" t="s">
        <v>199</v>
      </c>
      <c r="F1224" t="s">
        <v>599</v>
      </c>
      <c r="G1224" t="s">
        <v>686</v>
      </c>
      <c r="H1224">
        <v>3</v>
      </c>
      <c r="I1224">
        <v>3</v>
      </c>
      <c r="J1224">
        <v>3</v>
      </c>
      <c r="K1224">
        <v>3</v>
      </c>
      <c r="L1224">
        <v>3</v>
      </c>
      <c r="M1224">
        <v>3</v>
      </c>
      <c r="N1224">
        <v>3</v>
      </c>
      <c r="O1224">
        <v>3</v>
      </c>
      <c r="P1224">
        <v>2</v>
      </c>
      <c r="Q1224">
        <v>3</v>
      </c>
      <c r="R1224">
        <v>2</v>
      </c>
      <c r="S1224">
        <v>3</v>
      </c>
      <c r="T1224">
        <f t="shared" si="59"/>
        <v>34</v>
      </c>
      <c r="U1224">
        <v>1</v>
      </c>
    </row>
    <row r="1225" spans="1:21" x14ac:dyDescent="0.3">
      <c r="A1225" t="str">
        <f t="shared" si="57"/>
        <v>LancashireShort-term residential/nursing care for someone likely to require a longer-term care home placement (pathway 3)5</v>
      </c>
      <c r="B1225">
        <f>IF(C1225="","",COUNTIF($C$2:C1225,C1225))</f>
        <v>5</v>
      </c>
      <c r="C1225" t="str">
        <f t="shared" si="58"/>
        <v>LancashireShort-term residential/nursing care for someone likely to require a longer-term care home placement (pathway 3)</v>
      </c>
      <c r="D1225" t="str">
        <f>VLOOKUP(G1225,PathwayLookup!A:B,2,0)</f>
        <v>Short-term residential/nursing care for someone likely to require a longer-term care home placement (pathway 3)</v>
      </c>
      <c r="E1225" t="s">
        <v>199</v>
      </c>
      <c r="F1225" t="s">
        <v>634</v>
      </c>
      <c r="G1225" t="s">
        <v>686</v>
      </c>
      <c r="H1225">
        <v>6</v>
      </c>
      <c r="I1225">
        <v>7</v>
      </c>
      <c r="J1225">
        <v>7</v>
      </c>
      <c r="K1225">
        <v>7</v>
      </c>
      <c r="L1225">
        <v>6</v>
      </c>
      <c r="M1225">
        <v>6</v>
      </c>
      <c r="N1225">
        <v>7</v>
      </c>
      <c r="O1225">
        <v>7</v>
      </c>
      <c r="P1225">
        <v>6</v>
      </c>
      <c r="Q1225">
        <v>7</v>
      </c>
      <c r="R1225">
        <v>6</v>
      </c>
      <c r="S1225">
        <v>7</v>
      </c>
      <c r="T1225">
        <f t="shared" si="59"/>
        <v>79</v>
      </c>
      <c r="U1225">
        <v>1</v>
      </c>
    </row>
    <row r="1226" spans="1:21" x14ac:dyDescent="0.3">
      <c r="A1226" t="str">
        <f t="shared" si="57"/>
        <v>LancashireShort-term residential/nursing care for someone likely to require a longer-term care home placement (pathway 3)6</v>
      </c>
      <c r="B1226">
        <f>IF(C1226="","",COUNTIF($C$2:C1226,C1226))</f>
        <v>6</v>
      </c>
      <c r="C1226" t="str">
        <f t="shared" si="58"/>
        <v>LancashireShort-term residential/nursing care for someone likely to require a longer-term care home placement (pathway 3)</v>
      </c>
      <c r="D1226" t="str">
        <f>VLOOKUP(G1226,PathwayLookup!A:B,2,0)</f>
        <v>Short-term residential/nursing care for someone likely to require a longer-term care home placement (pathway 3)</v>
      </c>
      <c r="E1226" t="s">
        <v>199</v>
      </c>
      <c r="F1226" t="s">
        <v>651</v>
      </c>
      <c r="G1226" t="s">
        <v>686</v>
      </c>
      <c r="H1226">
        <v>1</v>
      </c>
      <c r="I1226">
        <v>2</v>
      </c>
      <c r="J1226">
        <v>1</v>
      </c>
      <c r="K1226">
        <v>2</v>
      </c>
      <c r="L1226">
        <v>2</v>
      </c>
      <c r="M1226">
        <v>2</v>
      </c>
      <c r="N1226">
        <v>1</v>
      </c>
      <c r="O1226">
        <v>1</v>
      </c>
      <c r="P1226">
        <v>1</v>
      </c>
      <c r="Q1226">
        <v>1</v>
      </c>
      <c r="R1226">
        <v>1</v>
      </c>
      <c r="S1226">
        <v>1</v>
      </c>
      <c r="T1226">
        <f t="shared" si="59"/>
        <v>16</v>
      </c>
      <c r="U1226">
        <v>1</v>
      </c>
    </row>
    <row r="1227" spans="1:21" x14ac:dyDescent="0.3">
      <c r="A1227" t="str">
        <f t="shared" si="57"/>
        <v>LeedsSocial support (including VCS) (pathway 0)1</v>
      </c>
      <c r="B1227">
        <f>IF(C1227="","",COUNTIF($C$2:C1227,C1227))</f>
        <v>1</v>
      </c>
      <c r="C1227" t="str">
        <f t="shared" si="58"/>
        <v>LeedsSocial support (including VCS) (pathway 0)</v>
      </c>
      <c r="D1227" t="str">
        <f>VLOOKUP(G1227,PathwayLookup!A:B,2,0)</f>
        <v>Social support (including VCS) (pathway 0)</v>
      </c>
      <c r="E1227" t="s">
        <v>201</v>
      </c>
      <c r="F1227" t="s">
        <v>448</v>
      </c>
      <c r="G1227" t="s">
        <v>682</v>
      </c>
      <c r="H1227">
        <v>110</v>
      </c>
      <c r="I1227">
        <v>110</v>
      </c>
      <c r="J1227">
        <v>110</v>
      </c>
      <c r="K1227">
        <v>110</v>
      </c>
      <c r="L1227">
        <v>110</v>
      </c>
      <c r="M1227">
        <v>110</v>
      </c>
      <c r="N1227">
        <v>108</v>
      </c>
      <c r="O1227">
        <v>108</v>
      </c>
      <c r="P1227">
        <v>104</v>
      </c>
      <c r="Q1227">
        <v>110</v>
      </c>
      <c r="R1227">
        <v>103</v>
      </c>
      <c r="S1227">
        <v>110</v>
      </c>
      <c r="T1227">
        <f t="shared" si="59"/>
        <v>1303</v>
      </c>
      <c r="U1227">
        <v>1</v>
      </c>
    </row>
    <row r="1228" spans="1:21" x14ac:dyDescent="0.3">
      <c r="A1228" t="str">
        <f t="shared" si="57"/>
        <v>LeedsReablement &amp; Rehabilitation at home  (pathway 1)1</v>
      </c>
      <c r="B1228">
        <f>IF(C1228="","",COUNTIF($C$2:C1228,C1228))</f>
        <v>1</v>
      </c>
      <c r="C1228" t="str">
        <f t="shared" si="58"/>
        <v>LeedsReablement at home  (pathway 1)</v>
      </c>
      <c r="D1228" t="str">
        <f>VLOOKUP(G1228,PathwayLookup!A:B,2,0)</f>
        <v>Reablement &amp; Rehabilitation at home  (pathway 1)</v>
      </c>
      <c r="E1228" t="s">
        <v>201</v>
      </c>
      <c r="F1228" t="s">
        <v>448</v>
      </c>
      <c r="G1228" t="s">
        <v>718</v>
      </c>
      <c r="H1228">
        <v>74</v>
      </c>
      <c r="I1228">
        <v>77</v>
      </c>
      <c r="J1228">
        <v>75</v>
      </c>
      <c r="K1228">
        <v>78</v>
      </c>
      <c r="L1228">
        <v>78</v>
      </c>
      <c r="M1228">
        <v>76</v>
      </c>
      <c r="N1228">
        <v>80</v>
      </c>
      <c r="O1228">
        <v>78</v>
      </c>
      <c r="P1228">
        <v>82</v>
      </c>
      <c r="Q1228">
        <v>84</v>
      </c>
      <c r="R1228">
        <v>81</v>
      </c>
      <c r="S1228">
        <v>89</v>
      </c>
      <c r="T1228">
        <f t="shared" si="59"/>
        <v>952</v>
      </c>
      <c r="U1228">
        <v>1</v>
      </c>
    </row>
    <row r="1229" spans="1:21" x14ac:dyDescent="0.3">
      <c r="A1229" t="str">
        <f t="shared" si="57"/>
        <v>LeedsReablement &amp; Rehabilitation at home  (pathway 1)1</v>
      </c>
      <c r="B1229">
        <f>IF(C1229="","",COUNTIF($C$2:C1229,C1229))</f>
        <v>1</v>
      </c>
      <c r="C1229" t="str">
        <f t="shared" si="58"/>
        <v>LeedsRehabilitation at home (pathway 1)</v>
      </c>
      <c r="D1229" t="str">
        <f>VLOOKUP(G1229,PathwayLookup!A:B,2,0)</f>
        <v>Reablement &amp; Rehabilitation at home  (pathway 1)</v>
      </c>
      <c r="E1229" t="s">
        <v>201</v>
      </c>
      <c r="F1229" t="s">
        <v>448</v>
      </c>
      <c r="G1229" t="s">
        <v>719</v>
      </c>
      <c r="H1229">
        <v>503</v>
      </c>
      <c r="I1229">
        <v>503</v>
      </c>
      <c r="J1229">
        <v>506</v>
      </c>
      <c r="K1229">
        <v>503</v>
      </c>
      <c r="L1229">
        <v>504</v>
      </c>
      <c r="M1229">
        <v>510</v>
      </c>
      <c r="N1229">
        <v>507</v>
      </c>
      <c r="O1229">
        <v>515</v>
      </c>
      <c r="P1229">
        <v>507</v>
      </c>
      <c r="Q1229">
        <v>509</v>
      </c>
      <c r="R1229">
        <v>511</v>
      </c>
      <c r="S1229">
        <v>525</v>
      </c>
      <c r="T1229">
        <f t="shared" si="59"/>
        <v>6103</v>
      </c>
      <c r="U1229">
        <v>1</v>
      </c>
    </row>
    <row r="1230" spans="1:21" x14ac:dyDescent="0.3">
      <c r="A1230" t="str">
        <f t="shared" si="57"/>
        <v>LeedsShort term domiciliary care (pathway 1)1</v>
      </c>
      <c r="B1230">
        <f>IF(C1230="","",COUNTIF($C$2:C1230,C1230))</f>
        <v>1</v>
      </c>
      <c r="C1230" t="str">
        <f t="shared" si="58"/>
        <v>LeedsShort term domiciliary care (pathway 1)</v>
      </c>
      <c r="D1230" t="str">
        <f>VLOOKUP(G1230,PathwayLookup!A:B,2,0)</f>
        <v>Short term domiciliary care (pathway 1)</v>
      </c>
      <c r="E1230" t="s">
        <v>201</v>
      </c>
      <c r="F1230" t="s">
        <v>448</v>
      </c>
      <c r="G1230" t="s">
        <v>684</v>
      </c>
      <c r="H1230">
        <v>27</v>
      </c>
      <c r="I1230">
        <v>22</v>
      </c>
      <c r="J1230">
        <v>26</v>
      </c>
      <c r="K1230">
        <v>22</v>
      </c>
      <c r="L1230">
        <v>21</v>
      </c>
      <c r="M1230">
        <v>24</v>
      </c>
      <c r="N1230">
        <v>18</v>
      </c>
      <c r="O1230">
        <v>21</v>
      </c>
      <c r="P1230">
        <v>15</v>
      </c>
      <c r="Q1230">
        <v>12</v>
      </c>
      <c r="R1230">
        <v>17</v>
      </c>
      <c r="S1230">
        <v>6</v>
      </c>
      <c r="T1230">
        <f t="shared" si="59"/>
        <v>231</v>
      </c>
      <c r="U1230">
        <v>1</v>
      </c>
    </row>
    <row r="1231" spans="1:21" x14ac:dyDescent="0.3">
      <c r="A1231" t="str">
        <f t="shared" si="57"/>
        <v/>
      </c>
      <c r="B1231" t="str">
        <f>IF(C1231="","",COUNTIF($C$2:C1231,C1231))</f>
        <v/>
      </c>
      <c r="C1231" t="str">
        <f t="shared" si="58"/>
        <v/>
      </c>
      <c r="D1231" t="str">
        <f>VLOOKUP(G1231,PathwayLookup!A:B,2,0)</f>
        <v>Reablement &amp; Rehabilitation in a bedded setting (pathway 2)</v>
      </c>
      <c r="E1231" t="s">
        <v>201</v>
      </c>
      <c r="F1231" t="s">
        <v>448</v>
      </c>
      <c r="G1231" t="s">
        <v>722</v>
      </c>
      <c r="H1231">
        <v>0</v>
      </c>
      <c r="I1231">
        <v>0</v>
      </c>
      <c r="J1231">
        <v>0</v>
      </c>
      <c r="K1231">
        <v>0</v>
      </c>
      <c r="L1231">
        <v>0</v>
      </c>
      <c r="M1231">
        <v>0</v>
      </c>
      <c r="N1231">
        <v>0</v>
      </c>
      <c r="O1231">
        <v>0</v>
      </c>
      <c r="P1231">
        <v>0</v>
      </c>
      <c r="Q1231">
        <v>0</v>
      </c>
      <c r="R1231">
        <v>0</v>
      </c>
      <c r="S1231">
        <v>0</v>
      </c>
      <c r="T1231">
        <f t="shared" si="59"/>
        <v>0</v>
      </c>
      <c r="U1231">
        <v>1</v>
      </c>
    </row>
    <row r="1232" spans="1:21" x14ac:dyDescent="0.3">
      <c r="A1232" t="str">
        <f t="shared" si="57"/>
        <v>LeedsReablement &amp; Rehabilitation in a bedded setting (pathway 2)1</v>
      </c>
      <c r="B1232">
        <f>IF(C1232="","",COUNTIF($C$2:C1232,C1232))</f>
        <v>1</v>
      </c>
      <c r="C1232" t="str">
        <f t="shared" si="58"/>
        <v>LeedsRehabilitation in a bedded setting (pathway 2)</v>
      </c>
      <c r="D1232" t="str">
        <f>VLOOKUP(G1232,PathwayLookup!A:B,2,0)</f>
        <v>Reablement &amp; Rehabilitation in a bedded setting (pathway 2)</v>
      </c>
      <c r="E1232" t="s">
        <v>201</v>
      </c>
      <c r="F1232" t="s">
        <v>448</v>
      </c>
      <c r="G1232" t="s">
        <v>724</v>
      </c>
      <c r="H1232">
        <v>154</v>
      </c>
      <c r="I1232">
        <v>157</v>
      </c>
      <c r="J1232">
        <v>151</v>
      </c>
      <c r="K1232">
        <v>155</v>
      </c>
      <c r="L1232">
        <v>155</v>
      </c>
      <c r="M1232">
        <v>148</v>
      </c>
      <c r="N1232">
        <v>152</v>
      </c>
      <c r="O1232">
        <v>145</v>
      </c>
      <c r="P1232">
        <v>167</v>
      </c>
      <c r="Q1232">
        <v>165</v>
      </c>
      <c r="R1232">
        <v>154</v>
      </c>
      <c r="S1232">
        <v>141</v>
      </c>
      <c r="T1232">
        <f t="shared" si="59"/>
        <v>1844</v>
      </c>
      <c r="U1232">
        <v>1</v>
      </c>
    </row>
    <row r="1233" spans="1:21" x14ac:dyDescent="0.3">
      <c r="A1233" t="str">
        <f t="shared" si="57"/>
        <v>LeedsShort-term residential/nursing care for someone likely to require a longer-term care home placement (pathway 3)1</v>
      </c>
      <c r="B1233">
        <f>IF(C1233="","",COUNTIF($C$2:C1233,C1233))</f>
        <v>1</v>
      </c>
      <c r="C1233" t="str">
        <f t="shared" si="58"/>
        <v>LeedsShort-term residential/nursing care for someone likely to require a longer-term care home placement (pathway 3)</v>
      </c>
      <c r="D1233" t="str">
        <f>VLOOKUP(G1233,PathwayLookup!A:B,2,0)</f>
        <v>Short-term residential/nursing care for someone likely to require a longer-term care home placement (pathway 3)</v>
      </c>
      <c r="E1233" t="s">
        <v>201</v>
      </c>
      <c r="F1233" t="s">
        <v>448</v>
      </c>
      <c r="G1233" t="s">
        <v>686</v>
      </c>
      <c r="H1233">
        <v>82</v>
      </c>
      <c r="I1233">
        <v>82</v>
      </c>
      <c r="J1233">
        <v>82</v>
      </c>
      <c r="K1233">
        <v>82</v>
      </c>
      <c r="L1233">
        <v>81</v>
      </c>
      <c r="M1233">
        <v>81</v>
      </c>
      <c r="N1233">
        <v>80</v>
      </c>
      <c r="O1233">
        <v>79</v>
      </c>
      <c r="P1233">
        <v>78</v>
      </c>
      <c r="Q1233">
        <v>76</v>
      </c>
      <c r="R1233">
        <v>74</v>
      </c>
      <c r="S1233">
        <v>73</v>
      </c>
      <c r="T1233">
        <f t="shared" si="59"/>
        <v>950</v>
      </c>
      <c r="U1233">
        <v>1</v>
      </c>
    </row>
    <row r="1234" spans="1:21" x14ac:dyDescent="0.3">
      <c r="A1234" t="str">
        <f t="shared" si="57"/>
        <v>LeicesterSocial support (including VCS) (pathway 0)1</v>
      </c>
      <c r="B1234">
        <f>IF(C1234="","",COUNTIF($C$2:C1234,C1234))</f>
        <v>1</v>
      </c>
      <c r="C1234" t="str">
        <f t="shared" si="58"/>
        <v>LeicesterSocial support (including VCS) (pathway 0)</v>
      </c>
      <c r="D1234" t="str">
        <f>VLOOKUP(G1234,PathwayLookup!A:B,2,0)</f>
        <v>Social support (including VCS) (pathway 0)</v>
      </c>
      <c r="E1234" t="s">
        <v>203</v>
      </c>
      <c r="F1234" t="s">
        <v>633</v>
      </c>
      <c r="G1234" t="s">
        <v>682</v>
      </c>
      <c r="H1234">
        <v>99</v>
      </c>
      <c r="I1234">
        <v>100</v>
      </c>
      <c r="J1234">
        <v>106</v>
      </c>
      <c r="K1234">
        <v>119</v>
      </c>
      <c r="L1234">
        <v>102</v>
      </c>
      <c r="M1234">
        <v>102</v>
      </c>
      <c r="N1234">
        <v>106</v>
      </c>
      <c r="O1234">
        <v>140</v>
      </c>
      <c r="P1234">
        <v>147</v>
      </c>
      <c r="Q1234">
        <v>139</v>
      </c>
      <c r="R1234">
        <v>160</v>
      </c>
      <c r="S1234">
        <v>120</v>
      </c>
      <c r="T1234">
        <f t="shared" si="59"/>
        <v>1440</v>
      </c>
      <c r="U1234">
        <v>1</v>
      </c>
    </row>
    <row r="1235" spans="1:21" x14ac:dyDescent="0.3">
      <c r="A1235" t="str">
        <f t="shared" si="57"/>
        <v/>
      </c>
      <c r="B1235" t="str">
        <f>IF(C1235="","",COUNTIF($C$2:C1235,C1235))</f>
        <v/>
      </c>
      <c r="C1235" t="str">
        <f t="shared" si="58"/>
        <v/>
      </c>
      <c r="D1235" t="str">
        <f>VLOOKUP(G1235,PathwayLookup!A:B,2,0)</f>
        <v>Reablement &amp; Rehabilitation at home  (pathway 1)</v>
      </c>
      <c r="E1235" t="s">
        <v>203</v>
      </c>
      <c r="F1235" t="s">
        <v>533</v>
      </c>
      <c r="G1235" t="s">
        <v>718</v>
      </c>
      <c r="H1235">
        <v>0</v>
      </c>
      <c r="I1235">
        <v>0</v>
      </c>
      <c r="J1235">
        <v>0</v>
      </c>
      <c r="K1235">
        <v>0</v>
      </c>
      <c r="L1235">
        <v>0</v>
      </c>
      <c r="M1235">
        <v>0</v>
      </c>
      <c r="N1235">
        <v>0</v>
      </c>
      <c r="O1235">
        <v>0</v>
      </c>
      <c r="P1235">
        <v>0</v>
      </c>
      <c r="Q1235">
        <v>0</v>
      </c>
      <c r="R1235">
        <v>0</v>
      </c>
      <c r="S1235">
        <v>0</v>
      </c>
      <c r="T1235">
        <f t="shared" si="59"/>
        <v>0</v>
      </c>
      <c r="U1235">
        <v>1</v>
      </c>
    </row>
    <row r="1236" spans="1:21" x14ac:dyDescent="0.3">
      <c r="A1236" t="str">
        <f t="shared" si="57"/>
        <v>LeicesterReablement &amp; Rehabilitation at home  (pathway 1)1</v>
      </c>
      <c r="B1236">
        <f>IF(C1236="","",COUNTIF($C$2:C1236,C1236))</f>
        <v>1</v>
      </c>
      <c r="C1236" t="str">
        <f t="shared" si="58"/>
        <v>LeicesterReablement at home  (pathway 1)</v>
      </c>
      <c r="D1236" t="str">
        <f>VLOOKUP(G1236,PathwayLookup!A:B,2,0)</f>
        <v>Reablement &amp; Rehabilitation at home  (pathway 1)</v>
      </c>
      <c r="E1236" t="s">
        <v>203</v>
      </c>
      <c r="F1236" t="s">
        <v>633</v>
      </c>
      <c r="G1236" t="s">
        <v>718</v>
      </c>
      <c r="H1236">
        <v>88</v>
      </c>
      <c r="I1236">
        <v>113</v>
      </c>
      <c r="J1236">
        <v>89</v>
      </c>
      <c r="K1236">
        <v>80</v>
      </c>
      <c r="L1236">
        <v>89</v>
      </c>
      <c r="M1236">
        <v>73</v>
      </c>
      <c r="N1236">
        <v>126</v>
      </c>
      <c r="O1236">
        <v>129</v>
      </c>
      <c r="P1236">
        <v>146</v>
      </c>
      <c r="Q1236">
        <v>140</v>
      </c>
      <c r="R1236">
        <v>115</v>
      </c>
      <c r="S1236">
        <v>120</v>
      </c>
      <c r="T1236">
        <f t="shared" si="59"/>
        <v>1308</v>
      </c>
      <c r="U1236">
        <v>1</v>
      </c>
    </row>
    <row r="1237" spans="1:21" x14ac:dyDescent="0.3">
      <c r="A1237" t="str">
        <f t="shared" si="57"/>
        <v/>
      </c>
      <c r="B1237" t="str">
        <f>IF(C1237="","",COUNTIF($C$2:C1237,C1237))</f>
        <v/>
      </c>
      <c r="C1237" t="str">
        <f t="shared" si="58"/>
        <v/>
      </c>
      <c r="D1237" t="str">
        <f>VLOOKUP(G1237,PathwayLookup!A:B,2,0)</f>
        <v>Reablement &amp; Rehabilitation at home  (pathway 1)</v>
      </c>
      <c r="E1237" t="s">
        <v>203</v>
      </c>
      <c r="F1237" t="s">
        <v>533</v>
      </c>
      <c r="G1237" t="s">
        <v>719</v>
      </c>
      <c r="H1237">
        <v>0</v>
      </c>
      <c r="I1237">
        <v>0</v>
      </c>
      <c r="J1237">
        <v>0</v>
      </c>
      <c r="K1237">
        <v>0</v>
      </c>
      <c r="L1237">
        <v>0</v>
      </c>
      <c r="M1237">
        <v>0</v>
      </c>
      <c r="N1237">
        <v>0</v>
      </c>
      <c r="O1237">
        <v>0</v>
      </c>
      <c r="P1237">
        <v>0</v>
      </c>
      <c r="Q1237">
        <v>0</v>
      </c>
      <c r="R1237">
        <v>0</v>
      </c>
      <c r="S1237">
        <v>0</v>
      </c>
      <c r="T1237">
        <f t="shared" si="59"/>
        <v>0</v>
      </c>
      <c r="U1237">
        <v>1</v>
      </c>
    </row>
    <row r="1238" spans="1:21" x14ac:dyDescent="0.3">
      <c r="A1238" t="str">
        <f t="shared" si="57"/>
        <v>LeicesterReablement &amp; Rehabilitation at home  (pathway 1)1</v>
      </c>
      <c r="B1238">
        <f>IF(C1238="","",COUNTIF($C$2:C1238,C1238))</f>
        <v>1</v>
      </c>
      <c r="C1238" t="str">
        <f t="shared" si="58"/>
        <v>LeicesterRehabilitation at home (pathway 1)</v>
      </c>
      <c r="D1238" t="str">
        <f>VLOOKUP(G1238,PathwayLookup!A:B,2,0)</f>
        <v>Reablement &amp; Rehabilitation at home  (pathway 1)</v>
      </c>
      <c r="E1238" t="s">
        <v>203</v>
      </c>
      <c r="F1238" t="s">
        <v>633</v>
      </c>
      <c r="G1238" t="s">
        <v>719</v>
      </c>
      <c r="H1238">
        <v>166</v>
      </c>
      <c r="I1238">
        <v>174</v>
      </c>
      <c r="J1238">
        <v>164</v>
      </c>
      <c r="K1238">
        <v>182</v>
      </c>
      <c r="L1238">
        <v>174</v>
      </c>
      <c r="M1238">
        <v>161</v>
      </c>
      <c r="N1238">
        <v>168</v>
      </c>
      <c r="O1238">
        <v>184</v>
      </c>
      <c r="P1238">
        <v>176</v>
      </c>
      <c r="Q1238">
        <v>196</v>
      </c>
      <c r="R1238">
        <v>186</v>
      </c>
      <c r="S1238">
        <v>169</v>
      </c>
      <c r="T1238">
        <f t="shared" si="59"/>
        <v>2100</v>
      </c>
      <c r="U1238">
        <v>1</v>
      </c>
    </row>
    <row r="1239" spans="1:21" x14ac:dyDescent="0.3">
      <c r="A1239" t="str">
        <f t="shared" si="57"/>
        <v>LeicesterShort term domiciliary care (pathway 1)1</v>
      </c>
      <c r="B1239">
        <f>IF(C1239="","",COUNTIF($C$2:C1239,C1239))</f>
        <v>1</v>
      </c>
      <c r="C1239" t="str">
        <f t="shared" si="58"/>
        <v>LeicesterShort term domiciliary care (pathway 1)</v>
      </c>
      <c r="D1239" t="str">
        <f>VLOOKUP(G1239,PathwayLookup!A:B,2,0)</f>
        <v>Short term domiciliary care (pathway 1)</v>
      </c>
      <c r="E1239" t="s">
        <v>203</v>
      </c>
      <c r="F1239" t="s">
        <v>533</v>
      </c>
      <c r="G1239" t="s">
        <v>684</v>
      </c>
      <c r="H1239">
        <v>55</v>
      </c>
      <c r="I1239">
        <v>80</v>
      </c>
      <c r="J1239">
        <v>63</v>
      </c>
      <c r="K1239">
        <v>68</v>
      </c>
      <c r="L1239">
        <v>88</v>
      </c>
      <c r="M1239">
        <v>64</v>
      </c>
      <c r="N1239">
        <v>84</v>
      </c>
      <c r="O1239">
        <v>71</v>
      </c>
      <c r="P1239">
        <v>65</v>
      </c>
      <c r="Q1239">
        <v>88</v>
      </c>
      <c r="R1239">
        <v>79</v>
      </c>
      <c r="S1239">
        <v>97</v>
      </c>
      <c r="T1239">
        <f t="shared" si="59"/>
        <v>902</v>
      </c>
      <c r="U1239">
        <v>1</v>
      </c>
    </row>
    <row r="1240" spans="1:21" x14ac:dyDescent="0.3">
      <c r="A1240" t="str">
        <f t="shared" si="57"/>
        <v/>
      </c>
      <c r="B1240" t="str">
        <f>IF(C1240="","",COUNTIF($C$2:C1240,C1240))</f>
        <v/>
      </c>
      <c r="C1240" t="str">
        <f t="shared" si="58"/>
        <v/>
      </c>
      <c r="D1240" t="str">
        <f>VLOOKUP(G1240,PathwayLookup!A:B,2,0)</f>
        <v>Short term domiciliary care (pathway 1)</v>
      </c>
      <c r="E1240" t="s">
        <v>203</v>
      </c>
      <c r="F1240" t="s">
        <v>633</v>
      </c>
      <c r="G1240" t="s">
        <v>684</v>
      </c>
      <c r="H1240">
        <v>0</v>
      </c>
      <c r="I1240">
        <v>0</v>
      </c>
      <c r="J1240">
        <v>0</v>
      </c>
      <c r="K1240">
        <v>0</v>
      </c>
      <c r="L1240">
        <v>0</v>
      </c>
      <c r="M1240">
        <v>0</v>
      </c>
      <c r="N1240">
        <v>0</v>
      </c>
      <c r="O1240">
        <v>0</v>
      </c>
      <c r="P1240">
        <v>0</v>
      </c>
      <c r="Q1240">
        <v>0</v>
      </c>
      <c r="R1240">
        <v>0</v>
      </c>
      <c r="S1240">
        <v>0</v>
      </c>
      <c r="T1240">
        <f t="shared" si="59"/>
        <v>0</v>
      </c>
      <c r="U1240">
        <v>1</v>
      </c>
    </row>
    <row r="1241" spans="1:21" x14ac:dyDescent="0.3">
      <c r="A1241" t="str">
        <f t="shared" si="57"/>
        <v/>
      </c>
      <c r="B1241" t="str">
        <f>IF(C1241="","",COUNTIF($C$2:C1241,C1241))</f>
        <v/>
      </c>
      <c r="C1241" t="str">
        <f t="shared" si="58"/>
        <v/>
      </c>
      <c r="D1241" t="str">
        <f>VLOOKUP(G1241,PathwayLookup!A:B,2,0)</f>
        <v>Reablement &amp; Rehabilitation in a bedded setting (pathway 2)</v>
      </c>
      <c r="E1241" t="s">
        <v>203</v>
      </c>
      <c r="F1241" t="s">
        <v>533</v>
      </c>
      <c r="G1241" t="s">
        <v>722</v>
      </c>
      <c r="H1241">
        <v>0</v>
      </c>
      <c r="I1241">
        <v>0</v>
      </c>
      <c r="J1241">
        <v>0</v>
      </c>
      <c r="K1241">
        <v>0</v>
      </c>
      <c r="L1241">
        <v>0</v>
      </c>
      <c r="M1241">
        <v>0</v>
      </c>
      <c r="N1241">
        <v>0</v>
      </c>
      <c r="O1241">
        <v>0</v>
      </c>
      <c r="P1241">
        <v>0</v>
      </c>
      <c r="Q1241">
        <v>0</v>
      </c>
      <c r="R1241">
        <v>0</v>
      </c>
      <c r="S1241">
        <v>0</v>
      </c>
      <c r="T1241">
        <f t="shared" si="59"/>
        <v>0</v>
      </c>
      <c r="U1241">
        <v>1</v>
      </c>
    </row>
    <row r="1242" spans="1:21" x14ac:dyDescent="0.3">
      <c r="A1242" t="str">
        <f t="shared" si="57"/>
        <v>LeicesterReablement &amp; Rehabilitation in a bedded setting (pathway 2)1</v>
      </c>
      <c r="B1242">
        <f>IF(C1242="","",COUNTIF($C$2:C1242,C1242))</f>
        <v>1</v>
      </c>
      <c r="C1242" t="str">
        <f t="shared" si="58"/>
        <v>LeicesterReablement in a bedded setting (pathway 2)</v>
      </c>
      <c r="D1242" t="str">
        <f>VLOOKUP(G1242,PathwayLookup!A:B,2,0)</f>
        <v>Reablement &amp; Rehabilitation in a bedded setting (pathway 2)</v>
      </c>
      <c r="E1242" t="s">
        <v>203</v>
      </c>
      <c r="F1242" t="s">
        <v>633</v>
      </c>
      <c r="G1242" t="s">
        <v>722</v>
      </c>
      <c r="H1242">
        <v>77</v>
      </c>
      <c r="I1242">
        <v>91</v>
      </c>
      <c r="J1242">
        <v>77</v>
      </c>
      <c r="K1242">
        <v>61</v>
      </c>
      <c r="L1242">
        <v>72</v>
      </c>
      <c r="M1242">
        <v>73</v>
      </c>
      <c r="N1242">
        <v>62</v>
      </c>
      <c r="O1242">
        <v>81</v>
      </c>
      <c r="P1242">
        <v>62</v>
      </c>
      <c r="Q1242">
        <v>66</v>
      </c>
      <c r="R1242">
        <v>51</v>
      </c>
      <c r="S1242">
        <v>62</v>
      </c>
      <c r="T1242">
        <f t="shared" si="59"/>
        <v>835</v>
      </c>
      <c r="U1242">
        <v>1</v>
      </c>
    </row>
    <row r="1243" spans="1:21" x14ac:dyDescent="0.3">
      <c r="A1243" t="str">
        <f t="shared" si="57"/>
        <v/>
      </c>
      <c r="B1243" t="str">
        <f>IF(C1243="","",COUNTIF($C$2:C1243,C1243))</f>
        <v/>
      </c>
      <c r="C1243" t="str">
        <f t="shared" si="58"/>
        <v/>
      </c>
      <c r="D1243" t="str">
        <f>VLOOKUP(G1243,PathwayLookup!A:B,2,0)</f>
        <v>Reablement &amp; Rehabilitation in a bedded setting (pathway 2)</v>
      </c>
      <c r="E1243" t="s">
        <v>203</v>
      </c>
      <c r="F1243" t="s">
        <v>533</v>
      </c>
      <c r="G1243" t="s">
        <v>724</v>
      </c>
      <c r="H1243">
        <v>0</v>
      </c>
      <c r="I1243">
        <v>0</v>
      </c>
      <c r="J1243">
        <v>0</v>
      </c>
      <c r="K1243">
        <v>0</v>
      </c>
      <c r="L1243">
        <v>0</v>
      </c>
      <c r="M1243">
        <v>0</v>
      </c>
      <c r="N1243">
        <v>0</v>
      </c>
      <c r="O1243">
        <v>0</v>
      </c>
      <c r="P1243">
        <v>0</v>
      </c>
      <c r="Q1243">
        <v>0</v>
      </c>
      <c r="R1243">
        <v>0</v>
      </c>
      <c r="S1243">
        <v>0</v>
      </c>
      <c r="T1243">
        <f t="shared" si="59"/>
        <v>0</v>
      </c>
      <c r="U1243">
        <v>1</v>
      </c>
    </row>
    <row r="1244" spans="1:21" x14ac:dyDescent="0.3">
      <c r="A1244" t="str">
        <f t="shared" si="57"/>
        <v>LeicesterReablement &amp; Rehabilitation in a bedded setting (pathway 2)1</v>
      </c>
      <c r="B1244">
        <f>IF(C1244="","",COUNTIF($C$2:C1244,C1244))</f>
        <v>1</v>
      </c>
      <c r="C1244" t="str">
        <f t="shared" si="58"/>
        <v>LeicesterRehabilitation in a bedded setting (pathway 2)</v>
      </c>
      <c r="D1244" t="str">
        <f>VLOOKUP(G1244,PathwayLookup!A:B,2,0)</f>
        <v>Reablement &amp; Rehabilitation in a bedded setting (pathway 2)</v>
      </c>
      <c r="E1244" t="s">
        <v>203</v>
      </c>
      <c r="F1244" t="s">
        <v>633</v>
      </c>
      <c r="G1244" t="s">
        <v>724</v>
      </c>
      <c r="H1244">
        <v>91</v>
      </c>
      <c r="I1244">
        <v>91</v>
      </c>
      <c r="J1244">
        <v>94</v>
      </c>
      <c r="K1244">
        <v>100</v>
      </c>
      <c r="L1244">
        <v>103</v>
      </c>
      <c r="M1244">
        <v>98</v>
      </c>
      <c r="N1244">
        <v>117</v>
      </c>
      <c r="O1244">
        <v>112</v>
      </c>
      <c r="P1244">
        <v>120</v>
      </c>
      <c r="Q1244">
        <v>121</v>
      </c>
      <c r="R1244">
        <v>100</v>
      </c>
      <c r="S1244">
        <v>116</v>
      </c>
      <c r="T1244">
        <f t="shared" si="59"/>
        <v>1263</v>
      </c>
      <c r="U1244">
        <v>1</v>
      </c>
    </row>
    <row r="1245" spans="1:21" x14ac:dyDescent="0.3">
      <c r="A1245" t="str">
        <f t="shared" si="57"/>
        <v>LeicesterShort-term residential/nursing care for someone likely to require a longer-term care home placement (pathway 3)1</v>
      </c>
      <c r="B1245">
        <f>IF(C1245="","",COUNTIF($C$2:C1245,C1245))</f>
        <v>1</v>
      </c>
      <c r="C1245" t="str">
        <f t="shared" si="58"/>
        <v>LeicesterShort-term residential/nursing care for someone likely to require a longer-term care home placement (pathway 3)</v>
      </c>
      <c r="D1245" t="str">
        <f>VLOOKUP(G1245,PathwayLookup!A:B,2,0)</f>
        <v>Short-term residential/nursing care for someone likely to require a longer-term care home placement (pathway 3)</v>
      </c>
      <c r="E1245" t="s">
        <v>203</v>
      </c>
      <c r="F1245" t="s">
        <v>633</v>
      </c>
      <c r="G1245" t="s">
        <v>686</v>
      </c>
      <c r="H1245">
        <v>5.796610169491526</v>
      </c>
      <c r="I1245">
        <v>8.3728813559322042</v>
      </c>
      <c r="J1245">
        <v>7.0847457627118642</v>
      </c>
      <c r="K1245">
        <v>5.796610169491526</v>
      </c>
      <c r="L1245">
        <v>8.3728813559322042</v>
      </c>
      <c r="M1245">
        <v>5.796610169491526</v>
      </c>
      <c r="N1245">
        <v>6.4406779661016955</v>
      </c>
      <c r="O1245">
        <v>8.3728813559322042</v>
      </c>
      <c r="P1245">
        <v>9.0169491525423737</v>
      </c>
      <c r="Q1245">
        <v>7.0847457627118642</v>
      </c>
      <c r="R1245">
        <v>6.4406779661016955</v>
      </c>
      <c r="S1245">
        <v>7.7288135593220355</v>
      </c>
      <c r="T1245">
        <f t="shared" si="59"/>
        <v>86.305084745762727</v>
      </c>
      <c r="U1245">
        <v>1</v>
      </c>
    </row>
    <row r="1246" spans="1:21" x14ac:dyDescent="0.3">
      <c r="A1246" t="str">
        <f t="shared" si="57"/>
        <v/>
      </c>
      <c r="B1246" t="str">
        <f>IF(C1246="","",COUNTIF($C$2:C1246,C1246))</f>
        <v/>
      </c>
      <c r="C1246" t="str">
        <f t="shared" si="58"/>
        <v/>
      </c>
      <c r="D1246" t="str">
        <f>VLOOKUP(G1246,PathwayLookup!A:B,2,0)</f>
        <v>Social support (including VCS) (pathway 0)</v>
      </c>
      <c r="E1246" t="s">
        <v>205</v>
      </c>
      <c r="F1246" t="s">
        <v>533</v>
      </c>
      <c r="G1246" t="s">
        <v>682</v>
      </c>
      <c r="H1246">
        <v>0</v>
      </c>
      <c r="I1246">
        <v>0</v>
      </c>
      <c r="J1246">
        <v>0</v>
      </c>
      <c r="K1246">
        <v>0</v>
      </c>
      <c r="L1246">
        <v>0</v>
      </c>
      <c r="M1246">
        <v>0</v>
      </c>
      <c r="N1246">
        <v>0</v>
      </c>
      <c r="O1246">
        <v>0</v>
      </c>
      <c r="P1246">
        <v>0</v>
      </c>
      <c r="Q1246">
        <v>0</v>
      </c>
      <c r="R1246">
        <v>0</v>
      </c>
      <c r="S1246">
        <v>0</v>
      </c>
      <c r="T1246">
        <f t="shared" si="59"/>
        <v>0</v>
      </c>
      <c r="U1246">
        <v>1</v>
      </c>
    </row>
    <row r="1247" spans="1:21" x14ac:dyDescent="0.3">
      <c r="A1247" t="str">
        <f t="shared" si="57"/>
        <v>LeicestershireSocial support (including VCS) (pathway 0)1</v>
      </c>
      <c r="B1247">
        <f>IF(C1247="","",COUNTIF($C$2:C1247,C1247))</f>
        <v>1</v>
      </c>
      <c r="C1247" t="str">
        <f t="shared" si="58"/>
        <v>LeicestershireSocial support (including VCS) (pathway 0)</v>
      </c>
      <c r="D1247" t="str">
        <f>VLOOKUP(G1247,PathwayLookup!A:B,2,0)</f>
        <v>Social support (including VCS) (pathway 0)</v>
      </c>
      <c r="E1247" t="s">
        <v>205</v>
      </c>
      <c r="F1247" t="s">
        <v>633</v>
      </c>
      <c r="G1247" t="s">
        <v>682</v>
      </c>
      <c r="H1247">
        <v>43</v>
      </c>
      <c r="I1247">
        <v>44</v>
      </c>
      <c r="J1247">
        <v>50</v>
      </c>
      <c r="K1247">
        <v>63</v>
      </c>
      <c r="L1247">
        <v>46</v>
      </c>
      <c r="M1247">
        <v>46</v>
      </c>
      <c r="N1247">
        <v>50</v>
      </c>
      <c r="O1247">
        <v>84</v>
      </c>
      <c r="P1247">
        <v>91</v>
      </c>
      <c r="Q1247">
        <v>83</v>
      </c>
      <c r="R1247">
        <v>104</v>
      </c>
      <c r="S1247">
        <v>64</v>
      </c>
      <c r="T1247">
        <f t="shared" si="59"/>
        <v>768</v>
      </c>
      <c r="U1247">
        <v>1</v>
      </c>
    </row>
    <row r="1248" spans="1:21" x14ac:dyDescent="0.3">
      <c r="A1248" t="str">
        <f t="shared" si="57"/>
        <v/>
      </c>
      <c r="B1248" t="str">
        <f>IF(C1248="","",COUNTIF($C$2:C1248,C1248))</f>
        <v/>
      </c>
      <c r="C1248" t="str">
        <f t="shared" si="58"/>
        <v/>
      </c>
      <c r="D1248" t="str">
        <f>VLOOKUP(G1248,PathwayLookup!A:B,2,0)</f>
        <v>Reablement &amp; Rehabilitation at home  (pathway 1)</v>
      </c>
      <c r="E1248" t="s">
        <v>205</v>
      </c>
      <c r="F1248" t="s">
        <v>533</v>
      </c>
      <c r="G1248" t="s">
        <v>718</v>
      </c>
      <c r="H1248">
        <v>0</v>
      </c>
      <c r="I1248">
        <v>0</v>
      </c>
      <c r="J1248">
        <v>0</v>
      </c>
      <c r="K1248">
        <v>0</v>
      </c>
      <c r="L1248">
        <v>0</v>
      </c>
      <c r="M1248">
        <v>0</v>
      </c>
      <c r="N1248">
        <v>0</v>
      </c>
      <c r="O1248">
        <v>0</v>
      </c>
      <c r="P1248">
        <v>0</v>
      </c>
      <c r="Q1248">
        <v>0</v>
      </c>
      <c r="R1248">
        <v>0</v>
      </c>
      <c r="S1248">
        <v>0</v>
      </c>
      <c r="T1248">
        <f t="shared" si="59"/>
        <v>0</v>
      </c>
      <c r="U1248">
        <v>1</v>
      </c>
    </row>
    <row r="1249" spans="1:21" x14ac:dyDescent="0.3">
      <c r="A1249" t="str">
        <f t="shared" si="57"/>
        <v>LeicestershireReablement &amp; Rehabilitation at home  (pathway 1)1</v>
      </c>
      <c r="B1249">
        <f>IF(C1249="","",COUNTIF($C$2:C1249,C1249))</f>
        <v>1</v>
      </c>
      <c r="C1249" t="str">
        <f t="shared" si="58"/>
        <v>LeicestershireReablement at home  (pathway 1)</v>
      </c>
      <c r="D1249" t="str">
        <f>VLOOKUP(G1249,PathwayLookup!A:B,2,0)</f>
        <v>Reablement &amp; Rehabilitation at home  (pathway 1)</v>
      </c>
      <c r="E1249" t="s">
        <v>205</v>
      </c>
      <c r="F1249" t="s">
        <v>633</v>
      </c>
      <c r="G1249" t="s">
        <v>718</v>
      </c>
      <c r="H1249">
        <v>245</v>
      </c>
      <c r="I1249">
        <v>259</v>
      </c>
      <c r="J1249">
        <v>230</v>
      </c>
      <c r="K1249">
        <v>274</v>
      </c>
      <c r="L1249">
        <v>279</v>
      </c>
      <c r="M1249">
        <v>258</v>
      </c>
      <c r="N1249">
        <v>275</v>
      </c>
      <c r="O1249">
        <v>260</v>
      </c>
      <c r="P1249">
        <v>270</v>
      </c>
      <c r="Q1249">
        <v>309</v>
      </c>
      <c r="R1249">
        <v>254</v>
      </c>
      <c r="S1249">
        <v>289</v>
      </c>
      <c r="T1249">
        <f t="shared" si="59"/>
        <v>3202</v>
      </c>
      <c r="U1249">
        <v>1</v>
      </c>
    </row>
    <row r="1250" spans="1:21" x14ac:dyDescent="0.3">
      <c r="A1250" t="str">
        <f t="shared" si="57"/>
        <v/>
      </c>
      <c r="B1250" t="str">
        <f>IF(C1250="","",COUNTIF($C$2:C1250,C1250))</f>
        <v/>
      </c>
      <c r="C1250" t="str">
        <f t="shared" si="58"/>
        <v/>
      </c>
      <c r="D1250" t="str">
        <f>VLOOKUP(G1250,PathwayLookup!A:B,2,0)</f>
        <v>Reablement &amp; Rehabilitation at home  (pathway 1)</v>
      </c>
      <c r="E1250" t="s">
        <v>205</v>
      </c>
      <c r="F1250" t="s">
        <v>533</v>
      </c>
      <c r="G1250" t="s">
        <v>719</v>
      </c>
      <c r="H1250">
        <v>0</v>
      </c>
      <c r="I1250">
        <v>0</v>
      </c>
      <c r="J1250">
        <v>0</v>
      </c>
      <c r="K1250">
        <v>0</v>
      </c>
      <c r="L1250">
        <v>0</v>
      </c>
      <c r="M1250">
        <v>0</v>
      </c>
      <c r="N1250">
        <v>0</v>
      </c>
      <c r="O1250">
        <v>0</v>
      </c>
      <c r="P1250">
        <v>0</v>
      </c>
      <c r="Q1250">
        <v>0</v>
      </c>
      <c r="R1250">
        <v>0</v>
      </c>
      <c r="S1250">
        <v>0</v>
      </c>
      <c r="T1250">
        <f t="shared" si="59"/>
        <v>0</v>
      </c>
      <c r="U1250">
        <v>1</v>
      </c>
    </row>
    <row r="1251" spans="1:21" x14ac:dyDescent="0.3">
      <c r="A1251" t="str">
        <f t="shared" si="57"/>
        <v>LeicestershireReablement &amp; Rehabilitation at home  (pathway 1)1</v>
      </c>
      <c r="B1251">
        <f>IF(C1251="","",COUNTIF($C$2:C1251,C1251))</f>
        <v>1</v>
      </c>
      <c r="C1251" t="str">
        <f t="shared" si="58"/>
        <v>LeicestershireRehabilitation at home (pathway 1)</v>
      </c>
      <c r="D1251" t="str">
        <f>VLOOKUP(G1251,PathwayLookup!A:B,2,0)</f>
        <v>Reablement &amp; Rehabilitation at home  (pathway 1)</v>
      </c>
      <c r="E1251" t="s">
        <v>205</v>
      </c>
      <c r="F1251" t="s">
        <v>633</v>
      </c>
      <c r="G1251" t="s">
        <v>719</v>
      </c>
      <c r="H1251">
        <v>258</v>
      </c>
      <c r="I1251">
        <v>270</v>
      </c>
      <c r="J1251">
        <v>255</v>
      </c>
      <c r="K1251">
        <v>282</v>
      </c>
      <c r="L1251">
        <v>271</v>
      </c>
      <c r="M1251">
        <v>250</v>
      </c>
      <c r="N1251">
        <v>261</v>
      </c>
      <c r="O1251">
        <v>286</v>
      </c>
      <c r="P1251">
        <v>273</v>
      </c>
      <c r="Q1251">
        <v>304</v>
      </c>
      <c r="R1251">
        <v>289</v>
      </c>
      <c r="S1251">
        <v>263</v>
      </c>
      <c r="T1251">
        <f t="shared" si="59"/>
        <v>3262</v>
      </c>
      <c r="U1251">
        <v>1</v>
      </c>
    </row>
    <row r="1252" spans="1:21" x14ac:dyDescent="0.3">
      <c r="A1252" t="str">
        <f t="shared" si="57"/>
        <v/>
      </c>
      <c r="B1252" t="str">
        <f>IF(C1252="","",COUNTIF($C$2:C1252,C1252))</f>
        <v/>
      </c>
      <c r="C1252" t="str">
        <f t="shared" si="58"/>
        <v/>
      </c>
      <c r="D1252" t="str">
        <f>VLOOKUP(G1252,PathwayLookup!A:B,2,0)</f>
        <v>Short term domiciliary care (pathway 1)</v>
      </c>
      <c r="E1252" t="s">
        <v>205</v>
      </c>
      <c r="F1252" t="s">
        <v>533</v>
      </c>
      <c r="G1252" t="s">
        <v>684</v>
      </c>
      <c r="H1252">
        <v>0</v>
      </c>
      <c r="I1252">
        <v>0</v>
      </c>
      <c r="J1252">
        <v>0</v>
      </c>
      <c r="K1252">
        <v>0</v>
      </c>
      <c r="L1252">
        <v>0</v>
      </c>
      <c r="M1252">
        <v>0</v>
      </c>
      <c r="N1252">
        <v>0</v>
      </c>
      <c r="O1252">
        <v>0</v>
      </c>
      <c r="P1252">
        <v>0</v>
      </c>
      <c r="Q1252">
        <v>0</v>
      </c>
      <c r="R1252">
        <v>0</v>
      </c>
      <c r="S1252">
        <v>0</v>
      </c>
      <c r="T1252">
        <f t="shared" si="59"/>
        <v>0</v>
      </c>
      <c r="U1252">
        <v>1</v>
      </c>
    </row>
    <row r="1253" spans="1:21" x14ac:dyDescent="0.3">
      <c r="A1253" t="str">
        <f t="shared" si="57"/>
        <v>LeicestershireShort term domiciliary care (pathway 1)1</v>
      </c>
      <c r="B1253">
        <f>IF(C1253="","",COUNTIF($C$2:C1253,C1253))</f>
        <v>1</v>
      </c>
      <c r="C1253" t="str">
        <f t="shared" si="58"/>
        <v>LeicestershireShort term domiciliary care (pathway 1)</v>
      </c>
      <c r="D1253" t="str">
        <f>VLOOKUP(G1253,PathwayLookup!A:B,2,0)</f>
        <v>Short term domiciliary care (pathway 1)</v>
      </c>
      <c r="E1253" t="s">
        <v>205</v>
      </c>
      <c r="F1253" t="s">
        <v>633</v>
      </c>
      <c r="G1253" t="s">
        <v>684</v>
      </c>
      <c r="H1253">
        <v>85</v>
      </c>
      <c r="I1253">
        <v>124</v>
      </c>
      <c r="J1253">
        <v>98</v>
      </c>
      <c r="K1253">
        <v>106</v>
      </c>
      <c r="L1253">
        <v>137</v>
      </c>
      <c r="M1253">
        <v>100</v>
      </c>
      <c r="N1253">
        <v>130</v>
      </c>
      <c r="O1253">
        <v>110</v>
      </c>
      <c r="P1253">
        <v>101</v>
      </c>
      <c r="Q1253">
        <v>136</v>
      </c>
      <c r="R1253">
        <v>123</v>
      </c>
      <c r="S1253">
        <v>150</v>
      </c>
      <c r="T1253">
        <f t="shared" si="59"/>
        <v>1400</v>
      </c>
      <c r="U1253">
        <v>1</v>
      </c>
    </row>
    <row r="1254" spans="1:21" x14ac:dyDescent="0.3">
      <c r="A1254" t="str">
        <f t="shared" si="57"/>
        <v/>
      </c>
      <c r="B1254" t="str">
        <f>IF(C1254="","",COUNTIF($C$2:C1254,C1254))</f>
        <v/>
      </c>
      <c r="C1254" t="str">
        <f t="shared" si="58"/>
        <v/>
      </c>
      <c r="D1254" t="str">
        <f>VLOOKUP(G1254,PathwayLookup!A:B,2,0)</f>
        <v>Reablement &amp; Rehabilitation in a bedded setting (pathway 2)</v>
      </c>
      <c r="E1254" t="s">
        <v>205</v>
      </c>
      <c r="F1254" t="s">
        <v>533</v>
      </c>
      <c r="G1254" t="s">
        <v>722</v>
      </c>
      <c r="H1254">
        <v>0</v>
      </c>
      <c r="I1254">
        <v>0</v>
      </c>
      <c r="J1254">
        <v>0</v>
      </c>
      <c r="K1254">
        <v>0</v>
      </c>
      <c r="L1254">
        <v>0</v>
      </c>
      <c r="M1254">
        <v>0</v>
      </c>
      <c r="N1254">
        <v>0</v>
      </c>
      <c r="O1254">
        <v>0</v>
      </c>
      <c r="P1254">
        <v>0</v>
      </c>
      <c r="Q1254">
        <v>0</v>
      </c>
      <c r="R1254">
        <v>0</v>
      </c>
      <c r="S1254">
        <v>0</v>
      </c>
      <c r="T1254">
        <f t="shared" si="59"/>
        <v>0</v>
      </c>
      <c r="U1254">
        <v>1</v>
      </c>
    </row>
    <row r="1255" spans="1:21" x14ac:dyDescent="0.3">
      <c r="A1255" t="str">
        <f t="shared" si="57"/>
        <v>LeicestershireReablement &amp; Rehabilitation in a bedded setting (pathway 2)1</v>
      </c>
      <c r="B1255">
        <f>IF(C1255="","",COUNTIF($C$2:C1255,C1255))</f>
        <v>1</v>
      </c>
      <c r="C1255" t="str">
        <f t="shared" si="58"/>
        <v>LeicestershireReablement in a bedded setting (pathway 2)</v>
      </c>
      <c r="D1255" t="str">
        <f>VLOOKUP(G1255,PathwayLookup!A:B,2,0)</f>
        <v>Reablement &amp; Rehabilitation in a bedded setting (pathway 2)</v>
      </c>
      <c r="E1255" t="s">
        <v>205</v>
      </c>
      <c r="F1255" t="s">
        <v>633</v>
      </c>
      <c r="G1255" t="s">
        <v>722</v>
      </c>
      <c r="H1255">
        <v>119</v>
      </c>
      <c r="I1255">
        <v>142</v>
      </c>
      <c r="J1255">
        <v>119</v>
      </c>
      <c r="K1255">
        <v>95</v>
      </c>
      <c r="L1255">
        <v>112</v>
      </c>
      <c r="M1255">
        <v>113</v>
      </c>
      <c r="N1255">
        <v>97</v>
      </c>
      <c r="O1255">
        <v>125</v>
      </c>
      <c r="P1255">
        <v>97</v>
      </c>
      <c r="Q1255">
        <v>103</v>
      </c>
      <c r="R1255">
        <v>79</v>
      </c>
      <c r="S1255">
        <v>97</v>
      </c>
      <c r="T1255">
        <f t="shared" si="59"/>
        <v>1298</v>
      </c>
      <c r="U1255">
        <v>1</v>
      </c>
    </row>
    <row r="1256" spans="1:21" x14ac:dyDescent="0.3">
      <c r="A1256" t="str">
        <f t="shared" si="57"/>
        <v/>
      </c>
      <c r="B1256" t="str">
        <f>IF(C1256="","",COUNTIF($C$2:C1256,C1256))</f>
        <v/>
      </c>
      <c r="C1256" t="str">
        <f t="shared" si="58"/>
        <v/>
      </c>
      <c r="D1256" t="str">
        <f>VLOOKUP(G1256,PathwayLookup!A:B,2,0)</f>
        <v>Reablement &amp; Rehabilitation in a bedded setting (pathway 2)</v>
      </c>
      <c r="E1256" t="s">
        <v>205</v>
      </c>
      <c r="F1256" t="s">
        <v>533</v>
      </c>
      <c r="G1256" t="s">
        <v>724</v>
      </c>
      <c r="H1256">
        <v>0</v>
      </c>
      <c r="I1256">
        <v>0</v>
      </c>
      <c r="J1256">
        <v>0</v>
      </c>
      <c r="K1256">
        <v>0</v>
      </c>
      <c r="L1256">
        <v>0</v>
      </c>
      <c r="M1256">
        <v>0</v>
      </c>
      <c r="N1256">
        <v>0</v>
      </c>
      <c r="O1256">
        <v>0</v>
      </c>
      <c r="P1256">
        <v>0</v>
      </c>
      <c r="Q1256">
        <v>0</v>
      </c>
      <c r="R1256">
        <v>0</v>
      </c>
      <c r="S1256">
        <v>0</v>
      </c>
      <c r="T1256">
        <f t="shared" si="59"/>
        <v>0</v>
      </c>
      <c r="U1256">
        <v>1</v>
      </c>
    </row>
    <row r="1257" spans="1:21" x14ac:dyDescent="0.3">
      <c r="A1257" t="str">
        <f t="shared" si="57"/>
        <v>LeicestershireReablement &amp; Rehabilitation in a bedded setting (pathway 2)1</v>
      </c>
      <c r="B1257">
        <f>IF(C1257="","",COUNTIF($C$2:C1257,C1257))</f>
        <v>1</v>
      </c>
      <c r="C1257" t="str">
        <f t="shared" si="58"/>
        <v>LeicestershireRehabilitation in a bedded setting (pathway 2)</v>
      </c>
      <c r="D1257" t="str">
        <f>VLOOKUP(G1257,PathwayLookup!A:B,2,0)</f>
        <v>Reablement &amp; Rehabilitation in a bedded setting (pathway 2)</v>
      </c>
      <c r="E1257" t="s">
        <v>205</v>
      </c>
      <c r="F1257" t="s">
        <v>633</v>
      </c>
      <c r="G1257" t="s">
        <v>724</v>
      </c>
      <c r="H1257">
        <v>146</v>
      </c>
      <c r="I1257">
        <v>146</v>
      </c>
      <c r="J1257">
        <v>149</v>
      </c>
      <c r="K1257">
        <v>160</v>
      </c>
      <c r="L1257">
        <v>164</v>
      </c>
      <c r="M1257">
        <v>157</v>
      </c>
      <c r="N1257">
        <v>187</v>
      </c>
      <c r="O1257">
        <v>179</v>
      </c>
      <c r="P1257">
        <v>192</v>
      </c>
      <c r="Q1257">
        <v>193</v>
      </c>
      <c r="R1257">
        <v>159</v>
      </c>
      <c r="S1257">
        <v>185</v>
      </c>
      <c r="T1257">
        <f t="shared" si="59"/>
        <v>2017</v>
      </c>
      <c r="U1257">
        <v>1</v>
      </c>
    </row>
    <row r="1258" spans="1:21" x14ac:dyDescent="0.3">
      <c r="A1258" t="str">
        <f t="shared" si="57"/>
        <v/>
      </c>
      <c r="B1258" t="str">
        <f>IF(C1258="","",COUNTIF($C$2:C1258,C1258))</f>
        <v/>
      </c>
      <c r="C1258" t="str">
        <f t="shared" si="58"/>
        <v/>
      </c>
      <c r="D1258" t="str">
        <f>VLOOKUP(G1258,PathwayLookup!A:B,2,0)</f>
        <v>Short-term residential/nursing care for someone likely to require a longer-term care home placement (pathway 3)</v>
      </c>
      <c r="E1258" t="s">
        <v>205</v>
      </c>
      <c r="F1258" t="s">
        <v>533</v>
      </c>
      <c r="G1258" t="s">
        <v>686</v>
      </c>
      <c r="H1258">
        <v>0</v>
      </c>
      <c r="I1258">
        <v>0</v>
      </c>
      <c r="J1258">
        <v>0</v>
      </c>
      <c r="K1258">
        <v>0</v>
      </c>
      <c r="L1258">
        <v>0</v>
      </c>
      <c r="M1258">
        <v>0</v>
      </c>
      <c r="N1258">
        <v>0</v>
      </c>
      <c r="O1258">
        <v>0</v>
      </c>
      <c r="P1258">
        <v>0</v>
      </c>
      <c r="Q1258">
        <v>0</v>
      </c>
      <c r="R1258">
        <v>0</v>
      </c>
      <c r="S1258">
        <v>0</v>
      </c>
      <c r="T1258">
        <f t="shared" si="59"/>
        <v>0</v>
      </c>
      <c r="U1258">
        <v>1</v>
      </c>
    </row>
    <row r="1259" spans="1:21" x14ac:dyDescent="0.3">
      <c r="A1259" t="str">
        <f t="shared" si="57"/>
        <v>LeicestershireShort-term residential/nursing care for someone likely to require a longer-term care home placement (pathway 3)1</v>
      </c>
      <c r="B1259">
        <f>IF(C1259="","",COUNTIF($C$2:C1259,C1259))</f>
        <v>1</v>
      </c>
      <c r="C1259" t="str">
        <f t="shared" si="58"/>
        <v>LeicestershireShort-term residential/nursing care for someone likely to require a longer-term care home placement (pathway 3)</v>
      </c>
      <c r="D1259" t="str">
        <f>VLOOKUP(G1259,PathwayLookup!A:B,2,0)</f>
        <v>Short-term residential/nursing care for someone likely to require a longer-term care home placement (pathway 3)</v>
      </c>
      <c r="E1259" t="s">
        <v>205</v>
      </c>
      <c r="F1259" t="s">
        <v>633</v>
      </c>
      <c r="G1259" t="s">
        <v>686</v>
      </c>
      <c r="H1259">
        <v>9</v>
      </c>
      <c r="I1259">
        <v>13</v>
      </c>
      <c r="J1259">
        <v>11</v>
      </c>
      <c r="K1259">
        <v>9</v>
      </c>
      <c r="L1259">
        <v>13</v>
      </c>
      <c r="M1259">
        <v>9</v>
      </c>
      <c r="N1259">
        <v>10</v>
      </c>
      <c r="O1259">
        <v>13</v>
      </c>
      <c r="P1259">
        <v>14</v>
      </c>
      <c r="Q1259">
        <v>11</v>
      </c>
      <c r="R1259">
        <v>10</v>
      </c>
      <c r="S1259">
        <v>12</v>
      </c>
      <c r="T1259">
        <f t="shared" si="59"/>
        <v>134</v>
      </c>
      <c r="U1259">
        <v>1</v>
      </c>
    </row>
    <row r="1260" spans="1:21" x14ac:dyDescent="0.3">
      <c r="A1260" t="str">
        <f t="shared" si="57"/>
        <v>LewishamSocial support (including VCS) (pathway 0)1</v>
      </c>
      <c r="B1260">
        <f>IF(C1260="","",COUNTIF($C$2:C1260,C1260))</f>
        <v>1</v>
      </c>
      <c r="C1260" t="str">
        <f t="shared" si="58"/>
        <v>LewishamSocial support (including VCS) (pathway 0)</v>
      </c>
      <c r="D1260" t="str">
        <f>VLOOKUP(G1260,PathwayLookup!A:B,2,0)</f>
        <v>Social support (including VCS) (pathway 0)</v>
      </c>
      <c r="E1260" t="s">
        <v>207</v>
      </c>
      <c r="F1260" t="s">
        <v>510</v>
      </c>
      <c r="G1260" t="s">
        <v>682</v>
      </c>
      <c r="H1260">
        <v>2.58</v>
      </c>
      <c r="I1260">
        <v>2.64</v>
      </c>
      <c r="J1260">
        <v>4.0199999999999996</v>
      </c>
      <c r="K1260">
        <v>3.06</v>
      </c>
      <c r="L1260">
        <v>3.06</v>
      </c>
      <c r="M1260">
        <v>3.06</v>
      </c>
      <c r="N1260">
        <v>3.06</v>
      </c>
      <c r="O1260">
        <v>3.06</v>
      </c>
      <c r="P1260">
        <v>3.06</v>
      </c>
      <c r="Q1260">
        <v>3.06</v>
      </c>
      <c r="R1260">
        <v>3.06</v>
      </c>
      <c r="S1260">
        <v>3.06</v>
      </c>
      <c r="T1260">
        <f t="shared" si="59"/>
        <v>36.78</v>
      </c>
      <c r="U1260">
        <v>1</v>
      </c>
    </row>
    <row r="1261" spans="1:21" x14ac:dyDescent="0.3">
      <c r="A1261" t="str">
        <f t="shared" si="57"/>
        <v>LewishamReablement &amp; Rehabilitation at home  (pathway 1)1</v>
      </c>
      <c r="B1261">
        <f>IF(C1261="","",COUNTIF($C$2:C1261,C1261))</f>
        <v>1</v>
      </c>
      <c r="C1261" t="str">
        <f t="shared" si="58"/>
        <v>LewishamReablement at home  (pathway 1)</v>
      </c>
      <c r="D1261" t="str">
        <f>VLOOKUP(G1261,PathwayLookup!A:B,2,0)</f>
        <v>Reablement &amp; Rehabilitation at home  (pathway 1)</v>
      </c>
      <c r="E1261" t="s">
        <v>207</v>
      </c>
      <c r="F1261" t="s">
        <v>510</v>
      </c>
      <c r="G1261" t="s">
        <v>718</v>
      </c>
      <c r="H1261">
        <v>27</v>
      </c>
      <c r="I1261">
        <v>29</v>
      </c>
      <c r="J1261">
        <v>28</v>
      </c>
      <c r="K1261">
        <v>20</v>
      </c>
      <c r="L1261">
        <v>27</v>
      </c>
      <c r="M1261">
        <v>28</v>
      </c>
      <c r="N1261">
        <v>27</v>
      </c>
      <c r="O1261">
        <v>29</v>
      </c>
      <c r="P1261">
        <v>27</v>
      </c>
      <c r="Q1261">
        <v>27</v>
      </c>
      <c r="R1261">
        <v>26</v>
      </c>
      <c r="S1261">
        <v>27</v>
      </c>
      <c r="T1261">
        <f t="shared" si="59"/>
        <v>322</v>
      </c>
      <c r="U1261">
        <v>1</v>
      </c>
    </row>
    <row r="1262" spans="1:21" x14ac:dyDescent="0.3">
      <c r="A1262" t="str">
        <f t="shared" si="57"/>
        <v>LewishamReablement &amp; Rehabilitation in a bedded setting (pathway 2)1</v>
      </c>
      <c r="B1262">
        <f>IF(C1262="","",COUNTIF($C$2:C1262,C1262))</f>
        <v>1</v>
      </c>
      <c r="C1262" t="str">
        <f t="shared" si="58"/>
        <v>LewishamRehabilitation in a bedded setting (pathway 2)</v>
      </c>
      <c r="D1262" t="str">
        <f>VLOOKUP(G1262,PathwayLookup!A:B,2,0)</f>
        <v>Reablement &amp; Rehabilitation in a bedded setting (pathway 2)</v>
      </c>
      <c r="E1262" t="s">
        <v>207</v>
      </c>
      <c r="F1262" t="s">
        <v>510</v>
      </c>
      <c r="G1262" t="s">
        <v>724</v>
      </c>
      <c r="H1262">
        <v>2</v>
      </c>
      <c r="I1262">
        <v>2</v>
      </c>
      <c r="J1262">
        <v>2</v>
      </c>
      <c r="K1262">
        <v>2</v>
      </c>
      <c r="L1262">
        <v>2</v>
      </c>
      <c r="M1262">
        <v>2</v>
      </c>
      <c r="N1262">
        <v>2</v>
      </c>
      <c r="O1262">
        <v>2</v>
      </c>
      <c r="P1262">
        <v>2</v>
      </c>
      <c r="Q1262">
        <v>2</v>
      </c>
      <c r="R1262">
        <v>2</v>
      </c>
      <c r="S1262">
        <v>2</v>
      </c>
      <c r="T1262">
        <f t="shared" si="59"/>
        <v>24</v>
      </c>
      <c r="U1262">
        <v>1</v>
      </c>
    </row>
    <row r="1263" spans="1:21" x14ac:dyDescent="0.3">
      <c r="A1263" t="str">
        <f t="shared" si="57"/>
        <v>LincolnshireSocial support (including VCS) (pathway 0)1</v>
      </c>
      <c r="B1263">
        <f>IF(C1263="","",COUNTIF($C$2:C1263,C1263))</f>
        <v>1</v>
      </c>
      <c r="C1263" t="str">
        <f t="shared" si="58"/>
        <v>LincolnshireSocial support (including VCS) (pathway 0)</v>
      </c>
      <c r="D1263" t="str">
        <f>VLOOKUP(G1263,PathwayLookup!A:B,2,0)</f>
        <v>Social support (including VCS) (pathway 0)</v>
      </c>
      <c r="E1263" t="s">
        <v>209</v>
      </c>
      <c r="F1263" t="s">
        <v>625</v>
      </c>
      <c r="G1263" t="s">
        <v>682</v>
      </c>
      <c r="H1263">
        <v>5140</v>
      </c>
      <c r="I1263">
        <v>5602</v>
      </c>
      <c r="J1263">
        <v>5320</v>
      </c>
      <c r="K1263">
        <v>5405</v>
      </c>
      <c r="L1263">
        <v>5379</v>
      </c>
      <c r="M1263">
        <v>5274</v>
      </c>
      <c r="N1263">
        <v>5520</v>
      </c>
      <c r="O1263">
        <v>5861</v>
      </c>
      <c r="P1263">
        <v>5850</v>
      </c>
      <c r="Q1263">
        <v>5752</v>
      </c>
      <c r="R1263">
        <v>5281</v>
      </c>
      <c r="S1263">
        <v>5913</v>
      </c>
      <c r="T1263">
        <f t="shared" si="59"/>
        <v>66297</v>
      </c>
      <c r="U1263">
        <v>1</v>
      </c>
    </row>
    <row r="1264" spans="1:21" x14ac:dyDescent="0.3">
      <c r="A1264" t="str">
        <f t="shared" si="57"/>
        <v>LincolnshireReablement &amp; Rehabilitation at home  (pathway 1)1</v>
      </c>
      <c r="B1264">
        <f>IF(C1264="","",COUNTIF($C$2:C1264,C1264))</f>
        <v>1</v>
      </c>
      <c r="C1264" t="str">
        <f t="shared" si="58"/>
        <v>LincolnshireReablement at home  (pathway 1)</v>
      </c>
      <c r="D1264" t="str">
        <f>VLOOKUP(G1264,PathwayLookup!A:B,2,0)</f>
        <v>Reablement &amp; Rehabilitation at home  (pathway 1)</v>
      </c>
      <c r="E1264" t="s">
        <v>209</v>
      </c>
      <c r="F1264" t="s">
        <v>625</v>
      </c>
      <c r="G1264" t="s">
        <v>718</v>
      </c>
      <c r="H1264">
        <v>360</v>
      </c>
      <c r="I1264">
        <v>372</v>
      </c>
      <c r="J1264">
        <v>360</v>
      </c>
      <c r="K1264">
        <v>372</v>
      </c>
      <c r="L1264">
        <v>372</v>
      </c>
      <c r="M1264">
        <v>360</v>
      </c>
      <c r="N1264">
        <v>372</v>
      </c>
      <c r="O1264">
        <v>360</v>
      </c>
      <c r="P1264">
        <v>372</v>
      </c>
      <c r="Q1264">
        <v>372</v>
      </c>
      <c r="R1264">
        <v>348</v>
      </c>
      <c r="S1264">
        <v>372</v>
      </c>
      <c r="T1264">
        <f t="shared" si="59"/>
        <v>4392</v>
      </c>
      <c r="U1264">
        <v>1</v>
      </c>
    </row>
    <row r="1265" spans="1:21" x14ac:dyDescent="0.3">
      <c r="A1265" t="str">
        <f t="shared" si="57"/>
        <v>LincolnshireReablement &amp; Rehabilitation at home  (pathway 1)1</v>
      </c>
      <c r="B1265">
        <f>IF(C1265="","",COUNTIF($C$2:C1265,C1265))</f>
        <v>1</v>
      </c>
      <c r="C1265" t="str">
        <f t="shared" si="58"/>
        <v>LincolnshireRehabilitation at home (pathway 1)</v>
      </c>
      <c r="D1265" t="str">
        <f>VLOOKUP(G1265,PathwayLookup!A:B,2,0)</f>
        <v>Reablement &amp; Rehabilitation at home  (pathway 1)</v>
      </c>
      <c r="E1265" t="s">
        <v>209</v>
      </c>
      <c r="F1265" t="s">
        <v>625</v>
      </c>
      <c r="G1265" t="s">
        <v>719</v>
      </c>
      <c r="H1265">
        <v>605</v>
      </c>
      <c r="I1265">
        <v>659</v>
      </c>
      <c r="J1265">
        <v>626</v>
      </c>
      <c r="K1265">
        <v>636</v>
      </c>
      <c r="L1265">
        <v>633</v>
      </c>
      <c r="M1265">
        <v>620</v>
      </c>
      <c r="N1265">
        <v>649</v>
      </c>
      <c r="O1265">
        <v>689</v>
      </c>
      <c r="P1265">
        <v>688</v>
      </c>
      <c r="Q1265">
        <v>677</v>
      </c>
      <c r="R1265">
        <v>621</v>
      </c>
      <c r="S1265">
        <v>696</v>
      </c>
      <c r="T1265">
        <f t="shared" si="59"/>
        <v>7799</v>
      </c>
      <c r="U1265">
        <v>1</v>
      </c>
    </row>
    <row r="1266" spans="1:21" x14ac:dyDescent="0.3">
      <c r="A1266" t="str">
        <f t="shared" si="57"/>
        <v>LincolnshireReablement &amp; Rehabilitation in a bedded setting (pathway 2)1</v>
      </c>
      <c r="B1266">
        <f>IF(C1266="","",COUNTIF($C$2:C1266,C1266))</f>
        <v>1</v>
      </c>
      <c r="C1266" t="str">
        <f t="shared" si="58"/>
        <v>LincolnshireRehabilitation in a bedded setting (pathway 2)</v>
      </c>
      <c r="D1266" t="str">
        <f>VLOOKUP(G1266,PathwayLookup!A:B,2,0)</f>
        <v>Reablement &amp; Rehabilitation in a bedded setting (pathway 2)</v>
      </c>
      <c r="E1266" t="s">
        <v>209</v>
      </c>
      <c r="F1266" t="s">
        <v>625</v>
      </c>
      <c r="G1266" t="s">
        <v>724</v>
      </c>
      <c r="H1266">
        <v>242</v>
      </c>
      <c r="I1266">
        <v>264</v>
      </c>
      <c r="J1266">
        <v>250</v>
      </c>
      <c r="K1266">
        <v>254</v>
      </c>
      <c r="L1266">
        <v>253</v>
      </c>
      <c r="M1266">
        <v>248</v>
      </c>
      <c r="N1266">
        <v>260</v>
      </c>
      <c r="O1266">
        <v>276</v>
      </c>
      <c r="P1266">
        <v>275</v>
      </c>
      <c r="Q1266">
        <v>271</v>
      </c>
      <c r="R1266">
        <v>249</v>
      </c>
      <c r="S1266">
        <v>278</v>
      </c>
      <c r="T1266">
        <f t="shared" si="59"/>
        <v>3120</v>
      </c>
      <c r="U1266">
        <v>1</v>
      </c>
    </row>
    <row r="1267" spans="1:21" x14ac:dyDescent="0.3">
      <c r="A1267" t="str">
        <f t="shared" si="57"/>
        <v>LincolnshireShort term domiciliary care (pathway 1)1</v>
      </c>
      <c r="B1267">
        <f>IF(C1267="","",COUNTIF($C$2:C1267,C1267))</f>
        <v>1</v>
      </c>
      <c r="C1267" t="str">
        <f t="shared" si="58"/>
        <v>LincolnshireShort term domiciliary care (pathway 1)</v>
      </c>
      <c r="D1267" t="str">
        <f>VLOOKUP(G1267,PathwayLookup!A:B,2,0)</f>
        <v>Short term domiciliary care (pathway 1)</v>
      </c>
      <c r="E1267" t="s">
        <v>209</v>
      </c>
      <c r="F1267" t="s">
        <v>625</v>
      </c>
      <c r="G1267" t="s">
        <v>684</v>
      </c>
      <c r="H1267">
        <v>60</v>
      </c>
      <c r="I1267">
        <v>66</v>
      </c>
      <c r="J1267">
        <v>63</v>
      </c>
      <c r="K1267">
        <v>64</v>
      </c>
      <c r="L1267">
        <v>63</v>
      </c>
      <c r="M1267">
        <v>62</v>
      </c>
      <c r="N1267">
        <v>65</v>
      </c>
      <c r="O1267">
        <v>69</v>
      </c>
      <c r="P1267">
        <v>69</v>
      </c>
      <c r="Q1267">
        <v>68</v>
      </c>
      <c r="R1267">
        <v>62</v>
      </c>
      <c r="S1267">
        <v>70</v>
      </c>
      <c r="T1267">
        <f t="shared" si="59"/>
        <v>781</v>
      </c>
      <c r="U1267">
        <v>1</v>
      </c>
    </row>
    <row r="1268" spans="1:21" x14ac:dyDescent="0.3">
      <c r="A1268" t="str">
        <f t="shared" si="57"/>
        <v>LiverpoolReablement &amp; Rehabilitation at home  (pathway 1)1</v>
      </c>
      <c r="B1268">
        <f>IF(C1268="","",COUNTIF($C$2:C1268,C1268))</f>
        <v>1</v>
      </c>
      <c r="C1268" t="str">
        <f t="shared" si="58"/>
        <v>LiverpoolReablement at home  (pathway 1)</v>
      </c>
      <c r="D1268" t="str">
        <f>VLOOKUP(G1268,PathwayLookup!A:B,2,0)</f>
        <v>Reablement &amp; Rehabilitation at home  (pathway 1)</v>
      </c>
      <c r="E1268" t="s">
        <v>211</v>
      </c>
      <c r="F1268" t="s">
        <v>538</v>
      </c>
      <c r="G1268" t="s">
        <v>718</v>
      </c>
      <c r="H1268">
        <v>148</v>
      </c>
      <c r="I1268">
        <v>213</v>
      </c>
      <c r="J1268">
        <v>222</v>
      </c>
      <c r="K1268">
        <v>228</v>
      </c>
      <c r="L1268">
        <v>226</v>
      </c>
      <c r="M1268">
        <v>227</v>
      </c>
      <c r="N1268">
        <v>234</v>
      </c>
      <c r="O1268">
        <v>235</v>
      </c>
      <c r="P1268">
        <v>241</v>
      </c>
      <c r="Q1268">
        <v>224</v>
      </c>
      <c r="R1268">
        <v>214</v>
      </c>
      <c r="S1268">
        <v>212</v>
      </c>
      <c r="T1268">
        <f t="shared" si="59"/>
        <v>2624</v>
      </c>
      <c r="U1268">
        <v>1</v>
      </c>
    </row>
    <row r="1269" spans="1:21" x14ac:dyDescent="0.3">
      <c r="A1269" t="str">
        <f t="shared" si="57"/>
        <v>LiverpoolReablement &amp; Rehabilitation at home  (pathway 1)1</v>
      </c>
      <c r="B1269">
        <f>IF(C1269="","",COUNTIF($C$2:C1269,C1269))</f>
        <v>1</v>
      </c>
      <c r="C1269" t="str">
        <f t="shared" si="58"/>
        <v>LiverpoolRehabilitation at home (pathway 1)</v>
      </c>
      <c r="D1269" t="str">
        <f>VLOOKUP(G1269,PathwayLookup!A:B,2,0)</f>
        <v>Reablement &amp; Rehabilitation at home  (pathway 1)</v>
      </c>
      <c r="E1269" t="s">
        <v>211</v>
      </c>
      <c r="F1269" t="s">
        <v>538</v>
      </c>
      <c r="G1269" t="s">
        <v>719</v>
      </c>
      <c r="H1269">
        <v>225</v>
      </c>
      <c r="I1269">
        <v>235</v>
      </c>
      <c r="J1269">
        <v>247</v>
      </c>
      <c r="K1269">
        <v>253</v>
      </c>
      <c r="L1269">
        <v>253</v>
      </c>
      <c r="M1269">
        <v>247</v>
      </c>
      <c r="N1269">
        <v>262</v>
      </c>
      <c r="O1269">
        <v>262</v>
      </c>
      <c r="P1269">
        <v>262</v>
      </c>
      <c r="Q1269">
        <v>239</v>
      </c>
      <c r="R1269">
        <v>235</v>
      </c>
      <c r="S1269">
        <v>230</v>
      </c>
      <c r="T1269">
        <f t="shared" si="59"/>
        <v>2950</v>
      </c>
      <c r="U1269">
        <v>1</v>
      </c>
    </row>
    <row r="1270" spans="1:21" x14ac:dyDescent="0.3">
      <c r="A1270" t="str">
        <f t="shared" si="57"/>
        <v/>
      </c>
      <c r="B1270" t="str">
        <f>IF(C1270="","",COUNTIF($C$2:C1270,C1270))</f>
        <v/>
      </c>
      <c r="C1270" t="str">
        <f t="shared" si="58"/>
        <v/>
      </c>
      <c r="D1270" t="str">
        <f>VLOOKUP(G1270,PathwayLookup!A:B,2,0)</f>
        <v>Short term domiciliary care (pathway 1)</v>
      </c>
      <c r="E1270" t="s">
        <v>211</v>
      </c>
      <c r="F1270" t="s">
        <v>538</v>
      </c>
      <c r="G1270" t="s">
        <v>684</v>
      </c>
      <c r="H1270">
        <v>0</v>
      </c>
      <c r="I1270">
        <v>0</v>
      </c>
      <c r="J1270">
        <v>0</v>
      </c>
      <c r="K1270">
        <v>0</v>
      </c>
      <c r="L1270">
        <v>0</v>
      </c>
      <c r="M1270">
        <v>0</v>
      </c>
      <c r="N1270">
        <v>0</v>
      </c>
      <c r="O1270">
        <v>0</v>
      </c>
      <c r="P1270">
        <v>0</v>
      </c>
      <c r="Q1270">
        <v>0</v>
      </c>
      <c r="R1270">
        <v>0</v>
      </c>
      <c r="S1270">
        <v>0</v>
      </c>
      <c r="T1270">
        <f t="shared" si="59"/>
        <v>0</v>
      </c>
      <c r="U1270">
        <v>1</v>
      </c>
    </row>
    <row r="1271" spans="1:21" x14ac:dyDescent="0.3">
      <c r="A1271" t="str">
        <f t="shared" si="57"/>
        <v>LiverpoolReablement &amp; Rehabilitation in a bedded setting (pathway 2)1</v>
      </c>
      <c r="B1271">
        <f>IF(C1271="","",COUNTIF($C$2:C1271,C1271))</f>
        <v>1</v>
      </c>
      <c r="C1271" t="str">
        <f t="shared" si="58"/>
        <v>LiverpoolReablement in a bedded setting (pathway 2)</v>
      </c>
      <c r="D1271" t="str">
        <f>VLOOKUP(G1271,PathwayLookup!A:B,2,0)</f>
        <v>Reablement &amp; Rehabilitation in a bedded setting (pathway 2)</v>
      </c>
      <c r="E1271" t="s">
        <v>211</v>
      </c>
      <c r="F1271" t="s">
        <v>538</v>
      </c>
      <c r="G1271" t="s">
        <v>722</v>
      </c>
      <c r="H1271">
        <v>50</v>
      </c>
      <c r="I1271">
        <v>64</v>
      </c>
      <c r="J1271">
        <v>66</v>
      </c>
      <c r="K1271">
        <v>68</v>
      </c>
      <c r="L1271">
        <v>66</v>
      </c>
      <c r="M1271">
        <v>67</v>
      </c>
      <c r="N1271">
        <v>69</v>
      </c>
      <c r="O1271">
        <v>70</v>
      </c>
      <c r="P1271">
        <v>71</v>
      </c>
      <c r="Q1271">
        <v>66</v>
      </c>
      <c r="R1271">
        <v>64</v>
      </c>
      <c r="S1271">
        <v>62</v>
      </c>
      <c r="T1271">
        <f t="shared" si="59"/>
        <v>783</v>
      </c>
      <c r="U1271">
        <v>1</v>
      </c>
    </row>
    <row r="1272" spans="1:21" x14ac:dyDescent="0.3">
      <c r="A1272" t="str">
        <f t="shared" si="57"/>
        <v>LiverpoolReablement &amp; Rehabilitation in a bedded setting (pathway 2)1</v>
      </c>
      <c r="B1272">
        <f>IF(C1272="","",COUNTIF($C$2:C1272,C1272))</f>
        <v>1</v>
      </c>
      <c r="C1272" t="str">
        <f t="shared" si="58"/>
        <v>LiverpoolRehabilitation in a bedded setting (pathway 2)</v>
      </c>
      <c r="D1272" t="str">
        <f>VLOOKUP(G1272,PathwayLookup!A:B,2,0)</f>
        <v>Reablement &amp; Rehabilitation in a bedded setting (pathway 2)</v>
      </c>
      <c r="E1272" t="s">
        <v>211</v>
      </c>
      <c r="F1272" t="s">
        <v>538</v>
      </c>
      <c r="G1272" t="s">
        <v>724</v>
      </c>
      <c r="H1272">
        <v>47</v>
      </c>
      <c r="I1272">
        <v>47</v>
      </c>
      <c r="J1272">
        <v>49</v>
      </c>
      <c r="K1272">
        <v>49</v>
      </c>
      <c r="L1272">
        <v>49</v>
      </c>
      <c r="M1272">
        <v>49</v>
      </c>
      <c r="N1272">
        <v>51</v>
      </c>
      <c r="O1272">
        <v>51</v>
      </c>
      <c r="P1272">
        <v>52</v>
      </c>
      <c r="Q1272">
        <v>48</v>
      </c>
      <c r="R1272">
        <v>46</v>
      </c>
      <c r="S1272">
        <v>46</v>
      </c>
      <c r="T1272">
        <f t="shared" si="59"/>
        <v>584</v>
      </c>
      <c r="U1272">
        <v>1</v>
      </c>
    </row>
    <row r="1273" spans="1:21" x14ac:dyDescent="0.3">
      <c r="A1273" t="str">
        <f t="shared" si="57"/>
        <v>LiverpoolShort-term residential/nursing care for someone likely to require a longer-term care home placement (pathway 3)1</v>
      </c>
      <c r="B1273">
        <f>IF(C1273="","",COUNTIF($C$2:C1273,C1273))</f>
        <v>1</v>
      </c>
      <c r="C1273" t="str">
        <f t="shared" si="58"/>
        <v>LiverpoolShort-term residential/nursing care for someone likely to require a longer-term care home placement (pathway 3)</v>
      </c>
      <c r="D1273" t="str">
        <f>VLOOKUP(G1273,PathwayLookup!A:B,2,0)</f>
        <v>Short-term residential/nursing care for someone likely to require a longer-term care home placement (pathway 3)</v>
      </c>
      <c r="E1273" t="s">
        <v>211</v>
      </c>
      <c r="F1273" t="s">
        <v>538</v>
      </c>
      <c r="G1273" t="s">
        <v>686</v>
      </c>
      <c r="H1273">
        <v>1</v>
      </c>
      <c r="I1273">
        <v>1</v>
      </c>
      <c r="J1273">
        <v>1</v>
      </c>
      <c r="K1273">
        <v>1</v>
      </c>
      <c r="L1273">
        <v>1</v>
      </c>
      <c r="M1273">
        <v>1</v>
      </c>
      <c r="N1273">
        <v>1</v>
      </c>
      <c r="O1273">
        <v>1</v>
      </c>
      <c r="P1273">
        <v>1</v>
      </c>
      <c r="Q1273">
        <v>1</v>
      </c>
      <c r="R1273">
        <v>1</v>
      </c>
      <c r="S1273">
        <v>1</v>
      </c>
      <c r="T1273">
        <f t="shared" si="59"/>
        <v>12</v>
      </c>
      <c r="U1273">
        <v>1</v>
      </c>
    </row>
    <row r="1274" spans="1:21" x14ac:dyDescent="0.3">
      <c r="A1274" t="str">
        <f t="shared" si="57"/>
        <v>LutonSocial support (including VCS) (pathway 0)1</v>
      </c>
      <c r="B1274">
        <f>IF(C1274="","",COUNTIF($C$2:C1274,C1274))</f>
        <v>1</v>
      </c>
      <c r="C1274" t="str">
        <f t="shared" si="58"/>
        <v>LutonSocial support (including VCS) (pathway 0)</v>
      </c>
      <c r="D1274" t="str">
        <f>VLOOKUP(G1274,PathwayLookup!A:B,2,0)</f>
        <v>Social support (including VCS) (pathway 0)</v>
      </c>
      <c r="E1274" t="s">
        <v>213</v>
      </c>
      <c r="F1274" t="s">
        <v>457</v>
      </c>
      <c r="G1274" t="s">
        <v>682</v>
      </c>
      <c r="H1274">
        <v>134</v>
      </c>
      <c r="I1274">
        <v>134</v>
      </c>
      <c r="J1274">
        <v>134</v>
      </c>
      <c r="K1274">
        <v>134</v>
      </c>
      <c r="L1274">
        <v>134</v>
      </c>
      <c r="M1274">
        <v>134</v>
      </c>
      <c r="N1274">
        <v>136</v>
      </c>
      <c r="O1274">
        <v>136</v>
      </c>
      <c r="P1274">
        <v>136</v>
      </c>
      <c r="Q1274">
        <v>136</v>
      </c>
      <c r="R1274">
        <v>136</v>
      </c>
      <c r="S1274">
        <v>136</v>
      </c>
      <c r="T1274">
        <f t="shared" si="59"/>
        <v>1620</v>
      </c>
      <c r="U1274">
        <v>1</v>
      </c>
    </row>
    <row r="1275" spans="1:21" x14ac:dyDescent="0.3">
      <c r="A1275" t="str">
        <f t="shared" si="57"/>
        <v>LutonReablement &amp; Rehabilitation at home  (pathway 1)1</v>
      </c>
      <c r="B1275">
        <f>IF(C1275="","",COUNTIF($C$2:C1275,C1275))</f>
        <v>1</v>
      </c>
      <c r="C1275" t="str">
        <f t="shared" si="58"/>
        <v>LutonReablement at home  (pathway 1)</v>
      </c>
      <c r="D1275" t="str">
        <f>VLOOKUP(G1275,PathwayLookup!A:B,2,0)</f>
        <v>Reablement &amp; Rehabilitation at home  (pathway 1)</v>
      </c>
      <c r="E1275" t="s">
        <v>213</v>
      </c>
      <c r="F1275" t="s">
        <v>457</v>
      </c>
      <c r="G1275" t="s">
        <v>718</v>
      </c>
      <c r="H1275">
        <v>53</v>
      </c>
      <c r="I1275">
        <v>40</v>
      </c>
      <c r="J1275">
        <v>45</v>
      </c>
      <c r="K1275">
        <v>50</v>
      </c>
      <c r="L1275">
        <v>40</v>
      </c>
      <c r="M1275">
        <v>45</v>
      </c>
      <c r="N1275">
        <v>58</v>
      </c>
      <c r="O1275">
        <v>55</v>
      </c>
      <c r="P1275">
        <v>50</v>
      </c>
      <c r="Q1275">
        <v>58</v>
      </c>
      <c r="R1275">
        <v>40</v>
      </c>
      <c r="S1275">
        <v>58</v>
      </c>
      <c r="T1275">
        <f t="shared" si="59"/>
        <v>592</v>
      </c>
      <c r="U1275">
        <v>1</v>
      </c>
    </row>
    <row r="1276" spans="1:21" x14ac:dyDescent="0.3">
      <c r="A1276" t="str">
        <f t="shared" si="57"/>
        <v/>
      </c>
      <c r="B1276" t="str">
        <f>IF(C1276="","",COUNTIF($C$2:C1276,C1276))</f>
        <v/>
      </c>
      <c r="C1276" t="str">
        <f t="shared" si="58"/>
        <v/>
      </c>
      <c r="D1276" t="str">
        <f>VLOOKUP(G1276,PathwayLookup!A:B,2,0)</f>
        <v>Reablement &amp; Rehabilitation at home  (pathway 1)</v>
      </c>
      <c r="E1276" t="s">
        <v>213</v>
      </c>
      <c r="F1276" t="s">
        <v>457</v>
      </c>
      <c r="G1276" t="s">
        <v>719</v>
      </c>
      <c r="H1276">
        <v>0</v>
      </c>
      <c r="I1276">
        <v>0</v>
      </c>
      <c r="J1276">
        <v>0</v>
      </c>
      <c r="K1276">
        <v>0</v>
      </c>
      <c r="L1276">
        <v>0</v>
      </c>
      <c r="M1276">
        <v>0</v>
      </c>
      <c r="N1276">
        <v>0</v>
      </c>
      <c r="O1276">
        <v>0</v>
      </c>
      <c r="P1276">
        <v>0</v>
      </c>
      <c r="Q1276">
        <v>0</v>
      </c>
      <c r="R1276">
        <v>0</v>
      </c>
      <c r="S1276">
        <v>0</v>
      </c>
      <c r="T1276">
        <f t="shared" si="59"/>
        <v>0</v>
      </c>
      <c r="U1276">
        <v>1</v>
      </c>
    </row>
    <row r="1277" spans="1:21" x14ac:dyDescent="0.3">
      <c r="A1277" t="str">
        <f t="shared" si="57"/>
        <v>LutonShort term domiciliary care (pathway 1)1</v>
      </c>
      <c r="B1277">
        <f>IF(C1277="","",COUNTIF($C$2:C1277,C1277))</f>
        <v>1</v>
      </c>
      <c r="C1277" t="str">
        <f t="shared" si="58"/>
        <v>LutonShort term domiciliary care (pathway 1)</v>
      </c>
      <c r="D1277" t="str">
        <f>VLOOKUP(G1277,PathwayLookup!A:B,2,0)</f>
        <v>Short term domiciliary care (pathway 1)</v>
      </c>
      <c r="E1277" t="s">
        <v>213</v>
      </c>
      <c r="F1277" t="s">
        <v>457</v>
      </c>
      <c r="G1277" t="s">
        <v>684</v>
      </c>
      <c r="H1277">
        <v>2833</v>
      </c>
      <c r="I1277">
        <v>4945</v>
      </c>
      <c r="J1277">
        <v>2211</v>
      </c>
      <c r="K1277">
        <v>2961</v>
      </c>
      <c r="L1277">
        <v>2864</v>
      </c>
      <c r="M1277">
        <v>3252</v>
      </c>
      <c r="N1277">
        <v>2845</v>
      </c>
      <c r="O1277">
        <v>2440</v>
      </c>
      <c r="P1277">
        <v>1278</v>
      </c>
      <c r="Q1277">
        <v>3023</v>
      </c>
      <c r="R1277">
        <v>4281</v>
      </c>
      <c r="S1277">
        <v>1799</v>
      </c>
      <c r="T1277">
        <f t="shared" si="59"/>
        <v>34732</v>
      </c>
      <c r="U1277">
        <v>1</v>
      </c>
    </row>
    <row r="1278" spans="1:21" x14ac:dyDescent="0.3">
      <c r="A1278" t="str">
        <f t="shared" si="57"/>
        <v>LutonReablement &amp; Rehabilitation in a bedded setting (pathway 2)1</v>
      </c>
      <c r="B1278">
        <f>IF(C1278="","",COUNTIF($C$2:C1278,C1278))</f>
        <v>1</v>
      </c>
      <c r="C1278" t="str">
        <f t="shared" si="58"/>
        <v>LutonReablement in a bedded setting (pathway 2)</v>
      </c>
      <c r="D1278" t="str">
        <f>VLOOKUP(G1278,PathwayLookup!A:B,2,0)</f>
        <v>Reablement &amp; Rehabilitation in a bedded setting (pathway 2)</v>
      </c>
      <c r="E1278" t="s">
        <v>213</v>
      </c>
      <c r="F1278" t="s">
        <v>457</v>
      </c>
      <c r="G1278" t="s">
        <v>722</v>
      </c>
      <c r="H1278">
        <v>8</v>
      </c>
      <c r="I1278">
        <v>10</v>
      </c>
      <c r="J1278">
        <v>13</v>
      </c>
      <c r="K1278">
        <v>12</v>
      </c>
      <c r="L1278">
        <v>12</v>
      </c>
      <c r="M1278">
        <v>11</v>
      </c>
      <c r="N1278">
        <v>12</v>
      </c>
      <c r="O1278">
        <v>15</v>
      </c>
      <c r="P1278">
        <v>16</v>
      </c>
      <c r="Q1278">
        <v>14</v>
      </c>
      <c r="R1278">
        <v>18</v>
      </c>
      <c r="S1278">
        <v>13</v>
      </c>
      <c r="T1278">
        <f t="shared" si="59"/>
        <v>154</v>
      </c>
      <c r="U1278">
        <v>1</v>
      </c>
    </row>
    <row r="1279" spans="1:21" x14ac:dyDescent="0.3">
      <c r="A1279" t="str">
        <f t="shared" si="57"/>
        <v>LutonReablement &amp; Rehabilitation in a bedded setting (pathway 2)1</v>
      </c>
      <c r="B1279">
        <f>IF(C1279="","",COUNTIF($C$2:C1279,C1279))</f>
        <v>1</v>
      </c>
      <c r="C1279" t="str">
        <f t="shared" si="58"/>
        <v>LutonRehabilitation in a bedded setting (pathway 2)</v>
      </c>
      <c r="D1279" t="str">
        <f>VLOOKUP(G1279,PathwayLookup!A:B,2,0)</f>
        <v>Reablement &amp; Rehabilitation in a bedded setting (pathway 2)</v>
      </c>
      <c r="E1279" t="s">
        <v>213</v>
      </c>
      <c r="F1279" t="s">
        <v>457</v>
      </c>
      <c r="G1279" t="s">
        <v>724</v>
      </c>
      <c r="H1279">
        <v>15</v>
      </c>
      <c r="I1279">
        <v>15</v>
      </c>
      <c r="J1279">
        <v>23</v>
      </c>
      <c r="K1279">
        <v>24</v>
      </c>
      <c r="L1279">
        <v>16</v>
      </c>
      <c r="M1279">
        <v>17</v>
      </c>
      <c r="N1279">
        <v>17</v>
      </c>
      <c r="O1279">
        <v>19</v>
      </c>
      <c r="P1279">
        <v>20</v>
      </c>
      <c r="Q1279">
        <v>24</v>
      </c>
      <c r="R1279">
        <v>18</v>
      </c>
      <c r="S1279">
        <v>20</v>
      </c>
      <c r="T1279">
        <f t="shared" si="59"/>
        <v>228</v>
      </c>
      <c r="U1279">
        <v>1</v>
      </c>
    </row>
    <row r="1280" spans="1:21" x14ac:dyDescent="0.3">
      <c r="A1280" t="str">
        <f t="shared" si="57"/>
        <v>LutonShort-term residential/nursing care for someone likely to require a longer-term care home placement (pathway 3)1</v>
      </c>
      <c r="B1280">
        <f>IF(C1280="","",COUNTIF($C$2:C1280,C1280))</f>
        <v>1</v>
      </c>
      <c r="C1280" t="str">
        <f t="shared" si="58"/>
        <v>LutonShort-term residential/nursing care for someone likely to require a longer-term care home placement (pathway 3)</v>
      </c>
      <c r="D1280" t="str">
        <f>VLOOKUP(G1280,PathwayLookup!A:B,2,0)</f>
        <v>Short-term residential/nursing care for someone likely to require a longer-term care home placement (pathway 3)</v>
      </c>
      <c r="E1280" t="s">
        <v>213</v>
      </c>
      <c r="F1280" t="s">
        <v>457</v>
      </c>
      <c r="G1280" t="s">
        <v>686</v>
      </c>
      <c r="H1280">
        <v>4</v>
      </c>
      <c r="I1280">
        <v>4</v>
      </c>
      <c r="J1280">
        <v>6</v>
      </c>
      <c r="K1280">
        <v>7</v>
      </c>
      <c r="L1280">
        <v>2</v>
      </c>
      <c r="M1280">
        <v>2</v>
      </c>
      <c r="N1280">
        <v>3</v>
      </c>
      <c r="O1280">
        <v>8</v>
      </c>
      <c r="P1280">
        <v>6</v>
      </c>
      <c r="Q1280">
        <v>13</v>
      </c>
      <c r="R1280">
        <v>4</v>
      </c>
      <c r="S1280">
        <v>8</v>
      </c>
      <c r="T1280">
        <f t="shared" si="59"/>
        <v>67</v>
      </c>
      <c r="U1280">
        <v>1</v>
      </c>
    </row>
    <row r="1281" spans="1:21" x14ac:dyDescent="0.3">
      <c r="A1281" t="str">
        <f t="shared" si="57"/>
        <v>ManchesterSocial support (including VCS) (pathway 0)1</v>
      </c>
      <c r="B1281">
        <f>IF(C1281="","",COUNTIF($C$2:C1281,C1281))</f>
        <v>1</v>
      </c>
      <c r="C1281" t="str">
        <f t="shared" si="58"/>
        <v>ManchesterSocial support (including VCS) (pathway 0)</v>
      </c>
      <c r="D1281" t="str">
        <f>VLOOKUP(G1281,PathwayLookup!A:B,2,0)</f>
        <v>Social support (including VCS) (pathway 0)</v>
      </c>
      <c r="E1281" t="s">
        <v>215</v>
      </c>
      <c r="F1281" t="s">
        <v>542</v>
      </c>
      <c r="G1281" t="s">
        <v>682</v>
      </c>
      <c r="H1281">
        <v>100</v>
      </c>
      <c r="I1281">
        <v>100</v>
      </c>
      <c r="J1281">
        <v>100</v>
      </c>
      <c r="K1281">
        <v>100</v>
      </c>
      <c r="L1281">
        <v>100</v>
      </c>
      <c r="M1281">
        <v>100</v>
      </c>
      <c r="N1281">
        <v>100</v>
      </c>
      <c r="O1281">
        <v>100</v>
      </c>
      <c r="P1281">
        <v>100</v>
      </c>
      <c r="Q1281">
        <v>100</v>
      </c>
      <c r="R1281">
        <v>100</v>
      </c>
      <c r="S1281">
        <v>100</v>
      </c>
      <c r="T1281">
        <f t="shared" si="59"/>
        <v>1200</v>
      </c>
      <c r="U1281">
        <v>1</v>
      </c>
    </row>
    <row r="1282" spans="1:21" x14ac:dyDescent="0.3">
      <c r="A1282" t="str">
        <f t="shared" ref="A1282:A1345" si="60">IF(B1282="","",E1282&amp;D1282&amp;B1282)</f>
        <v>ManchesterReablement &amp; Rehabilitation at home  (pathway 1)1</v>
      </c>
      <c r="B1282">
        <f>IF(C1282="","",COUNTIF($C$2:C1282,C1282))</f>
        <v>1</v>
      </c>
      <c r="C1282" t="str">
        <f t="shared" ref="C1282:C1345" si="61">IF(T1282=0,"",E1282&amp;G1282)</f>
        <v>ManchesterReablement at home  (pathway 1)</v>
      </c>
      <c r="D1282" t="str">
        <f>VLOOKUP(G1282,PathwayLookup!A:B,2,0)</f>
        <v>Reablement &amp; Rehabilitation at home  (pathway 1)</v>
      </c>
      <c r="E1282" t="s">
        <v>215</v>
      </c>
      <c r="F1282" t="s">
        <v>542</v>
      </c>
      <c r="G1282" t="s">
        <v>718</v>
      </c>
      <c r="H1282">
        <v>93</v>
      </c>
      <c r="I1282">
        <v>93</v>
      </c>
      <c r="J1282">
        <v>93</v>
      </c>
      <c r="K1282">
        <v>93</v>
      </c>
      <c r="L1282">
        <v>93</v>
      </c>
      <c r="M1282">
        <v>93</v>
      </c>
      <c r="N1282">
        <v>93</v>
      </c>
      <c r="O1282">
        <v>93</v>
      </c>
      <c r="P1282">
        <v>93</v>
      </c>
      <c r="Q1282">
        <v>93</v>
      </c>
      <c r="R1282">
        <v>93</v>
      </c>
      <c r="S1282">
        <v>93</v>
      </c>
      <c r="T1282">
        <f t="shared" ref="T1282:T1345" si="62">SUM(H1282:S1282)</f>
        <v>1116</v>
      </c>
      <c r="U1282">
        <v>1</v>
      </c>
    </row>
    <row r="1283" spans="1:21" x14ac:dyDescent="0.3">
      <c r="A1283" t="str">
        <f t="shared" si="60"/>
        <v>ManchesterReablement &amp; Rehabilitation at home  (pathway 1)1</v>
      </c>
      <c r="B1283">
        <f>IF(C1283="","",COUNTIF($C$2:C1283,C1283))</f>
        <v>1</v>
      </c>
      <c r="C1283" t="str">
        <f t="shared" si="61"/>
        <v>ManchesterRehabilitation at home (pathway 1)</v>
      </c>
      <c r="D1283" t="str">
        <f>VLOOKUP(G1283,PathwayLookup!A:B,2,0)</f>
        <v>Reablement &amp; Rehabilitation at home  (pathway 1)</v>
      </c>
      <c r="E1283" t="s">
        <v>215</v>
      </c>
      <c r="F1283" t="s">
        <v>542</v>
      </c>
      <c r="G1283" t="s">
        <v>719</v>
      </c>
      <c r="H1283">
        <v>44</v>
      </c>
      <c r="I1283">
        <v>44</v>
      </c>
      <c r="J1283">
        <v>44</v>
      </c>
      <c r="K1283">
        <v>44</v>
      </c>
      <c r="L1283">
        <v>44</v>
      </c>
      <c r="M1283">
        <v>44</v>
      </c>
      <c r="N1283">
        <v>44</v>
      </c>
      <c r="O1283">
        <v>44</v>
      </c>
      <c r="P1283">
        <v>44</v>
      </c>
      <c r="Q1283">
        <v>44</v>
      </c>
      <c r="R1283">
        <v>44</v>
      </c>
      <c r="S1283">
        <v>44</v>
      </c>
      <c r="T1283">
        <f t="shared" si="62"/>
        <v>528</v>
      </c>
      <c r="U1283">
        <v>1</v>
      </c>
    </row>
    <row r="1284" spans="1:21" x14ac:dyDescent="0.3">
      <c r="A1284" t="str">
        <f t="shared" si="60"/>
        <v>ManchesterShort term domiciliary care (pathway 1)1</v>
      </c>
      <c r="B1284">
        <f>IF(C1284="","",COUNTIF($C$2:C1284,C1284))</f>
        <v>1</v>
      </c>
      <c r="C1284" t="str">
        <f t="shared" si="61"/>
        <v>ManchesterShort term domiciliary care (pathway 1)</v>
      </c>
      <c r="D1284" t="str">
        <f>VLOOKUP(G1284,PathwayLookup!A:B,2,0)</f>
        <v>Short term domiciliary care (pathway 1)</v>
      </c>
      <c r="E1284" t="s">
        <v>215</v>
      </c>
      <c r="F1284" t="s">
        <v>542</v>
      </c>
      <c r="G1284" t="s">
        <v>684</v>
      </c>
      <c r="H1284">
        <v>156</v>
      </c>
      <c r="I1284">
        <v>156</v>
      </c>
      <c r="J1284">
        <v>156</v>
      </c>
      <c r="K1284">
        <v>156</v>
      </c>
      <c r="L1284">
        <v>156</v>
      </c>
      <c r="M1284">
        <v>156</v>
      </c>
      <c r="N1284">
        <v>156</v>
      </c>
      <c r="O1284">
        <v>156</v>
      </c>
      <c r="P1284">
        <v>156</v>
      </c>
      <c r="Q1284">
        <v>156</v>
      </c>
      <c r="R1284">
        <v>156</v>
      </c>
      <c r="S1284">
        <v>156</v>
      </c>
      <c r="T1284">
        <f t="shared" si="62"/>
        <v>1872</v>
      </c>
      <c r="U1284">
        <v>1</v>
      </c>
    </row>
    <row r="1285" spans="1:21" x14ac:dyDescent="0.3">
      <c r="A1285" t="str">
        <f t="shared" si="60"/>
        <v/>
      </c>
      <c r="B1285" t="str">
        <f>IF(C1285="","",COUNTIF($C$2:C1285,C1285))</f>
        <v/>
      </c>
      <c r="C1285" t="str">
        <f t="shared" si="61"/>
        <v/>
      </c>
      <c r="D1285" t="str">
        <f>VLOOKUP(G1285,PathwayLookup!A:B,2,0)</f>
        <v>Reablement &amp; Rehabilitation in a bedded setting (pathway 2)</v>
      </c>
      <c r="E1285" t="s">
        <v>215</v>
      </c>
      <c r="F1285" t="s">
        <v>542</v>
      </c>
      <c r="G1285" t="s">
        <v>722</v>
      </c>
      <c r="H1285">
        <v>0</v>
      </c>
      <c r="I1285">
        <v>0</v>
      </c>
      <c r="J1285">
        <v>0</v>
      </c>
      <c r="K1285">
        <v>0</v>
      </c>
      <c r="L1285">
        <v>0</v>
      </c>
      <c r="M1285">
        <v>0</v>
      </c>
      <c r="N1285">
        <v>0</v>
      </c>
      <c r="O1285">
        <v>0</v>
      </c>
      <c r="P1285">
        <v>0</v>
      </c>
      <c r="Q1285">
        <v>0</v>
      </c>
      <c r="R1285">
        <v>0</v>
      </c>
      <c r="S1285">
        <v>0</v>
      </c>
      <c r="T1285">
        <f t="shared" si="62"/>
        <v>0</v>
      </c>
      <c r="U1285">
        <v>1</v>
      </c>
    </row>
    <row r="1286" spans="1:21" x14ac:dyDescent="0.3">
      <c r="A1286" t="str">
        <f t="shared" si="60"/>
        <v>ManchesterReablement &amp; Rehabilitation in a bedded setting (pathway 2)1</v>
      </c>
      <c r="B1286">
        <f>IF(C1286="","",COUNTIF($C$2:C1286,C1286))</f>
        <v>1</v>
      </c>
      <c r="C1286" t="str">
        <f t="shared" si="61"/>
        <v>ManchesterRehabilitation in a bedded setting (pathway 2)</v>
      </c>
      <c r="D1286" t="str">
        <f>VLOOKUP(G1286,PathwayLookup!A:B,2,0)</f>
        <v>Reablement &amp; Rehabilitation in a bedded setting (pathway 2)</v>
      </c>
      <c r="E1286" t="s">
        <v>215</v>
      </c>
      <c r="F1286" t="s">
        <v>542</v>
      </c>
      <c r="G1286" t="s">
        <v>724</v>
      </c>
      <c r="H1286">
        <v>51</v>
      </c>
      <c r="I1286">
        <v>51</v>
      </c>
      <c r="J1286">
        <v>51</v>
      </c>
      <c r="K1286">
        <v>51</v>
      </c>
      <c r="L1286">
        <v>51</v>
      </c>
      <c r="M1286">
        <v>51</v>
      </c>
      <c r="N1286">
        <v>51</v>
      </c>
      <c r="O1286">
        <v>51</v>
      </c>
      <c r="P1286">
        <v>51</v>
      </c>
      <c r="Q1286">
        <v>51</v>
      </c>
      <c r="R1286">
        <v>51</v>
      </c>
      <c r="S1286">
        <v>51</v>
      </c>
      <c r="T1286">
        <f t="shared" si="62"/>
        <v>612</v>
      </c>
      <c r="U1286">
        <v>1</v>
      </c>
    </row>
    <row r="1287" spans="1:21" x14ac:dyDescent="0.3">
      <c r="A1287" t="str">
        <f t="shared" si="60"/>
        <v>ManchesterShort-term residential/nursing care for someone likely to require a longer-term care home placement (pathway 3)1</v>
      </c>
      <c r="B1287">
        <f>IF(C1287="","",COUNTIF($C$2:C1287,C1287))</f>
        <v>1</v>
      </c>
      <c r="C1287" t="str">
        <f t="shared" si="61"/>
        <v>ManchesterShort-term residential/nursing care for someone likely to require a longer-term care home placement (pathway 3)</v>
      </c>
      <c r="D1287" t="str">
        <f>VLOOKUP(G1287,PathwayLookup!A:B,2,0)</f>
        <v>Short-term residential/nursing care for someone likely to require a longer-term care home placement (pathway 3)</v>
      </c>
      <c r="E1287" t="s">
        <v>215</v>
      </c>
      <c r="F1287" t="s">
        <v>542</v>
      </c>
      <c r="G1287" t="s">
        <v>686</v>
      </c>
      <c r="H1287">
        <v>70</v>
      </c>
      <c r="I1287">
        <v>64</v>
      </c>
      <c r="J1287">
        <v>55</v>
      </c>
      <c r="K1287">
        <v>55</v>
      </c>
      <c r="L1287">
        <v>55</v>
      </c>
      <c r="M1287">
        <v>60</v>
      </c>
      <c r="N1287">
        <v>64</v>
      </c>
      <c r="O1287">
        <v>75</v>
      </c>
      <c r="P1287">
        <v>75</v>
      </c>
      <c r="Q1287">
        <v>75</v>
      </c>
      <c r="R1287">
        <v>64</v>
      </c>
      <c r="S1287">
        <v>64</v>
      </c>
      <c r="T1287">
        <f t="shared" si="62"/>
        <v>776</v>
      </c>
      <c r="U1287">
        <v>1</v>
      </c>
    </row>
    <row r="1288" spans="1:21" x14ac:dyDescent="0.3">
      <c r="A1288" t="str">
        <f t="shared" si="60"/>
        <v>MedwaySocial support (including VCS) (pathway 0)1</v>
      </c>
      <c r="B1288">
        <f>IF(C1288="","",COUNTIF($C$2:C1288,C1288))</f>
        <v>1</v>
      </c>
      <c r="C1288" t="str">
        <f t="shared" si="61"/>
        <v>MedwaySocial support (including VCS) (pathway 0)</v>
      </c>
      <c r="D1288" t="str">
        <f>VLOOKUP(G1288,PathwayLookup!A:B,2,0)</f>
        <v>Social support (including VCS) (pathway 0)</v>
      </c>
      <c r="E1288" t="s">
        <v>217</v>
      </c>
      <c r="F1288" t="s">
        <v>468</v>
      </c>
      <c r="G1288" t="s">
        <v>682</v>
      </c>
      <c r="H1288">
        <v>0</v>
      </c>
      <c r="I1288">
        <v>0</v>
      </c>
      <c r="J1288">
        <v>13</v>
      </c>
      <c r="K1288">
        <v>6</v>
      </c>
      <c r="L1288">
        <v>2</v>
      </c>
      <c r="M1288">
        <v>0</v>
      </c>
      <c r="N1288">
        <v>0</v>
      </c>
      <c r="O1288">
        <v>0</v>
      </c>
      <c r="P1288">
        <v>0</v>
      </c>
      <c r="Q1288">
        <v>0</v>
      </c>
      <c r="R1288">
        <v>0</v>
      </c>
      <c r="S1288">
        <v>0</v>
      </c>
      <c r="T1288">
        <f t="shared" si="62"/>
        <v>21</v>
      </c>
      <c r="U1288">
        <v>1</v>
      </c>
    </row>
    <row r="1289" spans="1:21" x14ac:dyDescent="0.3">
      <c r="A1289" t="str">
        <f t="shared" si="60"/>
        <v>MedwaySocial support (including VCS) (pathway 0)2</v>
      </c>
      <c r="B1289">
        <f>IF(C1289="","",COUNTIF($C$2:C1289,C1289))</f>
        <v>2</v>
      </c>
      <c r="C1289" t="str">
        <f t="shared" si="61"/>
        <v>MedwaySocial support (including VCS) (pathway 0)</v>
      </c>
      <c r="D1289" t="str">
        <f>VLOOKUP(G1289,PathwayLookup!A:B,2,0)</f>
        <v>Social support (including VCS) (pathway 0)</v>
      </c>
      <c r="E1289" t="s">
        <v>217</v>
      </c>
      <c r="F1289" t="s">
        <v>485</v>
      </c>
      <c r="G1289" t="s">
        <v>682</v>
      </c>
      <c r="H1289">
        <v>21</v>
      </c>
      <c r="I1289">
        <v>0</v>
      </c>
      <c r="J1289">
        <v>3</v>
      </c>
      <c r="K1289">
        <v>14</v>
      </c>
      <c r="L1289">
        <v>7</v>
      </c>
      <c r="M1289">
        <v>6</v>
      </c>
      <c r="N1289">
        <v>0</v>
      </c>
      <c r="O1289">
        <v>9</v>
      </c>
      <c r="P1289">
        <v>13</v>
      </c>
      <c r="Q1289">
        <v>24</v>
      </c>
      <c r="R1289">
        <v>9</v>
      </c>
      <c r="S1289">
        <v>7</v>
      </c>
      <c r="T1289">
        <f t="shared" si="62"/>
        <v>113</v>
      </c>
      <c r="U1289">
        <v>1</v>
      </c>
    </row>
    <row r="1290" spans="1:21" x14ac:dyDescent="0.3">
      <c r="A1290" t="str">
        <f t="shared" si="60"/>
        <v>MedwaySocial support (including VCS) (pathway 0)3</v>
      </c>
      <c r="B1290">
        <f>IF(C1290="","",COUNTIF($C$2:C1290,C1290))</f>
        <v>3</v>
      </c>
      <c r="C1290" t="str">
        <f t="shared" si="61"/>
        <v>MedwaySocial support (including VCS) (pathway 0)</v>
      </c>
      <c r="D1290" t="str">
        <f>VLOOKUP(G1290,PathwayLookup!A:B,2,0)</f>
        <v>Social support (including VCS) (pathway 0)</v>
      </c>
      <c r="E1290" t="s">
        <v>217</v>
      </c>
      <c r="F1290" t="s">
        <v>495</v>
      </c>
      <c r="G1290" t="s">
        <v>682</v>
      </c>
      <c r="H1290">
        <v>20</v>
      </c>
      <c r="I1290">
        <v>0</v>
      </c>
      <c r="J1290">
        <v>5</v>
      </c>
      <c r="K1290">
        <v>8</v>
      </c>
      <c r="L1290">
        <v>18</v>
      </c>
      <c r="M1290">
        <v>7</v>
      </c>
      <c r="N1290">
        <v>0</v>
      </c>
      <c r="O1290">
        <v>8</v>
      </c>
      <c r="P1290">
        <v>7</v>
      </c>
      <c r="Q1290">
        <v>15</v>
      </c>
      <c r="R1290">
        <v>16</v>
      </c>
      <c r="S1290">
        <v>7</v>
      </c>
      <c r="T1290">
        <f t="shared" si="62"/>
        <v>111</v>
      </c>
      <c r="U1290">
        <v>1</v>
      </c>
    </row>
    <row r="1291" spans="1:21" x14ac:dyDescent="0.3">
      <c r="A1291" t="str">
        <f t="shared" si="60"/>
        <v>MedwaySocial support (including VCS) (pathway 0)4</v>
      </c>
      <c r="B1291">
        <f>IF(C1291="","",COUNTIF($C$2:C1291,C1291))</f>
        <v>4</v>
      </c>
      <c r="C1291" t="str">
        <f t="shared" si="61"/>
        <v>MedwaySocial support (including VCS) (pathway 0)</v>
      </c>
      <c r="D1291" t="str">
        <f>VLOOKUP(G1291,PathwayLookup!A:B,2,0)</f>
        <v>Social support (including VCS) (pathway 0)</v>
      </c>
      <c r="E1291" t="s">
        <v>217</v>
      </c>
      <c r="F1291" t="s">
        <v>510</v>
      </c>
      <c r="G1291" t="s">
        <v>682</v>
      </c>
      <c r="H1291">
        <v>6</v>
      </c>
      <c r="I1291">
        <v>0</v>
      </c>
      <c r="J1291">
        <v>0</v>
      </c>
      <c r="K1291">
        <v>4</v>
      </c>
      <c r="L1291">
        <v>0</v>
      </c>
      <c r="M1291">
        <v>0</v>
      </c>
      <c r="N1291">
        <v>0</v>
      </c>
      <c r="O1291">
        <v>7</v>
      </c>
      <c r="P1291">
        <v>18</v>
      </c>
      <c r="Q1291">
        <v>7</v>
      </c>
      <c r="R1291">
        <v>0</v>
      </c>
      <c r="S1291">
        <v>7</v>
      </c>
      <c r="T1291">
        <f t="shared" si="62"/>
        <v>49</v>
      </c>
      <c r="U1291">
        <v>1</v>
      </c>
    </row>
    <row r="1292" spans="1:21" x14ac:dyDescent="0.3">
      <c r="A1292" t="str">
        <f t="shared" si="60"/>
        <v>MedwaySocial support (including VCS) (pathway 0)5</v>
      </c>
      <c r="B1292">
        <f>IF(C1292="","",COUNTIF($C$2:C1292,C1292))</f>
        <v>5</v>
      </c>
      <c r="C1292" t="str">
        <f t="shared" si="61"/>
        <v>MedwaySocial support (including VCS) (pathway 0)</v>
      </c>
      <c r="D1292" t="str">
        <f>VLOOKUP(G1292,PathwayLookup!A:B,2,0)</f>
        <v>Social support (including VCS) (pathway 0)</v>
      </c>
      <c r="E1292" t="s">
        <v>217</v>
      </c>
      <c r="F1292" t="s">
        <v>524</v>
      </c>
      <c r="G1292" t="s">
        <v>682</v>
      </c>
      <c r="H1292">
        <v>29</v>
      </c>
      <c r="I1292">
        <v>83</v>
      </c>
      <c r="J1292">
        <v>14</v>
      </c>
      <c r="K1292">
        <v>31</v>
      </c>
      <c r="L1292">
        <v>30</v>
      </c>
      <c r="M1292">
        <v>22</v>
      </c>
      <c r="N1292">
        <v>22</v>
      </c>
      <c r="O1292">
        <v>44</v>
      </c>
      <c r="P1292">
        <v>16</v>
      </c>
      <c r="Q1292">
        <v>57</v>
      </c>
      <c r="R1292">
        <v>27</v>
      </c>
      <c r="S1292">
        <v>43</v>
      </c>
      <c r="T1292">
        <f t="shared" si="62"/>
        <v>418</v>
      </c>
      <c r="U1292">
        <v>1</v>
      </c>
    </row>
    <row r="1293" spans="1:21" x14ac:dyDescent="0.3">
      <c r="A1293" t="str">
        <f t="shared" si="60"/>
        <v>MedwaySocial support (including VCS) (pathway 0)6</v>
      </c>
      <c r="B1293">
        <f>IF(C1293="","",COUNTIF($C$2:C1293,C1293))</f>
        <v>6</v>
      </c>
      <c r="C1293" t="str">
        <f t="shared" si="61"/>
        <v>MedwaySocial support (including VCS) (pathway 0)</v>
      </c>
      <c r="D1293" t="str">
        <f>VLOOKUP(G1293,PathwayLookup!A:B,2,0)</f>
        <v>Social support (including VCS) (pathway 0)</v>
      </c>
      <c r="E1293" t="s">
        <v>217</v>
      </c>
      <c r="F1293" t="s">
        <v>526</v>
      </c>
      <c r="G1293" t="s">
        <v>682</v>
      </c>
      <c r="H1293">
        <v>0</v>
      </c>
      <c r="I1293">
        <v>0</v>
      </c>
      <c r="J1293">
        <v>8</v>
      </c>
      <c r="K1293">
        <v>26</v>
      </c>
      <c r="L1293">
        <v>17</v>
      </c>
      <c r="M1293">
        <v>0</v>
      </c>
      <c r="N1293">
        <v>0</v>
      </c>
      <c r="O1293">
        <v>0</v>
      </c>
      <c r="P1293">
        <v>0</v>
      </c>
      <c r="Q1293">
        <v>0</v>
      </c>
      <c r="R1293">
        <v>1</v>
      </c>
      <c r="S1293">
        <v>8</v>
      </c>
      <c r="T1293">
        <f t="shared" si="62"/>
        <v>60</v>
      </c>
      <c r="U1293">
        <v>1</v>
      </c>
    </row>
    <row r="1294" spans="1:21" x14ac:dyDescent="0.3">
      <c r="A1294" t="str">
        <f t="shared" si="60"/>
        <v>MedwaySocial support (including VCS) (pathway 0)7</v>
      </c>
      <c r="B1294">
        <f>IF(C1294="","",COUNTIF($C$2:C1294,C1294))</f>
        <v>7</v>
      </c>
      <c r="C1294" t="str">
        <f t="shared" si="61"/>
        <v>MedwaySocial support (including VCS) (pathway 0)</v>
      </c>
      <c r="D1294" t="str">
        <f>VLOOKUP(G1294,PathwayLookup!A:B,2,0)</f>
        <v>Social support (including VCS) (pathway 0)</v>
      </c>
      <c r="E1294" t="s">
        <v>217</v>
      </c>
      <c r="F1294" t="s">
        <v>541</v>
      </c>
      <c r="G1294" t="s">
        <v>682</v>
      </c>
      <c r="H1294">
        <v>11</v>
      </c>
      <c r="I1294">
        <v>53</v>
      </c>
      <c r="J1294">
        <v>15</v>
      </c>
      <c r="K1294">
        <v>15</v>
      </c>
      <c r="L1294">
        <v>15</v>
      </c>
      <c r="M1294">
        <v>6</v>
      </c>
      <c r="N1294">
        <v>40</v>
      </c>
      <c r="O1294">
        <v>19</v>
      </c>
      <c r="P1294">
        <v>35</v>
      </c>
      <c r="Q1294">
        <v>33</v>
      </c>
      <c r="R1294">
        <v>65</v>
      </c>
      <c r="S1294">
        <v>38</v>
      </c>
      <c r="T1294">
        <f t="shared" si="62"/>
        <v>345</v>
      </c>
      <c r="U1294">
        <v>1</v>
      </c>
    </row>
    <row r="1295" spans="1:21" x14ac:dyDescent="0.3">
      <c r="A1295" t="str">
        <f t="shared" si="60"/>
        <v>MedwaySocial support (including VCS) (pathway 0)8</v>
      </c>
      <c r="B1295">
        <f>IF(C1295="","",COUNTIF($C$2:C1295,C1295))</f>
        <v>8</v>
      </c>
      <c r="C1295" t="str">
        <f t="shared" si="61"/>
        <v>MedwaySocial support (including VCS) (pathway 0)</v>
      </c>
      <c r="D1295" t="str">
        <f>VLOOKUP(G1295,PathwayLookup!A:B,2,0)</f>
        <v>Social support (including VCS) (pathway 0)</v>
      </c>
      <c r="E1295" t="s">
        <v>217</v>
      </c>
      <c r="F1295" t="s">
        <v>543</v>
      </c>
      <c r="G1295" t="s">
        <v>682</v>
      </c>
      <c r="H1295">
        <v>898</v>
      </c>
      <c r="I1295">
        <v>869</v>
      </c>
      <c r="J1295">
        <v>858</v>
      </c>
      <c r="K1295">
        <v>947</v>
      </c>
      <c r="L1295">
        <v>1019</v>
      </c>
      <c r="M1295">
        <v>1001</v>
      </c>
      <c r="N1295">
        <v>816</v>
      </c>
      <c r="O1295">
        <v>834</v>
      </c>
      <c r="P1295">
        <v>963</v>
      </c>
      <c r="Q1295">
        <v>930</v>
      </c>
      <c r="R1295">
        <v>899</v>
      </c>
      <c r="S1295">
        <v>987</v>
      </c>
      <c r="T1295">
        <f t="shared" si="62"/>
        <v>11021</v>
      </c>
      <c r="U1295">
        <v>1</v>
      </c>
    </row>
    <row r="1296" spans="1:21" x14ac:dyDescent="0.3">
      <c r="A1296" t="str">
        <f t="shared" si="60"/>
        <v>MedwaySocial support (including VCS) (pathway 0)9</v>
      </c>
      <c r="B1296">
        <f>IF(C1296="","",COUNTIF($C$2:C1296,C1296))</f>
        <v>9</v>
      </c>
      <c r="C1296" t="str">
        <f t="shared" si="61"/>
        <v>MedwaySocial support (including VCS) (pathway 0)</v>
      </c>
      <c r="D1296" t="str">
        <f>VLOOKUP(G1296,PathwayLookup!A:B,2,0)</f>
        <v>Social support (including VCS) (pathway 0)</v>
      </c>
      <c r="E1296" t="s">
        <v>217</v>
      </c>
      <c r="F1296" t="s">
        <v>573</v>
      </c>
      <c r="G1296" t="s">
        <v>682</v>
      </c>
      <c r="H1296">
        <v>0</v>
      </c>
      <c r="I1296">
        <v>0</v>
      </c>
      <c r="J1296">
        <v>0</v>
      </c>
      <c r="K1296">
        <v>0</v>
      </c>
      <c r="L1296">
        <v>4</v>
      </c>
      <c r="M1296">
        <v>19</v>
      </c>
      <c r="N1296">
        <v>3</v>
      </c>
      <c r="O1296">
        <v>1</v>
      </c>
      <c r="P1296">
        <v>0</v>
      </c>
      <c r="Q1296">
        <v>0</v>
      </c>
      <c r="R1296">
        <v>2</v>
      </c>
      <c r="S1296">
        <v>4</v>
      </c>
      <c r="T1296">
        <f t="shared" si="62"/>
        <v>33</v>
      </c>
      <c r="U1296">
        <v>1</v>
      </c>
    </row>
    <row r="1297" spans="1:21" x14ac:dyDescent="0.3">
      <c r="A1297" t="str">
        <f t="shared" si="60"/>
        <v>MedwaySocial support (including VCS) (pathway 0)10</v>
      </c>
      <c r="B1297">
        <f>IF(C1297="","",COUNTIF($C$2:C1297,C1297))</f>
        <v>10</v>
      </c>
      <c r="C1297" t="str">
        <f t="shared" si="61"/>
        <v>MedwaySocial support (including VCS) (pathway 0)</v>
      </c>
      <c r="D1297" t="str">
        <f>VLOOKUP(G1297,PathwayLookup!A:B,2,0)</f>
        <v>Social support (including VCS) (pathway 0)</v>
      </c>
      <c r="E1297" t="s">
        <v>217</v>
      </c>
      <c r="F1297" t="s">
        <v>626</v>
      </c>
      <c r="G1297" t="s">
        <v>682</v>
      </c>
      <c r="H1297">
        <v>0</v>
      </c>
      <c r="I1297">
        <v>0</v>
      </c>
      <c r="J1297">
        <v>0</v>
      </c>
      <c r="K1297">
        <v>0</v>
      </c>
      <c r="L1297">
        <v>0</v>
      </c>
      <c r="M1297">
        <v>0</v>
      </c>
      <c r="N1297">
        <v>0</v>
      </c>
      <c r="O1297">
        <v>0</v>
      </c>
      <c r="P1297">
        <v>0</v>
      </c>
      <c r="Q1297">
        <v>2</v>
      </c>
      <c r="R1297">
        <v>0</v>
      </c>
      <c r="S1297">
        <v>0</v>
      </c>
      <c r="T1297">
        <f t="shared" si="62"/>
        <v>2</v>
      </c>
      <c r="U1297">
        <v>1</v>
      </c>
    </row>
    <row r="1298" spans="1:21" x14ac:dyDescent="0.3">
      <c r="A1298" t="str">
        <f t="shared" si="60"/>
        <v>MedwaySocial support (including VCS) (pathway 0)11</v>
      </c>
      <c r="B1298">
        <f>IF(C1298="","",COUNTIF($C$2:C1298,C1298))</f>
        <v>11</v>
      </c>
      <c r="C1298" t="str">
        <f t="shared" si="61"/>
        <v>MedwaySocial support (including VCS) (pathway 0)</v>
      </c>
      <c r="D1298" t="str">
        <f>VLOOKUP(G1298,PathwayLookup!A:B,2,0)</f>
        <v>Social support (including VCS) (pathway 0)</v>
      </c>
      <c r="E1298" t="s">
        <v>217</v>
      </c>
      <c r="F1298" t="s">
        <v>651</v>
      </c>
      <c r="G1298" t="s">
        <v>682</v>
      </c>
      <c r="H1298">
        <v>0</v>
      </c>
      <c r="I1298">
        <v>0</v>
      </c>
      <c r="J1298">
        <v>0</v>
      </c>
      <c r="K1298">
        <v>0</v>
      </c>
      <c r="L1298">
        <v>0</v>
      </c>
      <c r="M1298">
        <v>0</v>
      </c>
      <c r="N1298">
        <v>0</v>
      </c>
      <c r="O1298">
        <v>0</v>
      </c>
      <c r="P1298">
        <v>0</v>
      </c>
      <c r="Q1298">
        <v>0</v>
      </c>
      <c r="R1298">
        <v>4</v>
      </c>
      <c r="S1298">
        <v>2</v>
      </c>
      <c r="T1298">
        <f t="shared" si="62"/>
        <v>6</v>
      </c>
      <c r="U1298">
        <v>1</v>
      </c>
    </row>
    <row r="1299" spans="1:21" x14ac:dyDescent="0.3">
      <c r="A1299" t="str">
        <f t="shared" si="60"/>
        <v>MedwayReablement &amp; Rehabilitation at home  (pathway 1)1</v>
      </c>
      <c r="B1299">
        <f>IF(C1299="","",COUNTIF($C$2:C1299,C1299))</f>
        <v>1</v>
      </c>
      <c r="C1299" t="str">
        <f t="shared" si="61"/>
        <v>MedwayReablement at home  (pathway 1)</v>
      </c>
      <c r="D1299" t="str">
        <f>VLOOKUP(G1299,PathwayLookup!A:B,2,0)</f>
        <v>Reablement &amp; Rehabilitation at home  (pathway 1)</v>
      </c>
      <c r="E1299" t="s">
        <v>217</v>
      </c>
      <c r="F1299" t="s">
        <v>485</v>
      </c>
      <c r="G1299" t="s">
        <v>718</v>
      </c>
      <c r="H1299">
        <v>0</v>
      </c>
      <c r="I1299">
        <v>0</v>
      </c>
      <c r="J1299">
        <v>1</v>
      </c>
      <c r="K1299">
        <v>0</v>
      </c>
      <c r="L1299">
        <v>0</v>
      </c>
      <c r="M1299">
        <v>0</v>
      </c>
      <c r="N1299">
        <v>0</v>
      </c>
      <c r="O1299">
        <v>0</v>
      </c>
      <c r="P1299">
        <v>1</v>
      </c>
      <c r="Q1299">
        <v>0</v>
      </c>
      <c r="R1299">
        <v>0</v>
      </c>
      <c r="S1299">
        <v>0</v>
      </c>
      <c r="T1299">
        <f t="shared" si="62"/>
        <v>2</v>
      </c>
      <c r="U1299">
        <v>1</v>
      </c>
    </row>
    <row r="1300" spans="1:21" x14ac:dyDescent="0.3">
      <c r="A1300" t="str">
        <f t="shared" si="60"/>
        <v>MedwayReablement &amp; Rehabilitation at home  (pathway 1)2</v>
      </c>
      <c r="B1300">
        <f>IF(C1300="","",COUNTIF($C$2:C1300,C1300))</f>
        <v>2</v>
      </c>
      <c r="C1300" t="str">
        <f t="shared" si="61"/>
        <v>MedwayReablement at home  (pathway 1)</v>
      </c>
      <c r="D1300" t="str">
        <f>VLOOKUP(G1300,PathwayLookup!A:B,2,0)</f>
        <v>Reablement &amp; Rehabilitation at home  (pathway 1)</v>
      </c>
      <c r="E1300" t="s">
        <v>217</v>
      </c>
      <c r="F1300" t="s">
        <v>495</v>
      </c>
      <c r="G1300" t="s">
        <v>718</v>
      </c>
      <c r="H1300">
        <v>0</v>
      </c>
      <c r="I1300">
        <v>0</v>
      </c>
      <c r="J1300">
        <v>1</v>
      </c>
      <c r="K1300">
        <v>1</v>
      </c>
      <c r="L1300">
        <v>0</v>
      </c>
      <c r="M1300">
        <v>0</v>
      </c>
      <c r="N1300">
        <v>0</v>
      </c>
      <c r="O1300">
        <v>0</v>
      </c>
      <c r="P1300">
        <v>0</v>
      </c>
      <c r="Q1300">
        <v>0</v>
      </c>
      <c r="R1300">
        <v>0</v>
      </c>
      <c r="S1300">
        <v>0</v>
      </c>
      <c r="T1300">
        <f t="shared" si="62"/>
        <v>2</v>
      </c>
      <c r="U1300">
        <v>1</v>
      </c>
    </row>
    <row r="1301" spans="1:21" x14ac:dyDescent="0.3">
      <c r="A1301" t="str">
        <f t="shared" si="60"/>
        <v>MedwayReablement &amp; Rehabilitation at home  (pathway 1)3</v>
      </c>
      <c r="B1301">
        <f>IF(C1301="","",COUNTIF($C$2:C1301,C1301))</f>
        <v>3</v>
      </c>
      <c r="C1301" t="str">
        <f t="shared" si="61"/>
        <v>MedwayReablement at home  (pathway 1)</v>
      </c>
      <c r="D1301" t="str">
        <f>VLOOKUP(G1301,PathwayLookup!A:B,2,0)</f>
        <v>Reablement &amp; Rehabilitation at home  (pathway 1)</v>
      </c>
      <c r="E1301" t="s">
        <v>217</v>
      </c>
      <c r="F1301" t="s">
        <v>510</v>
      </c>
      <c r="G1301" t="s">
        <v>718</v>
      </c>
      <c r="H1301">
        <v>0</v>
      </c>
      <c r="I1301">
        <v>0</v>
      </c>
      <c r="J1301">
        <v>0</v>
      </c>
      <c r="K1301">
        <v>0</v>
      </c>
      <c r="L1301">
        <v>0</v>
      </c>
      <c r="M1301">
        <v>0</v>
      </c>
      <c r="N1301">
        <v>1</v>
      </c>
      <c r="O1301">
        <v>0</v>
      </c>
      <c r="P1301">
        <v>0</v>
      </c>
      <c r="Q1301">
        <v>0</v>
      </c>
      <c r="R1301">
        <v>0</v>
      </c>
      <c r="S1301">
        <v>0</v>
      </c>
      <c r="T1301">
        <f t="shared" si="62"/>
        <v>1</v>
      </c>
      <c r="U1301">
        <v>1</v>
      </c>
    </row>
    <row r="1302" spans="1:21" x14ac:dyDescent="0.3">
      <c r="A1302" t="str">
        <f t="shared" si="60"/>
        <v>MedwayReablement &amp; Rehabilitation at home  (pathway 1)4</v>
      </c>
      <c r="B1302">
        <f>IF(C1302="","",COUNTIF($C$2:C1302,C1302))</f>
        <v>4</v>
      </c>
      <c r="C1302" t="str">
        <f t="shared" si="61"/>
        <v>MedwayReablement at home  (pathway 1)</v>
      </c>
      <c r="D1302" t="str">
        <f>VLOOKUP(G1302,PathwayLookup!A:B,2,0)</f>
        <v>Reablement &amp; Rehabilitation at home  (pathway 1)</v>
      </c>
      <c r="E1302" t="s">
        <v>217</v>
      </c>
      <c r="F1302" t="s">
        <v>526</v>
      </c>
      <c r="G1302" t="s">
        <v>718</v>
      </c>
      <c r="H1302">
        <v>1</v>
      </c>
      <c r="I1302">
        <v>0</v>
      </c>
      <c r="J1302">
        <v>0</v>
      </c>
      <c r="K1302">
        <v>0</v>
      </c>
      <c r="L1302">
        <v>0</v>
      </c>
      <c r="M1302">
        <v>0</v>
      </c>
      <c r="N1302">
        <v>0</v>
      </c>
      <c r="O1302">
        <v>0</v>
      </c>
      <c r="P1302">
        <v>0</v>
      </c>
      <c r="Q1302">
        <v>0</v>
      </c>
      <c r="R1302">
        <v>0</v>
      </c>
      <c r="S1302">
        <v>0</v>
      </c>
      <c r="T1302">
        <f t="shared" si="62"/>
        <v>1</v>
      </c>
      <c r="U1302">
        <v>1</v>
      </c>
    </row>
    <row r="1303" spans="1:21" x14ac:dyDescent="0.3">
      <c r="A1303" t="str">
        <f t="shared" si="60"/>
        <v>MedwayReablement &amp; Rehabilitation at home  (pathway 1)5</v>
      </c>
      <c r="B1303">
        <f>IF(C1303="","",COUNTIF($C$2:C1303,C1303))</f>
        <v>5</v>
      </c>
      <c r="C1303" t="str">
        <f t="shared" si="61"/>
        <v>MedwayReablement at home  (pathway 1)</v>
      </c>
      <c r="D1303" t="str">
        <f>VLOOKUP(G1303,PathwayLookup!A:B,2,0)</f>
        <v>Reablement &amp; Rehabilitation at home  (pathway 1)</v>
      </c>
      <c r="E1303" t="s">
        <v>217</v>
      </c>
      <c r="F1303" t="s">
        <v>541</v>
      </c>
      <c r="G1303" t="s">
        <v>718</v>
      </c>
      <c r="H1303">
        <v>0</v>
      </c>
      <c r="I1303">
        <v>0</v>
      </c>
      <c r="J1303">
        <v>0</v>
      </c>
      <c r="K1303">
        <v>0</v>
      </c>
      <c r="L1303">
        <v>0</v>
      </c>
      <c r="M1303">
        <v>0</v>
      </c>
      <c r="N1303">
        <v>1</v>
      </c>
      <c r="O1303">
        <v>0</v>
      </c>
      <c r="P1303">
        <v>0</v>
      </c>
      <c r="Q1303">
        <v>0</v>
      </c>
      <c r="R1303">
        <v>0</v>
      </c>
      <c r="S1303">
        <v>0</v>
      </c>
      <c r="T1303">
        <f t="shared" si="62"/>
        <v>1</v>
      </c>
      <c r="U1303">
        <v>1</v>
      </c>
    </row>
    <row r="1304" spans="1:21" x14ac:dyDescent="0.3">
      <c r="A1304" t="str">
        <f t="shared" si="60"/>
        <v>MedwayReablement &amp; Rehabilitation at home  (pathway 1)6</v>
      </c>
      <c r="B1304">
        <f>IF(C1304="","",COUNTIF($C$2:C1304,C1304))</f>
        <v>6</v>
      </c>
      <c r="C1304" t="str">
        <f t="shared" si="61"/>
        <v>MedwayReablement at home  (pathway 1)</v>
      </c>
      <c r="D1304" t="str">
        <f>VLOOKUP(G1304,PathwayLookup!A:B,2,0)</f>
        <v>Reablement &amp; Rehabilitation at home  (pathway 1)</v>
      </c>
      <c r="E1304" t="s">
        <v>217</v>
      </c>
      <c r="F1304" t="s">
        <v>543</v>
      </c>
      <c r="G1304" t="s">
        <v>718</v>
      </c>
      <c r="H1304">
        <v>144</v>
      </c>
      <c r="I1304">
        <v>149</v>
      </c>
      <c r="J1304">
        <v>185</v>
      </c>
      <c r="K1304">
        <v>149</v>
      </c>
      <c r="L1304">
        <v>155</v>
      </c>
      <c r="M1304">
        <v>160</v>
      </c>
      <c r="N1304">
        <v>143</v>
      </c>
      <c r="O1304">
        <v>179</v>
      </c>
      <c r="P1304">
        <v>178</v>
      </c>
      <c r="Q1304">
        <v>182</v>
      </c>
      <c r="R1304">
        <v>168</v>
      </c>
      <c r="S1304">
        <v>173</v>
      </c>
      <c r="T1304">
        <f t="shared" si="62"/>
        <v>1965</v>
      </c>
      <c r="U1304">
        <v>1</v>
      </c>
    </row>
    <row r="1305" spans="1:21" x14ac:dyDescent="0.3">
      <c r="A1305" t="str">
        <f t="shared" si="60"/>
        <v>MedwayShort term domiciliary care (pathway 1)1</v>
      </c>
      <c r="B1305">
        <f>IF(C1305="","",COUNTIF($C$2:C1305,C1305))</f>
        <v>1</v>
      </c>
      <c r="C1305" t="str">
        <f t="shared" si="61"/>
        <v>MedwayShort term domiciliary care (pathway 1)</v>
      </c>
      <c r="D1305" t="str">
        <f>VLOOKUP(G1305,PathwayLookup!A:B,2,0)</f>
        <v>Short term domiciliary care (pathway 1)</v>
      </c>
      <c r="E1305" t="s">
        <v>217</v>
      </c>
      <c r="F1305" t="s">
        <v>543</v>
      </c>
      <c r="G1305" t="s">
        <v>684</v>
      </c>
      <c r="H1305">
        <v>8</v>
      </c>
      <c r="I1305">
        <v>8</v>
      </c>
      <c r="J1305">
        <v>10</v>
      </c>
      <c r="K1305">
        <v>8</v>
      </c>
      <c r="L1305">
        <v>9</v>
      </c>
      <c r="M1305">
        <v>9</v>
      </c>
      <c r="N1305">
        <v>8</v>
      </c>
      <c r="O1305">
        <v>10</v>
      </c>
      <c r="P1305">
        <v>10</v>
      </c>
      <c r="Q1305">
        <v>10</v>
      </c>
      <c r="R1305">
        <v>9</v>
      </c>
      <c r="S1305">
        <v>9</v>
      </c>
      <c r="T1305">
        <f t="shared" si="62"/>
        <v>108</v>
      </c>
      <c r="U1305">
        <v>1</v>
      </c>
    </row>
    <row r="1306" spans="1:21" x14ac:dyDescent="0.3">
      <c r="A1306" t="str">
        <f t="shared" si="60"/>
        <v>MedwayReablement &amp; Rehabilitation in a bedded setting (pathway 2)1</v>
      </c>
      <c r="B1306">
        <f>IF(C1306="","",COUNTIF($C$2:C1306,C1306))</f>
        <v>1</v>
      </c>
      <c r="C1306" t="str">
        <f t="shared" si="61"/>
        <v>MedwayReablement in a bedded setting (pathway 2)</v>
      </c>
      <c r="D1306" t="str">
        <f>VLOOKUP(G1306,PathwayLookup!A:B,2,0)</f>
        <v>Reablement &amp; Rehabilitation in a bedded setting (pathway 2)</v>
      </c>
      <c r="E1306" t="s">
        <v>217</v>
      </c>
      <c r="F1306" t="s">
        <v>543</v>
      </c>
      <c r="G1306" t="s">
        <v>722</v>
      </c>
      <c r="H1306">
        <v>15</v>
      </c>
      <c r="I1306">
        <v>16</v>
      </c>
      <c r="J1306">
        <v>15</v>
      </c>
      <c r="K1306">
        <v>16</v>
      </c>
      <c r="L1306">
        <v>16</v>
      </c>
      <c r="M1306">
        <v>15</v>
      </c>
      <c r="N1306">
        <v>14</v>
      </c>
      <c r="O1306">
        <v>14</v>
      </c>
      <c r="P1306">
        <v>14</v>
      </c>
      <c r="Q1306">
        <v>14</v>
      </c>
      <c r="R1306">
        <v>13</v>
      </c>
      <c r="S1306">
        <v>14</v>
      </c>
      <c r="T1306">
        <f t="shared" si="62"/>
        <v>176</v>
      </c>
      <c r="U1306">
        <v>1</v>
      </c>
    </row>
    <row r="1307" spans="1:21" x14ac:dyDescent="0.3">
      <c r="A1307" t="str">
        <f t="shared" si="60"/>
        <v>MedwayShort-term residential/nursing care for someone likely to require a longer-term care home placement (pathway 3)1</v>
      </c>
      <c r="B1307">
        <f>IF(C1307="","",COUNTIF($C$2:C1307,C1307))</f>
        <v>1</v>
      </c>
      <c r="C1307" t="str">
        <f t="shared" si="61"/>
        <v>MedwayShort-term residential/nursing care for someone likely to require a longer-term care home placement (pathway 3)</v>
      </c>
      <c r="D1307" t="str">
        <f>VLOOKUP(G1307,PathwayLookup!A:B,2,0)</f>
        <v>Short-term residential/nursing care for someone likely to require a longer-term care home placement (pathway 3)</v>
      </c>
      <c r="E1307" t="s">
        <v>217</v>
      </c>
      <c r="F1307" t="s">
        <v>543</v>
      </c>
      <c r="G1307" t="s">
        <v>686</v>
      </c>
      <c r="H1307">
        <v>5</v>
      </c>
      <c r="I1307">
        <v>7</v>
      </c>
      <c r="J1307">
        <v>7</v>
      </c>
      <c r="K1307">
        <v>5</v>
      </c>
      <c r="L1307">
        <v>9</v>
      </c>
      <c r="M1307">
        <v>8</v>
      </c>
      <c r="N1307">
        <v>6</v>
      </c>
      <c r="O1307">
        <v>6</v>
      </c>
      <c r="P1307">
        <v>6</v>
      </c>
      <c r="Q1307">
        <v>5</v>
      </c>
      <c r="R1307">
        <v>5</v>
      </c>
      <c r="S1307">
        <v>4</v>
      </c>
      <c r="T1307">
        <f t="shared" si="62"/>
        <v>73</v>
      </c>
      <c r="U1307">
        <v>1</v>
      </c>
    </row>
    <row r="1308" spans="1:21" x14ac:dyDescent="0.3">
      <c r="A1308" t="str">
        <f t="shared" si="60"/>
        <v>MertonSocial support (including VCS) (pathway 0)1</v>
      </c>
      <c r="B1308">
        <f>IF(C1308="","",COUNTIF($C$2:C1308,C1308))</f>
        <v>1</v>
      </c>
      <c r="C1308" t="str">
        <f t="shared" si="61"/>
        <v>MertonSocial support (including VCS) (pathway 0)</v>
      </c>
      <c r="D1308" t="str">
        <f>VLOOKUP(G1308,PathwayLookup!A:B,2,0)</f>
        <v>Social support (including VCS) (pathway 0)</v>
      </c>
      <c r="E1308" t="s">
        <v>219</v>
      </c>
      <c r="F1308" t="s">
        <v>500</v>
      </c>
      <c r="G1308" t="s">
        <v>682</v>
      </c>
      <c r="H1308">
        <v>7</v>
      </c>
      <c r="I1308">
        <v>7</v>
      </c>
      <c r="J1308">
        <v>7</v>
      </c>
      <c r="K1308">
        <v>7</v>
      </c>
      <c r="L1308">
        <v>7</v>
      </c>
      <c r="M1308">
        <v>7</v>
      </c>
      <c r="N1308">
        <v>7</v>
      </c>
      <c r="O1308">
        <v>7</v>
      </c>
      <c r="P1308">
        <v>7</v>
      </c>
      <c r="Q1308">
        <v>7</v>
      </c>
      <c r="R1308">
        <v>7</v>
      </c>
      <c r="S1308">
        <v>7</v>
      </c>
      <c r="T1308">
        <f t="shared" si="62"/>
        <v>84</v>
      </c>
      <c r="U1308">
        <v>1</v>
      </c>
    </row>
    <row r="1309" spans="1:21" x14ac:dyDescent="0.3">
      <c r="A1309" t="str">
        <f t="shared" si="60"/>
        <v>MertonSocial support (including VCS) (pathway 0)2</v>
      </c>
      <c r="B1309">
        <f>IF(C1309="","",COUNTIF($C$2:C1309,C1309))</f>
        <v>2</v>
      </c>
      <c r="C1309" t="str">
        <f t="shared" si="61"/>
        <v>MertonSocial support (including VCS) (pathway 0)</v>
      </c>
      <c r="D1309" t="str">
        <f>VLOOKUP(G1309,PathwayLookup!A:B,2,0)</f>
        <v>Social support (including VCS) (pathway 0)</v>
      </c>
      <c r="E1309" t="s">
        <v>219</v>
      </c>
      <c r="F1309" t="s">
        <v>600</v>
      </c>
      <c r="G1309" t="s">
        <v>682</v>
      </c>
      <c r="H1309">
        <v>14</v>
      </c>
      <c r="I1309">
        <v>14</v>
      </c>
      <c r="J1309">
        <v>14</v>
      </c>
      <c r="K1309">
        <v>14</v>
      </c>
      <c r="L1309">
        <v>14</v>
      </c>
      <c r="M1309">
        <v>14</v>
      </c>
      <c r="N1309">
        <v>14</v>
      </c>
      <c r="O1309">
        <v>14</v>
      </c>
      <c r="P1309">
        <v>14</v>
      </c>
      <c r="Q1309">
        <v>14</v>
      </c>
      <c r="R1309">
        <v>14</v>
      </c>
      <c r="S1309">
        <v>14</v>
      </c>
      <c r="T1309">
        <f t="shared" si="62"/>
        <v>168</v>
      </c>
      <c r="U1309">
        <v>1</v>
      </c>
    </row>
    <row r="1310" spans="1:21" x14ac:dyDescent="0.3">
      <c r="A1310" t="str">
        <f t="shared" si="60"/>
        <v>MertonSocial support (including VCS) (pathway 0)3</v>
      </c>
      <c r="B1310">
        <f>IF(C1310="","",COUNTIF($C$2:C1310,C1310))</f>
        <v>3</v>
      </c>
      <c r="C1310" t="str">
        <f t="shared" si="61"/>
        <v>MertonSocial support (including VCS) (pathway 0)</v>
      </c>
      <c r="D1310" t="str">
        <f>VLOOKUP(G1310,PathwayLookup!A:B,2,0)</f>
        <v>Social support (including VCS) (pathway 0)</v>
      </c>
      <c r="E1310" t="s">
        <v>219</v>
      </c>
      <c r="F1310" t="s">
        <v>651</v>
      </c>
      <c r="G1310" t="s">
        <v>682</v>
      </c>
      <c r="H1310">
        <v>3</v>
      </c>
      <c r="I1310">
        <v>3</v>
      </c>
      <c r="J1310">
        <v>3</v>
      </c>
      <c r="K1310">
        <v>3</v>
      </c>
      <c r="L1310">
        <v>3</v>
      </c>
      <c r="M1310">
        <v>3</v>
      </c>
      <c r="N1310">
        <v>3</v>
      </c>
      <c r="O1310">
        <v>3</v>
      </c>
      <c r="P1310">
        <v>3</v>
      </c>
      <c r="Q1310">
        <v>3</v>
      </c>
      <c r="R1310">
        <v>3</v>
      </c>
      <c r="S1310">
        <v>3</v>
      </c>
      <c r="T1310">
        <f t="shared" si="62"/>
        <v>36</v>
      </c>
      <c r="U1310">
        <v>1</v>
      </c>
    </row>
    <row r="1311" spans="1:21" x14ac:dyDescent="0.3">
      <c r="A1311" t="str">
        <f t="shared" si="60"/>
        <v>MertonReablement &amp; Rehabilitation at home  (pathway 1)1</v>
      </c>
      <c r="B1311">
        <f>IF(C1311="","",COUNTIF($C$2:C1311,C1311))</f>
        <v>1</v>
      </c>
      <c r="C1311" t="str">
        <f t="shared" si="61"/>
        <v>MertonReablement at home  (pathway 1)</v>
      </c>
      <c r="D1311" t="str">
        <f>VLOOKUP(G1311,PathwayLookup!A:B,2,0)</f>
        <v>Reablement &amp; Rehabilitation at home  (pathway 1)</v>
      </c>
      <c r="E1311" t="s">
        <v>219</v>
      </c>
      <c r="F1311" t="s">
        <v>500</v>
      </c>
      <c r="G1311" t="s">
        <v>718</v>
      </c>
      <c r="H1311">
        <v>9</v>
      </c>
      <c r="I1311">
        <v>14</v>
      </c>
      <c r="J1311">
        <v>13</v>
      </c>
      <c r="K1311">
        <v>13</v>
      </c>
      <c r="L1311">
        <v>18</v>
      </c>
      <c r="M1311">
        <v>19</v>
      </c>
      <c r="N1311">
        <v>16</v>
      </c>
      <c r="O1311">
        <v>24</v>
      </c>
      <c r="P1311">
        <v>21</v>
      </c>
      <c r="Q1311">
        <v>26</v>
      </c>
      <c r="R1311">
        <v>22</v>
      </c>
      <c r="S1311">
        <v>19</v>
      </c>
      <c r="T1311">
        <f t="shared" si="62"/>
        <v>214</v>
      </c>
      <c r="U1311">
        <v>1</v>
      </c>
    </row>
    <row r="1312" spans="1:21" x14ac:dyDescent="0.3">
      <c r="A1312" t="str">
        <f t="shared" si="60"/>
        <v>MertonReablement &amp; Rehabilitation at home  (pathway 1)2</v>
      </c>
      <c r="B1312">
        <f>IF(C1312="","",COUNTIF($C$2:C1312,C1312))</f>
        <v>2</v>
      </c>
      <c r="C1312" t="str">
        <f t="shared" si="61"/>
        <v>MertonReablement at home  (pathway 1)</v>
      </c>
      <c r="D1312" t="str">
        <f>VLOOKUP(G1312,PathwayLookup!A:B,2,0)</f>
        <v>Reablement &amp; Rehabilitation at home  (pathway 1)</v>
      </c>
      <c r="E1312" t="s">
        <v>219</v>
      </c>
      <c r="F1312" t="s">
        <v>600</v>
      </c>
      <c r="G1312" t="s">
        <v>718</v>
      </c>
      <c r="H1312">
        <v>39</v>
      </c>
      <c r="I1312">
        <v>53</v>
      </c>
      <c r="J1312">
        <v>44</v>
      </c>
      <c r="K1312">
        <v>31</v>
      </c>
      <c r="L1312">
        <v>51</v>
      </c>
      <c r="M1312">
        <v>47</v>
      </c>
      <c r="N1312">
        <v>38</v>
      </c>
      <c r="O1312">
        <v>44</v>
      </c>
      <c r="P1312">
        <v>34</v>
      </c>
      <c r="Q1312">
        <v>51</v>
      </c>
      <c r="R1312">
        <v>55</v>
      </c>
      <c r="S1312">
        <v>53</v>
      </c>
      <c r="T1312">
        <f t="shared" si="62"/>
        <v>540</v>
      </c>
      <c r="U1312">
        <v>1</v>
      </c>
    </row>
    <row r="1313" spans="1:21" x14ac:dyDescent="0.3">
      <c r="A1313" t="str">
        <f t="shared" si="60"/>
        <v>MertonReablement &amp; Rehabilitation at home  (pathway 1)3</v>
      </c>
      <c r="B1313">
        <f>IF(C1313="","",COUNTIF($C$2:C1313,C1313))</f>
        <v>3</v>
      </c>
      <c r="C1313" t="str">
        <f t="shared" si="61"/>
        <v>MertonReablement at home  (pathway 1)</v>
      </c>
      <c r="D1313" t="str">
        <f>VLOOKUP(G1313,PathwayLookup!A:B,2,0)</f>
        <v>Reablement &amp; Rehabilitation at home  (pathway 1)</v>
      </c>
      <c r="E1313" t="s">
        <v>219</v>
      </c>
      <c r="F1313" t="s">
        <v>651</v>
      </c>
      <c r="G1313" t="s">
        <v>718</v>
      </c>
      <c r="H1313">
        <v>13</v>
      </c>
      <c r="I1313">
        <v>17</v>
      </c>
      <c r="J1313">
        <v>12</v>
      </c>
      <c r="K1313">
        <v>13</v>
      </c>
      <c r="L1313">
        <v>15</v>
      </c>
      <c r="M1313">
        <v>14</v>
      </c>
      <c r="N1313">
        <v>14</v>
      </c>
      <c r="O1313">
        <v>12</v>
      </c>
      <c r="P1313">
        <v>9</v>
      </c>
      <c r="Q1313">
        <v>14</v>
      </c>
      <c r="R1313">
        <v>21</v>
      </c>
      <c r="S1313">
        <v>27</v>
      </c>
      <c r="T1313">
        <f t="shared" si="62"/>
        <v>181</v>
      </c>
      <c r="U1313">
        <v>1</v>
      </c>
    </row>
    <row r="1314" spans="1:21" x14ac:dyDescent="0.3">
      <c r="A1314" t="str">
        <f t="shared" si="60"/>
        <v>MertonReablement &amp; Rehabilitation at home  (pathway 1)1</v>
      </c>
      <c r="B1314">
        <f>IF(C1314="","",COUNTIF($C$2:C1314,C1314))</f>
        <v>1</v>
      </c>
      <c r="C1314" t="str">
        <f t="shared" si="61"/>
        <v>MertonRehabilitation at home (pathway 1)</v>
      </c>
      <c r="D1314" t="str">
        <f>VLOOKUP(G1314,PathwayLookup!A:B,2,0)</f>
        <v>Reablement &amp; Rehabilitation at home  (pathway 1)</v>
      </c>
      <c r="E1314" t="s">
        <v>219</v>
      </c>
      <c r="F1314" t="s">
        <v>500</v>
      </c>
      <c r="G1314" t="s">
        <v>719</v>
      </c>
      <c r="H1314">
        <v>31</v>
      </c>
      <c r="I1314">
        <v>31</v>
      </c>
      <c r="J1314">
        <v>35</v>
      </c>
      <c r="K1314">
        <v>35</v>
      </c>
      <c r="L1314">
        <v>29</v>
      </c>
      <c r="M1314">
        <v>31</v>
      </c>
      <c r="N1314">
        <v>29</v>
      </c>
      <c r="O1314">
        <v>41</v>
      </c>
      <c r="P1314">
        <v>37</v>
      </c>
      <c r="Q1314">
        <v>29</v>
      </c>
      <c r="R1314">
        <v>35</v>
      </c>
      <c r="S1314">
        <v>38</v>
      </c>
      <c r="T1314">
        <f t="shared" si="62"/>
        <v>401</v>
      </c>
      <c r="U1314">
        <v>1</v>
      </c>
    </row>
    <row r="1315" spans="1:21" x14ac:dyDescent="0.3">
      <c r="A1315" t="str">
        <f t="shared" si="60"/>
        <v>MertonReablement &amp; Rehabilitation at home  (pathway 1)2</v>
      </c>
      <c r="B1315">
        <f>IF(C1315="","",COUNTIF($C$2:C1315,C1315))</f>
        <v>2</v>
      </c>
      <c r="C1315" t="str">
        <f t="shared" si="61"/>
        <v>MertonRehabilitation at home (pathway 1)</v>
      </c>
      <c r="D1315" t="str">
        <f>VLOOKUP(G1315,PathwayLookup!A:B,2,0)</f>
        <v>Reablement &amp; Rehabilitation at home  (pathway 1)</v>
      </c>
      <c r="E1315" t="s">
        <v>219</v>
      </c>
      <c r="F1315" t="s">
        <v>600</v>
      </c>
      <c r="G1315" t="s">
        <v>719</v>
      </c>
      <c r="H1315">
        <v>77</v>
      </c>
      <c r="I1315">
        <v>73</v>
      </c>
      <c r="J1315">
        <v>64</v>
      </c>
      <c r="K1315">
        <v>58</v>
      </c>
      <c r="L1315">
        <v>72</v>
      </c>
      <c r="M1315">
        <v>64</v>
      </c>
      <c r="N1315">
        <v>59</v>
      </c>
      <c r="O1315">
        <v>56</v>
      </c>
      <c r="P1315">
        <v>59</v>
      </c>
      <c r="Q1315">
        <v>70</v>
      </c>
      <c r="R1315">
        <v>79</v>
      </c>
      <c r="S1315">
        <v>84</v>
      </c>
      <c r="T1315">
        <f t="shared" si="62"/>
        <v>815</v>
      </c>
      <c r="U1315">
        <v>1</v>
      </c>
    </row>
    <row r="1316" spans="1:21" x14ac:dyDescent="0.3">
      <c r="A1316" t="str">
        <f t="shared" si="60"/>
        <v>MertonReablement &amp; Rehabilitation at home  (pathway 1)3</v>
      </c>
      <c r="B1316">
        <f>IF(C1316="","",COUNTIF($C$2:C1316,C1316))</f>
        <v>3</v>
      </c>
      <c r="C1316" t="str">
        <f t="shared" si="61"/>
        <v>MertonRehabilitation at home (pathway 1)</v>
      </c>
      <c r="D1316" t="str">
        <f>VLOOKUP(G1316,PathwayLookup!A:B,2,0)</f>
        <v>Reablement &amp; Rehabilitation at home  (pathway 1)</v>
      </c>
      <c r="E1316" t="s">
        <v>219</v>
      </c>
      <c r="F1316" t="s">
        <v>651</v>
      </c>
      <c r="G1316" t="s">
        <v>719</v>
      </c>
      <c r="H1316">
        <v>23</v>
      </c>
      <c r="I1316">
        <v>26</v>
      </c>
      <c r="J1316">
        <v>13</v>
      </c>
      <c r="K1316">
        <v>12</v>
      </c>
      <c r="L1316">
        <v>12</v>
      </c>
      <c r="M1316">
        <v>16</v>
      </c>
      <c r="N1316">
        <v>12</v>
      </c>
      <c r="O1316">
        <v>6</v>
      </c>
      <c r="P1316">
        <v>11</v>
      </c>
      <c r="Q1316">
        <v>13</v>
      </c>
      <c r="R1316">
        <v>17</v>
      </c>
      <c r="S1316">
        <v>18</v>
      </c>
      <c r="T1316">
        <f t="shared" si="62"/>
        <v>179</v>
      </c>
      <c r="U1316">
        <v>1</v>
      </c>
    </row>
    <row r="1317" spans="1:21" x14ac:dyDescent="0.3">
      <c r="A1317" t="str">
        <f t="shared" si="60"/>
        <v>MertonShort term domiciliary care (pathway 1)1</v>
      </c>
      <c r="B1317">
        <f>IF(C1317="","",COUNTIF($C$2:C1317,C1317))</f>
        <v>1</v>
      </c>
      <c r="C1317" t="str">
        <f t="shared" si="61"/>
        <v>MertonShort term domiciliary care (pathway 1)</v>
      </c>
      <c r="D1317" t="str">
        <f>VLOOKUP(G1317,PathwayLookup!A:B,2,0)</f>
        <v>Short term domiciliary care (pathway 1)</v>
      </c>
      <c r="E1317" t="s">
        <v>219</v>
      </c>
      <c r="F1317" t="s">
        <v>500</v>
      </c>
      <c r="G1317" t="s">
        <v>684</v>
      </c>
      <c r="H1317">
        <v>6</v>
      </c>
      <c r="I1317">
        <v>16</v>
      </c>
      <c r="J1317">
        <v>8</v>
      </c>
      <c r="K1317">
        <v>7</v>
      </c>
      <c r="L1317">
        <v>3</v>
      </c>
      <c r="M1317">
        <v>3</v>
      </c>
      <c r="N1317">
        <v>5</v>
      </c>
      <c r="O1317">
        <v>7</v>
      </c>
      <c r="P1317">
        <v>2</v>
      </c>
      <c r="Q1317">
        <v>22</v>
      </c>
      <c r="R1317">
        <v>7</v>
      </c>
      <c r="S1317">
        <v>7</v>
      </c>
      <c r="T1317">
        <f t="shared" si="62"/>
        <v>93</v>
      </c>
      <c r="U1317">
        <v>1</v>
      </c>
    </row>
    <row r="1318" spans="1:21" x14ac:dyDescent="0.3">
      <c r="A1318" t="str">
        <f t="shared" si="60"/>
        <v>MertonShort term domiciliary care (pathway 1)2</v>
      </c>
      <c r="B1318">
        <f>IF(C1318="","",COUNTIF($C$2:C1318,C1318))</f>
        <v>2</v>
      </c>
      <c r="C1318" t="str">
        <f t="shared" si="61"/>
        <v>MertonShort term domiciliary care (pathway 1)</v>
      </c>
      <c r="D1318" t="str">
        <f>VLOOKUP(G1318,PathwayLookup!A:B,2,0)</f>
        <v>Short term domiciliary care (pathway 1)</v>
      </c>
      <c r="E1318" t="s">
        <v>219</v>
      </c>
      <c r="F1318" t="s">
        <v>600</v>
      </c>
      <c r="G1318" t="s">
        <v>684</v>
      </c>
      <c r="H1318">
        <v>11</v>
      </c>
      <c r="I1318">
        <v>8</v>
      </c>
      <c r="J1318">
        <v>4</v>
      </c>
      <c r="K1318">
        <v>4</v>
      </c>
      <c r="L1318">
        <v>2</v>
      </c>
      <c r="M1318">
        <v>2</v>
      </c>
      <c r="N1318">
        <v>2</v>
      </c>
      <c r="O1318">
        <v>4</v>
      </c>
      <c r="P1318">
        <v>1</v>
      </c>
      <c r="Q1318">
        <v>11</v>
      </c>
      <c r="R1318">
        <v>3</v>
      </c>
      <c r="S1318">
        <v>3</v>
      </c>
      <c r="T1318">
        <f t="shared" si="62"/>
        <v>55</v>
      </c>
      <c r="U1318">
        <v>1</v>
      </c>
    </row>
    <row r="1319" spans="1:21" x14ac:dyDescent="0.3">
      <c r="A1319" t="str">
        <f t="shared" si="60"/>
        <v>MertonShort term domiciliary care (pathway 1)3</v>
      </c>
      <c r="B1319">
        <f>IF(C1319="","",COUNTIF($C$2:C1319,C1319))</f>
        <v>3</v>
      </c>
      <c r="C1319" t="str">
        <f t="shared" si="61"/>
        <v>MertonShort term domiciliary care (pathway 1)</v>
      </c>
      <c r="D1319" t="str">
        <f>VLOOKUP(G1319,PathwayLookup!A:B,2,0)</f>
        <v>Short term domiciliary care (pathway 1)</v>
      </c>
      <c r="E1319" t="s">
        <v>219</v>
      </c>
      <c r="F1319" t="s">
        <v>651</v>
      </c>
      <c r="G1319" t="s">
        <v>684</v>
      </c>
      <c r="H1319">
        <v>1</v>
      </c>
      <c r="I1319">
        <v>3</v>
      </c>
      <c r="J1319">
        <v>2</v>
      </c>
      <c r="K1319">
        <v>1</v>
      </c>
      <c r="L1319">
        <v>1</v>
      </c>
      <c r="M1319">
        <v>1</v>
      </c>
      <c r="N1319">
        <v>1</v>
      </c>
      <c r="O1319">
        <v>1</v>
      </c>
      <c r="P1319">
        <v>0</v>
      </c>
      <c r="Q1319">
        <v>3</v>
      </c>
      <c r="R1319">
        <v>1</v>
      </c>
      <c r="S1319">
        <v>1</v>
      </c>
      <c r="T1319">
        <f t="shared" si="62"/>
        <v>16</v>
      </c>
      <c r="U1319">
        <v>1</v>
      </c>
    </row>
    <row r="1320" spans="1:21" x14ac:dyDescent="0.3">
      <c r="A1320" t="str">
        <f t="shared" si="60"/>
        <v/>
      </c>
      <c r="B1320" t="str">
        <f>IF(C1320="","",COUNTIF($C$2:C1320,C1320))</f>
        <v/>
      </c>
      <c r="C1320" t="str">
        <f t="shared" si="61"/>
        <v/>
      </c>
      <c r="D1320" t="str">
        <f>VLOOKUP(G1320,PathwayLookup!A:B,2,0)</f>
        <v>Reablement &amp; Rehabilitation in a bedded setting (pathway 2)</v>
      </c>
      <c r="E1320" t="s">
        <v>219</v>
      </c>
      <c r="F1320" t="s">
        <v>500</v>
      </c>
      <c r="G1320" t="s">
        <v>722</v>
      </c>
      <c r="H1320">
        <v>0</v>
      </c>
      <c r="I1320">
        <v>0</v>
      </c>
      <c r="J1320">
        <v>0</v>
      </c>
      <c r="K1320">
        <v>0</v>
      </c>
      <c r="L1320">
        <v>0</v>
      </c>
      <c r="M1320">
        <v>0</v>
      </c>
      <c r="N1320">
        <v>0</v>
      </c>
      <c r="O1320">
        <v>0</v>
      </c>
      <c r="P1320">
        <v>0</v>
      </c>
      <c r="Q1320">
        <v>0</v>
      </c>
      <c r="R1320">
        <v>0</v>
      </c>
      <c r="S1320">
        <v>0</v>
      </c>
      <c r="T1320">
        <f t="shared" si="62"/>
        <v>0</v>
      </c>
      <c r="U1320">
        <v>1</v>
      </c>
    </row>
    <row r="1321" spans="1:21" x14ac:dyDescent="0.3">
      <c r="A1321" t="str">
        <f t="shared" si="60"/>
        <v/>
      </c>
      <c r="B1321" t="str">
        <f>IF(C1321="","",COUNTIF($C$2:C1321,C1321))</f>
        <v/>
      </c>
      <c r="C1321" t="str">
        <f t="shared" si="61"/>
        <v/>
      </c>
      <c r="D1321" t="str">
        <f>VLOOKUP(G1321,PathwayLookup!A:B,2,0)</f>
        <v>Reablement &amp; Rehabilitation in a bedded setting (pathway 2)</v>
      </c>
      <c r="E1321" t="s">
        <v>219</v>
      </c>
      <c r="F1321" t="s">
        <v>600</v>
      </c>
      <c r="G1321" t="s">
        <v>722</v>
      </c>
      <c r="H1321">
        <v>0</v>
      </c>
      <c r="I1321">
        <v>0</v>
      </c>
      <c r="J1321">
        <v>0</v>
      </c>
      <c r="K1321">
        <v>0</v>
      </c>
      <c r="L1321">
        <v>0</v>
      </c>
      <c r="M1321">
        <v>0</v>
      </c>
      <c r="N1321">
        <v>0</v>
      </c>
      <c r="O1321">
        <v>0</v>
      </c>
      <c r="P1321">
        <v>0</v>
      </c>
      <c r="Q1321">
        <v>0</v>
      </c>
      <c r="R1321">
        <v>0</v>
      </c>
      <c r="S1321">
        <v>0</v>
      </c>
      <c r="T1321">
        <f t="shared" si="62"/>
        <v>0</v>
      </c>
      <c r="U1321">
        <v>1</v>
      </c>
    </row>
    <row r="1322" spans="1:21" x14ac:dyDescent="0.3">
      <c r="A1322" t="str">
        <f t="shared" si="60"/>
        <v/>
      </c>
      <c r="B1322" t="str">
        <f>IF(C1322="","",COUNTIF($C$2:C1322,C1322))</f>
        <v/>
      </c>
      <c r="C1322" t="str">
        <f t="shared" si="61"/>
        <v/>
      </c>
      <c r="D1322" t="str">
        <f>VLOOKUP(G1322,PathwayLookup!A:B,2,0)</f>
        <v>Reablement &amp; Rehabilitation in a bedded setting (pathway 2)</v>
      </c>
      <c r="E1322" t="s">
        <v>219</v>
      </c>
      <c r="F1322" t="s">
        <v>651</v>
      </c>
      <c r="G1322" t="s">
        <v>722</v>
      </c>
      <c r="H1322">
        <v>0</v>
      </c>
      <c r="I1322">
        <v>0</v>
      </c>
      <c r="J1322">
        <v>0</v>
      </c>
      <c r="K1322">
        <v>0</v>
      </c>
      <c r="L1322">
        <v>0</v>
      </c>
      <c r="M1322">
        <v>0</v>
      </c>
      <c r="N1322">
        <v>0</v>
      </c>
      <c r="O1322">
        <v>0</v>
      </c>
      <c r="P1322">
        <v>0</v>
      </c>
      <c r="Q1322">
        <v>0</v>
      </c>
      <c r="R1322">
        <v>0</v>
      </c>
      <c r="S1322">
        <v>0</v>
      </c>
      <c r="T1322">
        <f t="shared" si="62"/>
        <v>0</v>
      </c>
      <c r="U1322">
        <v>1</v>
      </c>
    </row>
    <row r="1323" spans="1:21" x14ac:dyDescent="0.3">
      <c r="A1323" t="str">
        <f t="shared" si="60"/>
        <v>MertonReablement &amp; Rehabilitation in a bedded setting (pathway 2)1</v>
      </c>
      <c r="B1323">
        <f>IF(C1323="","",COUNTIF($C$2:C1323,C1323))</f>
        <v>1</v>
      </c>
      <c r="C1323" t="str">
        <f t="shared" si="61"/>
        <v>MertonRehabilitation in a bedded setting (pathway 2)</v>
      </c>
      <c r="D1323" t="str">
        <f>VLOOKUP(G1323,PathwayLookup!A:B,2,0)</f>
        <v>Reablement &amp; Rehabilitation in a bedded setting (pathway 2)</v>
      </c>
      <c r="E1323" t="s">
        <v>219</v>
      </c>
      <c r="F1323" t="s">
        <v>500</v>
      </c>
      <c r="G1323" t="s">
        <v>724</v>
      </c>
      <c r="H1323">
        <v>2</v>
      </c>
      <c r="I1323">
        <v>2</v>
      </c>
      <c r="J1323">
        <v>2</v>
      </c>
      <c r="K1323">
        <v>2</v>
      </c>
      <c r="L1323">
        <v>3</v>
      </c>
      <c r="M1323">
        <v>2</v>
      </c>
      <c r="N1323">
        <v>3</v>
      </c>
      <c r="O1323">
        <v>2</v>
      </c>
      <c r="P1323">
        <v>3</v>
      </c>
      <c r="Q1323">
        <v>2</v>
      </c>
      <c r="R1323">
        <v>3</v>
      </c>
      <c r="S1323">
        <v>2</v>
      </c>
      <c r="T1323">
        <f t="shared" si="62"/>
        <v>28</v>
      </c>
      <c r="U1323">
        <v>1</v>
      </c>
    </row>
    <row r="1324" spans="1:21" x14ac:dyDescent="0.3">
      <c r="A1324" t="str">
        <f t="shared" si="60"/>
        <v>MertonReablement &amp; Rehabilitation in a bedded setting (pathway 2)2</v>
      </c>
      <c r="B1324">
        <f>IF(C1324="","",COUNTIF($C$2:C1324,C1324))</f>
        <v>2</v>
      </c>
      <c r="C1324" t="str">
        <f t="shared" si="61"/>
        <v>MertonRehabilitation in a bedded setting (pathway 2)</v>
      </c>
      <c r="D1324" t="str">
        <f>VLOOKUP(G1324,PathwayLookup!A:B,2,0)</f>
        <v>Reablement &amp; Rehabilitation in a bedded setting (pathway 2)</v>
      </c>
      <c r="E1324" t="s">
        <v>219</v>
      </c>
      <c r="F1324" t="s">
        <v>600</v>
      </c>
      <c r="G1324" t="s">
        <v>724</v>
      </c>
      <c r="H1324">
        <v>2</v>
      </c>
      <c r="I1324">
        <v>1</v>
      </c>
      <c r="J1324">
        <v>1</v>
      </c>
      <c r="K1324">
        <v>2</v>
      </c>
      <c r="L1324">
        <v>2</v>
      </c>
      <c r="M1324">
        <v>1</v>
      </c>
      <c r="N1324">
        <v>4</v>
      </c>
      <c r="O1324">
        <v>1</v>
      </c>
      <c r="P1324">
        <v>2</v>
      </c>
      <c r="Q1324">
        <v>1</v>
      </c>
      <c r="R1324">
        <v>3</v>
      </c>
      <c r="S1324">
        <v>1</v>
      </c>
      <c r="T1324">
        <f t="shared" si="62"/>
        <v>21</v>
      </c>
      <c r="U1324">
        <v>1</v>
      </c>
    </row>
    <row r="1325" spans="1:21" x14ac:dyDescent="0.3">
      <c r="A1325" t="str">
        <f t="shared" si="60"/>
        <v>MertonReablement &amp; Rehabilitation in a bedded setting (pathway 2)3</v>
      </c>
      <c r="B1325">
        <f>IF(C1325="","",COUNTIF($C$2:C1325,C1325))</f>
        <v>3</v>
      </c>
      <c r="C1325" t="str">
        <f t="shared" si="61"/>
        <v>MertonRehabilitation in a bedded setting (pathway 2)</v>
      </c>
      <c r="D1325" t="str">
        <f>VLOOKUP(G1325,PathwayLookup!A:B,2,0)</f>
        <v>Reablement &amp; Rehabilitation in a bedded setting (pathway 2)</v>
      </c>
      <c r="E1325" t="s">
        <v>219</v>
      </c>
      <c r="F1325" t="s">
        <v>651</v>
      </c>
      <c r="G1325" t="s">
        <v>724</v>
      </c>
      <c r="H1325">
        <v>1</v>
      </c>
      <c r="I1325">
        <v>1</v>
      </c>
      <c r="J1325">
        <v>1</v>
      </c>
      <c r="K1325">
        <v>1</v>
      </c>
      <c r="L1325">
        <v>1</v>
      </c>
      <c r="M1325">
        <v>0</v>
      </c>
      <c r="N1325">
        <v>2</v>
      </c>
      <c r="O1325">
        <v>1</v>
      </c>
      <c r="P1325">
        <v>2</v>
      </c>
      <c r="Q1325">
        <v>1</v>
      </c>
      <c r="R1325">
        <v>1</v>
      </c>
      <c r="S1325">
        <v>1</v>
      </c>
      <c r="T1325">
        <f t="shared" si="62"/>
        <v>13</v>
      </c>
      <c r="U1325">
        <v>1</v>
      </c>
    </row>
    <row r="1326" spans="1:21" x14ac:dyDescent="0.3">
      <c r="A1326" t="str">
        <f t="shared" si="60"/>
        <v>MertonShort-term residential/nursing care for someone likely to require a longer-term care home placement (pathway 3)1</v>
      </c>
      <c r="B1326">
        <f>IF(C1326="","",COUNTIF($C$2:C1326,C1326))</f>
        <v>1</v>
      </c>
      <c r="C1326" t="str">
        <f t="shared" si="61"/>
        <v>MertonShort-term residential/nursing care for someone likely to require a longer-term care home placement (pathway 3)</v>
      </c>
      <c r="D1326" t="str">
        <f>VLOOKUP(G1326,PathwayLookup!A:B,2,0)</f>
        <v>Short-term residential/nursing care for someone likely to require a longer-term care home placement (pathway 3)</v>
      </c>
      <c r="E1326" t="s">
        <v>219</v>
      </c>
      <c r="F1326" t="s">
        <v>500</v>
      </c>
      <c r="G1326" t="s">
        <v>686</v>
      </c>
      <c r="H1326">
        <v>4</v>
      </c>
      <c r="I1326">
        <v>0</v>
      </c>
      <c r="J1326">
        <v>0</v>
      </c>
      <c r="K1326">
        <v>4</v>
      </c>
      <c r="L1326">
        <v>2</v>
      </c>
      <c r="M1326">
        <v>6</v>
      </c>
      <c r="N1326">
        <v>0</v>
      </c>
      <c r="O1326">
        <v>2</v>
      </c>
      <c r="P1326">
        <v>1</v>
      </c>
      <c r="Q1326">
        <v>4</v>
      </c>
      <c r="R1326">
        <v>2</v>
      </c>
      <c r="S1326">
        <v>2</v>
      </c>
      <c r="T1326">
        <f t="shared" si="62"/>
        <v>27</v>
      </c>
      <c r="U1326">
        <v>1</v>
      </c>
    </row>
    <row r="1327" spans="1:21" x14ac:dyDescent="0.3">
      <c r="A1327" t="str">
        <f t="shared" si="60"/>
        <v>MertonShort-term residential/nursing care for someone likely to require a longer-term care home placement (pathway 3)2</v>
      </c>
      <c r="B1327">
        <f>IF(C1327="","",COUNTIF($C$2:C1327,C1327))</f>
        <v>2</v>
      </c>
      <c r="C1327" t="str">
        <f t="shared" si="61"/>
        <v>MertonShort-term residential/nursing care for someone likely to require a longer-term care home placement (pathway 3)</v>
      </c>
      <c r="D1327" t="str">
        <f>VLOOKUP(G1327,PathwayLookup!A:B,2,0)</f>
        <v>Short-term residential/nursing care for someone likely to require a longer-term care home placement (pathway 3)</v>
      </c>
      <c r="E1327" t="s">
        <v>219</v>
      </c>
      <c r="F1327" t="s">
        <v>600</v>
      </c>
      <c r="G1327" t="s">
        <v>686</v>
      </c>
      <c r="H1327">
        <v>2</v>
      </c>
      <c r="I1327">
        <v>8</v>
      </c>
      <c r="J1327">
        <v>8</v>
      </c>
      <c r="K1327">
        <v>3</v>
      </c>
      <c r="L1327">
        <v>3</v>
      </c>
      <c r="M1327">
        <v>4</v>
      </c>
      <c r="N1327">
        <v>8</v>
      </c>
      <c r="O1327">
        <v>4</v>
      </c>
      <c r="P1327">
        <v>1</v>
      </c>
      <c r="Q1327">
        <v>4</v>
      </c>
      <c r="R1327">
        <v>4</v>
      </c>
      <c r="S1327">
        <v>8</v>
      </c>
      <c r="T1327">
        <f t="shared" si="62"/>
        <v>57</v>
      </c>
      <c r="U1327">
        <v>1</v>
      </c>
    </row>
    <row r="1328" spans="1:21" x14ac:dyDescent="0.3">
      <c r="A1328" t="str">
        <f t="shared" si="60"/>
        <v>MertonShort-term residential/nursing care for someone likely to require a longer-term care home placement (pathway 3)3</v>
      </c>
      <c r="B1328">
        <f>IF(C1328="","",COUNTIF($C$2:C1328,C1328))</f>
        <v>3</v>
      </c>
      <c r="C1328" t="str">
        <f t="shared" si="61"/>
        <v>MertonShort-term residential/nursing care for someone likely to require a longer-term care home placement (pathway 3)</v>
      </c>
      <c r="D1328" t="str">
        <f>VLOOKUP(G1328,PathwayLookup!A:B,2,0)</f>
        <v>Short-term residential/nursing care for someone likely to require a longer-term care home placement (pathway 3)</v>
      </c>
      <c r="E1328" t="s">
        <v>219</v>
      </c>
      <c r="F1328" t="s">
        <v>651</v>
      </c>
      <c r="G1328" t="s">
        <v>686</v>
      </c>
      <c r="H1328">
        <v>1</v>
      </c>
      <c r="I1328">
        <v>2</v>
      </c>
      <c r="J1328">
        <v>1</v>
      </c>
      <c r="K1328">
        <v>2</v>
      </c>
      <c r="L1328">
        <v>0</v>
      </c>
      <c r="M1328">
        <v>3</v>
      </c>
      <c r="N1328">
        <v>0</v>
      </c>
      <c r="O1328">
        <v>1</v>
      </c>
      <c r="P1328">
        <v>0</v>
      </c>
      <c r="Q1328">
        <v>2</v>
      </c>
      <c r="R1328">
        <v>2</v>
      </c>
      <c r="S1328">
        <v>1</v>
      </c>
      <c r="T1328">
        <f t="shared" si="62"/>
        <v>15</v>
      </c>
      <c r="U1328">
        <v>1</v>
      </c>
    </row>
    <row r="1329" spans="1:21" x14ac:dyDescent="0.3">
      <c r="A1329" t="str">
        <f t="shared" si="60"/>
        <v>MiddlesbroughSocial support (including VCS) (pathway 0)1</v>
      </c>
      <c r="B1329">
        <f>IF(C1329="","",COUNTIF($C$2:C1329,C1329))</f>
        <v>1</v>
      </c>
      <c r="C1329" t="str">
        <f t="shared" si="61"/>
        <v>MiddlesbroughSocial support (including VCS) (pathway 0)</v>
      </c>
      <c r="D1329" t="str">
        <f>VLOOKUP(G1329,PathwayLookup!A:B,2,0)</f>
        <v>Social support (including VCS) (pathway 0)</v>
      </c>
      <c r="E1329" t="s">
        <v>221</v>
      </c>
      <c r="F1329" t="s">
        <v>593</v>
      </c>
      <c r="G1329" t="s">
        <v>682</v>
      </c>
      <c r="H1329">
        <v>1773</v>
      </c>
      <c r="I1329">
        <v>2014</v>
      </c>
      <c r="J1329">
        <v>2031</v>
      </c>
      <c r="K1329">
        <v>1970</v>
      </c>
      <c r="L1329">
        <v>2173</v>
      </c>
      <c r="M1329">
        <v>2216</v>
      </c>
      <c r="N1329">
        <v>2304</v>
      </c>
      <c r="O1329">
        <v>2328</v>
      </c>
      <c r="P1329">
        <v>1982</v>
      </c>
      <c r="Q1329">
        <v>1860</v>
      </c>
      <c r="R1329">
        <v>2161</v>
      </c>
      <c r="S1329">
        <v>2089</v>
      </c>
      <c r="T1329">
        <f t="shared" si="62"/>
        <v>24901</v>
      </c>
      <c r="U1329">
        <v>1</v>
      </c>
    </row>
    <row r="1330" spans="1:21" x14ac:dyDescent="0.3">
      <c r="A1330" t="str">
        <f t="shared" si="60"/>
        <v>MiddlesbroughSocial support (including VCS) (pathway 0)2</v>
      </c>
      <c r="B1330">
        <f>IF(C1330="","",COUNTIF($C$2:C1330,C1330))</f>
        <v>2</v>
      </c>
      <c r="C1330" t="str">
        <f t="shared" si="61"/>
        <v>MiddlesbroughSocial support (including VCS) (pathway 0)</v>
      </c>
      <c r="D1330" t="str">
        <f>VLOOKUP(G1330,PathwayLookup!A:B,2,0)</f>
        <v>Social support (including VCS) (pathway 0)</v>
      </c>
      <c r="E1330" t="s">
        <v>221</v>
      </c>
      <c r="F1330" t="s">
        <v>651</v>
      </c>
      <c r="G1330" t="s">
        <v>682</v>
      </c>
      <c r="H1330">
        <v>46</v>
      </c>
      <c r="I1330">
        <v>57</v>
      </c>
      <c r="J1330">
        <v>56</v>
      </c>
      <c r="K1330">
        <v>56</v>
      </c>
      <c r="L1330">
        <v>55</v>
      </c>
      <c r="M1330">
        <v>54</v>
      </c>
      <c r="N1330">
        <v>56</v>
      </c>
      <c r="O1330">
        <v>58</v>
      </c>
      <c r="P1330">
        <v>58</v>
      </c>
      <c r="Q1330">
        <v>59</v>
      </c>
      <c r="R1330">
        <v>55</v>
      </c>
      <c r="S1330">
        <v>57</v>
      </c>
      <c r="T1330">
        <f t="shared" si="62"/>
        <v>667</v>
      </c>
      <c r="U1330">
        <v>1</v>
      </c>
    </row>
    <row r="1331" spans="1:21" x14ac:dyDescent="0.3">
      <c r="A1331" t="str">
        <f t="shared" si="60"/>
        <v>MiddlesbroughReablement &amp; Rehabilitation at home  (pathway 1)1</v>
      </c>
      <c r="B1331">
        <f>IF(C1331="","",COUNTIF($C$2:C1331,C1331))</f>
        <v>1</v>
      </c>
      <c r="C1331" t="str">
        <f t="shared" si="61"/>
        <v>MiddlesbroughReablement at home  (pathway 1)</v>
      </c>
      <c r="D1331" t="str">
        <f>VLOOKUP(G1331,PathwayLookup!A:B,2,0)</f>
        <v>Reablement &amp; Rehabilitation at home  (pathway 1)</v>
      </c>
      <c r="E1331" t="s">
        <v>221</v>
      </c>
      <c r="F1331" t="s">
        <v>593</v>
      </c>
      <c r="G1331" t="s">
        <v>718</v>
      </c>
      <c r="H1331">
        <v>242</v>
      </c>
      <c r="I1331">
        <v>275</v>
      </c>
      <c r="J1331">
        <v>277</v>
      </c>
      <c r="K1331">
        <v>267</v>
      </c>
      <c r="L1331">
        <v>296</v>
      </c>
      <c r="M1331">
        <v>302</v>
      </c>
      <c r="N1331">
        <v>314</v>
      </c>
      <c r="O1331">
        <v>317</v>
      </c>
      <c r="P1331">
        <v>270</v>
      </c>
      <c r="Q1331">
        <v>254</v>
      </c>
      <c r="R1331">
        <v>295</v>
      </c>
      <c r="S1331">
        <v>285</v>
      </c>
      <c r="T1331">
        <f t="shared" si="62"/>
        <v>3394</v>
      </c>
      <c r="U1331">
        <v>1</v>
      </c>
    </row>
    <row r="1332" spans="1:21" x14ac:dyDescent="0.3">
      <c r="A1332" t="str">
        <f t="shared" si="60"/>
        <v>MiddlesbroughReablement &amp; Rehabilitation at home  (pathway 1)2</v>
      </c>
      <c r="B1332">
        <f>IF(C1332="","",COUNTIF($C$2:C1332,C1332))</f>
        <v>2</v>
      </c>
      <c r="C1332" t="str">
        <f t="shared" si="61"/>
        <v>MiddlesbroughReablement at home  (pathway 1)</v>
      </c>
      <c r="D1332" t="str">
        <f>VLOOKUP(G1332,PathwayLookup!A:B,2,0)</f>
        <v>Reablement &amp; Rehabilitation at home  (pathway 1)</v>
      </c>
      <c r="E1332" t="s">
        <v>221</v>
      </c>
      <c r="F1332" t="s">
        <v>651</v>
      </c>
      <c r="G1332" t="s">
        <v>718</v>
      </c>
      <c r="H1332">
        <v>7</v>
      </c>
      <c r="I1332">
        <v>9</v>
      </c>
      <c r="J1332">
        <v>9</v>
      </c>
      <c r="K1332">
        <v>9</v>
      </c>
      <c r="L1332">
        <v>9</v>
      </c>
      <c r="M1332">
        <v>9</v>
      </c>
      <c r="N1332">
        <v>9</v>
      </c>
      <c r="O1332">
        <v>9</v>
      </c>
      <c r="P1332">
        <v>9</v>
      </c>
      <c r="Q1332">
        <v>9</v>
      </c>
      <c r="R1332">
        <v>9</v>
      </c>
      <c r="S1332">
        <v>9</v>
      </c>
      <c r="T1332">
        <f t="shared" si="62"/>
        <v>106</v>
      </c>
      <c r="U1332">
        <v>1</v>
      </c>
    </row>
    <row r="1333" spans="1:21" x14ac:dyDescent="0.3">
      <c r="A1333" t="str">
        <f t="shared" si="60"/>
        <v/>
      </c>
      <c r="B1333" t="str">
        <f>IF(C1333="","",COUNTIF($C$2:C1333,C1333))</f>
        <v/>
      </c>
      <c r="C1333" t="str">
        <f t="shared" si="61"/>
        <v/>
      </c>
      <c r="D1333" t="str">
        <f>VLOOKUP(G1333,PathwayLookup!A:B,2,0)</f>
        <v>Reablement &amp; Rehabilitation at home  (pathway 1)</v>
      </c>
      <c r="E1333" t="s">
        <v>221</v>
      </c>
      <c r="F1333" t="s">
        <v>593</v>
      </c>
      <c r="G1333" t="s">
        <v>719</v>
      </c>
      <c r="H1333">
        <v>0</v>
      </c>
      <c r="I1333">
        <v>0</v>
      </c>
      <c r="J1333">
        <v>0</v>
      </c>
      <c r="K1333">
        <v>0</v>
      </c>
      <c r="L1333">
        <v>0</v>
      </c>
      <c r="M1333">
        <v>0</v>
      </c>
      <c r="N1333">
        <v>0</v>
      </c>
      <c r="O1333">
        <v>0</v>
      </c>
      <c r="P1333">
        <v>0</v>
      </c>
      <c r="Q1333">
        <v>0</v>
      </c>
      <c r="R1333">
        <v>0</v>
      </c>
      <c r="S1333">
        <v>0</v>
      </c>
      <c r="T1333">
        <f t="shared" si="62"/>
        <v>0</v>
      </c>
      <c r="U1333">
        <v>1</v>
      </c>
    </row>
    <row r="1334" spans="1:21" x14ac:dyDescent="0.3">
      <c r="A1334" t="str">
        <f t="shared" si="60"/>
        <v/>
      </c>
      <c r="B1334" t="str">
        <f>IF(C1334="","",COUNTIF($C$2:C1334,C1334))</f>
        <v/>
      </c>
      <c r="C1334" t="str">
        <f t="shared" si="61"/>
        <v/>
      </c>
      <c r="D1334" t="str">
        <f>VLOOKUP(G1334,PathwayLookup!A:B,2,0)</f>
        <v>Reablement &amp; Rehabilitation at home  (pathway 1)</v>
      </c>
      <c r="E1334" t="s">
        <v>221</v>
      </c>
      <c r="F1334" t="s">
        <v>651</v>
      </c>
      <c r="G1334" t="s">
        <v>719</v>
      </c>
      <c r="H1334">
        <v>0</v>
      </c>
      <c r="I1334">
        <v>0</v>
      </c>
      <c r="J1334">
        <v>0</v>
      </c>
      <c r="K1334">
        <v>0</v>
      </c>
      <c r="L1334">
        <v>0</v>
      </c>
      <c r="M1334">
        <v>0</v>
      </c>
      <c r="N1334">
        <v>0</v>
      </c>
      <c r="O1334">
        <v>0</v>
      </c>
      <c r="P1334">
        <v>0</v>
      </c>
      <c r="Q1334">
        <v>0</v>
      </c>
      <c r="R1334">
        <v>0</v>
      </c>
      <c r="S1334">
        <v>0</v>
      </c>
      <c r="T1334">
        <f t="shared" si="62"/>
        <v>0</v>
      </c>
      <c r="U1334">
        <v>1</v>
      </c>
    </row>
    <row r="1335" spans="1:21" x14ac:dyDescent="0.3">
      <c r="A1335" t="str">
        <f t="shared" si="60"/>
        <v/>
      </c>
      <c r="B1335" t="str">
        <f>IF(C1335="","",COUNTIF($C$2:C1335,C1335))</f>
        <v/>
      </c>
      <c r="C1335" t="str">
        <f t="shared" si="61"/>
        <v/>
      </c>
      <c r="D1335" t="str">
        <f>VLOOKUP(G1335,PathwayLookup!A:B,2,0)</f>
        <v>Short term domiciliary care (pathway 1)</v>
      </c>
      <c r="E1335" t="s">
        <v>221</v>
      </c>
      <c r="F1335" t="s">
        <v>593</v>
      </c>
      <c r="G1335" t="s">
        <v>684</v>
      </c>
      <c r="H1335">
        <v>0</v>
      </c>
      <c r="I1335">
        <v>0</v>
      </c>
      <c r="J1335">
        <v>0</v>
      </c>
      <c r="K1335">
        <v>0</v>
      </c>
      <c r="L1335">
        <v>0</v>
      </c>
      <c r="M1335">
        <v>0</v>
      </c>
      <c r="N1335">
        <v>0</v>
      </c>
      <c r="O1335">
        <v>0</v>
      </c>
      <c r="P1335">
        <v>0</v>
      </c>
      <c r="Q1335">
        <v>0</v>
      </c>
      <c r="R1335">
        <v>0</v>
      </c>
      <c r="S1335">
        <v>0</v>
      </c>
      <c r="T1335">
        <f t="shared" si="62"/>
        <v>0</v>
      </c>
      <c r="U1335">
        <v>1</v>
      </c>
    </row>
    <row r="1336" spans="1:21" x14ac:dyDescent="0.3">
      <c r="A1336" t="str">
        <f t="shared" si="60"/>
        <v/>
      </c>
      <c r="B1336" t="str">
        <f>IF(C1336="","",COUNTIF($C$2:C1336,C1336))</f>
        <v/>
      </c>
      <c r="C1336" t="str">
        <f t="shared" si="61"/>
        <v/>
      </c>
      <c r="D1336" t="str">
        <f>VLOOKUP(G1336,PathwayLookup!A:B,2,0)</f>
        <v>Short term domiciliary care (pathway 1)</v>
      </c>
      <c r="E1336" t="s">
        <v>221</v>
      </c>
      <c r="F1336" t="s">
        <v>651</v>
      </c>
      <c r="G1336" t="s">
        <v>684</v>
      </c>
      <c r="H1336">
        <v>0</v>
      </c>
      <c r="I1336">
        <v>0</v>
      </c>
      <c r="J1336">
        <v>0</v>
      </c>
      <c r="K1336">
        <v>0</v>
      </c>
      <c r="L1336">
        <v>0</v>
      </c>
      <c r="M1336">
        <v>0</v>
      </c>
      <c r="N1336">
        <v>0</v>
      </c>
      <c r="O1336">
        <v>0</v>
      </c>
      <c r="P1336">
        <v>0</v>
      </c>
      <c r="Q1336">
        <v>0</v>
      </c>
      <c r="R1336">
        <v>0</v>
      </c>
      <c r="S1336">
        <v>0</v>
      </c>
      <c r="T1336">
        <f t="shared" si="62"/>
        <v>0</v>
      </c>
      <c r="U1336">
        <v>1</v>
      </c>
    </row>
    <row r="1337" spans="1:21" x14ac:dyDescent="0.3">
      <c r="A1337" t="str">
        <f t="shared" si="60"/>
        <v>MiddlesbroughReablement &amp; Rehabilitation in a bedded setting (pathway 2)1</v>
      </c>
      <c r="B1337">
        <f>IF(C1337="","",COUNTIF($C$2:C1337,C1337))</f>
        <v>1</v>
      </c>
      <c r="C1337" t="str">
        <f t="shared" si="61"/>
        <v>MiddlesbroughReablement in a bedded setting (pathway 2)</v>
      </c>
      <c r="D1337" t="str">
        <f>VLOOKUP(G1337,PathwayLookup!A:B,2,0)</f>
        <v>Reablement &amp; Rehabilitation in a bedded setting (pathway 2)</v>
      </c>
      <c r="E1337" t="s">
        <v>221</v>
      </c>
      <c r="F1337" t="s">
        <v>593</v>
      </c>
      <c r="G1337" t="s">
        <v>722</v>
      </c>
      <c r="H1337">
        <v>44</v>
      </c>
      <c r="I1337">
        <v>50</v>
      </c>
      <c r="J1337">
        <v>50</v>
      </c>
      <c r="K1337">
        <v>59</v>
      </c>
      <c r="L1337">
        <v>54</v>
      </c>
      <c r="M1337">
        <v>55</v>
      </c>
      <c r="N1337">
        <v>57</v>
      </c>
      <c r="O1337">
        <v>58</v>
      </c>
      <c r="P1337">
        <v>49</v>
      </c>
      <c r="Q1337">
        <v>46</v>
      </c>
      <c r="R1337">
        <v>54</v>
      </c>
      <c r="S1337">
        <v>52</v>
      </c>
      <c r="T1337">
        <f t="shared" si="62"/>
        <v>628</v>
      </c>
      <c r="U1337">
        <v>1</v>
      </c>
    </row>
    <row r="1338" spans="1:21" x14ac:dyDescent="0.3">
      <c r="A1338" t="str">
        <f t="shared" si="60"/>
        <v>MiddlesbroughReablement &amp; Rehabilitation in a bedded setting (pathway 2)2</v>
      </c>
      <c r="B1338">
        <f>IF(C1338="","",COUNTIF($C$2:C1338,C1338))</f>
        <v>2</v>
      </c>
      <c r="C1338" t="str">
        <f t="shared" si="61"/>
        <v>MiddlesbroughReablement in a bedded setting (pathway 2)</v>
      </c>
      <c r="D1338" t="str">
        <f>VLOOKUP(G1338,PathwayLookup!A:B,2,0)</f>
        <v>Reablement &amp; Rehabilitation in a bedded setting (pathway 2)</v>
      </c>
      <c r="E1338" t="s">
        <v>221</v>
      </c>
      <c r="F1338" t="s">
        <v>651</v>
      </c>
      <c r="G1338" t="s">
        <v>722</v>
      </c>
      <c r="H1338">
        <v>1</v>
      </c>
      <c r="I1338">
        <v>1</v>
      </c>
      <c r="J1338">
        <v>1</v>
      </c>
      <c r="K1338">
        <v>1</v>
      </c>
      <c r="L1338">
        <v>1</v>
      </c>
      <c r="M1338">
        <v>1</v>
      </c>
      <c r="N1338">
        <v>1</v>
      </c>
      <c r="O1338">
        <v>1</v>
      </c>
      <c r="P1338">
        <v>1</v>
      </c>
      <c r="Q1338">
        <v>1</v>
      </c>
      <c r="R1338">
        <v>1</v>
      </c>
      <c r="S1338">
        <v>1</v>
      </c>
      <c r="T1338">
        <f t="shared" si="62"/>
        <v>12</v>
      </c>
      <c r="U1338">
        <v>1</v>
      </c>
    </row>
    <row r="1339" spans="1:21" x14ac:dyDescent="0.3">
      <c r="A1339" t="str">
        <f t="shared" si="60"/>
        <v/>
      </c>
      <c r="B1339" t="str">
        <f>IF(C1339="","",COUNTIF($C$2:C1339,C1339))</f>
        <v/>
      </c>
      <c r="C1339" t="str">
        <f t="shared" si="61"/>
        <v/>
      </c>
      <c r="D1339" t="str">
        <f>VLOOKUP(G1339,PathwayLookup!A:B,2,0)</f>
        <v>Reablement &amp; Rehabilitation in a bedded setting (pathway 2)</v>
      </c>
      <c r="E1339" t="s">
        <v>221</v>
      </c>
      <c r="F1339" t="s">
        <v>593</v>
      </c>
      <c r="G1339" t="s">
        <v>724</v>
      </c>
      <c r="H1339">
        <v>0</v>
      </c>
      <c r="I1339">
        <v>0</v>
      </c>
      <c r="J1339">
        <v>0</v>
      </c>
      <c r="K1339">
        <v>0</v>
      </c>
      <c r="L1339">
        <v>0</v>
      </c>
      <c r="M1339">
        <v>0</v>
      </c>
      <c r="N1339">
        <v>0</v>
      </c>
      <c r="O1339">
        <v>0</v>
      </c>
      <c r="P1339">
        <v>0</v>
      </c>
      <c r="Q1339">
        <v>0</v>
      </c>
      <c r="R1339">
        <v>0</v>
      </c>
      <c r="S1339">
        <v>0</v>
      </c>
      <c r="T1339">
        <f t="shared" si="62"/>
        <v>0</v>
      </c>
      <c r="U1339">
        <v>1</v>
      </c>
    </row>
    <row r="1340" spans="1:21" x14ac:dyDescent="0.3">
      <c r="A1340" t="str">
        <f t="shared" si="60"/>
        <v/>
      </c>
      <c r="B1340" t="str">
        <f>IF(C1340="","",COUNTIF($C$2:C1340,C1340))</f>
        <v/>
      </c>
      <c r="C1340" t="str">
        <f t="shared" si="61"/>
        <v/>
      </c>
      <c r="D1340" t="str">
        <f>VLOOKUP(G1340,PathwayLookup!A:B,2,0)</f>
        <v>Reablement &amp; Rehabilitation in a bedded setting (pathway 2)</v>
      </c>
      <c r="E1340" t="s">
        <v>221</v>
      </c>
      <c r="F1340" t="s">
        <v>651</v>
      </c>
      <c r="G1340" t="s">
        <v>724</v>
      </c>
      <c r="H1340">
        <v>0</v>
      </c>
      <c r="I1340">
        <v>0</v>
      </c>
      <c r="J1340">
        <v>0</v>
      </c>
      <c r="K1340">
        <v>0</v>
      </c>
      <c r="L1340">
        <v>0</v>
      </c>
      <c r="M1340">
        <v>0</v>
      </c>
      <c r="N1340">
        <v>0</v>
      </c>
      <c r="O1340">
        <v>0</v>
      </c>
      <c r="P1340">
        <v>0</v>
      </c>
      <c r="Q1340">
        <v>0</v>
      </c>
      <c r="R1340">
        <v>0</v>
      </c>
      <c r="S1340">
        <v>0</v>
      </c>
      <c r="T1340">
        <f t="shared" si="62"/>
        <v>0</v>
      </c>
      <c r="U1340">
        <v>1</v>
      </c>
    </row>
    <row r="1341" spans="1:21" x14ac:dyDescent="0.3">
      <c r="A1341" t="str">
        <f t="shared" si="60"/>
        <v>MiddlesbroughShort-term residential/nursing care for someone likely to require a longer-term care home placement (pathway 3)1</v>
      </c>
      <c r="B1341">
        <f>IF(C1341="","",COUNTIF($C$2:C1341,C1341))</f>
        <v>1</v>
      </c>
      <c r="C1341" t="str">
        <f t="shared" si="61"/>
        <v>MiddlesbroughShort-term residential/nursing care for someone likely to require a longer-term care home placement (pathway 3)</v>
      </c>
      <c r="D1341" t="str">
        <f>VLOOKUP(G1341,PathwayLookup!A:B,2,0)</f>
        <v>Short-term residential/nursing care for someone likely to require a longer-term care home placement (pathway 3)</v>
      </c>
      <c r="E1341" t="s">
        <v>221</v>
      </c>
      <c r="F1341" t="s">
        <v>593</v>
      </c>
      <c r="G1341" t="s">
        <v>686</v>
      </c>
      <c r="H1341">
        <v>44</v>
      </c>
      <c r="I1341">
        <v>49</v>
      </c>
      <c r="J1341">
        <v>50</v>
      </c>
      <c r="K1341">
        <v>48</v>
      </c>
      <c r="L1341">
        <v>53</v>
      </c>
      <c r="M1341">
        <v>54</v>
      </c>
      <c r="N1341">
        <v>57</v>
      </c>
      <c r="O1341">
        <v>57</v>
      </c>
      <c r="P1341">
        <v>49</v>
      </c>
      <c r="Q1341">
        <v>46</v>
      </c>
      <c r="R1341">
        <v>53</v>
      </c>
      <c r="S1341">
        <v>51</v>
      </c>
      <c r="T1341">
        <f t="shared" si="62"/>
        <v>611</v>
      </c>
      <c r="U1341">
        <v>1</v>
      </c>
    </row>
    <row r="1342" spans="1:21" x14ac:dyDescent="0.3">
      <c r="A1342" t="str">
        <f t="shared" si="60"/>
        <v>MiddlesbroughShort-term residential/nursing care for someone likely to require a longer-term care home placement (pathway 3)2</v>
      </c>
      <c r="B1342">
        <f>IF(C1342="","",COUNTIF($C$2:C1342,C1342))</f>
        <v>2</v>
      </c>
      <c r="C1342" t="str">
        <f t="shared" si="61"/>
        <v>MiddlesbroughShort-term residential/nursing care for someone likely to require a longer-term care home placement (pathway 3)</v>
      </c>
      <c r="D1342" t="str">
        <f>VLOOKUP(G1342,PathwayLookup!A:B,2,0)</f>
        <v>Short-term residential/nursing care for someone likely to require a longer-term care home placement (pathway 3)</v>
      </c>
      <c r="E1342" t="s">
        <v>221</v>
      </c>
      <c r="F1342" t="s">
        <v>651</v>
      </c>
      <c r="G1342" t="s">
        <v>686</v>
      </c>
      <c r="H1342">
        <v>3</v>
      </c>
      <c r="I1342">
        <v>4</v>
      </c>
      <c r="J1342">
        <v>4</v>
      </c>
      <c r="K1342">
        <v>4</v>
      </c>
      <c r="L1342">
        <v>4</v>
      </c>
      <c r="M1342">
        <v>4</v>
      </c>
      <c r="N1342">
        <v>4</v>
      </c>
      <c r="O1342">
        <v>4</v>
      </c>
      <c r="P1342">
        <v>4</v>
      </c>
      <c r="Q1342">
        <v>4</v>
      </c>
      <c r="R1342">
        <v>4</v>
      </c>
      <c r="S1342">
        <v>4</v>
      </c>
      <c r="T1342">
        <f t="shared" si="62"/>
        <v>47</v>
      </c>
      <c r="U1342">
        <v>1</v>
      </c>
    </row>
    <row r="1343" spans="1:21" x14ac:dyDescent="0.3">
      <c r="A1343" t="str">
        <f t="shared" si="60"/>
        <v>Milton KeynesSocial support (including VCS) (pathway 0)1</v>
      </c>
      <c r="B1343">
        <f>IF(C1343="","",COUNTIF($C$2:C1343,C1343))</f>
        <v>1</v>
      </c>
      <c r="C1343" t="str">
        <f t="shared" si="61"/>
        <v>Milton KeynesSocial support (including VCS) (pathway 0)</v>
      </c>
      <c r="D1343" t="str">
        <f>VLOOKUP(G1343,PathwayLookup!A:B,2,0)</f>
        <v>Social support (including VCS) (pathway 0)</v>
      </c>
      <c r="E1343" t="s">
        <v>223</v>
      </c>
      <c r="F1343" t="s">
        <v>448</v>
      </c>
      <c r="G1343" t="s">
        <v>682</v>
      </c>
      <c r="H1343">
        <v>1333</v>
      </c>
      <c r="I1343">
        <v>1346</v>
      </c>
      <c r="J1343">
        <v>1346</v>
      </c>
      <c r="K1343">
        <v>1359</v>
      </c>
      <c r="L1343">
        <v>1373</v>
      </c>
      <c r="M1343">
        <v>1386</v>
      </c>
      <c r="N1343">
        <v>1400</v>
      </c>
      <c r="O1343">
        <v>1415</v>
      </c>
      <c r="P1343">
        <v>1429</v>
      </c>
      <c r="Q1343">
        <v>1443</v>
      </c>
      <c r="R1343">
        <v>1458</v>
      </c>
      <c r="S1343">
        <v>1472</v>
      </c>
      <c r="T1343">
        <f t="shared" si="62"/>
        <v>16760</v>
      </c>
      <c r="U1343">
        <v>1</v>
      </c>
    </row>
    <row r="1344" spans="1:21" x14ac:dyDescent="0.3">
      <c r="A1344" t="str">
        <f t="shared" si="60"/>
        <v>Milton KeynesReablement &amp; Rehabilitation at home  (pathway 1)1</v>
      </c>
      <c r="B1344">
        <f>IF(C1344="","",COUNTIF($C$2:C1344,C1344))</f>
        <v>1</v>
      </c>
      <c r="C1344" t="str">
        <f t="shared" si="61"/>
        <v>Milton KeynesReablement at home  (pathway 1)</v>
      </c>
      <c r="D1344" t="str">
        <f>VLOOKUP(G1344,PathwayLookup!A:B,2,0)</f>
        <v>Reablement &amp; Rehabilitation at home  (pathway 1)</v>
      </c>
      <c r="E1344" t="s">
        <v>223</v>
      </c>
      <c r="F1344" t="s">
        <v>549</v>
      </c>
      <c r="G1344" t="s">
        <v>718</v>
      </c>
      <c r="H1344">
        <v>175</v>
      </c>
      <c r="I1344">
        <v>177</v>
      </c>
      <c r="J1344">
        <v>175</v>
      </c>
      <c r="K1344">
        <v>160</v>
      </c>
      <c r="L1344">
        <v>160</v>
      </c>
      <c r="M1344">
        <v>160</v>
      </c>
      <c r="N1344">
        <v>183</v>
      </c>
      <c r="O1344">
        <v>200</v>
      </c>
      <c r="P1344">
        <v>150</v>
      </c>
      <c r="Q1344">
        <v>192</v>
      </c>
      <c r="R1344">
        <v>140</v>
      </c>
      <c r="S1344">
        <v>177</v>
      </c>
      <c r="T1344">
        <f t="shared" si="62"/>
        <v>2049</v>
      </c>
      <c r="U1344">
        <v>1</v>
      </c>
    </row>
    <row r="1345" spans="1:21" x14ac:dyDescent="0.3">
      <c r="A1345" t="str">
        <f t="shared" si="60"/>
        <v/>
      </c>
      <c r="B1345" t="str">
        <f>IF(C1345="","",COUNTIF($C$2:C1345,C1345))</f>
        <v/>
      </c>
      <c r="C1345" t="str">
        <f t="shared" si="61"/>
        <v/>
      </c>
      <c r="D1345" t="str">
        <f>VLOOKUP(G1345,PathwayLookup!A:B,2,0)</f>
        <v>Reablement &amp; Rehabilitation at home  (pathway 1)</v>
      </c>
      <c r="E1345" t="s">
        <v>223</v>
      </c>
      <c r="F1345" t="s">
        <v>448</v>
      </c>
      <c r="G1345" t="s">
        <v>719</v>
      </c>
      <c r="H1345">
        <v>0</v>
      </c>
      <c r="I1345">
        <v>0</v>
      </c>
      <c r="J1345">
        <v>0</v>
      </c>
      <c r="K1345">
        <v>0</v>
      </c>
      <c r="L1345">
        <v>0</v>
      </c>
      <c r="M1345">
        <v>0</v>
      </c>
      <c r="N1345">
        <v>0</v>
      </c>
      <c r="O1345">
        <v>0</v>
      </c>
      <c r="P1345">
        <v>0</v>
      </c>
      <c r="Q1345">
        <v>0</v>
      </c>
      <c r="R1345">
        <v>0</v>
      </c>
      <c r="S1345">
        <v>0</v>
      </c>
      <c r="T1345">
        <f t="shared" si="62"/>
        <v>0</v>
      </c>
      <c r="U1345">
        <v>1</v>
      </c>
    </row>
    <row r="1346" spans="1:21" x14ac:dyDescent="0.3">
      <c r="A1346" t="str">
        <f t="shared" ref="A1346:A1409" si="63">IF(B1346="","",E1346&amp;D1346&amp;B1346)</f>
        <v>Milton KeynesShort term domiciliary care (pathway 1)1</v>
      </c>
      <c r="B1346">
        <f>IF(C1346="","",COUNTIF($C$2:C1346,C1346))</f>
        <v>1</v>
      </c>
      <c r="C1346" t="str">
        <f t="shared" ref="C1346:C1409" si="64">IF(T1346=0,"",E1346&amp;G1346)</f>
        <v>Milton KeynesShort term domiciliary care (pathway 1)</v>
      </c>
      <c r="D1346" t="str">
        <f>VLOOKUP(G1346,PathwayLookup!A:B,2,0)</f>
        <v>Short term domiciliary care (pathway 1)</v>
      </c>
      <c r="E1346" t="s">
        <v>223</v>
      </c>
      <c r="F1346" t="s">
        <v>448</v>
      </c>
      <c r="G1346" t="s">
        <v>684</v>
      </c>
      <c r="H1346">
        <v>15</v>
      </c>
      <c r="I1346">
        <v>15</v>
      </c>
      <c r="J1346">
        <v>15</v>
      </c>
      <c r="K1346">
        <v>15</v>
      </c>
      <c r="L1346">
        <v>15</v>
      </c>
      <c r="M1346">
        <v>15</v>
      </c>
      <c r="N1346">
        <v>15</v>
      </c>
      <c r="O1346">
        <v>15</v>
      </c>
      <c r="P1346">
        <v>15</v>
      </c>
      <c r="Q1346">
        <v>15</v>
      </c>
      <c r="R1346">
        <v>15</v>
      </c>
      <c r="S1346">
        <v>15</v>
      </c>
      <c r="T1346">
        <f t="shared" ref="T1346:T1409" si="65">SUM(H1346:S1346)</f>
        <v>180</v>
      </c>
      <c r="U1346">
        <v>1</v>
      </c>
    </row>
    <row r="1347" spans="1:21" x14ac:dyDescent="0.3">
      <c r="A1347" t="str">
        <f t="shared" si="63"/>
        <v>Milton KeynesReablement &amp; Rehabilitation in a bedded setting (pathway 2)1</v>
      </c>
      <c r="B1347">
        <f>IF(C1347="","",COUNTIF($C$2:C1347,C1347))</f>
        <v>1</v>
      </c>
      <c r="C1347" t="str">
        <f t="shared" si="64"/>
        <v>Milton KeynesReablement in a bedded setting (pathway 2)</v>
      </c>
      <c r="D1347" t="str">
        <f>VLOOKUP(G1347,PathwayLookup!A:B,2,0)</f>
        <v>Reablement &amp; Rehabilitation in a bedded setting (pathway 2)</v>
      </c>
      <c r="E1347" t="s">
        <v>223</v>
      </c>
      <c r="F1347" t="s">
        <v>448</v>
      </c>
      <c r="G1347" t="s">
        <v>722</v>
      </c>
      <c r="H1347">
        <v>21</v>
      </c>
      <c r="I1347">
        <v>21</v>
      </c>
      <c r="J1347">
        <v>21</v>
      </c>
      <c r="K1347">
        <v>21</v>
      </c>
      <c r="L1347">
        <v>21</v>
      </c>
      <c r="M1347">
        <v>21</v>
      </c>
      <c r="N1347">
        <v>22</v>
      </c>
      <c r="O1347">
        <v>22</v>
      </c>
      <c r="P1347">
        <v>22</v>
      </c>
      <c r="Q1347">
        <v>22</v>
      </c>
      <c r="R1347">
        <v>23</v>
      </c>
      <c r="S1347">
        <v>23</v>
      </c>
      <c r="T1347">
        <f t="shared" si="65"/>
        <v>260</v>
      </c>
      <c r="U1347">
        <v>1</v>
      </c>
    </row>
    <row r="1348" spans="1:21" x14ac:dyDescent="0.3">
      <c r="A1348" t="str">
        <f t="shared" si="63"/>
        <v>Milton KeynesReablement &amp; Rehabilitation in a bedded setting (pathway 2)1</v>
      </c>
      <c r="B1348">
        <f>IF(C1348="","",COUNTIF($C$2:C1348,C1348))</f>
        <v>1</v>
      </c>
      <c r="C1348" t="str">
        <f t="shared" si="64"/>
        <v>Milton KeynesRehabilitation in a bedded setting (pathway 2)</v>
      </c>
      <c r="D1348" t="str">
        <f>VLOOKUP(G1348,PathwayLookup!A:B,2,0)</f>
        <v>Reablement &amp; Rehabilitation in a bedded setting (pathway 2)</v>
      </c>
      <c r="E1348" t="s">
        <v>223</v>
      </c>
      <c r="F1348" t="s">
        <v>448</v>
      </c>
      <c r="G1348" t="s">
        <v>724</v>
      </c>
      <c r="H1348">
        <v>11</v>
      </c>
      <c r="I1348">
        <v>11</v>
      </c>
      <c r="J1348">
        <v>11</v>
      </c>
      <c r="K1348">
        <v>11</v>
      </c>
      <c r="L1348">
        <v>11</v>
      </c>
      <c r="M1348">
        <v>11</v>
      </c>
      <c r="N1348">
        <v>12</v>
      </c>
      <c r="O1348">
        <v>12</v>
      </c>
      <c r="P1348">
        <v>12</v>
      </c>
      <c r="Q1348">
        <v>12</v>
      </c>
      <c r="R1348">
        <v>12</v>
      </c>
      <c r="S1348">
        <v>12</v>
      </c>
      <c r="T1348">
        <f t="shared" si="65"/>
        <v>138</v>
      </c>
      <c r="U1348">
        <v>1</v>
      </c>
    </row>
    <row r="1349" spans="1:21" x14ac:dyDescent="0.3">
      <c r="A1349" t="str">
        <f t="shared" si="63"/>
        <v>Milton KeynesShort-term residential/nursing care for someone likely to require a longer-term care home placement (pathway 3)1</v>
      </c>
      <c r="B1349">
        <f>IF(C1349="","",COUNTIF($C$2:C1349,C1349))</f>
        <v>1</v>
      </c>
      <c r="C1349" t="str">
        <f t="shared" si="64"/>
        <v>Milton KeynesShort-term residential/nursing care for someone likely to require a longer-term care home placement (pathway 3)</v>
      </c>
      <c r="D1349" t="str">
        <f>VLOOKUP(G1349,PathwayLookup!A:B,2,0)</f>
        <v>Short-term residential/nursing care for someone likely to require a longer-term care home placement (pathway 3)</v>
      </c>
      <c r="E1349" t="s">
        <v>223</v>
      </c>
      <c r="F1349" t="s">
        <v>448</v>
      </c>
      <c r="G1349" t="s">
        <v>686</v>
      </c>
      <c r="H1349">
        <v>4</v>
      </c>
      <c r="I1349">
        <v>4</v>
      </c>
      <c r="J1349">
        <v>4</v>
      </c>
      <c r="K1349">
        <v>4</v>
      </c>
      <c r="L1349">
        <v>4</v>
      </c>
      <c r="M1349">
        <v>4</v>
      </c>
      <c r="N1349">
        <v>4</v>
      </c>
      <c r="O1349">
        <v>5</v>
      </c>
      <c r="P1349">
        <v>5</v>
      </c>
      <c r="Q1349">
        <v>5</v>
      </c>
      <c r="R1349">
        <v>5</v>
      </c>
      <c r="S1349">
        <v>4</v>
      </c>
      <c r="T1349">
        <f t="shared" si="65"/>
        <v>52</v>
      </c>
      <c r="U1349">
        <v>1</v>
      </c>
    </row>
    <row r="1350" spans="1:21" x14ac:dyDescent="0.3">
      <c r="A1350" t="str">
        <f t="shared" si="63"/>
        <v>Newcastle upon TyneSocial support (including VCS) (pathway 0)1</v>
      </c>
      <c r="B1350">
        <f>IF(C1350="","",COUNTIF($C$2:C1350,C1350))</f>
        <v>1</v>
      </c>
      <c r="C1350" t="str">
        <f t="shared" si="64"/>
        <v>Newcastle upon TyneSocial support (including VCS) (pathway 0)</v>
      </c>
      <c r="D1350" t="str">
        <f>VLOOKUP(G1350,PathwayLookup!A:B,2,0)</f>
        <v>Social support (including VCS) (pathway 0)</v>
      </c>
      <c r="E1350" t="s">
        <v>225</v>
      </c>
      <c r="F1350" t="s">
        <v>448</v>
      </c>
      <c r="G1350" t="s">
        <v>682</v>
      </c>
      <c r="H1350">
        <v>23</v>
      </c>
      <c r="I1350">
        <v>17</v>
      </c>
      <c r="J1350">
        <v>21</v>
      </c>
      <c r="K1350">
        <v>21</v>
      </c>
      <c r="L1350">
        <v>18</v>
      </c>
      <c r="M1350">
        <v>10</v>
      </c>
      <c r="N1350">
        <v>24</v>
      </c>
      <c r="O1350">
        <v>24</v>
      </c>
      <c r="P1350">
        <v>29</v>
      </c>
      <c r="Q1350">
        <v>24</v>
      </c>
      <c r="R1350">
        <v>23</v>
      </c>
      <c r="S1350">
        <v>33</v>
      </c>
      <c r="T1350">
        <f t="shared" si="65"/>
        <v>267</v>
      </c>
      <c r="U1350">
        <v>1</v>
      </c>
    </row>
    <row r="1351" spans="1:21" x14ac:dyDescent="0.3">
      <c r="A1351" t="str">
        <f t="shared" si="63"/>
        <v>Newcastle upon TyneReablement &amp; Rehabilitation at home  (pathway 1)1</v>
      </c>
      <c r="B1351">
        <f>IF(C1351="","",COUNTIF($C$2:C1351,C1351))</f>
        <v>1</v>
      </c>
      <c r="C1351" t="str">
        <f t="shared" si="64"/>
        <v>Newcastle upon TyneReablement at home  (pathway 1)</v>
      </c>
      <c r="D1351" t="str">
        <f>VLOOKUP(G1351,PathwayLookup!A:B,2,0)</f>
        <v>Reablement &amp; Rehabilitation at home  (pathway 1)</v>
      </c>
      <c r="E1351" t="s">
        <v>225</v>
      </c>
      <c r="F1351" t="s">
        <v>448</v>
      </c>
      <c r="G1351" t="s">
        <v>718</v>
      </c>
      <c r="H1351">
        <v>61</v>
      </c>
      <c r="I1351">
        <v>74</v>
      </c>
      <c r="J1351">
        <v>69</v>
      </c>
      <c r="K1351">
        <v>29</v>
      </c>
      <c r="L1351">
        <v>63</v>
      </c>
      <c r="M1351">
        <v>64</v>
      </c>
      <c r="N1351">
        <v>66</v>
      </c>
      <c r="O1351">
        <v>63</v>
      </c>
      <c r="P1351">
        <v>87</v>
      </c>
      <c r="Q1351">
        <v>89</v>
      </c>
      <c r="R1351">
        <v>73</v>
      </c>
      <c r="S1351">
        <v>81</v>
      </c>
      <c r="T1351">
        <f t="shared" si="65"/>
        <v>819</v>
      </c>
      <c r="U1351">
        <v>1</v>
      </c>
    </row>
    <row r="1352" spans="1:21" x14ac:dyDescent="0.3">
      <c r="A1352" t="str">
        <f t="shared" si="63"/>
        <v>Newcastle upon TyneReablement &amp; Rehabilitation at home  (pathway 1)1</v>
      </c>
      <c r="B1352">
        <f>IF(C1352="","",COUNTIF($C$2:C1352,C1352))</f>
        <v>1</v>
      </c>
      <c r="C1352" t="str">
        <f t="shared" si="64"/>
        <v>Newcastle upon TyneRehabilitation at home (pathway 1)</v>
      </c>
      <c r="D1352" t="str">
        <f>VLOOKUP(G1352,PathwayLookup!A:B,2,0)</f>
        <v>Reablement &amp; Rehabilitation at home  (pathway 1)</v>
      </c>
      <c r="E1352" t="s">
        <v>225</v>
      </c>
      <c r="F1352" t="s">
        <v>448</v>
      </c>
      <c r="G1352" t="s">
        <v>719</v>
      </c>
      <c r="H1352">
        <v>69</v>
      </c>
      <c r="I1352">
        <v>62</v>
      </c>
      <c r="J1352">
        <v>48</v>
      </c>
      <c r="K1352">
        <v>92</v>
      </c>
      <c r="L1352">
        <v>67</v>
      </c>
      <c r="M1352">
        <v>57</v>
      </c>
      <c r="N1352">
        <v>44</v>
      </c>
      <c r="O1352">
        <v>41</v>
      </c>
      <c r="P1352">
        <v>43</v>
      </c>
      <c r="Q1352">
        <v>33</v>
      </c>
      <c r="R1352">
        <v>45</v>
      </c>
      <c r="S1352">
        <v>90</v>
      </c>
      <c r="T1352">
        <f t="shared" si="65"/>
        <v>691</v>
      </c>
      <c r="U1352">
        <v>1</v>
      </c>
    </row>
    <row r="1353" spans="1:21" x14ac:dyDescent="0.3">
      <c r="A1353" t="str">
        <f t="shared" si="63"/>
        <v/>
      </c>
      <c r="B1353" t="str">
        <f>IF(C1353="","",COUNTIF($C$2:C1353,C1353))</f>
        <v/>
      </c>
      <c r="C1353" t="str">
        <f t="shared" si="64"/>
        <v/>
      </c>
      <c r="D1353" t="str">
        <f>VLOOKUP(G1353,PathwayLookup!A:B,2,0)</f>
        <v>Short term domiciliary care (pathway 1)</v>
      </c>
      <c r="E1353" t="s">
        <v>225</v>
      </c>
      <c r="F1353" t="s">
        <v>448</v>
      </c>
      <c r="G1353" t="s">
        <v>684</v>
      </c>
      <c r="H1353">
        <v>0</v>
      </c>
      <c r="I1353">
        <v>0</v>
      </c>
      <c r="J1353">
        <v>0</v>
      </c>
      <c r="K1353">
        <v>0</v>
      </c>
      <c r="L1353">
        <v>0</v>
      </c>
      <c r="M1353">
        <v>0</v>
      </c>
      <c r="N1353">
        <v>0</v>
      </c>
      <c r="O1353">
        <v>0</v>
      </c>
      <c r="P1353">
        <v>0</v>
      </c>
      <c r="Q1353">
        <v>0</v>
      </c>
      <c r="R1353">
        <v>0</v>
      </c>
      <c r="S1353">
        <v>0</v>
      </c>
      <c r="T1353">
        <f t="shared" si="65"/>
        <v>0</v>
      </c>
      <c r="U1353">
        <v>1</v>
      </c>
    </row>
    <row r="1354" spans="1:21" x14ac:dyDescent="0.3">
      <c r="A1354" t="str">
        <f t="shared" si="63"/>
        <v/>
      </c>
      <c r="B1354" t="str">
        <f>IF(C1354="","",COUNTIF($C$2:C1354,C1354))</f>
        <v/>
      </c>
      <c r="C1354" t="str">
        <f t="shared" si="64"/>
        <v/>
      </c>
      <c r="D1354" t="str">
        <f>VLOOKUP(G1354,PathwayLookup!A:B,2,0)</f>
        <v>Reablement &amp; Rehabilitation in a bedded setting (pathway 2)</v>
      </c>
      <c r="E1354" t="s">
        <v>225</v>
      </c>
      <c r="F1354" t="s">
        <v>448</v>
      </c>
      <c r="G1354" t="s">
        <v>722</v>
      </c>
      <c r="H1354">
        <v>0</v>
      </c>
      <c r="I1354">
        <v>0</v>
      </c>
      <c r="J1354">
        <v>0</v>
      </c>
      <c r="K1354">
        <v>0</v>
      </c>
      <c r="L1354">
        <v>0</v>
      </c>
      <c r="M1354">
        <v>0</v>
      </c>
      <c r="N1354">
        <v>0</v>
      </c>
      <c r="O1354">
        <v>0</v>
      </c>
      <c r="P1354">
        <v>0</v>
      </c>
      <c r="Q1354">
        <v>0</v>
      </c>
      <c r="R1354">
        <v>0</v>
      </c>
      <c r="S1354">
        <v>0</v>
      </c>
      <c r="T1354">
        <f t="shared" si="65"/>
        <v>0</v>
      </c>
      <c r="U1354">
        <v>1</v>
      </c>
    </row>
    <row r="1355" spans="1:21" x14ac:dyDescent="0.3">
      <c r="A1355" t="str">
        <f t="shared" si="63"/>
        <v>Newcastle upon TyneReablement &amp; Rehabilitation in a bedded setting (pathway 2)1</v>
      </c>
      <c r="B1355">
        <f>IF(C1355="","",COUNTIF($C$2:C1355,C1355))</f>
        <v>1</v>
      </c>
      <c r="C1355" t="str">
        <f t="shared" si="64"/>
        <v>Newcastle upon TyneRehabilitation in a bedded setting (pathway 2)</v>
      </c>
      <c r="D1355" t="str">
        <f>VLOOKUP(G1355,PathwayLookup!A:B,2,0)</f>
        <v>Reablement &amp; Rehabilitation in a bedded setting (pathway 2)</v>
      </c>
      <c r="E1355" t="s">
        <v>225</v>
      </c>
      <c r="F1355" t="s">
        <v>448</v>
      </c>
      <c r="G1355" t="s">
        <v>724</v>
      </c>
      <c r="H1355">
        <v>34</v>
      </c>
      <c r="I1355">
        <v>48</v>
      </c>
      <c r="J1355">
        <v>48</v>
      </c>
      <c r="K1355">
        <v>46</v>
      </c>
      <c r="L1355">
        <v>52</v>
      </c>
      <c r="M1355">
        <v>56</v>
      </c>
      <c r="N1355">
        <v>49</v>
      </c>
      <c r="O1355">
        <v>56</v>
      </c>
      <c r="P1355">
        <v>68</v>
      </c>
      <c r="Q1355">
        <v>44</v>
      </c>
      <c r="R1355">
        <v>37</v>
      </c>
      <c r="S1355">
        <v>43</v>
      </c>
      <c r="T1355">
        <f t="shared" si="65"/>
        <v>581</v>
      </c>
      <c r="U1355">
        <v>1</v>
      </c>
    </row>
    <row r="1356" spans="1:21" x14ac:dyDescent="0.3">
      <c r="A1356" t="str">
        <f t="shared" si="63"/>
        <v>Newcastle upon TyneShort-term residential/nursing care for someone likely to require a longer-term care home placement (pathway 3)1</v>
      </c>
      <c r="B1356">
        <f>IF(C1356="","",COUNTIF($C$2:C1356,C1356))</f>
        <v>1</v>
      </c>
      <c r="C1356" t="str">
        <f t="shared" si="64"/>
        <v>Newcastle upon TyneShort-term residential/nursing care for someone likely to require a longer-term care home placement (pathway 3)</v>
      </c>
      <c r="D1356" t="str">
        <f>VLOOKUP(G1356,PathwayLookup!A:B,2,0)</f>
        <v>Short-term residential/nursing care for someone likely to require a longer-term care home placement (pathway 3)</v>
      </c>
      <c r="E1356" t="s">
        <v>225</v>
      </c>
      <c r="F1356" t="s">
        <v>448</v>
      </c>
      <c r="G1356" t="s">
        <v>686</v>
      </c>
      <c r="H1356">
        <v>47</v>
      </c>
      <c r="I1356">
        <v>59</v>
      </c>
      <c r="J1356">
        <v>40</v>
      </c>
      <c r="K1356">
        <v>52</v>
      </c>
      <c r="L1356">
        <v>56</v>
      </c>
      <c r="M1356">
        <v>34</v>
      </c>
      <c r="N1356">
        <v>50</v>
      </c>
      <c r="O1356">
        <v>55</v>
      </c>
      <c r="P1356">
        <v>53</v>
      </c>
      <c r="Q1356">
        <v>38</v>
      </c>
      <c r="R1356">
        <v>41</v>
      </c>
      <c r="S1356">
        <v>42</v>
      </c>
      <c r="T1356">
        <f t="shared" si="65"/>
        <v>567</v>
      </c>
      <c r="U1356">
        <v>1</v>
      </c>
    </row>
    <row r="1357" spans="1:21" x14ac:dyDescent="0.3">
      <c r="A1357" t="str">
        <f t="shared" si="63"/>
        <v>NewhamSocial support (including VCS) (pathway 0)1</v>
      </c>
      <c r="B1357">
        <f>IF(C1357="","",COUNTIF($C$2:C1357,C1357))</f>
        <v>1</v>
      </c>
      <c r="C1357" t="str">
        <f t="shared" si="64"/>
        <v>NewhamSocial support (including VCS) (pathway 0)</v>
      </c>
      <c r="D1357" t="str">
        <f>VLOOKUP(G1357,PathwayLookup!A:B,2,0)</f>
        <v>Social support (including VCS) (pathway 0)</v>
      </c>
      <c r="E1357" t="s">
        <v>227</v>
      </c>
      <c r="F1357" t="s">
        <v>453</v>
      </c>
      <c r="G1357" t="s">
        <v>682</v>
      </c>
      <c r="H1357">
        <v>27.240456319376683</v>
      </c>
      <c r="I1357">
        <v>32.177744563212521</v>
      </c>
      <c r="J1357">
        <v>30.64106695418004</v>
      </c>
      <c r="K1357">
        <v>36.168837797782992</v>
      </c>
      <c r="L1357">
        <v>36.175952045972963</v>
      </c>
      <c r="M1357">
        <v>36.119038060453235</v>
      </c>
      <c r="N1357">
        <v>35.848696629234553</v>
      </c>
      <c r="O1357">
        <v>37.079461566098537</v>
      </c>
      <c r="P1357">
        <v>38.312888920326721</v>
      </c>
      <c r="Q1357">
        <v>35.95541035208403</v>
      </c>
      <c r="R1357">
        <v>36.166749190967131</v>
      </c>
      <c r="S1357">
        <v>35.841582381044589</v>
      </c>
      <c r="T1357">
        <f t="shared" si="65"/>
        <v>417.72788478073397</v>
      </c>
      <c r="U1357">
        <v>1</v>
      </c>
    </row>
    <row r="1358" spans="1:21" x14ac:dyDescent="0.3">
      <c r="A1358" t="str">
        <f t="shared" si="63"/>
        <v>NewhamSocial support (including VCS) (pathway 0)2</v>
      </c>
      <c r="B1358">
        <f>IF(C1358="","",COUNTIF($C$2:C1358,C1358))</f>
        <v>2</v>
      </c>
      <c r="C1358" t="str">
        <f t="shared" si="64"/>
        <v>NewhamSocial support (including VCS) (pathway 0)</v>
      </c>
      <c r="D1358" t="str">
        <f>VLOOKUP(G1358,PathwayLookup!A:B,2,0)</f>
        <v>Social support (including VCS) (pathway 0)</v>
      </c>
      <c r="E1358" t="s">
        <v>227</v>
      </c>
      <c r="F1358" t="s">
        <v>456</v>
      </c>
      <c r="G1358" t="s">
        <v>682</v>
      </c>
      <c r="H1358">
        <v>602.190646476241</v>
      </c>
      <c r="I1358">
        <v>718.07880446779393</v>
      </c>
      <c r="J1358">
        <v>699.80114196577051</v>
      </c>
      <c r="K1358">
        <v>843.10579371035851</v>
      </c>
      <c r="L1358">
        <v>871.88338999014013</v>
      </c>
      <c r="M1358">
        <v>860.80012655806229</v>
      </c>
      <c r="N1358">
        <v>867.0223095374746</v>
      </c>
      <c r="O1358">
        <v>886.66107456624434</v>
      </c>
      <c r="P1358">
        <v>851.85573852515711</v>
      </c>
      <c r="Q1358">
        <v>848.16131738113108</v>
      </c>
      <c r="R1358">
        <v>869.16118493664749</v>
      </c>
      <c r="S1358">
        <v>849.9113063440908</v>
      </c>
      <c r="T1358">
        <f t="shared" si="65"/>
        <v>9768.6328344591129</v>
      </c>
      <c r="U1358">
        <v>1</v>
      </c>
    </row>
    <row r="1359" spans="1:21" x14ac:dyDescent="0.3">
      <c r="A1359" t="str">
        <f t="shared" si="63"/>
        <v>NewhamSocial support (including VCS) (pathway 0)3</v>
      </c>
      <c r="B1359">
        <f>IF(C1359="","",COUNTIF($C$2:C1359,C1359))</f>
        <v>3</v>
      </c>
      <c r="C1359" t="str">
        <f t="shared" si="64"/>
        <v>NewhamSocial support (including VCS) (pathway 0)</v>
      </c>
      <c r="D1359" t="str">
        <f>VLOOKUP(G1359,PathwayLookup!A:B,2,0)</f>
        <v>Social support (including VCS) (pathway 0)</v>
      </c>
      <c r="E1359" t="s">
        <v>227</v>
      </c>
      <c r="F1359" t="s">
        <v>516</v>
      </c>
      <c r="G1359" t="s">
        <v>682</v>
      </c>
      <c r="H1359">
        <v>26.486719373939906</v>
      </c>
      <c r="I1359">
        <v>31.287394026725039</v>
      </c>
      <c r="J1359">
        <v>29.79323592153543</v>
      </c>
      <c r="K1359">
        <v>35.168054661036948</v>
      </c>
      <c r="L1359">
        <v>35.174972059672079</v>
      </c>
      <c r="M1359">
        <v>35.119632870590991</v>
      </c>
      <c r="N1359">
        <v>34.856771722455782</v>
      </c>
      <c r="O1359">
        <v>36.053481686334493</v>
      </c>
      <c r="P1359">
        <v>38.208005436629293</v>
      </c>
      <c r="Q1359">
        <v>34.960532701982835</v>
      </c>
      <c r="R1359">
        <v>28.463856170464641</v>
      </c>
      <c r="S1359">
        <v>34.849854323820651</v>
      </c>
      <c r="T1359">
        <f t="shared" si="65"/>
        <v>400.42251095518805</v>
      </c>
      <c r="U1359">
        <v>1</v>
      </c>
    </row>
    <row r="1360" spans="1:21" x14ac:dyDescent="0.3">
      <c r="A1360" t="str">
        <f t="shared" si="63"/>
        <v>NewhamReablement &amp; Rehabilitation at home  (pathway 1)1</v>
      </c>
      <c r="B1360">
        <f>IF(C1360="","",COUNTIF($C$2:C1360,C1360))</f>
        <v>1</v>
      </c>
      <c r="C1360" t="str">
        <f t="shared" si="64"/>
        <v>NewhamReablement at home  (pathway 1)</v>
      </c>
      <c r="D1360" t="str">
        <f>VLOOKUP(G1360,PathwayLookup!A:B,2,0)</f>
        <v>Reablement &amp; Rehabilitation at home  (pathway 1)</v>
      </c>
      <c r="E1360" t="s">
        <v>227</v>
      </c>
      <c r="F1360" t="s">
        <v>453</v>
      </c>
      <c r="G1360" t="s">
        <v>718</v>
      </c>
      <c r="H1360">
        <v>4.213527659609694</v>
      </c>
      <c r="I1360">
        <v>4.9772226702571567</v>
      </c>
      <c r="J1360">
        <v>4.7395308513812902</v>
      </c>
      <c r="K1360">
        <v>4.7553769726396808</v>
      </c>
      <c r="L1360">
        <v>4.4765292554954925</v>
      </c>
      <c r="M1360">
        <v>4.4694865349362081</v>
      </c>
      <c r="N1360">
        <v>4.436033612279604</v>
      </c>
      <c r="O1360">
        <v>4.5883324443741413</v>
      </c>
      <c r="P1360">
        <v>4.5548262434294022</v>
      </c>
      <c r="Q1360">
        <v>5.5615483916603292</v>
      </c>
      <c r="R1360">
        <v>4.3992926033857556</v>
      </c>
      <c r="S1360">
        <v>4.4351532722096954</v>
      </c>
      <c r="T1360">
        <f t="shared" si="65"/>
        <v>55.606860511658446</v>
      </c>
      <c r="U1360">
        <v>1</v>
      </c>
    </row>
    <row r="1361" spans="1:21" x14ac:dyDescent="0.3">
      <c r="A1361" t="str">
        <f t="shared" si="63"/>
        <v>NewhamReablement &amp; Rehabilitation at home  (pathway 1)2</v>
      </c>
      <c r="B1361">
        <f>IF(C1361="","",COUNTIF($C$2:C1361,C1361))</f>
        <v>2</v>
      </c>
      <c r="C1361" t="str">
        <f t="shared" si="64"/>
        <v>NewhamReablement at home  (pathway 1)</v>
      </c>
      <c r="D1361" t="str">
        <f>VLOOKUP(G1361,PathwayLookup!A:B,2,0)</f>
        <v>Reablement &amp; Rehabilitation at home  (pathway 1)</v>
      </c>
      <c r="E1361" t="s">
        <v>227</v>
      </c>
      <c r="F1361" t="s">
        <v>456</v>
      </c>
      <c r="G1361" t="s">
        <v>718</v>
      </c>
      <c r="H1361">
        <v>75.129950907489274</v>
      </c>
      <c r="I1361">
        <v>88.747131876357841</v>
      </c>
      <c r="J1361">
        <v>84.508931459534196</v>
      </c>
      <c r="K1361">
        <v>84.791478153989104</v>
      </c>
      <c r="L1361">
        <v>79.819441183511756</v>
      </c>
      <c r="M1361">
        <v>79.693864874865113</v>
      </c>
      <c r="N1361">
        <v>79.097377408793662</v>
      </c>
      <c r="O1361">
        <v>81.812965083276922</v>
      </c>
      <c r="P1361">
        <v>81.21552763052081</v>
      </c>
      <c r="Q1361">
        <v>99.166041234382604</v>
      </c>
      <c r="R1361">
        <v>78.442261216974899</v>
      </c>
      <c r="S1361">
        <v>79.081680370212837</v>
      </c>
      <c r="T1361">
        <f t="shared" si="65"/>
        <v>991.50665139990906</v>
      </c>
      <c r="U1361">
        <v>1</v>
      </c>
    </row>
    <row r="1362" spans="1:21" x14ac:dyDescent="0.3">
      <c r="A1362" t="str">
        <f t="shared" si="63"/>
        <v>NewhamReablement &amp; Rehabilitation at home  (pathway 1)3</v>
      </c>
      <c r="B1362">
        <f>IF(C1362="","",COUNTIF($C$2:C1362,C1362))</f>
        <v>3</v>
      </c>
      <c r="C1362" t="str">
        <f t="shared" si="64"/>
        <v>NewhamReablement at home  (pathway 1)</v>
      </c>
      <c r="D1362" t="str">
        <f>VLOOKUP(G1362,PathwayLookup!A:B,2,0)</f>
        <v>Reablement &amp; Rehabilitation at home  (pathway 1)</v>
      </c>
      <c r="E1362" t="s">
        <v>227</v>
      </c>
      <c r="F1362" t="s">
        <v>516</v>
      </c>
      <c r="G1362" t="s">
        <v>718</v>
      </c>
      <c r="H1362">
        <v>7.1861577414354079</v>
      </c>
      <c r="I1362">
        <v>8.4886371022492444</v>
      </c>
      <c r="J1362">
        <v>8.0832544769815389</v>
      </c>
      <c r="K1362">
        <v>8.1102799853327188</v>
      </c>
      <c r="L1362">
        <v>7.6347061092084738</v>
      </c>
      <c r="M1362">
        <v>7.6226947721635039</v>
      </c>
      <c r="N1362">
        <v>7.5656409211999023</v>
      </c>
      <c r="O1362">
        <v>7.8253860847973584</v>
      </c>
      <c r="P1362">
        <v>7.7682413678863442</v>
      </c>
      <c r="Q1362">
        <v>9.4852027226990234</v>
      </c>
      <c r="R1362">
        <v>7.5029792498356436</v>
      </c>
      <c r="S1362">
        <v>7.5641395040692814</v>
      </c>
      <c r="T1362">
        <f t="shared" si="65"/>
        <v>94.837320037858433</v>
      </c>
      <c r="U1362">
        <v>1</v>
      </c>
    </row>
    <row r="1363" spans="1:21" x14ac:dyDescent="0.3">
      <c r="A1363" t="str">
        <f t="shared" si="63"/>
        <v>NewhamReablement &amp; Rehabilitation at home  (pathway 1)1</v>
      </c>
      <c r="B1363">
        <f>IF(C1363="","",COUNTIF($C$2:C1363,C1363))</f>
        <v>1</v>
      </c>
      <c r="C1363" t="str">
        <f t="shared" si="64"/>
        <v>NewhamRehabilitation at home (pathway 1)</v>
      </c>
      <c r="D1363" t="str">
        <f>VLOOKUP(G1363,PathwayLookup!A:B,2,0)</f>
        <v>Reablement &amp; Rehabilitation at home  (pathway 1)</v>
      </c>
      <c r="E1363" t="s">
        <v>227</v>
      </c>
      <c r="F1363" t="s">
        <v>453</v>
      </c>
      <c r="G1363" t="s">
        <v>719</v>
      </c>
      <c r="H1363">
        <v>4.2135276596097615E-2</v>
      </c>
      <c r="I1363">
        <v>4.9772226702571754E-2</v>
      </c>
      <c r="J1363">
        <v>4.7395308513813017E-2</v>
      </c>
      <c r="K1363">
        <v>0.4755376972639685</v>
      </c>
      <c r="L1363">
        <v>0.61552277263063049</v>
      </c>
      <c r="M1363">
        <v>0.61455439855372829</v>
      </c>
      <c r="N1363">
        <v>0.60995462168844572</v>
      </c>
      <c r="O1363">
        <v>0.6308957111014446</v>
      </c>
      <c r="P1363">
        <v>0.88340021421225279</v>
      </c>
      <c r="Q1363">
        <v>5.5615483916603647E-2</v>
      </c>
      <c r="R1363">
        <v>0.97321705574934081</v>
      </c>
      <c r="S1363">
        <v>0.60983357492883217</v>
      </c>
      <c r="T1363">
        <f t="shared" si="65"/>
        <v>5.6078343418577301</v>
      </c>
      <c r="U1363">
        <v>1</v>
      </c>
    </row>
    <row r="1364" spans="1:21" x14ac:dyDescent="0.3">
      <c r="A1364" t="str">
        <f t="shared" si="63"/>
        <v>NewhamReablement &amp; Rehabilitation at home  (pathway 1)2</v>
      </c>
      <c r="B1364">
        <f>IF(C1364="","",COUNTIF($C$2:C1364,C1364))</f>
        <v>2</v>
      </c>
      <c r="C1364" t="str">
        <f t="shared" si="64"/>
        <v>NewhamRehabilitation at home (pathway 1)</v>
      </c>
      <c r="D1364" t="str">
        <f>VLOOKUP(G1364,PathwayLookup!A:B,2,0)</f>
        <v>Reablement &amp; Rehabilitation at home  (pathway 1)</v>
      </c>
      <c r="E1364" t="s">
        <v>227</v>
      </c>
      <c r="F1364" t="s">
        <v>456</v>
      </c>
      <c r="G1364" t="s">
        <v>719</v>
      </c>
      <c r="H1364">
        <v>19.115222624338749</v>
      </c>
      <c r="I1364">
        <v>16.001053283930482</v>
      </c>
      <c r="J1364">
        <v>12.189635340090014</v>
      </c>
      <c r="K1364">
        <v>19.437204280914592</v>
      </c>
      <c r="L1364">
        <v>5.5899924451961382</v>
      </c>
      <c r="M1364">
        <v>11.19441231555848</v>
      </c>
      <c r="N1364">
        <v>5.2704730691819677</v>
      </c>
      <c r="O1364">
        <v>8.5793164664995132</v>
      </c>
      <c r="P1364">
        <v>6.058608530331405</v>
      </c>
      <c r="Q1364">
        <v>2.2360970082262739</v>
      </c>
      <c r="R1364">
        <v>8.8063442638507894</v>
      </c>
      <c r="S1364">
        <v>9.6532939958716142</v>
      </c>
      <c r="T1364">
        <f t="shared" si="65"/>
        <v>124.13165362399002</v>
      </c>
      <c r="U1364">
        <v>1</v>
      </c>
    </row>
    <row r="1365" spans="1:21" x14ac:dyDescent="0.3">
      <c r="A1365" t="str">
        <f t="shared" si="63"/>
        <v>NewhamReablement &amp; Rehabilitation at home  (pathway 1)3</v>
      </c>
      <c r="B1365">
        <f>IF(C1365="","",COUNTIF($C$2:C1365,C1365))</f>
        <v>3</v>
      </c>
      <c r="C1365" t="str">
        <f t="shared" si="64"/>
        <v>NewhamRehabilitation at home (pathway 1)</v>
      </c>
      <c r="D1365" t="str">
        <f>VLOOKUP(G1365,PathwayLookup!A:B,2,0)</f>
        <v>Reablement &amp; Rehabilitation at home  (pathway 1)</v>
      </c>
      <c r="E1365" t="s">
        <v>227</v>
      </c>
      <c r="F1365" t="s">
        <v>516</v>
      </c>
      <c r="G1365" t="s">
        <v>719</v>
      </c>
      <c r="H1365">
        <v>3.645152477539737E-2</v>
      </c>
      <c r="I1365">
        <v>4.3058304141843529E-2</v>
      </c>
      <c r="J1365">
        <v>4.1002015462949792E-2</v>
      </c>
      <c r="K1365">
        <v>0.76401188267627074</v>
      </c>
      <c r="L1365">
        <v>1.0027467263000265</v>
      </c>
      <c r="M1365">
        <v>1.0011691503294451</v>
      </c>
      <c r="N1365">
        <v>0.99367566446918965</v>
      </c>
      <c r="O1365">
        <v>1.027790744832985</v>
      </c>
      <c r="P1365">
        <v>0.62356535071534047</v>
      </c>
      <c r="Q1365">
        <v>4.811334714412574E-2</v>
      </c>
      <c r="R1365">
        <v>6.5502581849466335E-2</v>
      </c>
      <c r="S1365">
        <v>0.99347846747286717</v>
      </c>
      <c r="T1365">
        <f t="shared" si="65"/>
        <v>6.640565760169908</v>
      </c>
      <c r="U1365">
        <v>1</v>
      </c>
    </row>
    <row r="1366" spans="1:21" x14ac:dyDescent="0.3">
      <c r="A1366" t="str">
        <f t="shared" si="63"/>
        <v>NewhamShort term domiciliary care (pathway 1)1</v>
      </c>
      <c r="B1366">
        <f>IF(C1366="","",COUNTIF($C$2:C1366,C1366))</f>
        <v>1</v>
      </c>
      <c r="C1366" t="str">
        <f t="shared" si="64"/>
        <v>NewhamShort term domiciliary care (pathway 1)</v>
      </c>
      <c r="D1366" t="str">
        <f>VLOOKUP(G1366,PathwayLookup!A:B,2,0)</f>
        <v>Short term domiciliary care (pathway 1)</v>
      </c>
      <c r="E1366" t="s">
        <v>227</v>
      </c>
      <c r="F1366" t="s">
        <v>453</v>
      </c>
      <c r="G1366" t="s">
        <v>684</v>
      </c>
      <c r="H1366">
        <v>4.2135276596097615E-2</v>
      </c>
      <c r="I1366">
        <v>4.9772226702571754E-2</v>
      </c>
      <c r="J1366">
        <v>4.7395308513813017E-2</v>
      </c>
      <c r="K1366">
        <v>0.4755376972639685</v>
      </c>
      <c r="L1366">
        <v>0.61552277263063049</v>
      </c>
      <c r="M1366">
        <v>0.61455439855372829</v>
      </c>
      <c r="N1366">
        <v>0.60995462168844572</v>
      </c>
      <c r="O1366">
        <v>0.6308957111014446</v>
      </c>
      <c r="P1366">
        <v>0.88340021421225279</v>
      </c>
      <c r="Q1366">
        <v>5.5615483916603647E-2</v>
      </c>
      <c r="R1366">
        <v>0.97321705574934081</v>
      </c>
      <c r="S1366">
        <v>0.60983357492883217</v>
      </c>
      <c r="T1366">
        <f t="shared" si="65"/>
        <v>5.6078343418577301</v>
      </c>
      <c r="U1366">
        <v>1</v>
      </c>
    </row>
    <row r="1367" spans="1:21" x14ac:dyDescent="0.3">
      <c r="A1367" t="str">
        <f t="shared" si="63"/>
        <v>NewhamShort term domiciliary care (pathway 1)2</v>
      </c>
      <c r="B1367">
        <f>IF(C1367="","",COUNTIF($C$2:C1367,C1367))</f>
        <v>2</v>
      </c>
      <c r="C1367" t="str">
        <f t="shared" si="64"/>
        <v>NewhamShort term domiciliary care (pathway 1)</v>
      </c>
      <c r="D1367" t="str">
        <f>VLOOKUP(G1367,PathwayLookup!A:B,2,0)</f>
        <v>Short term domiciliary care (pathway 1)</v>
      </c>
      <c r="E1367" t="s">
        <v>227</v>
      </c>
      <c r="F1367" t="s">
        <v>456</v>
      </c>
      <c r="G1367" t="s">
        <v>684</v>
      </c>
      <c r="H1367">
        <v>19.115222624338749</v>
      </c>
      <c r="I1367">
        <v>16.001053283930482</v>
      </c>
      <c r="J1367">
        <v>12.189635340090014</v>
      </c>
      <c r="K1367">
        <v>19.437204280914592</v>
      </c>
      <c r="L1367">
        <v>5.5899924451961382</v>
      </c>
      <c r="M1367">
        <v>11.19441231555848</v>
      </c>
      <c r="N1367">
        <v>5.2704730691819677</v>
      </c>
      <c r="O1367">
        <v>8.5793164664995132</v>
      </c>
      <c r="P1367">
        <v>6.058608530331405</v>
      </c>
      <c r="Q1367">
        <v>2.2360970082262739</v>
      </c>
      <c r="R1367">
        <v>8.8063442638507894</v>
      </c>
      <c r="S1367">
        <v>9.6532939958716142</v>
      </c>
      <c r="T1367">
        <f t="shared" si="65"/>
        <v>124.13165362399002</v>
      </c>
      <c r="U1367">
        <v>1</v>
      </c>
    </row>
    <row r="1368" spans="1:21" x14ac:dyDescent="0.3">
      <c r="A1368" t="str">
        <f t="shared" si="63"/>
        <v>NewhamShort term domiciliary care (pathway 1)3</v>
      </c>
      <c r="B1368">
        <f>IF(C1368="","",COUNTIF($C$2:C1368,C1368))</f>
        <v>3</v>
      </c>
      <c r="C1368" t="str">
        <f t="shared" si="64"/>
        <v>NewhamShort term domiciliary care (pathway 1)</v>
      </c>
      <c r="D1368" t="str">
        <f>VLOOKUP(G1368,PathwayLookup!A:B,2,0)</f>
        <v>Short term domiciliary care (pathway 1)</v>
      </c>
      <c r="E1368" t="s">
        <v>227</v>
      </c>
      <c r="F1368" t="s">
        <v>516</v>
      </c>
      <c r="G1368" t="s">
        <v>684</v>
      </c>
      <c r="H1368">
        <v>3.645152477539737E-2</v>
      </c>
      <c r="I1368">
        <v>4.3058304141843529E-2</v>
      </c>
      <c r="J1368">
        <v>4.1002015462949792E-2</v>
      </c>
      <c r="K1368">
        <v>0.76401188267627074</v>
      </c>
      <c r="L1368">
        <v>1.0027467263000265</v>
      </c>
      <c r="M1368">
        <v>1.0011691503294451</v>
      </c>
      <c r="N1368">
        <v>0.99367566446918965</v>
      </c>
      <c r="O1368">
        <v>1.027790744832985</v>
      </c>
      <c r="P1368">
        <v>0.62356535071534047</v>
      </c>
      <c r="Q1368">
        <v>4.811334714412574E-2</v>
      </c>
      <c r="R1368">
        <v>6.5502581849466335E-2</v>
      </c>
      <c r="S1368">
        <v>0.99347846747286717</v>
      </c>
      <c r="T1368">
        <f t="shared" si="65"/>
        <v>6.640565760169908</v>
      </c>
      <c r="U1368">
        <v>1</v>
      </c>
    </row>
    <row r="1369" spans="1:21" x14ac:dyDescent="0.3">
      <c r="A1369" t="str">
        <f t="shared" si="63"/>
        <v>NewhamReablement &amp; Rehabilitation in a bedded setting (pathway 2)1</v>
      </c>
      <c r="B1369">
        <f>IF(C1369="","",COUNTIF($C$2:C1369,C1369))</f>
        <v>1</v>
      </c>
      <c r="C1369" t="str">
        <f t="shared" si="64"/>
        <v>NewhamReablement in a bedded setting (pathway 2)</v>
      </c>
      <c r="D1369" t="str">
        <f>VLOOKUP(G1369,PathwayLookup!A:B,2,0)</f>
        <v>Reablement &amp; Rehabilitation in a bedded setting (pathway 2)</v>
      </c>
      <c r="E1369" t="s">
        <v>227</v>
      </c>
      <c r="F1369" t="s">
        <v>453</v>
      </c>
      <c r="G1369" t="s">
        <v>722</v>
      </c>
      <c r="H1369">
        <v>0.36657690638604351</v>
      </c>
      <c r="I1369">
        <v>0.43301837231237261</v>
      </c>
      <c r="J1369">
        <v>0.41233918407017234</v>
      </c>
      <c r="K1369">
        <v>0.48672681955253205</v>
      </c>
      <c r="L1369">
        <v>0.4868225565351349</v>
      </c>
      <c r="M1369">
        <v>0.48605666067431258</v>
      </c>
      <c r="N1369">
        <v>0.48241865533540707</v>
      </c>
      <c r="O1369">
        <v>0.49898115332568782</v>
      </c>
      <c r="P1369">
        <v>0.47891111150408394</v>
      </c>
      <c r="Q1369">
        <v>0.48385471007444875</v>
      </c>
      <c r="R1369">
        <v>0.36984296804541195</v>
      </c>
      <c r="S1369">
        <v>0.48232291835280433</v>
      </c>
      <c r="T1369">
        <f t="shared" si="65"/>
        <v>5.4678720161684131</v>
      </c>
      <c r="U1369">
        <v>1</v>
      </c>
    </row>
    <row r="1370" spans="1:21" x14ac:dyDescent="0.3">
      <c r="A1370" t="str">
        <f t="shared" si="63"/>
        <v>NewhamReablement &amp; Rehabilitation in a bedded setting (pathway 2)2</v>
      </c>
      <c r="B1370">
        <f>IF(C1370="","",COUNTIF($C$2:C1370,C1370))</f>
        <v>2</v>
      </c>
      <c r="C1370" t="str">
        <f t="shared" si="64"/>
        <v>NewhamReablement in a bedded setting (pathway 2)</v>
      </c>
      <c r="D1370" t="str">
        <f>VLOOKUP(G1370,PathwayLookup!A:B,2,0)</f>
        <v>Reablement &amp; Rehabilitation in a bedded setting (pathway 2)</v>
      </c>
      <c r="E1370" t="s">
        <v>227</v>
      </c>
      <c r="F1370" t="s">
        <v>456</v>
      </c>
      <c r="G1370" t="s">
        <v>722</v>
      </c>
      <c r="H1370">
        <v>9.8193825143849427</v>
      </c>
      <c r="I1370">
        <v>11.861036304504584</v>
      </c>
      <c r="J1370">
        <v>9.5277176872249942</v>
      </c>
      <c r="K1370">
        <v>7.0971774608920875</v>
      </c>
      <c r="L1370">
        <v>7.9721719423719346</v>
      </c>
      <c r="M1370">
        <v>6.999955851838771</v>
      </c>
      <c r="N1370">
        <v>6.9027342427854554</v>
      </c>
      <c r="O1370">
        <v>6.6110694156255061</v>
      </c>
      <c r="P1370">
        <v>7.1943990699454039</v>
      </c>
      <c r="Q1370">
        <v>7.0971774608920875</v>
      </c>
      <c r="R1370">
        <v>6.9027342427854554</v>
      </c>
      <c r="S1370">
        <v>7.0971774608920875</v>
      </c>
      <c r="T1370">
        <f t="shared" si="65"/>
        <v>95.082733654143311</v>
      </c>
      <c r="U1370">
        <v>1</v>
      </c>
    </row>
    <row r="1371" spans="1:21" x14ac:dyDescent="0.3">
      <c r="A1371" t="str">
        <f t="shared" si="63"/>
        <v>NewhamReablement &amp; Rehabilitation in a bedded setting (pathway 2)3</v>
      </c>
      <c r="B1371">
        <f>IF(C1371="","",COUNTIF($C$2:C1371,C1371))</f>
        <v>3</v>
      </c>
      <c r="C1371" t="str">
        <f t="shared" si="64"/>
        <v>NewhamReablement in a bedded setting (pathway 2)</v>
      </c>
      <c r="D1371" t="str">
        <f>VLOOKUP(G1371,PathwayLookup!A:B,2,0)</f>
        <v>Reablement &amp; Rehabilitation in a bedded setting (pathway 2)</v>
      </c>
      <c r="E1371" t="s">
        <v>227</v>
      </c>
      <c r="F1371" t="s">
        <v>516</v>
      </c>
      <c r="G1371" t="s">
        <v>722</v>
      </c>
      <c r="H1371">
        <v>0.23016534215322113</v>
      </c>
      <c r="I1371">
        <v>0.27188243472421497</v>
      </c>
      <c r="J1371">
        <v>0.25889844049462607</v>
      </c>
      <c r="K1371">
        <v>0.30560475307050827</v>
      </c>
      <c r="L1371">
        <v>0.30566486415490451</v>
      </c>
      <c r="M1371">
        <v>0.30518397547973458</v>
      </c>
      <c r="N1371">
        <v>0.30289975427267729</v>
      </c>
      <c r="O1371">
        <v>0.31329897187322758</v>
      </c>
      <c r="P1371">
        <v>0.40247196738022434</v>
      </c>
      <c r="Q1371">
        <v>0.30380142053862091</v>
      </c>
      <c r="R1371">
        <v>0.10905692019335109</v>
      </c>
      <c r="S1371">
        <v>0.30283964318828099</v>
      </c>
      <c r="T1371">
        <f t="shared" si="65"/>
        <v>3.4117684875235912</v>
      </c>
      <c r="U1371">
        <v>1</v>
      </c>
    </row>
    <row r="1372" spans="1:21" x14ac:dyDescent="0.3">
      <c r="A1372" t="str">
        <f t="shared" si="63"/>
        <v>NewhamReablement &amp; Rehabilitation in a bedded setting (pathway 2)1</v>
      </c>
      <c r="B1372">
        <f>IF(C1372="","",COUNTIF($C$2:C1372,C1372))</f>
        <v>1</v>
      </c>
      <c r="C1372" t="str">
        <f t="shared" si="64"/>
        <v>NewhamRehabilitation in a bedded setting (pathway 2)</v>
      </c>
      <c r="D1372" t="str">
        <f>VLOOKUP(G1372,PathwayLookup!A:B,2,0)</f>
        <v>Reablement &amp; Rehabilitation in a bedded setting (pathway 2)</v>
      </c>
      <c r="E1372" t="s">
        <v>227</v>
      </c>
      <c r="F1372" t="s">
        <v>453</v>
      </c>
      <c r="G1372" t="s">
        <v>724</v>
      </c>
      <c r="H1372">
        <v>0.36657690638604351</v>
      </c>
      <c r="I1372">
        <v>0.43301837231237261</v>
      </c>
      <c r="J1372">
        <v>0.41233918407017234</v>
      </c>
      <c r="K1372">
        <v>0.48672681955253205</v>
      </c>
      <c r="L1372">
        <v>0.4868225565351349</v>
      </c>
      <c r="M1372">
        <v>0.48605666067431258</v>
      </c>
      <c r="N1372">
        <v>0.48241865533540707</v>
      </c>
      <c r="O1372">
        <v>0.49898115332568782</v>
      </c>
      <c r="P1372">
        <v>0.47891111150408394</v>
      </c>
      <c r="Q1372">
        <v>0.48385471007444875</v>
      </c>
      <c r="R1372">
        <v>0.36984296804541195</v>
      </c>
      <c r="S1372">
        <v>0.48232291835280433</v>
      </c>
      <c r="T1372">
        <f t="shared" si="65"/>
        <v>5.4678720161684131</v>
      </c>
      <c r="U1372">
        <v>1</v>
      </c>
    </row>
    <row r="1373" spans="1:21" x14ac:dyDescent="0.3">
      <c r="A1373" t="str">
        <f t="shared" si="63"/>
        <v>NewhamReablement &amp; Rehabilitation in a bedded setting (pathway 2)2</v>
      </c>
      <c r="B1373">
        <f>IF(C1373="","",COUNTIF($C$2:C1373,C1373))</f>
        <v>2</v>
      </c>
      <c r="C1373" t="str">
        <f t="shared" si="64"/>
        <v>NewhamRehabilitation in a bedded setting (pathway 2)</v>
      </c>
      <c r="D1373" t="str">
        <f>VLOOKUP(G1373,PathwayLookup!A:B,2,0)</f>
        <v>Reablement &amp; Rehabilitation in a bedded setting (pathway 2)</v>
      </c>
      <c r="E1373" t="s">
        <v>227</v>
      </c>
      <c r="F1373" t="s">
        <v>456</v>
      </c>
      <c r="G1373" t="s">
        <v>724</v>
      </c>
      <c r="H1373">
        <v>9.8193825143849427</v>
      </c>
      <c r="I1373">
        <v>11.861036304504584</v>
      </c>
      <c r="J1373">
        <v>9.5277176872249942</v>
      </c>
      <c r="K1373">
        <v>7.0971774608920875</v>
      </c>
      <c r="L1373">
        <v>7.9721719423719346</v>
      </c>
      <c r="M1373">
        <v>6.999955851838771</v>
      </c>
      <c r="N1373">
        <v>6.9027342427854554</v>
      </c>
      <c r="O1373">
        <v>6.6110694156255061</v>
      </c>
      <c r="P1373">
        <v>7.1943990699454039</v>
      </c>
      <c r="Q1373">
        <v>7.0971774608920875</v>
      </c>
      <c r="R1373">
        <v>6.9027342427854554</v>
      </c>
      <c r="S1373">
        <v>7.0971774608920875</v>
      </c>
      <c r="T1373">
        <f t="shared" si="65"/>
        <v>95.082733654143311</v>
      </c>
      <c r="U1373">
        <v>1</v>
      </c>
    </row>
    <row r="1374" spans="1:21" x14ac:dyDescent="0.3">
      <c r="A1374" t="str">
        <f t="shared" si="63"/>
        <v>NewhamReablement &amp; Rehabilitation in a bedded setting (pathway 2)3</v>
      </c>
      <c r="B1374">
        <f>IF(C1374="","",COUNTIF($C$2:C1374,C1374))</f>
        <v>3</v>
      </c>
      <c r="C1374" t="str">
        <f t="shared" si="64"/>
        <v>NewhamRehabilitation in a bedded setting (pathway 2)</v>
      </c>
      <c r="D1374" t="str">
        <f>VLOOKUP(G1374,PathwayLookup!A:B,2,0)</f>
        <v>Reablement &amp; Rehabilitation in a bedded setting (pathway 2)</v>
      </c>
      <c r="E1374" t="s">
        <v>227</v>
      </c>
      <c r="F1374" t="s">
        <v>516</v>
      </c>
      <c r="G1374" t="s">
        <v>724</v>
      </c>
      <c r="H1374">
        <v>0.23016534215322113</v>
      </c>
      <c r="I1374">
        <v>0.27188243472421497</v>
      </c>
      <c r="J1374">
        <v>0.25889844049462607</v>
      </c>
      <c r="K1374">
        <v>0.30560475307050827</v>
      </c>
      <c r="L1374">
        <v>0.30566486415490451</v>
      </c>
      <c r="M1374">
        <v>0.30518397547973458</v>
      </c>
      <c r="N1374">
        <v>0.30289975427267729</v>
      </c>
      <c r="O1374">
        <v>0.31329897187322758</v>
      </c>
      <c r="P1374">
        <v>0.40247196738022434</v>
      </c>
      <c r="Q1374">
        <v>0.30380142053862091</v>
      </c>
      <c r="R1374">
        <v>0.10905692019335109</v>
      </c>
      <c r="S1374">
        <v>0.30283964318828099</v>
      </c>
      <c r="T1374">
        <f t="shared" si="65"/>
        <v>3.4117684875235912</v>
      </c>
      <c r="U1374">
        <v>1</v>
      </c>
    </row>
    <row r="1375" spans="1:21" x14ac:dyDescent="0.3">
      <c r="A1375" t="str">
        <f t="shared" si="63"/>
        <v>NewhamShort-term residential/nursing care for someone likely to require a longer-term care home placement (pathway 3)1</v>
      </c>
      <c r="B1375">
        <f>IF(C1375="","",COUNTIF($C$2:C1375,C1375))</f>
        <v>1</v>
      </c>
      <c r="C1375" t="str">
        <f t="shared" si="64"/>
        <v>NewhamShort-term residential/nursing care for someone likely to require a longer-term care home placement (pathway 3)</v>
      </c>
      <c r="D1375" t="str">
        <f>VLOOKUP(G1375,PathwayLookup!A:B,2,0)</f>
        <v>Short-term residential/nursing care for someone likely to require a longer-term care home placement (pathway 3)</v>
      </c>
      <c r="E1375" t="s">
        <v>227</v>
      </c>
      <c r="F1375" t="s">
        <v>453</v>
      </c>
      <c r="G1375" t="s">
        <v>686</v>
      </c>
      <c r="H1375">
        <v>2.654522425554108</v>
      </c>
      <c r="I1375">
        <v>3.1356502822620089</v>
      </c>
      <c r="J1375">
        <v>2.9859044363702125</v>
      </c>
      <c r="K1375">
        <v>3.5245735208976456</v>
      </c>
      <c r="L1375">
        <v>3.5252667887027003</v>
      </c>
      <c r="M1375">
        <v>3.5197206462622632</v>
      </c>
      <c r="N1375">
        <v>3.493376469670189</v>
      </c>
      <c r="O1375">
        <v>3.6133117999446358</v>
      </c>
      <c r="P1375">
        <v>3.0458746691659746</v>
      </c>
      <c r="Q1375">
        <v>3.503775486746008</v>
      </c>
      <c r="R1375">
        <v>3.3480521317795189</v>
      </c>
      <c r="S1375">
        <v>3.4926832018651339</v>
      </c>
      <c r="T1375">
        <f t="shared" si="65"/>
        <v>39.842711859220394</v>
      </c>
      <c r="U1375">
        <v>1</v>
      </c>
    </row>
    <row r="1376" spans="1:21" x14ac:dyDescent="0.3">
      <c r="A1376" t="str">
        <f t="shared" si="63"/>
        <v>NewhamShort-term residential/nursing care for someone likely to require a longer-term care home placement (pathway 3)2</v>
      </c>
      <c r="B1376">
        <f>IF(C1376="","",COUNTIF($C$2:C1376,C1376))</f>
        <v>2</v>
      </c>
      <c r="C1376" t="str">
        <f t="shared" si="64"/>
        <v>NewhamShort-term residential/nursing care for someone likely to require a longer-term care home placement (pathway 3)</v>
      </c>
      <c r="D1376" t="str">
        <f>VLOOKUP(G1376,PathwayLookup!A:B,2,0)</f>
        <v>Short-term residential/nursing care for someone likely to require a longer-term care home placement (pathway 3)</v>
      </c>
      <c r="E1376" t="s">
        <v>227</v>
      </c>
      <c r="F1376" t="s">
        <v>456</v>
      </c>
      <c r="G1376" t="s">
        <v>686</v>
      </c>
      <c r="H1376">
        <v>9.3332744691183613</v>
      </c>
      <c r="I1376">
        <v>16.916559975277032</v>
      </c>
      <c r="J1376">
        <v>9.7221609053316271</v>
      </c>
      <c r="K1376">
        <v>7.5832855061586688</v>
      </c>
      <c r="L1376">
        <v>9.91660412343826</v>
      </c>
      <c r="M1376">
        <v>10.305490559651524</v>
      </c>
      <c r="N1376">
        <v>9.3332744691183613</v>
      </c>
      <c r="O1376">
        <v>14.583241357997441</v>
      </c>
      <c r="P1376">
        <v>17.499889629596929</v>
      </c>
      <c r="Q1376">
        <v>16.722116757170397</v>
      </c>
      <c r="R1376">
        <v>15.944343884743867</v>
      </c>
      <c r="S1376">
        <v>17.111003193383663</v>
      </c>
      <c r="T1376">
        <f t="shared" si="65"/>
        <v>154.97124483098611</v>
      </c>
      <c r="U1376">
        <v>1</v>
      </c>
    </row>
    <row r="1377" spans="1:21" x14ac:dyDescent="0.3">
      <c r="A1377" t="str">
        <f t="shared" si="63"/>
        <v>NewhamShort-term residential/nursing care for someone likely to require a longer-term care home placement (pathway 3)3</v>
      </c>
      <c r="B1377">
        <f>IF(C1377="","",COUNTIF($C$2:C1377,C1377))</f>
        <v>3</v>
      </c>
      <c r="C1377" t="str">
        <f t="shared" si="64"/>
        <v>NewhamShort-term residential/nursing care for someone likely to require a longer-term care home placement (pathway 3)</v>
      </c>
      <c r="D1377" t="str">
        <f>VLOOKUP(G1377,PathwayLookup!A:B,2,0)</f>
        <v>Short-term residential/nursing care for someone likely to require a longer-term care home placement (pathway 3)</v>
      </c>
      <c r="E1377" t="s">
        <v>227</v>
      </c>
      <c r="F1377" t="s">
        <v>516</v>
      </c>
      <c r="G1377" t="s">
        <v>686</v>
      </c>
      <c r="H1377">
        <v>0.95607142125184141</v>
      </c>
      <c r="I1377">
        <v>1.1293578057775082</v>
      </c>
      <c r="J1377">
        <v>1.07542429128537</v>
      </c>
      <c r="K1377">
        <v>1.2694351281390344</v>
      </c>
      <c r="L1377">
        <v>1.2696848203357567</v>
      </c>
      <c r="M1377">
        <v>1.2676872827619741</v>
      </c>
      <c r="N1377">
        <v>1.2581989792865054</v>
      </c>
      <c r="O1377">
        <v>1.3013957293195606</v>
      </c>
      <c r="P1377">
        <v>1.3415732246007477</v>
      </c>
      <c r="Q1377">
        <v>1.2619443622373483</v>
      </c>
      <c r="R1377">
        <v>0.98151228174016003</v>
      </c>
      <c r="S1377">
        <v>1.2579492870897826</v>
      </c>
      <c r="T1377">
        <f t="shared" si="65"/>
        <v>14.370234613825589</v>
      </c>
      <c r="U1377">
        <v>1</v>
      </c>
    </row>
    <row r="1378" spans="1:21" x14ac:dyDescent="0.3">
      <c r="A1378" t="str">
        <f t="shared" si="63"/>
        <v>NorfolkSocial support (including VCS) (pathway 0)1</v>
      </c>
      <c r="B1378">
        <f>IF(C1378="","",COUNTIF($C$2:C1378,C1378))</f>
        <v>1</v>
      </c>
      <c r="C1378" t="str">
        <f t="shared" si="64"/>
        <v>NorfolkSocial support (including VCS) (pathway 0)</v>
      </c>
      <c r="D1378" t="str">
        <f>VLOOKUP(G1378,PathwayLookup!A:B,2,0)</f>
        <v>Social support (including VCS) (pathway 0)</v>
      </c>
      <c r="E1378" t="s">
        <v>229</v>
      </c>
      <c r="F1378" t="s">
        <v>522</v>
      </c>
      <c r="G1378" t="s">
        <v>682</v>
      </c>
      <c r="H1378">
        <v>790</v>
      </c>
      <c r="I1378">
        <v>854</v>
      </c>
      <c r="J1378">
        <v>801</v>
      </c>
      <c r="K1378">
        <v>850</v>
      </c>
      <c r="L1378">
        <v>826</v>
      </c>
      <c r="M1378">
        <v>793</v>
      </c>
      <c r="N1378">
        <v>782</v>
      </c>
      <c r="O1378">
        <v>854</v>
      </c>
      <c r="P1378">
        <v>849</v>
      </c>
      <c r="Q1378">
        <v>825</v>
      </c>
      <c r="R1378">
        <v>737</v>
      </c>
      <c r="S1378">
        <v>817</v>
      </c>
      <c r="T1378">
        <f t="shared" si="65"/>
        <v>9778</v>
      </c>
      <c r="U1378">
        <v>1</v>
      </c>
    </row>
    <row r="1379" spans="1:21" x14ac:dyDescent="0.3">
      <c r="A1379" t="str">
        <f t="shared" si="63"/>
        <v>NorfolkSocial support (including VCS) (pathway 0)2</v>
      </c>
      <c r="B1379">
        <f>IF(C1379="","",COUNTIF($C$2:C1379,C1379))</f>
        <v>2</v>
      </c>
      <c r="C1379" t="str">
        <f t="shared" si="64"/>
        <v>NorfolkSocial support (including VCS) (pathway 0)</v>
      </c>
      <c r="D1379" t="str">
        <f>VLOOKUP(G1379,PathwayLookup!A:B,2,0)</f>
        <v>Social support (including VCS) (pathway 0)</v>
      </c>
      <c r="E1379" t="s">
        <v>229</v>
      </c>
      <c r="F1379" t="s">
        <v>551</v>
      </c>
      <c r="G1379" t="s">
        <v>682</v>
      </c>
      <c r="H1379">
        <v>3222</v>
      </c>
      <c r="I1379">
        <v>3374</v>
      </c>
      <c r="J1379">
        <v>3379</v>
      </c>
      <c r="K1379">
        <v>3306</v>
      </c>
      <c r="L1379">
        <v>3304</v>
      </c>
      <c r="M1379">
        <v>3275</v>
      </c>
      <c r="N1379">
        <v>3490</v>
      </c>
      <c r="O1379">
        <v>3540</v>
      </c>
      <c r="P1379">
        <v>3379</v>
      </c>
      <c r="Q1379">
        <v>3511</v>
      </c>
      <c r="R1379">
        <v>3504</v>
      </c>
      <c r="S1379">
        <v>3538</v>
      </c>
      <c r="T1379">
        <f t="shared" si="65"/>
        <v>40822</v>
      </c>
      <c r="U1379">
        <v>1</v>
      </c>
    </row>
    <row r="1380" spans="1:21" x14ac:dyDescent="0.3">
      <c r="A1380" t="str">
        <f t="shared" si="63"/>
        <v>NorfolkSocial support (including VCS) (pathway 0)3</v>
      </c>
      <c r="B1380">
        <f>IF(C1380="","",COUNTIF($C$2:C1380,C1380))</f>
        <v>3</v>
      </c>
      <c r="C1380" t="str">
        <f t="shared" si="64"/>
        <v>NorfolkSocial support (including VCS) (pathway 0)</v>
      </c>
      <c r="D1380" t="str">
        <f>VLOOKUP(G1380,PathwayLookup!A:B,2,0)</f>
        <v>Social support (including VCS) (pathway 0)</v>
      </c>
      <c r="E1380" t="s">
        <v>229</v>
      </c>
      <c r="F1380" t="s">
        <v>616</v>
      </c>
      <c r="G1380" t="s">
        <v>682</v>
      </c>
      <c r="H1380">
        <v>2154</v>
      </c>
      <c r="I1380">
        <v>2216</v>
      </c>
      <c r="J1380">
        <v>2216</v>
      </c>
      <c r="K1380">
        <v>2186</v>
      </c>
      <c r="L1380">
        <v>2159</v>
      </c>
      <c r="M1380">
        <v>2129</v>
      </c>
      <c r="N1380">
        <v>2127</v>
      </c>
      <c r="O1380">
        <v>2334</v>
      </c>
      <c r="P1380">
        <v>2253</v>
      </c>
      <c r="Q1380">
        <v>2084</v>
      </c>
      <c r="R1380">
        <v>2086</v>
      </c>
      <c r="S1380">
        <v>2385</v>
      </c>
      <c r="T1380">
        <f t="shared" si="65"/>
        <v>26329</v>
      </c>
      <c r="U1380">
        <v>1</v>
      </c>
    </row>
    <row r="1381" spans="1:21" x14ac:dyDescent="0.3">
      <c r="A1381" t="str">
        <f t="shared" si="63"/>
        <v>NorfolkReablement &amp; Rehabilitation at home  (pathway 1)1</v>
      </c>
      <c r="B1381">
        <f>IF(C1381="","",COUNTIF($C$2:C1381,C1381))</f>
        <v>1</v>
      </c>
      <c r="C1381" t="str">
        <f t="shared" si="64"/>
        <v>NorfolkReablement at home  (pathway 1)</v>
      </c>
      <c r="D1381" t="str">
        <f>VLOOKUP(G1381,PathwayLookup!A:B,2,0)</f>
        <v>Reablement &amp; Rehabilitation at home  (pathway 1)</v>
      </c>
      <c r="E1381" t="s">
        <v>229</v>
      </c>
      <c r="F1381" t="s">
        <v>522</v>
      </c>
      <c r="G1381" t="s">
        <v>718</v>
      </c>
      <c r="H1381">
        <v>85</v>
      </c>
      <c r="I1381">
        <v>52</v>
      </c>
      <c r="J1381">
        <v>53</v>
      </c>
      <c r="K1381">
        <v>51</v>
      </c>
      <c r="L1381">
        <v>54</v>
      </c>
      <c r="M1381">
        <v>44</v>
      </c>
      <c r="N1381">
        <v>67</v>
      </c>
      <c r="O1381">
        <v>68</v>
      </c>
      <c r="P1381">
        <v>75</v>
      </c>
      <c r="Q1381">
        <v>53</v>
      </c>
      <c r="R1381">
        <v>64</v>
      </c>
      <c r="S1381">
        <v>76</v>
      </c>
      <c r="T1381">
        <f t="shared" si="65"/>
        <v>742</v>
      </c>
      <c r="U1381">
        <v>1</v>
      </c>
    </row>
    <row r="1382" spans="1:21" x14ac:dyDescent="0.3">
      <c r="A1382" t="str">
        <f t="shared" si="63"/>
        <v>NorfolkReablement &amp; Rehabilitation at home  (pathway 1)2</v>
      </c>
      <c r="B1382">
        <f>IF(C1382="","",COUNTIF($C$2:C1382,C1382))</f>
        <v>2</v>
      </c>
      <c r="C1382" t="str">
        <f t="shared" si="64"/>
        <v>NorfolkReablement at home  (pathway 1)</v>
      </c>
      <c r="D1382" t="str">
        <f>VLOOKUP(G1382,PathwayLookup!A:B,2,0)</f>
        <v>Reablement &amp; Rehabilitation at home  (pathway 1)</v>
      </c>
      <c r="E1382" t="s">
        <v>229</v>
      </c>
      <c r="F1382" t="s">
        <v>551</v>
      </c>
      <c r="G1382" t="s">
        <v>718</v>
      </c>
      <c r="H1382">
        <v>324</v>
      </c>
      <c r="I1382">
        <v>372</v>
      </c>
      <c r="J1382">
        <v>324</v>
      </c>
      <c r="K1382">
        <v>349</v>
      </c>
      <c r="L1382">
        <v>378</v>
      </c>
      <c r="M1382">
        <v>375</v>
      </c>
      <c r="N1382">
        <v>399</v>
      </c>
      <c r="O1382">
        <v>428</v>
      </c>
      <c r="P1382">
        <v>481</v>
      </c>
      <c r="Q1382">
        <v>503</v>
      </c>
      <c r="R1382">
        <v>319</v>
      </c>
      <c r="S1382">
        <v>376</v>
      </c>
      <c r="T1382">
        <f t="shared" si="65"/>
        <v>4628</v>
      </c>
      <c r="U1382">
        <v>1</v>
      </c>
    </row>
    <row r="1383" spans="1:21" x14ac:dyDescent="0.3">
      <c r="A1383" t="str">
        <f t="shared" si="63"/>
        <v>NorfolkReablement &amp; Rehabilitation at home  (pathway 1)3</v>
      </c>
      <c r="B1383">
        <f>IF(C1383="","",COUNTIF($C$2:C1383,C1383))</f>
        <v>3</v>
      </c>
      <c r="C1383" t="str">
        <f t="shared" si="64"/>
        <v>NorfolkReablement at home  (pathway 1)</v>
      </c>
      <c r="D1383" t="str">
        <f>VLOOKUP(G1383,PathwayLookup!A:B,2,0)</f>
        <v>Reablement &amp; Rehabilitation at home  (pathway 1)</v>
      </c>
      <c r="E1383" t="s">
        <v>229</v>
      </c>
      <c r="F1383" t="s">
        <v>616</v>
      </c>
      <c r="G1383" t="s">
        <v>718</v>
      </c>
      <c r="H1383">
        <v>62</v>
      </c>
      <c r="I1383">
        <v>79</v>
      </c>
      <c r="J1383">
        <v>71</v>
      </c>
      <c r="K1383">
        <v>75</v>
      </c>
      <c r="L1383">
        <v>76</v>
      </c>
      <c r="M1383">
        <v>77</v>
      </c>
      <c r="N1383">
        <v>82</v>
      </c>
      <c r="O1383">
        <v>79</v>
      </c>
      <c r="P1383">
        <v>85</v>
      </c>
      <c r="Q1383">
        <v>87</v>
      </c>
      <c r="R1383">
        <v>68</v>
      </c>
      <c r="S1383">
        <v>78</v>
      </c>
      <c r="T1383">
        <f t="shared" si="65"/>
        <v>919</v>
      </c>
      <c r="U1383">
        <v>1</v>
      </c>
    </row>
    <row r="1384" spans="1:21" x14ac:dyDescent="0.3">
      <c r="A1384" t="str">
        <f t="shared" si="63"/>
        <v>NorfolkReablement &amp; Rehabilitation in a bedded setting (pathway 2)1</v>
      </c>
      <c r="B1384">
        <f>IF(C1384="","",COUNTIF($C$2:C1384,C1384))</f>
        <v>1</v>
      </c>
      <c r="C1384" t="str">
        <f t="shared" si="64"/>
        <v>NorfolkRehabilitation in a bedded setting (pathway 2)</v>
      </c>
      <c r="D1384" t="str">
        <f>VLOOKUP(G1384,PathwayLookup!A:B,2,0)</f>
        <v>Reablement &amp; Rehabilitation in a bedded setting (pathway 2)</v>
      </c>
      <c r="E1384" t="s">
        <v>229</v>
      </c>
      <c r="F1384" t="s">
        <v>522</v>
      </c>
      <c r="G1384" t="s">
        <v>724</v>
      </c>
      <c r="H1384">
        <v>52</v>
      </c>
      <c r="I1384">
        <v>57</v>
      </c>
      <c r="J1384">
        <v>53</v>
      </c>
      <c r="K1384">
        <v>54</v>
      </c>
      <c r="L1384">
        <v>54</v>
      </c>
      <c r="M1384">
        <v>52</v>
      </c>
      <c r="N1384">
        <v>51</v>
      </c>
      <c r="O1384">
        <v>57</v>
      </c>
      <c r="P1384">
        <v>59</v>
      </c>
      <c r="Q1384">
        <v>55</v>
      </c>
      <c r="R1384">
        <v>48</v>
      </c>
      <c r="S1384">
        <v>54</v>
      </c>
      <c r="T1384">
        <f t="shared" si="65"/>
        <v>646</v>
      </c>
      <c r="U1384">
        <v>1</v>
      </c>
    </row>
    <row r="1385" spans="1:21" x14ac:dyDescent="0.3">
      <c r="A1385" t="str">
        <f t="shared" si="63"/>
        <v>NorfolkReablement &amp; Rehabilitation in a bedded setting (pathway 2)2</v>
      </c>
      <c r="B1385">
        <f>IF(C1385="","",COUNTIF($C$2:C1385,C1385))</f>
        <v>2</v>
      </c>
      <c r="C1385" t="str">
        <f t="shared" si="64"/>
        <v>NorfolkRehabilitation in a bedded setting (pathway 2)</v>
      </c>
      <c r="D1385" t="str">
        <f>VLOOKUP(G1385,PathwayLookup!A:B,2,0)</f>
        <v>Reablement &amp; Rehabilitation in a bedded setting (pathway 2)</v>
      </c>
      <c r="E1385" t="s">
        <v>229</v>
      </c>
      <c r="F1385" t="s">
        <v>551</v>
      </c>
      <c r="G1385" t="s">
        <v>724</v>
      </c>
      <c r="H1385">
        <v>189</v>
      </c>
      <c r="I1385">
        <v>211</v>
      </c>
      <c r="J1385">
        <v>206</v>
      </c>
      <c r="K1385">
        <v>203</v>
      </c>
      <c r="L1385">
        <v>203</v>
      </c>
      <c r="M1385">
        <v>198</v>
      </c>
      <c r="N1385">
        <v>207</v>
      </c>
      <c r="O1385">
        <v>221</v>
      </c>
      <c r="P1385">
        <v>222</v>
      </c>
      <c r="Q1385">
        <v>212</v>
      </c>
      <c r="R1385">
        <v>174</v>
      </c>
      <c r="S1385">
        <v>204</v>
      </c>
      <c r="T1385">
        <f t="shared" si="65"/>
        <v>2450</v>
      </c>
      <c r="U1385">
        <v>1</v>
      </c>
    </row>
    <row r="1386" spans="1:21" x14ac:dyDescent="0.3">
      <c r="A1386" t="str">
        <f t="shared" si="63"/>
        <v>NorfolkReablement &amp; Rehabilitation in a bedded setting (pathway 2)3</v>
      </c>
      <c r="B1386">
        <f>IF(C1386="","",COUNTIF($C$2:C1386,C1386))</f>
        <v>3</v>
      </c>
      <c r="C1386" t="str">
        <f t="shared" si="64"/>
        <v>NorfolkRehabilitation in a bedded setting (pathway 2)</v>
      </c>
      <c r="D1386" t="str">
        <f>VLOOKUP(G1386,PathwayLookup!A:B,2,0)</f>
        <v>Reablement &amp; Rehabilitation in a bedded setting (pathway 2)</v>
      </c>
      <c r="E1386" t="s">
        <v>229</v>
      </c>
      <c r="F1386" t="s">
        <v>616</v>
      </c>
      <c r="G1386" t="s">
        <v>724</v>
      </c>
      <c r="H1386">
        <v>63</v>
      </c>
      <c r="I1386">
        <v>70</v>
      </c>
      <c r="J1386">
        <v>63</v>
      </c>
      <c r="K1386">
        <v>52</v>
      </c>
      <c r="L1386">
        <v>52</v>
      </c>
      <c r="M1386">
        <v>63</v>
      </c>
      <c r="N1386">
        <v>63</v>
      </c>
      <c r="O1386">
        <v>70</v>
      </c>
      <c r="P1386">
        <v>62</v>
      </c>
      <c r="Q1386">
        <v>59</v>
      </c>
      <c r="R1386">
        <v>60</v>
      </c>
      <c r="S1386">
        <v>52</v>
      </c>
      <c r="T1386">
        <f t="shared" si="65"/>
        <v>729</v>
      </c>
      <c r="U1386">
        <v>1</v>
      </c>
    </row>
    <row r="1387" spans="1:21" x14ac:dyDescent="0.3">
      <c r="A1387" t="str">
        <f t="shared" si="63"/>
        <v>NorfolkShort-term residential/nursing care for someone likely to require a longer-term care home placement (pathway 3)1</v>
      </c>
      <c r="B1387">
        <f>IF(C1387="","",COUNTIF($C$2:C1387,C1387))</f>
        <v>1</v>
      </c>
      <c r="C1387" t="str">
        <f t="shared" si="64"/>
        <v>NorfolkShort-term residential/nursing care for someone likely to require a longer-term care home placement (pathway 3)</v>
      </c>
      <c r="D1387" t="str">
        <f>VLOOKUP(G1387,PathwayLookup!A:B,2,0)</f>
        <v>Short-term residential/nursing care for someone likely to require a longer-term care home placement (pathway 3)</v>
      </c>
      <c r="E1387" t="s">
        <v>229</v>
      </c>
      <c r="F1387" t="s">
        <v>522</v>
      </c>
      <c r="G1387" t="s">
        <v>686</v>
      </c>
      <c r="H1387">
        <v>6</v>
      </c>
      <c r="I1387">
        <v>7</v>
      </c>
      <c r="J1387">
        <v>6</v>
      </c>
      <c r="K1387">
        <v>6</v>
      </c>
      <c r="L1387">
        <v>6</v>
      </c>
      <c r="M1387">
        <v>6</v>
      </c>
      <c r="N1387">
        <v>6</v>
      </c>
      <c r="O1387">
        <v>6</v>
      </c>
      <c r="P1387">
        <v>7</v>
      </c>
      <c r="Q1387">
        <v>6</v>
      </c>
      <c r="R1387">
        <v>5</v>
      </c>
      <c r="S1387">
        <v>6</v>
      </c>
      <c r="T1387">
        <f t="shared" si="65"/>
        <v>73</v>
      </c>
      <c r="U1387">
        <v>1</v>
      </c>
    </row>
    <row r="1388" spans="1:21" x14ac:dyDescent="0.3">
      <c r="A1388" t="str">
        <f t="shared" si="63"/>
        <v>NorfolkShort-term residential/nursing care for someone likely to require a longer-term care home placement (pathway 3)2</v>
      </c>
      <c r="B1388">
        <f>IF(C1388="","",COUNTIF($C$2:C1388,C1388))</f>
        <v>2</v>
      </c>
      <c r="C1388" t="str">
        <f t="shared" si="64"/>
        <v>NorfolkShort-term residential/nursing care for someone likely to require a longer-term care home placement (pathway 3)</v>
      </c>
      <c r="D1388" t="str">
        <f>VLOOKUP(G1388,PathwayLookup!A:B,2,0)</f>
        <v>Short-term residential/nursing care for someone likely to require a longer-term care home placement (pathway 3)</v>
      </c>
      <c r="E1388" t="s">
        <v>229</v>
      </c>
      <c r="F1388" t="s">
        <v>551</v>
      </c>
      <c r="G1388" t="s">
        <v>686</v>
      </c>
      <c r="H1388">
        <v>34</v>
      </c>
      <c r="I1388">
        <v>55</v>
      </c>
      <c r="J1388">
        <v>64</v>
      </c>
      <c r="K1388">
        <v>49</v>
      </c>
      <c r="L1388">
        <v>52</v>
      </c>
      <c r="M1388">
        <v>57</v>
      </c>
      <c r="N1388">
        <v>74</v>
      </c>
      <c r="O1388">
        <v>64</v>
      </c>
      <c r="P1388">
        <v>79</v>
      </c>
      <c r="Q1388">
        <v>76</v>
      </c>
      <c r="R1388">
        <v>86</v>
      </c>
      <c r="S1388">
        <v>85</v>
      </c>
      <c r="T1388">
        <f t="shared" si="65"/>
        <v>775</v>
      </c>
      <c r="U1388">
        <v>1</v>
      </c>
    </row>
    <row r="1389" spans="1:21" x14ac:dyDescent="0.3">
      <c r="A1389" t="str">
        <f t="shared" si="63"/>
        <v>NorfolkShort-term residential/nursing care for someone likely to require a longer-term care home placement (pathway 3)3</v>
      </c>
      <c r="B1389">
        <f>IF(C1389="","",COUNTIF($C$2:C1389,C1389))</f>
        <v>3</v>
      </c>
      <c r="C1389" t="str">
        <f t="shared" si="64"/>
        <v>NorfolkShort-term residential/nursing care for someone likely to require a longer-term care home placement (pathway 3)</v>
      </c>
      <c r="D1389" t="str">
        <f>VLOOKUP(G1389,PathwayLookup!A:B,2,0)</f>
        <v>Short-term residential/nursing care for someone likely to require a longer-term care home placement (pathway 3)</v>
      </c>
      <c r="E1389" t="s">
        <v>229</v>
      </c>
      <c r="F1389" t="s">
        <v>616</v>
      </c>
      <c r="G1389" t="s">
        <v>686</v>
      </c>
      <c r="H1389">
        <v>10</v>
      </c>
      <c r="I1389">
        <v>11</v>
      </c>
      <c r="J1389">
        <v>10</v>
      </c>
      <c r="K1389">
        <v>10</v>
      </c>
      <c r="L1389">
        <v>8</v>
      </c>
      <c r="M1389">
        <v>10</v>
      </c>
      <c r="N1389">
        <v>10</v>
      </c>
      <c r="O1389">
        <v>11</v>
      </c>
      <c r="P1389">
        <v>10</v>
      </c>
      <c r="Q1389">
        <v>9</v>
      </c>
      <c r="R1389">
        <v>10</v>
      </c>
      <c r="S1389">
        <v>8</v>
      </c>
      <c r="T1389">
        <f t="shared" si="65"/>
        <v>117</v>
      </c>
      <c r="U1389">
        <v>1</v>
      </c>
    </row>
    <row r="1390" spans="1:21" x14ac:dyDescent="0.3">
      <c r="A1390" t="str">
        <f t="shared" si="63"/>
        <v>North East LincolnshireSocial support (including VCS) (pathway 0)1</v>
      </c>
      <c r="B1390">
        <f>IF(C1390="","",COUNTIF($C$2:C1390,C1390))</f>
        <v>1</v>
      </c>
      <c r="C1390" t="str">
        <f t="shared" si="64"/>
        <v>North East LincolnshireSocial support (including VCS) (pathway 0)</v>
      </c>
      <c r="D1390" t="str">
        <f>VLOOKUP(G1390,PathwayLookup!A:B,2,0)</f>
        <v>Social support (including VCS) (pathway 0)</v>
      </c>
      <c r="E1390" t="s">
        <v>231</v>
      </c>
      <c r="F1390" t="s">
        <v>564</v>
      </c>
      <c r="G1390" t="s">
        <v>682</v>
      </c>
      <c r="H1390">
        <v>55</v>
      </c>
      <c r="I1390">
        <v>55</v>
      </c>
      <c r="J1390">
        <v>55</v>
      </c>
      <c r="K1390">
        <v>55</v>
      </c>
      <c r="L1390">
        <v>55</v>
      </c>
      <c r="M1390">
        <v>55</v>
      </c>
      <c r="N1390">
        <v>55</v>
      </c>
      <c r="O1390">
        <v>60</v>
      </c>
      <c r="P1390">
        <v>60</v>
      </c>
      <c r="Q1390">
        <v>60</v>
      </c>
      <c r="R1390">
        <v>60</v>
      </c>
      <c r="S1390">
        <v>60</v>
      </c>
      <c r="T1390">
        <f t="shared" si="65"/>
        <v>685</v>
      </c>
      <c r="U1390">
        <v>1</v>
      </c>
    </row>
    <row r="1391" spans="1:21" x14ac:dyDescent="0.3">
      <c r="A1391" t="str">
        <f t="shared" si="63"/>
        <v/>
      </c>
      <c r="B1391" t="str">
        <f>IF(C1391="","",COUNTIF($C$2:C1391,C1391))</f>
        <v/>
      </c>
      <c r="C1391" t="str">
        <f t="shared" si="64"/>
        <v/>
      </c>
      <c r="D1391" t="str">
        <f>VLOOKUP(G1391,PathwayLookup!A:B,2,0)</f>
        <v>Social support (including VCS) (pathway 0)</v>
      </c>
      <c r="E1391" t="s">
        <v>231</v>
      </c>
      <c r="F1391" t="s">
        <v>651</v>
      </c>
      <c r="G1391" t="s">
        <v>682</v>
      </c>
      <c r="H1391">
        <v>0</v>
      </c>
      <c r="I1391">
        <v>0</v>
      </c>
      <c r="J1391">
        <v>0</v>
      </c>
      <c r="K1391">
        <v>0</v>
      </c>
      <c r="L1391">
        <v>0</v>
      </c>
      <c r="M1391">
        <v>0</v>
      </c>
      <c r="N1391">
        <v>0</v>
      </c>
      <c r="O1391">
        <v>0</v>
      </c>
      <c r="P1391">
        <v>0</v>
      </c>
      <c r="Q1391">
        <v>0</v>
      </c>
      <c r="R1391">
        <v>0</v>
      </c>
      <c r="S1391">
        <v>0</v>
      </c>
      <c r="T1391">
        <f t="shared" si="65"/>
        <v>0</v>
      </c>
      <c r="U1391">
        <v>1</v>
      </c>
    </row>
    <row r="1392" spans="1:21" x14ac:dyDescent="0.3">
      <c r="A1392" t="str">
        <f t="shared" si="63"/>
        <v>North East LincolnshireReablement &amp; Rehabilitation at home  (pathway 1)1</v>
      </c>
      <c r="B1392">
        <f>IF(C1392="","",COUNTIF($C$2:C1392,C1392))</f>
        <v>1</v>
      </c>
      <c r="C1392" t="str">
        <f t="shared" si="64"/>
        <v>North East LincolnshireReablement at home  (pathway 1)</v>
      </c>
      <c r="D1392" t="str">
        <f>VLOOKUP(G1392,PathwayLookup!A:B,2,0)</f>
        <v>Reablement &amp; Rehabilitation at home  (pathway 1)</v>
      </c>
      <c r="E1392" t="s">
        <v>231</v>
      </c>
      <c r="F1392" t="s">
        <v>564</v>
      </c>
      <c r="G1392" t="s">
        <v>718</v>
      </c>
      <c r="H1392">
        <v>29</v>
      </c>
      <c r="I1392">
        <v>29</v>
      </c>
      <c r="J1392">
        <v>29</v>
      </c>
      <c r="K1392">
        <v>29</v>
      </c>
      <c r="L1392">
        <v>29</v>
      </c>
      <c r="M1392">
        <v>29</v>
      </c>
      <c r="N1392">
        <v>29</v>
      </c>
      <c r="O1392">
        <v>31</v>
      </c>
      <c r="P1392">
        <v>31</v>
      </c>
      <c r="Q1392">
        <v>31</v>
      </c>
      <c r="R1392">
        <v>31</v>
      </c>
      <c r="S1392">
        <v>31</v>
      </c>
      <c r="T1392">
        <f t="shared" si="65"/>
        <v>358</v>
      </c>
      <c r="U1392">
        <v>1</v>
      </c>
    </row>
    <row r="1393" spans="1:21" x14ac:dyDescent="0.3">
      <c r="A1393" t="str">
        <f t="shared" si="63"/>
        <v/>
      </c>
      <c r="B1393" t="str">
        <f>IF(C1393="","",COUNTIF($C$2:C1393,C1393))</f>
        <v/>
      </c>
      <c r="C1393" t="str">
        <f t="shared" si="64"/>
        <v/>
      </c>
      <c r="D1393" t="str">
        <f>VLOOKUP(G1393,PathwayLookup!A:B,2,0)</f>
        <v>Reablement &amp; Rehabilitation at home  (pathway 1)</v>
      </c>
      <c r="E1393" t="s">
        <v>231</v>
      </c>
      <c r="F1393" t="s">
        <v>651</v>
      </c>
      <c r="G1393" t="s">
        <v>718</v>
      </c>
      <c r="H1393">
        <v>0</v>
      </c>
      <c r="I1393">
        <v>0</v>
      </c>
      <c r="J1393">
        <v>0</v>
      </c>
      <c r="K1393">
        <v>0</v>
      </c>
      <c r="L1393">
        <v>0</v>
      </c>
      <c r="M1393">
        <v>0</v>
      </c>
      <c r="N1393">
        <v>0</v>
      </c>
      <c r="O1393">
        <v>0</v>
      </c>
      <c r="P1393">
        <v>0</v>
      </c>
      <c r="Q1393">
        <v>0</v>
      </c>
      <c r="R1393">
        <v>0</v>
      </c>
      <c r="S1393">
        <v>0</v>
      </c>
      <c r="T1393">
        <f t="shared" si="65"/>
        <v>0</v>
      </c>
      <c r="U1393">
        <v>1</v>
      </c>
    </row>
    <row r="1394" spans="1:21" x14ac:dyDescent="0.3">
      <c r="A1394" t="str">
        <f t="shared" si="63"/>
        <v/>
      </c>
      <c r="B1394" t="str">
        <f>IF(C1394="","",COUNTIF($C$2:C1394,C1394))</f>
        <v/>
      </c>
      <c r="C1394" t="str">
        <f t="shared" si="64"/>
        <v/>
      </c>
      <c r="D1394" t="str">
        <f>VLOOKUP(G1394,PathwayLookup!A:B,2,0)</f>
        <v>Reablement &amp; Rehabilitation at home  (pathway 1)</v>
      </c>
      <c r="E1394" t="s">
        <v>231</v>
      </c>
      <c r="F1394" t="s">
        <v>564</v>
      </c>
      <c r="G1394" t="s">
        <v>719</v>
      </c>
      <c r="H1394">
        <v>0</v>
      </c>
      <c r="I1394">
        <v>0</v>
      </c>
      <c r="J1394">
        <v>0</v>
      </c>
      <c r="K1394">
        <v>0</v>
      </c>
      <c r="L1394">
        <v>0</v>
      </c>
      <c r="M1394">
        <v>0</v>
      </c>
      <c r="N1394">
        <v>0</v>
      </c>
      <c r="O1394">
        <v>0</v>
      </c>
      <c r="P1394">
        <v>0</v>
      </c>
      <c r="Q1394">
        <v>0</v>
      </c>
      <c r="R1394">
        <v>0</v>
      </c>
      <c r="S1394">
        <v>0</v>
      </c>
      <c r="T1394">
        <f t="shared" si="65"/>
        <v>0</v>
      </c>
      <c r="U1394">
        <v>1</v>
      </c>
    </row>
    <row r="1395" spans="1:21" x14ac:dyDescent="0.3">
      <c r="A1395" t="str">
        <f t="shared" si="63"/>
        <v/>
      </c>
      <c r="B1395" t="str">
        <f>IF(C1395="","",COUNTIF($C$2:C1395,C1395))</f>
        <v/>
      </c>
      <c r="C1395" t="str">
        <f t="shared" si="64"/>
        <v/>
      </c>
      <c r="D1395" t="str">
        <f>VLOOKUP(G1395,PathwayLookup!A:B,2,0)</f>
        <v>Reablement &amp; Rehabilitation at home  (pathway 1)</v>
      </c>
      <c r="E1395" t="s">
        <v>231</v>
      </c>
      <c r="F1395" t="s">
        <v>651</v>
      </c>
      <c r="G1395" t="s">
        <v>719</v>
      </c>
      <c r="H1395">
        <v>0</v>
      </c>
      <c r="I1395">
        <v>0</v>
      </c>
      <c r="J1395">
        <v>0</v>
      </c>
      <c r="K1395">
        <v>0</v>
      </c>
      <c r="L1395">
        <v>0</v>
      </c>
      <c r="M1395">
        <v>0</v>
      </c>
      <c r="N1395">
        <v>0</v>
      </c>
      <c r="O1395">
        <v>0</v>
      </c>
      <c r="P1395">
        <v>0</v>
      </c>
      <c r="Q1395">
        <v>0</v>
      </c>
      <c r="R1395">
        <v>0</v>
      </c>
      <c r="S1395">
        <v>0</v>
      </c>
      <c r="T1395">
        <f t="shared" si="65"/>
        <v>0</v>
      </c>
      <c r="U1395">
        <v>1</v>
      </c>
    </row>
    <row r="1396" spans="1:21" x14ac:dyDescent="0.3">
      <c r="A1396" t="str">
        <f t="shared" si="63"/>
        <v>North East LincolnshireShort term domiciliary care (pathway 1)1</v>
      </c>
      <c r="B1396">
        <f>IF(C1396="","",COUNTIF($C$2:C1396,C1396))</f>
        <v>1</v>
      </c>
      <c r="C1396" t="str">
        <f t="shared" si="64"/>
        <v>North East LincolnshireShort term domiciliary care (pathway 1)</v>
      </c>
      <c r="D1396" t="str">
        <f>VLOOKUP(G1396,PathwayLookup!A:B,2,0)</f>
        <v>Short term domiciliary care (pathway 1)</v>
      </c>
      <c r="E1396" t="s">
        <v>231</v>
      </c>
      <c r="F1396" t="s">
        <v>564</v>
      </c>
      <c r="G1396" t="s">
        <v>684</v>
      </c>
      <c r="H1396">
        <v>42</v>
      </c>
      <c r="I1396">
        <v>42</v>
      </c>
      <c r="J1396">
        <v>42</v>
      </c>
      <c r="K1396">
        <v>42</v>
      </c>
      <c r="L1396">
        <v>42</v>
      </c>
      <c r="M1396">
        <v>42</v>
      </c>
      <c r="N1396">
        <v>42</v>
      </c>
      <c r="O1396">
        <v>44</v>
      </c>
      <c r="P1396">
        <v>44</v>
      </c>
      <c r="Q1396">
        <v>44</v>
      </c>
      <c r="R1396">
        <v>44</v>
      </c>
      <c r="S1396">
        <v>44</v>
      </c>
      <c r="T1396">
        <f t="shared" si="65"/>
        <v>514</v>
      </c>
      <c r="U1396">
        <v>1</v>
      </c>
    </row>
    <row r="1397" spans="1:21" x14ac:dyDescent="0.3">
      <c r="A1397" t="str">
        <f t="shared" si="63"/>
        <v/>
      </c>
      <c r="B1397" t="str">
        <f>IF(C1397="","",COUNTIF($C$2:C1397,C1397))</f>
        <v/>
      </c>
      <c r="C1397" t="str">
        <f t="shared" si="64"/>
        <v/>
      </c>
      <c r="D1397" t="str">
        <f>VLOOKUP(G1397,PathwayLookup!A:B,2,0)</f>
        <v>Short term domiciliary care (pathway 1)</v>
      </c>
      <c r="E1397" t="s">
        <v>231</v>
      </c>
      <c r="F1397" t="s">
        <v>651</v>
      </c>
      <c r="G1397" t="s">
        <v>684</v>
      </c>
      <c r="H1397">
        <v>0</v>
      </c>
      <c r="I1397">
        <v>0</v>
      </c>
      <c r="J1397">
        <v>0</v>
      </c>
      <c r="K1397">
        <v>0</v>
      </c>
      <c r="L1397">
        <v>0</v>
      </c>
      <c r="M1397">
        <v>0</v>
      </c>
      <c r="N1397">
        <v>0</v>
      </c>
      <c r="O1397">
        <v>0</v>
      </c>
      <c r="P1397">
        <v>0</v>
      </c>
      <c r="Q1397">
        <v>0</v>
      </c>
      <c r="R1397">
        <v>0</v>
      </c>
      <c r="S1397">
        <v>0</v>
      </c>
      <c r="T1397">
        <f t="shared" si="65"/>
        <v>0</v>
      </c>
      <c r="U1397">
        <v>1</v>
      </c>
    </row>
    <row r="1398" spans="1:21" x14ac:dyDescent="0.3">
      <c r="A1398" t="str">
        <f t="shared" si="63"/>
        <v>North East LincolnshireReablement &amp; Rehabilitation in a bedded setting (pathway 2)1</v>
      </c>
      <c r="B1398">
        <f>IF(C1398="","",COUNTIF($C$2:C1398,C1398))</f>
        <v>1</v>
      </c>
      <c r="C1398" t="str">
        <f t="shared" si="64"/>
        <v>North East LincolnshireReablement in a bedded setting (pathway 2)</v>
      </c>
      <c r="D1398" t="str">
        <f>VLOOKUP(G1398,PathwayLookup!A:B,2,0)</f>
        <v>Reablement &amp; Rehabilitation in a bedded setting (pathway 2)</v>
      </c>
      <c r="E1398" t="s">
        <v>231</v>
      </c>
      <c r="F1398" t="s">
        <v>564</v>
      </c>
      <c r="G1398" t="s">
        <v>722</v>
      </c>
      <c r="H1398">
        <v>58</v>
      </c>
      <c r="I1398">
        <v>58</v>
      </c>
      <c r="J1398">
        <v>58</v>
      </c>
      <c r="K1398">
        <v>58</v>
      </c>
      <c r="L1398">
        <v>58</v>
      </c>
      <c r="M1398">
        <v>58</v>
      </c>
      <c r="N1398">
        <v>58</v>
      </c>
      <c r="O1398">
        <v>60</v>
      </c>
      <c r="P1398">
        <v>60</v>
      </c>
      <c r="Q1398">
        <v>60</v>
      </c>
      <c r="R1398">
        <v>60</v>
      </c>
      <c r="S1398">
        <v>60</v>
      </c>
      <c r="T1398">
        <f t="shared" si="65"/>
        <v>706</v>
      </c>
      <c r="U1398">
        <v>1</v>
      </c>
    </row>
    <row r="1399" spans="1:21" x14ac:dyDescent="0.3">
      <c r="A1399" t="str">
        <f t="shared" si="63"/>
        <v/>
      </c>
      <c r="B1399" t="str">
        <f>IF(C1399="","",COUNTIF($C$2:C1399,C1399))</f>
        <v/>
      </c>
      <c r="C1399" t="str">
        <f t="shared" si="64"/>
        <v/>
      </c>
      <c r="D1399" t="str">
        <f>VLOOKUP(G1399,PathwayLookup!A:B,2,0)</f>
        <v>Reablement &amp; Rehabilitation in a bedded setting (pathway 2)</v>
      </c>
      <c r="E1399" t="s">
        <v>231</v>
      </c>
      <c r="F1399" t="s">
        <v>651</v>
      </c>
      <c r="G1399" t="s">
        <v>722</v>
      </c>
      <c r="H1399">
        <v>0</v>
      </c>
      <c r="I1399">
        <v>0</v>
      </c>
      <c r="J1399">
        <v>0</v>
      </c>
      <c r="K1399">
        <v>0</v>
      </c>
      <c r="L1399">
        <v>0</v>
      </c>
      <c r="M1399">
        <v>0</v>
      </c>
      <c r="N1399">
        <v>0</v>
      </c>
      <c r="O1399">
        <v>0</v>
      </c>
      <c r="P1399">
        <v>0</v>
      </c>
      <c r="Q1399">
        <v>0</v>
      </c>
      <c r="R1399">
        <v>0</v>
      </c>
      <c r="S1399">
        <v>0</v>
      </c>
      <c r="T1399">
        <f t="shared" si="65"/>
        <v>0</v>
      </c>
      <c r="U1399">
        <v>1</v>
      </c>
    </row>
    <row r="1400" spans="1:21" x14ac:dyDescent="0.3">
      <c r="A1400" t="str">
        <f t="shared" si="63"/>
        <v/>
      </c>
      <c r="B1400" t="str">
        <f>IF(C1400="","",COUNTIF($C$2:C1400,C1400))</f>
        <v/>
      </c>
      <c r="C1400" t="str">
        <f t="shared" si="64"/>
        <v/>
      </c>
      <c r="D1400" t="str">
        <f>VLOOKUP(G1400,PathwayLookup!A:B,2,0)</f>
        <v>Reablement &amp; Rehabilitation in a bedded setting (pathway 2)</v>
      </c>
      <c r="E1400" t="s">
        <v>231</v>
      </c>
      <c r="F1400" t="s">
        <v>564</v>
      </c>
      <c r="G1400" t="s">
        <v>724</v>
      </c>
      <c r="H1400">
        <v>0</v>
      </c>
      <c r="I1400">
        <v>0</v>
      </c>
      <c r="J1400">
        <v>0</v>
      </c>
      <c r="K1400">
        <v>0</v>
      </c>
      <c r="L1400">
        <v>0</v>
      </c>
      <c r="M1400">
        <v>0</v>
      </c>
      <c r="N1400">
        <v>0</v>
      </c>
      <c r="O1400">
        <v>0</v>
      </c>
      <c r="P1400">
        <v>0</v>
      </c>
      <c r="Q1400">
        <v>0</v>
      </c>
      <c r="R1400">
        <v>0</v>
      </c>
      <c r="S1400">
        <v>0</v>
      </c>
      <c r="T1400">
        <f t="shared" si="65"/>
        <v>0</v>
      </c>
      <c r="U1400">
        <v>1</v>
      </c>
    </row>
    <row r="1401" spans="1:21" x14ac:dyDescent="0.3">
      <c r="A1401" t="str">
        <f t="shared" si="63"/>
        <v/>
      </c>
      <c r="B1401" t="str">
        <f>IF(C1401="","",COUNTIF($C$2:C1401,C1401))</f>
        <v/>
      </c>
      <c r="C1401" t="str">
        <f t="shared" si="64"/>
        <v/>
      </c>
      <c r="D1401" t="str">
        <f>VLOOKUP(G1401,PathwayLookup!A:B,2,0)</f>
        <v>Reablement &amp; Rehabilitation in a bedded setting (pathway 2)</v>
      </c>
      <c r="E1401" t="s">
        <v>231</v>
      </c>
      <c r="F1401" t="s">
        <v>651</v>
      </c>
      <c r="G1401" t="s">
        <v>724</v>
      </c>
      <c r="H1401">
        <v>0</v>
      </c>
      <c r="I1401">
        <v>0</v>
      </c>
      <c r="J1401">
        <v>0</v>
      </c>
      <c r="K1401">
        <v>0</v>
      </c>
      <c r="L1401">
        <v>0</v>
      </c>
      <c r="M1401">
        <v>0</v>
      </c>
      <c r="N1401">
        <v>0</v>
      </c>
      <c r="O1401">
        <v>0</v>
      </c>
      <c r="P1401">
        <v>0</v>
      </c>
      <c r="Q1401">
        <v>0</v>
      </c>
      <c r="R1401">
        <v>0</v>
      </c>
      <c r="S1401">
        <v>0</v>
      </c>
      <c r="T1401">
        <f t="shared" si="65"/>
        <v>0</v>
      </c>
      <c r="U1401">
        <v>1</v>
      </c>
    </row>
    <row r="1402" spans="1:21" x14ac:dyDescent="0.3">
      <c r="A1402" t="str">
        <f t="shared" si="63"/>
        <v>North East LincolnshireShort-term residential/nursing care for someone likely to require a longer-term care home placement (pathway 3)1</v>
      </c>
      <c r="B1402">
        <f>IF(C1402="","",COUNTIF($C$2:C1402,C1402))</f>
        <v>1</v>
      </c>
      <c r="C1402" t="str">
        <f t="shared" si="64"/>
        <v>North East LincolnshireShort-term residential/nursing care for someone likely to require a longer-term care home placement (pathway 3)</v>
      </c>
      <c r="D1402" t="str">
        <f>VLOOKUP(G1402,PathwayLookup!A:B,2,0)</f>
        <v>Short-term residential/nursing care for someone likely to require a longer-term care home placement (pathway 3)</v>
      </c>
      <c r="E1402" t="s">
        <v>231</v>
      </c>
      <c r="F1402" t="s">
        <v>564</v>
      </c>
      <c r="G1402" t="s">
        <v>686</v>
      </c>
      <c r="H1402">
        <v>3</v>
      </c>
      <c r="I1402">
        <v>3</v>
      </c>
      <c r="J1402">
        <v>3</v>
      </c>
      <c r="K1402">
        <v>3</v>
      </c>
      <c r="L1402">
        <v>3</v>
      </c>
      <c r="M1402">
        <v>3</v>
      </c>
      <c r="N1402">
        <v>3</v>
      </c>
      <c r="O1402">
        <v>3</v>
      </c>
      <c r="P1402">
        <v>3</v>
      </c>
      <c r="Q1402">
        <v>3</v>
      </c>
      <c r="R1402">
        <v>3</v>
      </c>
      <c r="S1402">
        <v>3</v>
      </c>
      <c r="T1402">
        <f t="shared" si="65"/>
        <v>36</v>
      </c>
      <c r="U1402">
        <v>1</v>
      </c>
    </row>
    <row r="1403" spans="1:21" x14ac:dyDescent="0.3">
      <c r="A1403" t="str">
        <f t="shared" si="63"/>
        <v/>
      </c>
      <c r="B1403" t="str">
        <f>IF(C1403="","",COUNTIF($C$2:C1403,C1403))</f>
        <v/>
      </c>
      <c r="C1403" t="str">
        <f t="shared" si="64"/>
        <v/>
      </c>
      <c r="D1403" t="str">
        <f>VLOOKUP(G1403,PathwayLookup!A:B,2,0)</f>
        <v>Short-term residential/nursing care for someone likely to require a longer-term care home placement (pathway 3)</v>
      </c>
      <c r="E1403" t="s">
        <v>231</v>
      </c>
      <c r="F1403" t="s">
        <v>651</v>
      </c>
      <c r="G1403" t="s">
        <v>686</v>
      </c>
      <c r="H1403">
        <v>0</v>
      </c>
      <c r="I1403">
        <v>0</v>
      </c>
      <c r="J1403">
        <v>0</v>
      </c>
      <c r="K1403">
        <v>0</v>
      </c>
      <c r="L1403">
        <v>0</v>
      </c>
      <c r="M1403">
        <v>0</v>
      </c>
      <c r="N1403">
        <v>0</v>
      </c>
      <c r="O1403">
        <v>0</v>
      </c>
      <c r="P1403">
        <v>0</v>
      </c>
      <c r="Q1403">
        <v>0</v>
      </c>
      <c r="R1403">
        <v>0</v>
      </c>
      <c r="S1403">
        <v>0</v>
      </c>
      <c r="T1403">
        <f t="shared" si="65"/>
        <v>0</v>
      </c>
      <c r="U1403">
        <v>1</v>
      </c>
    </row>
    <row r="1404" spans="1:21" x14ac:dyDescent="0.3">
      <c r="A1404" t="str">
        <f t="shared" si="63"/>
        <v>North LincolnshireSocial support (including VCS) (pathway 0)1</v>
      </c>
      <c r="B1404">
        <f>IF(C1404="","",COUNTIF($C$2:C1404,C1404))</f>
        <v>1</v>
      </c>
      <c r="C1404" t="str">
        <f t="shared" si="64"/>
        <v>North LincolnshireSocial support (including VCS) (pathway 0)</v>
      </c>
      <c r="D1404" t="str">
        <f>VLOOKUP(G1404,PathwayLookup!A:B,2,0)</f>
        <v>Social support (including VCS) (pathway 0)</v>
      </c>
      <c r="E1404" t="s">
        <v>233</v>
      </c>
      <c r="F1404" t="s">
        <v>448</v>
      </c>
      <c r="G1404" t="s">
        <v>682</v>
      </c>
      <c r="H1404">
        <v>17</v>
      </c>
      <c r="I1404">
        <v>17</v>
      </c>
      <c r="J1404">
        <v>17</v>
      </c>
      <c r="K1404">
        <v>25</v>
      </c>
      <c r="L1404">
        <v>30</v>
      </c>
      <c r="M1404">
        <v>50</v>
      </c>
      <c r="N1404">
        <v>60</v>
      </c>
      <c r="O1404">
        <v>70</v>
      </c>
      <c r="P1404">
        <v>80</v>
      </c>
      <c r="Q1404">
        <v>90</v>
      </c>
      <c r="R1404">
        <v>110</v>
      </c>
      <c r="S1404">
        <v>126</v>
      </c>
      <c r="T1404">
        <f t="shared" si="65"/>
        <v>692</v>
      </c>
      <c r="U1404">
        <v>1</v>
      </c>
    </row>
    <row r="1405" spans="1:21" x14ac:dyDescent="0.3">
      <c r="A1405" t="str">
        <f t="shared" si="63"/>
        <v>North LincolnshireReablement &amp; Rehabilitation at home  (pathway 1)1</v>
      </c>
      <c r="B1405">
        <f>IF(C1405="","",COUNTIF($C$2:C1405,C1405))</f>
        <v>1</v>
      </c>
      <c r="C1405" t="str">
        <f t="shared" si="64"/>
        <v>North LincolnshireReablement at home  (pathway 1)</v>
      </c>
      <c r="D1405" t="str">
        <f>VLOOKUP(G1405,PathwayLookup!A:B,2,0)</f>
        <v>Reablement &amp; Rehabilitation at home  (pathway 1)</v>
      </c>
      <c r="E1405" t="s">
        <v>233</v>
      </c>
      <c r="F1405" t="s">
        <v>448</v>
      </c>
      <c r="G1405" t="s">
        <v>718</v>
      </c>
      <c r="H1405">
        <v>70</v>
      </c>
      <c r="I1405">
        <v>75</v>
      </c>
      <c r="J1405">
        <v>80</v>
      </c>
      <c r="K1405">
        <v>90</v>
      </c>
      <c r="L1405">
        <v>90</v>
      </c>
      <c r="M1405">
        <v>95</v>
      </c>
      <c r="N1405">
        <v>105</v>
      </c>
      <c r="O1405">
        <v>110</v>
      </c>
      <c r="P1405">
        <v>115</v>
      </c>
      <c r="Q1405">
        <v>100</v>
      </c>
      <c r="R1405">
        <v>95</v>
      </c>
      <c r="S1405">
        <v>100</v>
      </c>
      <c r="T1405">
        <f t="shared" si="65"/>
        <v>1125</v>
      </c>
      <c r="U1405">
        <v>1</v>
      </c>
    </row>
    <row r="1406" spans="1:21" x14ac:dyDescent="0.3">
      <c r="A1406" t="str">
        <f t="shared" si="63"/>
        <v>North LincolnshireReablement &amp; Rehabilitation in a bedded setting (pathway 2)1</v>
      </c>
      <c r="B1406">
        <f>IF(C1406="","",COUNTIF($C$2:C1406,C1406))</f>
        <v>1</v>
      </c>
      <c r="C1406" t="str">
        <f t="shared" si="64"/>
        <v>North LincolnshireReablement in a bedded setting (pathway 2)</v>
      </c>
      <c r="D1406" t="str">
        <f>VLOOKUP(G1406,PathwayLookup!A:B,2,0)</f>
        <v>Reablement &amp; Rehabilitation in a bedded setting (pathway 2)</v>
      </c>
      <c r="E1406" t="s">
        <v>233</v>
      </c>
      <c r="F1406" t="s">
        <v>448</v>
      </c>
      <c r="G1406" t="s">
        <v>722</v>
      </c>
      <c r="H1406">
        <v>80</v>
      </c>
      <c r="I1406">
        <v>70</v>
      </c>
      <c r="J1406">
        <v>60</v>
      </c>
      <c r="K1406">
        <v>55</v>
      </c>
      <c r="L1406">
        <v>47</v>
      </c>
      <c r="M1406">
        <v>47</v>
      </c>
      <c r="N1406">
        <v>47</v>
      </c>
      <c r="O1406">
        <v>47</v>
      </c>
      <c r="P1406">
        <v>47</v>
      </c>
      <c r="Q1406">
        <v>47</v>
      </c>
      <c r="R1406">
        <v>47</v>
      </c>
      <c r="S1406">
        <v>47</v>
      </c>
      <c r="T1406">
        <f t="shared" si="65"/>
        <v>641</v>
      </c>
      <c r="U1406">
        <v>1</v>
      </c>
    </row>
    <row r="1407" spans="1:21" x14ac:dyDescent="0.3">
      <c r="A1407" t="str">
        <f t="shared" si="63"/>
        <v>North LincolnshireShort-term residential/nursing care for someone likely to require a longer-term care home placement (pathway 3)1</v>
      </c>
      <c r="B1407">
        <f>IF(C1407="","",COUNTIF($C$2:C1407,C1407))</f>
        <v>1</v>
      </c>
      <c r="C1407" t="str">
        <f t="shared" si="64"/>
        <v>North LincolnshireShort-term residential/nursing care for someone likely to require a longer-term care home placement (pathway 3)</v>
      </c>
      <c r="D1407" t="str">
        <f>VLOOKUP(G1407,PathwayLookup!A:B,2,0)</f>
        <v>Short-term residential/nursing care for someone likely to require a longer-term care home placement (pathway 3)</v>
      </c>
      <c r="E1407" t="s">
        <v>233</v>
      </c>
      <c r="F1407" t="s">
        <v>448</v>
      </c>
      <c r="G1407" t="s">
        <v>686</v>
      </c>
      <c r="H1407">
        <v>24</v>
      </c>
      <c r="I1407">
        <v>32</v>
      </c>
      <c r="J1407">
        <v>32</v>
      </c>
      <c r="K1407">
        <v>35</v>
      </c>
      <c r="L1407">
        <v>33</v>
      </c>
      <c r="M1407">
        <v>30</v>
      </c>
      <c r="N1407">
        <v>26</v>
      </c>
      <c r="O1407">
        <v>30</v>
      </c>
      <c r="P1407">
        <v>37</v>
      </c>
      <c r="Q1407">
        <v>30</v>
      </c>
      <c r="R1407">
        <v>27</v>
      </c>
      <c r="S1407">
        <v>24</v>
      </c>
      <c r="T1407">
        <f t="shared" si="65"/>
        <v>360</v>
      </c>
      <c r="U1407">
        <v>1</v>
      </c>
    </row>
    <row r="1408" spans="1:21" x14ac:dyDescent="0.3">
      <c r="A1408" t="str">
        <f t="shared" si="63"/>
        <v>North NorthamptonshireSocial support (including VCS) (pathway 0)1</v>
      </c>
      <c r="B1408">
        <f>IF(C1408="","",COUNTIF($C$2:C1408,C1408))</f>
        <v>1</v>
      </c>
      <c r="C1408" t="str">
        <f t="shared" si="64"/>
        <v>North NorthamptonshireSocial support (including VCS) (pathway 0)</v>
      </c>
      <c r="D1408" t="str">
        <f>VLOOKUP(G1408,PathwayLookup!A:B,2,0)</f>
        <v>Social support (including VCS) (pathway 0)</v>
      </c>
      <c r="E1408" t="s">
        <v>235</v>
      </c>
      <c r="F1408" t="s">
        <v>525</v>
      </c>
      <c r="G1408" t="s">
        <v>682</v>
      </c>
      <c r="H1408">
        <v>2160</v>
      </c>
      <c r="I1408">
        <v>2255</v>
      </c>
      <c r="J1408">
        <v>2278</v>
      </c>
      <c r="K1408">
        <v>2298</v>
      </c>
      <c r="L1408">
        <v>2323</v>
      </c>
      <c r="M1408">
        <v>2260</v>
      </c>
      <c r="N1408">
        <v>2316</v>
      </c>
      <c r="O1408">
        <v>2275</v>
      </c>
      <c r="P1408">
        <v>2239</v>
      </c>
      <c r="Q1408">
        <v>2244</v>
      </c>
      <c r="R1408">
        <v>2155</v>
      </c>
      <c r="S1408">
        <v>2265</v>
      </c>
      <c r="T1408">
        <f t="shared" si="65"/>
        <v>27068</v>
      </c>
      <c r="U1408">
        <v>1</v>
      </c>
    </row>
    <row r="1409" spans="1:21" x14ac:dyDescent="0.3">
      <c r="A1409" t="str">
        <f t="shared" si="63"/>
        <v>North NorthamptonshireReablement &amp; Rehabilitation at home  (pathway 1)1</v>
      </c>
      <c r="B1409">
        <f>IF(C1409="","",COUNTIF($C$2:C1409,C1409))</f>
        <v>1</v>
      </c>
      <c r="C1409" t="str">
        <f t="shared" si="64"/>
        <v>North NorthamptonshireReablement at home  (pathway 1)</v>
      </c>
      <c r="D1409" t="str">
        <f>VLOOKUP(G1409,PathwayLookup!A:B,2,0)</f>
        <v>Reablement &amp; Rehabilitation at home  (pathway 1)</v>
      </c>
      <c r="E1409" t="s">
        <v>235</v>
      </c>
      <c r="F1409" t="s">
        <v>525</v>
      </c>
      <c r="G1409" t="s">
        <v>718</v>
      </c>
      <c r="H1409">
        <v>130</v>
      </c>
      <c r="I1409">
        <v>139</v>
      </c>
      <c r="J1409">
        <v>135</v>
      </c>
      <c r="K1409">
        <v>135</v>
      </c>
      <c r="L1409">
        <v>140</v>
      </c>
      <c r="M1409">
        <v>133</v>
      </c>
      <c r="N1409">
        <v>136</v>
      </c>
      <c r="O1409">
        <v>135</v>
      </c>
      <c r="P1409">
        <v>136</v>
      </c>
      <c r="Q1409">
        <v>135</v>
      </c>
      <c r="R1409">
        <v>128</v>
      </c>
      <c r="S1409">
        <v>135</v>
      </c>
      <c r="T1409">
        <f t="shared" si="65"/>
        <v>1617</v>
      </c>
      <c r="U1409">
        <v>1</v>
      </c>
    </row>
    <row r="1410" spans="1:21" x14ac:dyDescent="0.3">
      <c r="A1410" t="str">
        <f t="shared" ref="A1410:A1473" si="66">IF(B1410="","",E1410&amp;D1410&amp;B1410)</f>
        <v>North NorthamptonshireReablement &amp; Rehabilitation at home  (pathway 1)1</v>
      </c>
      <c r="B1410">
        <f>IF(C1410="","",COUNTIF($C$2:C1410,C1410))</f>
        <v>1</v>
      </c>
      <c r="C1410" t="str">
        <f t="shared" ref="C1410:C1473" si="67">IF(T1410=0,"",E1410&amp;G1410)</f>
        <v>North NorthamptonshireRehabilitation at home (pathway 1)</v>
      </c>
      <c r="D1410" t="str">
        <f>VLOOKUP(G1410,PathwayLookup!A:B,2,0)</f>
        <v>Reablement &amp; Rehabilitation at home  (pathway 1)</v>
      </c>
      <c r="E1410" t="s">
        <v>235</v>
      </c>
      <c r="F1410" t="s">
        <v>525</v>
      </c>
      <c r="G1410" t="s">
        <v>719</v>
      </c>
      <c r="H1410">
        <v>9</v>
      </c>
      <c r="I1410">
        <v>9</v>
      </c>
      <c r="J1410">
        <v>9</v>
      </c>
      <c r="K1410">
        <v>9</v>
      </c>
      <c r="L1410">
        <v>9</v>
      </c>
      <c r="M1410">
        <v>9</v>
      </c>
      <c r="N1410">
        <v>9</v>
      </c>
      <c r="O1410">
        <v>9</v>
      </c>
      <c r="P1410">
        <v>9</v>
      </c>
      <c r="Q1410">
        <v>9</v>
      </c>
      <c r="R1410">
        <v>9</v>
      </c>
      <c r="S1410">
        <v>9</v>
      </c>
      <c r="T1410">
        <f t="shared" ref="T1410:T1473" si="68">SUM(H1410:S1410)</f>
        <v>108</v>
      </c>
      <c r="U1410">
        <v>1</v>
      </c>
    </row>
    <row r="1411" spans="1:21" x14ac:dyDescent="0.3">
      <c r="A1411" t="str">
        <f t="shared" si="66"/>
        <v/>
      </c>
      <c r="B1411" t="str">
        <f>IF(C1411="","",COUNTIF($C$2:C1411,C1411))</f>
        <v/>
      </c>
      <c r="C1411" t="str">
        <f t="shared" si="67"/>
        <v/>
      </c>
      <c r="D1411" t="str">
        <f>VLOOKUP(G1411,PathwayLookup!A:B,2,0)</f>
        <v>Short term domiciliary care (pathway 1)</v>
      </c>
      <c r="E1411" t="s">
        <v>235</v>
      </c>
      <c r="F1411" t="s">
        <v>525</v>
      </c>
      <c r="G1411" t="s">
        <v>684</v>
      </c>
      <c r="H1411">
        <v>0</v>
      </c>
      <c r="I1411">
        <v>0</v>
      </c>
      <c r="J1411">
        <v>0</v>
      </c>
      <c r="K1411">
        <v>0</v>
      </c>
      <c r="L1411">
        <v>0</v>
      </c>
      <c r="M1411">
        <v>0</v>
      </c>
      <c r="N1411">
        <v>0</v>
      </c>
      <c r="O1411">
        <v>0</v>
      </c>
      <c r="P1411">
        <v>0</v>
      </c>
      <c r="Q1411">
        <v>0</v>
      </c>
      <c r="R1411">
        <v>0</v>
      </c>
      <c r="S1411">
        <v>0</v>
      </c>
      <c r="T1411">
        <f t="shared" si="68"/>
        <v>0</v>
      </c>
      <c r="U1411">
        <v>1</v>
      </c>
    </row>
    <row r="1412" spans="1:21" x14ac:dyDescent="0.3">
      <c r="A1412" t="str">
        <f t="shared" si="66"/>
        <v>North NorthamptonshireReablement &amp; Rehabilitation in a bedded setting (pathway 2)1</v>
      </c>
      <c r="B1412">
        <f>IF(C1412="","",COUNTIF($C$2:C1412,C1412))</f>
        <v>1</v>
      </c>
      <c r="C1412" t="str">
        <f t="shared" si="67"/>
        <v>North NorthamptonshireReablement in a bedded setting (pathway 2)</v>
      </c>
      <c r="D1412" t="str">
        <f>VLOOKUP(G1412,PathwayLookup!A:B,2,0)</f>
        <v>Reablement &amp; Rehabilitation in a bedded setting (pathway 2)</v>
      </c>
      <c r="E1412" t="s">
        <v>235</v>
      </c>
      <c r="F1412" t="s">
        <v>525</v>
      </c>
      <c r="G1412" t="s">
        <v>722</v>
      </c>
      <c r="H1412">
        <v>38</v>
      </c>
      <c r="I1412">
        <v>15</v>
      </c>
      <c r="J1412">
        <v>15</v>
      </c>
      <c r="K1412">
        <v>15</v>
      </c>
      <c r="L1412">
        <v>16</v>
      </c>
      <c r="M1412">
        <v>15</v>
      </c>
      <c r="N1412">
        <v>17</v>
      </c>
      <c r="O1412">
        <v>17</v>
      </c>
      <c r="P1412">
        <v>20</v>
      </c>
      <c r="Q1412">
        <v>20</v>
      </c>
      <c r="R1412">
        <v>21</v>
      </c>
      <c r="S1412">
        <v>20</v>
      </c>
      <c r="T1412">
        <f t="shared" si="68"/>
        <v>229</v>
      </c>
      <c r="U1412">
        <v>1</v>
      </c>
    </row>
    <row r="1413" spans="1:21" x14ac:dyDescent="0.3">
      <c r="A1413" t="str">
        <f t="shared" si="66"/>
        <v>North NorthamptonshireReablement &amp; Rehabilitation in a bedded setting (pathway 2)1</v>
      </c>
      <c r="B1413">
        <f>IF(C1413="","",COUNTIF($C$2:C1413,C1413))</f>
        <v>1</v>
      </c>
      <c r="C1413" t="str">
        <f t="shared" si="67"/>
        <v>North NorthamptonshireRehabilitation in a bedded setting (pathway 2)</v>
      </c>
      <c r="D1413" t="str">
        <f>VLOOKUP(G1413,PathwayLookup!A:B,2,0)</f>
        <v>Reablement &amp; Rehabilitation in a bedded setting (pathway 2)</v>
      </c>
      <c r="E1413" t="s">
        <v>235</v>
      </c>
      <c r="F1413" t="s">
        <v>525</v>
      </c>
      <c r="G1413" t="s">
        <v>724</v>
      </c>
      <c r="H1413">
        <v>8</v>
      </c>
      <c r="I1413">
        <v>34</v>
      </c>
      <c r="J1413">
        <v>32</v>
      </c>
      <c r="K1413">
        <v>33</v>
      </c>
      <c r="L1413">
        <v>33</v>
      </c>
      <c r="M1413">
        <v>32</v>
      </c>
      <c r="N1413">
        <v>32</v>
      </c>
      <c r="O1413">
        <v>30</v>
      </c>
      <c r="P1413">
        <v>27</v>
      </c>
      <c r="Q1413">
        <v>29</v>
      </c>
      <c r="R1413">
        <v>24</v>
      </c>
      <c r="S1413">
        <v>28</v>
      </c>
      <c r="T1413">
        <f t="shared" si="68"/>
        <v>342</v>
      </c>
      <c r="U1413">
        <v>1</v>
      </c>
    </row>
    <row r="1414" spans="1:21" x14ac:dyDescent="0.3">
      <c r="A1414" t="str">
        <f t="shared" si="66"/>
        <v>North NorthamptonshireShort-term residential/nursing care for someone likely to require a longer-term care home placement (pathway 3)1</v>
      </c>
      <c r="B1414">
        <f>IF(C1414="","",COUNTIF($C$2:C1414,C1414))</f>
        <v>1</v>
      </c>
      <c r="C1414" t="str">
        <f t="shared" si="67"/>
        <v>North NorthamptonshireShort-term residential/nursing care for someone likely to require a longer-term care home placement (pathway 3)</v>
      </c>
      <c r="D1414" t="str">
        <f>VLOOKUP(G1414,PathwayLookup!A:B,2,0)</f>
        <v>Short-term residential/nursing care for someone likely to require a longer-term care home placement (pathway 3)</v>
      </c>
      <c r="E1414" t="s">
        <v>235</v>
      </c>
      <c r="F1414" t="s">
        <v>525</v>
      </c>
      <c r="G1414" t="s">
        <v>686</v>
      </c>
      <c r="H1414">
        <v>40</v>
      </c>
      <c r="I1414">
        <v>43</v>
      </c>
      <c r="J1414">
        <v>47</v>
      </c>
      <c r="K1414">
        <v>46</v>
      </c>
      <c r="L1414">
        <v>47</v>
      </c>
      <c r="M1414">
        <v>45</v>
      </c>
      <c r="N1414">
        <v>48</v>
      </c>
      <c r="O1414">
        <v>47</v>
      </c>
      <c r="P1414">
        <v>41</v>
      </c>
      <c r="Q1414">
        <v>44</v>
      </c>
      <c r="R1414">
        <v>43</v>
      </c>
      <c r="S1414">
        <v>44</v>
      </c>
      <c r="T1414">
        <f t="shared" si="68"/>
        <v>535</v>
      </c>
      <c r="U1414">
        <v>1</v>
      </c>
    </row>
    <row r="1415" spans="1:21" x14ac:dyDescent="0.3">
      <c r="A1415" t="str">
        <f t="shared" si="66"/>
        <v>North SomersetSocial support (including VCS) (pathway 0)1</v>
      </c>
      <c r="B1415">
        <f>IF(C1415="","",COUNTIF($C$2:C1415,C1415))</f>
        <v>1</v>
      </c>
      <c r="C1415" t="str">
        <f t="shared" si="67"/>
        <v>North SomersetSocial support (including VCS) (pathway 0)</v>
      </c>
      <c r="D1415" t="str">
        <f>VLOOKUP(G1415,PathwayLookup!A:B,2,0)</f>
        <v>Social support (including VCS) (pathway 0)</v>
      </c>
      <c r="E1415" t="s">
        <v>237</v>
      </c>
      <c r="F1415" t="s">
        <v>554</v>
      </c>
      <c r="G1415" t="s">
        <v>682</v>
      </c>
      <c r="H1415">
        <v>53</v>
      </c>
      <c r="I1415">
        <v>53</v>
      </c>
      <c r="J1415">
        <v>53</v>
      </c>
      <c r="K1415">
        <v>54</v>
      </c>
      <c r="L1415">
        <v>54</v>
      </c>
      <c r="M1415">
        <v>54</v>
      </c>
      <c r="N1415">
        <v>54</v>
      </c>
      <c r="O1415">
        <v>54</v>
      </c>
      <c r="P1415">
        <v>54</v>
      </c>
      <c r="Q1415">
        <v>53</v>
      </c>
      <c r="R1415">
        <v>53</v>
      </c>
      <c r="S1415">
        <v>53</v>
      </c>
      <c r="T1415">
        <f t="shared" si="68"/>
        <v>642</v>
      </c>
      <c r="U1415">
        <v>1</v>
      </c>
    </row>
    <row r="1416" spans="1:21" x14ac:dyDescent="0.3">
      <c r="A1416" t="str">
        <f t="shared" si="66"/>
        <v>North SomersetSocial support (including VCS) (pathway 0)2</v>
      </c>
      <c r="B1416">
        <f>IF(C1416="","",COUNTIF($C$2:C1416,C1416))</f>
        <v>2</v>
      </c>
      <c r="C1416" t="str">
        <f t="shared" si="67"/>
        <v>North SomersetSocial support (including VCS) (pathway 0)</v>
      </c>
      <c r="D1416" t="str">
        <f>VLOOKUP(G1416,PathwayLookup!A:B,2,0)</f>
        <v>Social support (including VCS) (pathway 0)</v>
      </c>
      <c r="E1416" t="s">
        <v>237</v>
      </c>
      <c r="F1416" t="s">
        <v>629</v>
      </c>
      <c r="G1416" t="s">
        <v>682</v>
      </c>
      <c r="H1416">
        <v>125</v>
      </c>
      <c r="I1416">
        <v>125</v>
      </c>
      <c r="J1416">
        <v>125</v>
      </c>
      <c r="K1416">
        <v>127</v>
      </c>
      <c r="L1416">
        <v>127</v>
      </c>
      <c r="M1416">
        <v>127</v>
      </c>
      <c r="N1416">
        <v>127</v>
      </c>
      <c r="O1416">
        <v>127</v>
      </c>
      <c r="P1416">
        <v>127</v>
      </c>
      <c r="Q1416">
        <v>124</v>
      </c>
      <c r="R1416">
        <v>124</v>
      </c>
      <c r="S1416">
        <v>124</v>
      </c>
      <c r="T1416">
        <f t="shared" si="68"/>
        <v>1509</v>
      </c>
      <c r="U1416">
        <v>1</v>
      </c>
    </row>
    <row r="1417" spans="1:21" x14ac:dyDescent="0.3">
      <c r="A1417" t="str">
        <f t="shared" si="66"/>
        <v>North SomersetReablement &amp; Rehabilitation at home  (pathway 1)1</v>
      </c>
      <c r="B1417">
        <f>IF(C1417="","",COUNTIF($C$2:C1417,C1417))</f>
        <v>1</v>
      </c>
      <c r="C1417" t="str">
        <f t="shared" si="67"/>
        <v>North SomersetReablement at home  (pathway 1)</v>
      </c>
      <c r="D1417" t="str">
        <f>VLOOKUP(G1417,PathwayLookup!A:B,2,0)</f>
        <v>Reablement &amp; Rehabilitation at home  (pathway 1)</v>
      </c>
      <c r="E1417" t="s">
        <v>237</v>
      </c>
      <c r="F1417" t="s">
        <v>554</v>
      </c>
      <c r="G1417" t="s">
        <v>718</v>
      </c>
      <c r="H1417">
        <v>10</v>
      </c>
      <c r="I1417">
        <v>10</v>
      </c>
      <c r="J1417">
        <v>11</v>
      </c>
      <c r="K1417">
        <v>17</v>
      </c>
      <c r="L1417">
        <v>18</v>
      </c>
      <c r="M1417">
        <v>18</v>
      </c>
      <c r="N1417">
        <v>19</v>
      </c>
      <c r="O1417">
        <v>19</v>
      </c>
      <c r="P1417">
        <v>21</v>
      </c>
      <c r="Q1417">
        <v>21</v>
      </c>
      <c r="R1417">
        <v>22</v>
      </c>
      <c r="S1417">
        <v>22</v>
      </c>
      <c r="T1417">
        <f t="shared" si="68"/>
        <v>208</v>
      </c>
      <c r="U1417">
        <v>1</v>
      </c>
    </row>
    <row r="1418" spans="1:21" x14ac:dyDescent="0.3">
      <c r="A1418" t="str">
        <f t="shared" si="66"/>
        <v>North SomersetReablement &amp; Rehabilitation at home  (pathway 1)2</v>
      </c>
      <c r="B1418">
        <f>IF(C1418="","",COUNTIF($C$2:C1418,C1418))</f>
        <v>2</v>
      </c>
      <c r="C1418" t="str">
        <f t="shared" si="67"/>
        <v>North SomersetReablement at home  (pathway 1)</v>
      </c>
      <c r="D1418" t="str">
        <f>VLOOKUP(G1418,PathwayLookup!A:B,2,0)</f>
        <v>Reablement &amp; Rehabilitation at home  (pathway 1)</v>
      </c>
      <c r="E1418" t="s">
        <v>237</v>
      </c>
      <c r="F1418" t="s">
        <v>629</v>
      </c>
      <c r="G1418" t="s">
        <v>718</v>
      </c>
      <c r="H1418">
        <v>22</v>
      </c>
      <c r="I1418">
        <v>22</v>
      </c>
      <c r="J1418">
        <v>25</v>
      </c>
      <c r="K1418">
        <v>37</v>
      </c>
      <c r="L1418">
        <v>40</v>
      </c>
      <c r="M1418">
        <v>40</v>
      </c>
      <c r="N1418">
        <v>43</v>
      </c>
      <c r="O1418">
        <v>43</v>
      </c>
      <c r="P1418">
        <v>46</v>
      </c>
      <c r="Q1418">
        <v>46</v>
      </c>
      <c r="R1418">
        <v>49</v>
      </c>
      <c r="S1418">
        <v>49</v>
      </c>
      <c r="T1418">
        <f t="shared" si="68"/>
        <v>462</v>
      </c>
      <c r="U1418">
        <v>1</v>
      </c>
    </row>
    <row r="1419" spans="1:21" x14ac:dyDescent="0.3">
      <c r="A1419" t="str">
        <f t="shared" si="66"/>
        <v>North SomersetReablement &amp; Rehabilitation at home  (pathway 1)1</v>
      </c>
      <c r="B1419">
        <f>IF(C1419="","",COUNTIF($C$2:C1419,C1419))</f>
        <v>1</v>
      </c>
      <c r="C1419" t="str">
        <f t="shared" si="67"/>
        <v>North SomersetRehabilitation at home (pathway 1)</v>
      </c>
      <c r="D1419" t="str">
        <f>VLOOKUP(G1419,PathwayLookup!A:B,2,0)</f>
        <v>Reablement &amp; Rehabilitation at home  (pathway 1)</v>
      </c>
      <c r="E1419" t="s">
        <v>237</v>
      </c>
      <c r="F1419" t="s">
        <v>554</v>
      </c>
      <c r="G1419" t="s">
        <v>719</v>
      </c>
      <c r="H1419">
        <v>40</v>
      </c>
      <c r="I1419">
        <v>42</v>
      </c>
      <c r="J1419">
        <v>40</v>
      </c>
      <c r="K1419">
        <v>40</v>
      </c>
      <c r="L1419">
        <v>40</v>
      </c>
      <c r="M1419">
        <v>39</v>
      </c>
      <c r="N1419">
        <v>39</v>
      </c>
      <c r="O1419">
        <v>38</v>
      </c>
      <c r="P1419">
        <v>39</v>
      </c>
      <c r="Q1419">
        <v>39</v>
      </c>
      <c r="R1419">
        <v>37</v>
      </c>
      <c r="S1419">
        <v>39</v>
      </c>
      <c r="T1419">
        <f t="shared" si="68"/>
        <v>472</v>
      </c>
      <c r="U1419">
        <v>1</v>
      </c>
    </row>
    <row r="1420" spans="1:21" x14ac:dyDescent="0.3">
      <c r="A1420" t="str">
        <f t="shared" si="66"/>
        <v>North SomersetReablement &amp; Rehabilitation at home  (pathway 1)2</v>
      </c>
      <c r="B1420">
        <f>IF(C1420="","",COUNTIF($C$2:C1420,C1420))</f>
        <v>2</v>
      </c>
      <c r="C1420" t="str">
        <f t="shared" si="67"/>
        <v>North SomersetRehabilitation at home (pathway 1)</v>
      </c>
      <c r="D1420" t="str">
        <f>VLOOKUP(G1420,PathwayLookup!A:B,2,0)</f>
        <v>Reablement &amp; Rehabilitation at home  (pathway 1)</v>
      </c>
      <c r="E1420" t="s">
        <v>237</v>
      </c>
      <c r="F1420" t="s">
        <v>629</v>
      </c>
      <c r="G1420" t="s">
        <v>719</v>
      </c>
      <c r="H1420">
        <v>89</v>
      </c>
      <c r="I1420">
        <v>92</v>
      </c>
      <c r="J1420">
        <v>89</v>
      </c>
      <c r="K1420">
        <v>90</v>
      </c>
      <c r="L1420">
        <v>90</v>
      </c>
      <c r="M1420">
        <v>87</v>
      </c>
      <c r="N1420">
        <v>87</v>
      </c>
      <c r="O1420">
        <v>85</v>
      </c>
      <c r="P1420">
        <v>87</v>
      </c>
      <c r="Q1420">
        <v>87</v>
      </c>
      <c r="R1420">
        <v>82</v>
      </c>
      <c r="S1420">
        <v>87</v>
      </c>
      <c r="T1420">
        <f t="shared" si="68"/>
        <v>1052</v>
      </c>
      <c r="U1420">
        <v>1</v>
      </c>
    </row>
    <row r="1421" spans="1:21" x14ac:dyDescent="0.3">
      <c r="A1421" t="str">
        <f t="shared" si="66"/>
        <v>North SomersetReablement &amp; Rehabilitation in a bedded setting (pathway 2)1</v>
      </c>
      <c r="B1421">
        <f>IF(C1421="","",COUNTIF($C$2:C1421,C1421))</f>
        <v>1</v>
      </c>
      <c r="C1421" t="str">
        <f t="shared" si="67"/>
        <v>North SomersetReablement in a bedded setting (pathway 2)</v>
      </c>
      <c r="D1421" t="str">
        <f>VLOOKUP(G1421,PathwayLookup!A:B,2,0)</f>
        <v>Reablement &amp; Rehabilitation in a bedded setting (pathway 2)</v>
      </c>
      <c r="E1421" t="s">
        <v>237</v>
      </c>
      <c r="F1421" t="s">
        <v>554</v>
      </c>
      <c r="G1421" t="s">
        <v>722</v>
      </c>
      <c r="H1421">
        <v>1</v>
      </c>
      <c r="I1421">
        <v>1</v>
      </c>
      <c r="J1421">
        <v>2</v>
      </c>
      <c r="K1421">
        <v>2</v>
      </c>
      <c r="L1421">
        <v>2</v>
      </c>
      <c r="M1421">
        <v>2</v>
      </c>
      <c r="N1421">
        <v>2</v>
      </c>
      <c r="O1421">
        <v>2</v>
      </c>
      <c r="P1421">
        <v>2</v>
      </c>
      <c r="Q1421">
        <v>2</v>
      </c>
      <c r="R1421">
        <v>2</v>
      </c>
      <c r="S1421">
        <v>2</v>
      </c>
      <c r="T1421">
        <f t="shared" si="68"/>
        <v>22</v>
      </c>
      <c r="U1421">
        <v>1</v>
      </c>
    </row>
    <row r="1422" spans="1:21" x14ac:dyDescent="0.3">
      <c r="A1422" t="str">
        <f t="shared" si="66"/>
        <v>North SomersetReablement &amp; Rehabilitation in a bedded setting (pathway 2)2</v>
      </c>
      <c r="B1422">
        <f>IF(C1422="","",COUNTIF($C$2:C1422,C1422))</f>
        <v>2</v>
      </c>
      <c r="C1422" t="str">
        <f t="shared" si="67"/>
        <v>North SomersetReablement in a bedded setting (pathway 2)</v>
      </c>
      <c r="D1422" t="str">
        <f>VLOOKUP(G1422,PathwayLookup!A:B,2,0)</f>
        <v>Reablement &amp; Rehabilitation in a bedded setting (pathway 2)</v>
      </c>
      <c r="E1422" t="s">
        <v>237</v>
      </c>
      <c r="F1422" t="s">
        <v>629</v>
      </c>
      <c r="G1422" t="s">
        <v>722</v>
      </c>
      <c r="H1422">
        <v>4</v>
      </c>
      <c r="I1422">
        <v>4</v>
      </c>
      <c r="J1422">
        <v>5</v>
      </c>
      <c r="K1422">
        <v>5</v>
      </c>
      <c r="L1422">
        <v>5</v>
      </c>
      <c r="M1422">
        <v>5</v>
      </c>
      <c r="N1422">
        <v>6</v>
      </c>
      <c r="O1422">
        <v>6</v>
      </c>
      <c r="P1422">
        <v>6</v>
      </c>
      <c r="Q1422">
        <v>6</v>
      </c>
      <c r="R1422">
        <v>7</v>
      </c>
      <c r="S1422">
        <v>7</v>
      </c>
      <c r="T1422">
        <f t="shared" si="68"/>
        <v>66</v>
      </c>
      <c r="U1422">
        <v>1</v>
      </c>
    </row>
    <row r="1423" spans="1:21" x14ac:dyDescent="0.3">
      <c r="A1423" t="str">
        <f t="shared" si="66"/>
        <v>North SomersetReablement &amp; Rehabilitation in a bedded setting (pathway 2)1</v>
      </c>
      <c r="B1423">
        <f>IF(C1423="","",COUNTIF($C$2:C1423,C1423))</f>
        <v>1</v>
      </c>
      <c r="C1423" t="str">
        <f t="shared" si="67"/>
        <v>North SomersetRehabilitation in a bedded setting (pathway 2)</v>
      </c>
      <c r="D1423" t="str">
        <f>VLOOKUP(G1423,PathwayLookup!A:B,2,0)</f>
        <v>Reablement &amp; Rehabilitation in a bedded setting (pathway 2)</v>
      </c>
      <c r="E1423" t="s">
        <v>237</v>
      </c>
      <c r="F1423" t="s">
        <v>554</v>
      </c>
      <c r="G1423" t="s">
        <v>724</v>
      </c>
      <c r="H1423">
        <v>9</v>
      </c>
      <c r="I1423">
        <v>9</v>
      </c>
      <c r="J1423">
        <v>9</v>
      </c>
      <c r="K1423">
        <v>9</v>
      </c>
      <c r="L1423">
        <v>9</v>
      </c>
      <c r="M1423">
        <v>9</v>
      </c>
      <c r="N1423">
        <v>9</v>
      </c>
      <c r="O1423">
        <v>9</v>
      </c>
      <c r="P1423">
        <v>9</v>
      </c>
      <c r="Q1423">
        <v>9</v>
      </c>
      <c r="R1423">
        <v>8</v>
      </c>
      <c r="S1423">
        <v>9</v>
      </c>
      <c r="T1423">
        <f t="shared" si="68"/>
        <v>107</v>
      </c>
      <c r="U1423">
        <v>1</v>
      </c>
    </row>
    <row r="1424" spans="1:21" x14ac:dyDescent="0.3">
      <c r="A1424" t="str">
        <f t="shared" si="66"/>
        <v>North SomersetReablement &amp; Rehabilitation in a bedded setting (pathway 2)2</v>
      </c>
      <c r="B1424">
        <f>IF(C1424="","",COUNTIF($C$2:C1424,C1424))</f>
        <v>2</v>
      </c>
      <c r="C1424" t="str">
        <f t="shared" si="67"/>
        <v>North SomersetRehabilitation in a bedded setting (pathway 2)</v>
      </c>
      <c r="D1424" t="str">
        <f>VLOOKUP(G1424,PathwayLookup!A:B,2,0)</f>
        <v>Reablement &amp; Rehabilitation in a bedded setting (pathway 2)</v>
      </c>
      <c r="E1424" t="s">
        <v>237</v>
      </c>
      <c r="F1424" t="s">
        <v>629</v>
      </c>
      <c r="G1424" t="s">
        <v>724</v>
      </c>
      <c r="H1424">
        <v>25</v>
      </c>
      <c r="I1424">
        <v>26</v>
      </c>
      <c r="J1424">
        <v>25</v>
      </c>
      <c r="K1424">
        <v>26</v>
      </c>
      <c r="L1424">
        <v>26</v>
      </c>
      <c r="M1424">
        <v>25</v>
      </c>
      <c r="N1424">
        <v>26</v>
      </c>
      <c r="O1424">
        <v>25</v>
      </c>
      <c r="P1424">
        <v>26</v>
      </c>
      <c r="Q1424">
        <v>26</v>
      </c>
      <c r="R1424">
        <v>24</v>
      </c>
      <c r="S1424">
        <v>26</v>
      </c>
      <c r="T1424">
        <f t="shared" si="68"/>
        <v>306</v>
      </c>
      <c r="U1424">
        <v>1</v>
      </c>
    </row>
    <row r="1425" spans="1:21" x14ac:dyDescent="0.3">
      <c r="A1425" t="str">
        <f t="shared" si="66"/>
        <v>North SomersetShort-term residential/nursing care for someone likely to require a longer-term care home placement (pathway 3)1</v>
      </c>
      <c r="B1425">
        <f>IF(C1425="","",COUNTIF($C$2:C1425,C1425))</f>
        <v>1</v>
      </c>
      <c r="C1425" t="str">
        <f t="shared" si="67"/>
        <v>North SomersetShort-term residential/nursing care for someone likely to require a longer-term care home placement (pathway 3)</v>
      </c>
      <c r="D1425" t="str">
        <f>VLOOKUP(G1425,PathwayLookup!A:B,2,0)</f>
        <v>Short-term residential/nursing care for someone likely to require a longer-term care home placement (pathway 3)</v>
      </c>
      <c r="E1425" t="s">
        <v>237</v>
      </c>
      <c r="F1425" t="s">
        <v>554</v>
      </c>
      <c r="G1425" t="s">
        <v>686</v>
      </c>
      <c r="H1425">
        <v>6</v>
      </c>
      <c r="I1425">
        <v>6</v>
      </c>
      <c r="J1425">
        <v>6</v>
      </c>
      <c r="K1425">
        <v>6</v>
      </c>
      <c r="L1425">
        <v>6</v>
      </c>
      <c r="M1425">
        <v>6</v>
      </c>
      <c r="N1425">
        <v>6</v>
      </c>
      <c r="O1425">
        <v>5</v>
      </c>
      <c r="P1425">
        <v>6</v>
      </c>
      <c r="Q1425">
        <v>6</v>
      </c>
      <c r="R1425">
        <v>5</v>
      </c>
      <c r="S1425">
        <v>6</v>
      </c>
      <c r="T1425">
        <f t="shared" si="68"/>
        <v>70</v>
      </c>
      <c r="U1425">
        <v>1</v>
      </c>
    </row>
    <row r="1426" spans="1:21" x14ac:dyDescent="0.3">
      <c r="A1426" t="str">
        <f t="shared" si="66"/>
        <v>North SomersetShort-term residential/nursing care for someone likely to require a longer-term care home placement (pathway 3)2</v>
      </c>
      <c r="B1426">
        <f>IF(C1426="","",COUNTIF($C$2:C1426,C1426))</f>
        <v>2</v>
      </c>
      <c r="C1426" t="str">
        <f t="shared" si="67"/>
        <v>North SomersetShort-term residential/nursing care for someone likely to require a longer-term care home placement (pathway 3)</v>
      </c>
      <c r="D1426" t="str">
        <f>VLOOKUP(G1426,PathwayLookup!A:B,2,0)</f>
        <v>Short-term residential/nursing care for someone likely to require a longer-term care home placement (pathway 3)</v>
      </c>
      <c r="E1426" t="s">
        <v>237</v>
      </c>
      <c r="F1426" t="s">
        <v>629</v>
      </c>
      <c r="G1426" t="s">
        <v>686</v>
      </c>
      <c r="H1426">
        <v>31</v>
      </c>
      <c r="I1426">
        <v>32</v>
      </c>
      <c r="J1426">
        <v>31</v>
      </c>
      <c r="K1426">
        <v>30</v>
      </c>
      <c r="L1426">
        <v>30</v>
      </c>
      <c r="M1426">
        <v>29</v>
      </c>
      <c r="N1426">
        <v>28</v>
      </c>
      <c r="O1426">
        <v>27</v>
      </c>
      <c r="P1426">
        <v>28</v>
      </c>
      <c r="Q1426">
        <v>28</v>
      </c>
      <c r="R1426">
        <v>26</v>
      </c>
      <c r="S1426">
        <v>28</v>
      </c>
      <c r="T1426">
        <f t="shared" si="68"/>
        <v>348</v>
      </c>
      <c r="U1426">
        <v>1</v>
      </c>
    </row>
    <row r="1427" spans="1:21" x14ac:dyDescent="0.3">
      <c r="A1427" t="str">
        <f t="shared" si="66"/>
        <v>North TynesideSocial support (including VCS) (pathway 0)1</v>
      </c>
      <c r="B1427">
        <f>IF(C1427="","",COUNTIF($C$2:C1427,C1427))</f>
        <v>1</v>
      </c>
      <c r="C1427" t="str">
        <f t="shared" si="67"/>
        <v>North TynesideSocial support (including VCS) (pathway 0)</v>
      </c>
      <c r="D1427" t="str">
        <f>VLOOKUP(G1427,PathwayLookup!A:B,2,0)</f>
        <v>Social support (including VCS) (pathway 0)</v>
      </c>
      <c r="E1427" t="s">
        <v>239</v>
      </c>
      <c r="F1427" t="s">
        <v>565</v>
      </c>
      <c r="G1427" t="s">
        <v>682</v>
      </c>
      <c r="H1427">
        <v>64</v>
      </c>
      <c r="I1427">
        <v>68</v>
      </c>
      <c r="J1427">
        <v>67</v>
      </c>
      <c r="K1427">
        <v>66</v>
      </c>
      <c r="L1427">
        <v>66</v>
      </c>
      <c r="M1427">
        <v>67</v>
      </c>
      <c r="N1427">
        <v>69</v>
      </c>
      <c r="O1427">
        <v>71</v>
      </c>
      <c r="P1427">
        <v>67</v>
      </c>
      <c r="Q1427">
        <v>62</v>
      </c>
      <c r="R1427">
        <v>69</v>
      </c>
      <c r="S1427">
        <v>67</v>
      </c>
      <c r="T1427">
        <f t="shared" si="68"/>
        <v>803</v>
      </c>
      <c r="U1427">
        <v>1</v>
      </c>
    </row>
    <row r="1428" spans="1:21" x14ac:dyDescent="0.3">
      <c r="A1428" t="str">
        <f t="shared" si="66"/>
        <v>North TynesideSocial support (including VCS) (pathway 0)2</v>
      </c>
      <c r="B1428">
        <f>IF(C1428="","",COUNTIF($C$2:C1428,C1428))</f>
        <v>2</v>
      </c>
      <c r="C1428" t="str">
        <f t="shared" si="67"/>
        <v>North TynesideSocial support (including VCS) (pathway 0)</v>
      </c>
      <c r="D1428" t="str">
        <f>VLOOKUP(G1428,PathwayLookup!A:B,2,0)</f>
        <v>Social support (including VCS) (pathway 0)</v>
      </c>
      <c r="E1428" t="s">
        <v>239</v>
      </c>
      <c r="F1428" t="s">
        <v>614</v>
      </c>
      <c r="G1428" t="s">
        <v>682</v>
      </c>
      <c r="H1428">
        <v>23</v>
      </c>
      <c r="I1428">
        <v>24</v>
      </c>
      <c r="J1428">
        <v>24</v>
      </c>
      <c r="K1428">
        <v>24</v>
      </c>
      <c r="L1428">
        <v>24</v>
      </c>
      <c r="M1428">
        <v>24</v>
      </c>
      <c r="N1428">
        <v>25</v>
      </c>
      <c r="O1428">
        <v>25</v>
      </c>
      <c r="P1428">
        <v>24</v>
      </c>
      <c r="Q1428">
        <v>24</v>
      </c>
      <c r="R1428">
        <v>22</v>
      </c>
      <c r="S1428">
        <v>25</v>
      </c>
      <c r="T1428">
        <f t="shared" si="68"/>
        <v>288</v>
      </c>
      <c r="U1428">
        <v>1</v>
      </c>
    </row>
    <row r="1429" spans="1:21" x14ac:dyDescent="0.3">
      <c r="A1429" t="str">
        <f t="shared" si="66"/>
        <v>North TynesideSocial support (including VCS) (pathway 0)3</v>
      </c>
      <c r="B1429">
        <f>IF(C1429="","",COUNTIF($C$2:C1429,C1429))</f>
        <v>3</v>
      </c>
      <c r="C1429" t="str">
        <f t="shared" si="67"/>
        <v>North TynesideSocial support (including VCS) (pathway 0)</v>
      </c>
      <c r="D1429" t="str">
        <f>VLOOKUP(G1429,PathwayLookup!A:B,2,0)</f>
        <v>Social support (including VCS) (pathway 0)</v>
      </c>
      <c r="E1429" t="s">
        <v>239</v>
      </c>
      <c r="F1429" t="s">
        <v>651</v>
      </c>
      <c r="G1429" t="s">
        <v>682</v>
      </c>
      <c r="H1429">
        <v>1</v>
      </c>
      <c r="I1429">
        <v>1</v>
      </c>
      <c r="J1429">
        <v>1</v>
      </c>
      <c r="K1429">
        <v>1</v>
      </c>
      <c r="L1429">
        <v>1</v>
      </c>
      <c r="M1429">
        <v>1</v>
      </c>
      <c r="N1429">
        <v>1</v>
      </c>
      <c r="O1429">
        <v>1</v>
      </c>
      <c r="P1429">
        <v>1</v>
      </c>
      <c r="Q1429">
        <v>1</v>
      </c>
      <c r="R1429">
        <v>1</v>
      </c>
      <c r="S1429">
        <v>1</v>
      </c>
      <c r="T1429">
        <f t="shared" si="68"/>
        <v>12</v>
      </c>
      <c r="U1429">
        <v>1</v>
      </c>
    </row>
    <row r="1430" spans="1:21" x14ac:dyDescent="0.3">
      <c r="A1430" t="str">
        <f t="shared" si="66"/>
        <v>North TynesideReablement &amp; Rehabilitation at home  (pathway 1)1</v>
      </c>
      <c r="B1430">
        <f>IF(C1430="","",COUNTIF($C$2:C1430,C1430))</f>
        <v>1</v>
      </c>
      <c r="C1430" t="str">
        <f t="shared" si="67"/>
        <v>North TynesideReablement at home  (pathway 1)</v>
      </c>
      <c r="D1430" t="str">
        <f>VLOOKUP(G1430,PathwayLookup!A:B,2,0)</f>
        <v>Reablement &amp; Rehabilitation at home  (pathway 1)</v>
      </c>
      <c r="E1430" t="s">
        <v>239</v>
      </c>
      <c r="F1430" t="s">
        <v>565</v>
      </c>
      <c r="G1430" t="s">
        <v>718</v>
      </c>
      <c r="H1430">
        <v>99</v>
      </c>
      <c r="I1430">
        <v>105</v>
      </c>
      <c r="J1430">
        <v>104</v>
      </c>
      <c r="K1430">
        <v>103</v>
      </c>
      <c r="L1430">
        <v>102</v>
      </c>
      <c r="M1430">
        <v>104</v>
      </c>
      <c r="N1430">
        <v>107</v>
      </c>
      <c r="O1430">
        <v>112</v>
      </c>
      <c r="P1430">
        <v>105</v>
      </c>
      <c r="Q1430">
        <v>104</v>
      </c>
      <c r="R1430">
        <v>96</v>
      </c>
      <c r="S1430">
        <v>107</v>
      </c>
      <c r="T1430">
        <f t="shared" si="68"/>
        <v>1248</v>
      </c>
      <c r="U1430">
        <v>1</v>
      </c>
    </row>
    <row r="1431" spans="1:21" x14ac:dyDescent="0.3">
      <c r="A1431" t="str">
        <f t="shared" si="66"/>
        <v>North TynesideReablement &amp; Rehabilitation at home  (pathway 1)2</v>
      </c>
      <c r="B1431">
        <f>IF(C1431="","",COUNTIF($C$2:C1431,C1431))</f>
        <v>2</v>
      </c>
      <c r="C1431" t="str">
        <f t="shared" si="67"/>
        <v>North TynesideReablement at home  (pathway 1)</v>
      </c>
      <c r="D1431" t="str">
        <f>VLOOKUP(G1431,PathwayLookup!A:B,2,0)</f>
        <v>Reablement &amp; Rehabilitation at home  (pathway 1)</v>
      </c>
      <c r="E1431" t="s">
        <v>239</v>
      </c>
      <c r="F1431" t="s">
        <v>614</v>
      </c>
      <c r="G1431" t="s">
        <v>718</v>
      </c>
      <c r="H1431">
        <v>36</v>
      </c>
      <c r="I1431">
        <v>38</v>
      </c>
      <c r="J1431">
        <v>37</v>
      </c>
      <c r="K1431">
        <v>37</v>
      </c>
      <c r="L1431">
        <v>37</v>
      </c>
      <c r="M1431">
        <v>37</v>
      </c>
      <c r="N1431">
        <v>38</v>
      </c>
      <c r="O1431">
        <v>39</v>
      </c>
      <c r="P1431">
        <v>37</v>
      </c>
      <c r="Q1431">
        <v>37</v>
      </c>
      <c r="R1431">
        <v>34</v>
      </c>
      <c r="S1431">
        <v>38</v>
      </c>
      <c r="T1431">
        <f t="shared" si="68"/>
        <v>445</v>
      </c>
      <c r="U1431">
        <v>1</v>
      </c>
    </row>
    <row r="1432" spans="1:21" x14ac:dyDescent="0.3">
      <c r="A1432" t="str">
        <f t="shared" si="66"/>
        <v>North TynesideReablement &amp; Rehabilitation at home  (pathway 1)3</v>
      </c>
      <c r="B1432">
        <f>IF(C1432="","",COUNTIF($C$2:C1432,C1432))</f>
        <v>3</v>
      </c>
      <c r="C1432" t="str">
        <f t="shared" si="67"/>
        <v>North TynesideReablement at home  (pathway 1)</v>
      </c>
      <c r="D1432" t="str">
        <f>VLOOKUP(G1432,PathwayLookup!A:B,2,0)</f>
        <v>Reablement &amp; Rehabilitation at home  (pathway 1)</v>
      </c>
      <c r="E1432" t="s">
        <v>239</v>
      </c>
      <c r="F1432" t="s">
        <v>651</v>
      </c>
      <c r="G1432" t="s">
        <v>718</v>
      </c>
      <c r="H1432">
        <v>2</v>
      </c>
      <c r="I1432">
        <v>2</v>
      </c>
      <c r="J1432">
        <v>2</v>
      </c>
      <c r="K1432">
        <v>2</v>
      </c>
      <c r="L1432">
        <v>2</v>
      </c>
      <c r="M1432">
        <v>2</v>
      </c>
      <c r="N1432">
        <v>2</v>
      </c>
      <c r="O1432">
        <v>2</v>
      </c>
      <c r="P1432">
        <v>2</v>
      </c>
      <c r="Q1432">
        <v>2</v>
      </c>
      <c r="R1432">
        <v>2</v>
      </c>
      <c r="S1432">
        <v>2</v>
      </c>
      <c r="T1432">
        <f t="shared" si="68"/>
        <v>24</v>
      </c>
      <c r="U1432">
        <v>1</v>
      </c>
    </row>
    <row r="1433" spans="1:21" x14ac:dyDescent="0.3">
      <c r="A1433" t="str">
        <f t="shared" si="66"/>
        <v>North TynesideReablement &amp; Rehabilitation at home  (pathway 1)1</v>
      </c>
      <c r="B1433">
        <f>IF(C1433="","",COUNTIF($C$2:C1433,C1433))</f>
        <v>1</v>
      </c>
      <c r="C1433" t="str">
        <f t="shared" si="67"/>
        <v>North TynesideRehabilitation at home (pathway 1)</v>
      </c>
      <c r="D1433" t="str">
        <f>VLOOKUP(G1433,PathwayLookup!A:B,2,0)</f>
        <v>Reablement &amp; Rehabilitation at home  (pathway 1)</v>
      </c>
      <c r="E1433" t="s">
        <v>239</v>
      </c>
      <c r="F1433" t="s">
        <v>565</v>
      </c>
      <c r="G1433" t="s">
        <v>719</v>
      </c>
      <c r="H1433">
        <v>42</v>
      </c>
      <c r="I1433">
        <v>43</v>
      </c>
      <c r="J1433">
        <v>43</v>
      </c>
      <c r="K1433">
        <v>43</v>
      </c>
      <c r="L1433">
        <v>43</v>
      </c>
      <c r="M1433">
        <v>43</v>
      </c>
      <c r="N1433">
        <v>45</v>
      </c>
      <c r="O1433">
        <v>48</v>
      </c>
      <c r="P1433">
        <v>44</v>
      </c>
      <c r="Q1433">
        <v>43</v>
      </c>
      <c r="R1433">
        <v>40</v>
      </c>
      <c r="S1433">
        <v>45</v>
      </c>
      <c r="T1433">
        <f t="shared" si="68"/>
        <v>522</v>
      </c>
      <c r="U1433">
        <v>1</v>
      </c>
    </row>
    <row r="1434" spans="1:21" x14ac:dyDescent="0.3">
      <c r="A1434" t="str">
        <f t="shared" si="66"/>
        <v>North TynesideReablement &amp; Rehabilitation at home  (pathway 1)2</v>
      </c>
      <c r="B1434">
        <f>IF(C1434="","",COUNTIF($C$2:C1434,C1434))</f>
        <v>2</v>
      </c>
      <c r="C1434" t="str">
        <f t="shared" si="67"/>
        <v>North TynesideRehabilitation at home (pathway 1)</v>
      </c>
      <c r="D1434" t="str">
        <f>VLOOKUP(G1434,PathwayLookup!A:B,2,0)</f>
        <v>Reablement &amp; Rehabilitation at home  (pathway 1)</v>
      </c>
      <c r="E1434" t="s">
        <v>239</v>
      </c>
      <c r="F1434" t="s">
        <v>614</v>
      </c>
      <c r="G1434" t="s">
        <v>719</v>
      </c>
      <c r="H1434">
        <v>15</v>
      </c>
      <c r="I1434">
        <v>16</v>
      </c>
      <c r="J1434">
        <v>16</v>
      </c>
      <c r="K1434">
        <v>15</v>
      </c>
      <c r="L1434">
        <v>15</v>
      </c>
      <c r="M1434">
        <v>16</v>
      </c>
      <c r="N1434">
        <v>16</v>
      </c>
      <c r="O1434">
        <v>17</v>
      </c>
      <c r="P1434">
        <v>16</v>
      </c>
      <c r="Q1434">
        <v>17</v>
      </c>
      <c r="R1434">
        <v>14</v>
      </c>
      <c r="S1434">
        <v>16</v>
      </c>
      <c r="T1434">
        <f t="shared" si="68"/>
        <v>189</v>
      </c>
      <c r="U1434">
        <v>1</v>
      </c>
    </row>
    <row r="1435" spans="1:21" x14ac:dyDescent="0.3">
      <c r="A1435" t="str">
        <f t="shared" si="66"/>
        <v>North TynesideReablement &amp; Rehabilitation at home  (pathway 1)3</v>
      </c>
      <c r="B1435">
        <f>IF(C1435="","",COUNTIF($C$2:C1435,C1435))</f>
        <v>3</v>
      </c>
      <c r="C1435" t="str">
        <f t="shared" si="67"/>
        <v>North TynesideRehabilitation at home (pathway 1)</v>
      </c>
      <c r="D1435" t="str">
        <f>VLOOKUP(G1435,PathwayLookup!A:B,2,0)</f>
        <v>Reablement &amp; Rehabilitation at home  (pathway 1)</v>
      </c>
      <c r="E1435" t="s">
        <v>239</v>
      </c>
      <c r="F1435" t="s">
        <v>651</v>
      </c>
      <c r="G1435" t="s">
        <v>719</v>
      </c>
      <c r="H1435">
        <v>1</v>
      </c>
      <c r="I1435">
        <v>1</v>
      </c>
      <c r="J1435">
        <v>1</v>
      </c>
      <c r="K1435">
        <v>1</v>
      </c>
      <c r="L1435">
        <v>1</v>
      </c>
      <c r="M1435">
        <v>1</v>
      </c>
      <c r="N1435">
        <v>1</v>
      </c>
      <c r="O1435">
        <v>1</v>
      </c>
      <c r="P1435">
        <v>1</v>
      </c>
      <c r="Q1435">
        <v>1</v>
      </c>
      <c r="R1435">
        <v>1</v>
      </c>
      <c r="S1435">
        <v>1</v>
      </c>
      <c r="T1435">
        <f t="shared" si="68"/>
        <v>12</v>
      </c>
      <c r="U1435">
        <v>1</v>
      </c>
    </row>
    <row r="1436" spans="1:21" x14ac:dyDescent="0.3">
      <c r="A1436" t="str">
        <f t="shared" si="66"/>
        <v>North TynesideShort term domiciliary care (pathway 1)1</v>
      </c>
      <c r="B1436">
        <f>IF(C1436="","",COUNTIF($C$2:C1436,C1436))</f>
        <v>1</v>
      </c>
      <c r="C1436" t="str">
        <f t="shared" si="67"/>
        <v>North TynesideShort term domiciliary care (pathway 1)</v>
      </c>
      <c r="D1436" t="str">
        <f>VLOOKUP(G1436,PathwayLookup!A:B,2,0)</f>
        <v>Short term domiciliary care (pathway 1)</v>
      </c>
      <c r="E1436" t="s">
        <v>239</v>
      </c>
      <c r="F1436" t="s">
        <v>565</v>
      </c>
      <c r="G1436" t="s">
        <v>684</v>
      </c>
      <c r="H1436">
        <v>19</v>
      </c>
      <c r="I1436">
        <v>20</v>
      </c>
      <c r="J1436">
        <v>20</v>
      </c>
      <c r="K1436">
        <v>20</v>
      </c>
      <c r="L1436">
        <v>20</v>
      </c>
      <c r="M1436">
        <v>20</v>
      </c>
      <c r="N1436">
        <v>21</v>
      </c>
      <c r="O1436">
        <v>21</v>
      </c>
      <c r="P1436">
        <v>21</v>
      </c>
      <c r="Q1436">
        <v>21</v>
      </c>
      <c r="R1436">
        <v>19</v>
      </c>
      <c r="S1436">
        <v>21</v>
      </c>
      <c r="T1436">
        <f t="shared" si="68"/>
        <v>243</v>
      </c>
      <c r="U1436">
        <v>1</v>
      </c>
    </row>
    <row r="1437" spans="1:21" x14ac:dyDescent="0.3">
      <c r="A1437" t="str">
        <f t="shared" si="66"/>
        <v>North TynesideShort term domiciliary care (pathway 1)2</v>
      </c>
      <c r="B1437">
        <f>IF(C1437="","",COUNTIF($C$2:C1437,C1437))</f>
        <v>2</v>
      </c>
      <c r="C1437" t="str">
        <f t="shared" si="67"/>
        <v>North TynesideShort term domiciliary care (pathway 1)</v>
      </c>
      <c r="D1437" t="str">
        <f>VLOOKUP(G1437,PathwayLookup!A:B,2,0)</f>
        <v>Short term domiciliary care (pathway 1)</v>
      </c>
      <c r="E1437" t="s">
        <v>239</v>
      </c>
      <c r="F1437" t="s">
        <v>614</v>
      </c>
      <c r="G1437" t="s">
        <v>684</v>
      </c>
      <c r="H1437">
        <v>7</v>
      </c>
      <c r="I1437">
        <v>7</v>
      </c>
      <c r="J1437">
        <v>7</v>
      </c>
      <c r="K1437">
        <v>7</v>
      </c>
      <c r="L1437">
        <v>7</v>
      </c>
      <c r="M1437">
        <v>7</v>
      </c>
      <c r="N1437">
        <v>7</v>
      </c>
      <c r="O1437">
        <v>8</v>
      </c>
      <c r="P1437">
        <v>7</v>
      </c>
      <c r="Q1437">
        <v>7</v>
      </c>
      <c r="R1437">
        <v>7</v>
      </c>
      <c r="S1437">
        <v>7</v>
      </c>
      <c r="T1437">
        <f t="shared" si="68"/>
        <v>85</v>
      </c>
      <c r="U1437">
        <v>1</v>
      </c>
    </row>
    <row r="1438" spans="1:21" x14ac:dyDescent="0.3">
      <c r="A1438" t="str">
        <f t="shared" si="66"/>
        <v/>
      </c>
      <c r="B1438" t="str">
        <f>IF(C1438="","",COUNTIF($C$2:C1438,C1438))</f>
        <v/>
      </c>
      <c r="C1438" t="str">
        <f t="shared" si="67"/>
        <v/>
      </c>
      <c r="D1438" t="str">
        <f>VLOOKUP(G1438,PathwayLookup!A:B,2,0)</f>
        <v>Short term domiciliary care (pathway 1)</v>
      </c>
      <c r="E1438" t="s">
        <v>239</v>
      </c>
      <c r="F1438" t="s">
        <v>651</v>
      </c>
      <c r="G1438" t="s">
        <v>684</v>
      </c>
      <c r="H1438">
        <v>0</v>
      </c>
      <c r="I1438">
        <v>0</v>
      </c>
      <c r="J1438">
        <v>0</v>
      </c>
      <c r="K1438">
        <v>0</v>
      </c>
      <c r="L1438">
        <v>0</v>
      </c>
      <c r="M1438">
        <v>0</v>
      </c>
      <c r="N1438">
        <v>0</v>
      </c>
      <c r="O1438">
        <v>0</v>
      </c>
      <c r="P1438">
        <v>0</v>
      </c>
      <c r="Q1438">
        <v>0</v>
      </c>
      <c r="R1438">
        <v>0</v>
      </c>
      <c r="S1438">
        <v>0</v>
      </c>
      <c r="T1438">
        <f t="shared" si="68"/>
        <v>0</v>
      </c>
      <c r="U1438">
        <v>1</v>
      </c>
    </row>
    <row r="1439" spans="1:21" x14ac:dyDescent="0.3">
      <c r="A1439" t="str">
        <f t="shared" si="66"/>
        <v>North TynesideReablement &amp; Rehabilitation in a bedded setting (pathway 2)1</v>
      </c>
      <c r="B1439">
        <f>IF(C1439="","",COUNTIF($C$2:C1439,C1439))</f>
        <v>1</v>
      </c>
      <c r="C1439" t="str">
        <f t="shared" si="67"/>
        <v>North TynesideReablement in a bedded setting (pathway 2)</v>
      </c>
      <c r="D1439" t="str">
        <f>VLOOKUP(G1439,PathwayLookup!A:B,2,0)</f>
        <v>Reablement &amp; Rehabilitation in a bedded setting (pathway 2)</v>
      </c>
      <c r="E1439" t="s">
        <v>239</v>
      </c>
      <c r="F1439" t="s">
        <v>565</v>
      </c>
      <c r="G1439" t="s">
        <v>722</v>
      </c>
      <c r="H1439">
        <v>11</v>
      </c>
      <c r="I1439">
        <v>12</v>
      </c>
      <c r="J1439">
        <v>11</v>
      </c>
      <c r="K1439">
        <v>11</v>
      </c>
      <c r="L1439">
        <v>11</v>
      </c>
      <c r="M1439">
        <v>11</v>
      </c>
      <c r="N1439">
        <v>12</v>
      </c>
      <c r="O1439">
        <v>13</v>
      </c>
      <c r="P1439">
        <v>11</v>
      </c>
      <c r="Q1439">
        <v>11</v>
      </c>
      <c r="R1439">
        <v>11</v>
      </c>
      <c r="S1439">
        <v>12</v>
      </c>
      <c r="T1439">
        <f t="shared" si="68"/>
        <v>137</v>
      </c>
      <c r="U1439">
        <v>1</v>
      </c>
    </row>
    <row r="1440" spans="1:21" x14ac:dyDescent="0.3">
      <c r="A1440" t="str">
        <f t="shared" si="66"/>
        <v>North TynesideReablement &amp; Rehabilitation in a bedded setting (pathway 2)2</v>
      </c>
      <c r="B1440">
        <f>IF(C1440="","",COUNTIF($C$2:C1440,C1440))</f>
        <v>2</v>
      </c>
      <c r="C1440" t="str">
        <f t="shared" si="67"/>
        <v>North TynesideReablement in a bedded setting (pathway 2)</v>
      </c>
      <c r="D1440" t="str">
        <f>VLOOKUP(G1440,PathwayLookup!A:B,2,0)</f>
        <v>Reablement &amp; Rehabilitation in a bedded setting (pathway 2)</v>
      </c>
      <c r="E1440" t="s">
        <v>239</v>
      </c>
      <c r="F1440" t="s">
        <v>614</v>
      </c>
      <c r="G1440" t="s">
        <v>722</v>
      </c>
      <c r="H1440">
        <v>4</v>
      </c>
      <c r="I1440">
        <v>4</v>
      </c>
      <c r="J1440">
        <v>4</v>
      </c>
      <c r="K1440">
        <v>4</v>
      </c>
      <c r="L1440">
        <v>4</v>
      </c>
      <c r="M1440">
        <v>4</v>
      </c>
      <c r="N1440">
        <v>4</v>
      </c>
      <c r="O1440">
        <v>4</v>
      </c>
      <c r="P1440">
        <v>4</v>
      </c>
      <c r="Q1440">
        <v>4</v>
      </c>
      <c r="R1440">
        <v>4</v>
      </c>
      <c r="S1440">
        <v>4</v>
      </c>
      <c r="T1440">
        <f t="shared" si="68"/>
        <v>48</v>
      </c>
      <c r="U1440">
        <v>1</v>
      </c>
    </row>
    <row r="1441" spans="1:21" x14ac:dyDescent="0.3">
      <c r="A1441" t="str">
        <f t="shared" si="66"/>
        <v/>
      </c>
      <c r="B1441" t="str">
        <f>IF(C1441="","",COUNTIF($C$2:C1441,C1441))</f>
        <v/>
      </c>
      <c r="C1441" t="str">
        <f t="shared" si="67"/>
        <v/>
      </c>
      <c r="D1441" t="str">
        <f>VLOOKUP(G1441,PathwayLookup!A:B,2,0)</f>
        <v>Reablement &amp; Rehabilitation in a bedded setting (pathway 2)</v>
      </c>
      <c r="E1441" t="s">
        <v>239</v>
      </c>
      <c r="F1441" t="s">
        <v>651</v>
      </c>
      <c r="G1441" t="s">
        <v>722</v>
      </c>
      <c r="H1441">
        <v>0</v>
      </c>
      <c r="I1441">
        <v>0</v>
      </c>
      <c r="J1441">
        <v>0</v>
      </c>
      <c r="K1441">
        <v>0</v>
      </c>
      <c r="L1441">
        <v>0</v>
      </c>
      <c r="M1441">
        <v>0</v>
      </c>
      <c r="N1441">
        <v>0</v>
      </c>
      <c r="O1441">
        <v>0</v>
      </c>
      <c r="P1441">
        <v>0</v>
      </c>
      <c r="Q1441">
        <v>0</v>
      </c>
      <c r="R1441">
        <v>0</v>
      </c>
      <c r="S1441">
        <v>0</v>
      </c>
      <c r="T1441">
        <f t="shared" si="68"/>
        <v>0</v>
      </c>
      <c r="U1441">
        <v>1</v>
      </c>
    </row>
    <row r="1442" spans="1:21" x14ac:dyDescent="0.3">
      <c r="A1442" t="str">
        <f t="shared" si="66"/>
        <v>North TynesideReablement &amp; Rehabilitation in a bedded setting (pathway 2)1</v>
      </c>
      <c r="B1442">
        <f>IF(C1442="","",COUNTIF($C$2:C1442,C1442))</f>
        <v>1</v>
      </c>
      <c r="C1442" t="str">
        <f t="shared" si="67"/>
        <v>North TynesideRehabilitation in a bedded setting (pathway 2)</v>
      </c>
      <c r="D1442" t="str">
        <f>VLOOKUP(G1442,PathwayLookup!A:B,2,0)</f>
        <v>Reablement &amp; Rehabilitation in a bedded setting (pathway 2)</v>
      </c>
      <c r="E1442" t="s">
        <v>239</v>
      </c>
      <c r="F1442" t="s">
        <v>565</v>
      </c>
      <c r="G1442" t="s">
        <v>724</v>
      </c>
      <c r="H1442">
        <v>21</v>
      </c>
      <c r="I1442">
        <v>22</v>
      </c>
      <c r="J1442">
        <v>22</v>
      </c>
      <c r="K1442">
        <v>22</v>
      </c>
      <c r="L1442">
        <v>22</v>
      </c>
      <c r="M1442">
        <v>22</v>
      </c>
      <c r="N1442">
        <v>23</v>
      </c>
      <c r="O1442">
        <v>24</v>
      </c>
      <c r="P1442">
        <v>23</v>
      </c>
      <c r="Q1442">
        <v>22</v>
      </c>
      <c r="R1442">
        <v>20</v>
      </c>
      <c r="S1442">
        <v>23</v>
      </c>
      <c r="T1442">
        <f t="shared" si="68"/>
        <v>266</v>
      </c>
      <c r="U1442">
        <v>1</v>
      </c>
    </row>
    <row r="1443" spans="1:21" x14ac:dyDescent="0.3">
      <c r="A1443" t="str">
        <f t="shared" si="66"/>
        <v>North TynesideReablement &amp; Rehabilitation in a bedded setting (pathway 2)2</v>
      </c>
      <c r="B1443">
        <f>IF(C1443="","",COUNTIF($C$2:C1443,C1443))</f>
        <v>2</v>
      </c>
      <c r="C1443" t="str">
        <f t="shared" si="67"/>
        <v>North TynesideRehabilitation in a bedded setting (pathway 2)</v>
      </c>
      <c r="D1443" t="str">
        <f>VLOOKUP(G1443,PathwayLookup!A:B,2,0)</f>
        <v>Reablement &amp; Rehabilitation in a bedded setting (pathway 2)</v>
      </c>
      <c r="E1443" t="s">
        <v>239</v>
      </c>
      <c r="F1443" t="s">
        <v>614</v>
      </c>
      <c r="G1443" t="s">
        <v>724</v>
      </c>
      <c r="H1443">
        <v>8</v>
      </c>
      <c r="I1443">
        <v>8</v>
      </c>
      <c r="J1443">
        <v>8</v>
      </c>
      <c r="K1443">
        <v>8</v>
      </c>
      <c r="L1443">
        <v>8</v>
      </c>
      <c r="M1443">
        <v>8</v>
      </c>
      <c r="N1443">
        <v>8</v>
      </c>
      <c r="O1443">
        <v>8</v>
      </c>
      <c r="P1443">
        <v>8</v>
      </c>
      <c r="Q1443">
        <v>8</v>
      </c>
      <c r="R1443">
        <v>7</v>
      </c>
      <c r="S1443">
        <v>8</v>
      </c>
      <c r="T1443">
        <f t="shared" si="68"/>
        <v>95</v>
      </c>
      <c r="U1443">
        <v>1</v>
      </c>
    </row>
    <row r="1444" spans="1:21" x14ac:dyDescent="0.3">
      <c r="A1444" t="str">
        <f t="shared" si="66"/>
        <v/>
      </c>
      <c r="B1444" t="str">
        <f>IF(C1444="","",COUNTIF($C$2:C1444,C1444))</f>
        <v/>
      </c>
      <c r="C1444" t="str">
        <f t="shared" si="67"/>
        <v/>
      </c>
      <c r="D1444" t="str">
        <f>VLOOKUP(G1444,PathwayLookup!A:B,2,0)</f>
        <v>Reablement &amp; Rehabilitation in a bedded setting (pathway 2)</v>
      </c>
      <c r="E1444" t="s">
        <v>239</v>
      </c>
      <c r="F1444" t="s">
        <v>651</v>
      </c>
      <c r="G1444" t="s">
        <v>724</v>
      </c>
      <c r="H1444">
        <v>0</v>
      </c>
      <c r="I1444">
        <v>0</v>
      </c>
      <c r="J1444">
        <v>0</v>
      </c>
      <c r="K1444">
        <v>0</v>
      </c>
      <c r="L1444">
        <v>0</v>
      </c>
      <c r="M1444">
        <v>0</v>
      </c>
      <c r="N1444">
        <v>0</v>
      </c>
      <c r="O1444">
        <v>0</v>
      </c>
      <c r="P1444">
        <v>0</v>
      </c>
      <c r="Q1444">
        <v>0</v>
      </c>
      <c r="R1444">
        <v>0</v>
      </c>
      <c r="S1444">
        <v>0</v>
      </c>
      <c r="T1444">
        <f t="shared" si="68"/>
        <v>0</v>
      </c>
      <c r="U1444">
        <v>1</v>
      </c>
    </row>
    <row r="1445" spans="1:21" x14ac:dyDescent="0.3">
      <c r="A1445" t="str">
        <f t="shared" si="66"/>
        <v>North TynesideShort-term residential/nursing care for someone likely to require a longer-term care home placement (pathway 3)1</v>
      </c>
      <c r="B1445">
        <f>IF(C1445="","",COUNTIF($C$2:C1445,C1445))</f>
        <v>1</v>
      </c>
      <c r="C1445" t="str">
        <f t="shared" si="67"/>
        <v>North TynesideShort-term residential/nursing care for someone likely to require a longer-term care home placement (pathway 3)</v>
      </c>
      <c r="D1445" t="str">
        <f>VLOOKUP(G1445,PathwayLookup!A:B,2,0)</f>
        <v>Short-term residential/nursing care for someone likely to require a longer-term care home placement (pathway 3)</v>
      </c>
      <c r="E1445" t="s">
        <v>239</v>
      </c>
      <c r="F1445" t="s">
        <v>565</v>
      </c>
      <c r="G1445" t="s">
        <v>686</v>
      </c>
      <c r="H1445">
        <v>7</v>
      </c>
      <c r="I1445">
        <v>7</v>
      </c>
      <c r="J1445">
        <v>7</v>
      </c>
      <c r="K1445">
        <v>7</v>
      </c>
      <c r="L1445">
        <v>7</v>
      </c>
      <c r="M1445">
        <v>7</v>
      </c>
      <c r="N1445">
        <v>7</v>
      </c>
      <c r="O1445">
        <v>7</v>
      </c>
      <c r="P1445">
        <v>7</v>
      </c>
      <c r="Q1445">
        <v>7</v>
      </c>
      <c r="R1445">
        <v>7</v>
      </c>
      <c r="S1445">
        <v>7</v>
      </c>
      <c r="T1445">
        <f t="shared" si="68"/>
        <v>84</v>
      </c>
      <c r="U1445">
        <v>1</v>
      </c>
    </row>
    <row r="1446" spans="1:21" x14ac:dyDescent="0.3">
      <c r="A1446" t="str">
        <f t="shared" si="66"/>
        <v>North TynesideShort-term residential/nursing care for someone likely to require a longer-term care home placement (pathway 3)2</v>
      </c>
      <c r="B1446">
        <f>IF(C1446="","",COUNTIF($C$2:C1446,C1446))</f>
        <v>2</v>
      </c>
      <c r="C1446" t="str">
        <f t="shared" si="67"/>
        <v>North TynesideShort-term residential/nursing care for someone likely to require a longer-term care home placement (pathway 3)</v>
      </c>
      <c r="D1446" t="str">
        <f>VLOOKUP(G1446,PathwayLookup!A:B,2,0)</f>
        <v>Short-term residential/nursing care for someone likely to require a longer-term care home placement (pathway 3)</v>
      </c>
      <c r="E1446" t="s">
        <v>239</v>
      </c>
      <c r="F1446" t="s">
        <v>614</v>
      </c>
      <c r="G1446" t="s">
        <v>686</v>
      </c>
      <c r="H1446">
        <v>2</v>
      </c>
      <c r="I1446">
        <v>2</v>
      </c>
      <c r="J1446">
        <v>2</v>
      </c>
      <c r="K1446">
        <v>2</v>
      </c>
      <c r="L1446">
        <v>2</v>
      </c>
      <c r="M1446">
        <v>2</v>
      </c>
      <c r="N1446">
        <v>2</v>
      </c>
      <c r="O1446">
        <v>3</v>
      </c>
      <c r="P1446">
        <v>2</v>
      </c>
      <c r="Q1446">
        <v>2</v>
      </c>
      <c r="R1446">
        <v>2</v>
      </c>
      <c r="S1446">
        <v>2</v>
      </c>
      <c r="T1446">
        <f t="shared" si="68"/>
        <v>25</v>
      </c>
      <c r="U1446">
        <v>1</v>
      </c>
    </row>
    <row r="1447" spans="1:21" x14ac:dyDescent="0.3">
      <c r="A1447" t="str">
        <f t="shared" si="66"/>
        <v/>
      </c>
      <c r="B1447" t="str">
        <f>IF(C1447="","",COUNTIF($C$2:C1447,C1447))</f>
        <v/>
      </c>
      <c r="C1447" t="str">
        <f t="shared" si="67"/>
        <v/>
      </c>
      <c r="D1447" t="str">
        <f>VLOOKUP(G1447,PathwayLookup!A:B,2,0)</f>
        <v>Short-term residential/nursing care for someone likely to require a longer-term care home placement (pathway 3)</v>
      </c>
      <c r="E1447" t="s">
        <v>239</v>
      </c>
      <c r="F1447" t="s">
        <v>651</v>
      </c>
      <c r="G1447" t="s">
        <v>686</v>
      </c>
      <c r="H1447">
        <v>0</v>
      </c>
      <c r="I1447">
        <v>0</v>
      </c>
      <c r="J1447">
        <v>0</v>
      </c>
      <c r="K1447">
        <v>0</v>
      </c>
      <c r="L1447">
        <v>0</v>
      </c>
      <c r="M1447">
        <v>0</v>
      </c>
      <c r="N1447">
        <v>0</v>
      </c>
      <c r="O1447">
        <v>0</v>
      </c>
      <c r="P1447">
        <v>0</v>
      </c>
      <c r="Q1447">
        <v>0</v>
      </c>
      <c r="R1447">
        <v>0</v>
      </c>
      <c r="S1447">
        <v>0</v>
      </c>
      <c r="T1447">
        <f t="shared" si="68"/>
        <v>0</v>
      </c>
      <c r="U1447">
        <v>1</v>
      </c>
    </row>
    <row r="1448" spans="1:21" x14ac:dyDescent="0.3">
      <c r="A1448" t="str">
        <f t="shared" si="66"/>
        <v>North YorkshireSocial support (including VCS) (pathway 0)1</v>
      </c>
      <c r="B1448">
        <f>IF(C1448="","",COUNTIF($C$2:C1448,C1448))</f>
        <v>1</v>
      </c>
      <c r="C1448" t="str">
        <f t="shared" si="67"/>
        <v>North YorkshireSocial support (including VCS) (pathway 0)</v>
      </c>
      <c r="D1448" t="str">
        <f>VLOOKUP(G1448,PathwayLookup!A:B,2,0)</f>
        <v>Social support (including VCS) (pathway 0)</v>
      </c>
      <c r="E1448" t="s">
        <v>241</v>
      </c>
      <c r="F1448" t="s">
        <v>512</v>
      </c>
      <c r="G1448" t="s">
        <v>682</v>
      </c>
      <c r="H1448">
        <v>74.64</v>
      </c>
      <c r="I1448">
        <v>76.28</v>
      </c>
      <c r="J1448">
        <v>76.489999999999995</v>
      </c>
      <c r="K1448">
        <v>73.989999999999995</v>
      </c>
      <c r="L1448">
        <v>76.959999999999994</v>
      </c>
      <c r="M1448">
        <v>78.5</v>
      </c>
      <c r="N1448">
        <v>76.45</v>
      </c>
      <c r="O1448">
        <v>78.23</v>
      </c>
      <c r="P1448">
        <v>76.25</v>
      </c>
      <c r="Q1448">
        <v>76.88</v>
      </c>
      <c r="R1448">
        <v>80.290000000000006</v>
      </c>
      <c r="S1448">
        <v>77.94</v>
      </c>
      <c r="T1448">
        <f t="shared" si="68"/>
        <v>922.90000000000009</v>
      </c>
      <c r="U1448">
        <v>1</v>
      </c>
    </row>
    <row r="1449" spans="1:21" x14ac:dyDescent="0.3">
      <c r="A1449" t="str">
        <f t="shared" si="66"/>
        <v>North YorkshireSocial support (including VCS) (pathway 0)2</v>
      </c>
      <c r="B1449">
        <f>IF(C1449="","",COUNTIF($C$2:C1449,C1449))</f>
        <v>2</v>
      </c>
      <c r="C1449" t="str">
        <f t="shared" si="67"/>
        <v>North YorkshireSocial support (including VCS) (pathway 0)</v>
      </c>
      <c r="D1449" t="str">
        <f>VLOOKUP(G1449,PathwayLookup!A:B,2,0)</f>
        <v>Social support (including VCS) (pathway 0)</v>
      </c>
      <c r="E1449" t="s">
        <v>241</v>
      </c>
      <c r="F1449" t="s">
        <v>650</v>
      </c>
      <c r="G1449" t="s">
        <v>682</v>
      </c>
      <c r="H1449">
        <v>185.24</v>
      </c>
      <c r="I1449">
        <v>182.37</v>
      </c>
      <c r="J1449">
        <v>180.32</v>
      </c>
      <c r="K1449">
        <v>185.72</v>
      </c>
      <c r="L1449">
        <v>178.75</v>
      </c>
      <c r="M1449">
        <v>179.03</v>
      </c>
      <c r="N1449">
        <v>184.58</v>
      </c>
      <c r="O1449">
        <v>177</v>
      </c>
      <c r="P1449">
        <v>177</v>
      </c>
      <c r="Q1449">
        <v>180.99</v>
      </c>
      <c r="R1449">
        <v>179.03</v>
      </c>
      <c r="S1449">
        <v>184.43</v>
      </c>
      <c r="T1449">
        <f t="shared" si="68"/>
        <v>2174.46</v>
      </c>
      <c r="U1449">
        <v>1</v>
      </c>
    </row>
    <row r="1450" spans="1:21" x14ac:dyDescent="0.3">
      <c r="A1450" t="str">
        <f t="shared" si="66"/>
        <v>North YorkshireSocial support (including VCS) (pathway 0)3</v>
      </c>
      <c r="B1450">
        <f>IF(C1450="","",COUNTIF($C$2:C1450,C1450))</f>
        <v>3</v>
      </c>
      <c r="C1450" t="str">
        <f t="shared" si="67"/>
        <v>North YorkshireSocial support (including VCS) (pathway 0)</v>
      </c>
      <c r="D1450" t="str">
        <f>VLOOKUP(G1450,PathwayLookup!A:B,2,0)</f>
        <v>Social support (including VCS) (pathway 0)</v>
      </c>
      <c r="E1450" t="s">
        <v>241</v>
      </c>
      <c r="F1450" t="s">
        <v>651</v>
      </c>
      <c r="G1450" t="s">
        <v>682</v>
      </c>
      <c r="H1450">
        <v>33.119999999999997</v>
      </c>
      <c r="I1450">
        <v>34.340000000000003</v>
      </c>
      <c r="J1450">
        <v>36.19</v>
      </c>
      <c r="K1450">
        <v>33.29</v>
      </c>
      <c r="L1450">
        <v>37.29</v>
      </c>
      <c r="M1450">
        <v>35.47</v>
      </c>
      <c r="N1450">
        <v>31.97</v>
      </c>
      <c r="O1450">
        <v>37.78</v>
      </c>
      <c r="P1450">
        <v>39.75</v>
      </c>
      <c r="Q1450">
        <v>35.130000000000003</v>
      </c>
      <c r="R1450">
        <v>33.69</v>
      </c>
      <c r="S1450">
        <v>30.63</v>
      </c>
      <c r="T1450">
        <f t="shared" si="68"/>
        <v>418.65</v>
      </c>
      <c r="U1450">
        <v>1</v>
      </c>
    </row>
    <row r="1451" spans="1:21" x14ac:dyDescent="0.3">
      <c r="A1451" t="str">
        <f t="shared" si="66"/>
        <v>North YorkshireReablement &amp; Rehabilitation at home  (pathway 1)1</v>
      </c>
      <c r="B1451">
        <f>IF(C1451="","",COUNTIF($C$2:C1451,C1451))</f>
        <v>1</v>
      </c>
      <c r="C1451" t="str">
        <f t="shared" si="67"/>
        <v>North YorkshireReablement at home  (pathway 1)</v>
      </c>
      <c r="D1451" t="str">
        <f>VLOOKUP(G1451,PathwayLookup!A:B,2,0)</f>
        <v>Reablement &amp; Rehabilitation at home  (pathway 1)</v>
      </c>
      <c r="E1451" t="s">
        <v>241</v>
      </c>
      <c r="F1451" t="s">
        <v>512</v>
      </c>
      <c r="G1451" t="s">
        <v>718</v>
      </c>
      <c r="H1451">
        <v>33.6</v>
      </c>
      <c r="I1451">
        <v>36.299999999999997</v>
      </c>
      <c r="J1451">
        <v>36.5</v>
      </c>
      <c r="K1451">
        <v>34</v>
      </c>
      <c r="L1451">
        <v>35.4</v>
      </c>
      <c r="M1451">
        <v>35.799999999999997</v>
      </c>
      <c r="N1451">
        <v>33.4</v>
      </c>
      <c r="O1451">
        <v>37.4</v>
      </c>
      <c r="P1451">
        <v>36.700000000000003</v>
      </c>
      <c r="Q1451">
        <v>37.6</v>
      </c>
      <c r="R1451">
        <v>35.6</v>
      </c>
      <c r="S1451">
        <v>40.299999999999997</v>
      </c>
      <c r="T1451">
        <f t="shared" si="68"/>
        <v>432.60000000000008</v>
      </c>
      <c r="U1451">
        <v>1</v>
      </c>
    </row>
    <row r="1452" spans="1:21" x14ac:dyDescent="0.3">
      <c r="A1452" t="str">
        <f t="shared" si="66"/>
        <v>North YorkshireReablement &amp; Rehabilitation at home  (pathway 1)2</v>
      </c>
      <c r="B1452">
        <f>IF(C1452="","",COUNTIF($C$2:C1452,C1452))</f>
        <v>2</v>
      </c>
      <c r="C1452" t="str">
        <f t="shared" si="67"/>
        <v>North YorkshireReablement at home  (pathway 1)</v>
      </c>
      <c r="D1452" t="str">
        <f>VLOOKUP(G1452,PathwayLookup!A:B,2,0)</f>
        <v>Reablement &amp; Rehabilitation at home  (pathway 1)</v>
      </c>
      <c r="E1452" t="s">
        <v>241</v>
      </c>
      <c r="F1452" t="s">
        <v>650</v>
      </c>
      <c r="G1452" t="s">
        <v>718</v>
      </c>
      <c r="H1452">
        <v>17.7</v>
      </c>
      <c r="I1452">
        <v>18.5</v>
      </c>
      <c r="J1452">
        <v>18.3</v>
      </c>
      <c r="K1452">
        <v>18.100000000000001</v>
      </c>
      <c r="L1452">
        <v>17.5</v>
      </c>
      <c r="M1452">
        <v>17.399999999999999</v>
      </c>
      <c r="N1452">
        <v>17.100000000000001</v>
      </c>
      <c r="O1452">
        <v>18</v>
      </c>
      <c r="P1452">
        <v>18.100000000000001</v>
      </c>
      <c r="Q1452">
        <v>18.8</v>
      </c>
      <c r="R1452">
        <v>16.899999999999999</v>
      </c>
      <c r="S1452">
        <v>20.2</v>
      </c>
      <c r="T1452">
        <f t="shared" si="68"/>
        <v>216.6</v>
      </c>
      <c r="U1452">
        <v>1</v>
      </c>
    </row>
    <row r="1453" spans="1:21" x14ac:dyDescent="0.3">
      <c r="A1453" t="str">
        <f t="shared" si="66"/>
        <v>North YorkshireReablement &amp; Rehabilitation at home  (pathway 1)3</v>
      </c>
      <c r="B1453">
        <f>IF(C1453="","",COUNTIF($C$2:C1453,C1453))</f>
        <v>3</v>
      </c>
      <c r="C1453" t="str">
        <f t="shared" si="67"/>
        <v>North YorkshireReablement at home  (pathway 1)</v>
      </c>
      <c r="D1453" t="str">
        <f>VLOOKUP(G1453,PathwayLookup!A:B,2,0)</f>
        <v>Reablement &amp; Rehabilitation at home  (pathway 1)</v>
      </c>
      <c r="E1453" t="s">
        <v>241</v>
      </c>
      <c r="F1453" t="s">
        <v>651</v>
      </c>
      <c r="G1453" t="s">
        <v>718</v>
      </c>
      <c r="H1453">
        <v>4</v>
      </c>
      <c r="I1453">
        <v>4.4000000000000004</v>
      </c>
      <c r="J1453">
        <v>4.5999999999999996</v>
      </c>
      <c r="K1453">
        <v>4.0999999999999996</v>
      </c>
      <c r="L1453">
        <v>4.5999999999999996</v>
      </c>
      <c r="M1453">
        <v>4.3</v>
      </c>
      <c r="N1453">
        <v>3.7</v>
      </c>
      <c r="O1453">
        <v>4.8</v>
      </c>
      <c r="P1453">
        <v>5.0999999999999996</v>
      </c>
      <c r="Q1453">
        <v>4.5999999999999996</v>
      </c>
      <c r="R1453">
        <v>4</v>
      </c>
      <c r="S1453">
        <v>4.2</v>
      </c>
      <c r="T1453">
        <f t="shared" si="68"/>
        <v>52.400000000000006</v>
      </c>
      <c r="U1453">
        <v>1</v>
      </c>
    </row>
    <row r="1454" spans="1:21" x14ac:dyDescent="0.3">
      <c r="A1454" t="str">
        <f t="shared" si="66"/>
        <v>North YorkshireReablement &amp; Rehabilitation at home  (pathway 1)1</v>
      </c>
      <c r="B1454">
        <f>IF(C1454="","",COUNTIF($C$2:C1454,C1454))</f>
        <v>1</v>
      </c>
      <c r="C1454" t="str">
        <f t="shared" si="67"/>
        <v>North YorkshireRehabilitation at home (pathway 1)</v>
      </c>
      <c r="D1454" t="str">
        <f>VLOOKUP(G1454,PathwayLookup!A:B,2,0)</f>
        <v>Reablement &amp; Rehabilitation at home  (pathway 1)</v>
      </c>
      <c r="E1454" t="s">
        <v>241</v>
      </c>
      <c r="F1454" t="s">
        <v>512</v>
      </c>
      <c r="G1454" t="s">
        <v>719</v>
      </c>
      <c r="H1454">
        <v>119.2</v>
      </c>
      <c r="I1454">
        <v>128.80000000000001</v>
      </c>
      <c r="J1454">
        <v>129.30000000000001</v>
      </c>
      <c r="K1454">
        <v>120.4</v>
      </c>
      <c r="L1454">
        <v>125.4</v>
      </c>
      <c r="M1454">
        <v>126.9</v>
      </c>
      <c r="N1454">
        <v>118.4</v>
      </c>
      <c r="O1454">
        <v>132.4</v>
      </c>
      <c r="P1454">
        <v>130</v>
      </c>
      <c r="Q1454">
        <v>133.5</v>
      </c>
      <c r="R1454">
        <v>126.1</v>
      </c>
      <c r="S1454">
        <v>142.69999999999999</v>
      </c>
      <c r="T1454">
        <f t="shared" si="68"/>
        <v>1533.1</v>
      </c>
      <c r="U1454">
        <v>1</v>
      </c>
    </row>
    <row r="1455" spans="1:21" x14ac:dyDescent="0.3">
      <c r="A1455" t="str">
        <f t="shared" si="66"/>
        <v>North YorkshireReablement &amp; Rehabilitation at home  (pathway 1)2</v>
      </c>
      <c r="B1455">
        <f>IF(C1455="","",COUNTIF($C$2:C1455,C1455))</f>
        <v>2</v>
      </c>
      <c r="C1455" t="str">
        <f t="shared" si="67"/>
        <v>North YorkshireRehabilitation at home (pathway 1)</v>
      </c>
      <c r="D1455" t="str">
        <f>VLOOKUP(G1455,PathwayLookup!A:B,2,0)</f>
        <v>Reablement &amp; Rehabilitation at home  (pathway 1)</v>
      </c>
      <c r="E1455" t="s">
        <v>241</v>
      </c>
      <c r="F1455" t="s">
        <v>650</v>
      </c>
      <c r="G1455" t="s">
        <v>719</v>
      </c>
      <c r="H1455">
        <v>62.9</v>
      </c>
      <c r="I1455">
        <v>65.5</v>
      </c>
      <c r="J1455">
        <v>64.8</v>
      </c>
      <c r="K1455">
        <v>64.2</v>
      </c>
      <c r="L1455">
        <v>61.9</v>
      </c>
      <c r="M1455">
        <v>61.5</v>
      </c>
      <c r="N1455">
        <v>60.7</v>
      </c>
      <c r="O1455">
        <v>63.7</v>
      </c>
      <c r="P1455">
        <v>64.2</v>
      </c>
      <c r="Q1455">
        <v>66.8</v>
      </c>
      <c r="R1455">
        <v>59.8</v>
      </c>
      <c r="S1455">
        <v>71.8</v>
      </c>
      <c r="T1455">
        <f t="shared" si="68"/>
        <v>767.79999999999984</v>
      </c>
      <c r="U1455">
        <v>1</v>
      </c>
    </row>
    <row r="1456" spans="1:21" x14ac:dyDescent="0.3">
      <c r="A1456" t="str">
        <f t="shared" si="66"/>
        <v>North YorkshireReablement &amp; Rehabilitation at home  (pathway 1)3</v>
      </c>
      <c r="B1456">
        <f>IF(C1456="","",COUNTIF($C$2:C1456,C1456))</f>
        <v>3</v>
      </c>
      <c r="C1456" t="str">
        <f t="shared" si="67"/>
        <v>North YorkshireRehabilitation at home (pathway 1)</v>
      </c>
      <c r="D1456" t="str">
        <f>VLOOKUP(G1456,PathwayLookup!A:B,2,0)</f>
        <v>Reablement &amp; Rehabilitation at home  (pathway 1)</v>
      </c>
      <c r="E1456" t="s">
        <v>241</v>
      </c>
      <c r="F1456" t="s">
        <v>651</v>
      </c>
      <c r="G1456" t="s">
        <v>719</v>
      </c>
      <c r="H1456">
        <v>14.2</v>
      </c>
      <c r="I1456">
        <v>15.5</v>
      </c>
      <c r="J1456">
        <v>16.399999999999999</v>
      </c>
      <c r="K1456">
        <v>14.5</v>
      </c>
      <c r="L1456">
        <v>16.3</v>
      </c>
      <c r="M1456">
        <v>15.4</v>
      </c>
      <c r="N1456">
        <v>13.3</v>
      </c>
      <c r="O1456">
        <v>17.100000000000001</v>
      </c>
      <c r="P1456">
        <v>18.2</v>
      </c>
      <c r="Q1456">
        <v>16.3</v>
      </c>
      <c r="R1456">
        <v>14.2</v>
      </c>
      <c r="S1456">
        <v>15</v>
      </c>
      <c r="T1456">
        <f t="shared" si="68"/>
        <v>186.39999999999998</v>
      </c>
      <c r="U1456">
        <v>1</v>
      </c>
    </row>
    <row r="1457" spans="1:21" x14ac:dyDescent="0.3">
      <c r="A1457" t="str">
        <f t="shared" si="66"/>
        <v>North YorkshireReablement &amp; Rehabilitation in a bedded setting (pathway 2)1</v>
      </c>
      <c r="B1457">
        <f>IF(C1457="","",COUNTIF($C$2:C1457,C1457))</f>
        <v>1</v>
      </c>
      <c r="C1457" t="str">
        <f t="shared" si="67"/>
        <v>North YorkshireReablement in a bedded setting (pathway 2)</v>
      </c>
      <c r="D1457" t="str">
        <f>VLOOKUP(G1457,PathwayLookup!A:B,2,0)</f>
        <v>Reablement &amp; Rehabilitation in a bedded setting (pathway 2)</v>
      </c>
      <c r="E1457" t="s">
        <v>241</v>
      </c>
      <c r="F1457" t="s">
        <v>512</v>
      </c>
      <c r="G1457" t="s">
        <v>722</v>
      </c>
      <c r="H1457">
        <v>35.06</v>
      </c>
      <c r="I1457">
        <v>37.89</v>
      </c>
      <c r="J1457">
        <v>38.04</v>
      </c>
      <c r="K1457">
        <v>35.42</v>
      </c>
      <c r="L1457">
        <v>36.880000000000003</v>
      </c>
      <c r="M1457">
        <v>37.340000000000003</v>
      </c>
      <c r="N1457">
        <v>34.81</v>
      </c>
      <c r="O1457">
        <v>38.950000000000003</v>
      </c>
      <c r="P1457">
        <v>38.24</v>
      </c>
      <c r="Q1457">
        <v>39.25</v>
      </c>
      <c r="R1457">
        <v>37.08</v>
      </c>
      <c r="S1457">
        <v>41.98</v>
      </c>
      <c r="T1457">
        <f t="shared" si="68"/>
        <v>450.94000000000005</v>
      </c>
      <c r="U1457">
        <v>1</v>
      </c>
    </row>
    <row r="1458" spans="1:21" x14ac:dyDescent="0.3">
      <c r="A1458" t="str">
        <f t="shared" si="66"/>
        <v>North YorkshireReablement &amp; Rehabilitation in a bedded setting (pathway 2)2</v>
      </c>
      <c r="B1458">
        <f>IF(C1458="","",COUNTIF($C$2:C1458,C1458))</f>
        <v>2</v>
      </c>
      <c r="C1458" t="str">
        <f t="shared" si="67"/>
        <v>North YorkshireReablement in a bedded setting (pathway 2)</v>
      </c>
      <c r="D1458" t="str">
        <f>VLOOKUP(G1458,PathwayLookup!A:B,2,0)</f>
        <v>Reablement &amp; Rehabilitation in a bedded setting (pathway 2)</v>
      </c>
      <c r="E1458" t="s">
        <v>241</v>
      </c>
      <c r="F1458" t="s">
        <v>650</v>
      </c>
      <c r="G1458" t="s">
        <v>722</v>
      </c>
      <c r="H1458">
        <v>80.63</v>
      </c>
      <c r="I1458">
        <v>83.93</v>
      </c>
      <c r="J1458">
        <v>83.09</v>
      </c>
      <c r="K1458">
        <v>82.37</v>
      </c>
      <c r="L1458">
        <v>79.37</v>
      </c>
      <c r="M1458">
        <v>78.89</v>
      </c>
      <c r="N1458">
        <v>77.87</v>
      </c>
      <c r="O1458">
        <v>81.650000000000006</v>
      </c>
      <c r="P1458">
        <v>82.25</v>
      </c>
      <c r="Q1458">
        <v>85.61</v>
      </c>
      <c r="R1458">
        <v>76.61</v>
      </c>
      <c r="S1458">
        <v>92.02</v>
      </c>
      <c r="T1458">
        <f t="shared" si="68"/>
        <v>984.29</v>
      </c>
      <c r="U1458">
        <v>1</v>
      </c>
    </row>
    <row r="1459" spans="1:21" x14ac:dyDescent="0.3">
      <c r="A1459" t="str">
        <f t="shared" si="66"/>
        <v>North YorkshireReablement &amp; Rehabilitation in a bedded setting (pathway 2)3</v>
      </c>
      <c r="B1459">
        <f>IF(C1459="","",COUNTIF($C$2:C1459,C1459))</f>
        <v>3</v>
      </c>
      <c r="C1459" t="str">
        <f t="shared" si="67"/>
        <v>North YorkshireReablement in a bedded setting (pathway 2)</v>
      </c>
      <c r="D1459" t="str">
        <f>VLOOKUP(G1459,PathwayLookup!A:B,2,0)</f>
        <v>Reablement &amp; Rehabilitation in a bedded setting (pathway 2)</v>
      </c>
      <c r="E1459" t="s">
        <v>241</v>
      </c>
      <c r="F1459" t="s">
        <v>651</v>
      </c>
      <c r="G1459" t="s">
        <v>722</v>
      </c>
      <c r="H1459">
        <v>13.94</v>
      </c>
      <c r="I1459">
        <v>15.29</v>
      </c>
      <c r="J1459">
        <v>16.13</v>
      </c>
      <c r="K1459">
        <v>14.28</v>
      </c>
      <c r="L1459">
        <v>16.02</v>
      </c>
      <c r="M1459">
        <v>15.12</v>
      </c>
      <c r="N1459">
        <v>13.05</v>
      </c>
      <c r="O1459">
        <v>16.86</v>
      </c>
      <c r="P1459">
        <v>17.86</v>
      </c>
      <c r="Q1459">
        <v>16.07</v>
      </c>
      <c r="R1459">
        <v>13.94</v>
      </c>
      <c r="S1459">
        <v>14.78</v>
      </c>
      <c r="T1459">
        <f t="shared" si="68"/>
        <v>183.34</v>
      </c>
      <c r="U1459">
        <v>1</v>
      </c>
    </row>
    <row r="1460" spans="1:21" x14ac:dyDescent="0.3">
      <c r="A1460" t="str">
        <f t="shared" si="66"/>
        <v>North YorkshireShort-term residential/nursing care for someone likely to require a longer-term care home placement (pathway 3)1</v>
      </c>
      <c r="B1460">
        <f>IF(C1460="","",COUNTIF($C$2:C1460,C1460))</f>
        <v>1</v>
      </c>
      <c r="C1460" t="str">
        <f t="shared" si="67"/>
        <v>North YorkshireShort-term residential/nursing care for someone likely to require a longer-term care home placement (pathway 3)</v>
      </c>
      <c r="D1460" t="str">
        <f>VLOOKUP(G1460,PathwayLookup!A:B,2,0)</f>
        <v>Short-term residential/nursing care for someone likely to require a longer-term care home placement (pathway 3)</v>
      </c>
      <c r="E1460" t="s">
        <v>241</v>
      </c>
      <c r="F1460" t="s">
        <v>512</v>
      </c>
      <c r="G1460" t="s">
        <v>686</v>
      </c>
      <c r="H1460">
        <v>41.36</v>
      </c>
      <c r="I1460">
        <v>44.69</v>
      </c>
      <c r="J1460">
        <v>44.87</v>
      </c>
      <c r="K1460">
        <v>41.77</v>
      </c>
      <c r="L1460">
        <v>43.5</v>
      </c>
      <c r="M1460">
        <v>44.04</v>
      </c>
      <c r="N1460">
        <v>41.06</v>
      </c>
      <c r="O1460">
        <v>45.94</v>
      </c>
      <c r="P1460">
        <v>45.11</v>
      </c>
      <c r="Q1460">
        <v>46.3</v>
      </c>
      <c r="R1460">
        <v>43.74</v>
      </c>
      <c r="S1460">
        <v>49.51</v>
      </c>
      <c r="T1460">
        <f t="shared" si="68"/>
        <v>531.8900000000001</v>
      </c>
      <c r="U1460">
        <v>1</v>
      </c>
    </row>
    <row r="1461" spans="1:21" x14ac:dyDescent="0.3">
      <c r="A1461" t="str">
        <f t="shared" si="66"/>
        <v>North YorkshireShort-term residential/nursing care for someone likely to require a longer-term care home placement (pathway 3)2</v>
      </c>
      <c r="B1461">
        <f>IF(C1461="","",COUNTIF($C$2:C1461,C1461))</f>
        <v>2</v>
      </c>
      <c r="C1461" t="str">
        <f t="shared" si="67"/>
        <v>North YorkshireShort-term residential/nursing care for someone likely to require a longer-term care home placement (pathway 3)</v>
      </c>
      <c r="D1461" t="str">
        <f>VLOOKUP(G1461,PathwayLookup!A:B,2,0)</f>
        <v>Short-term residential/nursing care for someone likely to require a longer-term care home placement (pathway 3)</v>
      </c>
      <c r="E1461" t="s">
        <v>241</v>
      </c>
      <c r="F1461" t="s">
        <v>650</v>
      </c>
      <c r="G1461" t="s">
        <v>686</v>
      </c>
      <c r="H1461">
        <v>26.84</v>
      </c>
      <c r="I1461">
        <v>27.94</v>
      </c>
      <c r="J1461">
        <v>27.66</v>
      </c>
      <c r="K1461">
        <v>27.42</v>
      </c>
      <c r="L1461">
        <v>26.42</v>
      </c>
      <c r="M1461">
        <v>26.26</v>
      </c>
      <c r="N1461">
        <v>25.92</v>
      </c>
      <c r="O1461">
        <v>27.18</v>
      </c>
      <c r="P1461">
        <v>27.38</v>
      </c>
      <c r="Q1461">
        <v>28.5</v>
      </c>
      <c r="R1461">
        <v>25.5</v>
      </c>
      <c r="S1461">
        <v>30.63</v>
      </c>
      <c r="T1461">
        <f t="shared" si="68"/>
        <v>327.64999999999998</v>
      </c>
      <c r="U1461">
        <v>1</v>
      </c>
    </row>
    <row r="1462" spans="1:21" x14ac:dyDescent="0.3">
      <c r="A1462" t="str">
        <f t="shared" si="66"/>
        <v>North YorkshireShort-term residential/nursing care for someone likely to require a longer-term care home placement (pathway 3)3</v>
      </c>
      <c r="B1462">
        <f>IF(C1462="","",COUNTIF($C$2:C1462,C1462))</f>
        <v>3</v>
      </c>
      <c r="C1462" t="str">
        <f t="shared" si="67"/>
        <v>North YorkshireShort-term residential/nursing care for someone likely to require a longer-term care home placement (pathway 3)</v>
      </c>
      <c r="D1462" t="str">
        <f>VLOOKUP(G1462,PathwayLookup!A:B,2,0)</f>
        <v>Short-term residential/nursing care for someone likely to require a longer-term care home placement (pathway 3)</v>
      </c>
      <c r="E1462" t="s">
        <v>241</v>
      </c>
      <c r="F1462" t="s">
        <v>651</v>
      </c>
      <c r="G1462" t="s">
        <v>686</v>
      </c>
      <c r="H1462">
        <v>10.210000000000001</v>
      </c>
      <c r="I1462">
        <v>11.19</v>
      </c>
      <c r="J1462">
        <v>11.81</v>
      </c>
      <c r="K1462">
        <v>10.46</v>
      </c>
      <c r="L1462">
        <v>11.73</v>
      </c>
      <c r="M1462">
        <v>11.07</v>
      </c>
      <c r="N1462">
        <v>9.5500000000000007</v>
      </c>
      <c r="O1462">
        <v>12.34</v>
      </c>
      <c r="P1462">
        <v>13.08</v>
      </c>
      <c r="Q1462">
        <v>11.77</v>
      </c>
      <c r="R1462">
        <v>10.210000000000001</v>
      </c>
      <c r="S1462">
        <v>10.82</v>
      </c>
      <c r="T1462">
        <f t="shared" si="68"/>
        <v>134.23999999999998</v>
      </c>
      <c r="U1462">
        <v>1</v>
      </c>
    </row>
    <row r="1463" spans="1:21" x14ac:dyDescent="0.3">
      <c r="A1463" t="str">
        <f t="shared" si="66"/>
        <v/>
      </c>
      <c r="B1463" t="str">
        <f>IF(C1463="","",COUNTIF($C$2:C1463,C1463))</f>
        <v/>
      </c>
      <c r="C1463" t="str">
        <f t="shared" si="67"/>
        <v/>
      </c>
      <c r="D1463" t="str">
        <f>VLOOKUP(G1463,PathwayLookup!A:B,2,0)</f>
        <v>Social support (including VCS) (pathway 0)</v>
      </c>
      <c r="E1463" t="s">
        <v>243</v>
      </c>
      <c r="F1463" t="s">
        <v>565</v>
      </c>
      <c r="G1463" t="s">
        <v>682</v>
      </c>
      <c r="H1463">
        <v>0</v>
      </c>
      <c r="I1463">
        <v>0</v>
      </c>
      <c r="J1463">
        <v>0</v>
      </c>
      <c r="K1463">
        <v>0</v>
      </c>
      <c r="L1463">
        <v>0</v>
      </c>
      <c r="M1463">
        <v>0</v>
      </c>
      <c r="N1463">
        <v>0</v>
      </c>
      <c r="O1463">
        <v>0</v>
      </c>
      <c r="P1463">
        <v>0</v>
      </c>
      <c r="Q1463">
        <v>0</v>
      </c>
      <c r="R1463">
        <v>0</v>
      </c>
      <c r="S1463">
        <v>0</v>
      </c>
      <c r="T1463">
        <f t="shared" si="68"/>
        <v>0</v>
      </c>
      <c r="U1463">
        <v>1</v>
      </c>
    </row>
    <row r="1464" spans="1:21" x14ac:dyDescent="0.3">
      <c r="A1464" t="str">
        <f t="shared" si="66"/>
        <v/>
      </c>
      <c r="B1464" t="str">
        <f>IF(C1464="","",COUNTIF($C$2:C1464,C1464))</f>
        <v/>
      </c>
      <c r="C1464" t="str">
        <f t="shared" si="67"/>
        <v/>
      </c>
      <c r="D1464" t="str">
        <f>VLOOKUP(G1464,PathwayLookup!A:B,2,0)</f>
        <v>Social support (including VCS) (pathway 0)</v>
      </c>
      <c r="E1464" t="s">
        <v>243</v>
      </c>
      <c r="F1464" t="s">
        <v>614</v>
      </c>
      <c r="G1464" t="s">
        <v>682</v>
      </c>
      <c r="H1464">
        <v>0</v>
      </c>
      <c r="I1464">
        <v>0</v>
      </c>
      <c r="J1464">
        <v>0</v>
      </c>
      <c r="K1464">
        <v>0</v>
      </c>
      <c r="L1464">
        <v>0</v>
      </c>
      <c r="M1464">
        <v>0</v>
      </c>
      <c r="N1464">
        <v>0</v>
      </c>
      <c r="O1464">
        <v>0</v>
      </c>
      <c r="P1464">
        <v>0</v>
      </c>
      <c r="Q1464">
        <v>0</v>
      </c>
      <c r="R1464">
        <v>0</v>
      </c>
      <c r="S1464">
        <v>0</v>
      </c>
      <c r="T1464">
        <f t="shared" si="68"/>
        <v>0</v>
      </c>
      <c r="U1464">
        <v>1</v>
      </c>
    </row>
    <row r="1465" spans="1:21" x14ac:dyDescent="0.3">
      <c r="A1465" t="str">
        <f t="shared" si="66"/>
        <v>NorthumberlandReablement &amp; Rehabilitation at home  (pathway 1)1</v>
      </c>
      <c r="B1465">
        <f>IF(C1465="","",COUNTIF($C$2:C1465,C1465))</f>
        <v>1</v>
      </c>
      <c r="C1465" t="str">
        <f t="shared" si="67"/>
        <v>NorthumberlandReablement at home  (pathway 1)</v>
      </c>
      <c r="D1465" t="str">
        <f>VLOOKUP(G1465,PathwayLookup!A:B,2,0)</f>
        <v>Reablement &amp; Rehabilitation at home  (pathway 1)</v>
      </c>
      <c r="E1465" t="s">
        <v>243</v>
      </c>
      <c r="F1465" t="s">
        <v>565</v>
      </c>
      <c r="G1465" t="s">
        <v>718</v>
      </c>
      <c r="H1465">
        <v>44</v>
      </c>
      <c r="I1465">
        <v>41</v>
      </c>
      <c r="J1465">
        <v>42</v>
      </c>
      <c r="K1465">
        <v>42</v>
      </c>
      <c r="L1465">
        <v>42</v>
      </c>
      <c r="M1465">
        <v>42</v>
      </c>
      <c r="N1465">
        <v>42</v>
      </c>
      <c r="O1465">
        <v>42</v>
      </c>
      <c r="P1465">
        <v>42</v>
      </c>
      <c r="Q1465">
        <v>42</v>
      </c>
      <c r="R1465">
        <v>42</v>
      </c>
      <c r="S1465">
        <v>42</v>
      </c>
      <c r="T1465">
        <f t="shared" si="68"/>
        <v>505</v>
      </c>
      <c r="U1465">
        <v>1</v>
      </c>
    </row>
    <row r="1466" spans="1:21" x14ac:dyDescent="0.3">
      <c r="A1466" t="str">
        <f t="shared" si="66"/>
        <v>NorthumberlandReablement &amp; Rehabilitation at home  (pathway 1)2</v>
      </c>
      <c r="B1466">
        <f>IF(C1466="","",COUNTIF($C$2:C1466,C1466))</f>
        <v>2</v>
      </c>
      <c r="C1466" t="str">
        <f t="shared" si="67"/>
        <v>NorthumberlandReablement at home  (pathway 1)</v>
      </c>
      <c r="D1466" t="str">
        <f>VLOOKUP(G1466,PathwayLookup!A:B,2,0)</f>
        <v>Reablement &amp; Rehabilitation at home  (pathway 1)</v>
      </c>
      <c r="E1466" t="s">
        <v>243</v>
      </c>
      <c r="F1466" t="s">
        <v>614</v>
      </c>
      <c r="G1466" t="s">
        <v>718</v>
      </c>
      <c r="H1466">
        <v>16</v>
      </c>
      <c r="I1466">
        <v>15</v>
      </c>
      <c r="J1466">
        <v>15</v>
      </c>
      <c r="K1466">
        <v>15</v>
      </c>
      <c r="L1466">
        <v>15</v>
      </c>
      <c r="M1466">
        <v>15</v>
      </c>
      <c r="N1466">
        <v>15</v>
      </c>
      <c r="O1466">
        <v>15</v>
      </c>
      <c r="P1466">
        <v>15</v>
      </c>
      <c r="Q1466">
        <v>15</v>
      </c>
      <c r="R1466">
        <v>15</v>
      </c>
      <c r="S1466">
        <v>15</v>
      </c>
      <c r="T1466">
        <f t="shared" si="68"/>
        <v>181</v>
      </c>
      <c r="U1466">
        <v>1</v>
      </c>
    </row>
    <row r="1467" spans="1:21" x14ac:dyDescent="0.3">
      <c r="A1467" t="str">
        <f t="shared" si="66"/>
        <v>NorthumberlandReablement &amp; Rehabilitation at home  (pathway 1)1</v>
      </c>
      <c r="B1467">
        <f>IF(C1467="","",COUNTIF($C$2:C1467,C1467))</f>
        <v>1</v>
      </c>
      <c r="C1467" t="str">
        <f t="shared" si="67"/>
        <v>NorthumberlandRehabilitation at home (pathway 1)</v>
      </c>
      <c r="D1467" t="str">
        <f>VLOOKUP(G1467,PathwayLookup!A:B,2,0)</f>
        <v>Reablement &amp; Rehabilitation at home  (pathway 1)</v>
      </c>
      <c r="E1467" t="s">
        <v>243</v>
      </c>
      <c r="F1467" t="s">
        <v>565</v>
      </c>
      <c r="G1467" t="s">
        <v>719</v>
      </c>
      <c r="H1467">
        <v>243</v>
      </c>
      <c r="I1467">
        <v>270</v>
      </c>
      <c r="J1467">
        <v>264</v>
      </c>
      <c r="K1467">
        <v>264</v>
      </c>
      <c r="L1467">
        <v>264</v>
      </c>
      <c r="M1467">
        <v>264</v>
      </c>
      <c r="N1467">
        <v>264</v>
      </c>
      <c r="O1467">
        <v>264</v>
      </c>
      <c r="P1467">
        <v>264</v>
      </c>
      <c r="Q1467">
        <v>264</v>
      </c>
      <c r="R1467">
        <v>264</v>
      </c>
      <c r="S1467">
        <v>264</v>
      </c>
      <c r="T1467">
        <f t="shared" si="68"/>
        <v>3153</v>
      </c>
      <c r="U1467">
        <v>1</v>
      </c>
    </row>
    <row r="1468" spans="1:21" x14ac:dyDescent="0.3">
      <c r="A1468" t="str">
        <f t="shared" si="66"/>
        <v>NorthumberlandReablement &amp; Rehabilitation at home  (pathway 1)2</v>
      </c>
      <c r="B1468">
        <f>IF(C1468="","",COUNTIF($C$2:C1468,C1468))</f>
        <v>2</v>
      </c>
      <c r="C1468" t="str">
        <f t="shared" si="67"/>
        <v>NorthumberlandRehabilitation at home (pathway 1)</v>
      </c>
      <c r="D1468" t="str">
        <f>VLOOKUP(G1468,PathwayLookup!A:B,2,0)</f>
        <v>Reablement &amp; Rehabilitation at home  (pathway 1)</v>
      </c>
      <c r="E1468" t="s">
        <v>243</v>
      </c>
      <c r="F1468" t="s">
        <v>614</v>
      </c>
      <c r="G1468" t="s">
        <v>719</v>
      </c>
      <c r="H1468">
        <v>90</v>
      </c>
      <c r="I1468">
        <v>100</v>
      </c>
      <c r="J1468">
        <v>97</v>
      </c>
      <c r="K1468">
        <v>97</v>
      </c>
      <c r="L1468">
        <v>97</v>
      </c>
      <c r="M1468">
        <v>97</v>
      </c>
      <c r="N1468">
        <v>97</v>
      </c>
      <c r="O1468">
        <v>97</v>
      </c>
      <c r="P1468">
        <v>97</v>
      </c>
      <c r="Q1468">
        <v>97</v>
      </c>
      <c r="R1468">
        <v>97</v>
      </c>
      <c r="S1468">
        <v>97</v>
      </c>
      <c r="T1468">
        <f t="shared" si="68"/>
        <v>1160</v>
      </c>
      <c r="U1468">
        <v>1</v>
      </c>
    </row>
    <row r="1469" spans="1:21" x14ac:dyDescent="0.3">
      <c r="A1469" t="str">
        <f t="shared" si="66"/>
        <v>NorthumberlandShort term domiciliary care (pathway 1)1</v>
      </c>
      <c r="B1469">
        <f>IF(C1469="","",COUNTIF($C$2:C1469,C1469))</f>
        <v>1</v>
      </c>
      <c r="C1469" t="str">
        <f t="shared" si="67"/>
        <v>NorthumberlandShort term domiciliary care (pathway 1)</v>
      </c>
      <c r="D1469" t="str">
        <f>VLOOKUP(G1469,PathwayLookup!A:B,2,0)</f>
        <v>Short term domiciliary care (pathway 1)</v>
      </c>
      <c r="E1469" t="s">
        <v>243</v>
      </c>
      <c r="F1469" t="s">
        <v>565</v>
      </c>
      <c r="G1469" t="s">
        <v>684</v>
      </c>
      <c r="H1469">
        <v>45</v>
      </c>
      <c r="I1469">
        <v>45</v>
      </c>
      <c r="J1469">
        <v>45</v>
      </c>
      <c r="K1469">
        <v>47</v>
      </c>
      <c r="L1469">
        <v>47</v>
      </c>
      <c r="M1469">
        <v>50</v>
      </c>
      <c r="N1469">
        <v>50</v>
      </c>
      <c r="O1469">
        <v>50</v>
      </c>
      <c r="P1469">
        <v>55</v>
      </c>
      <c r="Q1469">
        <v>55</v>
      </c>
      <c r="R1469">
        <v>55</v>
      </c>
      <c r="S1469">
        <v>55</v>
      </c>
      <c r="T1469">
        <f t="shared" si="68"/>
        <v>599</v>
      </c>
      <c r="U1469">
        <v>1</v>
      </c>
    </row>
    <row r="1470" spans="1:21" x14ac:dyDescent="0.3">
      <c r="A1470" t="str">
        <f t="shared" si="66"/>
        <v>NorthumberlandShort term domiciliary care (pathway 1)2</v>
      </c>
      <c r="B1470">
        <f>IF(C1470="","",COUNTIF($C$2:C1470,C1470))</f>
        <v>2</v>
      </c>
      <c r="C1470" t="str">
        <f t="shared" si="67"/>
        <v>NorthumberlandShort term domiciliary care (pathway 1)</v>
      </c>
      <c r="D1470" t="str">
        <f>VLOOKUP(G1470,PathwayLookup!A:B,2,0)</f>
        <v>Short term domiciliary care (pathway 1)</v>
      </c>
      <c r="E1470" t="s">
        <v>243</v>
      </c>
      <c r="F1470" t="s">
        <v>614</v>
      </c>
      <c r="G1470" t="s">
        <v>684</v>
      </c>
      <c r="H1470">
        <v>20</v>
      </c>
      <c r="I1470">
        <v>20</v>
      </c>
      <c r="J1470">
        <v>20</v>
      </c>
      <c r="K1470">
        <v>20</v>
      </c>
      <c r="L1470">
        <v>20</v>
      </c>
      <c r="M1470">
        <v>20</v>
      </c>
      <c r="N1470">
        <v>20</v>
      </c>
      <c r="O1470">
        <v>20</v>
      </c>
      <c r="P1470">
        <v>20</v>
      </c>
      <c r="Q1470">
        <v>20</v>
      </c>
      <c r="R1470">
        <v>20</v>
      </c>
      <c r="S1470">
        <v>20</v>
      </c>
      <c r="T1470">
        <f t="shared" si="68"/>
        <v>240</v>
      </c>
      <c r="U1470">
        <v>1</v>
      </c>
    </row>
    <row r="1471" spans="1:21" x14ac:dyDescent="0.3">
      <c r="A1471" t="str">
        <f t="shared" si="66"/>
        <v>NorthumberlandReablement &amp; Rehabilitation in a bedded setting (pathway 2)1</v>
      </c>
      <c r="B1471">
        <f>IF(C1471="","",COUNTIF($C$2:C1471,C1471))</f>
        <v>1</v>
      </c>
      <c r="C1471" t="str">
        <f t="shared" si="67"/>
        <v>NorthumberlandReablement in a bedded setting (pathway 2)</v>
      </c>
      <c r="D1471" t="str">
        <f>VLOOKUP(G1471,PathwayLookup!A:B,2,0)</f>
        <v>Reablement &amp; Rehabilitation in a bedded setting (pathway 2)</v>
      </c>
      <c r="E1471" t="s">
        <v>243</v>
      </c>
      <c r="F1471" t="s">
        <v>565</v>
      </c>
      <c r="G1471" t="s">
        <v>722</v>
      </c>
      <c r="H1471">
        <v>42</v>
      </c>
      <c r="I1471">
        <v>42</v>
      </c>
      <c r="J1471">
        <v>42</v>
      </c>
      <c r="K1471">
        <v>42</v>
      </c>
      <c r="L1471">
        <v>42</v>
      </c>
      <c r="M1471">
        <v>42</v>
      </c>
      <c r="N1471">
        <v>42</v>
      </c>
      <c r="O1471">
        <v>42</v>
      </c>
      <c r="P1471">
        <v>42</v>
      </c>
      <c r="Q1471">
        <v>42</v>
      </c>
      <c r="R1471">
        <v>42</v>
      </c>
      <c r="S1471">
        <v>42</v>
      </c>
      <c r="T1471">
        <f t="shared" si="68"/>
        <v>504</v>
      </c>
      <c r="U1471">
        <v>1</v>
      </c>
    </row>
    <row r="1472" spans="1:21" x14ac:dyDescent="0.3">
      <c r="A1472" t="str">
        <f t="shared" si="66"/>
        <v>NorthumberlandReablement &amp; Rehabilitation in a bedded setting (pathway 2)2</v>
      </c>
      <c r="B1472">
        <f>IF(C1472="","",COUNTIF($C$2:C1472,C1472))</f>
        <v>2</v>
      </c>
      <c r="C1472" t="str">
        <f t="shared" si="67"/>
        <v>NorthumberlandReablement in a bedded setting (pathway 2)</v>
      </c>
      <c r="D1472" t="str">
        <f>VLOOKUP(G1472,PathwayLookup!A:B,2,0)</f>
        <v>Reablement &amp; Rehabilitation in a bedded setting (pathway 2)</v>
      </c>
      <c r="E1472" t="s">
        <v>243</v>
      </c>
      <c r="F1472" t="s">
        <v>614</v>
      </c>
      <c r="G1472" t="s">
        <v>722</v>
      </c>
      <c r="H1472">
        <v>15</v>
      </c>
      <c r="I1472">
        <v>15</v>
      </c>
      <c r="J1472">
        <v>15</v>
      </c>
      <c r="K1472">
        <v>15</v>
      </c>
      <c r="L1472">
        <v>15</v>
      </c>
      <c r="M1472">
        <v>15</v>
      </c>
      <c r="N1472">
        <v>15</v>
      </c>
      <c r="O1472">
        <v>15</v>
      </c>
      <c r="P1472">
        <v>15</v>
      </c>
      <c r="Q1472">
        <v>15</v>
      </c>
      <c r="R1472">
        <v>15</v>
      </c>
      <c r="S1472">
        <v>15</v>
      </c>
      <c r="T1472">
        <f t="shared" si="68"/>
        <v>180</v>
      </c>
      <c r="U1472">
        <v>1</v>
      </c>
    </row>
    <row r="1473" spans="1:21" x14ac:dyDescent="0.3">
      <c r="A1473" t="str">
        <f t="shared" si="66"/>
        <v>NorthumberlandReablement &amp; Rehabilitation in a bedded setting (pathway 2)1</v>
      </c>
      <c r="B1473">
        <f>IF(C1473="","",COUNTIF($C$2:C1473,C1473))</f>
        <v>1</v>
      </c>
      <c r="C1473" t="str">
        <f t="shared" si="67"/>
        <v>NorthumberlandRehabilitation in a bedded setting (pathway 2)</v>
      </c>
      <c r="D1473" t="str">
        <f>VLOOKUP(G1473,PathwayLookup!A:B,2,0)</f>
        <v>Reablement &amp; Rehabilitation in a bedded setting (pathway 2)</v>
      </c>
      <c r="E1473" t="s">
        <v>243</v>
      </c>
      <c r="F1473" t="s">
        <v>565</v>
      </c>
      <c r="G1473" t="s">
        <v>724</v>
      </c>
      <c r="H1473">
        <v>12</v>
      </c>
      <c r="I1473">
        <v>12</v>
      </c>
      <c r="J1473">
        <v>12</v>
      </c>
      <c r="K1473">
        <v>12</v>
      </c>
      <c r="L1473">
        <v>12</v>
      </c>
      <c r="M1473">
        <v>12</v>
      </c>
      <c r="N1473">
        <v>12</v>
      </c>
      <c r="O1473">
        <v>12</v>
      </c>
      <c r="P1473">
        <v>26</v>
      </c>
      <c r="Q1473">
        <v>26</v>
      </c>
      <c r="R1473">
        <v>26</v>
      </c>
      <c r="S1473">
        <v>26</v>
      </c>
      <c r="T1473">
        <f t="shared" si="68"/>
        <v>200</v>
      </c>
      <c r="U1473">
        <v>1</v>
      </c>
    </row>
    <row r="1474" spans="1:21" x14ac:dyDescent="0.3">
      <c r="A1474" t="str">
        <f t="shared" ref="A1474:A1537" si="69">IF(B1474="","",E1474&amp;D1474&amp;B1474)</f>
        <v>NorthumberlandReablement &amp; Rehabilitation in a bedded setting (pathway 2)2</v>
      </c>
      <c r="B1474">
        <f>IF(C1474="","",COUNTIF($C$2:C1474,C1474))</f>
        <v>2</v>
      </c>
      <c r="C1474" t="str">
        <f t="shared" ref="C1474:C1537" si="70">IF(T1474=0,"",E1474&amp;G1474)</f>
        <v>NorthumberlandRehabilitation in a bedded setting (pathway 2)</v>
      </c>
      <c r="D1474" t="str">
        <f>VLOOKUP(G1474,PathwayLookup!A:B,2,0)</f>
        <v>Reablement &amp; Rehabilitation in a bedded setting (pathway 2)</v>
      </c>
      <c r="E1474" t="s">
        <v>243</v>
      </c>
      <c r="F1474" t="s">
        <v>614</v>
      </c>
      <c r="G1474" t="s">
        <v>724</v>
      </c>
      <c r="H1474">
        <v>4</v>
      </c>
      <c r="I1474">
        <v>4</v>
      </c>
      <c r="J1474">
        <v>4</v>
      </c>
      <c r="K1474">
        <v>4</v>
      </c>
      <c r="L1474">
        <v>4</v>
      </c>
      <c r="M1474">
        <v>4</v>
      </c>
      <c r="N1474">
        <v>4</v>
      </c>
      <c r="O1474">
        <v>4</v>
      </c>
      <c r="P1474">
        <v>9</v>
      </c>
      <c r="Q1474">
        <v>9</v>
      </c>
      <c r="R1474">
        <v>9</v>
      </c>
      <c r="S1474">
        <v>9</v>
      </c>
      <c r="T1474">
        <f t="shared" ref="T1474:T1537" si="71">SUM(H1474:S1474)</f>
        <v>68</v>
      </c>
      <c r="U1474">
        <v>1</v>
      </c>
    </row>
    <row r="1475" spans="1:21" x14ac:dyDescent="0.3">
      <c r="A1475" t="str">
        <f t="shared" si="69"/>
        <v>NorthumberlandShort-term residential/nursing care for someone likely to require a longer-term care home placement (pathway 3)1</v>
      </c>
      <c r="B1475">
        <f>IF(C1475="","",COUNTIF($C$2:C1475,C1475))</f>
        <v>1</v>
      </c>
      <c r="C1475" t="str">
        <f t="shared" si="70"/>
        <v>NorthumberlandShort-term residential/nursing care for someone likely to require a longer-term care home placement (pathway 3)</v>
      </c>
      <c r="D1475" t="str">
        <f>VLOOKUP(G1475,PathwayLookup!A:B,2,0)</f>
        <v>Short-term residential/nursing care for someone likely to require a longer-term care home placement (pathway 3)</v>
      </c>
      <c r="E1475" t="s">
        <v>243</v>
      </c>
      <c r="F1475" t="s">
        <v>565</v>
      </c>
      <c r="G1475" t="s">
        <v>686</v>
      </c>
      <c r="H1475">
        <v>10</v>
      </c>
      <c r="I1475">
        <v>10</v>
      </c>
      <c r="J1475">
        <v>10</v>
      </c>
      <c r="K1475">
        <v>10</v>
      </c>
      <c r="L1475">
        <v>10</v>
      </c>
      <c r="M1475">
        <v>10</v>
      </c>
      <c r="N1475">
        <v>10</v>
      </c>
      <c r="O1475">
        <v>10</v>
      </c>
      <c r="P1475">
        <v>10</v>
      </c>
      <c r="Q1475">
        <v>10</v>
      </c>
      <c r="R1475">
        <v>10</v>
      </c>
      <c r="S1475">
        <v>10</v>
      </c>
      <c r="T1475">
        <f t="shared" si="71"/>
        <v>120</v>
      </c>
      <c r="U1475">
        <v>1</v>
      </c>
    </row>
    <row r="1476" spans="1:21" x14ac:dyDescent="0.3">
      <c r="A1476" t="str">
        <f t="shared" si="69"/>
        <v>NorthumberlandShort-term residential/nursing care for someone likely to require a longer-term care home placement (pathway 3)2</v>
      </c>
      <c r="B1476">
        <f>IF(C1476="","",COUNTIF($C$2:C1476,C1476))</f>
        <v>2</v>
      </c>
      <c r="C1476" t="str">
        <f t="shared" si="70"/>
        <v>NorthumberlandShort-term residential/nursing care for someone likely to require a longer-term care home placement (pathway 3)</v>
      </c>
      <c r="D1476" t="str">
        <f>VLOOKUP(G1476,PathwayLookup!A:B,2,0)</f>
        <v>Short-term residential/nursing care for someone likely to require a longer-term care home placement (pathway 3)</v>
      </c>
      <c r="E1476" t="s">
        <v>243</v>
      </c>
      <c r="F1476" t="s">
        <v>614</v>
      </c>
      <c r="G1476" t="s">
        <v>686</v>
      </c>
      <c r="H1476">
        <v>4</v>
      </c>
      <c r="I1476">
        <v>4</v>
      </c>
      <c r="J1476">
        <v>4</v>
      </c>
      <c r="K1476">
        <v>4</v>
      </c>
      <c r="L1476">
        <v>4</v>
      </c>
      <c r="M1476">
        <v>4</v>
      </c>
      <c r="N1476">
        <v>4</v>
      </c>
      <c r="O1476">
        <v>4</v>
      </c>
      <c r="P1476">
        <v>4</v>
      </c>
      <c r="Q1476">
        <v>4</v>
      </c>
      <c r="R1476">
        <v>4</v>
      </c>
      <c r="S1476">
        <v>4</v>
      </c>
      <c r="T1476">
        <f t="shared" si="71"/>
        <v>48</v>
      </c>
      <c r="U1476">
        <v>1</v>
      </c>
    </row>
    <row r="1477" spans="1:21" x14ac:dyDescent="0.3">
      <c r="A1477" t="str">
        <f t="shared" si="69"/>
        <v>NottinghamReablement &amp; Rehabilitation at home  (pathway 1)1</v>
      </c>
      <c r="B1477">
        <f>IF(C1477="","",COUNTIF($C$2:C1477,C1477))</f>
        <v>1</v>
      </c>
      <c r="C1477" t="str">
        <f t="shared" si="70"/>
        <v>NottinghamReablement at home  (pathway 1)</v>
      </c>
      <c r="D1477" t="str">
        <f>VLOOKUP(G1477,PathwayLookup!A:B,2,0)</f>
        <v>Reablement &amp; Rehabilitation at home  (pathway 1)</v>
      </c>
      <c r="E1477" t="s">
        <v>245</v>
      </c>
      <c r="F1477" t="s">
        <v>566</v>
      </c>
      <c r="G1477" t="s">
        <v>718</v>
      </c>
      <c r="H1477">
        <v>302</v>
      </c>
      <c r="I1477">
        <v>302</v>
      </c>
      <c r="J1477">
        <v>302</v>
      </c>
      <c r="K1477">
        <v>302</v>
      </c>
      <c r="L1477">
        <v>302</v>
      </c>
      <c r="M1477">
        <v>302</v>
      </c>
      <c r="N1477">
        <v>302</v>
      </c>
      <c r="O1477">
        <v>302</v>
      </c>
      <c r="P1477">
        <v>302</v>
      </c>
      <c r="Q1477">
        <v>302</v>
      </c>
      <c r="R1477">
        <v>302</v>
      </c>
      <c r="S1477">
        <v>302</v>
      </c>
      <c r="T1477">
        <f t="shared" si="71"/>
        <v>3624</v>
      </c>
      <c r="U1477">
        <v>1</v>
      </c>
    </row>
    <row r="1478" spans="1:21" x14ac:dyDescent="0.3">
      <c r="A1478" t="str">
        <f t="shared" si="69"/>
        <v>NottinghamReablement &amp; Rehabilitation at home  (pathway 1)2</v>
      </c>
      <c r="B1478">
        <f>IF(C1478="","",COUNTIF($C$2:C1478,C1478))</f>
        <v>2</v>
      </c>
      <c r="C1478" t="str">
        <f t="shared" si="70"/>
        <v>NottinghamReablement at home  (pathway 1)</v>
      </c>
      <c r="D1478" t="str">
        <f>VLOOKUP(G1478,PathwayLookup!A:B,2,0)</f>
        <v>Reablement &amp; Rehabilitation at home  (pathway 1)</v>
      </c>
      <c r="E1478" t="s">
        <v>245</v>
      </c>
      <c r="F1478" t="s">
        <v>567</v>
      </c>
      <c r="G1478" t="s">
        <v>718</v>
      </c>
      <c r="H1478">
        <v>6</v>
      </c>
      <c r="I1478">
        <v>6</v>
      </c>
      <c r="J1478">
        <v>6</v>
      </c>
      <c r="K1478">
        <v>6</v>
      </c>
      <c r="L1478">
        <v>6</v>
      </c>
      <c r="M1478">
        <v>6</v>
      </c>
      <c r="N1478">
        <v>6</v>
      </c>
      <c r="O1478">
        <v>6</v>
      </c>
      <c r="P1478">
        <v>6</v>
      </c>
      <c r="Q1478">
        <v>6</v>
      </c>
      <c r="R1478">
        <v>6</v>
      </c>
      <c r="S1478">
        <v>6</v>
      </c>
      <c r="T1478">
        <f t="shared" si="71"/>
        <v>72</v>
      </c>
      <c r="U1478">
        <v>1</v>
      </c>
    </row>
    <row r="1479" spans="1:21" x14ac:dyDescent="0.3">
      <c r="A1479" t="str">
        <f t="shared" si="69"/>
        <v>NottinghamReablement &amp; Rehabilitation at home  (pathway 1)3</v>
      </c>
      <c r="B1479">
        <f>IF(C1479="","",COUNTIF($C$2:C1479,C1479))</f>
        <v>3</v>
      </c>
      <c r="C1479" t="str">
        <f t="shared" si="70"/>
        <v>NottinghamReablement at home  (pathway 1)</v>
      </c>
      <c r="D1479" t="str">
        <f>VLOOKUP(G1479,PathwayLookup!A:B,2,0)</f>
        <v>Reablement &amp; Rehabilitation at home  (pathway 1)</v>
      </c>
      <c r="E1479" t="s">
        <v>245</v>
      </c>
      <c r="F1479" t="s">
        <v>588</v>
      </c>
      <c r="G1479" t="s">
        <v>718</v>
      </c>
      <c r="H1479">
        <v>43</v>
      </c>
      <c r="I1479">
        <v>43</v>
      </c>
      <c r="J1479">
        <v>43</v>
      </c>
      <c r="K1479">
        <v>43</v>
      </c>
      <c r="L1479">
        <v>43</v>
      </c>
      <c r="M1479">
        <v>43</v>
      </c>
      <c r="N1479">
        <v>43</v>
      </c>
      <c r="O1479">
        <v>43</v>
      </c>
      <c r="P1479">
        <v>43</v>
      </c>
      <c r="Q1479">
        <v>43</v>
      </c>
      <c r="R1479">
        <v>43</v>
      </c>
      <c r="S1479">
        <v>43</v>
      </c>
      <c r="T1479">
        <f t="shared" si="71"/>
        <v>516</v>
      </c>
      <c r="U1479">
        <v>1</v>
      </c>
    </row>
    <row r="1480" spans="1:21" x14ac:dyDescent="0.3">
      <c r="A1480" t="str">
        <f t="shared" si="69"/>
        <v>NottinghamReablement &amp; Rehabilitation at home  (pathway 1)4</v>
      </c>
      <c r="B1480">
        <f>IF(C1480="","",COUNTIF($C$2:C1480,C1480))</f>
        <v>4</v>
      </c>
      <c r="C1480" t="str">
        <f t="shared" si="70"/>
        <v>NottinghamReablement at home  (pathway 1)</v>
      </c>
      <c r="D1480" t="str">
        <f>VLOOKUP(G1480,PathwayLookup!A:B,2,0)</f>
        <v>Reablement &amp; Rehabilitation at home  (pathway 1)</v>
      </c>
      <c r="E1480" t="s">
        <v>245</v>
      </c>
      <c r="F1480" t="s">
        <v>651</v>
      </c>
      <c r="G1480" t="s">
        <v>718</v>
      </c>
      <c r="H1480">
        <v>15</v>
      </c>
      <c r="I1480">
        <v>15</v>
      </c>
      <c r="J1480">
        <v>15</v>
      </c>
      <c r="K1480">
        <v>15</v>
      </c>
      <c r="L1480">
        <v>15</v>
      </c>
      <c r="M1480">
        <v>15</v>
      </c>
      <c r="N1480">
        <v>15</v>
      </c>
      <c r="O1480">
        <v>15</v>
      </c>
      <c r="P1480">
        <v>15</v>
      </c>
      <c r="Q1480">
        <v>15</v>
      </c>
      <c r="R1480">
        <v>15</v>
      </c>
      <c r="S1480">
        <v>15</v>
      </c>
      <c r="T1480">
        <f t="shared" si="71"/>
        <v>180</v>
      </c>
      <c r="U1480">
        <v>1</v>
      </c>
    </row>
    <row r="1481" spans="1:21" x14ac:dyDescent="0.3">
      <c r="A1481" t="str">
        <f t="shared" si="69"/>
        <v>NottinghamReablement &amp; Rehabilitation in a bedded setting (pathway 2)1</v>
      </c>
      <c r="B1481">
        <f>IF(C1481="","",COUNTIF($C$2:C1481,C1481))</f>
        <v>1</v>
      </c>
      <c r="C1481" t="str">
        <f t="shared" si="70"/>
        <v>NottinghamRehabilitation in a bedded setting (pathway 2)</v>
      </c>
      <c r="D1481" t="str">
        <f>VLOOKUP(G1481,PathwayLookup!A:B,2,0)</f>
        <v>Reablement &amp; Rehabilitation in a bedded setting (pathway 2)</v>
      </c>
      <c r="E1481" t="s">
        <v>245</v>
      </c>
      <c r="F1481" t="s">
        <v>566</v>
      </c>
      <c r="G1481" t="s">
        <v>724</v>
      </c>
      <c r="H1481">
        <v>79</v>
      </c>
      <c r="I1481">
        <v>79</v>
      </c>
      <c r="J1481">
        <v>79</v>
      </c>
      <c r="K1481">
        <v>79</v>
      </c>
      <c r="L1481">
        <v>79</v>
      </c>
      <c r="M1481">
        <v>79</v>
      </c>
      <c r="N1481">
        <v>79</v>
      </c>
      <c r="O1481">
        <v>79</v>
      </c>
      <c r="P1481">
        <v>79</v>
      </c>
      <c r="Q1481">
        <v>79</v>
      </c>
      <c r="R1481">
        <v>79</v>
      </c>
      <c r="S1481">
        <v>79</v>
      </c>
      <c r="T1481">
        <f t="shared" si="71"/>
        <v>948</v>
      </c>
      <c r="U1481">
        <v>1</v>
      </c>
    </row>
    <row r="1482" spans="1:21" x14ac:dyDescent="0.3">
      <c r="A1482" t="str">
        <f t="shared" si="69"/>
        <v>NottinghamReablement &amp; Rehabilitation in a bedded setting (pathway 2)2</v>
      </c>
      <c r="B1482">
        <f>IF(C1482="","",COUNTIF($C$2:C1482,C1482))</f>
        <v>2</v>
      </c>
      <c r="C1482" t="str">
        <f t="shared" si="70"/>
        <v>NottinghamRehabilitation in a bedded setting (pathway 2)</v>
      </c>
      <c r="D1482" t="str">
        <f>VLOOKUP(G1482,PathwayLookup!A:B,2,0)</f>
        <v>Reablement &amp; Rehabilitation in a bedded setting (pathway 2)</v>
      </c>
      <c r="E1482" t="s">
        <v>245</v>
      </c>
      <c r="F1482" t="s">
        <v>567</v>
      </c>
      <c r="G1482" t="s">
        <v>724</v>
      </c>
      <c r="H1482">
        <v>8</v>
      </c>
      <c r="I1482">
        <v>8</v>
      </c>
      <c r="J1482">
        <v>8</v>
      </c>
      <c r="K1482">
        <v>8</v>
      </c>
      <c r="L1482">
        <v>8</v>
      </c>
      <c r="M1482">
        <v>8</v>
      </c>
      <c r="N1482">
        <v>8</v>
      </c>
      <c r="O1482">
        <v>8</v>
      </c>
      <c r="P1482">
        <v>8</v>
      </c>
      <c r="Q1482">
        <v>8</v>
      </c>
      <c r="R1482">
        <v>8</v>
      </c>
      <c r="S1482">
        <v>8</v>
      </c>
      <c r="T1482">
        <f t="shared" si="71"/>
        <v>96</v>
      </c>
      <c r="U1482">
        <v>1</v>
      </c>
    </row>
    <row r="1483" spans="1:21" x14ac:dyDescent="0.3">
      <c r="A1483" t="str">
        <f t="shared" si="69"/>
        <v>NottinghamReablement &amp; Rehabilitation in a bedded setting (pathway 2)3</v>
      </c>
      <c r="B1483">
        <f>IF(C1483="","",COUNTIF($C$2:C1483,C1483))</f>
        <v>3</v>
      </c>
      <c r="C1483" t="str">
        <f t="shared" si="70"/>
        <v>NottinghamRehabilitation in a bedded setting (pathway 2)</v>
      </c>
      <c r="D1483" t="str">
        <f>VLOOKUP(G1483,PathwayLookup!A:B,2,0)</f>
        <v>Reablement &amp; Rehabilitation in a bedded setting (pathway 2)</v>
      </c>
      <c r="E1483" t="s">
        <v>245</v>
      </c>
      <c r="F1483" t="s">
        <v>588</v>
      </c>
      <c r="G1483" t="s">
        <v>724</v>
      </c>
      <c r="H1483">
        <v>10</v>
      </c>
      <c r="I1483">
        <v>10</v>
      </c>
      <c r="J1483">
        <v>10</v>
      </c>
      <c r="K1483">
        <v>10</v>
      </c>
      <c r="L1483">
        <v>10</v>
      </c>
      <c r="M1483">
        <v>10</v>
      </c>
      <c r="N1483">
        <v>10</v>
      </c>
      <c r="O1483">
        <v>10</v>
      </c>
      <c r="P1483">
        <v>10</v>
      </c>
      <c r="Q1483">
        <v>10</v>
      </c>
      <c r="R1483">
        <v>10</v>
      </c>
      <c r="S1483">
        <v>10</v>
      </c>
      <c r="T1483">
        <f t="shared" si="71"/>
        <v>120</v>
      </c>
      <c r="U1483">
        <v>1</v>
      </c>
    </row>
    <row r="1484" spans="1:21" x14ac:dyDescent="0.3">
      <c r="A1484" t="str">
        <f t="shared" si="69"/>
        <v>NottinghamReablement &amp; Rehabilitation in a bedded setting (pathway 2)4</v>
      </c>
      <c r="B1484">
        <f>IF(C1484="","",COUNTIF($C$2:C1484,C1484))</f>
        <v>4</v>
      </c>
      <c r="C1484" t="str">
        <f t="shared" si="70"/>
        <v>NottinghamRehabilitation in a bedded setting (pathway 2)</v>
      </c>
      <c r="D1484" t="str">
        <f>VLOOKUP(G1484,PathwayLookup!A:B,2,0)</f>
        <v>Reablement &amp; Rehabilitation in a bedded setting (pathway 2)</v>
      </c>
      <c r="E1484" t="s">
        <v>245</v>
      </c>
      <c r="F1484" t="s">
        <v>651</v>
      </c>
      <c r="G1484" t="s">
        <v>724</v>
      </c>
      <c r="H1484">
        <v>4</v>
      </c>
      <c r="I1484">
        <v>4</v>
      </c>
      <c r="J1484">
        <v>4</v>
      </c>
      <c r="K1484">
        <v>4</v>
      </c>
      <c r="L1484">
        <v>4</v>
      </c>
      <c r="M1484">
        <v>4</v>
      </c>
      <c r="N1484">
        <v>4</v>
      </c>
      <c r="O1484">
        <v>4</v>
      </c>
      <c r="P1484">
        <v>4</v>
      </c>
      <c r="Q1484">
        <v>4</v>
      </c>
      <c r="R1484">
        <v>4</v>
      </c>
      <c r="S1484">
        <v>4</v>
      </c>
      <c r="T1484">
        <f t="shared" si="71"/>
        <v>48</v>
      </c>
      <c r="U1484">
        <v>1</v>
      </c>
    </row>
    <row r="1485" spans="1:21" x14ac:dyDescent="0.3">
      <c r="A1485" t="str">
        <f t="shared" si="69"/>
        <v>NottinghamShort-term residential/nursing care for someone likely to require a longer-term care home placement (pathway 3)1</v>
      </c>
      <c r="B1485">
        <f>IF(C1485="","",COUNTIF($C$2:C1485,C1485))</f>
        <v>1</v>
      </c>
      <c r="C1485" t="str">
        <f t="shared" si="70"/>
        <v>NottinghamShort-term residential/nursing care for someone likely to require a longer-term care home placement (pathway 3)</v>
      </c>
      <c r="D1485" t="str">
        <f>VLOOKUP(G1485,PathwayLookup!A:B,2,0)</f>
        <v>Short-term residential/nursing care for someone likely to require a longer-term care home placement (pathway 3)</v>
      </c>
      <c r="E1485" t="s">
        <v>245</v>
      </c>
      <c r="F1485" t="s">
        <v>566</v>
      </c>
      <c r="G1485" t="s">
        <v>686</v>
      </c>
      <c r="H1485">
        <v>24</v>
      </c>
      <c r="I1485">
        <v>24</v>
      </c>
      <c r="J1485">
        <v>24</v>
      </c>
      <c r="K1485">
        <v>24</v>
      </c>
      <c r="L1485">
        <v>24</v>
      </c>
      <c r="M1485">
        <v>24</v>
      </c>
      <c r="N1485">
        <v>24</v>
      </c>
      <c r="O1485">
        <v>24</v>
      </c>
      <c r="P1485">
        <v>24</v>
      </c>
      <c r="Q1485">
        <v>24</v>
      </c>
      <c r="R1485">
        <v>24</v>
      </c>
      <c r="S1485">
        <v>24</v>
      </c>
      <c r="T1485">
        <f t="shared" si="71"/>
        <v>288</v>
      </c>
      <c r="U1485">
        <v>1</v>
      </c>
    </row>
    <row r="1486" spans="1:21" x14ac:dyDescent="0.3">
      <c r="A1486" t="str">
        <f t="shared" si="69"/>
        <v>NottinghamShort-term residential/nursing care for someone likely to require a longer-term care home placement (pathway 3)2</v>
      </c>
      <c r="B1486">
        <f>IF(C1486="","",COUNTIF($C$2:C1486,C1486))</f>
        <v>2</v>
      </c>
      <c r="C1486" t="str">
        <f t="shared" si="70"/>
        <v>NottinghamShort-term residential/nursing care for someone likely to require a longer-term care home placement (pathway 3)</v>
      </c>
      <c r="D1486" t="str">
        <f>VLOOKUP(G1486,PathwayLookup!A:B,2,0)</f>
        <v>Short-term residential/nursing care for someone likely to require a longer-term care home placement (pathway 3)</v>
      </c>
      <c r="E1486" t="s">
        <v>245</v>
      </c>
      <c r="F1486" t="s">
        <v>567</v>
      </c>
      <c r="G1486" t="s">
        <v>686</v>
      </c>
      <c r="H1486">
        <v>4</v>
      </c>
      <c r="I1486">
        <v>4</v>
      </c>
      <c r="J1486">
        <v>4</v>
      </c>
      <c r="K1486">
        <v>4</v>
      </c>
      <c r="L1486">
        <v>4</v>
      </c>
      <c r="M1486">
        <v>4</v>
      </c>
      <c r="N1486">
        <v>4</v>
      </c>
      <c r="O1486">
        <v>4</v>
      </c>
      <c r="P1486">
        <v>4</v>
      </c>
      <c r="Q1486">
        <v>4</v>
      </c>
      <c r="R1486">
        <v>4</v>
      </c>
      <c r="S1486">
        <v>4</v>
      </c>
      <c r="T1486">
        <f t="shared" si="71"/>
        <v>48</v>
      </c>
      <c r="U1486">
        <v>1</v>
      </c>
    </row>
    <row r="1487" spans="1:21" x14ac:dyDescent="0.3">
      <c r="A1487" t="str">
        <f t="shared" si="69"/>
        <v>NottinghamShort-term residential/nursing care for someone likely to require a longer-term care home placement (pathway 3)3</v>
      </c>
      <c r="B1487">
        <f>IF(C1487="","",COUNTIF($C$2:C1487,C1487))</f>
        <v>3</v>
      </c>
      <c r="C1487" t="str">
        <f t="shared" si="70"/>
        <v>NottinghamShort-term residential/nursing care for someone likely to require a longer-term care home placement (pathway 3)</v>
      </c>
      <c r="D1487" t="str">
        <f>VLOOKUP(G1487,PathwayLookup!A:B,2,0)</f>
        <v>Short-term residential/nursing care for someone likely to require a longer-term care home placement (pathway 3)</v>
      </c>
      <c r="E1487" t="s">
        <v>245</v>
      </c>
      <c r="F1487" t="s">
        <v>588</v>
      </c>
      <c r="G1487" t="s">
        <v>686</v>
      </c>
      <c r="H1487">
        <v>8</v>
      </c>
      <c r="I1487">
        <v>8</v>
      </c>
      <c r="J1487">
        <v>8</v>
      </c>
      <c r="K1487">
        <v>8</v>
      </c>
      <c r="L1487">
        <v>8</v>
      </c>
      <c r="M1487">
        <v>8</v>
      </c>
      <c r="N1487">
        <v>8</v>
      </c>
      <c r="O1487">
        <v>8</v>
      </c>
      <c r="P1487">
        <v>8</v>
      </c>
      <c r="Q1487">
        <v>8</v>
      </c>
      <c r="R1487">
        <v>8</v>
      </c>
      <c r="S1487">
        <v>8</v>
      </c>
      <c r="T1487">
        <f t="shared" si="71"/>
        <v>96</v>
      </c>
      <c r="U1487">
        <v>1</v>
      </c>
    </row>
    <row r="1488" spans="1:21" x14ac:dyDescent="0.3">
      <c r="A1488" t="str">
        <f t="shared" si="69"/>
        <v>NottinghamShort-term residential/nursing care for someone likely to require a longer-term care home placement (pathway 3)4</v>
      </c>
      <c r="B1488">
        <f>IF(C1488="","",COUNTIF($C$2:C1488,C1488))</f>
        <v>4</v>
      </c>
      <c r="C1488" t="str">
        <f t="shared" si="70"/>
        <v>NottinghamShort-term residential/nursing care for someone likely to require a longer-term care home placement (pathway 3)</v>
      </c>
      <c r="D1488" t="str">
        <f>VLOOKUP(G1488,PathwayLookup!A:B,2,0)</f>
        <v>Short-term residential/nursing care for someone likely to require a longer-term care home placement (pathway 3)</v>
      </c>
      <c r="E1488" t="s">
        <v>245</v>
      </c>
      <c r="F1488" t="s">
        <v>651</v>
      </c>
      <c r="G1488" t="s">
        <v>686</v>
      </c>
      <c r="H1488">
        <v>2</v>
      </c>
      <c r="I1488">
        <v>2</v>
      </c>
      <c r="J1488">
        <v>2</v>
      </c>
      <c r="K1488">
        <v>2</v>
      </c>
      <c r="L1488">
        <v>2</v>
      </c>
      <c r="M1488">
        <v>2</v>
      </c>
      <c r="N1488">
        <v>2</v>
      </c>
      <c r="O1488">
        <v>2</v>
      </c>
      <c r="P1488">
        <v>2</v>
      </c>
      <c r="Q1488">
        <v>2</v>
      </c>
      <c r="R1488">
        <v>2</v>
      </c>
      <c r="S1488">
        <v>2</v>
      </c>
      <c r="T1488">
        <f t="shared" si="71"/>
        <v>24</v>
      </c>
      <c r="U1488">
        <v>1</v>
      </c>
    </row>
    <row r="1489" spans="1:21" x14ac:dyDescent="0.3">
      <c r="A1489" t="str">
        <f t="shared" si="69"/>
        <v/>
      </c>
      <c r="B1489" t="str">
        <f>IF(C1489="","",COUNTIF($C$2:C1489,C1489))</f>
        <v/>
      </c>
      <c r="C1489" t="str">
        <f t="shared" si="70"/>
        <v/>
      </c>
      <c r="D1489" t="str">
        <f>VLOOKUP(G1489,PathwayLookup!A:B,2,0)</f>
        <v>Social support (including VCS) (pathway 0)</v>
      </c>
      <c r="E1489" t="s">
        <v>247</v>
      </c>
      <c r="F1489" t="s">
        <v>448</v>
      </c>
      <c r="G1489" t="s">
        <v>682</v>
      </c>
      <c r="H1489">
        <v>0</v>
      </c>
      <c r="I1489">
        <v>0</v>
      </c>
      <c r="J1489">
        <v>0</v>
      </c>
      <c r="K1489">
        <v>0</v>
      </c>
      <c r="L1489">
        <v>0</v>
      </c>
      <c r="M1489">
        <v>0</v>
      </c>
      <c r="N1489">
        <v>0</v>
      </c>
      <c r="O1489">
        <v>0</v>
      </c>
      <c r="P1489">
        <v>0</v>
      </c>
      <c r="Q1489">
        <v>0</v>
      </c>
      <c r="R1489">
        <v>0</v>
      </c>
      <c r="S1489">
        <v>0</v>
      </c>
      <c r="T1489">
        <f t="shared" si="71"/>
        <v>0</v>
      </c>
      <c r="U1489">
        <v>1</v>
      </c>
    </row>
    <row r="1490" spans="1:21" x14ac:dyDescent="0.3">
      <c r="A1490" t="str">
        <f t="shared" si="69"/>
        <v>NottinghamshireReablement &amp; Rehabilitation at home  (pathway 1)1</v>
      </c>
      <c r="B1490">
        <f>IF(C1490="","",COUNTIF($C$2:C1490,C1490))</f>
        <v>1</v>
      </c>
      <c r="C1490" t="str">
        <f t="shared" si="70"/>
        <v>NottinghamshireReablement at home  (pathway 1)</v>
      </c>
      <c r="D1490" t="str">
        <f>VLOOKUP(G1490,PathwayLookup!A:B,2,0)</f>
        <v>Reablement &amp; Rehabilitation at home  (pathway 1)</v>
      </c>
      <c r="E1490" t="s">
        <v>247</v>
      </c>
      <c r="F1490" t="s">
        <v>489</v>
      </c>
      <c r="G1490" t="s">
        <v>718</v>
      </c>
      <c r="H1490">
        <v>44.166666666666664</v>
      </c>
      <c r="I1490">
        <v>44.166666666666664</v>
      </c>
      <c r="J1490">
        <v>44.166666666666664</v>
      </c>
      <c r="K1490">
        <v>44.166666666666664</v>
      </c>
      <c r="L1490">
        <v>44.166666666666664</v>
      </c>
      <c r="M1490">
        <v>44.166666666666664</v>
      </c>
      <c r="N1490">
        <v>44.166666666666664</v>
      </c>
      <c r="O1490">
        <v>44.166666666666664</v>
      </c>
      <c r="P1490">
        <v>44.166666666666664</v>
      </c>
      <c r="Q1490">
        <v>44.166666666666664</v>
      </c>
      <c r="R1490">
        <v>44.166666666666664</v>
      </c>
      <c r="S1490">
        <v>44.166666666666664</v>
      </c>
      <c r="T1490">
        <f t="shared" si="71"/>
        <v>530.00000000000011</v>
      </c>
      <c r="U1490">
        <v>1</v>
      </c>
    </row>
    <row r="1491" spans="1:21" x14ac:dyDescent="0.3">
      <c r="A1491" t="str">
        <f t="shared" si="69"/>
        <v>NottinghamshireReablement &amp; Rehabilitation at home  (pathway 1)2</v>
      </c>
      <c r="B1491">
        <f>IF(C1491="","",COUNTIF($C$2:C1491,C1491))</f>
        <v>2</v>
      </c>
      <c r="C1491" t="str">
        <f t="shared" si="70"/>
        <v>NottinghamshireReablement at home  (pathway 1)</v>
      </c>
      <c r="D1491" t="str">
        <f>VLOOKUP(G1491,PathwayLookup!A:B,2,0)</f>
        <v>Reablement &amp; Rehabilitation at home  (pathway 1)</v>
      </c>
      <c r="E1491" t="s">
        <v>247</v>
      </c>
      <c r="F1491" t="s">
        <v>566</v>
      </c>
      <c r="G1491" t="s">
        <v>718</v>
      </c>
      <c r="H1491">
        <v>302.04166666666663</v>
      </c>
      <c r="I1491">
        <v>302.04166666666663</v>
      </c>
      <c r="J1491">
        <v>302.04166666666663</v>
      </c>
      <c r="K1491">
        <v>302.04166666666663</v>
      </c>
      <c r="L1491">
        <v>302.04166666666663</v>
      </c>
      <c r="M1491">
        <v>302.04166666666663</v>
      </c>
      <c r="N1491">
        <v>302.04166666666663</v>
      </c>
      <c r="O1491">
        <v>302.04166666666663</v>
      </c>
      <c r="P1491">
        <v>302.04166666666663</v>
      </c>
      <c r="Q1491">
        <v>302.04166666666663</v>
      </c>
      <c r="R1491">
        <v>302.04166666666663</v>
      </c>
      <c r="S1491">
        <v>302.04166666666663</v>
      </c>
      <c r="T1491">
        <f t="shared" si="71"/>
        <v>3624.4999999999986</v>
      </c>
      <c r="U1491">
        <v>1</v>
      </c>
    </row>
    <row r="1492" spans="1:21" x14ac:dyDescent="0.3">
      <c r="A1492" t="str">
        <f t="shared" si="69"/>
        <v>NottinghamshireReablement &amp; Rehabilitation at home  (pathway 1)3</v>
      </c>
      <c r="B1492">
        <f>IF(C1492="","",COUNTIF($C$2:C1492,C1492))</f>
        <v>3</v>
      </c>
      <c r="C1492" t="str">
        <f t="shared" si="70"/>
        <v>NottinghamshireReablement at home  (pathway 1)</v>
      </c>
      <c r="D1492" t="str">
        <f>VLOOKUP(G1492,PathwayLookup!A:B,2,0)</f>
        <v>Reablement &amp; Rehabilitation at home  (pathway 1)</v>
      </c>
      <c r="E1492" t="s">
        <v>247</v>
      </c>
      <c r="F1492" t="s">
        <v>567</v>
      </c>
      <c r="G1492" t="s">
        <v>718</v>
      </c>
      <c r="H1492">
        <v>11.88</v>
      </c>
      <c r="I1492">
        <v>11.88</v>
      </c>
      <c r="J1492">
        <v>11.88</v>
      </c>
      <c r="K1492">
        <v>11.88</v>
      </c>
      <c r="L1492">
        <v>11.88</v>
      </c>
      <c r="M1492">
        <v>11.88</v>
      </c>
      <c r="N1492">
        <v>11.88</v>
      </c>
      <c r="O1492">
        <v>11.88</v>
      </c>
      <c r="P1492">
        <v>11.88</v>
      </c>
      <c r="Q1492">
        <v>11.88</v>
      </c>
      <c r="R1492">
        <v>11.88</v>
      </c>
      <c r="S1492">
        <v>11.88</v>
      </c>
      <c r="T1492">
        <f t="shared" si="71"/>
        <v>142.55999999999997</v>
      </c>
      <c r="U1492">
        <v>1</v>
      </c>
    </row>
    <row r="1493" spans="1:21" x14ac:dyDescent="0.3">
      <c r="A1493" t="str">
        <f t="shared" si="69"/>
        <v>NottinghamshireReablement &amp; Rehabilitation at home  (pathway 1)4</v>
      </c>
      <c r="B1493">
        <f>IF(C1493="","",COUNTIF($C$2:C1493,C1493))</f>
        <v>4</v>
      </c>
      <c r="C1493" t="str">
        <f t="shared" si="70"/>
        <v>NottinghamshireReablement at home  (pathway 1)</v>
      </c>
      <c r="D1493" t="str">
        <f>VLOOKUP(G1493,PathwayLookup!A:B,2,0)</f>
        <v>Reablement &amp; Rehabilitation at home  (pathway 1)</v>
      </c>
      <c r="E1493" t="s">
        <v>247</v>
      </c>
      <c r="F1493" t="s">
        <v>588</v>
      </c>
      <c r="G1493" t="s">
        <v>718</v>
      </c>
      <c r="H1493">
        <v>170</v>
      </c>
      <c r="I1493">
        <v>170</v>
      </c>
      <c r="J1493">
        <v>170</v>
      </c>
      <c r="K1493">
        <v>170</v>
      </c>
      <c r="L1493">
        <v>170</v>
      </c>
      <c r="M1493">
        <v>170</v>
      </c>
      <c r="N1493">
        <v>170</v>
      </c>
      <c r="O1493">
        <v>170</v>
      </c>
      <c r="P1493">
        <v>170</v>
      </c>
      <c r="Q1493">
        <v>170</v>
      </c>
      <c r="R1493">
        <v>170</v>
      </c>
      <c r="S1493">
        <v>170</v>
      </c>
      <c r="T1493">
        <f t="shared" si="71"/>
        <v>2040</v>
      </c>
      <c r="U1493">
        <v>1</v>
      </c>
    </row>
    <row r="1494" spans="1:21" x14ac:dyDescent="0.3">
      <c r="A1494" t="str">
        <f t="shared" si="69"/>
        <v>NottinghamshireReablement &amp; Rehabilitation at home  (pathway 1)5</v>
      </c>
      <c r="B1494">
        <f>IF(C1494="","",COUNTIF($C$2:C1494,C1494))</f>
        <v>5</v>
      </c>
      <c r="C1494" t="str">
        <f t="shared" si="70"/>
        <v>NottinghamshireReablement at home  (pathway 1)</v>
      </c>
      <c r="D1494" t="str">
        <f>VLOOKUP(G1494,PathwayLookup!A:B,2,0)</f>
        <v>Reablement &amp; Rehabilitation at home  (pathway 1)</v>
      </c>
      <c r="E1494" t="s">
        <v>247</v>
      </c>
      <c r="F1494" t="s">
        <v>651</v>
      </c>
      <c r="G1494" t="s">
        <v>718</v>
      </c>
      <c r="H1494">
        <v>29</v>
      </c>
      <c r="I1494">
        <v>29</v>
      </c>
      <c r="J1494">
        <v>29</v>
      </c>
      <c r="K1494">
        <v>29</v>
      </c>
      <c r="L1494">
        <v>29</v>
      </c>
      <c r="M1494">
        <v>29</v>
      </c>
      <c r="N1494">
        <v>29</v>
      </c>
      <c r="O1494">
        <v>29</v>
      </c>
      <c r="P1494">
        <v>29</v>
      </c>
      <c r="Q1494">
        <v>29</v>
      </c>
      <c r="R1494">
        <v>29</v>
      </c>
      <c r="S1494">
        <v>29</v>
      </c>
      <c r="T1494">
        <f t="shared" si="71"/>
        <v>348</v>
      </c>
      <c r="U1494">
        <v>1</v>
      </c>
    </row>
    <row r="1495" spans="1:21" x14ac:dyDescent="0.3">
      <c r="A1495" t="str">
        <f t="shared" si="69"/>
        <v/>
      </c>
      <c r="B1495" t="str">
        <f>IF(C1495="","",COUNTIF($C$2:C1495,C1495))</f>
        <v/>
      </c>
      <c r="C1495" t="str">
        <f t="shared" si="70"/>
        <v/>
      </c>
      <c r="D1495" t="str">
        <f>VLOOKUP(G1495,PathwayLookup!A:B,2,0)</f>
        <v>Reablement &amp; Rehabilitation in a bedded setting (pathway 2)</v>
      </c>
      <c r="E1495" t="s">
        <v>247</v>
      </c>
      <c r="F1495" t="s">
        <v>448</v>
      </c>
      <c r="G1495" t="s">
        <v>722</v>
      </c>
      <c r="H1495">
        <v>0</v>
      </c>
      <c r="I1495">
        <v>0</v>
      </c>
      <c r="J1495">
        <v>0</v>
      </c>
      <c r="K1495">
        <v>0</v>
      </c>
      <c r="L1495">
        <v>0</v>
      </c>
      <c r="M1495">
        <v>0</v>
      </c>
      <c r="N1495">
        <v>0</v>
      </c>
      <c r="O1495">
        <v>0</v>
      </c>
      <c r="P1495">
        <v>0</v>
      </c>
      <c r="Q1495">
        <v>0</v>
      </c>
      <c r="R1495">
        <v>0</v>
      </c>
      <c r="S1495">
        <v>0</v>
      </c>
      <c r="T1495">
        <f t="shared" si="71"/>
        <v>0</v>
      </c>
      <c r="U1495">
        <v>1</v>
      </c>
    </row>
    <row r="1496" spans="1:21" x14ac:dyDescent="0.3">
      <c r="A1496" t="str">
        <f t="shared" si="69"/>
        <v/>
      </c>
      <c r="B1496" t="str">
        <f>IF(C1496="","",COUNTIF($C$2:C1496,C1496))</f>
        <v/>
      </c>
      <c r="C1496" t="str">
        <f t="shared" si="70"/>
        <v/>
      </c>
      <c r="D1496" t="str">
        <f>VLOOKUP(G1496,PathwayLookup!A:B,2,0)</f>
        <v>Reablement &amp; Rehabilitation in a bedded setting (pathway 2)</v>
      </c>
      <c r="E1496" t="s">
        <v>247</v>
      </c>
      <c r="F1496" t="s">
        <v>489</v>
      </c>
      <c r="G1496" t="s">
        <v>722</v>
      </c>
      <c r="H1496">
        <v>0</v>
      </c>
      <c r="I1496">
        <v>0</v>
      </c>
      <c r="J1496">
        <v>0</v>
      </c>
      <c r="K1496">
        <v>0</v>
      </c>
      <c r="L1496">
        <v>0</v>
      </c>
      <c r="M1496">
        <v>0</v>
      </c>
      <c r="N1496">
        <v>0</v>
      </c>
      <c r="O1496">
        <v>0</v>
      </c>
      <c r="P1496">
        <v>0</v>
      </c>
      <c r="Q1496">
        <v>0</v>
      </c>
      <c r="R1496">
        <v>0</v>
      </c>
      <c r="S1496">
        <v>0</v>
      </c>
      <c r="T1496">
        <f t="shared" si="71"/>
        <v>0</v>
      </c>
      <c r="U1496">
        <v>1</v>
      </c>
    </row>
    <row r="1497" spans="1:21" x14ac:dyDescent="0.3">
      <c r="A1497" t="str">
        <f t="shared" si="69"/>
        <v/>
      </c>
      <c r="B1497" t="str">
        <f>IF(C1497="","",COUNTIF($C$2:C1497,C1497))</f>
        <v/>
      </c>
      <c r="C1497" t="str">
        <f t="shared" si="70"/>
        <v/>
      </c>
      <c r="D1497" t="str">
        <f>VLOOKUP(G1497,PathwayLookup!A:B,2,0)</f>
        <v>Reablement &amp; Rehabilitation in a bedded setting (pathway 2)</v>
      </c>
      <c r="E1497" t="s">
        <v>247</v>
      </c>
      <c r="F1497" t="s">
        <v>566</v>
      </c>
      <c r="G1497" t="s">
        <v>722</v>
      </c>
      <c r="H1497">
        <v>0</v>
      </c>
      <c r="I1497">
        <v>0</v>
      </c>
      <c r="J1497">
        <v>0</v>
      </c>
      <c r="K1497">
        <v>0</v>
      </c>
      <c r="L1497">
        <v>0</v>
      </c>
      <c r="M1497">
        <v>0</v>
      </c>
      <c r="N1497">
        <v>0</v>
      </c>
      <c r="O1497">
        <v>0</v>
      </c>
      <c r="P1497">
        <v>0</v>
      </c>
      <c r="Q1497">
        <v>0</v>
      </c>
      <c r="R1497">
        <v>0</v>
      </c>
      <c r="S1497">
        <v>0</v>
      </c>
      <c r="T1497">
        <f t="shared" si="71"/>
        <v>0</v>
      </c>
      <c r="U1497">
        <v>1</v>
      </c>
    </row>
    <row r="1498" spans="1:21" x14ac:dyDescent="0.3">
      <c r="A1498" t="str">
        <f t="shared" si="69"/>
        <v/>
      </c>
      <c r="B1498" t="str">
        <f>IF(C1498="","",COUNTIF($C$2:C1498,C1498))</f>
        <v/>
      </c>
      <c r="C1498" t="str">
        <f t="shared" si="70"/>
        <v/>
      </c>
      <c r="D1498" t="str">
        <f>VLOOKUP(G1498,PathwayLookup!A:B,2,0)</f>
        <v>Reablement &amp; Rehabilitation in a bedded setting (pathway 2)</v>
      </c>
      <c r="E1498" t="s">
        <v>247</v>
      </c>
      <c r="F1498" t="s">
        <v>567</v>
      </c>
      <c r="G1498" t="s">
        <v>722</v>
      </c>
      <c r="H1498">
        <v>0</v>
      </c>
      <c r="I1498">
        <v>0</v>
      </c>
      <c r="J1498">
        <v>0</v>
      </c>
      <c r="K1498">
        <v>0</v>
      </c>
      <c r="L1498">
        <v>0</v>
      </c>
      <c r="M1498">
        <v>0</v>
      </c>
      <c r="N1498">
        <v>0</v>
      </c>
      <c r="O1498">
        <v>0</v>
      </c>
      <c r="P1498">
        <v>0</v>
      </c>
      <c r="Q1498">
        <v>0</v>
      </c>
      <c r="R1498">
        <v>0</v>
      </c>
      <c r="S1498">
        <v>0</v>
      </c>
      <c r="T1498">
        <f t="shared" si="71"/>
        <v>0</v>
      </c>
      <c r="U1498">
        <v>1</v>
      </c>
    </row>
    <row r="1499" spans="1:21" x14ac:dyDescent="0.3">
      <c r="A1499" t="str">
        <f t="shared" si="69"/>
        <v/>
      </c>
      <c r="B1499" t="str">
        <f>IF(C1499="","",COUNTIF($C$2:C1499,C1499))</f>
        <v/>
      </c>
      <c r="C1499" t="str">
        <f t="shared" si="70"/>
        <v/>
      </c>
      <c r="D1499" t="str">
        <f>VLOOKUP(G1499,PathwayLookup!A:B,2,0)</f>
        <v>Reablement &amp; Rehabilitation in a bedded setting (pathway 2)</v>
      </c>
      <c r="E1499" t="s">
        <v>247</v>
      </c>
      <c r="F1499" t="s">
        <v>588</v>
      </c>
      <c r="G1499" t="s">
        <v>722</v>
      </c>
      <c r="H1499">
        <v>0</v>
      </c>
      <c r="I1499">
        <v>0</v>
      </c>
      <c r="J1499">
        <v>0</v>
      </c>
      <c r="K1499">
        <v>0</v>
      </c>
      <c r="L1499">
        <v>0</v>
      </c>
      <c r="M1499">
        <v>0</v>
      </c>
      <c r="N1499">
        <v>0</v>
      </c>
      <c r="O1499">
        <v>0</v>
      </c>
      <c r="P1499">
        <v>0</v>
      </c>
      <c r="Q1499">
        <v>0</v>
      </c>
      <c r="R1499">
        <v>0</v>
      </c>
      <c r="S1499">
        <v>0</v>
      </c>
      <c r="T1499">
        <f t="shared" si="71"/>
        <v>0</v>
      </c>
      <c r="U1499">
        <v>1</v>
      </c>
    </row>
    <row r="1500" spans="1:21" x14ac:dyDescent="0.3">
      <c r="A1500" t="str">
        <f t="shared" si="69"/>
        <v/>
      </c>
      <c r="B1500" t="str">
        <f>IF(C1500="","",COUNTIF($C$2:C1500,C1500))</f>
        <v/>
      </c>
      <c r="C1500" t="str">
        <f t="shared" si="70"/>
        <v/>
      </c>
      <c r="D1500" t="str">
        <f>VLOOKUP(G1500,PathwayLookup!A:B,2,0)</f>
        <v>Reablement &amp; Rehabilitation in a bedded setting (pathway 2)</v>
      </c>
      <c r="E1500" t="s">
        <v>247</v>
      </c>
      <c r="F1500" t="s">
        <v>651</v>
      </c>
      <c r="G1500" t="s">
        <v>722</v>
      </c>
      <c r="H1500">
        <v>0</v>
      </c>
      <c r="I1500">
        <v>0</v>
      </c>
      <c r="J1500">
        <v>0</v>
      </c>
      <c r="K1500">
        <v>0</v>
      </c>
      <c r="L1500">
        <v>0</v>
      </c>
      <c r="M1500">
        <v>0</v>
      </c>
      <c r="N1500">
        <v>0</v>
      </c>
      <c r="O1500">
        <v>0</v>
      </c>
      <c r="P1500">
        <v>0</v>
      </c>
      <c r="Q1500">
        <v>0</v>
      </c>
      <c r="R1500">
        <v>0</v>
      </c>
      <c r="S1500">
        <v>0</v>
      </c>
      <c r="T1500">
        <f t="shared" si="71"/>
        <v>0</v>
      </c>
      <c r="U1500">
        <v>1</v>
      </c>
    </row>
    <row r="1501" spans="1:21" x14ac:dyDescent="0.3">
      <c r="A1501" t="str">
        <f t="shared" si="69"/>
        <v/>
      </c>
      <c r="B1501" t="str">
        <f>IF(C1501="","",COUNTIF($C$2:C1501,C1501))</f>
        <v/>
      </c>
      <c r="C1501" t="str">
        <f t="shared" si="70"/>
        <v/>
      </c>
      <c r="D1501" t="str">
        <f>VLOOKUP(G1501,PathwayLookup!A:B,2,0)</f>
        <v>Reablement &amp; Rehabilitation in a bedded setting (pathway 2)</v>
      </c>
      <c r="E1501" t="s">
        <v>247</v>
      </c>
      <c r="F1501" t="s">
        <v>448</v>
      </c>
      <c r="G1501" t="s">
        <v>724</v>
      </c>
      <c r="H1501">
        <v>0</v>
      </c>
      <c r="I1501">
        <v>0</v>
      </c>
      <c r="J1501">
        <v>0</v>
      </c>
      <c r="K1501">
        <v>0</v>
      </c>
      <c r="L1501">
        <v>0</v>
      </c>
      <c r="M1501">
        <v>0</v>
      </c>
      <c r="N1501">
        <v>0</v>
      </c>
      <c r="O1501">
        <v>0</v>
      </c>
      <c r="P1501">
        <v>0</v>
      </c>
      <c r="Q1501">
        <v>0</v>
      </c>
      <c r="R1501">
        <v>0</v>
      </c>
      <c r="S1501">
        <v>0</v>
      </c>
      <c r="T1501">
        <f t="shared" si="71"/>
        <v>0</v>
      </c>
      <c r="U1501">
        <v>1</v>
      </c>
    </row>
    <row r="1502" spans="1:21" x14ac:dyDescent="0.3">
      <c r="A1502" t="str">
        <f t="shared" si="69"/>
        <v>NottinghamshireReablement &amp; Rehabilitation in a bedded setting (pathway 2)1</v>
      </c>
      <c r="B1502">
        <f>IF(C1502="","",COUNTIF($C$2:C1502,C1502))</f>
        <v>1</v>
      </c>
      <c r="C1502" t="str">
        <f t="shared" si="70"/>
        <v>NottinghamshireRehabilitation in a bedded setting (pathway 2)</v>
      </c>
      <c r="D1502" t="str">
        <f>VLOOKUP(G1502,PathwayLookup!A:B,2,0)</f>
        <v>Reablement &amp; Rehabilitation in a bedded setting (pathway 2)</v>
      </c>
      <c r="E1502" t="s">
        <v>247</v>
      </c>
      <c r="F1502" t="s">
        <v>489</v>
      </c>
      <c r="G1502" t="s">
        <v>724</v>
      </c>
      <c r="H1502">
        <v>19</v>
      </c>
      <c r="I1502">
        <v>19</v>
      </c>
      <c r="J1502">
        <v>19</v>
      </c>
      <c r="K1502">
        <v>19</v>
      </c>
      <c r="L1502">
        <v>19</v>
      </c>
      <c r="M1502">
        <v>19</v>
      </c>
      <c r="N1502">
        <v>19</v>
      </c>
      <c r="O1502">
        <v>19</v>
      </c>
      <c r="P1502">
        <v>19</v>
      </c>
      <c r="Q1502">
        <v>19</v>
      </c>
      <c r="R1502">
        <v>19</v>
      </c>
      <c r="S1502">
        <v>19</v>
      </c>
      <c r="T1502">
        <f t="shared" si="71"/>
        <v>228</v>
      </c>
      <c r="U1502">
        <v>1</v>
      </c>
    </row>
    <row r="1503" spans="1:21" x14ac:dyDescent="0.3">
      <c r="A1503" t="str">
        <f t="shared" si="69"/>
        <v>NottinghamshireReablement &amp; Rehabilitation in a bedded setting (pathway 2)2</v>
      </c>
      <c r="B1503">
        <f>IF(C1503="","",COUNTIF($C$2:C1503,C1503))</f>
        <v>2</v>
      </c>
      <c r="C1503" t="str">
        <f t="shared" si="70"/>
        <v>NottinghamshireRehabilitation in a bedded setting (pathway 2)</v>
      </c>
      <c r="D1503" t="str">
        <f>VLOOKUP(G1503,PathwayLookup!A:B,2,0)</f>
        <v>Reablement &amp; Rehabilitation in a bedded setting (pathway 2)</v>
      </c>
      <c r="E1503" t="s">
        <v>247</v>
      </c>
      <c r="F1503" t="s">
        <v>566</v>
      </c>
      <c r="G1503" t="s">
        <v>724</v>
      </c>
      <c r="H1503">
        <v>79</v>
      </c>
      <c r="I1503">
        <v>79</v>
      </c>
      <c r="J1503">
        <v>79</v>
      </c>
      <c r="K1503">
        <v>79</v>
      </c>
      <c r="L1503">
        <v>79</v>
      </c>
      <c r="M1503">
        <v>79</v>
      </c>
      <c r="N1503">
        <v>79</v>
      </c>
      <c r="O1503">
        <v>79</v>
      </c>
      <c r="P1503">
        <v>79</v>
      </c>
      <c r="Q1503">
        <v>79</v>
      </c>
      <c r="R1503">
        <v>79</v>
      </c>
      <c r="S1503">
        <v>79</v>
      </c>
      <c r="T1503">
        <f t="shared" si="71"/>
        <v>948</v>
      </c>
      <c r="U1503">
        <v>1</v>
      </c>
    </row>
    <row r="1504" spans="1:21" x14ac:dyDescent="0.3">
      <c r="A1504" t="str">
        <f t="shared" si="69"/>
        <v>NottinghamshireReablement &amp; Rehabilitation in a bedded setting (pathway 2)3</v>
      </c>
      <c r="B1504">
        <f>IF(C1504="","",COUNTIF($C$2:C1504,C1504))</f>
        <v>3</v>
      </c>
      <c r="C1504" t="str">
        <f t="shared" si="70"/>
        <v>NottinghamshireRehabilitation in a bedded setting (pathway 2)</v>
      </c>
      <c r="D1504" t="str">
        <f>VLOOKUP(G1504,PathwayLookup!A:B,2,0)</f>
        <v>Reablement &amp; Rehabilitation in a bedded setting (pathway 2)</v>
      </c>
      <c r="E1504" t="s">
        <v>247</v>
      </c>
      <c r="F1504" t="s">
        <v>567</v>
      </c>
      <c r="G1504" t="s">
        <v>724</v>
      </c>
      <c r="H1504">
        <v>15</v>
      </c>
      <c r="I1504">
        <v>15</v>
      </c>
      <c r="J1504">
        <v>15</v>
      </c>
      <c r="K1504">
        <v>15</v>
      </c>
      <c r="L1504">
        <v>15</v>
      </c>
      <c r="M1504">
        <v>15</v>
      </c>
      <c r="N1504">
        <v>15</v>
      </c>
      <c r="O1504">
        <v>15</v>
      </c>
      <c r="P1504">
        <v>15</v>
      </c>
      <c r="Q1504">
        <v>15</v>
      </c>
      <c r="R1504">
        <v>15</v>
      </c>
      <c r="S1504">
        <v>15</v>
      </c>
      <c r="T1504">
        <f t="shared" si="71"/>
        <v>180</v>
      </c>
      <c r="U1504">
        <v>1</v>
      </c>
    </row>
    <row r="1505" spans="1:21" x14ac:dyDescent="0.3">
      <c r="A1505" t="str">
        <f t="shared" si="69"/>
        <v>NottinghamshireReablement &amp; Rehabilitation in a bedded setting (pathway 2)4</v>
      </c>
      <c r="B1505">
        <f>IF(C1505="","",COUNTIF($C$2:C1505,C1505))</f>
        <v>4</v>
      </c>
      <c r="C1505" t="str">
        <f t="shared" si="70"/>
        <v>NottinghamshireRehabilitation in a bedded setting (pathway 2)</v>
      </c>
      <c r="D1505" t="str">
        <f>VLOOKUP(G1505,PathwayLookup!A:B,2,0)</f>
        <v>Reablement &amp; Rehabilitation in a bedded setting (pathway 2)</v>
      </c>
      <c r="E1505" t="s">
        <v>247</v>
      </c>
      <c r="F1505" t="s">
        <v>588</v>
      </c>
      <c r="G1505" t="s">
        <v>724</v>
      </c>
      <c r="H1505">
        <v>41</v>
      </c>
      <c r="I1505">
        <v>41</v>
      </c>
      <c r="J1505">
        <v>41</v>
      </c>
      <c r="K1505">
        <v>41</v>
      </c>
      <c r="L1505">
        <v>41</v>
      </c>
      <c r="M1505">
        <v>41</v>
      </c>
      <c r="N1505">
        <v>41</v>
      </c>
      <c r="O1505">
        <v>41</v>
      </c>
      <c r="P1505">
        <v>41</v>
      </c>
      <c r="Q1505">
        <v>41</v>
      </c>
      <c r="R1505">
        <v>41</v>
      </c>
      <c r="S1505">
        <v>41</v>
      </c>
      <c r="T1505">
        <f t="shared" si="71"/>
        <v>492</v>
      </c>
      <c r="U1505">
        <v>1</v>
      </c>
    </row>
    <row r="1506" spans="1:21" x14ac:dyDescent="0.3">
      <c r="A1506" t="str">
        <f t="shared" si="69"/>
        <v>NottinghamshireReablement &amp; Rehabilitation in a bedded setting (pathway 2)5</v>
      </c>
      <c r="B1506">
        <f>IF(C1506="","",COUNTIF($C$2:C1506,C1506))</f>
        <v>5</v>
      </c>
      <c r="C1506" t="str">
        <f t="shared" si="70"/>
        <v>NottinghamshireRehabilitation in a bedded setting (pathway 2)</v>
      </c>
      <c r="D1506" t="str">
        <f>VLOOKUP(G1506,PathwayLookup!A:B,2,0)</f>
        <v>Reablement &amp; Rehabilitation in a bedded setting (pathway 2)</v>
      </c>
      <c r="E1506" t="s">
        <v>247</v>
      </c>
      <c r="F1506" t="s">
        <v>651</v>
      </c>
      <c r="G1506" t="s">
        <v>724</v>
      </c>
      <c r="H1506">
        <v>8</v>
      </c>
      <c r="I1506">
        <v>8</v>
      </c>
      <c r="J1506">
        <v>8</v>
      </c>
      <c r="K1506">
        <v>8</v>
      </c>
      <c r="L1506">
        <v>8</v>
      </c>
      <c r="M1506">
        <v>8</v>
      </c>
      <c r="N1506">
        <v>8</v>
      </c>
      <c r="O1506">
        <v>8</v>
      </c>
      <c r="P1506">
        <v>8</v>
      </c>
      <c r="Q1506">
        <v>8</v>
      </c>
      <c r="R1506">
        <v>8</v>
      </c>
      <c r="S1506">
        <v>8</v>
      </c>
      <c r="T1506">
        <f t="shared" si="71"/>
        <v>96</v>
      </c>
      <c r="U1506">
        <v>1</v>
      </c>
    </row>
    <row r="1507" spans="1:21" x14ac:dyDescent="0.3">
      <c r="A1507" t="str">
        <f t="shared" si="69"/>
        <v>NottinghamshireShort-term residential/nursing care for someone likely to require a longer-term care home placement (pathway 3)1</v>
      </c>
      <c r="B1507">
        <f>IF(C1507="","",COUNTIF($C$2:C1507,C1507))</f>
        <v>1</v>
      </c>
      <c r="C1507" t="str">
        <f t="shared" si="70"/>
        <v>NottinghamshireShort-term residential/nursing care for someone likely to require a longer-term care home placement (pathway 3)</v>
      </c>
      <c r="D1507" t="str">
        <f>VLOOKUP(G1507,PathwayLookup!A:B,2,0)</f>
        <v>Short-term residential/nursing care for someone likely to require a longer-term care home placement (pathway 3)</v>
      </c>
      <c r="E1507" t="s">
        <v>247</v>
      </c>
      <c r="F1507" t="s">
        <v>489</v>
      </c>
      <c r="G1507" t="s">
        <v>686</v>
      </c>
      <c r="H1507">
        <v>9</v>
      </c>
      <c r="I1507">
        <v>9</v>
      </c>
      <c r="J1507">
        <v>9</v>
      </c>
      <c r="K1507">
        <v>9</v>
      </c>
      <c r="L1507">
        <v>9</v>
      </c>
      <c r="M1507">
        <v>9</v>
      </c>
      <c r="N1507">
        <v>9</v>
      </c>
      <c r="O1507">
        <v>9</v>
      </c>
      <c r="P1507">
        <v>9</v>
      </c>
      <c r="Q1507">
        <v>9</v>
      </c>
      <c r="R1507">
        <v>9</v>
      </c>
      <c r="S1507">
        <v>9</v>
      </c>
      <c r="T1507">
        <f t="shared" si="71"/>
        <v>108</v>
      </c>
      <c r="U1507">
        <v>1</v>
      </c>
    </row>
    <row r="1508" spans="1:21" x14ac:dyDescent="0.3">
      <c r="A1508" t="str">
        <f t="shared" si="69"/>
        <v>NottinghamshireShort-term residential/nursing care for someone likely to require a longer-term care home placement (pathway 3)2</v>
      </c>
      <c r="B1508">
        <f>IF(C1508="","",COUNTIF($C$2:C1508,C1508))</f>
        <v>2</v>
      </c>
      <c r="C1508" t="str">
        <f t="shared" si="70"/>
        <v>NottinghamshireShort-term residential/nursing care for someone likely to require a longer-term care home placement (pathway 3)</v>
      </c>
      <c r="D1508" t="str">
        <f>VLOOKUP(G1508,PathwayLookup!A:B,2,0)</f>
        <v>Short-term residential/nursing care for someone likely to require a longer-term care home placement (pathway 3)</v>
      </c>
      <c r="E1508" t="s">
        <v>247</v>
      </c>
      <c r="F1508" t="s">
        <v>566</v>
      </c>
      <c r="G1508" t="s">
        <v>686</v>
      </c>
      <c r="H1508">
        <v>24</v>
      </c>
      <c r="I1508">
        <v>24</v>
      </c>
      <c r="J1508">
        <v>24</v>
      </c>
      <c r="K1508">
        <v>24</v>
      </c>
      <c r="L1508">
        <v>24</v>
      </c>
      <c r="M1508">
        <v>24</v>
      </c>
      <c r="N1508">
        <v>24</v>
      </c>
      <c r="O1508">
        <v>24</v>
      </c>
      <c r="P1508">
        <v>24</v>
      </c>
      <c r="Q1508">
        <v>24</v>
      </c>
      <c r="R1508">
        <v>24</v>
      </c>
      <c r="S1508">
        <v>24</v>
      </c>
      <c r="T1508">
        <f t="shared" si="71"/>
        <v>288</v>
      </c>
      <c r="U1508">
        <v>1</v>
      </c>
    </row>
    <row r="1509" spans="1:21" x14ac:dyDescent="0.3">
      <c r="A1509" t="str">
        <f t="shared" si="69"/>
        <v>NottinghamshireShort-term residential/nursing care for someone likely to require a longer-term care home placement (pathway 3)3</v>
      </c>
      <c r="B1509">
        <f>IF(C1509="","",COUNTIF($C$2:C1509,C1509))</f>
        <v>3</v>
      </c>
      <c r="C1509" t="str">
        <f t="shared" si="70"/>
        <v>NottinghamshireShort-term residential/nursing care for someone likely to require a longer-term care home placement (pathway 3)</v>
      </c>
      <c r="D1509" t="str">
        <f>VLOOKUP(G1509,PathwayLookup!A:B,2,0)</f>
        <v>Short-term residential/nursing care for someone likely to require a longer-term care home placement (pathway 3)</v>
      </c>
      <c r="E1509" t="s">
        <v>247</v>
      </c>
      <c r="F1509" t="s">
        <v>567</v>
      </c>
      <c r="G1509" t="s">
        <v>686</v>
      </c>
      <c r="H1509">
        <v>7</v>
      </c>
      <c r="I1509">
        <v>7</v>
      </c>
      <c r="J1509">
        <v>7</v>
      </c>
      <c r="K1509">
        <v>7</v>
      </c>
      <c r="L1509">
        <v>7</v>
      </c>
      <c r="M1509">
        <v>7</v>
      </c>
      <c r="N1509">
        <v>7</v>
      </c>
      <c r="O1509">
        <v>7</v>
      </c>
      <c r="P1509">
        <v>7</v>
      </c>
      <c r="Q1509">
        <v>7</v>
      </c>
      <c r="R1509">
        <v>7</v>
      </c>
      <c r="S1509">
        <v>7</v>
      </c>
      <c r="T1509">
        <f t="shared" si="71"/>
        <v>84</v>
      </c>
      <c r="U1509">
        <v>1</v>
      </c>
    </row>
    <row r="1510" spans="1:21" x14ac:dyDescent="0.3">
      <c r="A1510" t="str">
        <f t="shared" si="69"/>
        <v>NottinghamshireShort-term residential/nursing care for someone likely to require a longer-term care home placement (pathway 3)4</v>
      </c>
      <c r="B1510">
        <f>IF(C1510="","",COUNTIF($C$2:C1510,C1510))</f>
        <v>4</v>
      </c>
      <c r="C1510" t="str">
        <f t="shared" si="70"/>
        <v>NottinghamshireShort-term residential/nursing care for someone likely to require a longer-term care home placement (pathway 3)</v>
      </c>
      <c r="D1510" t="str">
        <f>VLOOKUP(G1510,PathwayLookup!A:B,2,0)</f>
        <v>Short-term residential/nursing care for someone likely to require a longer-term care home placement (pathway 3)</v>
      </c>
      <c r="E1510" t="s">
        <v>247</v>
      </c>
      <c r="F1510" t="s">
        <v>588</v>
      </c>
      <c r="G1510" t="s">
        <v>686</v>
      </c>
      <c r="H1510">
        <v>32</v>
      </c>
      <c r="I1510">
        <v>32</v>
      </c>
      <c r="J1510">
        <v>32</v>
      </c>
      <c r="K1510">
        <v>32</v>
      </c>
      <c r="L1510">
        <v>32</v>
      </c>
      <c r="M1510">
        <v>32</v>
      </c>
      <c r="N1510">
        <v>32</v>
      </c>
      <c r="O1510">
        <v>32</v>
      </c>
      <c r="P1510">
        <v>32</v>
      </c>
      <c r="Q1510">
        <v>32</v>
      </c>
      <c r="R1510">
        <v>32</v>
      </c>
      <c r="S1510">
        <v>32</v>
      </c>
      <c r="T1510">
        <f t="shared" si="71"/>
        <v>384</v>
      </c>
      <c r="U1510">
        <v>1</v>
      </c>
    </row>
    <row r="1511" spans="1:21" x14ac:dyDescent="0.3">
      <c r="A1511" t="str">
        <f t="shared" si="69"/>
        <v>NottinghamshireShort-term residential/nursing care for someone likely to require a longer-term care home placement (pathway 3)5</v>
      </c>
      <c r="B1511">
        <f>IF(C1511="","",COUNTIF($C$2:C1511,C1511))</f>
        <v>5</v>
      </c>
      <c r="C1511" t="str">
        <f t="shared" si="70"/>
        <v>NottinghamshireShort-term residential/nursing care for someone likely to require a longer-term care home placement (pathway 3)</v>
      </c>
      <c r="D1511" t="str">
        <f>VLOOKUP(G1511,PathwayLookup!A:B,2,0)</f>
        <v>Short-term residential/nursing care for someone likely to require a longer-term care home placement (pathway 3)</v>
      </c>
      <c r="E1511" t="s">
        <v>247</v>
      </c>
      <c r="F1511" t="s">
        <v>651</v>
      </c>
      <c r="G1511" t="s">
        <v>686</v>
      </c>
      <c r="H1511">
        <v>4</v>
      </c>
      <c r="I1511">
        <v>4</v>
      </c>
      <c r="J1511">
        <v>4</v>
      </c>
      <c r="K1511">
        <v>4</v>
      </c>
      <c r="L1511">
        <v>4</v>
      </c>
      <c r="M1511">
        <v>4</v>
      </c>
      <c r="N1511">
        <v>4</v>
      </c>
      <c r="O1511">
        <v>4</v>
      </c>
      <c r="P1511">
        <v>4</v>
      </c>
      <c r="Q1511">
        <v>4</v>
      </c>
      <c r="R1511">
        <v>4</v>
      </c>
      <c r="S1511">
        <v>4</v>
      </c>
      <c r="T1511">
        <f t="shared" si="71"/>
        <v>48</v>
      </c>
      <c r="U1511">
        <v>1</v>
      </c>
    </row>
    <row r="1512" spans="1:21" x14ac:dyDescent="0.3">
      <c r="A1512" t="str">
        <f t="shared" si="69"/>
        <v>OldhamSocial support (including VCS) (pathway 0)1</v>
      </c>
      <c r="B1512">
        <f>IF(C1512="","",COUNTIF($C$2:C1512,C1512))</f>
        <v>1</v>
      </c>
      <c r="C1512" t="str">
        <f t="shared" si="70"/>
        <v>OldhamSocial support (including VCS) (pathway 0)</v>
      </c>
      <c r="D1512" t="str">
        <f>VLOOKUP(G1512,PathwayLookup!A:B,2,0)</f>
        <v>Social support (including VCS) (pathway 0)</v>
      </c>
      <c r="E1512" t="s">
        <v>249</v>
      </c>
      <c r="F1512" t="s">
        <v>563</v>
      </c>
      <c r="G1512" t="s">
        <v>682</v>
      </c>
      <c r="H1512">
        <v>163</v>
      </c>
      <c r="I1512">
        <v>161</v>
      </c>
      <c r="J1512">
        <v>159</v>
      </c>
      <c r="K1512">
        <v>169</v>
      </c>
      <c r="L1512">
        <v>163</v>
      </c>
      <c r="M1512">
        <v>164</v>
      </c>
      <c r="N1512">
        <v>175</v>
      </c>
      <c r="O1512">
        <v>177</v>
      </c>
      <c r="P1512">
        <v>161</v>
      </c>
      <c r="Q1512">
        <v>169</v>
      </c>
      <c r="R1512">
        <v>152</v>
      </c>
      <c r="S1512">
        <v>167</v>
      </c>
      <c r="T1512">
        <f t="shared" si="71"/>
        <v>1980</v>
      </c>
      <c r="U1512">
        <v>1</v>
      </c>
    </row>
    <row r="1513" spans="1:21" x14ac:dyDescent="0.3">
      <c r="A1513" t="str">
        <f t="shared" si="69"/>
        <v>OldhamReablement &amp; Rehabilitation at home  (pathway 1)1</v>
      </c>
      <c r="B1513">
        <f>IF(C1513="","",COUNTIF($C$2:C1513,C1513))</f>
        <v>1</v>
      </c>
      <c r="C1513" t="str">
        <f t="shared" si="70"/>
        <v>OldhamReablement at home  (pathway 1)</v>
      </c>
      <c r="D1513" t="str">
        <f>VLOOKUP(G1513,PathwayLookup!A:B,2,0)</f>
        <v>Reablement &amp; Rehabilitation at home  (pathway 1)</v>
      </c>
      <c r="E1513" t="s">
        <v>249</v>
      </c>
      <c r="F1513" t="s">
        <v>563</v>
      </c>
      <c r="G1513" t="s">
        <v>718</v>
      </c>
      <c r="H1513">
        <v>621</v>
      </c>
      <c r="I1513">
        <v>614</v>
      </c>
      <c r="J1513">
        <v>607</v>
      </c>
      <c r="K1513">
        <v>642</v>
      </c>
      <c r="L1513">
        <v>621</v>
      </c>
      <c r="M1513">
        <v>625</v>
      </c>
      <c r="N1513">
        <v>665</v>
      </c>
      <c r="O1513">
        <v>673</v>
      </c>
      <c r="P1513">
        <v>615</v>
      </c>
      <c r="Q1513">
        <v>645</v>
      </c>
      <c r="R1513">
        <v>580</v>
      </c>
      <c r="S1513">
        <v>637</v>
      </c>
      <c r="T1513">
        <f t="shared" si="71"/>
        <v>7545</v>
      </c>
      <c r="U1513">
        <v>1</v>
      </c>
    </row>
    <row r="1514" spans="1:21" x14ac:dyDescent="0.3">
      <c r="A1514" t="str">
        <f t="shared" si="69"/>
        <v>OldhamReablement &amp; Rehabilitation in a bedded setting (pathway 2)1</v>
      </c>
      <c r="B1514">
        <f>IF(C1514="","",COUNTIF($C$2:C1514,C1514))</f>
        <v>1</v>
      </c>
      <c r="C1514" t="str">
        <f t="shared" si="70"/>
        <v>OldhamReablement in a bedded setting (pathway 2)</v>
      </c>
      <c r="D1514" t="str">
        <f>VLOOKUP(G1514,PathwayLookup!A:B,2,0)</f>
        <v>Reablement &amp; Rehabilitation in a bedded setting (pathway 2)</v>
      </c>
      <c r="E1514" t="s">
        <v>249</v>
      </c>
      <c r="F1514" t="s">
        <v>563</v>
      </c>
      <c r="G1514" t="s">
        <v>722</v>
      </c>
      <c r="H1514">
        <v>739</v>
      </c>
      <c r="I1514">
        <v>730</v>
      </c>
      <c r="J1514">
        <v>722</v>
      </c>
      <c r="K1514">
        <v>764</v>
      </c>
      <c r="L1514">
        <v>738</v>
      </c>
      <c r="M1514">
        <v>744</v>
      </c>
      <c r="N1514">
        <v>791</v>
      </c>
      <c r="O1514">
        <v>801</v>
      </c>
      <c r="P1514">
        <v>731</v>
      </c>
      <c r="Q1514">
        <v>767</v>
      </c>
      <c r="R1514">
        <v>690</v>
      </c>
      <c r="S1514">
        <v>757</v>
      </c>
      <c r="T1514">
        <f t="shared" si="71"/>
        <v>8974</v>
      </c>
      <c r="U1514">
        <v>1</v>
      </c>
    </row>
    <row r="1515" spans="1:21" x14ac:dyDescent="0.3">
      <c r="A1515" t="str">
        <f t="shared" si="69"/>
        <v>OldhamShort-term residential/nursing care for someone likely to require a longer-term care home placement (pathway 3)1</v>
      </c>
      <c r="B1515">
        <f>IF(C1515="","",COUNTIF($C$2:C1515,C1515))</f>
        <v>1</v>
      </c>
      <c r="C1515" t="str">
        <f t="shared" si="70"/>
        <v>OldhamShort-term residential/nursing care for someone likely to require a longer-term care home placement (pathway 3)</v>
      </c>
      <c r="D1515" t="str">
        <f>VLOOKUP(G1515,PathwayLookup!A:B,2,0)</f>
        <v>Short-term residential/nursing care for someone likely to require a longer-term care home placement (pathway 3)</v>
      </c>
      <c r="E1515" t="s">
        <v>249</v>
      </c>
      <c r="F1515" t="s">
        <v>563</v>
      </c>
      <c r="G1515" t="s">
        <v>686</v>
      </c>
      <c r="H1515">
        <v>75</v>
      </c>
      <c r="I1515">
        <v>72</v>
      </c>
      <c r="J1515">
        <v>72</v>
      </c>
      <c r="K1515">
        <v>72</v>
      </c>
      <c r="L1515">
        <v>72</v>
      </c>
      <c r="M1515">
        <v>75</v>
      </c>
      <c r="N1515">
        <v>75</v>
      </c>
      <c r="O1515">
        <v>80</v>
      </c>
      <c r="P1515">
        <v>90</v>
      </c>
      <c r="Q1515">
        <v>90</v>
      </c>
      <c r="R1515">
        <v>85</v>
      </c>
      <c r="S1515">
        <v>80</v>
      </c>
      <c r="T1515">
        <f t="shared" si="71"/>
        <v>938</v>
      </c>
      <c r="U1515">
        <v>1</v>
      </c>
    </row>
    <row r="1516" spans="1:21" x14ac:dyDescent="0.3">
      <c r="A1516" t="str">
        <f t="shared" si="69"/>
        <v>OxfordshireSocial support (including VCS) (pathway 0)1</v>
      </c>
      <c r="B1516">
        <f>IF(C1516="","",COUNTIF($C$2:C1516,C1516))</f>
        <v>1</v>
      </c>
      <c r="C1516" t="str">
        <f t="shared" si="70"/>
        <v>OxfordshireSocial support (including VCS) (pathway 0)</v>
      </c>
      <c r="D1516" t="str">
        <f>VLOOKUP(G1516,PathwayLookup!A:B,2,0)</f>
        <v>Social support (including VCS) (pathway 0)</v>
      </c>
      <c r="E1516" t="s">
        <v>251</v>
      </c>
      <c r="F1516" t="s">
        <v>569</v>
      </c>
      <c r="G1516" t="s">
        <v>682</v>
      </c>
      <c r="H1516">
        <v>225</v>
      </c>
      <c r="I1516">
        <v>232.5</v>
      </c>
      <c r="J1516">
        <v>225</v>
      </c>
      <c r="K1516">
        <v>232.5</v>
      </c>
      <c r="L1516">
        <v>232.5</v>
      </c>
      <c r="M1516">
        <v>225</v>
      </c>
      <c r="N1516">
        <v>232.5</v>
      </c>
      <c r="O1516">
        <v>225</v>
      </c>
      <c r="P1516">
        <v>232.5</v>
      </c>
      <c r="Q1516">
        <v>232.5</v>
      </c>
      <c r="R1516">
        <v>210</v>
      </c>
      <c r="S1516">
        <v>232.5</v>
      </c>
      <c r="T1516">
        <f t="shared" si="71"/>
        <v>2737.5</v>
      </c>
      <c r="U1516">
        <v>1</v>
      </c>
    </row>
    <row r="1517" spans="1:21" x14ac:dyDescent="0.3">
      <c r="A1517" t="str">
        <f t="shared" si="69"/>
        <v/>
      </c>
      <c r="B1517" t="str">
        <f>IF(C1517="","",COUNTIF($C$2:C1517,C1517))</f>
        <v/>
      </c>
      <c r="C1517" t="str">
        <f t="shared" si="70"/>
        <v/>
      </c>
      <c r="D1517" t="str">
        <f>VLOOKUP(G1517,PathwayLookup!A:B,2,0)</f>
        <v>Social support (including VCS) (pathway 0)</v>
      </c>
      <c r="E1517" t="s">
        <v>251</v>
      </c>
      <c r="F1517" t="s">
        <v>651</v>
      </c>
      <c r="G1517" t="s">
        <v>682</v>
      </c>
      <c r="H1517">
        <v>0</v>
      </c>
      <c r="I1517">
        <v>0</v>
      </c>
      <c r="J1517">
        <v>0</v>
      </c>
      <c r="K1517">
        <v>0</v>
      </c>
      <c r="L1517">
        <v>0</v>
      </c>
      <c r="M1517">
        <v>0</v>
      </c>
      <c r="N1517">
        <v>0</v>
      </c>
      <c r="O1517">
        <v>0</v>
      </c>
      <c r="P1517">
        <v>0</v>
      </c>
      <c r="Q1517">
        <v>0</v>
      </c>
      <c r="R1517">
        <v>0</v>
      </c>
      <c r="S1517">
        <v>0</v>
      </c>
      <c r="T1517">
        <f t="shared" si="71"/>
        <v>0</v>
      </c>
      <c r="U1517">
        <v>1</v>
      </c>
    </row>
    <row r="1518" spans="1:21" x14ac:dyDescent="0.3">
      <c r="A1518" t="str">
        <f t="shared" si="69"/>
        <v>OxfordshireReablement &amp; Rehabilitation at home  (pathway 1)1</v>
      </c>
      <c r="B1518">
        <f>IF(C1518="","",COUNTIF($C$2:C1518,C1518))</f>
        <v>1</v>
      </c>
      <c r="C1518" t="str">
        <f t="shared" si="70"/>
        <v>OxfordshireReablement at home  (pathway 1)</v>
      </c>
      <c r="D1518" t="str">
        <f>VLOOKUP(G1518,PathwayLookup!A:B,2,0)</f>
        <v>Reablement &amp; Rehabilitation at home  (pathway 1)</v>
      </c>
      <c r="E1518" t="s">
        <v>251</v>
      </c>
      <c r="F1518" t="s">
        <v>569</v>
      </c>
      <c r="G1518" t="s">
        <v>718</v>
      </c>
      <c r="H1518">
        <v>255.2</v>
      </c>
      <c r="I1518">
        <v>261.5</v>
      </c>
      <c r="J1518">
        <v>253.1</v>
      </c>
      <c r="K1518">
        <v>261.5</v>
      </c>
      <c r="L1518">
        <v>261.5</v>
      </c>
      <c r="M1518">
        <v>253.1</v>
      </c>
      <c r="N1518">
        <v>294.5</v>
      </c>
      <c r="O1518">
        <v>286.10000000000002</v>
      </c>
      <c r="P1518">
        <v>294.5</v>
      </c>
      <c r="Q1518">
        <v>294.5</v>
      </c>
      <c r="R1518">
        <v>269.3</v>
      </c>
      <c r="S1518">
        <v>294.5</v>
      </c>
      <c r="T1518">
        <f t="shared" si="71"/>
        <v>3279.3</v>
      </c>
      <c r="U1518">
        <v>1</v>
      </c>
    </row>
    <row r="1519" spans="1:21" x14ac:dyDescent="0.3">
      <c r="A1519" t="str">
        <f t="shared" si="69"/>
        <v>OxfordshireReablement &amp; Rehabilitation at home  (pathway 1)2</v>
      </c>
      <c r="B1519">
        <f>IF(C1519="","",COUNTIF($C$2:C1519,C1519))</f>
        <v>2</v>
      </c>
      <c r="C1519" t="str">
        <f t="shared" si="70"/>
        <v>OxfordshireReablement at home  (pathway 1)</v>
      </c>
      <c r="D1519" t="str">
        <f>VLOOKUP(G1519,PathwayLookup!A:B,2,0)</f>
        <v>Reablement &amp; Rehabilitation at home  (pathway 1)</v>
      </c>
      <c r="E1519" t="s">
        <v>251</v>
      </c>
      <c r="F1519" t="s">
        <v>651</v>
      </c>
      <c r="G1519" t="s">
        <v>718</v>
      </c>
      <c r="H1519">
        <v>8</v>
      </c>
      <c r="I1519">
        <v>8</v>
      </c>
      <c r="J1519">
        <v>8</v>
      </c>
      <c r="K1519">
        <v>8</v>
      </c>
      <c r="L1519">
        <v>8</v>
      </c>
      <c r="M1519">
        <v>8</v>
      </c>
      <c r="N1519">
        <v>8</v>
      </c>
      <c r="O1519">
        <v>8</v>
      </c>
      <c r="P1519">
        <v>8</v>
      </c>
      <c r="Q1519">
        <v>8</v>
      </c>
      <c r="R1519">
        <v>8</v>
      </c>
      <c r="S1519">
        <v>8</v>
      </c>
      <c r="T1519">
        <f t="shared" si="71"/>
        <v>96</v>
      </c>
      <c r="U1519">
        <v>1</v>
      </c>
    </row>
    <row r="1520" spans="1:21" x14ac:dyDescent="0.3">
      <c r="A1520" t="str">
        <f t="shared" si="69"/>
        <v>OxfordshireReablement &amp; Rehabilitation in a bedded setting (pathway 2)1</v>
      </c>
      <c r="B1520">
        <f>IF(C1520="","",COUNTIF($C$2:C1520,C1520))</f>
        <v>1</v>
      </c>
      <c r="C1520" t="str">
        <f t="shared" si="70"/>
        <v>OxfordshireReablement in a bedded setting (pathway 2)</v>
      </c>
      <c r="D1520" t="str">
        <f>VLOOKUP(G1520,PathwayLookup!A:B,2,0)</f>
        <v>Reablement &amp; Rehabilitation in a bedded setting (pathway 2)</v>
      </c>
      <c r="E1520" t="s">
        <v>251</v>
      </c>
      <c r="F1520" t="s">
        <v>569</v>
      </c>
      <c r="G1520" t="s">
        <v>722</v>
      </c>
      <c r="H1520">
        <v>116</v>
      </c>
      <c r="I1520">
        <v>83</v>
      </c>
      <c r="J1520">
        <v>112.4</v>
      </c>
      <c r="K1520">
        <v>110.3</v>
      </c>
      <c r="L1520">
        <v>100.85</v>
      </c>
      <c r="M1520">
        <v>102.95</v>
      </c>
      <c r="N1520">
        <v>75.2</v>
      </c>
      <c r="O1520">
        <v>73.8</v>
      </c>
      <c r="P1520">
        <v>75.2</v>
      </c>
      <c r="Q1520">
        <v>75.2</v>
      </c>
      <c r="R1520">
        <v>68.400000000000006</v>
      </c>
      <c r="S1520">
        <v>75.2</v>
      </c>
      <c r="T1520">
        <f t="shared" si="71"/>
        <v>1068.5</v>
      </c>
      <c r="U1520">
        <v>1</v>
      </c>
    </row>
    <row r="1521" spans="1:21" x14ac:dyDescent="0.3">
      <c r="A1521" t="str">
        <f t="shared" si="69"/>
        <v>OxfordshireReablement &amp; Rehabilitation in a bedded setting (pathway 2)2</v>
      </c>
      <c r="B1521">
        <f>IF(C1521="","",COUNTIF($C$2:C1521,C1521))</f>
        <v>2</v>
      </c>
      <c r="C1521" t="str">
        <f t="shared" si="70"/>
        <v>OxfordshireReablement in a bedded setting (pathway 2)</v>
      </c>
      <c r="D1521" t="str">
        <f>VLOOKUP(G1521,PathwayLookup!A:B,2,0)</f>
        <v>Reablement &amp; Rehabilitation in a bedded setting (pathway 2)</v>
      </c>
      <c r="E1521" t="s">
        <v>251</v>
      </c>
      <c r="F1521" t="s">
        <v>651</v>
      </c>
      <c r="G1521" t="s">
        <v>722</v>
      </c>
      <c r="H1521">
        <v>1</v>
      </c>
      <c r="I1521">
        <v>1</v>
      </c>
      <c r="J1521">
        <v>1</v>
      </c>
      <c r="K1521">
        <v>1</v>
      </c>
      <c r="L1521">
        <v>1</v>
      </c>
      <c r="M1521">
        <v>1</v>
      </c>
      <c r="N1521">
        <v>1</v>
      </c>
      <c r="O1521">
        <v>1</v>
      </c>
      <c r="P1521">
        <v>1</v>
      </c>
      <c r="Q1521">
        <v>1</v>
      </c>
      <c r="R1521">
        <v>1</v>
      </c>
      <c r="S1521">
        <v>1</v>
      </c>
      <c r="T1521">
        <f t="shared" si="71"/>
        <v>12</v>
      </c>
      <c r="U1521">
        <v>1</v>
      </c>
    </row>
    <row r="1522" spans="1:21" x14ac:dyDescent="0.3">
      <c r="A1522" t="str">
        <f t="shared" si="69"/>
        <v>OxfordshireReablement &amp; Rehabilitation in a bedded setting (pathway 2)1</v>
      </c>
      <c r="B1522">
        <f>IF(C1522="","",COUNTIF($C$2:C1522,C1522))</f>
        <v>1</v>
      </c>
      <c r="C1522" t="str">
        <f t="shared" si="70"/>
        <v>OxfordshireRehabilitation in a bedded setting (pathway 2)</v>
      </c>
      <c r="D1522" t="str">
        <f>VLOOKUP(G1522,PathwayLookup!A:B,2,0)</f>
        <v>Reablement &amp; Rehabilitation in a bedded setting (pathway 2)</v>
      </c>
      <c r="E1522" t="s">
        <v>251</v>
      </c>
      <c r="F1522" t="s">
        <v>569</v>
      </c>
      <c r="G1522" t="s">
        <v>724</v>
      </c>
      <c r="H1522">
        <v>120.4</v>
      </c>
      <c r="I1522">
        <v>140.80000000000001</v>
      </c>
      <c r="J1522">
        <v>111.4</v>
      </c>
      <c r="K1522">
        <v>102</v>
      </c>
      <c r="L1522">
        <v>125.05</v>
      </c>
      <c r="M1522">
        <v>107.25</v>
      </c>
      <c r="N1522">
        <v>113.5</v>
      </c>
      <c r="O1522">
        <v>113.5</v>
      </c>
      <c r="P1522">
        <v>71.5</v>
      </c>
      <c r="Q1522">
        <v>92.549999999999983</v>
      </c>
      <c r="R1522">
        <v>86.250000000000014</v>
      </c>
      <c r="S1522">
        <v>123.8</v>
      </c>
      <c r="T1522">
        <f t="shared" si="71"/>
        <v>1308</v>
      </c>
      <c r="U1522">
        <v>1</v>
      </c>
    </row>
    <row r="1523" spans="1:21" x14ac:dyDescent="0.3">
      <c r="A1523" t="str">
        <f t="shared" si="69"/>
        <v>OxfordshireReablement &amp; Rehabilitation in a bedded setting (pathway 2)2</v>
      </c>
      <c r="B1523">
        <f>IF(C1523="","",COUNTIF($C$2:C1523,C1523))</f>
        <v>2</v>
      </c>
      <c r="C1523" t="str">
        <f t="shared" si="70"/>
        <v>OxfordshireRehabilitation in a bedded setting (pathway 2)</v>
      </c>
      <c r="D1523" t="str">
        <f>VLOOKUP(G1523,PathwayLookup!A:B,2,0)</f>
        <v>Reablement &amp; Rehabilitation in a bedded setting (pathway 2)</v>
      </c>
      <c r="E1523" t="s">
        <v>251</v>
      </c>
      <c r="F1523" t="s">
        <v>651</v>
      </c>
      <c r="G1523" t="s">
        <v>724</v>
      </c>
      <c r="H1523">
        <v>8</v>
      </c>
      <c r="I1523">
        <v>8</v>
      </c>
      <c r="J1523">
        <v>8</v>
      </c>
      <c r="K1523">
        <v>8</v>
      </c>
      <c r="L1523">
        <v>8</v>
      </c>
      <c r="M1523">
        <v>8</v>
      </c>
      <c r="N1523">
        <v>8</v>
      </c>
      <c r="O1523">
        <v>8</v>
      </c>
      <c r="P1523">
        <v>8</v>
      </c>
      <c r="Q1523">
        <v>8</v>
      </c>
      <c r="R1523">
        <v>8</v>
      </c>
      <c r="S1523">
        <v>8</v>
      </c>
      <c r="T1523">
        <f t="shared" si="71"/>
        <v>96</v>
      </c>
      <c r="U1523">
        <v>1</v>
      </c>
    </row>
    <row r="1524" spans="1:21" x14ac:dyDescent="0.3">
      <c r="A1524" t="str">
        <f t="shared" si="69"/>
        <v>OxfordshireShort-term residential/nursing care for someone likely to require a longer-term care home placement (pathway 3)1</v>
      </c>
      <c r="B1524">
        <f>IF(C1524="","",COUNTIF($C$2:C1524,C1524))</f>
        <v>1</v>
      </c>
      <c r="C1524" t="str">
        <f t="shared" si="70"/>
        <v>OxfordshireShort-term residential/nursing care for someone likely to require a longer-term care home placement (pathway 3)</v>
      </c>
      <c r="D1524" t="str">
        <f>VLOOKUP(G1524,PathwayLookup!A:B,2,0)</f>
        <v>Short-term residential/nursing care for someone likely to require a longer-term care home placement (pathway 3)</v>
      </c>
      <c r="E1524" t="s">
        <v>251</v>
      </c>
      <c r="F1524" t="s">
        <v>569</v>
      </c>
      <c r="G1524" t="s">
        <v>686</v>
      </c>
      <c r="H1524">
        <v>36</v>
      </c>
      <c r="I1524">
        <v>49</v>
      </c>
      <c r="J1524">
        <v>35</v>
      </c>
      <c r="K1524">
        <v>37</v>
      </c>
      <c r="L1524">
        <v>42</v>
      </c>
      <c r="M1524">
        <v>40</v>
      </c>
      <c r="N1524">
        <v>45</v>
      </c>
      <c r="O1524">
        <v>43</v>
      </c>
      <c r="P1524">
        <v>44</v>
      </c>
      <c r="Q1524">
        <v>28</v>
      </c>
      <c r="R1524">
        <v>22</v>
      </c>
      <c r="S1524">
        <v>38</v>
      </c>
      <c r="T1524">
        <f t="shared" si="71"/>
        <v>459</v>
      </c>
      <c r="U1524">
        <v>1</v>
      </c>
    </row>
    <row r="1525" spans="1:21" x14ac:dyDescent="0.3">
      <c r="A1525" t="str">
        <f t="shared" si="69"/>
        <v>OxfordshireShort-term residential/nursing care for someone likely to require a longer-term care home placement (pathway 3)2</v>
      </c>
      <c r="B1525">
        <f>IF(C1525="","",COUNTIF($C$2:C1525,C1525))</f>
        <v>2</v>
      </c>
      <c r="C1525" t="str">
        <f t="shared" si="70"/>
        <v>OxfordshireShort-term residential/nursing care for someone likely to require a longer-term care home placement (pathway 3)</v>
      </c>
      <c r="D1525" t="str">
        <f>VLOOKUP(G1525,PathwayLookup!A:B,2,0)</f>
        <v>Short-term residential/nursing care for someone likely to require a longer-term care home placement (pathway 3)</v>
      </c>
      <c r="E1525" t="s">
        <v>251</v>
      </c>
      <c r="F1525" t="s">
        <v>651</v>
      </c>
      <c r="G1525" t="s">
        <v>686</v>
      </c>
      <c r="H1525">
        <v>10</v>
      </c>
      <c r="I1525">
        <v>10</v>
      </c>
      <c r="J1525">
        <v>10</v>
      </c>
      <c r="K1525">
        <v>10</v>
      </c>
      <c r="L1525">
        <v>10</v>
      </c>
      <c r="M1525">
        <v>10</v>
      </c>
      <c r="N1525">
        <v>13</v>
      </c>
      <c r="O1525">
        <v>13</v>
      </c>
      <c r="P1525">
        <v>14</v>
      </c>
      <c r="Q1525">
        <v>14</v>
      </c>
      <c r="R1525">
        <v>12</v>
      </c>
      <c r="S1525">
        <v>14</v>
      </c>
      <c r="T1525">
        <f t="shared" si="71"/>
        <v>140</v>
      </c>
      <c r="U1525">
        <v>1</v>
      </c>
    </row>
    <row r="1526" spans="1:21" x14ac:dyDescent="0.3">
      <c r="A1526" t="str">
        <f t="shared" si="69"/>
        <v/>
      </c>
      <c r="B1526" t="str">
        <f>IF(C1526="","",COUNTIF($C$2:C1526,C1526))</f>
        <v/>
      </c>
      <c r="C1526" t="str">
        <f t="shared" si="70"/>
        <v/>
      </c>
      <c r="D1526" t="str">
        <f>VLOOKUP(G1526,PathwayLookup!A:B,2,0)</f>
        <v>Social support (including VCS) (pathway 0)</v>
      </c>
      <c r="E1526" t="s">
        <v>253</v>
      </c>
      <c r="F1526" t="s">
        <v>470</v>
      </c>
      <c r="G1526" t="s">
        <v>682</v>
      </c>
      <c r="H1526">
        <v>0</v>
      </c>
      <c r="I1526">
        <v>0</v>
      </c>
      <c r="J1526">
        <v>0</v>
      </c>
      <c r="K1526">
        <v>0</v>
      </c>
      <c r="L1526">
        <v>0</v>
      </c>
      <c r="M1526">
        <v>0</v>
      </c>
      <c r="N1526">
        <v>0</v>
      </c>
      <c r="O1526">
        <v>0</v>
      </c>
      <c r="P1526">
        <v>0</v>
      </c>
      <c r="Q1526">
        <v>0</v>
      </c>
      <c r="R1526">
        <v>0</v>
      </c>
      <c r="S1526">
        <v>0</v>
      </c>
      <c r="T1526">
        <f t="shared" si="71"/>
        <v>0</v>
      </c>
      <c r="U1526">
        <v>1</v>
      </c>
    </row>
    <row r="1527" spans="1:21" x14ac:dyDescent="0.3">
      <c r="A1527" t="str">
        <f t="shared" si="69"/>
        <v>PeterboroughSocial support (including VCS) (pathway 0)1</v>
      </c>
      <c r="B1527">
        <f>IF(C1527="","",COUNTIF($C$2:C1527,C1527))</f>
        <v>1</v>
      </c>
      <c r="C1527" t="str">
        <f t="shared" si="70"/>
        <v>PeterboroughSocial support (including VCS) (pathway 0)</v>
      </c>
      <c r="D1527" t="str">
        <f>VLOOKUP(G1527,PathwayLookup!A:B,2,0)</f>
        <v>Social support (including VCS) (pathway 0)</v>
      </c>
      <c r="E1527" t="s">
        <v>253</v>
      </c>
      <c r="F1527" t="s">
        <v>560</v>
      </c>
      <c r="G1527" t="s">
        <v>682</v>
      </c>
      <c r="H1527">
        <v>71</v>
      </c>
      <c r="I1527">
        <v>86</v>
      </c>
      <c r="J1527">
        <v>72</v>
      </c>
      <c r="K1527">
        <v>63</v>
      </c>
      <c r="L1527">
        <v>62</v>
      </c>
      <c r="M1527">
        <v>73</v>
      </c>
      <c r="N1527">
        <v>73</v>
      </c>
      <c r="O1527">
        <v>94</v>
      </c>
      <c r="P1527">
        <v>73</v>
      </c>
      <c r="Q1527">
        <v>78</v>
      </c>
      <c r="R1527">
        <v>51</v>
      </c>
      <c r="S1527">
        <v>83</v>
      </c>
      <c r="T1527">
        <f t="shared" si="71"/>
        <v>879</v>
      </c>
      <c r="U1527">
        <v>1</v>
      </c>
    </row>
    <row r="1528" spans="1:21" x14ac:dyDescent="0.3">
      <c r="A1528" t="str">
        <f t="shared" si="69"/>
        <v>PeterboroughReablement &amp; Rehabilitation at home  (pathway 1)1</v>
      </c>
      <c r="B1528">
        <f>IF(C1528="","",COUNTIF($C$2:C1528,C1528))</f>
        <v>1</v>
      </c>
      <c r="C1528" t="str">
        <f t="shared" si="70"/>
        <v>PeterboroughReablement at home  (pathway 1)</v>
      </c>
      <c r="D1528" t="str">
        <f>VLOOKUP(G1528,PathwayLookup!A:B,2,0)</f>
        <v>Reablement &amp; Rehabilitation at home  (pathway 1)</v>
      </c>
      <c r="E1528" t="s">
        <v>253</v>
      </c>
      <c r="F1528" t="s">
        <v>470</v>
      </c>
      <c r="G1528" t="s">
        <v>718</v>
      </c>
      <c r="H1528">
        <v>13</v>
      </c>
      <c r="I1528">
        <v>22</v>
      </c>
      <c r="J1528">
        <v>15</v>
      </c>
      <c r="K1528">
        <v>14</v>
      </c>
      <c r="L1528">
        <v>15</v>
      </c>
      <c r="M1528">
        <v>16</v>
      </c>
      <c r="N1528">
        <v>15</v>
      </c>
      <c r="O1528">
        <v>13</v>
      </c>
      <c r="P1528">
        <v>14</v>
      </c>
      <c r="Q1528">
        <v>18</v>
      </c>
      <c r="R1528">
        <v>21</v>
      </c>
      <c r="S1528">
        <v>21</v>
      </c>
      <c r="T1528">
        <f t="shared" si="71"/>
        <v>197</v>
      </c>
      <c r="U1528">
        <v>1</v>
      </c>
    </row>
    <row r="1529" spans="1:21" x14ac:dyDescent="0.3">
      <c r="A1529" t="str">
        <f t="shared" si="69"/>
        <v>PeterboroughReablement &amp; Rehabilitation at home  (pathway 1)2</v>
      </c>
      <c r="B1529">
        <f>IF(C1529="","",COUNTIF($C$2:C1529,C1529))</f>
        <v>2</v>
      </c>
      <c r="C1529" t="str">
        <f t="shared" si="70"/>
        <v>PeterboroughReablement at home  (pathway 1)</v>
      </c>
      <c r="D1529" t="str">
        <f>VLOOKUP(G1529,PathwayLookup!A:B,2,0)</f>
        <v>Reablement &amp; Rehabilitation at home  (pathway 1)</v>
      </c>
      <c r="E1529" t="s">
        <v>253</v>
      </c>
      <c r="F1529" t="s">
        <v>560</v>
      </c>
      <c r="G1529" t="s">
        <v>718</v>
      </c>
      <c r="H1529">
        <v>30</v>
      </c>
      <c r="I1529">
        <v>51</v>
      </c>
      <c r="J1529">
        <v>35</v>
      </c>
      <c r="K1529">
        <v>32</v>
      </c>
      <c r="L1529">
        <v>35</v>
      </c>
      <c r="M1529">
        <v>36</v>
      </c>
      <c r="N1529">
        <v>35</v>
      </c>
      <c r="O1529">
        <v>30</v>
      </c>
      <c r="P1529">
        <v>33</v>
      </c>
      <c r="Q1529">
        <v>42</v>
      </c>
      <c r="R1529">
        <v>50</v>
      </c>
      <c r="S1529">
        <v>50</v>
      </c>
      <c r="T1529">
        <f t="shared" si="71"/>
        <v>459</v>
      </c>
      <c r="U1529">
        <v>1</v>
      </c>
    </row>
    <row r="1530" spans="1:21" x14ac:dyDescent="0.3">
      <c r="A1530" t="str">
        <f t="shared" si="69"/>
        <v>PeterboroughReablement &amp; Rehabilitation at home  (pathway 1)1</v>
      </c>
      <c r="B1530">
        <f>IF(C1530="","",COUNTIF($C$2:C1530,C1530))</f>
        <v>1</v>
      </c>
      <c r="C1530" t="str">
        <f t="shared" si="70"/>
        <v>PeterboroughRehabilitation at home (pathway 1)</v>
      </c>
      <c r="D1530" t="str">
        <f>VLOOKUP(G1530,PathwayLookup!A:B,2,0)</f>
        <v>Reablement &amp; Rehabilitation at home  (pathway 1)</v>
      </c>
      <c r="E1530" t="s">
        <v>253</v>
      </c>
      <c r="F1530" t="s">
        <v>470</v>
      </c>
      <c r="G1530" t="s">
        <v>719</v>
      </c>
      <c r="H1530">
        <v>36</v>
      </c>
      <c r="I1530">
        <v>35</v>
      </c>
      <c r="J1530">
        <v>22</v>
      </c>
      <c r="K1530">
        <v>23</v>
      </c>
      <c r="L1530">
        <v>30</v>
      </c>
      <c r="M1530">
        <v>31</v>
      </c>
      <c r="N1530">
        <v>27</v>
      </c>
      <c r="O1530">
        <v>35</v>
      </c>
      <c r="P1530">
        <v>28</v>
      </c>
      <c r="Q1530">
        <v>20</v>
      </c>
      <c r="R1530">
        <v>33</v>
      </c>
      <c r="S1530">
        <v>24</v>
      </c>
      <c r="T1530">
        <f t="shared" si="71"/>
        <v>344</v>
      </c>
      <c r="U1530">
        <v>1</v>
      </c>
    </row>
    <row r="1531" spans="1:21" x14ac:dyDescent="0.3">
      <c r="A1531" t="str">
        <f t="shared" si="69"/>
        <v>PeterboroughReablement &amp; Rehabilitation at home  (pathway 1)2</v>
      </c>
      <c r="B1531">
        <f>IF(C1531="","",COUNTIF($C$2:C1531,C1531))</f>
        <v>2</v>
      </c>
      <c r="C1531" t="str">
        <f t="shared" si="70"/>
        <v>PeterboroughRehabilitation at home (pathway 1)</v>
      </c>
      <c r="D1531" t="str">
        <f>VLOOKUP(G1531,PathwayLookup!A:B,2,0)</f>
        <v>Reablement &amp; Rehabilitation at home  (pathway 1)</v>
      </c>
      <c r="E1531" t="s">
        <v>253</v>
      </c>
      <c r="F1531" t="s">
        <v>560</v>
      </c>
      <c r="G1531" t="s">
        <v>719</v>
      </c>
      <c r="H1531">
        <v>86</v>
      </c>
      <c r="I1531">
        <v>78</v>
      </c>
      <c r="J1531">
        <v>66</v>
      </c>
      <c r="K1531">
        <v>70</v>
      </c>
      <c r="L1531">
        <v>73</v>
      </c>
      <c r="M1531">
        <v>75</v>
      </c>
      <c r="N1531">
        <v>76</v>
      </c>
      <c r="O1531">
        <v>78</v>
      </c>
      <c r="P1531">
        <v>77</v>
      </c>
      <c r="Q1531">
        <v>72</v>
      </c>
      <c r="R1531">
        <v>69</v>
      </c>
      <c r="S1531">
        <v>69</v>
      </c>
      <c r="T1531">
        <f t="shared" si="71"/>
        <v>889</v>
      </c>
      <c r="U1531">
        <v>1</v>
      </c>
    </row>
    <row r="1532" spans="1:21" x14ac:dyDescent="0.3">
      <c r="A1532" t="str">
        <f t="shared" si="69"/>
        <v/>
      </c>
      <c r="B1532" t="str">
        <f>IF(C1532="","",COUNTIF($C$2:C1532,C1532))</f>
        <v/>
      </c>
      <c r="C1532" t="str">
        <f t="shared" si="70"/>
        <v/>
      </c>
      <c r="D1532" t="str">
        <f>VLOOKUP(G1532,PathwayLookup!A:B,2,0)</f>
        <v>Short term domiciliary care (pathway 1)</v>
      </c>
      <c r="E1532" t="s">
        <v>253</v>
      </c>
      <c r="F1532" t="s">
        <v>470</v>
      </c>
      <c r="G1532" t="s">
        <v>684</v>
      </c>
      <c r="H1532">
        <v>0</v>
      </c>
      <c r="I1532">
        <v>0</v>
      </c>
      <c r="J1532">
        <v>0</v>
      </c>
      <c r="K1532">
        <v>0</v>
      </c>
      <c r="L1532">
        <v>0</v>
      </c>
      <c r="M1532">
        <v>0</v>
      </c>
      <c r="N1532">
        <v>0</v>
      </c>
      <c r="O1532">
        <v>0</v>
      </c>
      <c r="P1532">
        <v>0</v>
      </c>
      <c r="Q1532">
        <v>0</v>
      </c>
      <c r="R1532">
        <v>0</v>
      </c>
      <c r="S1532">
        <v>0</v>
      </c>
      <c r="T1532">
        <f t="shared" si="71"/>
        <v>0</v>
      </c>
      <c r="U1532">
        <v>1</v>
      </c>
    </row>
    <row r="1533" spans="1:21" x14ac:dyDescent="0.3">
      <c r="A1533" t="str">
        <f t="shared" si="69"/>
        <v/>
      </c>
      <c r="B1533" t="str">
        <f>IF(C1533="","",COUNTIF($C$2:C1533,C1533))</f>
        <v/>
      </c>
      <c r="C1533" t="str">
        <f t="shared" si="70"/>
        <v/>
      </c>
      <c r="D1533" t="str">
        <f>VLOOKUP(G1533,PathwayLookup!A:B,2,0)</f>
        <v>Short term domiciliary care (pathway 1)</v>
      </c>
      <c r="E1533" t="s">
        <v>253</v>
      </c>
      <c r="F1533" t="s">
        <v>560</v>
      </c>
      <c r="G1533" t="s">
        <v>684</v>
      </c>
      <c r="H1533">
        <v>0</v>
      </c>
      <c r="I1533">
        <v>0</v>
      </c>
      <c r="J1533">
        <v>0</v>
      </c>
      <c r="K1533">
        <v>0</v>
      </c>
      <c r="L1533">
        <v>0</v>
      </c>
      <c r="M1533">
        <v>0</v>
      </c>
      <c r="N1533">
        <v>0</v>
      </c>
      <c r="O1533">
        <v>0</v>
      </c>
      <c r="P1533">
        <v>0</v>
      </c>
      <c r="Q1533">
        <v>0</v>
      </c>
      <c r="R1533">
        <v>0</v>
      </c>
      <c r="S1533">
        <v>0</v>
      </c>
      <c r="T1533">
        <f t="shared" si="71"/>
        <v>0</v>
      </c>
      <c r="U1533">
        <v>1</v>
      </c>
    </row>
    <row r="1534" spans="1:21" x14ac:dyDescent="0.3">
      <c r="A1534" t="str">
        <f t="shared" si="69"/>
        <v/>
      </c>
      <c r="B1534" t="str">
        <f>IF(C1534="","",COUNTIF($C$2:C1534,C1534))</f>
        <v/>
      </c>
      <c r="C1534" t="str">
        <f t="shared" si="70"/>
        <v/>
      </c>
      <c r="D1534" t="str">
        <f>VLOOKUP(G1534,PathwayLookup!A:B,2,0)</f>
        <v>Reablement &amp; Rehabilitation in a bedded setting (pathway 2)</v>
      </c>
      <c r="E1534" t="s">
        <v>253</v>
      </c>
      <c r="F1534" t="s">
        <v>470</v>
      </c>
      <c r="G1534" t="s">
        <v>722</v>
      </c>
      <c r="H1534">
        <v>0</v>
      </c>
      <c r="I1534">
        <v>0</v>
      </c>
      <c r="J1534">
        <v>0</v>
      </c>
      <c r="K1534">
        <v>0</v>
      </c>
      <c r="L1534">
        <v>0</v>
      </c>
      <c r="M1534">
        <v>0</v>
      </c>
      <c r="N1534">
        <v>0</v>
      </c>
      <c r="O1534">
        <v>0</v>
      </c>
      <c r="P1534">
        <v>0</v>
      </c>
      <c r="Q1534">
        <v>0</v>
      </c>
      <c r="R1534">
        <v>0</v>
      </c>
      <c r="S1534">
        <v>0</v>
      </c>
      <c r="T1534">
        <f t="shared" si="71"/>
        <v>0</v>
      </c>
      <c r="U1534">
        <v>1</v>
      </c>
    </row>
    <row r="1535" spans="1:21" x14ac:dyDescent="0.3">
      <c r="A1535" t="str">
        <f t="shared" si="69"/>
        <v/>
      </c>
      <c r="B1535" t="str">
        <f>IF(C1535="","",COUNTIF($C$2:C1535,C1535))</f>
        <v/>
      </c>
      <c r="C1535" t="str">
        <f t="shared" si="70"/>
        <v/>
      </c>
      <c r="D1535" t="str">
        <f>VLOOKUP(G1535,PathwayLookup!A:B,2,0)</f>
        <v>Reablement &amp; Rehabilitation in a bedded setting (pathway 2)</v>
      </c>
      <c r="E1535" t="s">
        <v>253</v>
      </c>
      <c r="F1535" t="s">
        <v>560</v>
      </c>
      <c r="G1535" t="s">
        <v>722</v>
      </c>
      <c r="H1535">
        <v>0</v>
      </c>
      <c r="I1535">
        <v>0</v>
      </c>
      <c r="J1535">
        <v>0</v>
      </c>
      <c r="K1535">
        <v>0</v>
      </c>
      <c r="L1535">
        <v>0</v>
      </c>
      <c r="M1535">
        <v>0</v>
      </c>
      <c r="N1535">
        <v>0</v>
      </c>
      <c r="O1535">
        <v>0</v>
      </c>
      <c r="P1535">
        <v>0</v>
      </c>
      <c r="Q1535">
        <v>0</v>
      </c>
      <c r="R1535">
        <v>0</v>
      </c>
      <c r="S1535">
        <v>0</v>
      </c>
      <c r="T1535">
        <f t="shared" si="71"/>
        <v>0</v>
      </c>
      <c r="U1535">
        <v>1</v>
      </c>
    </row>
    <row r="1536" spans="1:21" x14ac:dyDescent="0.3">
      <c r="A1536" t="str">
        <f t="shared" si="69"/>
        <v>PeterboroughReablement &amp; Rehabilitation in a bedded setting (pathway 2)1</v>
      </c>
      <c r="B1536">
        <f>IF(C1536="","",COUNTIF($C$2:C1536,C1536))</f>
        <v>1</v>
      </c>
      <c r="C1536" t="str">
        <f t="shared" si="70"/>
        <v>PeterboroughRehabilitation in a bedded setting (pathway 2)</v>
      </c>
      <c r="D1536" t="str">
        <f>VLOOKUP(G1536,PathwayLookup!A:B,2,0)</f>
        <v>Reablement &amp; Rehabilitation in a bedded setting (pathway 2)</v>
      </c>
      <c r="E1536" t="s">
        <v>253</v>
      </c>
      <c r="F1536" t="s">
        <v>470</v>
      </c>
      <c r="G1536" t="s">
        <v>724</v>
      </c>
      <c r="H1536">
        <v>33</v>
      </c>
      <c r="I1536">
        <v>32</v>
      </c>
      <c r="J1536">
        <v>29</v>
      </c>
      <c r="K1536">
        <v>32</v>
      </c>
      <c r="L1536">
        <v>30</v>
      </c>
      <c r="M1536">
        <v>31</v>
      </c>
      <c r="N1536">
        <v>25</v>
      </c>
      <c r="O1536">
        <v>30</v>
      </c>
      <c r="P1536">
        <v>30</v>
      </c>
      <c r="Q1536">
        <v>30</v>
      </c>
      <c r="R1536">
        <v>30</v>
      </c>
      <c r="S1536">
        <v>30</v>
      </c>
      <c r="T1536">
        <f t="shared" si="71"/>
        <v>362</v>
      </c>
      <c r="U1536">
        <v>1</v>
      </c>
    </row>
    <row r="1537" spans="1:21" x14ac:dyDescent="0.3">
      <c r="A1537" t="str">
        <f t="shared" si="69"/>
        <v>PeterboroughReablement &amp; Rehabilitation in a bedded setting (pathway 2)2</v>
      </c>
      <c r="B1537">
        <f>IF(C1537="","",COUNTIF($C$2:C1537,C1537))</f>
        <v>2</v>
      </c>
      <c r="C1537" t="str">
        <f t="shared" si="70"/>
        <v>PeterboroughRehabilitation in a bedded setting (pathway 2)</v>
      </c>
      <c r="D1537" t="str">
        <f>VLOOKUP(G1537,PathwayLookup!A:B,2,0)</f>
        <v>Reablement &amp; Rehabilitation in a bedded setting (pathway 2)</v>
      </c>
      <c r="E1537" t="s">
        <v>253</v>
      </c>
      <c r="F1537" t="s">
        <v>560</v>
      </c>
      <c r="G1537" t="s">
        <v>724</v>
      </c>
      <c r="H1537">
        <v>18</v>
      </c>
      <c r="I1537">
        <v>17</v>
      </c>
      <c r="J1537">
        <v>16</v>
      </c>
      <c r="K1537">
        <v>17</v>
      </c>
      <c r="L1537">
        <v>16</v>
      </c>
      <c r="M1537">
        <v>17</v>
      </c>
      <c r="N1537">
        <v>14</v>
      </c>
      <c r="O1537">
        <v>16</v>
      </c>
      <c r="P1537">
        <v>16</v>
      </c>
      <c r="Q1537">
        <v>16</v>
      </c>
      <c r="R1537">
        <v>16</v>
      </c>
      <c r="S1537">
        <v>16</v>
      </c>
      <c r="T1537">
        <f t="shared" si="71"/>
        <v>195</v>
      </c>
      <c r="U1537">
        <v>1</v>
      </c>
    </row>
    <row r="1538" spans="1:21" x14ac:dyDescent="0.3">
      <c r="A1538" t="str">
        <f t="shared" ref="A1538:A1601" si="72">IF(B1538="","",E1538&amp;D1538&amp;B1538)</f>
        <v/>
      </c>
      <c r="B1538" t="str">
        <f>IF(C1538="","",COUNTIF($C$2:C1538,C1538))</f>
        <v/>
      </c>
      <c r="C1538" t="str">
        <f t="shared" ref="C1538:C1601" si="73">IF(T1538=0,"",E1538&amp;G1538)</f>
        <v/>
      </c>
      <c r="D1538" t="str">
        <f>VLOOKUP(G1538,PathwayLookup!A:B,2,0)</f>
        <v>Short-term residential/nursing care for someone likely to require a longer-term care home placement (pathway 3)</v>
      </c>
      <c r="E1538" t="s">
        <v>253</v>
      </c>
      <c r="F1538" t="s">
        <v>470</v>
      </c>
      <c r="G1538" t="s">
        <v>686</v>
      </c>
      <c r="H1538">
        <v>0</v>
      </c>
      <c r="I1538">
        <v>0</v>
      </c>
      <c r="J1538">
        <v>0</v>
      </c>
      <c r="K1538">
        <v>0</v>
      </c>
      <c r="L1538">
        <v>0</v>
      </c>
      <c r="M1538">
        <v>0</v>
      </c>
      <c r="N1538">
        <v>0</v>
      </c>
      <c r="O1538">
        <v>0</v>
      </c>
      <c r="P1538">
        <v>0</v>
      </c>
      <c r="Q1538">
        <v>0</v>
      </c>
      <c r="R1538">
        <v>0</v>
      </c>
      <c r="S1538">
        <v>0</v>
      </c>
      <c r="T1538">
        <f t="shared" ref="T1538:T1601" si="74">SUM(H1538:S1538)</f>
        <v>0</v>
      </c>
      <c r="U1538">
        <v>1</v>
      </c>
    </row>
    <row r="1539" spans="1:21" x14ac:dyDescent="0.3">
      <c r="A1539" t="str">
        <f t="shared" si="72"/>
        <v>PeterboroughShort-term residential/nursing care for someone likely to require a longer-term care home placement (pathway 3)1</v>
      </c>
      <c r="B1539">
        <f>IF(C1539="","",COUNTIF($C$2:C1539,C1539))</f>
        <v>1</v>
      </c>
      <c r="C1539" t="str">
        <f t="shared" si="73"/>
        <v>PeterboroughShort-term residential/nursing care for someone likely to require a longer-term care home placement (pathway 3)</v>
      </c>
      <c r="D1539" t="str">
        <f>VLOOKUP(G1539,PathwayLookup!A:B,2,0)</f>
        <v>Short-term residential/nursing care for someone likely to require a longer-term care home placement (pathway 3)</v>
      </c>
      <c r="E1539" t="s">
        <v>253</v>
      </c>
      <c r="F1539" t="s">
        <v>560</v>
      </c>
      <c r="G1539" t="s">
        <v>686</v>
      </c>
      <c r="H1539">
        <v>43</v>
      </c>
      <c r="I1539">
        <v>56</v>
      </c>
      <c r="J1539">
        <v>51</v>
      </c>
      <c r="K1539">
        <v>63</v>
      </c>
      <c r="L1539">
        <v>62</v>
      </c>
      <c r="M1539">
        <v>64</v>
      </c>
      <c r="N1539">
        <v>54</v>
      </c>
      <c r="O1539">
        <v>62</v>
      </c>
      <c r="P1539">
        <v>54</v>
      </c>
      <c r="Q1539">
        <v>51</v>
      </c>
      <c r="R1539">
        <v>48</v>
      </c>
      <c r="S1539">
        <v>72</v>
      </c>
      <c r="T1539">
        <f t="shared" si="74"/>
        <v>680</v>
      </c>
      <c r="U1539">
        <v>1</v>
      </c>
    </row>
    <row r="1540" spans="1:21" x14ac:dyDescent="0.3">
      <c r="A1540" t="str">
        <f t="shared" si="72"/>
        <v>PlymouthSocial support (including VCS) (pathway 0)1</v>
      </c>
      <c r="B1540">
        <f>IF(C1540="","",COUNTIF($C$2:C1540,C1540))</f>
        <v>1</v>
      </c>
      <c r="C1540" t="str">
        <f t="shared" si="73"/>
        <v>PlymouthSocial support (including VCS) (pathway 0)</v>
      </c>
      <c r="D1540" t="str">
        <f>VLOOKUP(G1540,PathwayLookup!A:B,2,0)</f>
        <v>Social support (including VCS) (pathway 0)</v>
      </c>
      <c r="E1540" t="s">
        <v>255</v>
      </c>
      <c r="F1540" t="s">
        <v>636</v>
      </c>
      <c r="G1540" t="s">
        <v>682</v>
      </c>
      <c r="H1540">
        <v>1142</v>
      </c>
      <c r="I1540">
        <v>1341</v>
      </c>
      <c r="J1540">
        <v>1312</v>
      </c>
      <c r="K1540">
        <v>1214</v>
      </c>
      <c r="L1540">
        <v>1292</v>
      </c>
      <c r="M1540">
        <v>1357</v>
      </c>
      <c r="N1540">
        <v>1332</v>
      </c>
      <c r="O1540">
        <v>1405</v>
      </c>
      <c r="P1540">
        <v>1260</v>
      </c>
      <c r="Q1540">
        <v>1297</v>
      </c>
      <c r="R1540">
        <v>1175</v>
      </c>
      <c r="S1540">
        <v>1228</v>
      </c>
      <c r="T1540">
        <f t="shared" si="74"/>
        <v>15355</v>
      </c>
      <c r="U1540">
        <v>1</v>
      </c>
    </row>
    <row r="1541" spans="1:21" x14ac:dyDescent="0.3">
      <c r="A1541" t="str">
        <f t="shared" si="72"/>
        <v>PlymouthSocial support (including VCS) (pathway 0)2</v>
      </c>
      <c r="B1541">
        <f>IF(C1541="","",COUNTIF($C$2:C1541,C1541))</f>
        <v>2</v>
      </c>
      <c r="C1541" t="str">
        <f t="shared" si="73"/>
        <v>PlymouthSocial support (including VCS) (pathway 0)</v>
      </c>
      <c r="D1541" t="str">
        <f>VLOOKUP(G1541,PathwayLookup!A:B,2,0)</f>
        <v>Social support (including VCS) (pathway 0)</v>
      </c>
      <c r="E1541" t="s">
        <v>255</v>
      </c>
      <c r="F1541" t="s">
        <v>651</v>
      </c>
      <c r="G1541" t="s">
        <v>682</v>
      </c>
      <c r="H1541">
        <v>60</v>
      </c>
      <c r="I1541">
        <v>71</v>
      </c>
      <c r="J1541">
        <v>69</v>
      </c>
      <c r="K1541">
        <v>64</v>
      </c>
      <c r="L1541">
        <v>68</v>
      </c>
      <c r="M1541">
        <v>71</v>
      </c>
      <c r="N1541">
        <v>70</v>
      </c>
      <c r="O1541">
        <v>74</v>
      </c>
      <c r="P1541">
        <v>66</v>
      </c>
      <c r="Q1541">
        <v>68</v>
      </c>
      <c r="R1541">
        <v>62</v>
      </c>
      <c r="S1541">
        <v>65</v>
      </c>
      <c r="T1541">
        <f t="shared" si="74"/>
        <v>808</v>
      </c>
      <c r="U1541">
        <v>1</v>
      </c>
    </row>
    <row r="1542" spans="1:21" x14ac:dyDescent="0.3">
      <c r="A1542" t="str">
        <f t="shared" si="72"/>
        <v>PlymouthReablement &amp; Rehabilitation at home  (pathway 1)1</v>
      </c>
      <c r="B1542">
        <f>IF(C1542="","",COUNTIF($C$2:C1542,C1542))</f>
        <v>1</v>
      </c>
      <c r="C1542" t="str">
        <f t="shared" si="73"/>
        <v>PlymouthReablement at home  (pathway 1)</v>
      </c>
      <c r="D1542" t="str">
        <f>VLOOKUP(G1542,PathwayLookup!A:B,2,0)</f>
        <v>Reablement &amp; Rehabilitation at home  (pathway 1)</v>
      </c>
      <c r="E1542" t="s">
        <v>255</v>
      </c>
      <c r="F1542" t="s">
        <v>636</v>
      </c>
      <c r="G1542" t="s">
        <v>718</v>
      </c>
      <c r="H1542">
        <v>143</v>
      </c>
      <c r="I1542">
        <v>152</v>
      </c>
      <c r="J1542">
        <v>146</v>
      </c>
      <c r="K1542">
        <v>115</v>
      </c>
      <c r="L1542">
        <v>126</v>
      </c>
      <c r="M1542">
        <v>104</v>
      </c>
      <c r="N1542">
        <v>108</v>
      </c>
      <c r="O1542">
        <v>100</v>
      </c>
      <c r="P1542">
        <v>104</v>
      </c>
      <c r="Q1542">
        <v>104</v>
      </c>
      <c r="R1542">
        <v>149</v>
      </c>
      <c r="S1542">
        <v>151</v>
      </c>
      <c r="T1542">
        <f t="shared" si="74"/>
        <v>1502</v>
      </c>
      <c r="U1542">
        <v>1</v>
      </c>
    </row>
    <row r="1543" spans="1:21" x14ac:dyDescent="0.3">
      <c r="A1543" t="str">
        <f t="shared" si="72"/>
        <v>PlymouthReablement &amp; Rehabilitation at home  (pathway 1)2</v>
      </c>
      <c r="B1543">
        <f>IF(C1543="","",COUNTIF($C$2:C1543,C1543))</f>
        <v>2</v>
      </c>
      <c r="C1543" t="str">
        <f t="shared" si="73"/>
        <v>PlymouthReablement at home  (pathway 1)</v>
      </c>
      <c r="D1543" t="str">
        <f>VLOOKUP(G1543,PathwayLookup!A:B,2,0)</f>
        <v>Reablement &amp; Rehabilitation at home  (pathway 1)</v>
      </c>
      <c r="E1543" t="s">
        <v>255</v>
      </c>
      <c r="F1543" t="s">
        <v>651</v>
      </c>
      <c r="G1543" t="s">
        <v>718</v>
      </c>
      <c r="H1543">
        <v>8</v>
      </c>
      <c r="I1543">
        <v>8</v>
      </c>
      <c r="J1543">
        <v>8</v>
      </c>
      <c r="K1543">
        <v>6</v>
      </c>
      <c r="L1543">
        <v>7</v>
      </c>
      <c r="M1543">
        <v>5</v>
      </c>
      <c r="N1543">
        <v>6</v>
      </c>
      <c r="O1543">
        <v>5</v>
      </c>
      <c r="P1543">
        <v>5</v>
      </c>
      <c r="Q1543">
        <v>5</v>
      </c>
      <c r="R1543">
        <v>8</v>
      </c>
      <c r="S1543">
        <v>8</v>
      </c>
      <c r="T1543">
        <f t="shared" si="74"/>
        <v>79</v>
      </c>
      <c r="U1543">
        <v>1</v>
      </c>
    </row>
    <row r="1544" spans="1:21" x14ac:dyDescent="0.3">
      <c r="A1544" t="str">
        <f t="shared" si="72"/>
        <v>PlymouthReablement &amp; Rehabilitation in a bedded setting (pathway 2)1</v>
      </c>
      <c r="B1544">
        <f>IF(C1544="","",COUNTIF($C$2:C1544,C1544))</f>
        <v>1</v>
      </c>
      <c r="C1544" t="str">
        <f t="shared" si="73"/>
        <v>PlymouthReablement in a bedded setting (pathway 2)</v>
      </c>
      <c r="D1544" t="str">
        <f>VLOOKUP(G1544,PathwayLookup!A:B,2,0)</f>
        <v>Reablement &amp; Rehabilitation in a bedded setting (pathway 2)</v>
      </c>
      <c r="E1544" t="s">
        <v>255</v>
      </c>
      <c r="F1544" t="s">
        <v>636</v>
      </c>
      <c r="G1544" t="s">
        <v>722</v>
      </c>
      <c r="H1544">
        <v>62</v>
      </c>
      <c r="I1544">
        <v>60</v>
      </c>
      <c r="J1544">
        <v>54</v>
      </c>
      <c r="K1544">
        <v>52</v>
      </c>
      <c r="L1544">
        <v>51</v>
      </c>
      <c r="M1544">
        <v>49</v>
      </c>
      <c r="N1544">
        <v>54</v>
      </c>
      <c r="O1544">
        <v>51</v>
      </c>
      <c r="P1544">
        <v>45</v>
      </c>
      <c r="Q1544">
        <v>57</v>
      </c>
      <c r="R1544">
        <v>57</v>
      </c>
      <c r="S1544">
        <v>57</v>
      </c>
      <c r="T1544">
        <f t="shared" si="74"/>
        <v>649</v>
      </c>
      <c r="U1544">
        <v>1</v>
      </c>
    </row>
    <row r="1545" spans="1:21" x14ac:dyDescent="0.3">
      <c r="A1545" t="str">
        <f t="shared" si="72"/>
        <v>PlymouthReablement &amp; Rehabilitation in a bedded setting (pathway 2)2</v>
      </c>
      <c r="B1545">
        <f>IF(C1545="","",COUNTIF($C$2:C1545,C1545))</f>
        <v>2</v>
      </c>
      <c r="C1545" t="str">
        <f t="shared" si="73"/>
        <v>PlymouthReablement in a bedded setting (pathway 2)</v>
      </c>
      <c r="D1545" t="str">
        <f>VLOOKUP(G1545,PathwayLookup!A:B,2,0)</f>
        <v>Reablement &amp; Rehabilitation in a bedded setting (pathway 2)</v>
      </c>
      <c r="E1545" t="s">
        <v>255</v>
      </c>
      <c r="F1545" t="s">
        <v>651</v>
      </c>
      <c r="G1545" t="s">
        <v>722</v>
      </c>
      <c r="H1545">
        <v>3</v>
      </c>
      <c r="I1545">
        <v>3</v>
      </c>
      <c r="J1545">
        <v>3</v>
      </c>
      <c r="K1545">
        <v>3</v>
      </c>
      <c r="L1545">
        <v>3</v>
      </c>
      <c r="M1545">
        <v>3</v>
      </c>
      <c r="N1545">
        <v>3</v>
      </c>
      <c r="O1545">
        <v>3</v>
      </c>
      <c r="P1545">
        <v>2</v>
      </c>
      <c r="Q1545">
        <v>3</v>
      </c>
      <c r="R1545">
        <v>3</v>
      </c>
      <c r="S1545">
        <v>3</v>
      </c>
      <c r="T1545">
        <f t="shared" si="74"/>
        <v>35</v>
      </c>
      <c r="U1545">
        <v>1</v>
      </c>
    </row>
    <row r="1546" spans="1:21" x14ac:dyDescent="0.3">
      <c r="A1546" t="str">
        <f t="shared" si="72"/>
        <v>PlymouthShort-term residential/nursing care for someone likely to require a longer-term care home placement (pathway 3)1</v>
      </c>
      <c r="B1546">
        <f>IF(C1546="","",COUNTIF($C$2:C1546,C1546))</f>
        <v>1</v>
      </c>
      <c r="C1546" t="str">
        <f t="shared" si="73"/>
        <v>PlymouthShort-term residential/nursing care for someone likely to require a longer-term care home placement (pathway 3)</v>
      </c>
      <c r="D1546" t="str">
        <f>VLOOKUP(G1546,PathwayLookup!A:B,2,0)</f>
        <v>Short-term residential/nursing care for someone likely to require a longer-term care home placement (pathway 3)</v>
      </c>
      <c r="E1546" t="s">
        <v>255</v>
      </c>
      <c r="F1546" t="s">
        <v>636</v>
      </c>
      <c r="G1546" t="s">
        <v>686</v>
      </c>
      <c r="H1546">
        <v>45</v>
      </c>
      <c r="I1546">
        <v>47</v>
      </c>
      <c r="J1546">
        <v>40</v>
      </c>
      <c r="K1546">
        <v>30</v>
      </c>
      <c r="L1546">
        <v>30</v>
      </c>
      <c r="M1546">
        <v>41</v>
      </c>
      <c r="N1546">
        <v>37</v>
      </c>
      <c r="O1546">
        <v>37</v>
      </c>
      <c r="P1546">
        <v>32</v>
      </c>
      <c r="Q1546">
        <v>37</v>
      </c>
      <c r="R1546">
        <v>43</v>
      </c>
      <c r="S1546">
        <v>36</v>
      </c>
      <c r="T1546">
        <f t="shared" si="74"/>
        <v>455</v>
      </c>
      <c r="U1546">
        <v>1</v>
      </c>
    </row>
    <row r="1547" spans="1:21" x14ac:dyDescent="0.3">
      <c r="A1547" t="str">
        <f t="shared" si="72"/>
        <v>PlymouthShort-term residential/nursing care for someone likely to require a longer-term care home placement (pathway 3)2</v>
      </c>
      <c r="B1547">
        <f>IF(C1547="","",COUNTIF($C$2:C1547,C1547))</f>
        <v>2</v>
      </c>
      <c r="C1547" t="str">
        <f t="shared" si="73"/>
        <v>PlymouthShort-term residential/nursing care for someone likely to require a longer-term care home placement (pathway 3)</v>
      </c>
      <c r="D1547" t="str">
        <f>VLOOKUP(G1547,PathwayLookup!A:B,2,0)</f>
        <v>Short-term residential/nursing care for someone likely to require a longer-term care home placement (pathway 3)</v>
      </c>
      <c r="E1547" t="s">
        <v>255</v>
      </c>
      <c r="F1547" t="s">
        <v>651</v>
      </c>
      <c r="G1547" t="s">
        <v>686</v>
      </c>
      <c r="H1547">
        <v>2</v>
      </c>
      <c r="I1547">
        <v>2</v>
      </c>
      <c r="J1547">
        <v>2</v>
      </c>
      <c r="K1547">
        <v>2</v>
      </c>
      <c r="L1547">
        <v>2</v>
      </c>
      <c r="M1547">
        <v>2</v>
      </c>
      <c r="N1547">
        <v>2</v>
      </c>
      <c r="O1547">
        <v>2</v>
      </c>
      <c r="P1547">
        <v>2</v>
      </c>
      <c r="Q1547">
        <v>2</v>
      </c>
      <c r="R1547">
        <v>2</v>
      </c>
      <c r="S1547">
        <v>2</v>
      </c>
      <c r="T1547">
        <f t="shared" si="74"/>
        <v>24</v>
      </c>
      <c r="U1547">
        <v>1</v>
      </c>
    </row>
    <row r="1548" spans="1:21" x14ac:dyDescent="0.3">
      <c r="A1548" t="str">
        <f t="shared" si="72"/>
        <v>PortsmouthSocial support (including VCS) (pathway 0)1</v>
      </c>
      <c r="B1548">
        <f>IF(C1548="","",COUNTIF($C$2:C1548,C1548))</f>
        <v>1</v>
      </c>
      <c r="C1548" t="str">
        <f t="shared" si="73"/>
        <v>PortsmouthSocial support (including VCS) (pathway 0)</v>
      </c>
      <c r="D1548" t="str">
        <f>VLOOKUP(G1548,PathwayLookup!A:B,2,0)</f>
        <v>Social support (including VCS) (pathway 0)</v>
      </c>
      <c r="E1548" t="s">
        <v>257</v>
      </c>
      <c r="F1548" t="s">
        <v>572</v>
      </c>
      <c r="G1548" t="s">
        <v>682</v>
      </c>
      <c r="H1548">
        <v>15</v>
      </c>
      <c r="I1548">
        <v>14</v>
      </c>
      <c r="J1548">
        <v>14</v>
      </c>
      <c r="K1548">
        <v>14</v>
      </c>
      <c r="L1548">
        <v>14</v>
      </c>
      <c r="M1548">
        <v>14</v>
      </c>
      <c r="N1548">
        <v>14</v>
      </c>
      <c r="O1548">
        <v>16</v>
      </c>
      <c r="P1548">
        <v>18</v>
      </c>
      <c r="Q1548">
        <v>18</v>
      </c>
      <c r="R1548">
        <v>15</v>
      </c>
      <c r="S1548">
        <v>14</v>
      </c>
      <c r="T1548">
        <f t="shared" si="74"/>
        <v>180</v>
      </c>
      <c r="U1548">
        <v>1</v>
      </c>
    </row>
    <row r="1549" spans="1:21" x14ac:dyDescent="0.3">
      <c r="A1549" t="str">
        <f t="shared" si="72"/>
        <v>PortsmouthReablement &amp; Rehabilitation at home  (pathway 1)1</v>
      </c>
      <c r="B1549">
        <f>IF(C1549="","",COUNTIF($C$2:C1549,C1549))</f>
        <v>1</v>
      </c>
      <c r="C1549" t="str">
        <f t="shared" si="73"/>
        <v>PortsmouthReablement at home  (pathway 1)</v>
      </c>
      <c r="D1549" t="str">
        <f>VLOOKUP(G1549,PathwayLookup!A:B,2,0)</f>
        <v>Reablement &amp; Rehabilitation at home  (pathway 1)</v>
      </c>
      <c r="E1549" t="s">
        <v>257</v>
      </c>
      <c r="F1549" t="s">
        <v>572</v>
      </c>
      <c r="G1549" t="s">
        <v>718</v>
      </c>
      <c r="H1549">
        <v>11</v>
      </c>
      <c r="I1549">
        <v>12</v>
      </c>
      <c r="J1549">
        <v>11</v>
      </c>
      <c r="K1549">
        <v>12</v>
      </c>
      <c r="L1549">
        <v>11</v>
      </c>
      <c r="M1549">
        <v>12</v>
      </c>
      <c r="N1549">
        <v>12</v>
      </c>
      <c r="O1549">
        <v>13</v>
      </c>
      <c r="P1549">
        <v>16</v>
      </c>
      <c r="Q1549">
        <v>16</v>
      </c>
      <c r="R1549">
        <v>13</v>
      </c>
      <c r="S1549">
        <v>12</v>
      </c>
      <c r="T1549">
        <f t="shared" si="74"/>
        <v>151</v>
      </c>
      <c r="U1549">
        <v>1</v>
      </c>
    </row>
    <row r="1550" spans="1:21" x14ac:dyDescent="0.3">
      <c r="A1550" t="str">
        <f t="shared" si="72"/>
        <v>PortsmouthReablement &amp; Rehabilitation at home  (pathway 1)1</v>
      </c>
      <c r="B1550">
        <f>IF(C1550="","",COUNTIF($C$2:C1550,C1550))</f>
        <v>1</v>
      </c>
      <c r="C1550" t="str">
        <f t="shared" si="73"/>
        <v>PortsmouthRehabilitation at home (pathway 1)</v>
      </c>
      <c r="D1550" t="str">
        <f>VLOOKUP(G1550,PathwayLookup!A:B,2,0)</f>
        <v>Reablement &amp; Rehabilitation at home  (pathway 1)</v>
      </c>
      <c r="E1550" t="s">
        <v>257</v>
      </c>
      <c r="F1550" t="s">
        <v>572</v>
      </c>
      <c r="G1550" t="s">
        <v>719</v>
      </c>
      <c r="H1550">
        <v>11</v>
      </c>
      <c r="I1550">
        <v>12</v>
      </c>
      <c r="J1550">
        <v>11</v>
      </c>
      <c r="K1550">
        <v>12</v>
      </c>
      <c r="L1550">
        <v>11</v>
      </c>
      <c r="M1550">
        <v>12</v>
      </c>
      <c r="N1550">
        <v>12</v>
      </c>
      <c r="O1550">
        <v>13</v>
      </c>
      <c r="P1550">
        <v>16</v>
      </c>
      <c r="Q1550">
        <v>16</v>
      </c>
      <c r="R1550">
        <v>13</v>
      </c>
      <c r="S1550">
        <v>12</v>
      </c>
      <c r="T1550">
        <f t="shared" si="74"/>
        <v>151</v>
      </c>
      <c r="U1550">
        <v>1</v>
      </c>
    </row>
    <row r="1551" spans="1:21" x14ac:dyDescent="0.3">
      <c r="A1551" t="str">
        <f t="shared" si="72"/>
        <v>PortsmouthShort term domiciliary care (pathway 1)1</v>
      </c>
      <c r="B1551">
        <f>IF(C1551="","",COUNTIF($C$2:C1551,C1551))</f>
        <v>1</v>
      </c>
      <c r="C1551" t="str">
        <f t="shared" si="73"/>
        <v>PortsmouthShort term domiciliary care (pathway 1)</v>
      </c>
      <c r="D1551" t="str">
        <f>VLOOKUP(G1551,PathwayLookup!A:B,2,0)</f>
        <v>Short term domiciliary care (pathway 1)</v>
      </c>
      <c r="E1551" t="s">
        <v>257</v>
      </c>
      <c r="F1551" t="s">
        <v>572</v>
      </c>
      <c r="G1551" t="s">
        <v>684</v>
      </c>
      <c r="H1551">
        <v>34</v>
      </c>
      <c r="I1551">
        <v>35</v>
      </c>
      <c r="J1551">
        <v>34</v>
      </c>
      <c r="K1551">
        <v>35</v>
      </c>
      <c r="L1551">
        <v>34</v>
      </c>
      <c r="M1551">
        <v>35</v>
      </c>
      <c r="N1551">
        <v>35</v>
      </c>
      <c r="O1551">
        <v>36</v>
      </c>
      <c r="P1551">
        <v>39</v>
      </c>
      <c r="Q1551">
        <v>39</v>
      </c>
      <c r="R1551">
        <v>35</v>
      </c>
      <c r="S1551">
        <v>35</v>
      </c>
      <c r="T1551">
        <f t="shared" si="74"/>
        <v>426</v>
      </c>
      <c r="U1551">
        <v>1</v>
      </c>
    </row>
    <row r="1552" spans="1:21" x14ac:dyDescent="0.3">
      <c r="A1552" t="str">
        <f t="shared" si="72"/>
        <v>PortsmouthReablement &amp; Rehabilitation in a bedded setting (pathway 2)1</v>
      </c>
      <c r="B1552">
        <f>IF(C1552="","",COUNTIF($C$2:C1552,C1552))</f>
        <v>1</v>
      </c>
      <c r="C1552" t="str">
        <f t="shared" si="73"/>
        <v>PortsmouthReablement in a bedded setting (pathway 2)</v>
      </c>
      <c r="D1552" t="str">
        <f>VLOOKUP(G1552,PathwayLookup!A:B,2,0)</f>
        <v>Reablement &amp; Rehabilitation in a bedded setting (pathway 2)</v>
      </c>
      <c r="E1552" t="s">
        <v>257</v>
      </c>
      <c r="F1552" t="s">
        <v>572</v>
      </c>
      <c r="G1552" t="s">
        <v>722</v>
      </c>
      <c r="H1552">
        <v>45</v>
      </c>
      <c r="I1552">
        <v>45</v>
      </c>
      <c r="J1552">
        <v>45</v>
      </c>
      <c r="K1552">
        <v>45</v>
      </c>
      <c r="L1552">
        <v>45</v>
      </c>
      <c r="M1552">
        <v>45</v>
      </c>
      <c r="N1552">
        <v>45</v>
      </c>
      <c r="O1552">
        <v>45</v>
      </c>
      <c r="P1552">
        <v>45</v>
      </c>
      <c r="Q1552">
        <v>45</v>
      </c>
      <c r="R1552">
        <v>45</v>
      </c>
      <c r="S1552">
        <v>45</v>
      </c>
      <c r="T1552">
        <f t="shared" si="74"/>
        <v>540</v>
      </c>
      <c r="U1552">
        <v>1</v>
      </c>
    </row>
    <row r="1553" spans="1:21" x14ac:dyDescent="0.3">
      <c r="A1553" t="str">
        <f t="shared" si="72"/>
        <v>PortsmouthReablement &amp; Rehabilitation in a bedded setting (pathway 2)1</v>
      </c>
      <c r="B1553">
        <f>IF(C1553="","",COUNTIF($C$2:C1553,C1553))</f>
        <v>1</v>
      </c>
      <c r="C1553" t="str">
        <f t="shared" si="73"/>
        <v>PortsmouthRehabilitation in a bedded setting (pathway 2)</v>
      </c>
      <c r="D1553" t="str">
        <f>VLOOKUP(G1553,PathwayLookup!A:B,2,0)</f>
        <v>Reablement &amp; Rehabilitation in a bedded setting (pathway 2)</v>
      </c>
      <c r="E1553" t="s">
        <v>257</v>
      </c>
      <c r="F1553" t="s">
        <v>572</v>
      </c>
      <c r="G1553" t="s">
        <v>724</v>
      </c>
      <c r="H1553">
        <v>39</v>
      </c>
      <c r="I1553">
        <v>39</v>
      </c>
      <c r="J1553">
        <v>39</v>
      </c>
      <c r="K1553">
        <v>39</v>
      </c>
      <c r="L1553">
        <v>39</v>
      </c>
      <c r="M1553">
        <v>39</v>
      </c>
      <c r="N1553">
        <v>39</v>
      </c>
      <c r="O1553">
        <v>39</v>
      </c>
      <c r="P1553">
        <v>39</v>
      </c>
      <c r="Q1553">
        <v>39</v>
      </c>
      <c r="R1553">
        <v>39</v>
      </c>
      <c r="S1553">
        <v>39</v>
      </c>
      <c r="T1553">
        <f t="shared" si="74"/>
        <v>468</v>
      </c>
      <c r="U1553">
        <v>1</v>
      </c>
    </row>
    <row r="1554" spans="1:21" x14ac:dyDescent="0.3">
      <c r="A1554" t="str">
        <f t="shared" si="72"/>
        <v>ReadingSocial support (including VCS) (pathway 0)1</v>
      </c>
      <c r="B1554">
        <f>IF(C1554="","",COUNTIF($C$2:C1554,C1554))</f>
        <v>1</v>
      </c>
      <c r="C1554" t="str">
        <f t="shared" si="73"/>
        <v>ReadingSocial support (including VCS) (pathway 0)</v>
      </c>
      <c r="D1554" t="str">
        <f>VLOOKUP(G1554,PathwayLookup!A:B,2,0)</f>
        <v>Social support (including VCS) (pathway 0)</v>
      </c>
      <c r="E1554" t="s">
        <v>259</v>
      </c>
      <c r="F1554" t="s">
        <v>575</v>
      </c>
      <c r="G1554" t="s">
        <v>682</v>
      </c>
      <c r="H1554">
        <v>69</v>
      </c>
      <c r="I1554">
        <v>69</v>
      </c>
      <c r="J1554">
        <v>69</v>
      </c>
      <c r="K1554">
        <v>69</v>
      </c>
      <c r="L1554">
        <v>69</v>
      </c>
      <c r="M1554">
        <v>69</v>
      </c>
      <c r="N1554">
        <v>69</v>
      </c>
      <c r="O1554">
        <v>69</v>
      </c>
      <c r="P1554">
        <v>69</v>
      </c>
      <c r="Q1554">
        <v>69</v>
      </c>
      <c r="R1554">
        <v>69</v>
      </c>
      <c r="S1554">
        <v>69</v>
      </c>
      <c r="T1554">
        <f t="shared" si="74"/>
        <v>828</v>
      </c>
      <c r="U1554">
        <v>1</v>
      </c>
    </row>
    <row r="1555" spans="1:21" x14ac:dyDescent="0.3">
      <c r="A1555" t="str">
        <f t="shared" si="72"/>
        <v>ReadingReablement &amp; Rehabilitation at home  (pathway 1)1</v>
      </c>
      <c r="B1555">
        <f>IF(C1555="","",COUNTIF($C$2:C1555,C1555))</f>
        <v>1</v>
      </c>
      <c r="C1555" t="str">
        <f t="shared" si="73"/>
        <v>ReadingReablement at home  (pathway 1)</v>
      </c>
      <c r="D1555" t="str">
        <f>VLOOKUP(G1555,PathwayLookup!A:B,2,0)</f>
        <v>Reablement &amp; Rehabilitation at home  (pathway 1)</v>
      </c>
      <c r="E1555" t="s">
        <v>259</v>
      </c>
      <c r="F1555" t="s">
        <v>575</v>
      </c>
      <c r="G1555" t="s">
        <v>718</v>
      </c>
      <c r="H1555">
        <v>80</v>
      </c>
      <c r="I1555">
        <v>74</v>
      </c>
      <c r="J1555">
        <v>66</v>
      </c>
      <c r="K1555">
        <v>64</v>
      </c>
      <c r="L1555">
        <v>52</v>
      </c>
      <c r="M1555">
        <v>49</v>
      </c>
      <c r="N1555">
        <v>80</v>
      </c>
      <c r="O1555">
        <v>61</v>
      </c>
      <c r="P1555">
        <v>64</v>
      </c>
      <c r="Q1555">
        <v>63</v>
      </c>
      <c r="R1555">
        <v>65</v>
      </c>
      <c r="S1555">
        <v>66</v>
      </c>
      <c r="T1555">
        <f t="shared" si="74"/>
        <v>784</v>
      </c>
      <c r="U1555">
        <v>1</v>
      </c>
    </row>
    <row r="1556" spans="1:21" x14ac:dyDescent="0.3">
      <c r="A1556" t="str">
        <f t="shared" si="72"/>
        <v>ReadingReablement &amp; Rehabilitation at home  (pathway 1)1</v>
      </c>
      <c r="B1556">
        <f>IF(C1556="","",COUNTIF($C$2:C1556,C1556))</f>
        <v>1</v>
      </c>
      <c r="C1556" t="str">
        <f t="shared" si="73"/>
        <v>ReadingRehabilitation at home (pathway 1)</v>
      </c>
      <c r="D1556" t="str">
        <f>VLOOKUP(G1556,PathwayLookup!A:B,2,0)</f>
        <v>Reablement &amp; Rehabilitation at home  (pathway 1)</v>
      </c>
      <c r="E1556" t="s">
        <v>259</v>
      </c>
      <c r="F1556" t="s">
        <v>458</v>
      </c>
      <c r="G1556" t="s">
        <v>719</v>
      </c>
      <c r="H1556">
        <v>17</v>
      </c>
      <c r="I1556">
        <v>17</v>
      </c>
      <c r="J1556">
        <v>26</v>
      </c>
      <c r="K1556">
        <v>23</v>
      </c>
      <c r="L1556">
        <v>25</v>
      </c>
      <c r="M1556">
        <v>27</v>
      </c>
      <c r="N1556">
        <v>30</v>
      </c>
      <c r="O1556">
        <v>29</v>
      </c>
      <c r="P1556">
        <v>31</v>
      </c>
      <c r="Q1556">
        <v>30</v>
      </c>
      <c r="R1556">
        <v>19</v>
      </c>
      <c r="S1556">
        <v>24</v>
      </c>
      <c r="T1556">
        <f t="shared" si="74"/>
        <v>298</v>
      </c>
      <c r="U1556">
        <v>1</v>
      </c>
    </row>
    <row r="1557" spans="1:21" x14ac:dyDescent="0.3">
      <c r="A1557" t="str">
        <f t="shared" si="72"/>
        <v>ReadingShort term domiciliary care (pathway 1)1</v>
      </c>
      <c r="B1557">
        <f>IF(C1557="","",COUNTIF($C$2:C1557,C1557))</f>
        <v>1</v>
      </c>
      <c r="C1557" t="str">
        <f t="shared" si="73"/>
        <v>ReadingShort term domiciliary care (pathway 1)</v>
      </c>
      <c r="D1557" t="str">
        <f>VLOOKUP(G1557,PathwayLookup!A:B,2,0)</f>
        <v>Short term domiciliary care (pathway 1)</v>
      </c>
      <c r="E1557" t="s">
        <v>259</v>
      </c>
      <c r="F1557" t="s">
        <v>575</v>
      </c>
      <c r="G1557" t="s">
        <v>684</v>
      </c>
      <c r="H1557">
        <v>25</v>
      </c>
      <c r="I1557">
        <v>25</v>
      </c>
      <c r="J1557">
        <v>25</v>
      </c>
      <c r="K1557">
        <v>25</v>
      </c>
      <c r="L1557">
        <v>25</v>
      </c>
      <c r="M1557">
        <v>25</v>
      </c>
      <c r="N1557">
        <v>25</v>
      </c>
      <c r="O1557">
        <v>25</v>
      </c>
      <c r="P1557">
        <v>25</v>
      </c>
      <c r="Q1557">
        <v>25</v>
      </c>
      <c r="R1557">
        <v>25</v>
      </c>
      <c r="S1557">
        <v>25</v>
      </c>
      <c r="T1557">
        <f t="shared" si="74"/>
        <v>300</v>
      </c>
      <c r="U1557">
        <v>1</v>
      </c>
    </row>
    <row r="1558" spans="1:21" x14ac:dyDescent="0.3">
      <c r="A1558" t="str">
        <f t="shared" si="72"/>
        <v>ReadingReablement &amp; Rehabilitation in a bedded setting (pathway 2)1</v>
      </c>
      <c r="B1558">
        <f>IF(C1558="","",COUNTIF($C$2:C1558,C1558))</f>
        <v>1</v>
      </c>
      <c r="C1558" t="str">
        <f t="shared" si="73"/>
        <v>ReadingRehabilitation in a bedded setting (pathway 2)</v>
      </c>
      <c r="D1558" t="str">
        <f>VLOOKUP(G1558,PathwayLookup!A:B,2,0)</f>
        <v>Reablement &amp; Rehabilitation in a bedded setting (pathway 2)</v>
      </c>
      <c r="E1558" t="s">
        <v>259</v>
      </c>
      <c r="F1558" t="s">
        <v>575</v>
      </c>
      <c r="G1558" t="s">
        <v>724</v>
      </c>
      <c r="H1558">
        <v>1</v>
      </c>
      <c r="I1558">
        <v>2</v>
      </c>
      <c r="J1558">
        <v>1</v>
      </c>
      <c r="K1558">
        <v>2</v>
      </c>
      <c r="L1558">
        <v>1</v>
      </c>
      <c r="M1558">
        <v>2</v>
      </c>
      <c r="N1558">
        <v>1</v>
      </c>
      <c r="O1558">
        <v>3</v>
      </c>
      <c r="P1558">
        <v>3</v>
      </c>
      <c r="Q1558">
        <v>3</v>
      </c>
      <c r="R1558">
        <v>3</v>
      </c>
      <c r="S1558">
        <v>3</v>
      </c>
      <c r="T1558">
        <f t="shared" si="74"/>
        <v>25</v>
      </c>
      <c r="U1558">
        <v>1</v>
      </c>
    </row>
    <row r="1559" spans="1:21" x14ac:dyDescent="0.3">
      <c r="A1559" t="str">
        <f t="shared" si="72"/>
        <v>ReadingShort-term residential/nursing care for someone likely to require a longer-term care home placement (pathway 3)1</v>
      </c>
      <c r="B1559">
        <f>IF(C1559="","",COUNTIF($C$2:C1559,C1559))</f>
        <v>1</v>
      </c>
      <c r="C1559" t="str">
        <f t="shared" si="73"/>
        <v>ReadingShort-term residential/nursing care for someone likely to require a longer-term care home placement (pathway 3)</v>
      </c>
      <c r="D1559" t="str">
        <f>VLOOKUP(G1559,PathwayLookup!A:B,2,0)</f>
        <v>Short-term residential/nursing care for someone likely to require a longer-term care home placement (pathway 3)</v>
      </c>
      <c r="E1559" t="s">
        <v>259</v>
      </c>
      <c r="F1559" t="s">
        <v>575</v>
      </c>
      <c r="G1559" t="s">
        <v>686</v>
      </c>
      <c r="H1559">
        <v>10</v>
      </c>
      <c r="I1559">
        <v>9</v>
      </c>
      <c r="J1559">
        <v>5</v>
      </c>
      <c r="K1559">
        <v>5</v>
      </c>
      <c r="L1559">
        <v>9</v>
      </c>
      <c r="M1559">
        <v>12</v>
      </c>
      <c r="N1559">
        <v>9</v>
      </c>
      <c r="O1559">
        <v>4</v>
      </c>
      <c r="P1559">
        <v>4</v>
      </c>
      <c r="Q1559">
        <v>5</v>
      </c>
      <c r="R1559">
        <v>10</v>
      </c>
      <c r="S1559">
        <v>12</v>
      </c>
      <c r="T1559">
        <f t="shared" si="74"/>
        <v>94</v>
      </c>
      <c r="U1559">
        <v>1</v>
      </c>
    </row>
    <row r="1560" spans="1:21" x14ac:dyDescent="0.3">
      <c r="A1560" t="str">
        <f t="shared" si="72"/>
        <v>RedbridgeSocial support (including VCS) (pathway 0)1</v>
      </c>
      <c r="B1560">
        <f>IF(C1560="","",COUNTIF($C$2:C1560,C1560))</f>
        <v>1</v>
      </c>
      <c r="C1560" t="str">
        <f t="shared" si="73"/>
        <v>RedbridgeSocial support (including VCS) (pathway 0)</v>
      </c>
      <c r="D1560" t="str">
        <f>VLOOKUP(G1560,PathwayLookup!A:B,2,0)</f>
        <v>Social support (including VCS) (pathway 0)</v>
      </c>
      <c r="E1560" t="s">
        <v>261</v>
      </c>
      <c r="F1560" t="s">
        <v>453</v>
      </c>
      <c r="G1560" t="s">
        <v>682</v>
      </c>
      <c r="H1560">
        <v>30</v>
      </c>
      <c r="I1560">
        <v>30</v>
      </c>
      <c r="J1560">
        <v>30</v>
      </c>
      <c r="K1560">
        <v>30</v>
      </c>
      <c r="L1560">
        <v>30</v>
      </c>
      <c r="M1560">
        <v>30</v>
      </c>
      <c r="N1560">
        <v>30</v>
      </c>
      <c r="O1560">
        <v>30</v>
      </c>
      <c r="P1560">
        <v>30</v>
      </c>
      <c r="Q1560">
        <v>30</v>
      </c>
      <c r="R1560">
        <v>30</v>
      </c>
      <c r="S1560">
        <v>30</v>
      </c>
      <c r="T1560">
        <f t="shared" si="74"/>
        <v>360</v>
      </c>
      <c r="U1560">
        <v>1</v>
      </c>
    </row>
    <row r="1561" spans="1:21" x14ac:dyDescent="0.3">
      <c r="A1561" t="str">
        <f t="shared" si="72"/>
        <v>RedbridgeSocial support (including VCS) (pathway 0)2</v>
      </c>
      <c r="B1561">
        <f>IF(C1561="","",COUNTIF($C$2:C1561,C1561))</f>
        <v>2</v>
      </c>
      <c r="C1561" t="str">
        <f t="shared" si="73"/>
        <v>RedbridgeSocial support (including VCS) (pathway 0)</v>
      </c>
      <c r="D1561" t="str">
        <f>VLOOKUP(G1561,PathwayLookup!A:B,2,0)</f>
        <v>Social support (including VCS) (pathway 0)</v>
      </c>
      <c r="E1561" t="s">
        <v>261</v>
      </c>
      <c r="F1561" t="s">
        <v>456</v>
      </c>
      <c r="G1561" t="s">
        <v>682</v>
      </c>
      <c r="H1561">
        <v>10</v>
      </c>
      <c r="I1561">
        <v>10</v>
      </c>
      <c r="J1561">
        <v>10</v>
      </c>
      <c r="K1561">
        <v>10</v>
      </c>
      <c r="L1561">
        <v>10</v>
      </c>
      <c r="M1561">
        <v>10</v>
      </c>
      <c r="N1561">
        <v>10</v>
      </c>
      <c r="O1561">
        <v>10</v>
      </c>
      <c r="P1561">
        <v>10</v>
      </c>
      <c r="Q1561">
        <v>10</v>
      </c>
      <c r="R1561">
        <v>10</v>
      </c>
      <c r="S1561">
        <v>10</v>
      </c>
      <c r="T1561">
        <f t="shared" si="74"/>
        <v>120</v>
      </c>
      <c r="U1561">
        <v>1</v>
      </c>
    </row>
    <row r="1562" spans="1:21" x14ac:dyDescent="0.3">
      <c r="A1562" t="str">
        <f t="shared" si="72"/>
        <v>RedbridgeReablement &amp; Rehabilitation at home  (pathway 1)1</v>
      </c>
      <c r="B1562">
        <f>IF(C1562="","",COUNTIF($C$2:C1562,C1562))</f>
        <v>1</v>
      </c>
      <c r="C1562" t="str">
        <f t="shared" si="73"/>
        <v>RedbridgeReablement at home  (pathway 1)</v>
      </c>
      <c r="D1562" t="str">
        <f>VLOOKUP(G1562,PathwayLookup!A:B,2,0)</f>
        <v>Reablement &amp; Rehabilitation at home  (pathway 1)</v>
      </c>
      <c r="E1562" t="s">
        <v>261</v>
      </c>
      <c r="F1562" t="s">
        <v>453</v>
      </c>
      <c r="G1562" t="s">
        <v>718</v>
      </c>
      <c r="H1562">
        <v>32</v>
      </c>
      <c r="I1562">
        <v>32</v>
      </c>
      <c r="J1562">
        <v>32</v>
      </c>
      <c r="K1562">
        <v>32</v>
      </c>
      <c r="L1562">
        <v>32</v>
      </c>
      <c r="M1562">
        <v>32</v>
      </c>
      <c r="N1562">
        <v>32</v>
      </c>
      <c r="O1562">
        <v>32</v>
      </c>
      <c r="P1562">
        <v>32</v>
      </c>
      <c r="Q1562">
        <v>32</v>
      </c>
      <c r="R1562">
        <v>32</v>
      </c>
      <c r="S1562">
        <v>32</v>
      </c>
      <c r="T1562">
        <f t="shared" si="74"/>
        <v>384</v>
      </c>
      <c r="U1562">
        <v>1</v>
      </c>
    </row>
    <row r="1563" spans="1:21" x14ac:dyDescent="0.3">
      <c r="A1563" t="str">
        <f t="shared" si="72"/>
        <v>RedbridgeReablement &amp; Rehabilitation at home  (pathway 1)2</v>
      </c>
      <c r="B1563">
        <f>IF(C1563="","",COUNTIF($C$2:C1563,C1563))</f>
        <v>2</v>
      </c>
      <c r="C1563" t="str">
        <f t="shared" si="73"/>
        <v>RedbridgeReablement at home  (pathway 1)</v>
      </c>
      <c r="D1563" t="str">
        <f>VLOOKUP(G1563,PathwayLookup!A:B,2,0)</f>
        <v>Reablement &amp; Rehabilitation at home  (pathway 1)</v>
      </c>
      <c r="E1563" t="s">
        <v>261</v>
      </c>
      <c r="F1563" t="s">
        <v>456</v>
      </c>
      <c r="G1563" t="s">
        <v>718</v>
      </c>
      <c r="H1563">
        <v>26</v>
      </c>
      <c r="I1563">
        <v>26</v>
      </c>
      <c r="J1563">
        <v>26</v>
      </c>
      <c r="K1563">
        <v>26</v>
      </c>
      <c r="L1563">
        <v>26</v>
      </c>
      <c r="M1563">
        <v>26</v>
      </c>
      <c r="N1563">
        <v>26</v>
      </c>
      <c r="O1563">
        <v>26</v>
      </c>
      <c r="P1563">
        <v>26</v>
      </c>
      <c r="Q1563">
        <v>26</v>
      </c>
      <c r="R1563">
        <v>26</v>
      </c>
      <c r="S1563">
        <v>26</v>
      </c>
      <c r="T1563">
        <f t="shared" si="74"/>
        <v>312</v>
      </c>
      <c r="U1563">
        <v>1</v>
      </c>
    </row>
    <row r="1564" spans="1:21" x14ac:dyDescent="0.3">
      <c r="A1564" t="str">
        <f t="shared" si="72"/>
        <v>RedbridgeReablement &amp; Rehabilitation at home  (pathway 1)3</v>
      </c>
      <c r="B1564">
        <f>IF(C1564="","",COUNTIF($C$2:C1564,C1564))</f>
        <v>3</v>
      </c>
      <c r="C1564" t="str">
        <f t="shared" si="73"/>
        <v>RedbridgeReablement at home  (pathway 1)</v>
      </c>
      <c r="D1564" t="str">
        <f>VLOOKUP(G1564,PathwayLookup!A:B,2,0)</f>
        <v>Reablement &amp; Rehabilitation at home  (pathway 1)</v>
      </c>
      <c r="E1564" t="s">
        <v>261</v>
      </c>
      <c r="F1564" t="s">
        <v>556</v>
      </c>
      <c r="G1564" t="s">
        <v>718</v>
      </c>
      <c r="H1564">
        <v>10</v>
      </c>
      <c r="I1564">
        <v>10</v>
      </c>
      <c r="J1564">
        <v>10</v>
      </c>
      <c r="K1564">
        <v>10</v>
      </c>
      <c r="L1564">
        <v>10</v>
      </c>
      <c r="M1564">
        <v>10</v>
      </c>
      <c r="N1564">
        <v>10</v>
      </c>
      <c r="O1564">
        <v>10</v>
      </c>
      <c r="P1564">
        <v>10</v>
      </c>
      <c r="Q1564">
        <v>10</v>
      </c>
      <c r="R1564">
        <v>10</v>
      </c>
      <c r="S1564">
        <v>10</v>
      </c>
      <c r="T1564">
        <f t="shared" si="74"/>
        <v>120</v>
      </c>
      <c r="U1564">
        <v>1</v>
      </c>
    </row>
    <row r="1565" spans="1:21" x14ac:dyDescent="0.3">
      <c r="A1565" t="str">
        <f t="shared" si="72"/>
        <v>RedbridgeReablement &amp; Rehabilitation at home  (pathway 1)4</v>
      </c>
      <c r="B1565">
        <f>IF(C1565="","",COUNTIF($C$2:C1565,C1565))</f>
        <v>4</v>
      </c>
      <c r="C1565" t="str">
        <f t="shared" si="73"/>
        <v>RedbridgeReablement at home  (pathway 1)</v>
      </c>
      <c r="D1565" t="str">
        <f>VLOOKUP(G1565,PathwayLookup!A:B,2,0)</f>
        <v>Reablement &amp; Rehabilitation at home  (pathway 1)</v>
      </c>
      <c r="E1565" t="s">
        <v>261</v>
      </c>
      <c r="F1565" t="s">
        <v>651</v>
      </c>
      <c r="G1565" t="s">
        <v>718</v>
      </c>
      <c r="H1565">
        <v>1</v>
      </c>
      <c r="I1565">
        <v>1</v>
      </c>
      <c r="J1565">
        <v>1</v>
      </c>
      <c r="K1565">
        <v>1</v>
      </c>
      <c r="L1565">
        <v>1</v>
      </c>
      <c r="M1565">
        <v>1</v>
      </c>
      <c r="N1565">
        <v>1</v>
      </c>
      <c r="O1565">
        <v>1</v>
      </c>
      <c r="P1565">
        <v>1</v>
      </c>
      <c r="Q1565">
        <v>1</v>
      </c>
      <c r="R1565">
        <v>1</v>
      </c>
      <c r="S1565">
        <v>1</v>
      </c>
      <c r="T1565">
        <f t="shared" si="74"/>
        <v>12</v>
      </c>
      <c r="U1565">
        <v>1</v>
      </c>
    </row>
    <row r="1566" spans="1:21" x14ac:dyDescent="0.3">
      <c r="A1566" t="str">
        <f t="shared" si="72"/>
        <v>RedbridgeReablement &amp; Rehabilitation at home  (pathway 1)1</v>
      </c>
      <c r="B1566">
        <f>IF(C1566="","",COUNTIF($C$2:C1566,C1566))</f>
        <v>1</v>
      </c>
      <c r="C1566" t="str">
        <f t="shared" si="73"/>
        <v>RedbridgeRehabilitation at home (pathway 1)</v>
      </c>
      <c r="D1566" t="str">
        <f>VLOOKUP(G1566,PathwayLookup!A:B,2,0)</f>
        <v>Reablement &amp; Rehabilitation at home  (pathway 1)</v>
      </c>
      <c r="E1566" t="s">
        <v>261</v>
      </c>
      <c r="F1566" t="s">
        <v>453</v>
      </c>
      <c r="G1566" t="s">
        <v>719</v>
      </c>
      <c r="H1566">
        <v>37.1</v>
      </c>
      <c r="I1566">
        <v>27.3</v>
      </c>
      <c r="J1566">
        <v>32.4</v>
      </c>
      <c r="K1566">
        <v>27.3</v>
      </c>
      <c r="L1566">
        <v>50.5</v>
      </c>
      <c r="M1566">
        <v>15.6</v>
      </c>
      <c r="N1566">
        <v>25.9</v>
      </c>
      <c r="O1566">
        <v>25.9</v>
      </c>
      <c r="P1566">
        <v>19.399999999999999</v>
      </c>
      <c r="Q1566">
        <v>30.03</v>
      </c>
      <c r="R1566">
        <v>23.8</v>
      </c>
      <c r="S1566">
        <v>23.8</v>
      </c>
      <c r="T1566">
        <f t="shared" si="74"/>
        <v>339.03000000000009</v>
      </c>
      <c r="U1566">
        <v>1</v>
      </c>
    </row>
    <row r="1567" spans="1:21" x14ac:dyDescent="0.3">
      <c r="A1567" t="str">
        <f t="shared" si="72"/>
        <v>RedbridgeReablement &amp; Rehabilitation at home  (pathway 1)2</v>
      </c>
      <c r="B1567">
        <f>IF(C1567="","",COUNTIF($C$2:C1567,C1567))</f>
        <v>2</v>
      </c>
      <c r="C1567" t="str">
        <f t="shared" si="73"/>
        <v>RedbridgeRehabilitation at home (pathway 1)</v>
      </c>
      <c r="D1567" t="str">
        <f>VLOOKUP(G1567,PathwayLookup!A:B,2,0)</f>
        <v>Reablement &amp; Rehabilitation at home  (pathway 1)</v>
      </c>
      <c r="E1567" t="s">
        <v>261</v>
      </c>
      <c r="F1567" t="s">
        <v>456</v>
      </c>
      <c r="G1567" t="s">
        <v>719</v>
      </c>
      <c r="H1567">
        <v>15.9</v>
      </c>
      <c r="I1567">
        <v>11.7</v>
      </c>
      <c r="J1567">
        <v>13.9</v>
      </c>
      <c r="K1567">
        <v>11.7</v>
      </c>
      <c r="L1567">
        <v>21.6</v>
      </c>
      <c r="M1567">
        <v>6.7</v>
      </c>
      <c r="N1567">
        <v>11</v>
      </c>
      <c r="O1567">
        <v>11</v>
      </c>
      <c r="P1567">
        <v>8.3000000000000007</v>
      </c>
      <c r="Q1567">
        <v>12.8</v>
      </c>
      <c r="R1567">
        <v>10.199999999999999</v>
      </c>
      <c r="S1567">
        <v>10.199999999999999</v>
      </c>
      <c r="T1567">
        <f t="shared" si="74"/>
        <v>145</v>
      </c>
      <c r="U1567">
        <v>1</v>
      </c>
    </row>
    <row r="1568" spans="1:21" x14ac:dyDescent="0.3">
      <c r="A1568" t="str">
        <f t="shared" si="72"/>
        <v>RedbridgeShort term domiciliary care (pathway 1)1</v>
      </c>
      <c r="B1568">
        <f>IF(C1568="","",COUNTIF($C$2:C1568,C1568))</f>
        <v>1</v>
      </c>
      <c r="C1568" t="str">
        <f t="shared" si="73"/>
        <v>RedbridgeShort term domiciliary care (pathway 1)</v>
      </c>
      <c r="D1568" t="str">
        <f>VLOOKUP(G1568,PathwayLookup!A:B,2,0)</f>
        <v>Short term domiciliary care (pathway 1)</v>
      </c>
      <c r="E1568" t="s">
        <v>261</v>
      </c>
      <c r="F1568" t="s">
        <v>453</v>
      </c>
      <c r="G1568" t="s">
        <v>684</v>
      </c>
      <c r="H1568">
        <v>56</v>
      </c>
      <c r="I1568">
        <v>56</v>
      </c>
      <c r="J1568">
        <v>56</v>
      </c>
      <c r="K1568">
        <v>56</v>
      </c>
      <c r="L1568">
        <v>56</v>
      </c>
      <c r="M1568">
        <v>56</v>
      </c>
      <c r="N1568">
        <v>56</v>
      </c>
      <c r="O1568">
        <v>56</v>
      </c>
      <c r="P1568">
        <v>56</v>
      </c>
      <c r="Q1568">
        <v>56</v>
      </c>
      <c r="R1568">
        <v>56</v>
      </c>
      <c r="S1568">
        <v>56</v>
      </c>
      <c r="T1568">
        <f t="shared" si="74"/>
        <v>672</v>
      </c>
      <c r="U1568">
        <v>1</v>
      </c>
    </row>
    <row r="1569" spans="1:21" x14ac:dyDescent="0.3">
      <c r="A1569" t="str">
        <f t="shared" si="72"/>
        <v>RedbridgeShort term domiciliary care (pathway 1)2</v>
      </c>
      <c r="B1569">
        <f>IF(C1569="","",COUNTIF($C$2:C1569,C1569))</f>
        <v>2</v>
      </c>
      <c r="C1569" t="str">
        <f t="shared" si="73"/>
        <v>RedbridgeShort term domiciliary care (pathway 1)</v>
      </c>
      <c r="D1569" t="str">
        <f>VLOOKUP(G1569,PathwayLookup!A:B,2,0)</f>
        <v>Short term domiciliary care (pathway 1)</v>
      </c>
      <c r="E1569" t="s">
        <v>261</v>
      </c>
      <c r="F1569" t="s">
        <v>456</v>
      </c>
      <c r="G1569" t="s">
        <v>684</v>
      </c>
      <c r="H1569">
        <v>29</v>
      </c>
      <c r="I1569">
        <v>29</v>
      </c>
      <c r="J1569">
        <v>29</v>
      </c>
      <c r="K1569">
        <v>29</v>
      </c>
      <c r="L1569">
        <v>29</v>
      </c>
      <c r="M1569">
        <v>29</v>
      </c>
      <c r="N1569">
        <v>29</v>
      </c>
      <c r="O1569">
        <v>29</v>
      </c>
      <c r="P1569">
        <v>29</v>
      </c>
      <c r="Q1569">
        <v>29</v>
      </c>
      <c r="R1569">
        <v>29</v>
      </c>
      <c r="S1569">
        <v>29</v>
      </c>
      <c r="T1569">
        <f t="shared" si="74"/>
        <v>348</v>
      </c>
      <c r="U1569">
        <v>1</v>
      </c>
    </row>
    <row r="1570" spans="1:21" x14ac:dyDescent="0.3">
      <c r="A1570" t="str">
        <f t="shared" si="72"/>
        <v>RedbridgeReablement &amp; Rehabilitation in a bedded setting (pathway 2)1</v>
      </c>
      <c r="B1570">
        <f>IF(C1570="","",COUNTIF($C$2:C1570,C1570))</f>
        <v>1</v>
      </c>
      <c r="C1570" t="str">
        <f t="shared" si="73"/>
        <v>RedbridgeReablement in a bedded setting (pathway 2)</v>
      </c>
      <c r="D1570" t="str">
        <f>VLOOKUP(G1570,PathwayLookup!A:B,2,0)</f>
        <v>Reablement &amp; Rehabilitation in a bedded setting (pathway 2)</v>
      </c>
      <c r="E1570" t="s">
        <v>261</v>
      </c>
      <c r="F1570" t="s">
        <v>453</v>
      </c>
      <c r="G1570" t="s">
        <v>722</v>
      </c>
      <c r="H1570">
        <v>2</v>
      </c>
      <c r="I1570">
        <v>2</v>
      </c>
      <c r="J1570">
        <v>2</v>
      </c>
      <c r="K1570">
        <v>2</v>
      </c>
      <c r="L1570">
        <v>2</v>
      </c>
      <c r="M1570">
        <v>2</v>
      </c>
      <c r="N1570">
        <v>2</v>
      </c>
      <c r="O1570">
        <v>2</v>
      </c>
      <c r="P1570">
        <v>2</v>
      </c>
      <c r="Q1570">
        <v>2</v>
      </c>
      <c r="R1570">
        <v>2</v>
      </c>
      <c r="S1570">
        <v>2</v>
      </c>
      <c r="T1570">
        <f t="shared" si="74"/>
        <v>24</v>
      </c>
      <c r="U1570">
        <v>1</v>
      </c>
    </row>
    <row r="1571" spans="1:21" x14ac:dyDescent="0.3">
      <c r="A1571" t="str">
        <f t="shared" si="72"/>
        <v>RedbridgeReablement &amp; Rehabilitation in a bedded setting (pathway 2)2</v>
      </c>
      <c r="B1571">
        <f>IF(C1571="","",COUNTIF($C$2:C1571,C1571))</f>
        <v>2</v>
      </c>
      <c r="C1571" t="str">
        <f t="shared" si="73"/>
        <v>RedbridgeReablement in a bedded setting (pathway 2)</v>
      </c>
      <c r="D1571" t="str">
        <f>VLOOKUP(G1571,PathwayLookup!A:B,2,0)</f>
        <v>Reablement &amp; Rehabilitation in a bedded setting (pathway 2)</v>
      </c>
      <c r="E1571" t="s">
        <v>261</v>
      </c>
      <c r="F1571" t="s">
        <v>456</v>
      </c>
      <c r="G1571" t="s">
        <v>722</v>
      </c>
      <c r="H1571">
        <v>1</v>
      </c>
      <c r="I1571">
        <v>1</v>
      </c>
      <c r="J1571">
        <v>1</v>
      </c>
      <c r="K1571">
        <v>1</v>
      </c>
      <c r="L1571">
        <v>1</v>
      </c>
      <c r="M1571">
        <v>1</v>
      </c>
      <c r="N1571">
        <v>1</v>
      </c>
      <c r="O1571">
        <v>1</v>
      </c>
      <c r="P1571">
        <v>1</v>
      </c>
      <c r="Q1571">
        <v>1</v>
      </c>
      <c r="R1571">
        <v>1</v>
      </c>
      <c r="S1571">
        <v>1</v>
      </c>
      <c r="T1571">
        <f t="shared" si="74"/>
        <v>12</v>
      </c>
      <c r="U1571">
        <v>1</v>
      </c>
    </row>
    <row r="1572" spans="1:21" x14ac:dyDescent="0.3">
      <c r="A1572" t="str">
        <f t="shared" si="72"/>
        <v>RedbridgeReablement &amp; Rehabilitation in a bedded setting (pathway 2)1</v>
      </c>
      <c r="B1572">
        <f>IF(C1572="","",COUNTIF($C$2:C1572,C1572))</f>
        <v>1</v>
      </c>
      <c r="C1572" t="str">
        <f t="shared" si="73"/>
        <v>RedbridgeRehabilitation in a bedded setting (pathway 2)</v>
      </c>
      <c r="D1572" t="str">
        <f>VLOOKUP(G1572,PathwayLookup!A:B,2,0)</f>
        <v>Reablement &amp; Rehabilitation in a bedded setting (pathway 2)</v>
      </c>
      <c r="E1572" t="s">
        <v>261</v>
      </c>
      <c r="F1572" t="s">
        <v>453</v>
      </c>
      <c r="G1572" t="s">
        <v>724</v>
      </c>
      <c r="H1572">
        <v>19.399999999999999</v>
      </c>
      <c r="I1572">
        <v>17.899999999999999</v>
      </c>
      <c r="J1572">
        <v>17.899999999999999</v>
      </c>
      <c r="K1572">
        <v>17.899999999999999</v>
      </c>
      <c r="L1572">
        <v>17.899999999999999</v>
      </c>
      <c r="M1572">
        <v>17.899999999999999</v>
      </c>
      <c r="N1572">
        <v>17.899999999999999</v>
      </c>
      <c r="O1572">
        <v>17.899999999999999</v>
      </c>
      <c r="P1572">
        <v>19.399999999999999</v>
      </c>
      <c r="Q1572">
        <v>19.399999999999999</v>
      </c>
      <c r="R1572">
        <v>19.399999999999999</v>
      </c>
      <c r="S1572">
        <v>19.399999999999999</v>
      </c>
      <c r="T1572">
        <f t="shared" si="74"/>
        <v>222.30000000000004</v>
      </c>
      <c r="U1572">
        <v>1</v>
      </c>
    </row>
    <row r="1573" spans="1:21" x14ac:dyDescent="0.3">
      <c r="A1573" t="str">
        <f t="shared" si="72"/>
        <v>RedbridgeReablement &amp; Rehabilitation in a bedded setting (pathway 2)2</v>
      </c>
      <c r="B1573">
        <f>IF(C1573="","",COUNTIF($C$2:C1573,C1573))</f>
        <v>2</v>
      </c>
      <c r="C1573" t="str">
        <f t="shared" si="73"/>
        <v>RedbridgeRehabilitation in a bedded setting (pathway 2)</v>
      </c>
      <c r="D1573" t="str">
        <f>VLOOKUP(G1573,PathwayLookup!A:B,2,0)</f>
        <v>Reablement &amp; Rehabilitation in a bedded setting (pathway 2)</v>
      </c>
      <c r="E1573" t="s">
        <v>261</v>
      </c>
      <c r="F1573" t="s">
        <v>456</v>
      </c>
      <c r="G1573" t="s">
        <v>724</v>
      </c>
      <c r="H1573">
        <v>8.3000000000000007</v>
      </c>
      <c r="I1573">
        <v>7.7</v>
      </c>
      <c r="J1573">
        <v>7.7</v>
      </c>
      <c r="K1573">
        <v>7.7</v>
      </c>
      <c r="L1573">
        <v>7.7</v>
      </c>
      <c r="M1573">
        <v>7.7</v>
      </c>
      <c r="N1573">
        <v>7.7</v>
      </c>
      <c r="O1573">
        <v>7.7</v>
      </c>
      <c r="P1573">
        <v>8.3000000000000007</v>
      </c>
      <c r="Q1573">
        <v>8.3000000000000007</v>
      </c>
      <c r="R1573">
        <v>8.3000000000000007</v>
      </c>
      <c r="S1573">
        <v>8.3000000000000007</v>
      </c>
      <c r="T1573">
        <f t="shared" si="74"/>
        <v>95.4</v>
      </c>
      <c r="U1573">
        <v>1</v>
      </c>
    </row>
    <row r="1574" spans="1:21" x14ac:dyDescent="0.3">
      <c r="A1574" t="str">
        <f t="shared" si="72"/>
        <v>RedbridgeShort-term residential/nursing care for someone likely to require a longer-term care home placement (pathway 3)1</v>
      </c>
      <c r="B1574">
        <f>IF(C1574="","",COUNTIF($C$2:C1574,C1574))</f>
        <v>1</v>
      </c>
      <c r="C1574" t="str">
        <f t="shared" si="73"/>
        <v>RedbridgeShort-term residential/nursing care for someone likely to require a longer-term care home placement (pathway 3)</v>
      </c>
      <c r="D1574" t="str">
        <f>VLOOKUP(G1574,PathwayLookup!A:B,2,0)</f>
        <v>Short-term residential/nursing care for someone likely to require a longer-term care home placement (pathway 3)</v>
      </c>
      <c r="E1574" t="s">
        <v>261</v>
      </c>
      <c r="F1574" t="s">
        <v>453</v>
      </c>
      <c r="G1574" t="s">
        <v>686</v>
      </c>
      <c r="H1574">
        <v>15</v>
      </c>
      <c r="I1574">
        <v>15</v>
      </c>
      <c r="J1574">
        <v>15</v>
      </c>
      <c r="K1574">
        <v>15</v>
      </c>
      <c r="L1574">
        <v>15</v>
      </c>
      <c r="M1574">
        <v>15</v>
      </c>
      <c r="N1574">
        <v>15</v>
      </c>
      <c r="O1574">
        <v>15</v>
      </c>
      <c r="P1574">
        <v>15</v>
      </c>
      <c r="Q1574">
        <v>15</v>
      </c>
      <c r="R1574">
        <v>15</v>
      </c>
      <c r="S1574">
        <v>15</v>
      </c>
      <c r="T1574">
        <f t="shared" si="74"/>
        <v>180</v>
      </c>
      <c r="U1574">
        <v>1</v>
      </c>
    </row>
    <row r="1575" spans="1:21" x14ac:dyDescent="0.3">
      <c r="A1575" t="str">
        <f t="shared" si="72"/>
        <v>RedbridgeShort-term residential/nursing care for someone likely to require a longer-term care home placement (pathway 3)2</v>
      </c>
      <c r="B1575">
        <f>IF(C1575="","",COUNTIF($C$2:C1575,C1575))</f>
        <v>2</v>
      </c>
      <c r="C1575" t="str">
        <f t="shared" si="73"/>
        <v>RedbridgeShort-term residential/nursing care for someone likely to require a longer-term care home placement (pathway 3)</v>
      </c>
      <c r="D1575" t="str">
        <f>VLOOKUP(G1575,PathwayLookup!A:B,2,0)</f>
        <v>Short-term residential/nursing care for someone likely to require a longer-term care home placement (pathway 3)</v>
      </c>
      <c r="E1575" t="s">
        <v>261</v>
      </c>
      <c r="F1575" t="s">
        <v>456</v>
      </c>
      <c r="G1575" t="s">
        <v>686</v>
      </c>
      <c r="H1575">
        <v>7</v>
      </c>
      <c r="I1575">
        <v>7</v>
      </c>
      <c r="J1575">
        <v>7</v>
      </c>
      <c r="K1575">
        <v>7</v>
      </c>
      <c r="L1575">
        <v>7</v>
      </c>
      <c r="M1575">
        <v>7</v>
      </c>
      <c r="N1575">
        <v>7</v>
      </c>
      <c r="O1575">
        <v>7</v>
      </c>
      <c r="P1575">
        <v>7</v>
      </c>
      <c r="Q1575">
        <v>7</v>
      </c>
      <c r="R1575">
        <v>7</v>
      </c>
      <c r="S1575">
        <v>7</v>
      </c>
      <c r="T1575">
        <f t="shared" si="74"/>
        <v>84</v>
      </c>
      <c r="U1575">
        <v>1</v>
      </c>
    </row>
    <row r="1576" spans="1:21" x14ac:dyDescent="0.3">
      <c r="A1576" t="str">
        <f t="shared" si="72"/>
        <v>RedbridgeShort-term residential/nursing care for someone likely to require a longer-term care home placement (pathway 3)3</v>
      </c>
      <c r="B1576">
        <f>IF(C1576="","",COUNTIF($C$2:C1576,C1576))</f>
        <v>3</v>
      </c>
      <c r="C1576" t="str">
        <f t="shared" si="73"/>
        <v>RedbridgeShort-term residential/nursing care for someone likely to require a longer-term care home placement (pathway 3)</v>
      </c>
      <c r="D1576" t="str">
        <f>VLOOKUP(G1576,PathwayLookup!A:B,2,0)</f>
        <v>Short-term residential/nursing care for someone likely to require a longer-term care home placement (pathway 3)</v>
      </c>
      <c r="E1576" t="s">
        <v>261</v>
      </c>
      <c r="F1576" t="s">
        <v>556</v>
      </c>
      <c r="G1576" t="s">
        <v>686</v>
      </c>
      <c r="H1576">
        <v>1</v>
      </c>
      <c r="I1576">
        <v>0</v>
      </c>
      <c r="J1576">
        <v>0</v>
      </c>
      <c r="K1576">
        <v>1</v>
      </c>
      <c r="L1576">
        <v>0</v>
      </c>
      <c r="M1576">
        <v>0</v>
      </c>
      <c r="N1576">
        <v>1</v>
      </c>
      <c r="O1576">
        <v>0</v>
      </c>
      <c r="P1576">
        <v>0</v>
      </c>
      <c r="Q1576">
        <v>1</v>
      </c>
      <c r="R1576">
        <v>0</v>
      </c>
      <c r="S1576">
        <v>0</v>
      </c>
      <c r="T1576">
        <f t="shared" si="74"/>
        <v>4</v>
      </c>
      <c r="U1576">
        <v>1</v>
      </c>
    </row>
    <row r="1577" spans="1:21" x14ac:dyDescent="0.3">
      <c r="A1577" t="str">
        <f t="shared" si="72"/>
        <v>Redcar and ClevelandSocial support (including VCS) (pathway 0)1</v>
      </c>
      <c r="B1577">
        <f>IF(C1577="","",COUNTIF($C$2:C1577,C1577))</f>
        <v>1</v>
      </c>
      <c r="C1577" t="str">
        <f t="shared" si="73"/>
        <v>Redcar and ClevelandSocial support (including VCS) (pathway 0)</v>
      </c>
      <c r="D1577" t="str">
        <f>VLOOKUP(G1577,PathwayLookup!A:B,2,0)</f>
        <v>Social support (including VCS) (pathway 0)</v>
      </c>
      <c r="E1577" t="s">
        <v>263</v>
      </c>
      <c r="F1577" t="s">
        <v>593</v>
      </c>
      <c r="G1577" t="s">
        <v>682</v>
      </c>
      <c r="H1577">
        <v>1787</v>
      </c>
      <c r="I1577">
        <v>2029</v>
      </c>
      <c r="J1577">
        <v>2047</v>
      </c>
      <c r="K1577">
        <v>1985</v>
      </c>
      <c r="L1577">
        <v>2190</v>
      </c>
      <c r="M1577">
        <v>2234</v>
      </c>
      <c r="N1577">
        <v>2322</v>
      </c>
      <c r="O1577">
        <v>2346</v>
      </c>
      <c r="P1577">
        <v>1997</v>
      </c>
      <c r="Q1577">
        <v>1874</v>
      </c>
      <c r="R1577">
        <v>2178</v>
      </c>
      <c r="S1577">
        <v>2105</v>
      </c>
      <c r="T1577">
        <f t="shared" si="74"/>
        <v>25094</v>
      </c>
      <c r="U1577">
        <v>1</v>
      </c>
    </row>
    <row r="1578" spans="1:21" x14ac:dyDescent="0.3">
      <c r="A1578" t="str">
        <f t="shared" si="72"/>
        <v>Redcar and ClevelandSocial support (including VCS) (pathway 0)2</v>
      </c>
      <c r="B1578">
        <f>IF(C1578="","",COUNTIF($C$2:C1578,C1578))</f>
        <v>2</v>
      </c>
      <c r="C1578" t="str">
        <f t="shared" si="73"/>
        <v>Redcar and ClevelandSocial support (including VCS) (pathway 0)</v>
      </c>
      <c r="D1578" t="str">
        <f>VLOOKUP(G1578,PathwayLookup!A:B,2,0)</f>
        <v>Social support (including VCS) (pathway 0)</v>
      </c>
      <c r="E1578" t="s">
        <v>263</v>
      </c>
      <c r="F1578" t="s">
        <v>651</v>
      </c>
      <c r="G1578" t="s">
        <v>682</v>
      </c>
      <c r="H1578">
        <v>46</v>
      </c>
      <c r="I1578">
        <v>57</v>
      </c>
      <c r="J1578">
        <v>56</v>
      </c>
      <c r="K1578">
        <v>56</v>
      </c>
      <c r="L1578">
        <v>55</v>
      </c>
      <c r="M1578">
        <v>54</v>
      </c>
      <c r="N1578">
        <v>56</v>
      </c>
      <c r="O1578">
        <v>58</v>
      </c>
      <c r="P1578">
        <v>58</v>
      </c>
      <c r="Q1578">
        <v>59</v>
      </c>
      <c r="R1578">
        <v>55</v>
      </c>
      <c r="S1578">
        <v>57</v>
      </c>
      <c r="T1578">
        <f t="shared" si="74"/>
        <v>667</v>
      </c>
      <c r="U1578">
        <v>1</v>
      </c>
    </row>
    <row r="1579" spans="1:21" x14ac:dyDescent="0.3">
      <c r="A1579" t="str">
        <f t="shared" si="72"/>
        <v>Redcar and ClevelandReablement &amp; Rehabilitation at home  (pathway 1)1</v>
      </c>
      <c r="B1579">
        <f>IF(C1579="","",COUNTIF($C$2:C1579,C1579))</f>
        <v>1</v>
      </c>
      <c r="C1579" t="str">
        <f t="shared" si="73"/>
        <v>Redcar and ClevelandReablement at home  (pathway 1)</v>
      </c>
      <c r="D1579" t="str">
        <f>VLOOKUP(G1579,PathwayLookup!A:B,2,0)</f>
        <v>Reablement &amp; Rehabilitation at home  (pathway 1)</v>
      </c>
      <c r="E1579" t="s">
        <v>263</v>
      </c>
      <c r="F1579" t="s">
        <v>593</v>
      </c>
      <c r="G1579" t="s">
        <v>718</v>
      </c>
      <c r="H1579">
        <v>243</v>
      </c>
      <c r="I1579">
        <v>277</v>
      </c>
      <c r="J1579">
        <v>279</v>
      </c>
      <c r="K1579">
        <v>271</v>
      </c>
      <c r="L1579">
        <v>299</v>
      </c>
      <c r="M1579">
        <v>305</v>
      </c>
      <c r="N1579">
        <v>317</v>
      </c>
      <c r="O1579">
        <v>320</v>
      </c>
      <c r="P1579">
        <v>272</v>
      </c>
      <c r="Q1579">
        <v>256</v>
      </c>
      <c r="R1579">
        <v>297</v>
      </c>
      <c r="S1579">
        <v>287</v>
      </c>
      <c r="T1579">
        <f t="shared" si="74"/>
        <v>3423</v>
      </c>
      <c r="U1579">
        <v>1</v>
      </c>
    </row>
    <row r="1580" spans="1:21" x14ac:dyDescent="0.3">
      <c r="A1580" t="str">
        <f t="shared" si="72"/>
        <v>Redcar and ClevelandReablement &amp; Rehabilitation at home  (pathway 1)2</v>
      </c>
      <c r="B1580">
        <f>IF(C1580="","",COUNTIF($C$2:C1580,C1580))</f>
        <v>2</v>
      </c>
      <c r="C1580" t="str">
        <f t="shared" si="73"/>
        <v>Redcar and ClevelandReablement at home  (pathway 1)</v>
      </c>
      <c r="D1580" t="str">
        <f>VLOOKUP(G1580,PathwayLookup!A:B,2,0)</f>
        <v>Reablement &amp; Rehabilitation at home  (pathway 1)</v>
      </c>
      <c r="E1580" t="s">
        <v>263</v>
      </c>
      <c r="F1580" t="s">
        <v>651</v>
      </c>
      <c r="G1580" t="s">
        <v>718</v>
      </c>
      <c r="H1580">
        <v>7</v>
      </c>
      <c r="I1580">
        <v>9</v>
      </c>
      <c r="J1580">
        <v>9</v>
      </c>
      <c r="K1580">
        <v>9</v>
      </c>
      <c r="L1580">
        <v>9</v>
      </c>
      <c r="M1580">
        <v>9</v>
      </c>
      <c r="N1580">
        <v>9</v>
      </c>
      <c r="O1580">
        <v>9</v>
      </c>
      <c r="P1580">
        <v>9</v>
      </c>
      <c r="Q1580">
        <v>9</v>
      </c>
      <c r="R1580">
        <v>9</v>
      </c>
      <c r="S1580">
        <v>9</v>
      </c>
      <c r="T1580">
        <f t="shared" si="74"/>
        <v>106</v>
      </c>
      <c r="U1580">
        <v>1</v>
      </c>
    </row>
    <row r="1581" spans="1:21" x14ac:dyDescent="0.3">
      <c r="A1581" t="str">
        <f t="shared" si="72"/>
        <v/>
      </c>
      <c r="B1581" t="str">
        <f>IF(C1581="","",COUNTIF($C$2:C1581,C1581))</f>
        <v/>
      </c>
      <c r="C1581" t="str">
        <f t="shared" si="73"/>
        <v/>
      </c>
      <c r="D1581" t="str">
        <f>VLOOKUP(G1581,PathwayLookup!A:B,2,0)</f>
        <v>Reablement &amp; Rehabilitation at home  (pathway 1)</v>
      </c>
      <c r="E1581" t="s">
        <v>263</v>
      </c>
      <c r="F1581" t="s">
        <v>593</v>
      </c>
      <c r="G1581" t="s">
        <v>719</v>
      </c>
      <c r="H1581">
        <v>0</v>
      </c>
      <c r="I1581">
        <v>0</v>
      </c>
      <c r="J1581">
        <v>0</v>
      </c>
      <c r="K1581">
        <v>0</v>
      </c>
      <c r="L1581">
        <v>0</v>
      </c>
      <c r="M1581">
        <v>0</v>
      </c>
      <c r="N1581">
        <v>0</v>
      </c>
      <c r="O1581">
        <v>0</v>
      </c>
      <c r="P1581">
        <v>0</v>
      </c>
      <c r="Q1581">
        <v>0</v>
      </c>
      <c r="R1581">
        <v>0</v>
      </c>
      <c r="S1581">
        <v>0</v>
      </c>
      <c r="T1581">
        <f t="shared" si="74"/>
        <v>0</v>
      </c>
      <c r="U1581">
        <v>1</v>
      </c>
    </row>
    <row r="1582" spans="1:21" x14ac:dyDescent="0.3">
      <c r="A1582" t="str">
        <f t="shared" si="72"/>
        <v/>
      </c>
      <c r="B1582" t="str">
        <f>IF(C1582="","",COUNTIF($C$2:C1582,C1582))</f>
        <v/>
      </c>
      <c r="C1582" t="str">
        <f t="shared" si="73"/>
        <v/>
      </c>
      <c r="D1582" t="str">
        <f>VLOOKUP(G1582,PathwayLookup!A:B,2,0)</f>
        <v>Reablement &amp; Rehabilitation at home  (pathway 1)</v>
      </c>
      <c r="E1582" t="s">
        <v>263</v>
      </c>
      <c r="F1582" t="s">
        <v>651</v>
      </c>
      <c r="G1582" t="s">
        <v>719</v>
      </c>
      <c r="H1582">
        <v>0</v>
      </c>
      <c r="I1582">
        <v>0</v>
      </c>
      <c r="J1582">
        <v>0</v>
      </c>
      <c r="K1582">
        <v>0</v>
      </c>
      <c r="L1582">
        <v>0</v>
      </c>
      <c r="M1582">
        <v>0</v>
      </c>
      <c r="N1582">
        <v>0</v>
      </c>
      <c r="O1582">
        <v>0</v>
      </c>
      <c r="P1582">
        <v>0</v>
      </c>
      <c r="Q1582">
        <v>0</v>
      </c>
      <c r="R1582">
        <v>0</v>
      </c>
      <c r="S1582">
        <v>0</v>
      </c>
      <c r="T1582">
        <f t="shared" si="74"/>
        <v>0</v>
      </c>
      <c r="U1582">
        <v>1</v>
      </c>
    </row>
    <row r="1583" spans="1:21" x14ac:dyDescent="0.3">
      <c r="A1583" t="str">
        <f t="shared" si="72"/>
        <v/>
      </c>
      <c r="B1583" t="str">
        <f>IF(C1583="","",COUNTIF($C$2:C1583,C1583))</f>
        <v/>
      </c>
      <c r="C1583" t="str">
        <f t="shared" si="73"/>
        <v/>
      </c>
      <c r="D1583" t="str">
        <f>VLOOKUP(G1583,PathwayLookup!A:B,2,0)</f>
        <v>Short term domiciliary care (pathway 1)</v>
      </c>
      <c r="E1583" t="s">
        <v>263</v>
      </c>
      <c r="F1583" t="s">
        <v>593</v>
      </c>
      <c r="G1583" t="s">
        <v>684</v>
      </c>
      <c r="H1583">
        <v>0</v>
      </c>
      <c r="I1583">
        <v>0</v>
      </c>
      <c r="J1583">
        <v>0</v>
      </c>
      <c r="K1583">
        <v>0</v>
      </c>
      <c r="L1583">
        <v>0</v>
      </c>
      <c r="M1583">
        <v>0</v>
      </c>
      <c r="N1583">
        <v>0</v>
      </c>
      <c r="O1583">
        <v>0</v>
      </c>
      <c r="P1583">
        <v>0</v>
      </c>
      <c r="Q1583">
        <v>0</v>
      </c>
      <c r="R1583">
        <v>0</v>
      </c>
      <c r="S1583">
        <v>0</v>
      </c>
      <c r="T1583">
        <f t="shared" si="74"/>
        <v>0</v>
      </c>
      <c r="U1583">
        <v>1</v>
      </c>
    </row>
    <row r="1584" spans="1:21" x14ac:dyDescent="0.3">
      <c r="A1584" t="str">
        <f t="shared" si="72"/>
        <v/>
      </c>
      <c r="B1584" t="str">
        <f>IF(C1584="","",COUNTIF($C$2:C1584,C1584))</f>
        <v/>
      </c>
      <c r="C1584" t="str">
        <f t="shared" si="73"/>
        <v/>
      </c>
      <c r="D1584" t="str">
        <f>VLOOKUP(G1584,PathwayLookup!A:B,2,0)</f>
        <v>Short term domiciliary care (pathway 1)</v>
      </c>
      <c r="E1584" t="s">
        <v>263</v>
      </c>
      <c r="F1584" t="s">
        <v>651</v>
      </c>
      <c r="G1584" t="s">
        <v>684</v>
      </c>
      <c r="H1584">
        <v>0</v>
      </c>
      <c r="I1584">
        <v>0</v>
      </c>
      <c r="J1584">
        <v>0</v>
      </c>
      <c r="K1584">
        <v>0</v>
      </c>
      <c r="L1584">
        <v>0</v>
      </c>
      <c r="M1584">
        <v>0</v>
      </c>
      <c r="N1584">
        <v>0</v>
      </c>
      <c r="O1584">
        <v>0</v>
      </c>
      <c r="P1584">
        <v>0</v>
      </c>
      <c r="Q1584">
        <v>0</v>
      </c>
      <c r="R1584">
        <v>0</v>
      </c>
      <c r="S1584">
        <v>0</v>
      </c>
      <c r="T1584">
        <f t="shared" si="74"/>
        <v>0</v>
      </c>
      <c r="U1584">
        <v>1</v>
      </c>
    </row>
    <row r="1585" spans="1:21" x14ac:dyDescent="0.3">
      <c r="A1585" t="str">
        <f t="shared" si="72"/>
        <v>Redcar and ClevelandReablement &amp; Rehabilitation in a bedded setting (pathway 2)1</v>
      </c>
      <c r="B1585">
        <f>IF(C1585="","",COUNTIF($C$2:C1585,C1585))</f>
        <v>1</v>
      </c>
      <c r="C1585" t="str">
        <f t="shared" si="73"/>
        <v>Redcar and ClevelandReablement in a bedded setting (pathway 2)</v>
      </c>
      <c r="D1585" t="str">
        <f>VLOOKUP(G1585,PathwayLookup!A:B,2,0)</f>
        <v>Reablement &amp; Rehabilitation in a bedded setting (pathway 2)</v>
      </c>
      <c r="E1585" t="s">
        <v>263</v>
      </c>
      <c r="F1585" t="s">
        <v>593</v>
      </c>
      <c r="G1585" t="s">
        <v>722</v>
      </c>
      <c r="H1585">
        <v>44</v>
      </c>
      <c r="I1585">
        <v>50</v>
      </c>
      <c r="J1585">
        <v>51</v>
      </c>
      <c r="K1585">
        <v>49</v>
      </c>
      <c r="L1585">
        <v>54</v>
      </c>
      <c r="M1585">
        <v>56</v>
      </c>
      <c r="N1585">
        <v>58</v>
      </c>
      <c r="O1585">
        <v>58</v>
      </c>
      <c r="P1585">
        <v>50</v>
      </c>
      <c r="Q1585">
        <v>47</v>
      </c>
      <c r="R1585">
        <v>54</v>
      </c>
      <c r="S1585">
        <v>52</v>
      </c>
      <c r="T1585">
        <f t="shared" si="74"/>
        <v>623</v>
      </c>
      <c r="U1585">
        <v>1</v>
      </c>
    </row>
    <row r="1586" spans="1:21" x14ac:dyDescent="0.3">
      <c r="A1586" t="str">
        <f t="shared" si="72"/>
        <v>Redcar and ClevelandReablement &amp; Rehabilitation in a bedded setting (pathway 2)2</v>
      </c>
      <c r="B1586">
        <f>IF(C1586="","",COUNTIF($C$2:C1586,C1586))</f>
        <v>2</v>
      </c>
      <c r="C1586" t="str">
        <f t="shared" si="73"/>
        <v>Redcar and ClevelandReablement in a bedded setting (pathway 2)</v>
      </c>
      <c r="D1586" t="str">
        <f>VLOOKUP(G1586,PathwayLookup!A:B,2,0)</f>
        <v>Reablement &amp; Rehabilitation in a bedded setting (pathway 2)</v>
      </c>
      <c r="E1586" t="s">
        <v>263</v>
      </c>
      <c r="F1586" t="s">
        <v>651</v>
      </c>
      <c r="G1586" t="s">
        <v>722</v>
      </c>
      <c r="H1586">
        <v>1</v>
      </c>
      <c r="I1586">
        <v>1</v>
      </c>
      <c r="J1586">
        <v>1</v>
      </c>
      <c r="K1586">
        <v>1</v>
      </c>
      <c r="L1586">
        <v>1</v>
      </c>
      <c r="M1586">
        <v>1</v>
      </c>
      <c r="N1586">
        <v>1</v>
      </c>
      <c r="O1586">
        <v>1</v>
      </c>
      <c r="P1586">
        <v>1</v>
      </c>
      <c r="Q1586">
        <v>1</v>
      </c>
      <c r="R1586">
        <v>1</v>
      </c>
      <c r="S1586">
        <v>1</v>
      </c>
      <c r="T1586">
        <f t="shared" si="74"/>
        <v>12</v>
      </c>
      <c r="U1586">
        <v>1</v>
      </c>
    </row>
    <row r="1587" spans="1:21" x14ac:dyDescent="0.3">
      <c r="A1587" t="str">
        <f t="shared" si="72"/>
        <v/>
      </c>
      <c r="B1587" t="str">
        <f>IF(C1587="","",COUNTIF($C$2:C1587,C1587))</f>
        <v/>
      </c>
      <c r="C1587" t="str">
        <f t="shared" si="73"/>
        <v/>
      </c>
      <c r="D1587" t="str">
        <f>VLOOKUP(G1587,PathwayLookup!A:B,2,0)</f>
        <v>Reablement &amp; Rehabilitation in a bedded setting (pathway 2)</v>
      </c>
      <c r="E1587" t="s">
        <v>263</v>
      </c>
      <c r="F1587" t="s">
        <v>593</v>
      </c>
      <c r="G1587" t="s">
        <v>724</v>
      </c>
      <c r="H1587">
        <v>0</v>
      </c>
      <c r="I1587">
        <v>0</v>
      </c>
      <c r="J1587">
        <v>0</v>
      </c>
      <c r="K1587">
        <v>0</v>
      </c>
      <c r="L1587">
        <v>0</v>
      </c>
      <c r="M1587">
        <v>0</v>
      </c>
      <c r="N1587">
        <v>0</v>
      </c>
      <c r="O1587">
        <v>0</v>
      </c>
      <c r="P1587">
        <v>0</v>
      </c>
      <c r="Q1587">
        <v>0</v>
      </c>
      <c r="R1587">
        <v>0</v>
      </c>
      <c r="S1587">
        <v>0</v>
      </c>
      <c r="T1587">
        <f t="shared" si="74"/>
        <v>0</v>
      </c>
      <c r="U1587">
        <v>1</v>
      </c>
    </row>
    <row r="1588" spans="1:21" x14ac:dyDescent="0.3">
      <c r="A1588" t="str">
        <f t="shared" si="72"/>
        <v/>
      </c>
      <c r="B1588" t="str">
        <f>IF(C1588="","",COUNTIF($C$2:C1588,C1588))</f>
        <v/>
      </c>
      <c r="C1588" t="str">
        <f t="shared" si="73"/>
        <v/>
      </c>
      <c r="D1588" t="str">
        <f>VLOOKUP(G1588,PathwayLookup!A:B,2,0)</f>
        <v>Reablement &amp; Rehabilitation in a bedded setting (pathway 2)</v>
      </c>
      <c r="E1588" t="s">
        <v>263</v>
      </c>
      <c r="F1588" t="s">
        <v>651</v>
      </c>
      <c r="G1588" t="s">
        <v>724</v>
      </c>
      <c r="H1588">
        <v>0</v>
      </c>
      <c r="I1588">
        <v>0</v>
      </c>
      <c r="J1588">
        <v>0</v>
      </c>
      <c r="K1588">
        <v>0</v>
      </c>
      <c r="L1588">
        <v>0</v>
      </c>
      <c r="M1588">
        <v>0</v>
      </c>
      <c r="N1588">
        <v>0</v>
      </c>
      <c r="O1588">
        <v>0</v>
      </c>
      <c r="P1588">
        <v>0</v>
      </c>
      <c r="Q1588">
        <v>0</v>
      </c>
      <c r="R1588">
        <v>0</v>
      </c>
      <c r="S1588">
        <v>0</v>
      </c>
      <c r="T1588">
        <f t="shared" si="74"/>
        <v>0</v>
      </c>
      <c r="U1588">
        <v>1</v>
      </c>
    </row>
    <row r="1589" spans="1:21" x14ac:dyDescent="0.3">
      <c r="A1589" t="str">
        <f t="shared" si="72"/>
        <v>Redcar and ClevelandShort-term residential/nursing care for someone likely to require a longer-term care home placement (pathway 3)1</v>
      </c>
      <c r="B1589">
        <f>IF(C1589="","",COUNTIF($C$2:C1589,C1589))</f>
        <v>1</v>
      </c>
      <c r="C1589" t="str">
        <f t="shared" si="73"/>
        <v>Redcar and ClevelandShort-term residential/nursing care for someone likely to require a longer-term care home placement (pathway 3)</v>
      </c>
      <c r="D1589" t="str">
        <f>VLOOKUP(G1589,PathwayLookup!A:B,2,0)</f>
        <v>Short-term residential/nursing care for someone likely to require a longer-term care home placement (pathway 3)</v>
      </c>
      <c r="E1589" t="s">
        <v>263</v>
      </c>
      <c r="F1589" t="s">
        <v>593</v>
      </c>
      <c r="G1589" t="s">
        <v>686</v>
      </c>
      <c r="H1589">
        <v>44</v>
      </c>
      <c r="I1589">
        <v>50</v>
      </c>
      <c r="J1589">
        <v>50</v>
      </c>
      <c r="K1589">
        <v>49</v>
      </c>
      <c r="L1589">
        <v>54</v>
      </c>
      <c r="M1589">
        <v>55</v>
      </c>
      <c r="N1589">
        <v>57</v>
      </c>
      <c r="O1589">
        <v>58</v>
      </c>
      <c r="P1589">
        <v>49</v>
      </c>
      <c r="Q1589">
        <v>46</v>
      </c>
      <c r="R1589">
        <v>53</v>
      </c>
      <c r="S1589">
        <v>52</v>
      </c>
      <c r="T1589">
        <f t="shared" si="74"/>
        <v>617</v>
      </c>
      <c r="U1589">
        <v>1</v>
      </c>
    </row>
    <row r="1590" spans="1:21" x14ac:dyDescent="0.3">
      <c r="A1590" t="str">
        <f t="shared" si="72"/>
        <v>Redcar and ClevelandShort-term residential/nursing care for someone likely to require a longer-term care home placement (pathway 3)2</v>
      </c>
      <c r="B1590">
        <f>IF(C1590="","",COUNTIF($C$2:C1590,C1590))</f>
        <v>2</v>
      </c>
      <c r="C1590" t="str">
        <f t="shared" si="73"/>
        <v>Redcar and ClevelandShort-term residential/nursing care for someone likely to require a longer-term care home placement (pathway 3)</v>
      </c>
      <c r="D1590" t="str">
        <f>VLOOKUP(G1590,PathwayLookup!A:B,2,0)</f>
        <v>Short-term residential/nursing care for someone likely to require a longer-term care home placement (pathway 3)</v>
      </c>
      <c r="E1590" t="s">
        <v>263</v>
      </c>
      <c r="F1590" t="s">
        <v>651</v>
      </c>
      <c r="G1590" t="s">
        <v>686</v>
      </c>
      <c r="H1590">
        <v>3</v>
      </c>
      <c r="I1590">
        <v>4</v>
      </c>
      <c r="J1590">
        <v>4</v>
      </c>
      <c r="K1590">
        <v>4</v>
      </c>
      <c r="L1590">
        <v>4</v>
      </c>
      <c r="M1590">
        <v>4</v>
      </c>
      <c r="N1590">
        <v>4</v>
      </c>
      <c r="O1590">
        <v>4</v>
      </c>
      <c r="P1590">
        <v>4</v>
      </c>
      <c r="Q1590">
        <v>4</v>
      </c>
      <c r="R1590">
        <v>4</v>
      </c>
      <c r="S1590">
        <v>4</v>
      </c>
      <c r="T1590">
        <f t="shared" si="74"/>
        <v>47</v>
      </c>
      <c r="U1590">
        <v>1</v>
      </c>
    </row>
    <row r="1591" spans="1:21" x14ac:dyDescent="0.3">
      <c r="A1591" t="str">
        <f t="shared" si="72"/>
        <v>Richmond upon ThamesSocial support (including VCS) (pathway 0)1</v>
      </c>
      <c r="B1591">
        <f>IF(C1591="","",COUNTIF($C$2:C1591,C1591))</f>
        <v>1</v>
      </c>
      <c r="C1591" t="str">
        <f t="shared" si="73"/>
        <v>Richmond upon ThamesSocial support (including VCS) (pathway 0)</v>
      </c>
      <c r="D1591" t="str">
        <f>VLOOKUP(G1591,PathwayLookup!A:B,2,0)</f>
        <v>Social support (including VCS) (pathway 0)</v>
      </c>
      <c r="E1591" t="s">
        <v>265</v>
      </c>
      <c r="F1591" t="s">
        <v>476</v>
      </c>
      <c r="G1591" t="s">
        <v>682</v>
      </c>
      <c r="H1591">
        <v>20</v>
      </c>
      <c r="I1591">
        <v>21</v>
      </c>
      <c r="J1591">
        <v>21</v>
      </c>
      <c r="K1591">
        <v>23</v>
      </c>
      <c r="L1591">
        <v>22</v>
      </c>
      <c r="M1591">
        <v>23</v>
      </c>
      <c r="N1591">
        <v>24</v>
      </c>
      <c r="O1591">
        <v>22</v>
      </c>
      <c r="P1591">
        <v>22</v>
      </c>
      <c r="Q1591">
        <v>22</v>
      </c>
      <c r="R1591">
        <v>21</v>
      </c>
      <c r="S1591">
        <v>22</v>
      </c>
      <c r="T1591">
        <f t="shared" si="74"/>
        <v>263</v>
      </c>
      <c r="U1591">
        <v>1</v>
      </c>
    </row>
    <row r="1592" spans="1:21" x14ac:dyDescent="0.3">
      <c r="A1592" t="str">
        <f t="shared" si="72"/>
        <v>Richmond upon ThamesSocial support (including VCS) (pathway 0)2</v>
      </c>
      <c r="B1592">
        <f>IF(C1592="","",COUNTIF($C$2:C1592,C1592))</f>
        <v>2</v>
      </c>
      <c r="C1592" t="str">
        <f t="shared" si="73"/>
        <v>Richmond upon ThamesSocial support (including VCS) (pathway 0)</v>
      </c>
      <c r="D1592" t="str">
        <f>VLOOKUP(G1592,PathwayLookup!A:B,2,0)</f>
        <v>Social support (including VCS) (pathway 0)</v>
      </c>
      <c r="E1592" t="s">
        <v>265</v>
      </c>
      <c r="F1592" t="s">
        <v>527</v>
      </c>
      <c r="G1592" t="s">
        <v>682</v>
      </c>
      <c r="H1592">
        <v>28</v>
      </c>
      <c r="I1592">
        <v>30</v>
      </c>
      <c r="J1592">
        <v>31</v>
      </c>
      <c r="K1592">
        <v>32</v>
      </c>
      <c r="L1592">
        <v>31</v>
      </c>
      <c r="M1592">
        <v>33</v>
      </c>
      <c r="N1592">
        <v>32</v>
      </c>
      <c r="O1592">
        <v>32</v>
      </c>
      <c r="P1592">
        <v>32</v>
      </c>
      <c r="Q1592">
        <v>31</v>
      </c>
      <c r="R1592">
        <v>30</v>
      </c>
      <c r="S1592">
        <v>31</v>
      </c>
      <c r="T1592">
        <f t="shared" si="74"/>
        <v>373</v>
      </c>
      <c r="U1592">
        <v>1</v>
      </c>
    </row>
    <row r="1593" spans="1:21" x14ac:dyDescent="0.3">
      <c r="A1593" t="str">
        <f t="shared" si="72"/>
        <v>Richmond upon ThamesSocial support (including VCS) (pathway 0)3</v>
      </c>
      <c r="B1593">
        <f>IF(C1593="","",COUNTIF($C$2:C1593,C1593))</f>
        <v>3</v>
      </c>
      <c r="C1593" t="str">
        <f t="shared" si="73"/>
        <v>Richmond upon ThamesSocial support (including VCS) (pathway 0)</v>
      </c>
      <c r="D1593" t="str">
        <f>VLOOKUP(G1593,PathwayLookup!A:B,2,0)</f>
        <v>Social support (including VCS) (pathway 0)</v>
      </c>
      <c r="E1593" t="s">
        <v>265</v>
      </c>
      <c r="F1593" t="s">
        <v>651</v>
      </c>
      <c r="G1593" t="s">
        <v>682</v>
      </c>
      <c r="H1593">
        <v>8</v>
      </c>
      <c r="I1593">
        <v>9</v>
      </c>
      <c r="J1593">
        <v>9</v>
      </c>
      <c r="K1593">
        <v>10</v>
      </c>
      <c r="L1593">
        <v>9</v>
      </c>
      <c r="M1593">
        <v>10</v>
      </c>
      <c r="N1593">
        <v>10</v>
      </c>
      <c r="O1593">
        <v>9</v>
      </c>
      <c r="P1593">
        <v>9</v>
      </c>
      <c r="Q1593">
        <v>9</v>
      </c>
      <c r="R1593">
        <v>9</v>
      </c>
      <c r="S1593">
        <v>9</v>
      </c>
      <c r="T1593">
        <f t="shared" si="74"/>
        <v>110</v>
      </c>
      <c r="U1593">
        <v>1</v>
      </c>
    </row>
    <row r="1594" spans="1:21" x14ac:dyDescent="0.3">
      <c r="A1594" t="str">
        <f t="shared" si="72"/>
        <v>Richmond upon ThamesReablement &amp; Rehabilitation at home  (pathway 1)1</v>
      </c>
      <c r="B1594">
        <f>IF(C1594="","",COUNTIF($C$2:C1594,C1594))</f>
        <v>1</v>
      </c>
      <c r="C1594" t="str">
        <f t="shared" si="73"/>
        <v>Richmond upon ThamesReablement at home  (pathway 1)</v>
      </c>
      <c r="D1594" t="str">
        <f>VLOOKUP(G1594,PathwayLookup!A:B,2,0)</f>
        <v>Reablement &amp; Rehabilitation at home  (pathway 1)</v>
      </c>
      <c r="E1594" t="s">
        <v>265</v>
      </c>
      <c r="F1594" t="s">
        <v>476</v>
      </c>
      <c r="G1594" t="s">
        <v>718</v>
      </c>
      <c r="H1594">
        <v>35</v>
      </c>
      <c r="I1594">
        <v>35</v>
      </c>
      <c r="J1594">
        <v>35</v>
      </c>
      <c r="K1594">
        <v>35</v>
      </c>
      <c r="L1594">
        <v>35</v>
      </c>
      <c r="M1594">
        <v>35</v>
      </c>
      <c r="N1594">
        <v>35</v>
      </c>
      <c r="O1594">
        <v>35</v>
      </c>
      <c r="P1594">
        <v>35</v>
      </c>
      <c r="Q1594">
        <v>35</v>
      </c>
      <c r="R1594">
        <v>35</v>
      </c>
      <c r="S1594">
        <v>35</v>
      </c>
      <c r="T1594">
        <f t="shared" si="74"/>
        <v>420</v>
      </c>
      <c r="U1594">
        <v>1</v>
      </c>
    </row>
    <row r="1595" spans="1:21" x14ac:dyDescent="0.3">
      <c r="A1595" t="str">
        <f t="shared" si="72"/>
        <v>Richmond upon ThamesReablement &amp; Rehabilitation at home  (pathway 1)2</v>
      </c>
      <c r="B1595">
        <f>IF(C1595="","",COUNTIF($C$2:C1595,C1595))</f>
        <v>2</v>
      </c>
      <c r="C1595" t="str">
        <f t="shared" si="73"/>
        <v>Richmond upon ThamesReablement at home  (pathway 1)</v>
      </c>
      <c r="D1595" t="str">
        <f>VLOOKUP(G1595,PathwayLookup!A:B,2,0)</f>
        <v>Reablement &amp; Rehabilitation at home  (pathway 1)</v>
      </c>
      <c r="E1595" t="s">
        <v>265</v>
      </c>
      <c r="F1595" t="s">
        <v>527</v>
      </c>
      <c r="G1595" t="s">
        <v>718</v>
      </c>
      <c r="H1595">
        <v>53</v>
      </c>
      <c r="I1595">
        <v>53</v>
      </c>
      <c r="J1595">
        <v>53</v>
      </c>
      <c r="K1595">
        <v>53</v>
      </c>
      <c r="L1595">
        <v>53</v>
      </c>
      <c r="M1595">
        <v>53</v>
      </c>
      <c r="N1595">
        <v>53</v>
      </c>
      <c r="O1595">
        <v>53</v>
      </c>
      <c r="P1595">
        <v>53</v>
      </c>
      <c r="Q1595">
        <v>53</v>
      </c>
      <c r="R1595">
        <v>53</v>
      </c>
      <c r="S1595">
        <v>53</v>
      </c>
      <c r="T1595">
        <f t="shared" si="74"/>
        <v>636</v>
      </c>
      <c r="U1595">
        <v>1</v>
      </c>
    </row>
    <row r="1596" spans="1:21" x14ac:dyDescent="0.3">
      <c r="A1596" t="str">
        <f t="shared" si="72"/>
        <v>Richmond upon ThamesReablement &amp; Rehabilitation at home  (pathway 1)3</v>
      </c>
      <c r="B1596">
        <f>IF(C1596="","",COUNTIF($C$2:C1596,C1596))</f>
        <v>3</v>
      </c>
      <c r="C1596" t="str">
        <f t="shared" si="73"/>
        <v>Richmond upon ThamesReablement at home  (pathway 1)</v>
      </c>
      <c r="D1596" t="str">
        <f>VLOOKUP(G1596,PathwayLookup!A:B,2,0)</f>
        <v>Reablement &amp; Rehabilitation at home  (pathway 1)</v>
      </c>
      <c r="E1596" t="s">
        <v>265</v>
      </c>
      <c r="F1596" t="s">
        <v>651</v>
      </c>
      <c r="G1596" t="s">
        <v>718</v>
      </c>
      <c r="H1596">
        <v>15</v>
      </c>
      <c r="I1596">
        <v>15</v>
      </c>
      <c r="J1596">
        <v>15</v>
      </c>
      <c r="K1596">
        <v>15</v>
      </c>
      <c r="L1596">
        <v>15</v>
      </c>
      <c r="M1596">
        <v>15</v>
      </c>
      <c r="N1596">
        <v>15</v>
      </c>
      <c r="O1596">
        <v>15</v>
      </c>
      <c r="P1596">
        <v>15</v>
      </c>
      <c r="Q1596">
        <v>15</v>
      </c>
      <c r="R1596">
        <v>15</v>
      </c>
      <c r="S1596">
        <v>15</v>
      </c>
      <c r="T1596">
        <f t="shared" si="74"/>
        <v>180</v>
      </c>
      <c r="U1596">
        <v>1</v>
      </c>
    </row>
    <row r="1597" spans="1:21" x14ac:dyDescent="0.3">
      <c r="A1597" t="str">
        <f t="shared" si="72"/>
        <v>Richmond upon ThamesReablement &amp; Rehabilitation at home  (pathway 1)1</v>
      </c>
      <c r="B1597">
        <f>IF(C1597="","",COUNTIF($C$2:C1597,C1597))</f>
        <v>1</v>
      </c>
      <c r="C1597" t="str">
        <f t="shared" si="73"/>
        <v>Richmond upon ThamesRehabilitation at home (pathway 1)</v>
      </c>
      <c r="D1597" t="str">
        <f>VLOOKUP(G1597,PathwayLookup!A:B,2,0)</f>
        <v>Reablement &amp; Rehabilitation at home  (pathway 1)</v>
      </c>
      <c r="E1597" t="s">
        <v>265</v>
      </c>
      <c r="F1597" t="s">
        <v>476</v>
      </c>
      <c r="G1597" t="s">
        <v>719</v>
      </c>
      <c r="H1597">
        <v>8</v>
      </c>
      <c r="I1597">
        <v>8</v>
      </c>
      <c r="J1597">
        <v>8</v>
      </c>
      <c r="K1597">
        <v>8</v>
      </c>
      <c r="L1597">
        <v>8</v>
      </c>
      <c r="M1597">
        <v>8</v>
      </c>
      <c r="N1597">
        <v>8</v>
      </c>
      <c r="O1597">
        <v>8</v>
      </c>
      <c r="P1597">
        <v>8</v>
      </c>
      <c r="Q1597">
        <v>8</v>
      </c>
      <c r="R1597">
        <v>8</v>
      </c>
      <c r="S1597">
        <v>8</v>
      </c>
      <c r="T1597">
        <f t="shared" si="74"/>
        <v>96</v>
      </c>
      <c r="U1597">
        <v>1</v>
      </c>
    </row>
    <row r="1598" spans="1:21" x14ac:dyDescent="0.3">
      <c r="A1598" t="str">
        <f t="shared" si="72"/>
        <v>Richmond upon ThamesReablement &amp; Rehabilitation at home  (pathway 1)2</v>
      </c>
      <c r="B1598">
        <f>IF(C1598="","",COUNTIF($C$2:C1598,C1598))</f>
        <v>2</v>
      </c>
      <c r="C1598" t="str">
        <f t="shared" si="73"/>
        <v>Richmond upon ThamesRehabilitation at home (pathway 1)</v>
      </c>
      <c r="D1598" t="str">
        <f>VLOOKUP(G1598,PathwayLookup!A:B,2,0)</f>
        <v>Reablement &amp; Rehabilitation at home  (pathway 1)</v>
      </c>
      <c r="E1598" t="s">
        <v>265</v>
      </c>
      <c r="F1598" t="s">
        <v>527</v>
      </c>
      <c r="G1598" t="s">
        <v>719</v>
      </c>
      <c r="H1598">
        <v>11</v>
      </c>
      <c r="I1598">
        <v>11</v>
      </c>
      <c r="J1598">
        <v>11</v>
      </c>
      <c r="K1598">
        <v>11</v>
      </c>
      <c r="L1598">
        <v>11</v>
      </c>
      <c r="M1598">
        <v>11</v>
      </c>
      <c r="N1598">
        <v>11</v>
      </c>
      <c r="O1598">
        <v>11</v>
      </c>
      <c r="P1598">
        <v>11</v>
      </c>
      <c r="Q1598">
        <v>11</v>
      </c>
      <c r="R1598">
        <v>11</v>
      </c>
      <c r="S1598">
        <v>11</v>
      </c>
      <c r="T1598">
        <f t="shared" si="74"/>
        <v>132</v>
      </c>
      <c r="U1598">
        <v>1</v>
      </c>
    </row>
    <row r="1599" spans="1:21" x14ac:dyDescent="0.3">
      <c r="A1599" t="str">
        <f t="shared" si="72"/>
        <v>Richmond upon ThamesReablement &amp; Rehabilitation at home  (pathway 1)3</v>
      </c>
      <c r="B1599">
        <f>IF(C1599="","",COUNTIF($C$2:C1599,C1599))</f>
        <v>3</v>
      </c>
      <c r="C1599" t="str">
        <f t="shared" si="73"/>
        <v>Richmond upon ThamesRehabilitation at home (pathway 1)</v>
      </c>
      <c r="D1599" t="str">
        <f>VLOOKUP(G1599,PathwayLookup!A:B,2,0)</f>
        <v>Reablement &amp; Rehabilitation at home  (pathway 1)</v>
      </c>
      <c r="E1599" t="s">
        <v>265</v>
      </c>
      <c r="F1599" t="s">
        <v>651</v>
      </c>
      <c r="G1599" t="s">
        <v>719</v>
      </c>
      <c r="H1599">
        <v>4</v>
      </c>
      <c r="I1599">
        <v>4</v>
      </c>
      <c r="J1599">
        <v>4</v>
      </c>
      <c r="K1599">
        <v>4</v>
      </c>
      <c r="L1599">
        <v>4</v>
      </c>
      <c r="M1599">
        <v>4</v>
      </c>
      <c r="N1599">
        <v>4</v>
      </c>
      <c r="O1599">
        <v>4</v>
      </c>
      <c r="P1599">
        <v>4</v>
      </c>
      <c r="Q1599">
        <v>4</v>
      </c>
      <c r="R1599">
        <v>4</v>
      </c>
      <c r="S1599">
        <v>4</v>
      </c>
      <c r="T1599">
        <f t="shared" si="74"/>
        <v>48</v>
      </c>
      <c r="U1599">
        <v>1</v>
      </c>
    </row>
    <row r="1600" spans="1:21" x14ac:dyDescent="0.3">
      <c r="A1600" t="str">
        <f t="shared" si="72"/>
        <v>Richmond upon ThamesShort term domiciliary care (pathway 1)1</v>
      </c>
      <c r="B1600">
        <f>IF(C1600="","",COUNTIF($C$2:C1600,C1600))</f>
        <v>1</v>
      </c>
      <c r="C1600" t="str">
        <f t="shared" si="73"/>
        <v>Richmond upon ThamesShort term domiciliary care (pathway 1)</v>
      </c>
      <c r="D1600" t="str">
        <f>VLOOKUP(G1600,PathwayLookup!A:B,2,0)</f>
        <v>Short term domiciliary care (pathway 1)</v>
      </c>
      <c r="E1600" t="s">
        <v>265</v>
      </c>
      <c r="F1600" t="s">
        <v>476</v>
      </c>
      <c r="G1600" t="s">
        <v>684</v>
      </c>
      <c r="H1600">
        <v>1</v>
      </c>
      <c r="I1600">
        <v>1</v>
      </c>
      <c r="J1600">
        <v>1</v>
      </c>
      <c r="K1600">
        <v>1</v>
      </c>
      <c r="L1600">
        <v>1</v>
      </c>
      <c r="M1600">
        <v>1</v>
      </c>
      <c r="N1600">
        <v>1</v>
      </c>
      <c r="O1600">
        <v>1</v>
      </c>
      <c r="P1600">
        <v>1</v>
      </c>
      <c r="Q1600">
        <v>1</v>
      </c>
      <c r="R1600">
        <v>1</v>
      </c>
      <c r="S1600">
        <v>1</v>
      </c>
      <c r="T1600">
        <f t="shared" si="74"/>
        <v>12</v>
      </c>
      <c r="U1600">
        <v>1</v>
      </c>
    </row>
    <row r="1601" spans="1:21" x14ac:dyDescent="0.3">
      <c r="A1601" t="str">
        <f t="shared" si="72"/>
        <v>Richmond upon ThamesShort term domiciliary care (pathway 1)2</v>
      </c>
      <c r="B1601">
        <f>IF(C1601="","",COUNTIF($C$2:C1601,C1601))</f>
        <v>2</v>
      </c>
      <c r="C1601" t="str">
        <f t="shared" si="73"/>
        <v>Richmond upon ThamesShort term domiciliary care (pathway 1)</v>
      </c>
      <c r="D1601" t="str">
        <f>VLOOKUP(G1601,PathwayLookup!A:B,2,0)</f>
        <v>Short term domiciliary care (pathway 1)</v>
      </c>
      <c r="E1601" t="s">
        <v>265</v>
      </c>
      <c r="F1601" t="s">
        <v>527</v>
      </c>
      <c r="G1601" t="s">
        <v>684</v>
      </c>
      <c r="H1601">
        <v>1</v>
      </c>
      <c r="I1601">
        <v>1</v>
      </c>
      <c r="J1601">
        <v>1</v>
      </c>
      <c r="K1601">
        <v>1</v>
      </c>
      <c r="L1601">
        <v>1</v>
      </c>
      <c r="M1601">
        <v>1</v>
      </c>
      <c r="N1601">
        <v>1</v>
      </c>
      <c r="O1601">
        <v>1</v>
      </c>
      <c r="P1601">
        <v>1</v>
      </c>
      <c r="Q1601">
        <v>1</v>
      </c>
      <c r="R1601">
        <v>1</v>
      </c>
      <c r="S1601">
        <v>1</v>
      </c>
      <c r="T1601">
        <f t="shared" si="74"/>
        <v>12</v>
      </c>
      <c r="U1601">
        <v>1</v>
      </c>
    </row>
    <row r="1602" spans="1:21" x14ac:dyDescent="0.3">
      <c r="A1602" t="str">
        <f t="shared" ref="A1602:A1665" si="75">IF(B1602="","",E1602&amp;D1602&amp;B1602)</f>
        <v/>
      </c>
      <c r="B1602" t="str">
        <f>IF(C1602="","",COUNTIF($C$2:C1602,C1602))</f>
        <v/>
      </c>
      <c r="C1602" t="str">
        <f t="shared" ref="C1602:C1665" si="76">IF(T1602=0,"",E1602&amp;G1602)</f>
        <v/>
      </c>
      <c r="D1602" t="str">
        <f>VLOOKUP(G1602,PathwayLookup!A:B,2,0)</f>
        <v>Short term domiciliary care (pathway 1)</v>
      </c>
      <c r="E1602" t="s">
        <v>265</v>
      </c>
      <c r="F1602" t="s">
        <v>651</v>
      </c>
      <c r="G1602" t="s">
        <v>684</v>
      </c>
      <c r="H1602">
        <v>0</v>
      </c>
      <c r="I1602">
        <v>0</v>
      </c>
      <c r="J1602">
        <v>0</v>
      </c>
      <c r="K1602">
        <v>0</v>
      </c>
      <c r="L1602">
        <v>0</v>
      </c>
      <c r="M1602">
        <v>0</v>
      </c>
      <c r="N1602">
        <v>0</v>
      </c>
      <c r="O1602">
        <v>0</v>
      </c>
      <c r="P1602">
        <v>0</v>
      </c>
      <c r="Q1602">
        <v>0</v>
      </c>
      <c r="R1602">
        <v>0</v>
      </c>
      <c r="S1602">
        <v>0</v>
      </c>
      <c r="T1602">
        <f t="shared" ref="T1602:T1665" si="77">SUM(H1602:S1602)</f>
        <v>0</v>
      </c>
      <c r="U1602">
        <v>1</v>
      </c>
    </row>
    <row r="1603" spans="1:21" x14ac:dyDescent="0.3">
      <c r="A1603" t="str">
        <f t="shared" si="75"/>
        <v/>
      </c>
      <c r="B1603" t="str">
        <f>IF(C1603="","",COUNTIF($C$2:C1603,C1603))</f>
        <v/>
      </c>
      <c r="C1603" t="str">
        <f t="shared" si="76"/>
        <v/>
      </c>
      <c r="D1603" t="str">
        <f>VLOOKUP(G1603,PathwayLookup!A:B,2,0)</f>
        <v>Reablement &amp; Rehabilitation in a bedded setting (pathway 2)</v>
      </c>
      <c r="E1603" t="s">
        <v>265</v>
      </c>
      <c r="F1603" t="s">
        <v>476</v>
      </c>
      <c r="G1603" t="s">
        <v>722</v>
      </c>
      <c r="H1603">
        <v>0</v>
      </c>
      <c r="I1603">
        <v>0</v>
      </c>
      <c r="J1603">
        <v>0</v>
      </c>
      <c r="K1603">
        <v>0</v>
      </c>
      <c r="L1603">
        <v>0</v>
      </c>
      <c r="M1603">
        <v>0</v>
      </c>
      <c r="N1603">
        <v>0</v>
      </c>
      <c r="O1603">
        <v>0</v>
      </c>
      <c r="P1603">
        <v>0</v>
      </c>
      <c r="Q1603">
        <v>0</v>
      </c>
      <c r="R1603">
        <v>0</v>
      </c>
      <c r="S1603">
        <v>0</v>
      </c>
      <c r="T1603">
        <f t="shared" si="77"/>
        <v>0</v>
      </c>
      <c r="U1603">
        <v>1</v>
      </c>
    </row>
    <row r="1604" spans="1:21" x14ac:dyDescent="0.3">
      <c r="A1604" t="str">
        <f t="shared" si="75"/>
        <v/>
      </c>
      <c r="B1604" t="str">
        <f>IF(C1604="","",COUNTIF($C$2:C1604,C1604))</f>
        <v/>
      </c>
      <c r="C1604" t="str">
        <f t="shared" si="76"/>
        <v/>
      </c>
      <c r="D1604" t="str">
        <f>VLOOKUP(G1604,PathwayLookup!A:B,2,0)</f>
        <v>Reablement &amp; Rehabilitation in a bedded setting (pathway 2)</v>
      </c>
      <c r="E1604" t="s">
        <v>265</v>
      </c>
      <c r="F1604" t="s">
        <v>527</v>
      </c>
      <c r="G1604" t="s">
        <v>722</v>
      </c>
      <c r="H1604">
        <v>0</v>
      </c>
      <c r="I1604">
        <v>0</v>
      </c>
      <c r="J1604">
        <v>0</v>
      </c>
      <c r="K1604">
        <v>0</v>
      </c>
      <c r="L1604">
        <v>0</v>
      </c>
      <c r="M1604">
        <v>0</v>
      </c>
      <c r="N1604">
        <v>0</v>
      </c>
      <c r="O1604">
        <v>0</v>
      </c>
      <c r="P1604">
        <v>0</v>
      </c>
      <c r="Q1604">
        <v>0</v>
      </c>
      <c r="R1604">
        <v>0</v>
      </c>
      <c r="S1604">
        <v>0</v>
      </c>
      <c r="T1604">
        <f t="shared" si="77"/>
        <v>0</v>
      </c>
      <c r="U1604">
        <v>1</v>
      </c>
    </row>
    <row r="1605" spans="1:21" x14ac:dyDescent="0.3">
      <c r="A1605" t="str">
        <f t="shared" si="75"/>
        <v/>
      </c>
      <c r="B1605" t="str">
        <f>IF(C1605="","",COUNTIF($C$2:C1605,C1605))</f>
        <v/>
      </c>
      <c r="C1605" t="str">
        <f t="shared" si="76"/>
        <v/>
      </c>
      <c r="D1605" t="str">
        <f>VLOOKUP(G1605,PathwayLookup!A:B,2,0)</f>
        <v>Reablement &amp; Rehabilitation in a bedded setting (pathway 2)</v>
      </c>
      <c r="E1605" t="s">
        <v>265</v>
      </c>
      <c r="F1605" t="s">
        <v>651</v>
      </c>
      <c r="G1605" t="s">
        <v>722</v>
      </c>
      <c r="H1605">
        <v>0</v>
      </c>
      <c r="I1605">
        <v>0</v>
      </c>
      <c r="J1605">
        <v>0</v>
      </c>
      <c r="K1605">
        <v>0</v>
      </c>
      <c r="L1605">
        <v>0</v>
      </c>
      <c r="M1605">
        <v>0</v>
      </c>
      <c r="N1605">
        <v>0</v>
      </c>
      <c r="O1605">
        <v>0</v>
      </c>
      <c r="P1605">
        <v>0</v>
      </c>
      <c r="Q1605">
        <v>0</v>
      </c>
      <c r="R1605">
        <v>0</v>
      </c>
      <c r="S1605">
        <v>0</v>
      </c>
      <c r="T1605">
        <f t="shared" si="77"/>
        <v>0</v>
      </c>
      <c r="U1605">
        <v>1</v>
      </c>
    </row>
    <row r="1606" spans="1:21" x14ac:dyDescent="0.3">
      <c r="A1606" t="str">
        <f t="shared" si="75"/>
        <v>Richmond upon ThamesReablement &amp; Rehabilitation in a bedded setting (pathway 2)1</v>
      </c>
      <c r="B1606">
        <f>IF(C1606="","",COUNTIF($C$2:C1606,C1606))</f>
        <v>1</v>
      </c>
      <c r="C1606" t="str">
        <f t="shared" si="76"/>
        <v>Richmond upon ThamesRehabilitation in a bedded setting (pathway 2)</v>
      </c>
      <c r="D1606" t="str">
        <f>VLOOKUP(G1606,PathwayLookup!A:B,2,0)</f>
        <v>Reablement &amp; Rehabilitation in a bedded setting (pathway 2)</v>
      </c>
      <c r="E1606" t="s">
        <v>265</v>
      </c>
      <c r="F1606" t="s">
        <v>476</v>
      </c>
      <c r="G1606" t="s">
        <v>724</v>
      </c>
      <c r="H1606">
        <v>14</v>
      </c>
      <c r="I1606">
        <v>14</v>
      </c>
      <c r="J1606">
        <v>14</v>
      </c>
      <c r="K1606">
        <v>14</v>
      </c>
      <c r="L1606">
        <v>14</v>
      </c>
      <c r="M1606">
        <v>14</v>
      </c>
      <c r="N1606">
        <v>14</v>
      </c>
      <c r="O1606">
        <v>14</v>
      </c>
      <c r="P1606">
        <v>14</v>
      </c>
      <c r="Q1606">
        <v>14</v>
      </c>
      <c r="R1606">
        <v>13</v>
      </c>
      <c r="S1606">
        <v>14</v>
      </c>
      <c r="T1606">
        <f t="shared" si="77"/>
        <v>167</v>
      </c>
      <c r="U1606">
        <v>1</v>
      </c>
    </row>
    <row r="1607" spans="1:21" x14ac:dyDescent="0.3">
      <c r="A1607" t="str">
        <f t="shared" si="75"/>
        <v>Richmond upon ThamesReablement &amp; Rehabilitation in a bedded setting (pathway 2)2</v>
      </c>
      <c r="B1607">
        <f>IF(C1607="","",COUNTIF($C$2:C1607,C1607))</f>
        <v>2</v>
      </c>
      <c r="C1607" t="str">
        <f t="shared" si="76"/>
        <v>Richmond upon ThamesRehabilitation in a bedded setting (pathway 2)</v>
      </c>
      <c r="D1607" t="str">
        <f>VLOOKUP(G1607,PathwayLookup!A:B,2,0)</f>
        <v>Reablement &amp; Rehabilitation in a bedded setting (pathway 2)</v>
      </c>
      <c r="E1607" t="s">
        <v>265</v>
      </c>
      <c r="F1607" t="s">
        <v>527</v>
      </c>
      <c r="G1607" t="s">
        <v>724</v>
      </c>
      <c r="H1607">
        <v>21</v>
      </c>
      <c r="I1607">
        <v>22</v>
      </c>
      <c r="J1607">
        <v>22</v>
      </c>
      <c r="K1607">
        <v>22</v>
      </c>
      <c r="L1607">
        <v>22</v>
      </c>
      <c r="M1607">
        <v>22</v>
      </c>
      <c r="N1607">
        <v>22</v>
      </c>
      <c r="O1607">
        <v>22</v>
      </c>
      <c r="P1607">
        <v>22</v>
      </c>
      <c r="Q1607">
        <v>21</v>
      </c>
      <c r="R1607">
        <v>21</v>
      </c>
      <c r="S1607">
        <v>21</v>
      </c>
      <c r="T1607">
        <f t="shared" si="77"/>
        <v>260</v>
      </c>
      <c r="U1607">
        <v>1</v>
      </c>
    </row>
    <row r="1608" spans="1:21" x14ac:dyDescent="0.3">
      <c r="A1608" t="str">
        <f t="shared" si="75"/>
        <v>Richmond upon ThamesReablement &amp; Rehabilitation in a bedded setting (pathway 2)3</v>
      </c>
      <c r="B1608">
        <f>IF(C1608="","",COUNTIF($C$2:C1608,C1608))</f>
        <v>3</v>
      </c>
      <c r="C1608" t="str">
        <f t="shared" si="76"/>
        <v>Richmond upon ThamesRehabilitation in a bedded setting (pathway 2)</v>
      </c>
      <c r="D1608" t="str">
        <f>VLOOKUP(G1608,PathwayLookup!A:B,2,0)</f>
        <v>Reablement &amp; Rehabilitation in a bedded setting (pathway 2)</v>
      </c>
      <c r="E1608" t="s">
        <v>265</v>
      </c>
      <c r="F1608" t="s">
        <v>651</v>
      </c>
      <c r="G1608" t="s">
        <v>724</v>
      </c>
      <c r="H1608">
        <v>7</v>
      </c>
      <c r="I1608">
        <v>7</v>
      </c>
      <c r="J1608">
        <v>7</v>
      </c>
      <c r="K1608">
        <v>7</v>
      </c>
      <c r="L1608">
        <v>7</v>
      </c>
      <c r="M1608">
        <v>7</v>
      </c>
      <c r="N1608">
        <v>7</v>
      </c>
      <c r="O1608">
        <v>7</v>
      </c>
      <c r="P1608">
        <v>7</v>
      </c>
      <c r="Q1608">
        <v>7</v>
      </c>
      <c r="R1608">
        <v>7</v>
      </c>
      <c r="S1608">
        <v>7</v>
      </c>
      <c r="T1608">
        <f t="shared" si="77"/>
        <v>84</v>
      </c>
      <c r="U1608">
        <v>1</v>
      </c>
    </row>
    <row r="1609" spans="1:21" x14ac:dyDescent="0.3">
      <c r="A1609" t="str">
        <f t="shared" si="75"/>
        <v>Richmond upon ThamesShort-term residential/nursing care for someone likely to require a longer-term care home placement (pathway 3)1</v>
      </c>
      <c r="B1609">
        <f>IF(C1609="","",COUNTIF($C$2:C1609,C1609))</f>
        <v>1</v>
      </c>
      <c r="C1609" t="str">
        <f t="shared" si="76"/>
        <v>Richmond upon ThamesShort-term residential/nursing care for someone likely to require a longer-term care home placement (pathway 3)</v>
      </c>
      <c r="D1609" t="str">
        <f>VLOOKUP(G1609,PathwayLookup!A:B,2,0)</f>
        <v>Short-term residential/nursing care for someone likely to require a longer-term care home placement (pathway 3)</v>
      </c>
      <c r="E1609" t="s">
        <v>265</v>
      </c>
      <c r="F1609" t="s">
        <v>476</v>
      </c>
      <c r="G1609" t="s">
        <v>686</v>
      </c>
      <c r="H1609">
        <v>6</v>
      </c>
      <c r="I1609">
        <v>6</v>
      </c>
      <c r="J1609">
        <v>6</v>
      </c>
      <c r="K1609">
        <v>6</v>
      </c>
      <c r="L1609">
        <v>6</v>
      </c>
      <c r="M1609">
        <v>6</v>
      </c>
      <c r="N1609">
        <v>6</v>
      </c>
      <c r="O1609">
        <v>6</v>
      </c>
      <c r="P1609">
        <v>6</v>
      </c>
      <c r="Q1609">
        <v>6</v>
      </c>
      <c r="R1609">
        <v>6</v>
      </c>
      <c r="S1609">
        <v>6</v>
      </c>
      <c r="T1609">
        <f t="shared" si="77"/>
        <v>72</v>
      </c>
      <c r="U1609">
        <v>1</v>
      </c>
    </row>
    <row r="1610" spans="1:21" x14ac:dyDescent="0.3">
      <c r="A1610" t="str">
        <f t="shared" si="75"/>
        <v>Richmond upon ThamesShort-term residential/nursing care for someone likely to require a longer-term care home placement (pathway 3)2</v>
      </c>
      <c r="B1610">
        <f>IF(C1610="","",COUNTIF($C$2:C1610,C1610))</f>
        <v>2</v>
      </c>
      <c r="C1610" t="str">
        <f t="shared" si="76"/>
        <v>Richmond upon ThamesShort-term residential/nursing care for someone likely to require a longer-term care home placement (pathway 3)</v>
      </c>
      <c r="D1610" t="str">
        <f>VLOOKUP(G1610,PathwayLookup!A:B,2,0)</f>
        <v>Short-term residential/nursing care for someone likely to require a longer-term care home placement (pathway 3)</v>
      </c>
      <c r="E1610" t="s">
        <v>265</v>
      </c>
      <c r="F1610" t="s">
        <v>527</v>
      </c>
      <c r="G1610" t="s">
        <v>686</v>
      </c>
      <c r="H1610">
        <v>6</v>
      </c>
      <c r="I1610">
        <v>6</v>
      </c>
      <c r="J1610">
        <v>6</v>
      </c>
      <c r="K1610">
        <v>6</v>
      </c>
      <c r="L1610">
        <v>6</v>
      </c>
      <c r="M1610">
        <v>6</v>
      </c>
      <c r="N1610">
        <v>6</v>
      </c>
      <c r="O1610">
        <v>6</v>
      </c>
      <c r="P1610">
        <v>6</v>
      </c>
      <c r="Q1610">
        <v>6</v>
      </c>
      <c r="R1610">
        <v>6</v>
      </c>
      <c r="S1610">
        <v>6</v>
      </c>
      <c r="T1610">
        <f t="shared" si="77"/>
        <v>72</v>
      </c>
      <c r="U1610">
        <v>1</v>
      </c>
    </row>
    <row r="1611" spans="1:21" x14ac:dyDescent="0.3">
      <c r="A1611" t="str">
        <f t="shared" si="75"/>
        <v>Richmond upon ThamesShort-term residential/nursing care for someone likely to require a longer-term care home placement (pathway 3)3</v>
      </c>
      <c r="B1611">
        <f>IF(C1611="","",COUNTIF($C$2:C1611,C1611))</f>
        <v>3</v>
      </c>
      <c r="C1611" t="str">
        <f t="shared" si="76"/>
        <v>Richmond upon ThamesShort-term residential/nursing care for someone likely to require a longer-term care home placement (pathway 3)</v>
      </c>
      <c r="D1611" t="str">
        <f>VLOOKUP(G1611,PathwayLookup!A:B,2,0)</f>
        <v>Short-term residential/nursing care for someone likely to require a longer-term care home placement (pathway 3)</v>
      </c>
      <c r="E1611" t="s">
        <v>265</v>
      </c>
      <c r="F1611" t="s">
        <v>651</v>
      </c>
      <c r="G1611" t="s">
        <v>686</v>
      </c>
      <c r="H1611">
        <v>2</v>
      </c>
      <c r="I1611">
        <v>2</v>
      </c>
      <c r="J1611">
        <v>2</v>
      </c>
      <c r="K1611">
        <v>2</v>
      </c>
      <c r="L1611">
        <v>2</v>
      </c>
      <c r="M1611">
        <v>2</v>
      </c>
      <c r="N1611">
        <v>2</v>
      </c>
      <c r="O1611">
        <v>2</v>
      </c>
      <c r="P1611">
        <v>2</v>
      </c>
      <c r="Q1611">
        <v>2</v>
      </c>
      <c r="R1611">
        <v>2</v>
      </c>
      <c r="S1611">
        <v>2</v>
      </c>
      <c r="T1611">
        <f t="shared" si="77"/>
        <v>24</v>
      </c>
      <c r="U1611">
        <v>1</v>
      </c>
    </row>
    <row r="1612" spans="1:21" x14ac:dyDescent="0.3">
      <c r="A1612" t="str">
        <f t="shared" si="75"/>
        <v>RochdaleSocial support (including VCS) (pathway 0)1</v>
      </c>
      <c r="B1612">
        <f>IF(C1612="","",COUNTIF($C$2:C1612,C1612))</f>
        <v>1</v>
      </c>
      <c r="C1612" t="str">
        <f t="shared" si="76"/>
        <v>RochdaleSocial support (including VCS) (pathway 0)</v>
      </c>
      <c r="D1612" t="str">
        <f>VLOOKUP(G1612,PathwayLookup!A:B,2,0)</f>
        <v>Social support (including VCS) (pathway 0)</v>
      </c>
      <c r="E1612" t="s">
        <v>267</v>
      </c>
      <c r="F1612" t="s">
        <v>563</v>
      </c>
      <c r="G1612" t="s">
        <v>682</v>
      </c>
      <c r="H1612">
        <v>60</v>
      </c>
      <c r="I1612">
        <v>60</v>
      </c>
      <c r="J1612">
        <v>60</v>
      </c>
      <c r="K1612">
        <v>60</v>
      </c>
      <c r="L1612">
        <v>60</v>
      </c>
      <c r="M1612">
        <v>60</v>
      </c>
      <c r="N1612">
        <v>60</v>
      </c>
      <c r="O1612">
        <v>60</v>
      </c>
      <c r="P1612">
        <v>60</v>
      </c>
      <c r="Q1612">
        <v>60</v>
      </c>
      <c r="R1612">
        <v>60</v>
      </c>
      <c r="S1612">
        <v>60</v>
      </c>
      <c r="T1612">
        <f t="shared" si="77"/>
        <v>720</v>
      </c>
      <c r="U1612">
        <v>1</v>
      </c>
    </row>
    <row r="1613" spans="1:21" x14ac:dyDescent="0.3">
      <c r="A1613" t="str">
        <f t="shared" si="75"/>
        <v>RochdaleReablement &amp; Rehabilitation at home  (pathway 1)1</v>
      </c>
      <c r="B1613">
        <f>IF(C1613="","",COUNTIF($C$2:C1613,C1613))</f>
        <v>1</v>
      </c>
      <c r="C1613" t="str">
        <f t="shared" si="76"/>
        <v>RochdaleReablement at home  (pathway 1)</v>
      </c>
      <c r="D1613" t="str">
        <f>VLOOKUP(G1613,PathwayLookup!A:B,2,0)</f>
        <v>Reablement &amp; Rehabilitation at home  (pathway 1)</v>
      </c>
      <c r="E1613" t="s">
        <v>267</v>
      </c>
      <c r="F1613" t="s">
        <v>563</v>
      </c>
      <c r="G1613" t="s">
        <v>718</v>
      </c>
      <c r="H1613">
        <v>109</v>
      </c>
      <c r="I1613">
        <v>106</v>
      </c>
      <c r="J1613">
        <v>100</v>
      </c>
      <c r="K1613">
        <v>100</v>
      </c>
      <c r="L1613">
        <v>100</v>
      </c>
      <c r="M1613">
        <v>100</v>
      </c>
      <c r="N1613">
        <v>120</v>
      </c>
      <c r="O1613">
        <v>120</v>
      </c>
      <c r="P1613">
        <v>120</v>
      </c>
      <c r="Q1613">
        <v>120</v>
      </c>
      <c r="R1613">
        <v>120</v>
      </c>
      <c r="S1613">
        <v>120</v>
      </c>
      <c r="T1613">
        <f t="shared" si="77"/>
        <v>1335</v>
      </c>
      <c r="U1613">
        <v>1</v>
      </c>
    </row>
    <row r="1614" spans="1:21" x14ac:dyDescent="0.3">
      <c r="A1614" t="str">
        <f t="shared" si="75"/>
        <v/>
      </c>
      <c r="B1614" t="str">
        <f>IF(C1614="","",COUNTIF($C$2:C1614,C1614))</f>
        <v/>
      </c>
      <c r="C1614" t="str">
        <f t="shared" si="76"/>
        <v/>
      </c>
      <c r="D1614" t="str">
        <f>VLOOKUP(G1614,PathwayLookup!A:B,2,0)</f>
        <v>Reablement &amp; Rehabilitation at home  (pathway 1)</v>
      </c>
      <c r="E1614" t="s">
        <v>267</v>
      </c>
      <c r="F1614" t="s">
        <v>563</v>
      </c>
      <c r="G1614" t="s">
        <v>719</v>
      </c>
      <c r="H1614">
        <v>0</v>
      </c>
      <c r="I1614">
        <v>0</v>
      </c>
      <c r="J1614">
        <v>0</v>
      </c>
      <c r="K1614">
        <v>0</v>
      </c>
      <c r="L1614">
        <v>0</v>
      </c>
      <c r="M1614">
        <v>0</v>
      </c>
      <c r="N1614">
        <v>0</v>
      </c>
      <c r="O1614">
        <v>0</v>
      </c>
      <c r="P1614">
        <v>0</v>
      </c>
      <c r="Q1614">
        <v>0</v>
      </c>
      <c r="R1614">
        <v>0</v>
      </c>
      <c r="S1614">
        <v>0</v>
      </c>
      <c r="T1614">
        <f t="shared" si="77"/>
        <v>0</v>
      </c>
      <c r="U1614">
        <v>1</v>
      </c>
    </row>
    <row r="1615" spans="1:21" x14ac:dyDescent="0.3">
      <c r="A1615" t="str">
        <f t="shared" si="75"/>
        <v>RochdaleShort term domiciliary care (pathway 1)1</v>
      </c>
      <c r="B1615">
        <f>IF(C1615="","",COUNTIF($C$2:C1615,C1615))</f>
        <v>1</v>
      </c>
      <c r="C1615" t="str">
        <f t="shared" si="76"/>
        <v>RochdaleShort term domiciliary care (pathway 1)</v>
      </c>
      <c r="D1615" t="str">
        <f>VLOOKUP(G1615,PathwayLookup!A:B,2,0)</f>
        <v>Short term domiciliary care (pathway 1)</v>
      </c>
      <c r="E1615" t="s">
        <v>267</v>
      </c>
      <c r="F1615" t="s">
        <v>563</v>
      </c>
      <c r="G1615" t="s">
        <v>684</v>
      </c>
      <c r="H1615">
        <v>10</v>
      </c>
      <c r="I1615">
        <v>10</v>
      </c>
      <c r="J1615">
        <v>10</v>
      </c>
      <c r="K1615">
        <v>10</v>
      </c>
      <c r="L1615">
        <v>10</v>
      </c>
      <c r="M1615">
        <v>10</v>
      </c>
      <c r="N1615">
        <v>10</v>
      </c>
      <c r="O1615">
        <v>10</v>
      </c>
      <c r="P1615">
        <v>10</v>
      </c>
      <c r="Q1615">
        <v>10</v>
      </c>
      <c r="R1615">
        <v>10</v>
      </c>
      <c r="S1615">
        <v>10</v>
      </c>
      <c r="T1615">
        <f t="shared" si="77"/>
        <v>120</v>
      </c>
      <c r="U1615">
        <v>1</v>
      </c>
    </row>
    <row r="1616" spans="1:21" x14ac:dyDescent="0.3">
      <c r="A1616" t="str">
        <f t="shared" si="75"/>
        <v>RochdaleReablement &amp; Rehabilitation in a bedded setting (pathway 2)1</v>
      </c>
      <c r="B1616">
        <f>IF(C1616="","",COUNTIF($C$2:C1616,C1616))</f>
        <v>1</v>
      </c>
      <c r="C1616" t="str">
        <f t="shared" si="76"/>
        <v>RochdaleReablement in a bedded setting (pathway 2)</v>
      </c>
      <c r="D1616" t="str">
        <f>VLOOKUP(G1616,PathwayLookup!A:B,2,0)</f>
        <v>Reablement &amp; Rehabilitation in a bedded setting (pathway 2)</v>
      </c>
      <c r="E1616" t="s">
        <v>267</v>
      </c>
      <c r="F1616" t="s">
        <v>563</v>
      </c>
      <c r="G1616" t="s">
        <v>722</v>
      </c>
      <c r="H1616">
        <v>34</v>
      </c>
      <c r="I1616">
        <v>46</v>
      </c>
      <c r="J1616">
        <v>35</v>
      </c>
      <c r="K1616">
        <v>35</v>
      </c>
      <c r="L1616">
        <v>35</v>
      </c>
      <c r="M1616">
        <v>35</v>
      </c>
      <c r="N1616">
        <v>40</v>
      </c>
      <c r="O1616">
        <v>40</v>
      </c>
      <c r="P1616">
        <v>40</v>
      </c>
      <c r="Q1616">
        <v>40</v>
      </c>
      <c r="R1616">
        <v>40</v>
      </c>
      <c r="S1616">
        <v>40</v>
      </c>
      <c r="T1616">
        <f t="shared" si="77"/>
        <v>460</v>
      </c>
      <c r="U1616">
        <v>1</v>
      </c>
    </row>
    <row r="1617" spans="1:21" x14ac:dyDescent="0.3">
      <c r="A1617" t="str">
        <f t="shared" si="75"/>
        <v/>
      </c>
      <c r="B1617" t="str">
        <f>IF(C1617="","",COUNTIF($C$2:C1617,C1617))</f>
        <v/>
      </c>
      <c r="C1617" t="str">
        <f t="shared" si="76"/>
        <v/>
      </c>
      <c r="D1617" t="str">
        <f>VLOOKUP(G1617,PathwayLookup!A:B,2,0)</f>
        <v>Reablement &amp; Rehabilitation in a bedded setting (pathway 2)</v>
      </c>
      <c r="E1617" t="s">
        <v>267</v>
      </c>
      <c r="F1617" t="s">
        <v>563</v>
      </c>
      <c r="G1617" t="s">
        <v>724</v>
      </c>
      <c r="H1617">
        <v>0</v>
      </c>
      <c r="I1617">
        <v>0</v>
      </c>
      <c r="J1617">
        <v>0</v>
      </c>
      <c r="K1617">
        <v>0</v>
      </c>
      <c r="L1617">
        <v>0</v>
      </c>
      <c r="M1617">
        <v>0</v>
      </c>
      <c r="N1617">
        <v>0</v>
      </c>
      <c r="O1617">
        <v>0</v>
      </c>
      <c r="P1617">
        <v>0</v>
      </c>
      <c r="Q1617">
        <v>0</v>
      </c>
      <c r="R1617">
        <v>0</v>
      </c>
      <c r="S1617">
        <v>0</v>
      </c>
      <c r="T1617">
        <f t="shared" si="77"/>
        <v>0</v>
      </c>
      <c r="U1617">
        <v>1</v>
      </c>
    </row>
    <row r="1618" spans="1:21" x14ac:dyDescent="0.3">
      <c r="A1618" t="str">
        <f t="shared" si="75"/>
        <v>RochdaleShort-term residential/nursing care for someone likely to require a longer-term care home placement (pathway 3)1</v>
      </c>
      <c r="B1618">
        <f>IF(C1618="","",COUNTIF($C$2:C1618,C1618))</f>
        <v>1</v>
      </c>
      <c r="C1618" t="str">
        <f t="shared" si="76"/>
        <v>RochdaleShort-term residential/nursing care for someone likely to require a longer-term care home placement (pathway 3)</v>
      </c>
      <c r="D1618" t="str">
        <f>VLOOKUP(G1618,PathwayLookup!A:B,2,0)</f>
        <v>Short-term residential/nursing care for someone likely to require a longer-term care home placement (pathway 3)</v>
      </c>
      <c r="E1618" t="s">
        <v>267</v>
      </c>
      <c r="F1618" t="s">
        <v>563</v>
      </c>
      <c r="G1618" t="s">
        <v>686</v>
      </c>
      <c r="H1618">
        <v>27</v>
      </c>
      <c r="I1618">
        <v>22</v>
      </c>
      <c r="J1618">
        <v>19</v>
      </c>
      <c r="K1618">
        <v>19</v>
      </c>
      <c r="L1618">
        <v>19</v>
      </c>
      <c r="M1618">
        <v>19</v>
      </c>
      <c r="N1618">
        <v>22</v>
      </c>
      <c r="O1618">
        <v>22</v>
      </c>
      <c r="P1618">
        <v>22</v>
      </c>
      <c r="Q1618">
        <v>22</v>
      </c>
      <c r="R1618">
        <v>22</v>
      </c>
      <c r="S1618">
        <v>22</v>
      </c>
      <c r="T1618">
        <f t="shared" si="77"/>
        <v>257</v>
      </c>
      <c r="U1618">
        <v>1</v>
      </c>
    </row>
    <row r="1619" spans="1:21" x14ac:dyDescent="0.3">
      <c r="A1619" t="str">
        <f t="shared" si="75"/>
        <v>RotherhamSocial support (including VCS) (pathway 0)1</v>
      </c>
      <c r="B1619">
        <f>IF(C1619="","",COUNTIF($C$2:C1619,C1619))</f>
        <v>1</v>
      </c>
      <c r="C1619" t="str">
        <f t="shared" si="76"/>
        <v>RotherhamSocial support (including VCS) (pathway 0)</v>
      </c>
      <c r="D1619" t="str">
        <f>VLOOKUP(G1619,PathwayLookup!A:B,2,0)</f>
        <v>Social support (including VCS) (pathway 0)</v>
      </c>
      <c r="E1619" t="s">
        <v>269</v>
      </c>
      <c r="F1619" t="s">
        <v>618</v>
      </c>
      <c r="G1619" t="s">
        <v>682</v>
      </c>
      <c r="H1619">
        <v>557</v>
      </c>
      <c r="I1619">
        <v>567</v>
      </c>
      <c r="J1619">
        <v>584</v>
      </c>
      <c r="K1619">
        <v>554</v>
      </c>
      <c r="L1619">
        <v>515</v>
      </c>
      <c r="M1619">
        <v>553</v>
      </c>
      <c r="N1619">
        <v>539</v>
      </c>
      <c r="O1619">
        <v>661</v>
      </c>
      <c r="P1619">
        <v>585</v>
      </c>
      <c r="Q1619">
        <v>672</v>
      </c>
      <c r="R1619">
        <v>602</v>
      </c>
      <c r="S1619">
        <v>739</v>
      </c>
      <c r="T1619">
        <f t="shared" si="77"/>
        <v>7128</v>
      </c>
      <c r="U1619">
        <v>1</v>
      </c>
    </row>
    <row r="1620" spans="1:21" x14ac:dyDescent="0.3">
      <c r="A1620" t="str">
        <f t="shared" si="75"/>
        <v>RotherhamReablement &amp; Rehabilitation at home  (pathway 1)1</v>
      </c>
      <c r="B1620">
        <f>IF(C1620="","",COUNTIF($C$2:C1620,C1620))</f>
        <v>1</v>
      </c>
      <c r="C1620" t="str">
        <f t="shared" si="76"/>
        <v>RotherhamReablement at home  (pathway 1)</v>
      </c>
      <c r="D1620" t="str">
        <f>VLOOKUP(G1620,PathwayLookup!A:B,2,0)</f>
        <v>Reablement &amp; Rehabilitation at home  (pathway 1)</v>
      </c>
      <c r="E1620" t="s">
        <v>269</v>
      </c>
      <c r="F1620" t="s">
        <v>618</v>
      </c>
      <c r="G1620" t="s">
        <v>718</v>
      </c>
      <c r="H1620">
        <v>42</v>
      </c>
      <c r="I1620">
        <v>50</v>
      </c>
      <c r="J1620">
        <v>36</v>
      </c>
      <c r="K1620">
        <v>50</v>
      </c>
      <c r="L1620">
        <v>44</v>
      </c>
      <c r="M1620">
        <v>36</v>
      </c>
      <c r="N1620">
        <v>43</v>
      </c>
      <c r="O1620">
        <v>54</v>
      </c>
      <c r="P1620">
        <v>52</v>
      </c>
      <c r="Q1620">
        <v>55</v>
      </c>
      <c r="R1620">
        <v>60</v>
      </c>
      <c r="S1620">
        <v>58</v>
      </c>
      <c r="T1620">
        <f t="shared" si="77"/>
        <v>580</v>
      </c>
      <c r="U1620">
        <v>1</v>
      </c>
    </row>
    <row r="1621" spans="1:21" x14ac:dyDescent="0.3">
      <c r="A1621" t="str">
        <f t="shared" si="75"/>
        <v>RotherhamReablement &amp; Rehabilitation at home  (pathway 1)1</v>
      </c>
      <c r="B1621">
        <f>IF(C1621="","",COUNTIF($C$2:C1621,C1621))</f>
        <v>1</v>
      </c>
      <c r="C1621" t="str">
        <f t="shared" si="76"/>
        <v>RotherhamRehabilitation at home (pathway 1)</v>
      </c>
      <c r="D1621" t="str">
        <f>VLOOKUP(G1621,PathwayLookup!A:B,2,0)</f>
        <v>Reablement &amp; Rehabilitation at home  (pathway 1)</v>
      </c>
      <c r="E1621" t="s">
        <v>269</v>
      </c>
      <c r="F1621" t="s">
        <v>618</v>
      </c>
      <c r="G1621" t="s">
        <v>719</v>
      </c>
      <c r="H1621">
        <v>72</v>
      </c>
      <c r="I1621">
        <v>72</v>
      </c>
      <c r="J1621">
        <v>70</v>
      </c>
      <c r="K1621">
        <v>72</v>
      </c>
      <c r="L1621">
        <v>72</v>
      </c>
      <c r="M1621">
        <v>70</v>
      </c>
      <c r="N1621">
        <v>72</v>
      </c>
      <c r="O1621">
        <v>70</v>
      </c>
      <c r="P1621">
        <v>72</v>
      </c>
      <c r="Q1621">
        <v>71</v>
      </c>
      <c r="R1621">
        <v>64</v>
      </c>
      <c r="S1621">
        <v>72</v>
      </c>
      <c r="T1621">
        <f t="shared" si="77"/>
        <v>849</v>
      </c>
      <c r="U1621">
        <v>1</v>
      </c>
    </row>
    <row r="1622" spans="1:21" x14ac:dyDescent="0.3">
      <c r="A1622" t="str">
        <f t="shared" si="75"/>
        <v>RotherhamShort term domiciliary care (pathway 1)1</v>
      </c>
      <c r="B1622">
        <f>IF(C1622="","",COUNTIF($C$2:C1622,C1622))</f>
        <v>1</v>
      </c>
      <c r="C1622" t="str">
        <f t="shared" si="76"/>
        <v>RotherhamShort term domiciliary care (pathway 1)</v>
      </c>
      <c r="D1622" t="str">
        <f>VLOOKUP(G1622,PathwayLookup!A:B,2,0)</f>
        <v>Short term domiciliary care (pathway 1)</v>
      </c>
      <c r="E1622" t="s">
        <v>269</v>
      </c>
      <c r="F1622" t="s">
        <v>618</v>
      </c>
      <c r="G1622" t="s">
        <v>684</v>
      </c>
      <c r="H1622">
        <v>234</v>
      </c>
      <c r="I1622">
        <v>234</v>
      </c>
      <c r="J1622">
        <v>226</v>
      </c>
      <c r="K1622">
        <v>234</v>
      </c>
      <c r="L1622">
        <v>234</v>
      </c>
      <c r="M1622">
        <v>226</v>
      </c>
      <c r="N1622">
        <v>226</v>
      </c>
      <c r="O1622">
        <v>226</v>
      </c>
      <c r="P1622">
        <v>234</v>
      </c>
      <c r="Q1622">
        <v>234</v>
      </c>
      <c r="R1622">
        <v>193</v>
      </c>
      <c r="S1622">
        <v>234</v>
      </c>
      <c r="T1622">
        <f t="shared" si="77"/>
        <v>2735</v>
      </c>
      <c r="U1622">
        <v>1</v>
      </c>
    </row>
    <row r="1623" spans="1:21" x14ac:dyDescent="0.3">
      <c r="A1623" t="str">
        <f t="shared" si="75"/>
        <v>RotherhamReablement &amp; Rehabilitation in a bedded setting (pathway 2)1</v>
      </c>
      <c r="B1623">
        <f>IF(C1623="","",COUNTIF($C$2:C1623,C1623))</f>
        <v>1</v>
      </c>
      <c r="C1623" t="str">
        <f t="shared" si="76"/>
        <v>RotherhamReablement in a bedded setting (pathway 2)</v>
      </c>
      <c r="D1623" t="str">
        <f>VLOOKUP(G1623,PathwayLookup!A:B,2,0)</f>
        <v>Reablement &amp; Rehabilitation in a bedded setting (pathway 2)</v>
      </c>
      <c r="E1623" t="s">
        <v>269</v>
      </c>
      <c r="F1623" t="s">
        <v>618</v>
      </c>
      <c r="G1623" t="s">
        <v>722</v>
      </c>
      <c r="H1623">
        <v>40</v>
      </c>
      <c r="I1623">
        <v>31</v>
      </c>
      <c r="J1623">
        <v>39</v>
      </c>
      <c r="K1623">
        <v>28</v>
      </c>
      <c r="L1623">
        <v>42</v>
      </c>
      <c r="M1623">
        <v>37</v>
      </c>
      <c r="N1623">
        <v>42</v>
      </c>
      <c r="O1623">
        <v>47</v>
      </c>
      <c r="P1623">
        <v>24</v>
      </c>
      <c r="Q1623">
        <v>36</v>
      </c>
      <c r="R1623">
        <v>37</v>
      </c>
      <c r="S1623">
        <v>30</v>
      </c>
      <c r="T1623">
        <f t="shared" si="77"/>
        <v>433</v>
      </c>
      <c r="U1623">
        <v>1</v>
      </c>
    </row>
    <row r="1624" spans="1:21" x14ac:dyDescent="0.3">
      <c r="A1624" t="str">
        <f t="shared" si="75"/>
        <v>RotherhamReablement &amp; Rehabilitation in a bedded setting (pathway 2)1</v>
      </c>
      <c r="B1624">
        <f>IF(C1624="","",COUNTIF($C$2:C1624,C1624))</f>
        <v>1</v>
      </c>
      <c r="C1624" t="str">
        <f t="shared" si="76"/>
        <v>RotherhamRehabilitation in a bedded setting (pathway 2)</v>
      </c>
      <c r="D1624" t="str">
        <f>VLOOKUP(G1624,PathwayLookup!A:B,2,0)</f>
        <v>Reablement &amp; Rehabilitation in a bedded setting (pathway 2)</v>
      </c>
      <c r="E1624" t="s">
        <v>269</v>
      </c>
      <c r="F1624" t="s">
        <v>618</v>
      </c>
      <c r="G1624" t="s">
        <v>724</v>
      </c>
      <c r="H1624">
        <v>60</v>
      </c>
      <c r="I1624">
        <v>81</v>
      </c>
      <c r="J1624">
        <v>91</v>
      </c>
      <c r="K1624">
        <v>70</v>
      </c>
      <c r="L1624">
        <v>66</v>
      </c>
      <c r="M1624">
        <v>44</v>
      </c>
      <c r="N1624">
        <v>31</v>
      </c>
      <c r="O1624">
        <v>38</v>
      </c>
      <c r="P1624">
        <v>31</v>
      </c>
      <c r="Q1624">
        <v>38</v>
      </c>
      <c r="R1624">
        <v>37</v>
      </c>
      <c r="S1624">
        <v>29</v>
      </c>
      <c r="T1624">
        <f t="shared" si="77"/>
        <v>616</v>
      </c>
      <c r="U1624">
        <v>1</v>
      </c>
    </row>
    <row r="1625" spans="1:21" x14ac:dyDescent="0.3">
      <c r="A1625" t="str">
        <f t="shared" si="75"/>
        <v>RotherhamShort-term residential/nursing care for someone likely to require a longer-term care home placement (pathway 3)1</v>
      </c>
      <c r="B1625">
        <f>IF(C1625="","",COUNTIF($C$2:C1625,C1625))</f>
        <v>1</v>
      </c>
      <c r="C1625" t="str">
        <f t="shared" si="76"/>
        <v>RotherhamShort-term residential/nursing care for someone likely to require a longer-term care home placement (pathway 3)</v>
      </c>
      <c r="D1625" t="str">
        <f>VLOOKUP(G1625,PathwayLookup!A:B,2,0)</f>
        <v>Short-term residential/nursing care for someone likely to require a longer-term care home placement (pathway 3)</v>
      </c>
      <c r="E1625" t="s">
        <v>269</v>
      </c>
      <c r="F1625" t="s">
        <v>618</v>
      </c>
      <c r="G1625" t="s">
        <v>686</v>
      </c>
      <c r="H1625">
        <v>0</v>
      </c>
      <c r="I1625">
        <v>1</v>
      </c>
      <c r="J1625">
        <v>10</v>
      </c>
      <c r="K1625">
        <v>3</v>
      </c>
      <c r="L1625">
        <v>3</v>
      </c>
      <c r="M1625">
        <v>6</v>
      </c>
      <c r="N1625">
        <v>6</v>
      </c>
      <c r="O1625">
        <v>2</v>
      </c>
      <c r="P1625">
        <v>2</v>
      </c>
      <c r="Q1625">
        <v>4</v>
      </c>
      <c r="R1625">
        <v>3</v>
      </c>
      <c r="S1625">
        <v>5</v>
      </c>
      <c r="T1625">
        <f t="shared" si="77"/>
        <v>45</v>
      </c>
      <c r="U1625">
        <v>1</v>
      </c>
    </row>
    <row r="1626" spans="1:21" x14ac:dyDescent="0.3">
      <c r="A1626" t="str">
        <f t="shared" si="75"/>
        <v/>
      </c>
      <c r="B1626" t="str">
        <f>IF(C1626="","",COUNTIF($C$2:C1626,C1626))</f>
        <v/>
      </c>
      <c r="C1626" t="str">
        <f t="shared" si="76"/>
        <v/>
      </c>
      <c r="D1626" t="str">
        <f>VLOOKUP(G1626,PathwayLookup!A:B,2,0)</f>
        <v>Social support (including VCS) (pathway 0)</v>
      </c>
      <c r="E1626" t="s">
        <v>271</v>
      </c>
      <c r="F1626" t="s">
        <v>560</v>
      </c>
      <c r="G1626" t="s">
        <v>682</v>
      </c>
      <c r="H1626">
        <v>0</v>
      </c>
      <c r="I1626">
        <v>0</v>
      </c>
      <c r="J1626">
        <v>0</v>
      </c>
      <c r="K1626">
        <v>0</v>
      </c>
      <c r="L1626">
        <v>0</v>
      </c>
      <c r="M1626">
        <v>0</v>
      </c>
      <c r="N1626">
        <v>0</v>
      </c>
      <c r="O1626">
        <v>0</v>
      </c>
      <c r="P1626">
        <v>0</v>
      </c>
      <c r="Q1626">
        <v>0</v>
      </c>
      <c r="R1626">
        <v>0</v>
      </c>
      <c r="S1626">
        <v>0</v>
      </c>
      <c r="T1626">
        <f t="shared" si="77"/>
        <v>0</v>
      </c>
      <c r="U1626">
        <v>1</v>
      </c>
    </row>
    <row r="1627" spans="1:21" x14ac:dyDescent="0.3">
      <c r="A1627" t="str">
        <f t="shared" si="75"/>
        <v/>
      </c>
      <c r="B1627" t="str">
        <f>IF(C1627="","",COUNTIF($C$2:C1627,C1627))</f>
        <v/>
      </c>
      <c r="C1627" t="str">
        <f t="shared" si="76"/>
        <v/>
      </c>
      <c r="D1627" t="str">
        <f>VLOOKUP(G1627,PathwayLookup!A:B,2,0)</f>
        <v>Social support (including VCS) (pathway 0)</v>
      </c>
      <c r="E1627" t="s">
        <v>271</v>
      </c>
      <c r="F1627" t="s">
        <v>633</v>
      </c>
      <c r="G1627" t="s">
        <v>682</v>
      </c>
      <c r="H1627">
        <v>0</v>
      </c>
      <c r="I1627">
        <v>0</v>
      </c>
      <c r="J1627">
        <v>0</v>
      </c>
      <c r="K1627">
        <v>0</v>
      </c>
      <c r="L1627">
        <v>0</v>
      </c>
      <c r="M1627">
        <v>0</v>
      </c>
      <c r="N1627">
        <v>0</v>
      </c>
      <c r="O1627">
        <v>0</v>
      </c>
      <c r="P1627">
        <v>0</v>
      </c>
      <c r="Q1627">
        <v>0</v>
      </c>
      <c r="R1627">
        <v>0</v>
      </c>
      <c r="S1627">
        <v>0</v>
      </c>
      <c r="T1627">
        <f t="shared" si="77"/>
        <v>0</v>
      </c>
      <c r="U1627">
        <v>1</v>
      </c>
    </row>
    <row r="1628" spans="1:21" x14ac:dyDescent="0.3">
      <c r="A1628" t="str">
        <f t="shared" si="75"/>
        <v>RutlandReablement &amp; Rehabilitation at home  (pathway 1)1</v>
      </c>
      <c r="B1628">
        <f>IF(C1628="","",COUNTIF($C$2:C1628,C1628))</f>
        <v>1</v>
      </c>
      <c r="C1628" t="str">
        <f t="shared" si="76"/>
        <v>RutlandReablement at home  (pathway 1)</v>
      </c>
      <c r="D1628" t="str">
        <f>VLOOKUP(G1628,PathwayLookup!A:B,2,0)</f>
        <v>Reablement &amp; Rehabilitation at home  (pathway 1)</v>
      </c>
      <c r="E1628" t="s">
        <v>271</v>
      </c>
      <c r="F1628" t="s">
        <v>560</v>
      </c>
      <c r="G1628" t="s">
        <v>718</v>
      </c>
      <c r="H1628">
        <v>3</v>
      </c>
      <c r="I1628">
        <v>5</v>
      </c>
      <c r="J1628">
        <v>9</v>
      </c>
      <c r="K1628">
        <v>7</v>
      </c>
      <c r="L1628">
        <v>2</v>
      </c>
      <c r="M1628">
        <v>7</v>
      </c>
      <c r="N1628">
        <v>6</v>
      </c>
      <c r="O1628">
        <v>6</v>
      </c>
      <c r="P1628">
        <v>4</v>
      </c>
      <c r="Q1628">
        <v>3</v>
      </c>
      <c r="R1628">
        <v>6</v>
      </c>
      <c r="S1628">
        <v>4</v>
      </c>
      <c r="T1628">
        <f t="shared" si="77"/>
        <v>62</v>
      </c>
      <c r="U1628">
        <v>1</v>
      </c>
    </row>
    <row r="1629" spans="1:21" x14ac:dyDescent="0.3">
      <c r="A1629" t="str">
        <f t="shared" si="75"/>
        <v>RutlandReablement &amp; Rehabilitation at home  (pathway 1)2</v>
      </c>
      <c r="B1629">
        <f>IF(C1629="","",COUNTIF($C$2:C1629,C1629))</f>
        <v>2</v>
      </c>
      <c r="C1629" t="str">
        <f t="shared" si="76"/>
        <v>RutlandReablement at home  (pathway 1)</v>
      </c>
      <c r="D1629" t="str">
        <f>VLOOKUP(G1629,PathwayLookup!A:B,2,0)</f>
        <v>Reablement &amp; Rehabilitation at home  (pathway 1)</v>
      </c>
      <c r="E1629" t="s">
        <v>271</v>
      </c>
      <c r="F1629" t="s">
        <v>633</v>
      </c>
      <c r="G1629" t="s">
        <v>718</v>
      </c>
      <c r="H1629">
        <v>4</v>
      </c>
      <c r="I1629">
        <v>4</v>
      </c>
      <c r="J1629">
        <v>5</v>
      </c>
      <c r="K1629">
        <v>2</v>
      </c>
      <c r="L1629">
        <v>7</v>
      </c>
      <c r="M1629">
        <v>4</v>
      </c>
      <c r="N1629">
        <v>3</v>
      </c>
      <c r="O1629">
        <v>4</v>
      </c>
      <c r="P1629">
        <v>1</v>
      </c>
      <c r="Q1629">
        <v>2</v>
      </c>
      <c r="R1629">
        <v>2</v>
      </c>
      <c r="S1629">
        <v>1</v>
      </c>
      <c r="T1629">
        <f t="shared" si="77"/>
        <v>39</v>
      </c>
      <c r="U1629">
        <v>1</v>
      </c>
    </row>
    <row r="1630" spans="1:21" x14ac:dyDescent="0.3">
      <c r="A1630" t="str">
        <f t="shared" si="75"/>
        <v>RutlandReablement &amp; Rehabilitation at home  (pathway 1)1</v>
      </c>
      <c r="B1630">
        <f>IF(C1630="","",COUNTIF($C$2:C1630,C1630))</f>
        <v>1</v>
      </c>
      <c r="C1630" t="str">
        <f t="shared" si="76"/>
        <v>RutlandRehabilitation at home (pathway 1)</v>
      </c>
      <c r="D1630" t="str">
        <f>VLOOKUP(G1630,PathwayLookup!A:B,2,0)</f>
        <v>Reablement &amp; Rehabilitation at home  (pathway 1)</v>
      </c>
      <c r="E1630" t="s">
        <v>271</v>
      </c>
      <c r="F1630" t="s">
        <v>560</v>
      </c>
      <c r="G1630" t="s">
        <v>719</v>
      </c>
      <c r="H1630">
        <v>16</v>
      </c>
      <c r="I1630">
        <v>17</v>
      </c>
      <c r="J1630">
        <v>16</v>
      </c>
      <c r="K1630">
        <v>17</v>
      </c>
      <c r="L1630">
        <v>17</v>
      </c>
      <c r="M1630">
        <v>16</v>
      </c>
      <c r="N1630">
        <v>16</v>
      </c>
      <c r="O1630">
        <v>18</v>
      </c>
      <c r="P1630">
        <v>18</v>
      </c>
      <c r="Q1630">
        <v>19</v>
      </c>
      <c r="R1630">
        <v>18</v>
      </c>
      <c r="S1630">
        <v>17</v>
      </c>
      <c r="T1630">
        <f t="shared" si="77"/>
        <v>205</v>
      </c>
      <c r="U1630">
        <v>1</v>
      </c>
    </row>
    <row r="1631" spans="1:21" x14ac:dyDescent="0.3">
      <c r="A1631" t="str">
        <f t="shared" si="75"/>
        <v>RutlandShort term domiciliary care (pathway 1)1</v>
      </c>
      <c r="B1631">
        <f>IF(C1631="","",COUNTIF($C$2:C1631,C1631))</f>
        <v>1</v>
      </c>
      <c r="C1631" t="str">
        <f t="shared" si="76"/>
        <v>RutlandShort term domiciliary care (pathway 1)</v>
      </c>
      <c r="D1631" t="str">
        <f>VLOOKUP(G1631,PathwayLookup!A:B,2,0)</f>
        <v>Short term domiciliary care (pathway 1)</v>
      </c>
      <c r="E1631" t="s">
        <v>271</v>
      </c>
      <c r="F1631" t="s">
        <v>560</v>
      </c>
      <c r="G1631" t="s">
        <v>684</v>
      </c>
      <c r="H1631">
        <v>1</v>
      </c>
      <c r="I1631">
        <v>1</v>
      </c>
      <c r="J1631">
        <v>2</v>
      </c>
      <c r="K1631">
        <v>2</v>
      </c>
      <c r="L1631">
        <v>0</v>
      </c>
      <c r="M1631">
        <v>0</v>
      </c>
      <c r="N1631">
        <v>0</v>
      </c>
      <c r="O1631">
        <v>0</v>
      </c>
      <c r="P1631">
        <v>0</v>
      </c>
      <c r="Q1631">
        <v>0</v>
      </c>
      <c r="R1631">
        <v>0</v>
      </c>
      <c r="S1631">
        <v>1</v>
      </c>
      <c r="T1631">
        <f t="shared" si="77"/>
        <v>7</v>
      </c>
      <c r="U1631">
        <v>1</v>
      </c>
    </row>
    <row r="1632" spans="1:21" x14ac:dyDescent="0.3">
      <c r="A1632" t="str">
        <f t="shared" si="75"/>
        <v>RutlandShort term domiciliary care (pathway 1)2</v>
      </c>
      <c r="B1632">
        <f>IF(C1632="","",COUNTIF($C$2:C1632,C1632))</f>
        <v>2</v>
      </c>
      <c r="C1632" t="str">
        <f t="shared" si="76"/>
        <v>RutlandShort term domiciliary care (pathway 1)</v>
      </c>
      <c r="D1632" t="str">
        <f>VLOOKUP(G1632,PathwayLookup!A:B,2,0)</f>
        <v>Short term domiciliary care (pathway 1)</v>
      </c>
      <c r="E1632" t="s">
        <v>271</v>
      </c>
      <c r="F1632" t="s">
        <v>633</v>
      </c>
      <c r="G1632" t="s">
        <v>684</v>
      </c>
      <c r="H1632">
        <v>2</v>
      </c>
      <c r="I1632">
        <v>0</v>
      </c>
      <c r="J1632">
        <v>0</v>
      </c>
      <c r="K1632">
        <v>0</v>
      </c>
      <c r="L1632">
        <v>0</v>
      </c>
      <c r="M1632">
        <v>0</v>
      </c>
      <c r="N1632">
        <v>0</v>
      </c>
      <c r="O1632">
        <v>1</v>
      </c>
      <c r="P1632">
        <v>2</v>
      </c>
      <c r="Q1632">
        <v>0</v>
      </c>
      <c r="R1632">
        <v>0</v>
      </c>
      <c r="S1632">
        <v>0</v>
      </c>
      <c r="T1632">
        <f t="shared" si="77"/>
        <v>5</v>
      </c>
      <c r="U1632">
        <v>1</v>
      </c>
    </row>
    <row r="1633" spans="1:21" x14ac:dyDescent="0.3">
      <c r="A1633" t="str">
        <f t="shared" si="75"/>
        <v>RutlandReablement &amp; Rehabilitation in a bedded setting (pathway 2)1</v>
      </c>
      <c r="B1633">
        <f>IF(C1633="","",COUNTIF($C$2:C1633,C1633))</f>
        <v>1</v>
      </c>
      <c r="C1633" t="str">
        <f t="shared" si="76"/>
        <v>RutlandReablement in a bedded setting (pathway 2)</v>
      </c>
      <c r="D1633" t="str">
        <f>VLOOKUP(G1633,PathwayLookup!A:B,2,0)</f>
        <v>Reablement &amp; Rehabilitation in a bedded setting (pathway 2)</v>
      </c>
      <c r="E1633" t="s">
        <v>271</v>
      </c>
      <c r="F1633" t="s">
        <v>560</v>
      </c>
      <c r="G1633" t="s">
        <v>722</v>
      </c>
      <c r="H1633">
        <v>0</v>
      </c>
      <c r="I1633">
        <v>0</v>
      </c>
      <c r="J1633">
        <v>0</v>
      </c>
      <c r="K1633">
        <v>0</v>
      </c>
      <c r="L1633">
        <v>0</v>
      </c>
      <c r="M1633">
        <v>0</v>
      </c>
      <c r="N1633">
        <v>0</v>
      </c>
      <c r="O1633">
        <v>0</v>
      </c>
      <c r="P1633">
        <v>0</v>
      </c>
      <c r="Q1633">
        <v>1</v>
      </c>
      <c r="R1633">
        <v>3</v>
      </c>
      <c r="S1633">
        <v>1</v>
      </c>
      <c r="T1633">
        <f t="shared" si="77"/>
        <v>5</v>
      </c>
      <c r="U1633">
        <v>1</v>
      </c>
    </row>
    <row r="1634" spans="1:21" x14ac:dyDescent="0.3">
      <c r="A1634" t="str">
        <f t="shared" si="75"/>
        <v>RutlandReablement &amp; Rehabilitation in a bedded setting (pathway 2)2</v>
      </c>
      <c r="B1634">
        <f>IF(C1634="","",COUNTIF($C$2:C1634,C1634))</f>
        <v>2</v>
      </c>
      <c r="C1634" t="str">
        <f t="shared" si="76"/>
        <v>RutlandReablement in a bedded setting (pathway 2)</v>
      </c>
      <c r="D1634" t="str">
        <f>VLOOKUP(G1634,PathwayLookup!A:B,2,0)</f>
        <v>Reablement &amp; Rehabilitation in a bedded setting (pathway 2)</v>
      </c>
      <c r="E1634" t="s">
        <v>271</v>
      </c>
      <c r="F1634" t="s">
        <v>633</v>
      </c>
      <c r="G1634" t="s">
        <v>722</v>
      </c>
      <c r="H1634">
        <v>0</v>
      </c>
      <c r="I1634">
        <v>0</v>
      </c>
      <c r="J1634">
        <v>0</v>
      </c>
      <c r="K1634">
        <v>0</v>
      </c>
      <c r="L1634">
        <v>0</v>
      </c>
      <c r="M1634">
        <v>0</v>
      </c>
      <c r="N1634">
        <v>0</v>
      </c>
      <c r="O1634">
        <v>0</v>
      </c>
      <c r="P1634">
        <v>0</v>
      </c>
      <c r="Q1634">
        <v>1</v>
      </c>
      <c r="R1634">
        <v>0</v>
      </c>
      <c r="S1634">
        <v>1</v>
      </c>
      <c r="T1634">
        <f t="shared" si="77"/>
        <v>2</v>
      </c>
      <c r="U1634">
        <v>1</v>
      </c>
    </row>
    <row r="1635" spans="1:21" x14ac:dyDescent="0.3">
      <c r="A1635" t="str">
        <f t="shared" si="75"/>
        <v>RutlandReablement &amp; Rehabilitation in a bedded setting (pathway 2)1</v>
      </c>
      <c r="B1635">
        <f>IF(C1635="","",COUNTIF($C$2:C1635,C1635))</f>
        <v>1</v>
      </c>
      <c r="C1635" t="str">
        <f t="shared" si="76"/>
        <v>RutlandRehabilitation in a bedded setting (pathway 2)</v>
      </c>
      <c r="D1635" t="str">
        <f>VLOOKUP(G1635,PathwayLookup!A:B,2,0)</f>
        <v>Reablement &amp; Rehabilitation in a bedded setting (pathway 2)</v>
      </c>
      <c r="E1635" t="s">
        <v>271</v>
      </c>
      <c r="F1635" t="s">
        <v>560</v>
      </c>
      <c r="G1635" t="s">
        <v>724</v>
      </c>
      <c r="H1635">
        <v>10</v>
      </c>
      <c r="I1635">
        <v>10</v>
      </c>
      <c r="J1635">
        <v>10</v>
      </c>
      <c r="K1635">
        <v>11</v>
      </c>
      <c r="L1635">
        <v>11</v>
      </c>
      <c r="M1635">
        <v>11</v>
      </c>
      <c r="N1635">
        <v>13</v>
      </c>
      <c r="O1635">
        <v>12</v>
      </c>
      <c r="P1635">
        <v>13</v>
      </c>
      <c r="Q1635">
        <v>13</v>
      </c>
      <c r="R1635">
        <v>11</v>
      </c>
      <c r="S1635">
        <v>13</v>
      </c>
      <c r="T1635">
        <f t="shared" si="77"/>
        <v>138</v>
      </c>
      <c r="U1635">
        <v>1</v>
      </c>
    </row>
    <row r="1636" spans="1:21" x14ac:dyDescent="0.3">
      <c r="A1636" t="str">
        <f t="shared" si="75"/>
        <v>RutlandShort-term residential/nursing care for someone likely to require a longer-term care home placement (pathway 3)1</v>
      </c>
      <c r="B1636">
        <f>IF(C1636="","",COUNTIF($C$2:C1636,C1636))</f>
        <v>1</v>
      </c>
      <c r="C1636" t="str">
        <f t="shared" si="76"/>
        <v>RutlandShort-term residential/nursing care for someone likely to require a longer-term care home placement (pathway 3)</v>
      </c>
      <c r="D1636" t="str">
        <f>VLOOKUP(G1636,PathwayLookup!A:B,2,0)</f>
        <v>Short-term residential/nursing care for someone likely to require a longer-term care home placement (pathway 3)</v>
      </c>
      <c r="E1636" t="s">
        <v>271</v>
      </c>
      <c r="F1636" t="s">
        <v>560</v>
      </c>
      <c r="G1636" t="s">
        <v>686</v>
      </c>
      <c r="H1636">
        <v>1</v>
      </c>
      <c r="I1636">
        <v>1</v>
      </c>
      <c r="J1636">
        <v>0</v>
      </c>
      <c r="K1636">
        <v>3</v>
      </c>
      <c r="L1636">
        <v>1</v>
      </c>
      <c r="M1636">
        <v>2</v>
      </c>
      <c r="N1636">
        <v>5</v>
      </c>
      <c r="O1636">
        <v>1</v>
      </c>
      <c r="P1636">
        <v>0</v>
      </c>
      <c r="Q1636">
        <v>1</v>
      </c>
      <c r="R1636">
        <v>1</v>
      </c>
      <c r="S1636">
        <v>3</v>
      </c>
      <c r="T1636">
        <f t="shared" si="77"/>
        <v>19</v>
      </c>
      <c r="U1636">
        <v>1</v>
      </c>
    </row>
    <row r="1637" spans="1:21" x14ac:dyDescent="0.3">
      <c r="A1637" t="str">
        <f t="shared" si="75"/>
        <v>RutlandShort-term residential/nursing care for someone likely to require a longer-term care home placement (pathway 3)2</v>
      </c>
      <c r="B1637">
        <f>IF(C1637="","",COUNTIF($C$2:C1637,C1637))</f>
        <v>2</v>
      </c>
      <c r="C1637" t="str">
        <f t="shared" si="76"/>
        <v>RutlandShort-term residential/nursing care for someone likely to require a longer-term care home placement (pathway 3)</v>
      </c>
      <c r="D1637" t="str">
        <f>VLOOKUP(G1637,PathwayLookup!A:B,2,0)</f>
        <v>Short-term residential/nursing care for someone likely to require a longer-term care home placement (pathway 3)</v>
      </c>
      <c r="E1637" t="s">
        <v>271</v>
      </c>
      <c r="F1637" t="s">
        <v>633</v>
      </c>
      <c r="G1637" t="s">
        <v>686</v>
      </c>
      <c r="H1637">
        <v>0</v>
      </c>
      <c r="I1637">
        <v>2</v>
      </c>
      <c r="J1637">
        <v>1</v>
      </c>
      <c r="K1637">
        <v>2</v>
      </c>
      <c r="L1637">
        <v>3</v>
      </c>
      <c r="M1637">
        <v>0</v>
      </c>
      <c r="N1637">
        <v>1</v>
      </c>
      <c r="O1637">
        <v>1</v>
      </c>
      <c r="P1637">
        <v>1</v>
      </c>
      <c r="Q1637">
        <v>1</v>
      </c>
      <c r="R1637">
        <v>1</v>
      </c>
      <c r="S1637">
        <v>1</v>
      </c>
      <c r="T1637">
        <f t="shared" si="77"/>
        <v>14</v>
      </c>
      <c r="U1637">
        <v>1</v>
      </c>
    </row>
    <row r="1638" spans="1:21" x14ac:dyDescent="0.3">
      <c r="A1638" t="str">
        <f t="shared" si="75"/>
        <v>SalfordSocial support (including VCS) (pathway 0)1</v>
      </c>
      <c r="B1638">
        <f>IF(C1638="","",COUNTIF($C$2:C1638,C1638))</f>
        <v>1</v>
      </c>
      <c r="C1638" t="str">
        <f t="shared" si="76"/>
        <v>SalfordSocial support (including VCS) (pathway 0)</v>
      </c>
      <c r="D1638" t="str">
        <f>VLOOKUP(G1638,PathwayLookup!A:B,2,0)</f>
        <v>Social support (including VCS) (pathway 0)</v>
      </c>
      <c r="E1638" t="s">
        <v>273</v>
      </c>
      <c r="F1638" t="s">
        <v>563</v>
      </c>
      <c r="G1638" t="s">
        <v>682</v>
      </c>
      <c r="H1638">
        <v>32</v>
      </c>
      <c r="I1638">
        <v>32</v>
      </c>
      <c r="J1638">
        <v>32</v>
      </c>
      <c r="K1638">
        <v>30</v>
      </c>
      <c r="L1638">
        <v>31</v>
      </c>
      <c r="M1638">
        <v>27</v>
      </c>
      <c r="N1638">
        <v>30</v>
      </c>
      <c r="O1638">
        <v>30</v>
      </c>
      <c r="P1638">
        <v>30</v>
      </c>
      <c r="Q1638">
        <v>28</v>
      </c>
      <c r="R1638">
        <v>29</v>
      </c>
      <c r="S1638">
        <v>28</v>
      </c>
      <c r="T1638">
        <f t="shared" si="77"/>
        <v>359</v>
      </c>
      <c r="U1638">
        <v>1</v>
      </c>
    </row>
    <row r="1639" spans="1:21" x14ac:dyDescent="0.3">
      <c r="A1639" t="str">
        <f t="shared" si="75"/>
        <v>SalfordReablement &amp; Rehabilitation at home  (pathway 1)1</v>
      </c>
      <c r="B1639">
        <f>IF(C1639="","",COUNTIF($C$2:C1639,C1639))</f>
        <v>1</v>
      </c>
      <c r="C1639" t="str">
        <f t="shared" si="76"/>
        <v>SalfordReablement at home  (pathway 1)</v>
      </c>
      <c r="D1639" t="str">
        <f>VLOOKUP(G1639,PathwayLookup!A:B,2,0)</f>
        <v>Reablement &amp; Rehabilitation at home  (pathway 1)</v>
      </c>
      <c r="E1639" t="s">
        <v>273</v>
      </c>
      <c r="F1639" t="s">
        <v>563</v>
      </c>
      <c r="G1639" t="s">
        <v>718</v>
      </c>
      <c r="H1639">
        <v>85</v>
      </c>
      <c r="I1639">
        <v>85</v>
      </c>
      <c r="J1639">
        <v>86</v>
      </c>
      <c r="K1639">
        <v>79</v>
      </c>
      <c r="L1639">
        <v>82</v>
      </c>
      <c r="M1639">
        <v>73</v>
      </c>
      <c r="N1639">
        <v>81</v>
      </c>
      <c r="O1639">
        <v>81</v>
      </c>
      <c r="P1639">
        <v>81</v>
      </c>
      <c r="Q1639">
        <v>76</v>
      </c>
      <c r="R1639">
        <v>77</v>
      </c>
      <c r="S1639">
        <v>74</v>
      </c>
      <c r="T1639">
        <f t="shared" si="77"/>
        <v>960</v>
      </c>
      <c r="U1639">
        <v>1</v>
      </c>
    </row>
    <row r="1640" spans="1:21" x14ac:dyDescent="0.3">
      <c r="A1640" t="str">
        <f t="shared" si="75"/>
        <v/>
      </c>
      <c r="B1640" t="str">
        <f>IF(C1640="","",COUNTIF($C$2:C1640,C1640))</f>
        <v/>
      </c>
      <c r="C1640" t="str">
        <f t="shared" si="76"/>
        <v/>
      </c>
      <c r="D1640" t="str">
        <f>VLOOKUP(G1640,PathwayLookup!A:B,2,0)</f>
        <v>Reablement &amp; Rehabilitation at home  (pathway 1)</v>
      </c>
      <c r="E1640" t="s">
        <v>273</v>
      </c>
      <c r="F1640" t="s">
        <v>563</v>
      </c>
      <c r="G1640" t="s">
        <v>719</v>
      </c>
      <c r="H1640">
        <v>0</v>
      </c>
      <c r="I1640">
        <v>0</v>
      </c>
      <c r="J1640">
        <v>0</v>
      </c>
      <c r="K1640">
        <v>0</v>
      </c>
      <c r="L1640">
        <v>0</v>
      </c>
      <c r="M1640">
        <v>0</v>
      </c>
      <c r="N1640">
        <v>0</v>
      </c>
      <c r="O1640">
        <v>0</v>
      </c>
      <c r="P1640">
        <v>0</v>
      </c>
      <c r="Q1640">
        <v>0</v>
      </c>
      <c r="R1640">
        <v>0</v>
      </c>
      <c r="S1640">
        <v>0</v>
      </c>
      <c r="T1640">
        <f t="shared" si="77"/>
        <v>0</v>
      </c>
      <c r="U1640">
        <v>1</v>
      </c>
    </row>
    <row r="1641" spans="1:21" x14ac:dyDescent="0.3">
      <c r="A1641" t="str">
        <f t="shared" si="75"/>
        <v>SalfordShort term domiciliary care (pathway 1)1</v>
      </c>
      <c r="B1641">
        <f>IF(C1641="","",COUNTIF($C$2:C1641,C1641))</f>
        <v>1</v>
      </c>
      <c r="C1641" t="str">
        <f t="shared" si="76"/>
        <v>SalfordShort term domiciliary care (pathway 1)</v>
      </c>
      <c r="D1641" t="str">
        <f>VLOOKUP(G1641,PathwayLookup!A:B,2,0)</f>
        <v>Short term domiciliary care (pathway 1)</v>
      </c>
      <c r="E1641" t="s">
        <v>273</v>
      </c>
      <c r="F1641" t="s">
        <v>563</v>
      </c>
      <c r="G1641" t="s">
        <v>684</v>
      </c>
      <c r="H1641">
        <v>21</v>
      </c>
      <c r="I1641">
        <v>21</v>
      </c>
      <c r="J1641">
        <v>22</v>
      </c>
      <c r="K1641">
        <v>20</v>
      </c>
      <c r="L1641">
        <v>21</v>
      </c>
      <c r="M1641">
        <v>18</v>
      </c>
      <c r="N1641">
        <v>20</v>
      </c>
      <c r="O1641">
        <v>20</v>
      </c>
      <c r="P1641">
        <v>20</v>
      </c>
      <c r="Q1641">
        <v>19</v>
      </c>
      <c r="R1641">
        <v>19</v>
      </c>
      <c r="S1641">
        <v>19</v>
      </c>
      <c r="T1641">
        <f t="shared" si="77"/>
        <v>240</v>
      </c>
      <c r="U1641">
        <v>1</v>
      </c>
    </row>
    <row r="1642" spans="1:21" x14ac:dyDescent="0.3">
      <c r="A1642" t="str">
        <f t="shared" si="75"/>
        <v/>
      </c>
      <c r="B1642" t="str">
        <f>IF(C1642="","",COUNTIF($C$2:C1642,C1642))</f>
        <v/>
      </c>
      <c r="C1642" t="str">
        <f t="shared" si="76"/>
        <v/>
      </c>
      <c r="D1642" t="str">
        <f>VLOOKUP(G1642,PathwayLookup!A:B,2,0)</f>
        <v>Reablement &amp; Rehabilitation in a bedded setting (pathway 2)</v>
      </c>
      <c r="E1642" t="s">
        <v>273</v>
      </c>
      <c r="F1642" t="s">
        <v>563</v>
      </c>
      <c r="G1642" t="s">
        <v>722</v>
      </c>
      <c r="H1642">
        <v>0</v>
      </c>
      <c r="I1642">
        <v>0</v>
      </c>
      <c r="J1642">
        <v>0</v>
      </c>
      <c r="K1642">
        <v>0</v>
      </c>
      <c r="L1642">
        <v>0</v>
      </c>
      <c r="M1642">
        <v>0</v>
      </c>
      <c r="N1642">
        <v>0</v>
      </c>
      <c r="O1642">
        <v>0</v>
      </c>
      <c r="P1642">
        <v>0</v>
      </c>
      <c r="Q1642">
        <v>0</v>
      </c>
      <c r="R1642">
        <v>0</v>
      </c>
      <c r="S1642">
        <v>0</v>
      </c>
      <c r="T1642">
        <f t="shared" si="77"/>
        <v>0</v>
      </c>
      <c r="U1642">
        <v>1</v>
      </c>
    </row>
    <row r="1643" spans="1:21" x14ac:dyDescent="0.3">
      <c r="A1643" t="str">
        <f t="shared" si="75"/>
        <v>SalfordReablement &amp; Rehabilitation in a bedded setting (pathway 2)1</v>
      </c>
      <c r="B1643">
        <f>IF(C1643="","",COUNTIF($C$2:C1643,C1643))</f>
        <v>1</v>
      </c>
      <c r="C1643" t="str">
        <f t="shared" si="76"/>
        <v>SalfordRehabilitation in a bedded setting (pathway 2)</v>
      </c>
      <c r="D1643" t="str">
        <f>VLOOKUP(G1643,PathwayLookup!A:B,2,0)</f>
        <v>Reablement &amp; Rehabilitation in a bedded setting (pathway 2)</v>
      </c>
      <c r="E1643" t="s">
        <v>273</v>
      </c>
      <c r="F1643" t="s">
        <v>563</v>
      </c>
      <c r="G1643" t="s">
        <v>724</v>
      </c>
      <c r="H1643">
        <v>53</v>
      </c>
      <c r="I1643">
        <v>53</v>
      </c>
      <c r="J1643">
        <v>54</v>
      </c>
      <c r="K1643">
        <v>50</v>
      </c>
      <c r="L1643">
        <v>51</v>
      </c>
      <c r="M1643">
        <v>45</v>
      </c>
      <c r="N1643">
        <v>50</v>
      </c>
      <c r="O1643">
        <v>51</v>
      </c>
      <c r="P1643">
        <v>50</v>
      </c>
      <c r="Q1643">
        <v>47</v>
      </c>
      <c r="R1643">
        <v>48</v>
      </c>
      <c r="S1643">
        <v>47</v>
      </c>
      <c r="T1643">
        <f t="shared" si="77"/>
        <v>599</v>
      </c>
      <c r="U1643">
        <v>1</v>
      </c>
    </row>
    <row r="1644" spans="1:21" x14ac:dyDescent="0.3">
      <c r="A1644" t="str">
        <f t="shared" si="75"/>
        <v/>
      </c>
      <c r="B1644" t="str">
        <f>IF(C1644="","",COUNTIF($C$2:C1644,C1644))</f>
        <v/>
      </c>
      <c r="C1644" t="str">
        <f t="shared" si="76"/>
        <v/>
      </c>
      <c r="D1644" t="str">
        <f>VLOOKUP(G1644,PathwayLookup!A:B,2,0)</f>
        <v>Short-term residential/nursing care for someone likely to require a longer-term care home placement (pathway 3)</v>
      </c>
      <c r="E1644" t="s">
        <v>273</v>
      </c>
      <c r="F1644" t="s">
        <v>563</v>
      </c>
      <c r="G1644" t="s">
        <v>686</v>
      </c>
      <c r="H1644">
        <v>0</v>
      </c>
      <c r="I1644">
        <v>0</v>
      </c>
      <c r="J1644">
        <v>0</v>
      </c>
      <c r="K1644">
        <v>0</v>
      </c>
      <c r="L1644">
        <v>0</v>
      </c>
      <c r="M1644">
        <v>0</v>
      </c>
      <c r="N1644">
        <v>0</v>
      </c>
      <c r="O1644">
        <v>0</v>
      </c>
      <c r="P1644">
        <v>0</v>
      </c>
      <c r="Q1644">
        <v>0</v>
      </c>
      <c r="R1644">
        <v>0</v>
      </c>
      <c r="S1644">
        <v>0</v>
      </c>
      <c r="T1644">
        <f t="shared" si="77"/>
        <v>0</v>
      </c>
      <c r="U1644">
        <v>1</v>
      </c>
    </row>
    <row r="1645" spans="1:21" x14ac:dyDescent="0.3">
      <c r="A1645" t="str">
        <f t="shared" si="75"/>
        <v>SandwellReablement &amp; Rehabilitation at home  (pathway 1)1</v>
      </c>
      <c r="B1645">
        <f>IF(C1645="","",COUNTIF($C$2:C1645,C1645))</f>
        <v>1</v>
      </c>
      <c r="C1645" t="str">
        <f t="shared" si="76"/>
        <v>SandwellReablement at home  (pathway 1)</v>
      </c>
      <c r="D1645" t="str">
        <f>VLOOKUP(G1645,PathwayLookup!A:B,2,0)</f>
        <v>Reablement &amp; Rehabilitation at home  (pathway 1)</v>
      </c>
      <c r="E1645" t="s">
        <v>275</v>
      </c>
      <c r="F1645" t="s">
        <v>584</v>
      </c>
      <c r="G1645" t="s">
        <v>718</v>
      </c>
      <c r="H1645">
        <v>72</v>
      </c>
      <c r="I1645">
        <v>79</v>
      </c>
      <c r="J1645">
        <v>69</v>
      </c>
      <c r="K1645">
        <v>76</v>
      </c>
      <c r="L1645">
        <v>67</v>
      </c>
      <c r="M1645">
        <v>74</v>
      </c>
      <c r="N1645">
        <v>64</v>
      </c>
      <c r="O1645">
        <v>71</v>
      </c>
      <c r="P1645">
        <v>62</v>
      </c>
      <c r="Q1645">
        <v>69</v>
      </c>
      <c r="R1645">
        <v>59</v>
      </c>
      <c r="S1645">
        <v>66</v>
      </c>
      <c r="T1645">
        <f t="shared" si="77"/>
        <v>828</v>
      </c>
      <c r="U1645">
        <v>1</v>
      </c>
    </row>
    <row r="1646" spans="1:21" x14ac:dyDescent="0.3">
      <c r="A1646" t="str">
        <f t="shared" si="75"/>
        <v>SandwellReablement &amp; Rehabilitation at home  (pathway 1)1</v>
      </c>
      <c r="B1646">
        <f>IF(C1646="","",COUNTIF($C$2:C1646,C1646))</f>
        <v>1</v>
      </c>
      <c r="C1646" t="str">
        <f t="shared" si="76"/>
        <v>SandwellRehabilitation at home (pathway 1)</v>
      </c>
      <c r="D1646" t="str">
        <f>VLOOKUP(G1646,PathwayLookup!A:B,2,0)</f>
        <v>Reablement &amp; Rehabilitation at home  (pathway 1)</v>
      </c>
      <c r="E1646" t="s">
        <v>275</v>
      </c>
      <c r="F1646" t="s">
        <v>584</v>
      </c>
      <c r="G1646" t="s">
        <v>719</v>
      </c>
      <c r="H1646">
        <v>72</v>
      </c>
      <c r="I1646">
        <v>86</v>
      </c>
      <c r="J1646">
        <v>90</v>
      </c>
      <c r="K1646">
        <v>79</v>
      </c>
      <c r="L1646">
        <v>77</v>
      </c>
      <c r="M1646">
        <v>84</v>
      </c>
      <c r="N1646">
        <v>98</v>
      </c>
      <c r="O1646">
        <v>101</v>
      </c>
      <c r="P1646">
        <v>105</v>
      </c>
      <c r="Q1646">
        <v>112</v>
      </c>
      <c r="R1646">
        <v>105</v>
      </c>
      <c r="S1646">
        <v>98</v>
      </c>
      <c r="T1646">
        <f t="shared" si="77"/>
        <v>1107</v>
      </c>
      <c r="U1646">
        <v>1</v>
      </c>
    </row>
    <row r="1647" spans="1:21" x14ac:dyDescent="0.3">
      <c r="A1647" t="str">
        <f t="shared" si="75"/>
        <v>SandwellReablement &amp; Rehabilitation in a bedded setting (pathway 2)1</v>
      </c>
      <c r="B1647">
        <f>IF(C1647="","",COUNTIF($C$2:C1647,C1647))</f>
        <v>1</v>
      </c>
      <c r="C1647" t="str">
        <f t="shared" si="76"/>
        <v>SandwellReablement in a bedded setting (pathway 2)</v>
      </c>
      <c r="D1647" t="str">
        <f>VLOOKUP(G1647,PathwayLookup!A:B,2,0)</f>
        <v>Reablement &amp; Rehabilitation in a bedded setting (pathway 2)</v>
      </c>
      <c r="E1647" t="s">
        <v>275</v>
      </c>
      <c r="F1647" t="s">
        <v>584</v>
      </c>
      <c r="G1647" t="s">
        <v>722</v>
      </c>
      <c r="H1647">
        <v>100</v>
      </c>
      <c r="I1647">
        <v>121</v>
      </c>
      <c r="J1647">
        <v>103</v>
      </c>
      <c r="K1647">
        <v>123</v>
      </c>
      <c r="L1647">
        <v>105</v>
      </c>
      <c r="M1647">
        <v>126</v>
      </c>
      <c r="N1647">
        <v>108</v>
      </c>
      <c r="O1647">
        <v>129</v>
      </c>
      <c r="P1647">
        <v>111</v>
      </c>
      <c r="Q1647">
        <v>131</v>
      </c>
      <c r="R1647">
        <v>113</v>
      </c>
      <c r="S1647">
        <v>134</v>
      </c>
      <c r="T1647">
        <f t="shared" si="77"/>
        <v>1404</v>
      </c>
      <c r="U1647">
        <v>1</v>
      </c>
    </row>
    <row r="1648" spans="1:21" x14ac:dyDescent="0.3">
      <c r="A1648" t="str">
        <f t="shared" si="75"/>
        <v>SandwellReablement &amp; Rehabilitation in a bedded setting (pathway 2)1</v>
      </c>
      <c r="B1648">
        <f>IF(C1648="","",COUNTIF($C$2:C1648,C1648))</f>
        <v>1</v>
      </c>
      <c r="C1648" t="str">
        <f t="shared" si="76"/>
        <v>SandwellRehabilitation in a bedded setting (pathway 2)</v>
      </c>
      <c r="D1648" t="str">
        <f>VLOOKUP(G1648,PathwayLookup!A:B,2,0)</f>
        <v>Reablement &amp; Rehabilitation in a bedded setting (pathway 2)</v>
      </c>
      <c r="E1648" t="s">
        <v>275</v>
      </c>
      <c r="F1648" t="s">
        <v>584</v>
      </c>
      <c r="G1648" t="s">
        <v>724</v>
      </c>
      <c r="H1648">
        <v>128</v>
      </c>
      <c r="I1648">
        <v>163</v>
      </c>
      <c r="J1648">
        <v>167</v>
      </c>
      <c r="K1648">
        <v>157</v>
      </c>
      <c r="L1648">
        <v>151</v>
      </c>
      <c r="M1648">
        <v>112</v>
      </c>
      <c r="N1648">
        <v>138</v>
      </c>
      <c r="O1648">
        <v>137</v>
      </c>
      <c r="P1648">
        <v>155</v>
      </c>
      <c r="Q1648">
        <v>158</v>
      </c>
      <c r="R1648">
        <v>119</v>
      </c>
      <c r="S1648">
        <v>159</v>
      </c>
      <c r="T1648">
        <f t="shared" si="77"/>
        <v>1744</v>
      </c>
      <c r="U1648">
        <v>1</v>
      </c>
    </row>
    <row r="1649" spans="1:21" x14ac:dyDescent="0.3">
      <c r="A1649" t="str">
        <f t="shared" si="75"/>
        <v>SeftonSocial support (including VCS) (pathway 0)1</v>
      </c>
      <c r="B1649">
        <f>IF(C1649="","",COUNTIF($C$2:C1649,C1649))</f>
        <v>1</v>
      </c>
      <c r="C1649" t="str">
        <f t="shared" si="76"/>
        <v>SeftonSocial support (including VCS) (pathway 0)</v>
      </c>
      <c r="D1649" t="str">
        <f>VLOOKUP(G1649,PathwayLookup!A:B,2,0)</f>
        <v>Social support (including VCS) (pathway 0)</v>
      </c>
      <c r="E1649" t="s">
        <v>277</v>
      </c>
      <c r="F1649" t="s">
        <v>538</v>
      </c>
      <c r="G1649" t="s">
        <v>682</v>
      </c>
      <c r="H1649">
        <v>10</v>
      </c>
      <c r="I1649">
        <v>6</v>
      </c>
      <c r="J1649">
        <v>6</v>
      </c>
      <c r="K1649">
        <v>12</v>
      </c>
      <c r="L1649">
        <v>11</v>
      </c>
      <c r="M1649">
        <v>13</v>
      </c>
      <c r="N1649">
        <v>21</v>
      </c>
      <c r="O1649">
        <v>12</v>
      </c>
      <c r="P1649">
        <v>10</v>
      </c>
      <c r="Q1649">
        <v>9</v>
      </c>
      <c r="R1649">
        <v>10</v>
      </c>
      <c r="S1649">
        <v>16</v>
      </c>
      <c r="T1649">
        <f t="shared" si="77"/>
        <v>136</v>
      </c>
      <c r="U1649">
        <v>1</v>
      </c>
    </row>
    <row r="1650" spans="1:21" x14ac:dyDescent="0.3">
      <c r="A1650" t="str">
        <f t="shared" si="75"/>
        <v>SeftonSocial support (including VCS) (pathway 0)2</v>
      </c>
      <c r="B1650">
        <f>IF(C1650="","",COUNTIF($C$2:C1650,C1650))</f>
        <v>2</v>
      </c>
      <c r="C1650" t="str">
        <f t="shared" si="76"/>
        <v>SeftonSocial support (including VCS) (pathway 0)</v>
      </c>
      <c r="D1650" t="str">
        <f>VLOOKUP(G1650,PathwayLookup!A:B,2,0)</f>
        <v>Social support (including VCS) (pathway 0)</v>
      </c>
      <c r="E1650" t="s">
        <v>277</v>
      </c>
      <c r="F1650" t="s">
        <v>599</v>
      </c>
      <c r="G1650" t="s">
        <v>682</v>
      </c>
      <c r="H1650">
        <v>8</v>
      </c>
      <c r="I1650">
        <v>14</v>
      </c>
      <c r="J1650">
        <v>19</v>
      </c>
      <c r="K1650">
        <v>21</v>
      </c>
      <c r="L1650">
        <v>18</v>
      </c>
      <c r="M1650">
        <v>22</v>
      </c>
      <c r="N1650">
        <v>24</v>
      </c>
      <c r="O1650">
        <v>24</v>
      </c>
      <c r="P1650">
        <v>28</v>
      </c>
      <c r="Q1650">
        <v>28</v>
      </c>
      <c r="R1650">
        <v>34</v>
      </c>
      <c r="S1650">
        <v>37</v>
      </c>
      <c r="T1650">
        <f t="shared" si="77"/>
        <v>277</v>
      </c>
      <c r="U1650">
        <v>1</v>
      </c>
    </row>
    <row r="1651" spans="1:21" x14ac:dyDescent="0.3">
      <c r="A1651" t="str">
        <f t="shared" si="75"/>
        <v>SeftonReablement &amp; Rehabilitation at home  (pathway 1)1</v>
      </c>
      <c r="B1651">
        <f>IF(C1651="","",COUNTIF($C$2:C1651,C1651))</f>
        <v>1</v>
      </c>
      <c r="C1651" t="str">
        <f t="shared" si="76"/>
        <v>SeftonReablement at home  (pathway 1)</v>
      </c>
      <c r="D1651" t="str">
        <f>VLOOKUP(G1651,PathwayLookup!A:B,2,0)</f>
        <v>Reablement &amp; Rehabilitation at home  (pathway 1)</v>
      </c>
      <c r="E1651" t="s">
        <v>277</v>
      </c>
      <c r="F1651" t="s">
        <v>538</v>
      </c>
      <c r="G1651" t="s">
        <v>718</v>
      </c>
      <c r="H1651">
        <v>35</v>
      </c>
      <c r="I1651">
        <v>22</v>
      </c>
      <c r="J1651">
        <v>32</v>
      </c>
      <c r="K1651">
        <v>21</v>
      </c>
      <c r="L1651">
        <v>28</v>
      </c>
      <c r="M1651">
        <v>23</v>
      </c>
      <c r="N1651">
        <v>22</v>
      </c>
      <c r="O1651">
        <v>23</v>
      </c>
      <c r="P1651">
        <v>25</v>
      </c>
      <c r="Q1651">
        <v>29</v>
      </c>
      <c r="R1651">
        <v>28</v>
      </c>
      <c r="S1651">
        <v>33</v>
      </c>
      <c r="T1651">
        <f t="shared" si="77"/>
        <v>321</v>
      </c>
      <c r="U1651">
        <v>1</v>
      </c>
    </row>
    <row r="1652" spans="1:21" x14ac:dyDescent="0.3">
      <c r="A1652" t="str">
        <f t="shared" si="75"/>
        <v>SeftonReablement &amp; Rehabilitation at home  (pathway 1)2</v>
      </c>
      <c r="B1652">
        <f>IF(C1652="","",COUNTIF($C$2:C1652,C1652))</f>
        <v>2</v>
      </c>
      <c r="C1652" t="str">
        <f t="shared" si="76"/>
        <v>SeftonReablement at home  (pathway 1)</v>
      </c>
      <c r="D1652" t="str">
        <f>VLOOKUP(G1652,PathwayLookup!A:B,2,0)</f>
        <v>Reablement &amp; Rehabilitation at home  (pathway 1)</v>
      </c>
      <c r="E1652" t="s">
        <v>277</v>
      </c>
      <c r="F1652" t="s">
        <v>599</v>
      </c>
      <c r="G1652" t="s">
        <v>718</v>
      </c>
      <c r="H1652">
        <v>35</v>
      </c>
      <c r="I1652">
        <v>22</v>
      </c>
      <c r="J1652">
        <v>32</v>
      </c>
      <c r="K1652">
        <v>21</v>
      </c>
      <c r="L1652">
        <v>28</v>
      </c>
      <c r="M1652">
        <v>23</v>
      </c>
      <c r="N1652">
        <v>22</v>
      </c>
      <c r="O1652">
        <v>23</v>
      </c>
      <c r="P1652">
        <v>25</v>
      </c>
      <c r="Q1652">
        <v>29</v>
      </c>
      <c r="R1652">
        <v>28</v>
      </c>
      <c r="S1652">
        <v>33</v>
      </c>
      <c r="T1652">
        <f t="shared" si="77"/>
        <v>321</v>
      </c>
      <c r="U1652">
        <v>1</v>
      </c>
    </row>
    <row r="1653" spans="1:21" x14ac:dyDescent="0.3">
      <c r="A1653" t="str">
        <f t="shared" si="75"/>
        <v>SeftonReablement &amp; Rehabilitation at home  (pathway 1)1</v>
      </c>
      <c r="B1653">
        <f>IF(C1653="","",COUNTIF($C$2:C1653,C1653))</f>
        <v>1</v>
      </c>
      <c r="C1653" t="str">
        <f t="shared" si="76"/>
        <v>SeftonRehabilitation at home (pathway 1)</v>
      </c>
      <c r="D1653" t="str">
        <f>VLOOKUP(G1653,PathwayLookup!A:B,2,0)</f>
        <v>Reablement &amp; Rehabilitation at home  (pathway 1)</v>
      </c>
      <c r="E1653" t="s">
        <v>277</v>
      </c>
      <c r="F1653" t="s">
        <v>538</v>
      </c>
      <c r="G1653" t="s">
        <v>719</v>
      </c>
      <c r="H1653">
        <v>60</v>
      </c>
      <c r="I1653">
        <v>75</v>
      </c>
      <c r="J1653">
        <v>62</v>
      </c>
      <c r="K1653">
        <v>56</v>
      </c>
      <c r="L1653">
        <v>74</v>
      </c>
      <c r="M1653">
        <v>76</v>
      </c>
      <c r="N1653">
        <v>59</v>
      </c>
      <c r="O1653">
        <v>67</v>
      </c>
      <c r="P1653">
        <v>82</v>
      </c>
      <c r="Q1653">
        <v>74</v>
      </c>
      <c r="R1653">
        <v>60</v>
      </c>
      <c r="S1653">
        <v>77</v>
      </c>
      <c r="T1653">
        <f t="shared" si="77"/>
        <v>822</v>
      </c>
      <c r="U1653">
        <v>1</v>
      </c>
    </row>
    <row r="1654" spans="1:21" x14ac:dyDescent="0.3">
      <c r="A1654" t="str">
        <f t="shared" si="75"/>
        <v>SeftonReablement &amp; Rehabilitation at home  (pathway 1)2</v>
      </c>
      <c r="B1654">
        <f>IF(C1654="","",COUNTIF($C$2:C1654,C1654))</f>
        <v>2</v>
      </c>
      <c r="C1654" t="str">
        <f t="shared" si="76"/>
        <v>SeftonRehabilitation at home (pathway 1)</v>
      </c>
      <c r="D1654" t="str">
        <f>VLOOKUP(G1654,PathwayLookup!A:B,2,0)</f>
        <v>Reablement &amp; Rehabilitation at home  (pathway 1)</v>
      </c>
      <c r="E1654" t="s">
        <v>277</v>
      </c>
      <c r="F1654" t="s">
        <v>599</v>
      </c>
      <c r="G1654" t="s">
        <v>719</v>
      </c>
      <c r="H1654">
        <v>96</v>
      </c>
      <c r="I1654">
        <v>110</v>
      </c>
      <c r="J1654">
        <v>105</v>
      </c>
      <c r="K1654">
        <v>98</v>
      </c>
      <c r="L1654">
        <v>106</v>
      </c>
      <c r="M1654">
        <v>96</v>
      </c>
      <c r="N1654">
        <v>95</v>
      </c>
      <c r="O1654">
        <v>122</v>
      </c>
      <c r="P1654">
        <v>86</v>
      </c>
      <c r="Q1654">
        <v>102</v>
      </c>
      <c r="R1654">
        <v>109</v>
      </c>
      <c r="S1654">
        <v>121</v>
      </c>
      <c r="T1654">
        <f t="shared" si="77"/>
        <v>1246</v>
      </c>
      <c r="U1654">
        <v>1</v>
      </c>
    </row>
    <row r="1655" spans="1:21" x14ac:dyDescent="0.3">
      <c r="A1655" t="str">
        <f t="shared" si="75"/>
        <v>SeftonShort term domiciliary care (pathway 1)1</v>
      </c>
      <c r="B1655">
        <f>IF(C1655="","",COUNTIF($C$2:C1655,C1655))</f>
        <v>1</v>
      </c>
      <c r="C1655" t="str">
        <f t="shared" si="76"/>
        <v>SeftonShort term domiciliary care (pathway 1)</v>
      </c>
      <c r="D1655" t="str">
        <f>VLOOKUP(G1655,PathwayLookup!A:B,2,0)</f>
        <v>Short term domiciliary care (pathway 1)</v>
      </c>
      <c r="E1655" t="s">
        <v>277</v>
      </c>
      <c r="F1655" t="s">
        <v>538</v>
      </c>
      <c r="G1655" t="s">
        <v>684</v>
      </c>
      <c r="H1655">
        <v>9</v>
      </c>
      <c r="I1655">
        <v>8</v>
      </c>
      <c r="J1655">
        <v>11</v>
      </c>
      <c r="K1655">
        <v>9</v>
      </c>
      <c r="L1655">
        <v>10</v>
      </c>
      <c r="M1655">
        <v>10</v>
      </c>
      <c r="N1655">
        <v>9</v>
      </c>
      <c r="O1655">
        <v>13</v>
      </c>
      <c r="P1655">
        <v>10</v>
      </c>
      <c r="Q1655">
        <v>8</v>
      </c>
      <c r="R1655">
        <v>9</v>
      </c>
      <c r="S1655">
        <v>9</v>
      </c>
      <c r="T1655">
        <f t="shared" si="77"/>
        <v>115</v>
      </c>
      <c r="U1655">
        <v>1</v>
      </c>
    </row>
    <row r="1656" spans="1:21" x14ac:dyDescent="0.3">
      <c r="A1656" t="str">
        <f t="shared" si="75"/>
        <v>SeftonShort term domiciliary care (pathway 1)2</v>
      </c>
      <c r="B1656">
        <f>IF(C1656="","",COUNTIF($C$2:C1656,C1656))</f>
        <v>2</v>
      </c>
      <c r="C1656" t="str">
        <f t="shared" si="76"/>
        <v>SeftonShort term domiciliary care (pathway 1)</v>
      </c>
      <c r="D1656" t="str">
        <f>VLOOKUP(G1656,PathwayLookup!A:B,2,0)</f>
        <v>Short term domiciliary care (pathway 1)</v>
      </c>
      <c r="E1656" t="s">
        <v>277</v>
      </c>
      <c r="F1656" t="s">
        <v>599</v>
      </c>
      <c r="G1656" t="s">
        <v>684</v>
      </c>
      <c r="H1656">
        <v>9</v>
      </c>
      <c r="I1656">
        <v>8</v>
      </c>
      <c r="J1656">
        <v>11</v>
      </c>
      <c r="K1656">
        <v>9</v>
      </c>
      <c r="L1656">
        <v>10</v>
      </c>
      <c r="M1656">
        <v>10</v>
      </c>
      <c r="N1656">
        <v>9</v>
      </c>
      <c r="O1656">
        <v>13</v>
      </c>
      <c r="P1656">
        <v>10</v>
      </c>
      <c r="Q1656">
        <v>8</v>
      </c>
      <c r="R1656">
        <v>9</v>
      </c>
      <c r="S1656">
        <v>9</v>
      </c>
      <c r="T1656">
        <f t="shared" si="77"/>
        <v>115</v>
      </c>
      <c r="U1656">
        <v>1</v>
      </c>
    </row>
    <row r="1657" spans="1:21" x14ac:dyDescent="0.3">
      <c r="A1657" t="str">
        <f t="shared" si="75"/>
        <v>SeftonReablement &amp; Rehabilitation in a bedded setting (pathway 2)1</v>
      </c>
      <c r="B1657">
        <f>IF(C1657="","",COUNTIF($C$2:C1657,C1657))</f>
        <v>1</v>
      </c>
      <c r="C1657" t="str">
        <f t="shared" si="76"/>
        <v>SeftonReablement in a bedded setting (pathway 2)</v>
      </c>
      <c r="D1657" t="str">
        <f>VLOOKUP(G1657,PathwayLookup!A:B,2,0)</f>
        <v>Reablement &amp; Rehabilitation in a bedded setting (pathway 2)</v>
      </c>
      <c r="E1657" t="s">
        <v>277</v>
      </c>
      <c r="F1657" t="s">
        <v>538</v>
      </c>
      <c r="G1657" t="s">
        <v>722</v>
      </c>
      <c r="H1657">
        <v>10</v>
      </c>
      <c r="I1657">
        <v>10</v>
      </c>
      <c r="J1657">
        <v>10</v>
      </c>
      <c r="K1657">
        <v>23</v>
      </c>
      <c r="L1657">
        <v>7</v>
      </c>
      <c r="M1657">
        <v>7</v>
      </c>
      <c r="N1657">
        <v>4</v>
      </c>
      <c r="O1657">
        <v>7</v>
      </c>
      <c r="P1657">
        <v>6</v>
      </c>
      <c r="Q1657">
        <v>6</v>
      </c>
      <c r="R1657">
        <v>8</v>
      </c>
      <c r="S1657">
        <v>21</v>
      </c>
      <c r="T1657">
        <f t="shared" si="77"/>
        <v>119</v>
      </c>
      <c r="U1657">
        <v>1</v>
      </c>
    </row>
    <row r="1658" spans="1:21" x14ac:dyDescent="0.3">
      <c r="A1658" t="str">
        <f t="shared" si="75"/>
        <v/>
      </c>
      <c r="B1658" t="str">
        <f>IF(C1658="","",COUNTIF($C$2:C1658,C1658))</f>
        <v/>
      </c>
      <c r="C1658" t="str">
        <f t="shared" si="76"/>
        <v/>
      </c>
      <c r="D1658" t="str">
        <f>VLOOKUP(G1658,PathwayLookup!A:B,2,0)</f>
        <v>Reablement &amp; Rehabilitation in a bedded setting (pathway 2)</v>
      </c>
      <c r="E1658" t="s">
        <v>277</v>
      </c>
      <c r="F1658" t="s">
        <v>599</v>
      </c>
      <c r="G1658" t="s">
        <v>722</v>
      </c>
      <c r="H1658">
        <v>0</v>
      </c>
      <c r="I1658">
        <v>0</v>
      </c>
      <c r="J1658">
        <v>0</v>
      </c>
      <c r="K1658">
        <v>0</v>
      </c>
      <c r="L1658">
        <v>0</v>
      </c>
      <c r="M1658">
        <v>0</v>
      </c>
      <c r="N1658">
        <v>0</v>
      </c>
      <c r="O1658">
        <v>0</v>
      </c>
      <c r="P1658">
        <v>0</v>
      </c>
      <c r="Q1658">
        <v>0</v>
      </c>
      <c r="R1658">
        <v>0</v>
      </c>
      <c r="S1658">
        <v>0</v>
      </c>
      <c r="T1658">
        <f t="shared" si="77"/>
        <v>0</v>
      </c>
      <c r="U1658">
        <v>1</v>
      </c>
    </row>
    <row r="1659" spans="1:21" x14ac:dyDescent="0.3">
      <c r="A1659" t="str">
        <f t="shared" si="75"/>
        <v>SeftonReablement &amp; Rehabilitation in a bedded setting (pathway 2)1</v>
      </c>
      <c r="B1659">
        <f>IF(C1659="","",COUNTIF($C$2:C1659,C1659))</f>
        <v>1</v>
      </c>
      <c r="C1659" t="str">
        <f t="shared" si="76"/>
        <v>SeftonRehabilitation in a bedded setting (pathway 2)</v>
      </c>
      <c r="D1659" t="str">
        <f>VLOOKUP(G1659,PathwayLookup!A:B,2,0)</f>
        <v>Reablement &amp; Rehabilitation in a bedded setting (pathway 2)</v>
      </c>
      <c r="E1659" t="s">
        <v>277</v>
      </c>
      <c r="F1659" t="s">
        <v>538</v>
      </c>
      <c r="G1659" t="s">
        <v>724</v>
      </c>
      <c r="H1659">
        <v>33</v>
      </c>
      <c r="I1659">
        <v>24</v>
      </c>
      <c r="J1659">
        <v>26</v>
      </c>
      <c r="K1659">
        <v>25</v>
      </c>
      <c r="L1659">
        <v>30</v>
      </c>
      <c r="M1659">
        <v>22</v>
      </c>
      <c r="N1659">
        <v>21</v>
      </c>
      <c r="O1659">
        <v>30</v>
      </c>
      <c r="P1659">
        <v>38</v>
      </c>
      <c r="Q1659">
        <v>18</v>
      </c>
      <c r="R1659">
        <v>23</v>
      </c>
      <c r="S1659">
        <v>29</v>
      </c>
      <c r="T1659">
        <f t="shared" si="77"/>
        <v>319</v>
      </c>
      <c r="U1659">
        <v>1</v>
      </c>
    </row>
    <row r="1660" spans="1:21" x14ac:dyDescent="0.3">
      <c r="A1660" t="str">
        <f t="shared" si="75"/>
        <v>SeftonReablement &amp; Rehabilitation in a bedded setting (pathway 2)2</v>
      </c>
      <c r="B1660">
        <f>IF(C1660="","",COUNTIF($C$2:C1660,C1660))</f>
        <v>2</v>
      </c>
      <c r="C1660" t="str">
        <f t="shared" si="76"/>
        <v>SeftonRehabilitation in a bedded setting (pathway 2)</v>
      </c>
      <c r="D1660" t="str">
        <f>VLOOKUP(G1660,PathwayLookup!A:B,2,0)</f>
        <v>Reablement &amp; Rehabilitation in a bedded setting (pathway 2)</v>
      </c>
      <c r="E1660" t="s">
        <v>277</v>
      </c>
      <c r="F1660" t="s">
        <v>599</v>
      </c>
      <c r="G1660" t="s">
        <v>724</v>
      </c>
      <c r="H1660">
        <v>92</v>
      </c>
      <c r="I1660">
        <v>103</v>
      </c>
      <c r="J1660">
        <v>100</v>
      </c>
      <c r="K1660">
        <v>126</v>
      </c>
      <c r="L1660">
        <v>62</v>
      </c>
      <c r="M1660">
        <v>92</v>
      </c>
      <c r="N1660">
        <v>85</v>
      </c>
      <c r="O1660">
        <v>66</v>
      </c>
      <c r="P1660">
        <v>84</v>
      </c>
      <c r="Q1660">
        <v>142</v>
      </c>
      <c r="R1660">
        <v>147</v>
      </c>
      <c r="S1660">
        <v>108</v>
      </c>
      <c r="T1660">
        <f t="shared" si="77"/>
        <v>1207</v>
      </c>
      <c r="U1660">
        <v>1</v>
      </c>
    </row>
    <row r="1661" spans="1:21" x14ac:dyDescent="0.3">
      <c r="A1661" t="str">
        <f t="shared" si="75"/>
        <v>SeftonShort-term residential/nursing care for someone likely to require a longer-term care home placement (pathway 3)1</v>
      </c>
      <c r="B1661">
        <f>IF(C1661="","",COUNTIF($C$2:C1661,C1661))</f>
        <v>1</v>
      </c>
      <c r="C1661" t="str">
        <f t="shared" si="76"/>
        <v>SeftonShort-term residential/nursing care for someone likely to require a longer-term care home placement (pathway 3)</v>
      </c>
      <c r="D1661" t="str">
        <f>VLOOKUP(G1661,PathwayLookup!A:B,2,0)</f>
        <v>Short-term residential/nursing care for someone likely to require a longer-term care home placement (pathway 3)</v>
      </c>
      <c r="E1661" t="s">
        <v>277</v>
      </c>
      <c r="F1661" t="s">
        <v>538</v>
      </c>
      <c r="G1661" t="s">
        <v>686</v>
      </c>
      <c r="H1661">
        <v>25</v>
      </c>
      <c r="I1661">
        <v>19</v>
      </c>
      <c r="J1661">
        <v>34</v>
      </c>
      <c r="K1661">
        <v>31</v>
      </c>
      <c r="L1661">
        <v>25</v>
      </c>
      <c r="M1661">
        <v>27</v>
      </c>
      <c r="N1661">
        <v>19</v>
      </c>
      <c r="O1661">
        <v>26</v>
      </c>
      <c r="P1661">
        <v>31</v>
      </c>
      <c r="Q1661">
        <v>37</v>
      </c>
      <c r="R1661">
        <v>18</v>
      </c>
      <c r="S1661">
        <v>27</v>
      </c>
      <c r="T1661">
        <f t="shared" si="77"/>
        <v>319</v>
      </c>
      <c r="U1661">
        <v>1</v>
      </c>
    </row>
    <row r="1662" spans="1:21" x14ac:dyDescent="0.3">
      <c r="A1662" t="str">
        <f t="shared" si="75"/>
        <v>SeftonShort-term residential/nursing care for someone likely to require a longer-term care home placement (pathway 3)2</v>
      </c>
      <c r="B1662">
        <f>IF(C1662="","",COUNTIF($C$2:C1662,C1662))</f>
        <v>2</v>
      </c>
      <c r="C1662" t="str">
        <f t="shared" si="76"/>
        <v>SeftonShort-term residential/nursing care for someone likely to require a longer-term care home placement (pathway 3)</v>
      </c>
      <c r="D1662" t="str">
        <f>VLOOKUP(G1662,PathwayLookup!A:B,2,0)</f>
        <v>Short-term residential/nursing care for someone likely to require a longer-term care home placement (pathway 3)</v>
      </c>
      <c r="E1662" t="s">
        <v>277</v>
      </c>
      <c r="F1662" t="s">
        <v>599</v>
      </c>
      <c r="G1662" t="s">
        <v>686</v>
      </c>
      <c r="H1662">
        <v>35</v>
      </c>
      <c r="I1662">
        <v>35</v>
      </c>
      <c r="J1662">
        <v>33</v>
      </c>
      <c r="K1662">
        <v>30</v>
      </c>
      <c r="L1662">
        <v>40</v>
      </c>
      <c r="M1662">
        <v>34</v>
      </c>
      <c r="N1662">
        <v>27</v>
      </c>
      <c r="O1662">
        <v>19</v>
      </c>
      <c r="P1662">
        <v>32</v>
      </c>
      <c r="Q1662">
        <v>27</v>
      </c>
      <c r="R1662">
        <v>25</v>
      </c>
      <c r="S1662">
        <v>34</v>
      </c>
      <c r="T1662">
        <f t="shared" si="77"/>
        <v>371</v>
      </c>
      <c r="U1662">
        <v>1</v>
      </c>
    </row>
    <row r="1663" spans="1:21" x14ac:dyDescent="0.3">
      <c r="A1663" t="str">
        <f t="shared" si="75"/>
        <v>SheffieldSocial support (including VCS) (pathway 0)1</v>
      </c>
      <c r="B1663">
        <f>IF(C1663="","",COUNTIF($C$2:C1663,C1663))</f>
        <v>1</v>
      </c>
      <c r="C1663" t="str">
        <f t="shared" si="76"/>
        <v>SheffieldSocial support (including VCS) (pathway 0)</v>
      </c>
      <c r="D1663" t="str">
        <f>VLOOKUP(G1663,PathwayLookup!A:B,2,0)</f>
        <v>Social support (including VCS) (pathway 0)</v>
      </c>
      <c r="E1663" t="s">
        <v>279</v>
      </c>
      <c r="F1663" t="s">
        <v>587</v>
      </c>
      <c r="G1663" t="s">
        <v>682</v>
      </c>
      <c r="H1663">
        <v>273</v>
      </c>
      <c r="I1663">
        <v>273</v>
      </c>
      <c r="J1663">
        <v>273</v>
      </c>
      <c r="K1663">
        <v>273</v>
      </c>
      <c r="L1663">
        <v>273</v>
      </c>
      <c r="M1663">
        <v>273</v>
      </c>
      <c r="N1663">
        <v>273</v>
      </c>
      <c r="O1663">
        <v>273</v>
      </c>
      <c r="P1663">
        <v>273</v>
      </c>
      <c r="Q1663">
        <v>273</v>
      </c>
      <c r="R1663">
        <v>273</v>
      </c>
      <c r="S1663">
        <v>273</v>
      </c>
      <c r="T1663">
        <f t="shared" si="77"/>
        <v>3276</v>
      </c>
      <c r="U1663">
        <v>1</v>
      </c>
    </row>
    <row r="1664" spans="1:21" x14ac:dyDescent="0.3">
      <c r="A1664" t="str">
        <f t="shared" si="75"/>
        <v>SheffieldReablement &amp; Rehabilitation at home  (pathway 1)1</v>
      </c>
      <c r="B1664">
        <f>IF(C1664="","",COUNTIF($C$2:C1664,C1664))</f>
        <v>1</v>
      </c>
      <c r="C1664" t="str">
        <f t="shared" si="76"/>
        <v>SheffieldReablement at home  (pathway 1)</v>
      </c>
      <c r="D1664" t="str">
        <f>VLOOKUP(G1664,PathwayLookup!A:B,2,0)</f>
        <v>Reablement &amp; Rehabilitation at home  (pathway 1)</v>
      </c>
      <c r="E1664" t="s">
        <v>279</v>
      </c>
      <c r="F1664" t="s">
        <v>587</v>
      </c>
      <c r="G1664" t="s">
        <v>718</v>
      </c>
      <c r="H1664">
        <v>3200</v>
      </c>
      <c r="I1664">
        <v>3200</v>
      </c>
      <c r="J1664">
        <v>3200</v>
      </c>
      <c r="K1664">
        <v>3200</v>
      </c>
      <c r="L1664">
        <v>3200</v>
      </c>
      <c r="M1664">
        <v>3200</v>
      </c>
      <c r="N1664">
        <v>3200</v>
      </c>
      <c r="O1664">
        <v>3200</v>
      </c>
      <c r="P1664">
        <v>3500</v>
      </c>
      <c r="Q1664">
        <v>3500</v>
      </c>
      <c r="R1664">
        <v>3500</v>
      </c>
      <c r="S1664">
        <v>3500</v>
      </c>
      <c r="T1664">
        <f t="shared" si="77"/>
        <v>39600</v>
      </c>
      <c r="U1664">
        <v>1</v>
      </c>
    </row>
    <row r="1665" spans="1:21" x14ac:dyDescent="0.3">
      <c r="A1665" t="str">
        <f t="shared" si="75"/>
        <v>SheffieldReablement &amp; Rehabilitation at home  (pathway 1)1</v>
      </c>
      <c r="B1665">
        <f>IF(C1665="","",COUNTIF($C$2:C1665,C1665))</f>
        <v>1</v>
      </c>
      <c r="C1665" t="str">
        <f t="shared" si="76"/>
        <v>SheffieldRehabilitation at home (pathway 1)</v>
      </c>
      <c r="D1665" t="str">
        <f>VLOOKUP(G1665,PathwayLookup!A:B,2,0)</f>
        <v>Reablement &amp; Rehabilitation at home  (pathway 1)</v>
      </c>
      <c r="E1665" t="s">
        <v>279</v>
      </c>
      <c r="F1665" t="s">
        <v>587</v>
      </c>
      <c r="G1665" t="s">
        <v>719</v>
      </c>
      <c r="H1665">
        <v>2932</v>
      </c>
      <c r="I1665">
        <v>2932</v>
      </c>
      <c r="J1665">
        <v>2932</v>
      </c>
      <c r="K1665">
        <v>2932</v>
      </c>
      <c r="L1665">
        <v>2932</v>
      </c>
      <c r="M1665">
        <v>2932</v>
      </c>
      <c r="N1665">
        <v>2932</v>
      </c>
      <c r="O1665">
        <v>2932</v>
      </c>
      <c r="P1665">
        <v>2932</v>
      </c>
      <c r="Q1665">
        <v>2932</v>
      </c>
      <c r="R1665">
        <v>2932</v>
      </c>
      <c r="S1665">
        <v>2932</v>
      </c>
      <c r="T1665">
        <f t="shared" si="77"/>
        <v>35184</v>
      </c>
      <c r="U1665">
        <v>1</v>
      </c>
    </row>
    <row r="1666" spans="1:21" x14ac:dyDescent="0.3">
      <c r="A1666" t="str">
        <f t="shared" ref="A1666:A1729" si="78">IF(B1666="","",E1666&amp;D1666&amp;B1666)</f>
        <v>SheffieldShort term domiciliary care (pathway 1)1</v>
      </c>
      <c r="B1666">
        <f>IF(C1666="","",COUNTIF($C$2:C1666,C1666))</f>
        <v>1</v>
      </c>
      <c r="C1666" t="str">
        <f t="shared" ref="C1666:C1729" si="79">IF(T1666=0,"",E1666&amp;G1666)</f>
        <v>SheffieldShort term domiciliary care (pathway 1)</v>
      </c>
      <c r="D1666" t="str">
        <f>VLOOKUP(G1666,PathwayLookup!A:B,2,0)</f>
        <v>Short term domiciliary care (pathway 1)</v>
      </c>
      <c r="E1666" t="s">
        <v>279</v>
      </c>
      <c r="F1666" t="s">
        <v>587</v>
      </c>
      <c r="G1666" t="s">
        <v>684</v>
      </c>
      <c r="H1666">
        <v>54243</v>
      </c>
      <c r="I1666">
        <v>56859</v>
      </c>
      <c r="J1666">
        <v>54766</v>
      </c>
      <c r="K1666">
        <v>56321</v>
      </c>
      <c r="L1666">
        <v>56117</v>
      </c>
      <c r="M1666">
        <v>54596</v>
      </c>
      <c r="N1666">
        <v>54694</v>
      </c>
      <c r="O1666">
        <v>53365</v>
      </c>
      <c r="P1666">
        <v>54121</v>
      </c>
      <c r="Q1666">
        <v>54215</v>
      </c>
      <c r="R1666">
        <v>50201</v>
      </c>
      <c r="S1666">
        <v>55638</v>
      </c>
      <c r="T1666">
        <f t="shared" ref="T1666:T1729" si="80">SUM(H1666:S1666)</f>
        <v>655136</v>
      </c>
      <c r="U1666">
        <v>1</v>
      </c>
    </row>
    <row r="1667" spans="1:21" x14ac:dyDescent="0.3">
      <c r="A1667" t="str">
        <f t="shared" si="78"/>
        <v>SheffieldReablement &amp; Rehabilitation in a bedded setting (pathway 2)1</v>
      </c>
      <c r="B1667">
        <f>IF(C1667="","",COUNTIF($C$2:C1667,C1667))</f>
        <v>1</v>
      </c>
      <c r="C1667" t="str">
        <f t="shared" si="79"/>
        <v>SheffieldReablement in a bedded setting (pathway 2)</v>
      </c>
      <c r="D1667" t="str">
        <f>VLOOKUP(G1667,PathwayLookup!A:B,2,0)</f>
        <v>Reablement &amp; Rehabilitation in a bedded setting (pathway 2)</v>
      </c>
      <c r="E1667" t="s">
        <v>279</v>
      </c>
      <c r="F1667" t="s">
        <v>587</v>
      </c>
      <c r="G1667" t="s">
        <v>722</v>
      </c>
      <c r="H1667">
        <v>18</v>
      </c>
      <c r="I1667">
        <v>18</v>
      </c>
      <c r="J1667">
        <v>18</v>
      </c>
      <c r="K1667">
        <v>0</v>
      </c>
      <c r="L1667">
        <v>0</v>
      </c>
      <c r="M1667">
        <v>0</v>
      </c>
      <c r="N1667">
        <v>0</v>
      </c>
      <c r="O1667">
        <v>0</v>
      </c>
      <c r="P1667">
        <v>0</v>
      </c>
      <c r="Q1667">
        <v>0</v>
      </c>
      <c r="R1667">
        <v>0</v>
      </c>
      <c r="S1667">
        <v>0</v>
      </c>
      <c r="T1667">
        <f t="shared" si="80"/>
        <v>54</v>
      </c>
      <c r="U1667">
        <v>1</v>
      </c>
    </row>
    <row r="1668" spans="1:21" x14ac:dyDescent="0.3">
      <c r="A1668" t="str">
        <f t="shared" si="78"/>
        <v>SheffieldReablement &amp; Rehabilitation in a bedded setting (pathway 2)1</v>
      </c>
      <c r="B1668">
        <f>IF(C1668="","",COUNTIF($C$2:C1668,C1668))</f>
        <v>1</v>
      </c>
      <c r="C1668" t="str">
        <f t="shared" si="79"/>
        <v>SheffieldRehabilitation in a bedded setting (pathway 2)</v>
      </c>
      <c r="D1668" t="str">
        <f>VLOOKUP(G1668,PathwayLookup!A:B,2,0)</f>
        <v>Reablement &amp; Rehabilitation in a bedded setting (pathway 2)</v>
      </c>
      <c r="E1668" t="s">
        <v>279</v>
      </c>
      <c r="F1668" t="s">
        <v>587</v>
      </c>
      <c r="G1668" t="s">
        <v>724</v>
      </c>
      <c r="H1668">
        <v>128</v>
      </c>
      <c r="I1668">
        <v>128</v>
      </c>
      <c r="J1668">
        <v>128</v>
      </c>
      <c r="K1668">
        <v>128</v>
      </c>
      <c r="L1668">
        <v>128</v>
      </c>
      <c r="M1668">
        <v>128</v>
      </c>
      <c r="N1668">
        <v>128</v>
      </c>
      <c r="O1668">
        <v>134</v>
      </c>
      <c r="P1668">
        <v>134</v>
      </c>
      <c r="Q1668">
        <v>134</v>
      </c>
      <c r="R1668">
        <v>134</v>
      </c>
      <c r="S1668">
        <v>134</v>
      </c>
      <c r="T1668">
        <f t="shared" si="80"/>
        <v>1566</v>
      </c>
      <c r="U1668">
        <v>1</v>
      </c>
    </row>
    <row r="1669" spans="1:21" x14ac:dyDescent="0.3">
      <c r="A1669" t="str">
        <f t="shared" si="78"/>
        <v>SheffieldShort-term residential/nursing care for someone likely to require a longer-term care home placement (pathway 3)1</v>
      </c>
      <c r="B1669">
        <f>IF(C1669="","",COUNTIF($C$2:C1669,C1669))</f>
        <v>1</v>
      </c>
      <c r="C1669" t="str">
        <f t="shared" si="79"/>
        <v>SheffieldShort-term residential/nursing care for someone likely to require a longer-term care home placement (pathway 3)</v>
      </c>
      <c r="D1669" t="str">
        <f>VLOOKUP(G1669,PathwayLookup!A:B,2,0)</f>
        <v>Short-term residential/nursing care for someone likely to require a longer-term care home placement (pathway 3)</v>
      </c>
      <c r="E1669" t="s">
        <v>279</v>
      </c>
      <c r="F1669" t="s">
        <v>587</v>
      </c>
      <c r="G1669" t="s">
        <v>686</v>
      </c>
      <c r="H1669">
        <v>40</v>
      </c>
      <c r="I1669">
        <v>40</v>
      </c>
      <c r="J1669">
        <v>40</v>
      </c>
      <c r="K1669">
        <v>40</v>
      </c>
      <c r="L1669">
        <v>40</v>
      </c>
      <c r="M1669">
        <v>40</v>
      </c>
      <c r="N1669">
        <v>40</v>
      </c>
      <c r="O1669">
        <v>40</v>
      </c>
      <c r="P1669">
        <v>40</v>
      </c>
      <c r="Q1669">
        <v>40</v>
      </c>
      <c r="R1669">
        <v>40</v>
      </c>
      <c r="S1669">
        <v>40</v>
      </c>
      <c r="T1669">
        <f t="shared" si="80"/>
        <v>480</v>
      </c>
      <c r="U1669">
        <v>1</v>
      </c>
    </row>
    <row r="1670" spans="1:21" x14ac:dyDescent="0.3">
      <c r="A1670" t="str">
        <f t="shared" si="78"/>
        <v>ShropshireSocial support (including VCS) (pathway 0)1</v>
      </c>
      <c r="B1670">
        <f>IF(C1670="","",COUNTIF($C$2:C1670,C1670))</f>
        <v>1</v>
      </c>
      <c r="C1670" t="str">
        <f t="shared" si="79"/>
        <v>ShropshireSocial support (including VCS) (pathway 0)</v>
      </c>
      <c r="D1670" t="str">
        <f>VLOOKUP(G1670,PathwayLookup!A:B,2,0)</f>
        <v>Social support (including VCS) (pathway 0)</v>
      </c>
      <c r="E1670" t="s">
        <v>281</v>
      </c>
      <c r="F1670" t="s">
        <v>589</v>
      </c>
      <c r="G1670" t="s">
        <v>682</v>
      </c>
      <c r="H1670">
        <v>6</v>
      </c>
      <c r="I1670">
        <v>7</v>
      </c>
      <c r="J1670">
        <v>2</v>
      </c>
      <c r="K1670">
        <v>1</v>
      </c>
      <c r="L1670">
        <v>1</v>
      </c>
      <c r="M1670">
        <v>1</v>
      </c>
      <c r="N1670">
        <v>2</v>
      </c>
      <c r="O1670">
        <v>2</v>
      </c>
      <c r="P1670">
        <v>2</v>
      </c>
      <c r="Q1670">
        <v>3</v>
      </c>
      <c r="R1670">
        <v>3</v>
      </c>
      <c r="S1670">
        <v>3</v>
      </c>
      <c r="T1670">
        <f t="shared" si="80"/>
        <v>33</v>
      </c>
      <c r="U1670">
        <v>1</v>
      </c>
    </row>
    <row r="1671" spans="1:21" x14ac:dyDescent="0.3">
      <c r="A1671" t="str">
        <f t="shared" si="78"/>
        <v>ShropshireSocial support (including VCS) (pathway 0)2</v>
      </c>
      <c r="B1671">
        <f>IF(C1671="","",COUNTIF($C$2:C1671,C1671))</f>
        <v>2</v>
      </c>
      <c r="C1671" t="str">
        <f t="shared" si="79"/>
        <v>ShropshireSocial support (including VCS) (pathway 0)</v>
      </c>
      <c r="D1671" t="str">
        <f>VLOOKUP(G1671,PathwayLookup!A:B,2,0)</f>
        <v>Social support (including VCS) (pathway 0)</v>
      </c>
      <c r="E1671" t="s">
        <v>281</v>
      </c>
      <c r="F1671" t="s">
        <v>617</v>
      </c>
      <c r="G1671" t="s">
        <v>682</v>
      </c>
      <c r="H1671">
        <v>0</v>
      </c>
      <c r="I1671">
        <v>1</v>
      </c>
      <c r="J1671">
        <v>1</v>
      </c>
      <c r="K1671">
        <v>1</v>
      </c>
      <c r="L1671">
        <v>1</v>
      </c>
      <c r="M1671">
        <v>1</v>
      </c>
      <c r="N1671">
        <v>1</v>
      </c>
      <c r="O1671">
        <v>1</v>
      </c>
      <c r="P1671">
        <v>1</v>
      </c>
      <c r="Q1671">
        <v>1</v>
      </c>
      <c r="R1671">
        <v>1</v>
      </c>
      <c r="S1671">
        <v>1</v>
      </c>
      <c r="T1671">
        <f t="shared" si="80"/>
        <v>11</v>
      </c>
      <c r="U1671">
        <v>1</v>
      </c>
    </row>
    <row r="1672" spans="1:21" x14ac:dyDescent="0.3">
      <c r="A1672" t="str">
        <f t="shared" si="78"/>
        <v>ShropshireSocial support (including VCS) (pathway 0)3</v>
      </c>
      <c r="B1672">
        <f>IF(C1672="","",COUNTIF($C$2:C1672,C1672))</f>
        <v>3</v>
      </c>
      <c r="C1672" t="str">
        <f t="shared" si="79"/>
        <v>ShropshireSocial support (including VCS) (pathway 0)</v>
      </c>
      <c r="D1672" t="str">
        <f>VLOOKUP(G1672,PathwayLookup!A:B,2,0)</f>
        <v>Social support (including VCS) (pathway 0)</v>
      </c>
      <c r="E1672" t="s">
        <v>281</v>
      </c>
      <c r="F1672" t="s">
        <v>622</v>
      </c>
      <c r="G1672" t="s">
        <v>682</v>
      </c>
      <c r="H1672">
        <v>42</v>
      </c>
      <c r="I1672">
        <v>38</v>
      </c>
      <c r="J1672">
        <v>18</v>
      </c>
      <c r="K1672">
        <v>18</v>
      </c>
      <c r="L1672">
        <v>18</v>
      </c>
      <c r="M1672">
        <v>18</v>
      </c>
      <c r="N1672">
        <v>18</v>
      </c>
      <c r="O1672">
        <v>18</v>
      </c>
      <c r="P1672">
        <v>18</v>
      </c>
      <c r="Q1672">
        <v>40</v>
      </c>
      <c r="R1672">
        <v>40</v>
      </c>
      <c r="S1672">
        <v>40</v>
      </c>
      <c r="T1672">
        <f t="shared" si="80"/>
        <v>326</v>
      </c>
      <c r="U1672">
        <v>1</v>
      </c>
    </row>
    <row r="1673" spans="1:21" x14ac:dyDescent="0.3">
      <c r="A1673" t="str">
        <f t="shared" si="78"/>
        <v>ShropshireSocial support (including VCS) (pathway 0)4</v>
      </c>
      <c r="B1673">
        <f>IF(C1673="","",COUNTIF($C$2:C1673,C1673))</f>
        <v>4</v>
      </c>
      <c r="C1673" t="str">
        <f t="shared" si="79"/>
        <v>ShropshireSocial support (including VCS) (pathway 0)</v>
      </c>
      <c r="D1673" t="str">
        <f>VLOOKUP(G1673,PathwayLookup!A:B,2,0)</f>
        <v>Social support (including VCS) (pathway 0)</v>
      </c>
      <c r="E1673" t="s">
        <v>281</v>
      </c>
      <c r="F1673" t="s">
        <v>651</v>
      </c>
      <c r="G1673" t="s">
        <v>682</v>
      </c>
      <c r="H1673">
        <v>5</v>
      </c>
      <c r="I1673">
        <v>2</v>
      </c>
      <c r="J1673">
        <v>2</v>
      </c>
      <c r="K1673">
        <v>2</v>
      </c>
      <c r="L1673">
        <v>2</v>
      </c>
      <c r="M1673">
        <v>2</v>
      </c>
      <c r="N1673">
        <v>3</v>
      </c>
      <c r="O1673">
        <v>3</v>
      </c>
      <c r="P1673">
        <v>3</v>
      </c>
      <c r="Q1673">
        <v>2</v>
      </c>
      <c r="R1673">
        <v>2</v>
      </c>
      <c r="S1673">
        <v>2</v>
      </c>
      <c r="T1673">
        <f t="shared" si="80"/>
        <v>30</v>
      </c>
      <c r="U1673">
        <v>1</v>
      </c>
    </row>
    <row r="1674" spans="1:21" x14ac:dyDescent="0.3">
      <c r="A1674" t="str">
        <f t="shared" si="78"/>
        <v>ShropshireReablement &amp; Rehabilitation at home  (pathway 1)1</v>
      </c>
      <c r="B1674">
        <f>IF(C1674="","",COUNTIF($C$2:C1674,C1674))</f>
        <v>1</v>
      </c>
      <c r="C1674" t="str">
        <f t="shared" si="79"/>
        <v>ShropshireReablement at home  (pathway 1)</v>
      </c>
      <c r="D1674" t="str">
        <f>VLOOKUP(G1674,PathwayLookup!A:B,2,0)</f>
        <v>Reablement &amp; Rehabilitation at home  (pathway 1)</v>
      </c>
      <c r="E1674" t="s">
        <v>281</v>
      </c>
      <c r="F1674" t="s">
        <v>589</v>
      </c>
      <c r="G1674" t="s">
        <v>718</v>
      </c>
      <c r="H1674">
        <v>43</v>
      </c>
      <c r="I1674">
        <v>49</v>
      </c>
      <c r="J1674">
        <v>41</v>
      </c>
      <c r="K1674">
        <v>38</v>
      </c>
      <c r="L1674">
        <v>38</v>
      </c>
      <c r="M1674">
        <v>38</v>
      </c>
      <c r="N1674">
        <v>36</v>
      </c>
      <c r="O1674">
        <v>36</v>
      </c>
      <c r="P1674">
        <v>36</v>
      </c>
      <c r="Q1674">
        <v>39</v>
      </c>
      <c r="R1674">
        <v>39</v>
      </c>
      <c r="S1674">
        <v>39</v>
      </c>
      <c r="T1674">
        <f t="shared" si="80"/>
        <v>472</v>
      </c>
      <c r="U1674">
        <v>1</v>
      </c>
    </row>
    <row r="1675" spans="1:21" x14ac:dyDescent="0.3">
      <c r="A1675" t="str">
        <f t="shared" si="78"/>
        <v>ShropshireReablement &amp; Rehabilitation at home  (pathway 1)2</v>
      </c>
      <c r="B1675">
        <f>IF(C1675="","",COUNTIF($C$2:C1675,C1675))</f>
        <v>2</v>
      </c>
      <c r="C1675" t="str">
        <f t="shared" si="79"/>
        <v>ShropshireReablement at home  (pathway 1)</v>
      </c>
      <c r="D1675" t="str">
        <f>VLOOKUP(G1675,PathwayLookup!A:B,2,0)</f>
        <v>Reablement &amp; Rehabilitation at home  (pathway 1)</v>
      </c>
      <c r="E1675" t="s">
        <v>281</v>
      </c>
      <c r="F1675" t="s">
        <v>617</v>
      </c>
      <c r="G1675" t="s">
        <v>718</v>
      </c>
      <c r="H1675">
        <v>5</v>
      </c>
      <c r="I1675">
        <v>6</v>
      </c>
      <c r="J1675">
        <v>7</v>
      </c>
      <c r="K1675">
        <v>7</v>
      </c>
      <c r="L1675">
        <v>7</v>
      </c>
      <c r="M1675">
        <v>7</v>
      </c>
      <c r="N1675">
        <v>6</v>
      </c>
      <c r="O1675">
        <v>6</v>
      </c>
      <c r="P1675">
        <v>6</v>
      </c>
      <c r="Q1675">
        <v>6</v>
      </c>
      <c r="R1675">
        <v>6</v>
      </c>
      <c r="S1675">
        <v>6</v>
      </c>
      <c r="T1675">
        <f t="shared" si="80"/>
        <v>75</v>
      </c>
      <c r="U1675">
        <v>1</v>
      </c>
    </row>
    <row r="1676" spans="1:21" x14ac:dyDescent="0.3">
      <c r="A1676" t="str">
        <f t="shared" si="78"/>
        <v>ShropshireReablement &amp; Rehabilitation at home  (pathway 1)3</v>
      </c>
      <c r="B1676">
        <f>IF(C1676="","",COUNTIF($C$2:C1676,C1676))</f>
        <v>3</v>
      </c>
      <c r="C1676" t="str">
        <f t="shared" si="79"/>
        <v>ShropshireReablement at home  (pathway 1)</v>
      </c>
      <c r="D1676" t="str">
        <f>VLOOKUP(G1676,PathwayLookup!A:B,2,0)</f>
        <v>Reablement &amp; Rehabilitation at home  (pathway 1)</v>
      </c>
      <c r="E1676" t="s">
        <v>281</v>
      </c>
      <c r="F1676" t="s">
        <v>622</v>
      </c>
      <c r="G1676" t="s">
        <v>718</v>
      </c>
      <c r="H1676">
        <v>83</v>
      </c>
      <c r="I1676">
        <v>88</v>
      </c>
      <c r="J1676">
        <v>78</v>
      </c>
      <c r="K1676">
        <v>78</v>
      </c>
      <c r="L1676">
        <v>78</v>
      </c>
      <c r="M1676">
        <v>83</v>
      </c>
      <c r="N1676">
        <v>83</v>
      </c>
      <c r="O1676">
        <v>83</v>
      </c>
      <c r="P1676">
        <v>83</v>
      </c>
      <c r="Q1676">
        <v>88</v>
      </c>
      <c r="R1676">
        <v>88</v>
      </c>
      <c r="S1676">
        <v>88</v>
      </c>
      <c r="T1676">
        <f t="shared" si="80"/>
        <v>1001</v>
      </c>
      <c r="U1676">
        <v>1</v>
      </c>
    </row>
    <row r="1677" spans="1:21" x14ac:dyDescent="0.3">
      <c r="A1677" t="str">
        <f t="shared" si="78"/>
        <v>ShropshireReablement &amp; Rehabilitation at home  (pathway 1)4</v>
      </c>
      <c r="B1677">
        <f>IF(C1677="","",COUNTIF($C$2:C1677,C1677))</f>
        <v>4</v>
      </c>
      <c r="C1677" t="str">
        <f t="shared" si="79"/>
        <v>ShropshireReablement at home  (pathway 1)</v>
      </c>
      <c r="D1677" t="str">
        <f>VLOOKUP(G1677,PathwayLookup!A:B,2,0)</f>
        <v>Reablement &amp; Rehabilitation at home  (pathway 1)</v>
      </c>
      <c r="E1677" t="s">
        <v>281</v>
      </c>
      <c r="F1677" t="s">
        <v>651</v>
      </c>
      <c r="G1677" t="s">
        <v>718</v>
      </c>
      <c r="H1677">
        <v>19</v>
      </c>
      <c r="I1677">
        <v>17</v>
      </c>
      <c r="J1677">
        <v>15</v>
      </c>
      <c r="K1677">
        <v>13</v>
      </c>
      <c r="L1677">
        <v>13</v>
      </c>
      <c r="M1677">
        <v>13</v>
      </c>
      <c r="N1677">
        <v>13</v>
      </c>
      <c r="O1677">
        <v>13</v>
      </c>
      <c r="P1677">
        <v>13</v>
      </c>
      <c r="Q1677">
        <v>15</v>
      </c>
      <c r="R1677">
        <v>15</v>
      </c>
      <c r="S1677">
        <v>15</v>
      </c>
      <c r="T1677">
        <f t="shared" si="80"/>
        <v>174</v>
      </c>
      <c r="U1677">
        <v>1</v>
      </c>
    </row>
    <row r="1678" spans="1:21" x14ac:dyDescent="0.3">
      <c r="A1678" t="str">
        <f t="shared" si="78"/>
        <v/>
      </c>
      <c r="B1678" t="str">
        <f>IF(C1678="","",COUNTIF($C$2:C1678,C1678))</f>
        <v/>
      </c>
      <c r="C1678" t="str">
        <f t="shared" si="79"/>
        <v/>
      </c>
      <c r="D1678" t="str">
        <f>VLOOKUP(G1678,PathwayLookup!A:B,2,0)</f>
        <v>Reablement &amp; Rehabilitation at home  (pathway 1)</v>
      </c>
      <c r="E1678" t="s">
        <v>281</v>
      </c>
      <c r="F1678" t="s">
        <v>589</v>
      </c>
      <c r="G1678" t="s">
        <v>719</v>
      </c>
      <c r="H1678">
        <v>0</v>
      </c>
      <c r="I1678">
        <v>0</v>
      </c>
      <c r="J1678">
        <v>0</v>
      </c>
      <c r="K1678">
        <v>0</v>
      </c>
      <c r="L1678">
        <v>0</v>
      </c>
      <c r="M1678">
        <v>0</v>
      </c>
      <c r="N1678">
        <v>0</v>
      </c>
      <c r="O1678">
        <v>0</v>
      </c>
      <c r="P1678">
        <v>0</v>
      </c>
      <c r="Q1678">
        <v>0</v>
      </c>
      <c r="R1678">
        <v>0</v>
      </c>
      <c r="S1678">
        <v>0</v>
      </c>
      <c r="T1678">
        <f t="shared" si="80"/>
        <v>0</v>
      </c>
      <c r="U1678">
        <v>1</v>
      </c>
    </row>
    <row r="1679" spans="1:21" x14ac:dyDescent="0.3">
      <c r="A1679" t="str">
        <f t="shared" si="78"/>
        <v/>
      </c>
      <c r="B1679" t="str">
        <f>IF(C1679="","",COUNTIF($C$2:C1679,C1679))</f>
        <v/>
      </c>
      <c r="C1679" t="str">
        <f t="shared" si="79"/>
        <v/>
      </c>
      <c r="D1679" t="str">
        <f>VLOOKUP(G1679,PathwayLookup!A:B,2,0)</f>
        <v>Reablement &amp; Rehabilitation at home  (pathway 1)</v>
      </c>
      <c r="E1679" t="s">
        <v>281</v>
      </c>
      <c r="F1679" t="s">
        <v>617</v>
      </c>
      <c r="G1679" t="s">
        <v>719</v>
      </c>
      <c r="H1679">
        <v>0</v>
      </c>
      <c r="I1679">
        <v>0</v>
      </c>
      <c r="J1679">
        <v>0</v>
      </c>
      <c r="K1679">
        <v>0</v>
      </c>
      <c r="L1679">
        <v>0</v>
      </c>
      <c r="M1679">
        <v>0</v>
      </c>
      <c r="N1679">
        <v>0</v>
      </c>
      <c r="O1679">
        <v>0</v>
      </c>
      <c r="P1679">
        <v>0</v>
      </c>
      <c r="Q1679">
        <v>0</v>
      </c>
      <c r="R1679">
        <v>0</v>
      </c>
      <c r="S1679">
        <v>0</v>
      </c>
      <c r="T1679">
        <f t="shared" si="80"/>
        <v>0</v>
      </c>
      <c r="U1679">
        <v>1</v>
      </c>
    </row>
    <row r="1680" spans="1:21" x14ac:dyDescent="0.3">
      <c r="A1680" t="str">
        <f t="shared" si="78"/>
        <v/>
      </c>
      <c r="B1680" t="str">
        <f>IF(C1680="","",COUNTIF($C$2:C1680,C1680))</f>
        <v/>
      </c>
      <c r="C1680" t="str">
        <f t="shared" si="79"/>
        <v/>
      </c>
      <c r="D1680" t="str">
        <f>VLOOKUP(G1680,PathwayLookup!A:B,2,0)</f>
        <v>Reablement &amp; Rehabilitation at home  (pathway 1)</v>
      </c>
      <c r="E1680" t="s">
        <v>281</v>
      </c>
      <c r="F1680" t="s">
        <v>622</v>
      </c>
      <c r="G1680" t="s">
        <v>719</v>
      </c>
      <c r="H1680">
        <v>0</v>
      </c>
      <c r="I1680">
        <v>0</v>
      </c>
      <c r="J1680">
        <v>0</v>
      </c>
      <c r="K1680">
        <v>0</v>
      </c>
      <c r="L1680">
        <v>0</v>
      </c>
      <c r="M1680">
        <v>0</v>
      </c>
      <c r="N1680">
        <v>0</v>
      </c>
      <c r="O1680">
        <v>0</v>
      </c>
      <c r="P1680">
        <v>0</v>
      </c>
      <c r="Q1680">
        <v>0</v>
      </c>
      <c r="R1680">
        <v>0</v>
      </c>
      <c r="S1680">
        <v>0</v>
      </c>
      <c r="T1680">
        <f t="shared" si="80"/>
        <v>0</v>
      </c>
      <c r="U1680">
        <v>1</v>
      </c>
    </row>
    <row r="1681" spans="1:21" x14ac:dyDescent="0.3">
      <c r="A1681" t="str">
        <f t="shared" si="78"/>
        <v/>
      </c>
      <c r="B1681" t="str">
        <f>IF(C1681="","",COUNTIF($C$2:C1681,C1681))</f>
        <v/>
      </c>
      <c r="C1681" t="str">
        <f t="shared" si="79"/>
        <v/>
      </c>
      <c r="D1681" t="str">
        <f>VLOOKUP(G1681,PathwayLookup!A:B,2,0)</f>
        <v>Reablement &amp; Rehabilitation at home  (pathway 1)</v>
      </c>
      <c r="E1681" t="s">
        <v>281</v>
      </c>
      <c r="F1681" t="s">
        <v>651</v>
      </c>
      <c r="G1681" t="s">
        <v>719</v>
      </c>
      <c r="H1681">
        <v>0</v>
      </c>
      <c r="I1681">
        <v>0</v>
      </c>
      <c r="J1681">
        <v>0</v>
      </c>
      <c r="K1681">
        <v>0</v>
      </c>
      <c r="L1681">
        <v>0</v>
      </c>
      <c r="M1681">
        <v>0</v>
      </c>
      <c r="N1681">
        <v>0</v>
      </c>
      <c r="O1681">
        <v>0</v>
      </c>
      <c r="P1681">
        <v>0</v>
      </c>
      <c r="Q1681">
        <v>0</v>
      </c>
      <c r="R1681">
        <v>0</v>
      </c>
      <c r="S1681">
        <v>0</v>
      </c>
      <c r="T1681">
        <f t="shared" si="80"/>
        <v>0</v>
      </c>
      <c r="U1681">
        <v>1</v>
      </c>
    </row>
    <row r="1682" spans="1:21" x14ac:dyDescent="0.3">
      <c r="A1682" t="str">
        <f t="shared" si="78"/>
        <v>ShropshireShort term domiciliary care (pathway 1)1</v>
      </c>
      <c r="B1682">
        <f>IF(C1682="","",COUNTIF($C$2:C1682,C1682))</f>
        <v>1</v>
      </c>
      <c r="C1682" t="str">
        <f t="shared" si="79"/>
        <v>ShropshireShort term domiciliary care (pathway 1)</v>
      </c>
      <c r="D1682" t="str">
        <f>VLOOKUP(G1682,PathwayLookup!A:B,2,0)</f>
        <v>Short term domiciliary care (pathway 1)</v>
      </c>
      <c r="E1682" t="s">
        <v>281</v>
      </c>
      <c r="F1682" t="s">
        <v>589</v>
      </c>
      <c r="G1682" t="s">
        <v>684</v>
      </c>
      <c r="H1682">
        <v>6</v>
      </c>
      <c r="I1682">
        <v>7</v>
      </c>
      <c r="J1682">
        <v>6</v>
      </c>
      <c r="K1682">
        <v>5</v>
      </c>
      <c r="L1682">
        <v>5</v>
      </c>
      <c r="M1682">
        <v>5</v>
      </c>
      <c r="N1682">
        <v>5</v>
      </c>
      <c r="O1682">
        <v>5</v>
      </c>
      <c r="P1682">
        <v>5</v>
      </c>
      <c r="Q1682">
        <v>6</v>
      </c>
      <c r="R1682">
        <v>6</v>
      </c>
      <c r="S1682">
        <v>6</v>
      </c>
      <c r="T1682">
        <f t="shared" si="80"/>
        <v>67</v>
      </c>
      <c r="U1682">
        <v>1</v>
      </c>
    </row>
    <row r="1683" spans="1:21" x14ac:dyDescent="0.3">
      <c r="A1683" t="str">
        <f t="shared" si="78"/>
        <v>ShropshireShort term domiciliary care (pathway 1)2</v>
      </c>
      <c r="B1683">
        <f>IF(C1683="","",COUNTIF($C$2:C1683,C1683))</f>
        <v>2</v>
      </c>
      <c r="C1683" t="str">
        <f t="shared" si="79"/>
        <v>ShropshireShort term domiciliary care (pathway 1)</v>
      </c>
      <c r="D1683" t="str">
        <f>VLOOKUP(G1683,PathwayLookup!A:B,2,0)</f>
        <v>Short term domiciliary care (pathway 1)</v>
      </c>
      <c r="E1683" t="s">
        <v>281</v>
      </c>
      <c r="F1683" t="s">
        <v>617</v>
      </c>
      <c r="G1683" t="s">
        <v>684</v>
      </c>
      <c r="H1683">
        <v>0</v>
      </c>
      <c r="I1683">
        <v>1</v>
      </c>
      <c r="J1683">
        <v>1</v>
      </c>
      <c r="K1683">
        <v>1</v>
      </c>
      <c r="L1683">
        <v>1</v>
      </c>
      <c r="M1683">
        <v>1</v>
      </c>
      <c r="N1683">
        <v>1</v>
      </c>
      <c r="O1683">
        <v>1</v>
      </c>
      <c r="P1683">
        <v>1</v>
      </c>
      <c r="Q1683">
        <v>1</v>
      </c>
      <c r="R1683">
        <v>1</v>
      </c>
      <c r="S1683">
        <v>1</v>
      </c>
      <c r="T1683">
        <f t="shared" si="80"/>
        <v>11</v>
      </c>
      <c r="U1683">
        <v>1</v>
      </c>
    </row>
    <row r="1684" spans="1:21" x14ac:dyDescent="0.3">
      <c r="A1684" t="str">
        <f t="shared" si="78"/>
        <v>ShropshireShort term domiciliary care (pathway 1)3</v>
      </c>
      <c r="B1684">
        <f>IF(C1684="","",COUNTIF($C$2:C1684,C1684))</f>
        <v>3</v>
      </c>
      <c r="C1684" t="str">
        <f t="shared" si="79"/>
        <v>ShropshireShort term domiciliary care (pathway 1)</v>
      </c>
      <c r="D1684" t="str">
        <f>VLOOKUP(G1684,PathwayLookup!A:B,2,0)</f>
        <v>Short term domiciliary care (pathway 1)</v>
      </c>
      <c r="E1684" t="s">
        <v>281</v>
      </c>
      <c r="F1684" t="s">
        <v>622</v>
      </c>
      <c r="G1684" t="s">
        <v>684</v>
      </c>
      <c r="H1684">
        <v>30</v>
      </c>
      <c r="I1684">
        <v>31</v>
      </c>
      <c r="J1684">
        <v>28</v>
      </c>
      <c r="K1684">
        <v>28</v>
      </c>
      <c r="L1684">
        <v>28</v>
      </c>
      <c r="M1684">
        <v>29</v>
      </c>
      <c r="N1684">
        <v>29</v>
      </c>
      <c r="O1684">
        <v>29</v>
      </c>
      <c r="P1684">
        <v>29</v>
      </c>
      <c r="Q1684">
        <v>31</v>
      </c>
      <c r="R1684">
        <v>31</v>
      </c>
      <c r="S1684">
        <v>31</v>
      </c>
      <c r="T1684">
        <f t="shared" si="80"/>
        <v>354</v>
      </c>
      <c r="U1684">
        <v>1</v>
      </c>
    </row>
    <row r="1685" spans="1:21" x14ac:dyDescent="0.3">
      <c r="A1685" t="str">
        <f t="shared" si="78"/>
        <v>ShropshireShort term domiciliary care (pathway 1)4</v>
      </c>
      <c r="B1685">
        <f>IF(C1685="","",COUNTIF($C$2:C1685,C1685))</f>
        <v>4</v>
      </c>
      <c r="C1685" t="str">
        <f t="shared" si="79"/>
        <v>ShropshireShort term domiciliary care (pathway 1)</v>
      </c>
      <c r="D1685" t="str">
        <f>VLOOKUP(G1685,PathwayLookup!A:B,2,0)</f>
        <v>Short term domiciliary care (pathway 1)</v>
      </c>
      <c r="E1685" t="s">
        <v>281</v>
      </c>
      <c r="F1685" t="s">
        <v>651</v>
      </c>
      <c r="G1685" t="s">
        <v>684</v>
      </c>
      <c r="H1685">
        <v>3</v>
      </c>
      <c r="I1685">
        <v>3</v>
      </c>
      <c r="J1685">
        <v>3</v>
      </c>
      <c r="K1685">
        <v>2</v>
      </c>
      <c r="L1685">
        <v>2</v>
      </c>
      <c r="M1685">
        <v>2</v>
      </c>
      <c r="N1685">
        <v>2</v>
      </c>
      <c r="O1685">
        <v>2</v>
      </c>
      <c r="P1685">
        <v>2</v>
      </c>
      <c r="Q1685">
        <v>3</v>
      </c>
      <c r="R1685">
        <v>3</v>
      </c>
      <c r="S1685">
        <v>3</v>
      </c>
      <c r="T1685">
        <f t="shared" si="80"/>
        <v>30</v>
      </c>
      <c r="U1685">
        <v>1</v>
      </c>
    </row>
    <row r="1686" spans="1:21" x14ac:dyDescent="0.3">
      <c r="A1686" t="str">
        <f t="shared" si="78"/>
        <v/>
      </c>
      <c r="B1686" t="str">
        <f>IF(C1686="","",COUNTIF($C$2:C1686,C1686))</f>
        <v/>
      </c>
      <c r="C1686" t="str">
        <f t="shared" si="79"/>
        <v/>
      </c>
      <c r="D1686" t="str">
        <f>VLOOKUP(G1686,PathwayLookup!A:B,2,0)</f>
        <v>Reablement &amp; Rehabilitation in a bedded setting (pathway 2)</v>
      </c>
      <c r="E1686" t="s">
        <v>281</v>
      </c>
      <c r="F1686" t="s">
        <v>589</v>
      </c>
      <c r="G1686" t="s">
        <v>722</v>
      </c>
      <c r="H1686">
        <v>0</v>
      </c>
      <c r="I1686">
        <v>0</v>
      </c>
      <c r="J1686">
        <v>0</v>
      </c>
      <c r="K1686">
        <v>0</v>
      </c>
      <c r="L1686">
        <v>0</v>
      </c>
      <c r="M1686">
        <v>0</v>
      </c>
      <c r="N1686">
        <v>0</v>
      </c>
      <c r="O1686">
        <v>0</v>
      </c>
      <c r="P1686">
        <v>0</v>
      </c>
      <c r="Q1686">
        <v>0</v>
      </c>
      <c r="R1686">
        <v>0</v>
      </c>
      <c r="S1686">
        <v>0</v>
      </c>
      <c r="T1686">
        <f t="shared" si="80"/>
        <v>0</v>
      </c>
      <c r="U1686">
        <v>1</v>
      </c>
    </row>
    <row r="1687" spans="1:21" x14ac:dyDescent="0.3">
      <c r="A1687" t="str">
        <f t="shared" si="78"/>
        <v/>
      </c>
      <c r="B1687" t="str">
        <f>IF(C1687="","",COUNTIF($C$2:C1687,C1687))</f>
        <v/>
      </c>
      <c r="C1687" t="str">
        <f t="shared" si="79"/>
        <v/>
      </c>
      <c r="D1687" t="str">
        <f>VLOOKUP(G1687,PathwayLookup!A:B,2,0)</f>
        <v>Reablement &amp; Rehabilitation in a bedded setting (pathway 2)</v>
      </c>
      <c r="E1687" t="s">
        <v>281</v>
      </c>
      <c r="F1687" t="s">
        <v>617</v>
      </c>
      <c r="G1687" t="s">
        <v>722</v>
      </c>
      <c r="H1687">
        <v>0</v>
      </c>
      <c r="I1687">
        <v>0</v>
      </c>
      <c r="J1687">
        <v>0</v>
      </c>
      <c r="K1687">
        <v>0</v>
      </c>
      <c r="L1687">
        <v>0</v>
      </c>
      <c r="M1687">
        <v>0</v>
      </c>
      <c r="N1687">
        <v>0</v>
      </c>
      <c r="O1687">
        <v>0</v>
      </c>
      <c r="P1687">
        <v>0</v>
      </c>
      <c r="Q1687">
        <v>0</v>
      </c>
      <c r="R1687">
        <v>0</v>
      </c>
      <c r="S1687">
        <v>0</v>
      </c>
      <c r="T1687">
        <f t="shared" si="80"/>
        <v>0</v>
      </c>
      <c r="U1687">
        <v>1</v>
      </c>
    </row>
    <row r="1688" spans="1:21" x14ac:dyDescent="0.3">
      <c r="A1688" t="str">
        <f t="shared" si="78"/>
        <v>ShropshireReablement &amp; Rehabilitation in a bedded setting (pathway 2)1</v>
      </c>
      <c r="B1688">
        <f>IF(C1688="","",COUNTIF($C$2:C1688,C1688))</f>
        <v>1</v>
      </c>
      <c r="C1688" t="str">
        <f t="shared" si="79"/>
        <v>ShropshireReablement in a bedded setting (pathway 2)</v>
      </c>
      <c r="D1688" t="str">
        <f>VLOOKUP(G1688,PathwayLookup!A:B,2,0)</f>
        <v>Reablement &amp; Rehabilitation in a bedded setting (pathway 2)</v>
      </c>
      <c r="E1688" t="s">
        <v>281</v>
      </c>
      <c r="F1688" t="s">
        <v>622</v>
      </c>
      <c r="G1688" t="s">
        <v>722</v>
      </c>
      <c r="H1688">
        <v>7</v>
      </c>
      <c r="I1688">
        <v>5</v>
      </c>
      <c r="J1688">
        <v>18</v>
      </c>
      <c r="K1688">
        <v>18</v>
      </c>
      <c r="L1688">
        <v>18</v>
      </c>
      <c r="M1688">
        <v>18</v>
      </c>
      <c r="N1688">
        <v>19</v>
      </c>
      <c r="O1688">
        <v>19</v>
      </c>
      <c r="P1688">
        <v>19</v>
      </c>
      <c r="Q1688">
        <v>23</v>
      </c>
      <c r="R1688">
        <v>23</v>
      </c>
      <c r="S1688">
        <v>23</v>
      </c>
      <c r="T1688">
        <f t="shared" si="80"/>
        <v>210</v>
      </c>
      <c r="U1688">
        <v>1</v>
      </c>
    </row>
    <row r="1689" spans="1:21" x14ac:dyDescent="0.3">
      <c r="A1689" t="str">
        <f t="shared" si="78"/>
        <v>ShropshireReablement &amp; Rehabilitation in a bedded setting (pathway 2)2</v>
      </c>
      <c r="B1689">
        <f>IF(C1689="","",COUNTIF($C$2:C1689,C1689))</f>
        <v>2</v>
      </c>
      <c r="C1689" t="str">
        <f t="shared" si="79"/>
        <v>ShropshireReablement in a bedded setting (pathway 2)</v>
      </c>
      <c r="D1689" t="str">
        <f>VLOOKUP(G1689,PathwayLookup!A:B,2,0)</f>
        <v>Reablement &amp; Rehabilitation in a bedded setting (pathway 2)</v>
      </c>
      <c r="E1689" t="s">
        <v>281</v>
      </c>
      <c r="F1689" t="s">
        <v>651</v>
      </c>
      <c r="G1689" t="s">
        <v>722</v>
      </c>
      <c r="H1689">
        <v>0</v>
      </c>
      <c r="I1689">
        <v>0</v>
      </c>
      <c r="J1689">
        <v>1</v>
      </c>
      <c r="K1689">
        <v>1</v>
      </c>
      <c r="L1689">
        <v>1</v>
      </c>
      <c r="M1689">
        <v>1</v>
      </c>
      <c r="N1689">
        <v>1</v>
      </c>
      <c r="O1689">
        <v>1</v>
      </c>
      <c r="P1689">
        <v>1</v>
      </c>
      <c r="Q1689">
        <v>1</v>
      </c>
      <c r="R1689">
        <v>1</v>
      </c>
      <c r="S1689">
        <v>1</v>
      </c>
      <c r="T1689">
        <f t="shared" si="80"/>
        <v>10</v>
      </c>
      <c r="U1689">
        <v>1</v>
      </c>
    </row>
    <row r="1690" spans="1:21" x14ac:dyDescent="0.3">
      <c r="A1690" t="str">
        <f t="shared" si="78"/>
        <v/>
      </c>
      <c r="B1690" t="str">
        <f>IF(C1690="","",COUNTIF($C$2:C1690,C1690))</f>
        <v/>
      </c>
      <c r="C1690" t="str">
        <f t="shared" si="79"/>
        <v/>
      </c>
      <c r="D1690" t="str">
        <f>VLOOKUP(G1690,PathwayLookup!A:B,2,0)</f>
        <v>Reablement &amp; Rehabilitation in a bedded setting (pathway 2)</v>
      </c>
      <c r="E1690" t="s">
        <v>281</v>
      </c>
      <c r="F1690" t="s">
        <v>589</v>
      </c>
      <c r="G1690" t="s">
        <v>724</v>
      </c>
      <c r="H1690">
        <v>0</v>
      </c>
      <c r="I1690">
        <v>0</v>
      </c>
      <c r="J1690">
        <v>0</v>
      </c>
      <c r="K1690">
        <v>0</v>
      </c>
      <c r="L1690">
        <v>0</v>
      </c>
      <c r="M1690">
        <v>0</v>
      </c>
      <c r="N1690">
        <v>0</v>
      </c>
      <c r="O1690">
        <v>0</v>
      </c>
      <c r="P1690">
        <v>0</v>
      </c>
      <c r="Q1690">
        <v>0</v>
      </c>
      <c r="R1690">
        <v>0</v>
      </c>
      <c r="S1690">
        <v>0</v>
      </c>
      <c r="T1690">
        <f t="shared" si="80"/>
        <v>0</v>
      </c>
      <c r="U1690">
        <v>1</v>
      </c>
    </row>
    <row r="1691" spans="1:21" x14ac:dyDescent="0.3">
      <c r="A1691" t="str">
        <f t="shared" si="78"/>
        <v/>
      </c>
      <c r="B1691" t="str">
        <f>IF(C1691="","",COUNTIF($C$2:C1691,C1691))</f>
        <v/>
      </c>
      <c r="C1691" t="str">
        <f t="shared" si="79"/>
        <v/>
      </c>
      <c r="D1691" t="str">
        <f>VLOOKUP(G1691,PathwayLookup!A:B,2,0)</f>
        <v>Reablement &amp; Rehabilitation in a bedded setting (pathway 2)</v>
      </c>
      <c r="E1691" t="s">
        <v>281</v>
      </c>
      <c r="F1691" t="s">
        <v>617</v>
      </c>
      <c r="G1691" t="s">
        <v>724</v>
      </c>
      <c r="H1691">
        <v>0</v>
      </c>
      <c r="I1691">
        <v>0</v>
      </c>
      <c r="J1691">
        <v>0</v>
      </c>
      <c r="K1691">
        <v>0</v>
      </c>
      <c r="L1691">
        <v>0</v>
      </c>
      <c r="M1691">
        <v>0</v>
      </c>
      <c r="N1691">
        <v>0</v>
      </c>
      <c r="O1691">
        <v>0</v>
      </c>
      <c r="P1691">
        <v>0</v>
      </c>
      <c r="Q1691">
        <v>0</v>
      </c>
      <c r="R1691">
        <v>0</v>
      </c>
      <c r="S1691">
        <v>0</v>
      </c>
      <c r="T1691">
        <f t="shared" si="80"/>
        <v>0</v>
      </c>
      <c r="U1691">
        <v>1</v>
      </c>
    </row>
    <row r="1692" spans="1:21" x14ac:dyDescent="0.3">
      <c r="A1692" t="str">
        <f t="shared" si="78"/>
        <v/>
      </c>
      <c r="B1692" t="str">
        <f>IF(C1692="","",COUNTIF($C$2:C1692,C1692))</f>
        <v/>
      </c>
      <c r="C1692" t="str">
        <f t="shared" si="79"/>
        <v/>
      </c>
      <c r="D1692" t="str">
        <f>VLOOKUP(G1692,PathwayLookup!A:B,2,0)</f>
        <v>Reablement &amp; Rehabilitation in a bedded setting (pathway 2)</v>
      </c>
      <c r="E1692" t="s">
        <v>281</v>
      </c>
      <c r="F1692" t="s">
        <v>622</v>
      </c>
      <c r="G1692" t="s">
        <v>724</v>
      </c>
      <c r="H1692">
        <v>0</v>
      </c>
      <c r="I1692">
        <v>0</v>
      </c>
      <c r="J1692">
        <v>0</v>
      </c>
      <c r="K1692">
        <v>0</v>
      </c>
      <c r="L1692">
        <v>0</v>
      </c>
      <c r="M1692">
        <v>0</v>
      </c>
      <c r="N1692">
        <v>0</v>
      </c>
      <c r="O1692">
        <v>0</v>
      </c>
      <c r="P1692">
        <v>0</v>
      </c>
      <c r="Q1692">
        <v>0</v>
      </c>
      <c r="R1692">
        <v>0</v>
      </c>
      <c r="S1692">
        <v>0</v>
      </c>
      <c r="T1692">
        <f t="shared" si="80"/>
        <v>0</v>
      </c>
      <c r="U1692">
        <v>1</v>
      </c>
    </row>
    <row r="1693" spans="1:21" x14ac:dyDescent="0.3">
      <c r="A1693" t="str">
        <f t="shared" si="78"/>
        <v/>
      </c>
      <c r="B1693" t="str">
        <f>IF(C1693="","",COUNTIF($C$2:C1693,C1693))</f>
        <v/>
      </c>
      <c r="C1693" t="str">
        <f t="shared" si="79"/>
        <v/>
      </c>
      <c r="D1693" t="str">
        <f>VLOOKUP(G1693,PathwayLookup!A:B,2,0)</f>
        <v>Reablement &amp; Rehabilitation in a bedded setting (pathway 2)</v>
      </c>
      <c r="E1693" t="s">
        <v>281</v>
      </c>
      <c r="F1693" t="s">
        <v>651</v>
      </c>
      <c r="G1693" t="s">
        <v>724</v>
      </c>
      <c r="H1693">
        <v>0</v>
      </c>
      <c r="I1693">
        <v>0</v>
      </c>
      <c r="J1693">
        <v>0</v>
      </c>
      <c r="K1693">
        <v>0</v>
      </c>
      <c r="L1693">
        <v>0</v>
      </c>
      <c r="M1693">
        <v>0</v>
      </c>
      <c r="N1693">
        <v>0</v>
      </c>
      <c r="O1693">
        <v>0</v>
      </c>
      <c r="P1693">
        <v>0</v>
      </c>
      <c r="Q1693">
        <v>0</v>
      </c>
      <c r="R1693">
        <v>0</v>
      </c>
      <c r="S1693">
        <v>0</v>
      </c>
      <c r="T1693">
        <f t="shared" si="80"/>
        <v>0</v>
      </c>
      <c r="U1693">
        <v>1</v>
      </c>
    </row>
    <row r="1694" spans="1:21" x14ac:dyDescent="0.3">
      <c r="A1694" t="str">
        <f t="shared" si="78"/>
        <v>ShropshireShort-term residential/nursing care for someone likely to require a longer-term care home placement (pathway 3)1</v>
      </c>
      <c r="B1694">
        <f>IF(C1694="","",COUNTIF($C$2:C1694,C1694))</f>
        <v>1</v>
      </c>
      <c r="C1694" t="str">
        <f t="shared" si="79"/>
        <v>ShropshireShort-term residential/nursing care for someone likely to require a longer-term care home placement (pathway 3)</v>
      </c>
      <c r="D1694" t="str">
        <f>VLOOKUP(G1694,PathwayLookup!A:B,2,0)</f>
        <v>Short-term residential/nursing care for someone likely to require a longer-term care home placement (pathway 3)</v>
      </c>
      <c r="E1694" t="s">
        <v>281</v>
      </c>
      <c r="F1694" t="s">
        <v>589</v>
      </c>
      <c r="G1694" t="s">
        <v>686</v>
      </c>
      <c r="H1694">
        <v>15</v>
      </c>
      <c r="I1694">
        <v>9</v>
      </c>
      <c r="J1694">
        <v>25</v>
      </c>
      <c r="K1694">
        <v>20</v>
      </c>
      <c r="L1694">
        <v>20</v>
      </c>
      <c r="M1694">
        <v>20</v>
      </c>
      <c r="N1694">
        <v>17</v>
      </c>
      <c r="O1694">
        <v>17</v>
      </c>
      <c r="P1694">
        <v>17</v>
      </c>
      <c r="Q1694">
        <v>22</v>
      </c>
      <c r="R1694">
        <v>22</v>
      </c>
      <c r="S1694">
        <v>22</v>
      </c>
      <c r="T1694">
        <f t="shared" si="80"/>
        <v>226</v>
      </c>
      <c r="U1694">
        <v>1</v>
      </c>
    </row>
    <row r="1695" spans="1:21" x14ac:dyDescent="0.3">
      <c r="A1695" t="str">
        <f t="shared" si="78"/>
        <v>ShropshireShort-term residential/nursing care for someone likely to require a longer-term care home placement (pathway 3)2</v>
      </c>
      <c r="B1695">
        <f>IF(C1695="","",COUNTIF($C$2:C1695,C1695))</f>
        <v>2</v>
      </c>
      <c r="C1695" t="str">
        <f t="shared" si="79"/>
        <v>ShropshireShort-term residential/nursing care for someone likely to require a longer-term care home placement (pathway 3)</v>
      </c>
      <c r="D1695" t="str">
        <f>VLOOKUP(G1695,PathwayLookup!A:B,2,0)</f>
        <v>Short-term residential/nursing care for someone likely to require a longer-term care home placement (pathway 3)</v>
      </c>
      <c r="E1695" t="s">
        <v>281</v>
      </c>
      <c r="F1695" t="s">
        <v>617</v>
      </c>
      <c r="G1695" t="s">
        <v>686</v>
      </c>
      <c r="H1695">
        <v>0</v>
      </c>
      <c r="I1695">
        <v>2</v>
      </c>
      <c r="J1695">
        <v>5</v>
      </c>
      <c r="K1695">
        <v>4</v>
      </c>
      <c r="L1695">
        <v>4</v>
      </c>
      <c r="M1695">
        <v>4</v>
      </c>
      <c r="N1695">
        <v>3</v>
      </c>
      <c r="O1695">
        <v>3</v>
      </c>
      <c r="P1695">
        <v>3</v>
      </c>
      <c r="Q1695">
        <v>3</v>
      </c>
      <c r="R1695">
        <v>3</v>
      </c>
      <c r="S1695">
        <v>3</v>
      </c>
      <c r="T1695">
        <f t="shared" si="80"/>
        <v>37</v>
      </c>
      <c r="U1695">
        <v>1</v>
      </c>
    </row>
    <row r="1696" spans="1:21" x14ac:dyDescent="0.3">
      <c r="A1696" t="str">
        <f t="shared" si="78"/>
        <v>ShropshireShort-term residential/nursing care for someone likely to require a longer-term care home placement (pathway 3)3</v>
      </c>
      <c r="B1696">
        <f>IF(C1696="","",COUNTIF($C$2:C1696,C1696))</f>
        <v>3</v>
      </c>
      <c r="C1696" t="str">
        <f t="shared" si="79"/>
        <v>ShropshireShort-term residential/nursing care for someone likely to require a longer-term care home placement (pathway 3)</v>
      </c>
      <c r="D1696" t="str">
        <f>VLOOKUP(G1696,PathwayLookup!A:B,2,0)</f>
        <v>Short-term residential/nursing care for someone likely to require a longer-term care home placement (pathway 3)</v>
      </c>
      <c r="E1696" t="s">
        <v>281</v>
      </c>
      <c r="F1696" t="s">
        <v>622</v>
      </c>
      <c r="G1696" t="s">
        <v>686</v>
      </c>
      <c r="H1696">
        <v>56</v>
      </c>
      <c r="I1696">
        <v>52</v>
      </c>
      <c r="J1696">
        <v>52</v>
      </c>
      <c r="K1696">
        <v>59</v>
      </c>
      <c r="L1696">
        <v>59</v>
      </c>
      <c r="M1696">
        <v>59</v>
      </c>
      <c r="N1696">
        <v>58</v>
      </c>
      <c r="O1696">
        <v>58</v>
      </c>
      <c r="P1696">
        <v>58</v>
      </c>
      <c r="Q1696">
        <v>66</v>
      </c>
      <c r="R1696">
        <v>66</v>
      </c>
      <c r="S1696">
        <v>66</v>
      </c>
      <c r="T1696">
        <f t="shared" si="80"/>
        <v>709</v>
      </c>
      <c r="U1696">
        <v>1</v>
      </c>
    </row>
    <row r="1697" spans="1:21" x14ac:dyDescent="0.3">
      <c r="A1697" t="str">
        <f t="shared" si="78"/>
        <v>ShropshireShort-term residential/nursing care for someone likely to require a longer-term care home placement (pathway 3)4</v>
      </c>
      <c r="B1697">
        <f>IF(C1697="","",COUNTIF($C$2:C1697,C1697))</f>
        <v>4</v>
      </c>
      <c r="C1697" t="str">
        <f t="shared" si="79"/>
        <v>ShropshireShort-term residential/nursing care for someone likely to require a longer-term care home placement (pathway 3)</v>
      </c>
      <c r="D1697" t="str">
        <f>VLOOKUP(G1697,PathwayLookup!A:B,2,0)</f>
        <v>Short-term residential/nursing care for someone likely to require a longer-term care home placement (pathway 3)</v>
      </c>
      <c r="E1697" t="s">
        <v>281</v>
      </c>
      <c r="F1697" t="s">
        <v>651</v>
      </c>
      <c r="G1697" t="s">
        <v>686</v>
      </c>
      <c r="H1697">
        <v>6</v>
      </c>
      <c r="I1697">
        <v>5</v>
      </c>
      <c r="J1697">
        <v>7</v>
      </c>
      <c r="K1697">
        <v>5</v>
      </c>
      <c r="L1697">
        <v>5</v>
      </c>
      <c r="M1697">
        <v>5</v>
      </c>
      <c r="N1697">
        <v>5</v>
      </c>
      <c r="O1697">
        <v>5</v>
      </c>
      <c r="P1697">
        <v>5</v>
      </c>
      <c r="Q1697">
        <v>7</v>
      </c>
      <c r="R1697">
        <v>7</v>
      </c>
      <c r="S1697">
        <v>7</v>
      </c>
      <c r="T1697">
        <f t="shared" si="80"/>
        <v>69</v>
      </c>
      <c r="U1697">
        <v>1</v>
      </c>
    </row>
    <row r="1698" spans="1:21" x14ac:dyDescent="0.3">
      <c r="A1698" t="str">
        <f t="shared" si="78"/>
        <v>SloughSocial support (including VCS) (pathway 0)1</v>
      </c>
      <c r="B1698">
        <f>IF(C1698="","",COUNTIF($C$2:C1698,C1698))</f>
        <v>1</v>
      </c>
      <c r="C1698" t="str">
        <f t="shared" si="79"/>
        <v>SloughSocial support (including VCS) (pathway 0)</v>
      </c>
      <c r="D1698" t="str">
        <f>VLOOKUP(G1698,PathwayLookup!A:B,2,0)</f>
        <v>Social support (including VCS) (pathway 0)</v>
      </c>
      <c r="E1698" t="s">
        <v>283</v>
      </c>
      <c r="F1698" t="s">
        <v>502</v>
      </c>
      <c r="G1698" t="s">
        <v>682</v>
      </c>
      <c r="H1698">
        <v>90</v>
      </c>
      <c r="I1698">
        <v>98</v>
      </c>
      <c r="J1698">
        <v>101</v>
      </c>
      <c r="K1698">
        <v>133</v>
      </c>
      <c r="L1698">
        <v>137</v>
      </c>
      <c r="M1698">
        <v>139</v>
      </c>
      <c r="N1698">
        <v>130</v>
      </c>
      <c r="O1698">
        <v>103</v>
      </c>
      <c r="P1698">
        <v>113</v>
      </c>
      <c r="Q1698">
        <v>105</v>
      </c>
      <c r="R1698">
        <v>94</v>
      </c>
      <c r="S1698">
        <v>115</v>
      </c>
      <c r="T1698">
        <f t="shared" si="80"/>
        <v>1358</v>
      </c>
      <c r="U1698">
        <v>1</v>
      </c>
    </row>
    <row r="1699" spans="1:21" x14ac:dyDescent="0.3">
      <c r="A1699" t="str">
        <f t="shared" si="78"/>
        <v>SloughReablement &amp; Rehabilitation at home  (pathway 1)1</v>
      </c>
      <c r="B1699">
        <f>IF(C1699="","",COUNTIF($C$2:C1699,C1699))</f>
        <v>1</v>
      </c>
      <c r="C1699" t="str">
        <f t="shared" si="79"/>
        <v>SloughReablement at home  (pathway 1)</v>
      </c>
      <c r="D1699" t="str">
        <f>VLOOKUP(G1699,PathwayLookup!A:B,2,0)</f>
        <v>Reablement &amp; Rehabilitation at home  (pathway 1)</v>
      </c>
      <c r="E1699" t="s">
        <v>283</v>
      </c>
      <c r="F1699" t="s">
        <v>502</v>
      </c>
      <c r="G1699" t="s">
        <v>718</v>
      </c>
      <c r="H1699">
        <v>29</v>
      </c>
      <c r="I1699">
        <v>25</v>
      </c>
      <c r="J1699">
        <v>30</v>
      </c>
      <c r="K1699">
        <v>64</v>
      </c>
      <c r="L1699">
        <v>58</v>
      </c>
      <c r="M1699">
        <v>66</v>
      </c>
      <c r="N1699">
        <v>47</v>
      </c>
      <c r="O1699">
        <v>28</v>
      </c>
      <c r="P1699">
        <v>29</v>
      </c>
      <c r="Q1699">
        <v>26</v>
      </c>
      <c r="R1699">
        <v>32</v>
      </c>
      <c r="S1699">
        <v>37</v>
      </c>
      <c r="T1699">
        <f t="shared" si="80"/>
        <v>471</v>
      </c>
      <c r="U1699">
        <v>1</v>
      </c>
    </row>
    <row r="1700" spans="1:21" x14ac:dyDescent="0.3">
      <c r="A1700" t="str">
        <f t="shared" si="78"/>
        <v>SloughReablement &amp; Rehabilitation at home  (pathway 1)1</v>
      </c>
      <c r="B1700">
        <f>IF(C1700="","",COUNTIF($C$2:C1700,C1700))</f>
        <v>1</v>
      </c>
      <c r="C1700" t="str">
        <f t="shared" si="79"/>
        <v>SloughRehabilitation at home (pathway 1)</v>
      </c>
      <c r="D1700" t="str">
        <f>VLOOKUP(G1700,PathwayLookup!A:B,2,0)</f>
        <v>Reablement &amp; Rehabilitation at home  (pathway 1)</v>
      </c>
      <c r="E1700" t="s">
        <v>283</v>
      </c>
      <c r="F1700" t="s">
        <v>502</v>
      </c>
      <c r="G1700" t="s">
        <v>719</v>
      </c>
      <c r="H1700">
        <v>19</v>
      </c>
      <c r="I1700">
        <v>31</v>
      </c>
      <c r="J1700">
        <v>26</v>
      </c>
      <c r="K1700">
        <v>23</v>
      </c>
      <c r="L1700">
        <v>32</v>
      </c>
      <c r="M1700">
        <v>19</v>
      </c>
      <c r="N1700">
        <v>18</v>
      </c>
      <c r="O1700">
        <v>24</v>
      </c>
      <c r="P1700">
        <v>32</v>
      </c>
      <c r="Q1700">
        <v>39</v>
      </c>
      <c r="R1700">
        <v>25</v>
      </c>
      <c r="S1700">
        <v>19</v>
      </c>
      <c r="T1700">
        <f t="shared" si="80"/>
        <v>307</v>
      </c>
      <c r="U1700">
        <v>1</v>
      </c>
    </row>
    <row r="1701" spans="1:21" x14ac:dyDescent="0.3">
      <c r="A1701" t="str">
        <f t="shared" si="78"/>
        <v>SloughShort term domiciliary care (pathway 1)1</v>
      </c>
      <c r="B1701">
        <f>IF(C1701="","",COUNTIF($C$2:C1701,C1701))</f>
        <v>1</v>
      </c>
      <c r="C1701" t="str">
        <f t="shared" si="79"/>
        <v>SloughShort term domiciliary care (pathway 1)</v>
      </c>
      <c r="D1701" t="str">
        <f>VLOOKUP(G1701,PathwayLookup!A:B,2,0)</f>
        <v>Short term domiciliary care (pathway 1)</v>
      </c>
      <c r="E1701" t="s">
        <v>283</v>
      </c>
      <c r="F1701" t="s">
        <v>502</v>
      </c>
      <c r="G1701" t="s">
        <v>684</v>
      </c>
      <c r="H1701">
        <v>35</v>
      </c>
      <c r="I1701">
        <v>34</v>
      </c>
      <c r="J1701">
        <v>37</v>
      </c>
      <c r="K1701">
        <v>35</v>
      </c>
      <c r="L1701">
        <v>35</v>
      </c>
      <c r="M1701">
        <v>42</v>
      </c>
      <c r="N1701">
        <v>54</v>
      </c>
      <c r="O1701">
        <v>42</v>
      </c>
      <c r="P1701">
        <v>38</v>
      </c>
      <c r="Q1701">
        <v>40</v>
      </c>
      <c r="R1701">
        <v>20</v>
      </c>
      <c r="S1701">
        <v>37</v>
      </c>
      <c r="T1701">
        <f t="shared" si="80"/>
        <v>449</v>
      </c>
      <c r="U1701">
        <v>1</v>
      </c>
    </row>
    <row r="1702" spans="1:21" x14ac:dyDescent="0.3">
      <c r="A1702" t="str">
        <f t="shared" si="78"/>
        <v>SloughReablement &amp; Rehabilitation in a bedded setting (pathway 2)1</v>
      </c>
      <c r="B1702">
        <f>IF(C1702="","",COUNTIF($C$2:C1702,C1702))</f>
        <v>1</v>
      </c>
      <c r="C1702" t="str">
        <f t="shared" si="79"/>
        <v>SloughReablement in a bedded setting (pathway 2)</v>
      </c>
      <c r="D1702" t="str">
        <f>VLOOKUP(G1702,PathwayLookup!A:B,2,0)</f>
        <v>Reablement &amp; Rehabilitation in a bedded setting (pathway 2)</v>
      </c>
      <c r="E1702" t="s">
        <v>283</v>
      </c>
      <c r="F1702" t="s">
        <v>502</v>
      </c>
      <c r="G1702" t="s">
        <v>722</v>
      </c>
      <c r="H1702">
        <v>44</v>
      </c>
      <c r="I1702">
        <v>48</v>
      </c>
      <c r="J1702">
        <v>50</v>
      </c>
      <c r="K1702">
        <v>65</v>
      </c>
      <c r="L1702">
        <v>60</v>
      </c>
      <c r="M1702">
        <v>62</v>
      </c>
      <c r="N1702">
        <v>58</v>
      </c>
      <c r="O1702">
        <v>48</v>
      </c>
      <c r="P1702">
        <v>68</v>
      </c>
      <c r="Q1702">
        <v>63</v>
      </c>
      <c r="R1702">
        <v>56</v>
      </c>
      <c r="S1702">
        <v>68</v>
      </c>
      <c r="T1702">
        <f t="shared" si="80"/>
        <v>690</v>
      </c>
      <c r="U1702">
        <v>1</v>
      </c>
    </row>
    <row r="1703" spans="1:21" x14ac:dyDescent="0.3">
      <c r="A1703" t="str">
        <f t="shared" si="78"/>
        <v>SloughShort-term residential/nursing care for someone likely to require a longer-term care home placement (pathway 3)1</v>
      </c>
      <c r="B1703">
        <f>IF(C1703="","",COUNTIF($C$2:C1703,C1703))</f>
        <v>1</v>
      </c>
      <c r="C1703" t="str">
        <f t="shared" si="79"/>
        <v>SloughShort-term residential/nursing care for someone likely to require a longer-term care home placement (pathway 3)</v>
      </c>
      <c r="D1703" t="str">
        <f>VLOOKUP(G1703,PathwayLookup!A:B,2,0)</f>
        <v>Short-term residential/nursing care for someone likely to require a longer-term care home placement (pathway 3)</v>
      </c>
      <c r="E1703" t="s">
        <v>283</v>
      </c>
      <c r="F1703" t="s">
        <v>502</v>
      </c>
      <c r="G1703" t="s">
        <v>686</v>
      </c>
      <c r="H1703">
        <v>16</v>
      </c>
      <c r="I1703">
        <v>17</v>
      </c>
      <c r="J1703">
        <v>18</v>
      </c>
      <c r="K1703">
        <v>23</v>
      </c>
      <c r="L1703">
        <v>24</v>
      </c>
      <c r="M1703">
        <v>24</v>
      </c>
      <c r="N1703">
        <v>23</v>
      </c>
      <c r="O1703">
        <v>18</v>
      </c>
      <c r="P1703">
        <v>20</v>
      </c>
      <c r="Q1703">
        <v>18</v>
      </c>
      <c r="R1703">
        <v>17</v>
      </c>
      <c r="S1703">
        <v>20</v>
      </c>
      <c r="T1703">
        <f t="shared" si="80"/>
        <v>238</v>
      </c>
      <c r="U1703">
        <v>1</v>
      </c>
    </row>
    <row r="1704" spans="1:21" x14ac:dyDescent="0.3">
      <c r="A1704" t="str">
        <f t="shared" si="78"/>
        <v>SolihullSocial support (including VCS) (pathway 0)1</v>
      </c>
      <c r="B1704">
        <f>IF(C1704="","",COUNTIF($C$2:C1704,C1704))</f>
        <v>1</v>
      </c>
      <c r="C1704" t="str">
        <f t="shared" si="79"/>
        <v>SolihullSocial support (including VCS) (pathway 0)</v>
      </c>
      <c r="D1704" t="str">
        <f>VLOOKUP(G1704,PathwayLookup!A:B,2,0)</f>
        <v>Social support (including VCS) (pathway 0)</v>
      </c>
      <c r="E1704" t="s">
        <v>285</v>
      </c>
      <c r="F1704" t="s">
        <v>628</v>
      </c>
      <c r="G1704" t="s">
        <v>682</v>
      </c>
      <c r="H1704">
        <v>9</v>
      </c>
      <c r="I1704">
        <v>9</v>
      </c>
      <c r="J1704">
        <v>9</v>
      </c>
      <c r="K1704">
        <v>9</v>
      </c>
      <c r="L1704">
        <v>9</v>
      </c>
      <c r="M1704">
        <v>9</v>
      </c>
      <c r="N1704">
        <v>9</v>
      </c>
      <c r="O1704">
        <v>9</v>
      </c>
      <c r="P1704">
        <v>9</v>
      </c>
      <c r="Q1704">
        <v>9</v>
      </c>
      <c r="R1704">
        <v>9</v>
      </c>
      <c r="S1704">
        <v>9</v>
      </c>
      <c r="T1704">
        <f t="shared" si="80"/>
        <v>108</v>
      </c>
      <c r="U1704">
        <v>1</v>
      </c>
    </row>
    <row r="1705" spans="1:21" x14ac:dyDescent="0.3">
      <c r="A1705" t="str">
        <f t="shared" si="78"/>
        <v>SolihullSocial support (including VCS) (pathway 0)2</v>
      </c>
      <c r="B1705">
        <f>IF(C1705="","",COUNTIF($C$2:C1705,C1705))</f>
        <v>2</v>
      </c>
      <c r="C1705" t="str">
        <f t="shared" si="79"/>
        <v>SolihullSocial support (including VCS) (pathway 0)</v>
      </c>
      <c r="D1705" t="str">
        <f>VLOOKUP(G1705,PathwayLookup!A:B,2,0)</f>
        <v>Social support (including VCS) (pathway 0)</v>
      </c>
      <c r="E1705" t="s">
        <v>285</v>
      </c>
      <c r="F1705" t="s">
        <v>651</v>
      </c>
      <c r="G1705" t="s">
        <v>682</v>
      </c>
      <c r="H1705">
        <v>1</v>
      </c>
      <c r="I1705">
        <v>1</v>
      </c>
      <c r="J1705">
        <v>1</v>
      </c>
      <c r="K1705">
        <v>1</v>
      </c>
      <c r="L1705">
        <v>1</v>
      </c>
      <c r="M1705">
        <v>1</v>
      </c>
      <c r="N1705">
        <v>1</v>
      </c>
      <c r="O1705">
        <v>1</v>
      </c>
      <c r="P1705">
        <v>1</v>
      </c>
      <c r="Q1705">
        <v>1</v>
      </c>
      <c r="R1705">
        <v>1</v>
      </c>
      <c r="S1705">
        <v>1</v>
      </c>
      <c r="T1705">
        <f t="shared" si="80"/>
        <v>12</v>
      </c>
      <c r="U1705">
        <v>1</v>
      </c>
    </row>
    <row r="1706" spans="1:21" x14ac:dyDescent="0.3">
      <c r="A1706" t="str">
        <f t="shared" si="78"/>
        <v>SolihullReablement &amp; Rehabilitation at home  (pathway 1)1</v>
      </c>
      <c r="B1706">
        <f>IF(C1706="","",COUNTIF($C$2:C1706,C1706))</f>
        <v>1</v>
      </c>
      <c r="C1706" t="str">
        <f t="shared" si="79"/>
        <v>SolihullReablement at home  (pathway 1)</v>
      </c>
      <c r="D1706" t="str">
        <f>VLOOKUP(G1706,PathwayLookup!A:B,2,0)</f>
        <v>Reablement &amp; Rehabilitation at home  (pathway 1)</v>
      </c>
      <c r="E1706" t="s">
        <v>285</v>
      </c>
      <c r="F1706" t="s">
        <v>628</v>
      </c>
      <c r="G1706" t="s">
        <v>718</v>
      </c>
      <c r="H1706">
        <v>92</v>
      </c>
      <c r="I1706">
        <v>100</v>
      </c>
      <c r="J1706">
        <v>96</v>
      </c>
      <c r="K1706">
        <v>95</v>
      </c>
      <c r="L1706">
        <v>97</v>
      </c>
      <c r="M1706">
        <v>97</v>
      </c>
      <c r="N1706">
        <v>102</v>
      </c>
      <c r="O1706">
        <v>103</v>
      </c>
      <c r="P1706">
        <v>98</v>
      </c>
      <c r="Q1706">
        <v>91</v>
      </c>
      <c r="R1706">
        <v>90</v>
      </c>
      <c r="S1706">
        <v>101</v>
      </c>
      <c r="T1706">
        <f t="shared" si="80"/>
        <v>1162</v>
      </c>
      <c r="U1706">
        <v>1</v>
      </c>
    </row>
    <row r="1707" spans="1:21" x14ac:dyDescent="0.3">
      <c r="A1707" t="str">
        <f t="shared" si="78"/>
        <v>SolihullReablement &amp; Rehabilitation at home  (pathway 1)2</v>
      </c>
      <c r="B1707">
        <f>IF(C1707="","",COUNTIF($C$2:C1707,C1707))</f>
        <v>2</v>
      </c>
      <c r="C1707" t="str">
        <f t="shared" si="79"/>
        <v>SolihullReablement at home  (pathway 1)</v>
      </c>
      <c r="D1707" t="str">
        <f>VLOOKUP(G1707,PathwayLookup!A:B,2,0)</f>
        <v>Reablement &amp; Rehabilitation at home  (pathway 1)</v>
      </c>
      <c r="E1707" t="s">
        <v>285</v>
      </c>
      <c r="F1707" t="s">
        <v>651</v>
      </c>
      <c r="G1707" t="s">
        <v>718</v>
      </c>
      <c r="H1707">
        <v>6</v>
      </c>
      <c r="I1707">
        <v>7</v>
      </c>
      <c r="J1707">
        <v>7</v>
      </c>
      <c r="K1707">
        <v>7</v>
      </c>
      <c r="L1707">
        <v>6</v>
      </c>
      <c r="M1707">
        <v>7</v>
      </c>
      <c r="N1707">
        <v>7</v>
      </c>
      <c r="O1707">
        <v>7</v>
      </c>
      <c r="P1707">
        <v>7</v>
      </c>
      <c r="Q1707">
        <v>7</v>
      </c>
      <c r="R1707">
        <v>7</v>
      </c>
      <c r="S1707">
        <v>7</v>
      </c>
      <c r="T1707">
        <f t="shared" si="80"/>
        <v>82</v>
      </c>
      <c r="U1707">
        <v>1</v>
      </c>
    </row>
    <row r="1708" spans="1:21" x14ac:dyDescent="0.3">
      <c r="A1708" t="str">
        <f t="shared" si="78"/>
        <v>SolihullReablement &amp; Rehabilitation at home  (pathway 1)1</v>
      </c>
      <c r="B1708">
        <f>IF(C1708="","",COUNTIF($C$2:C1708,C1708))</f>
        <v>1</v>
      </c>
      <c r="C1708" t="str">
        <f t="shared" si="79"/>
        <v>SolihullRehabilitation at home (pathway 1)</v>
      </c>
      <c r="D1708" t="str">
        <f>VLOOKUP(G1708,PathwayLookup!A:B,2,0)</f>
        <v>Reablement &amp; Rehabilitation at home  (pathway 1)</v>
      </c>
      <c r="E1708" t="s">
        <v>285</v>
      </c>
      <c r="F1708" t="s">
        <v>628</v>
      </c>
      <c r="G1708" t="s">
        <v>719</v>
      </c>
      <c r="H1708">
        <v>175</v>
      </c>
      <c r="I1708">
        <v>175</v>
      </c>
      <c r="J1708">
        <v>175</v>
      </c>
      <c r="K1708">
        <v>175</v>
      </c>
      <c r="L1708">
        <v>175</v>
      </c>
      <c r="M1708">
        <v>175</v>
      </c>
      <c r="N1708">
        <v>174</v>
      </c>
      <c r="O1708">
        <v>174</v>
      </c>
      <c r="P1708">
        <v>175</v>
      </c>
      <c r="Q1708">
        <v>174</v>
      </c>
      <c r="R1708">
        <v>174</v>
      </c>
      <c r="S1708">
        <v>176</v>
      </c>
      <c r="T1708">
        <f t="shared" si="80"/>
        <v>2097</v>
      </c>
      <c r="U1708">
        <v>1</v>
      </c>
    </row>
    <row r="1709" spans="1:21" x14ac:dyDescent="0.3">
      <c r="A1709" t="str">
        <f t="shared" si="78"/>
        <v>SolihullReablement &amp; Rehabilitation at home  (pathway 1)2</v>
      </c>
      <c r="B1709">
        <f>IF(C1709="","",COUNTIF($C$2:C1709,C1709))</f>
        <v>2</v>
      </c>
      <c r="C1709" t="str">
        <f t="shared" si="79"/>
        <v>SolihullRehabilitation at home (pathway 1)</v>
      </c>
      <c r="D1709" t="str">
        <f>VLOOKUP(G1709,PathwayLookup!A:B,2,0)</f>
        <v>Reablement &amp; Rehabilitation at home  (pathway 1)</v>
      </c>
      <c r="E1709" t="s">
        <v>285</v>
      </c>
      <c r="F1709" t="s">
        <v>651</v>
      </c>
      <c r="G1709" t="s">
        <v>719</v>
      </c>
      <c r="H1709">
        <v>12</v>
      </c>
      <c r="I1709">
        <v>12</v>
      </c>
      <c r="J1709">
        <v>12</v>
      </c>
      <c r="K1709">
        <v>12</v>
      </c>
      <c r="L1709">
        <v>12</v>
      </c>
      <c r="M1709">
        <v>12</v>
      </c>
      <c r="N1709">
        <v>13</v>
      </c>
      <c r="O1709">
        <v>13</v>
      </c>
      <c r="P1709">
        <v>12</v>
      </c>
      <c r="Q1709">
        <v>13</v>
      </c>
      <c r="R1709">
        <v>13</v>
      </c>
      <c r="S1709">
        <v>12</v>
      </c>
      <c r="T1709">
        <f t="shared" si="80"/>
        <v>148</v>
      </c>
      <c r="U1709">
        <v>1</v>
      </c>
    </row>
    <row r="1710" spans="1:21" x14ac:dyDescent="0.3">
      <c r="A1710" t="str">
        <f t="shared" si="78"/>
        <v>SolihullShort term domiciliary care (pathway 1)1</v>
      </c>
      <c r="B1710">
        <f>IF(C1710="","",COUNTIF($C$2:C1710,C1710))</f>
        <v>1</v>
      </c>
      <c r="C1710" t="str">
        <f t="shared" si="79"/>
        <v>SolihullShort term domiciliary care (pathway 1)</v>
      </c>
      <c r="D1710" t="str">
        <f>VLOOKUP(G1710,PathwayLookup!A:B,2,0)</f>
        <v>Short term domiciliary care (pathway 1)</v>
      </c>
      <c r="E1710" t="s">
        <v>285</v>
      </c>
      <c r="F1710" t="s">
        <v>628</v>
      </c>
      <c r="G1710" t="s">
        <v>684</v>
      </c>
      <c r="H1710">
        <v>62</v>
      </c>
      <c r="I1710">
        <v>66</v>
      </c>
      <c r="J1710">
        <v>70</v>
      </c>
      <c r="K1710">
        <v>63</v>
      </c>
      <c r="L1710">
        <v>70</v>
      </c>
      <c r="M1710">
        <v>71</v>
      </c>
      <c r="N1710">
        <v>68</v>
      </c>
      <c r="O1710">
        <v>69</v>
      </c>
      <c r="P1710">
        <v>67</v>
      </c>
      <c r="Q1710">
        <v>61</v>
      </c>
      <c r="R1710">
        <v>61</v>
      </c>
      <c r="S1710">
        <v>67</v>
      </c>
      <c r="T1710">
        <f t="shared" si="80"/>
        <v>795</v>
      </c>
      <c r="U1710">
        <v>1</v>
      </c>
    </row>
    <row r="1711" spans="1:21" x14ac:dyDescent="0.3">
      <c r="A1711" t="str">
        <f t="shared" si="78"/>
        <v>SolihullShort term domiciliary care (pathway 1)2</v>
      </c>
      <c r="B1711">
        <f>IF(C1711="","",COUNTIF($C$2:C1711,C1711))</f>
        <v>2</v>
      </c>
      <c r="C1711" t="str">
        <f t="shared" si="79"/>
        <v>SolihullShort term domiciliary care (pathway 1)</v>
      </c>
      <c r="D1711" t="str">
        <f>VLOOKUP(G1711,PathwayLookup!A:B,2,0)</f>
        <v>Short term domiciliary care (pathway 1)</v>
      </c>
      <c r="E1711" t="s">
        <v>285</v>
      </c>
      <c r="F1711" t="s">
        <v>651</v>
      </c>
      <c r="G1711" t="s">
        <v>684</v>
      </c>
      <c r="H1711">
        <v>4</v>
      </c>
      <c r="I1711">
        <v>5</v>
      </c>
      <c r="J1711">
        <v>5</v>
      </c>
      <c r="K1711">
        <v>5</v>
      </c>
      <c r="L1711">
        <v>5</v>
      </c>
      <c r="M1711">
        <v>5</v>
      </c>
      <c r="N1711">
        <v>5</v>
      </c>
      <c r="O1711">
        <v>5</v>
      </c>
      <c r="P1711">
        <v>4</v>
      </c>
      <c r="Q1711">
        <v>5</v>
      </c>
      <c r="R1711">
        <v>4</v>
      </c>
      <c r="S1711">
        <v>5</v>
      </c>
      <c r="T1711">
        <f t="shared" si="80"/>
        <v>57</v>
      </c>
      <c r="U1711">
        <v>1</v>
      </c>
    </row>
    <row r="1712" spans="1:21" x14ac:dyDescent="0.3">
      <c r="A1712" t="str">
        <f t="shared" si="78"/>
        <v>SolihullReablement &amp; Rehabilitation in a bedded setting (pathway 2)1</v>
      </c>
      <c r="B1712">
        <f>IF(C1712="","",COUNTIF($C$2:C1712,C1712))</f>
        <v>1</v>
      </c>
      <c r="C1712" t="str">
        <f t="shared" si="79"/>
        <v>SolihullReablement in a bedded setting (pathway 2)</v>
      </c>
      <c r="D1712" t="str">
        <f>VLOOKUP(G1712,PathwayLookup!A:B,2,0)</f>
        <v>Reablement &amp; Rehabilitation in a bedded setting (pathway 2)</v>
      </c>
      <c r="E1712" t="s">
        <v>285</v>
      </c>
      <c r="F1712" t="s">
        <v>628</v>
      </c>
      <c r="G1712" t="s">
        <v>722</v>
      </c>
      <c r="H1712">
        <v>27</v>
      </c>
      <c r="I1712">
        <v>29</v>
      </c>
      <c r="J1712">
        <v>29</v>
      </c>
      <c r="K1712">
        <v>28</v>
      </c>
      <c r="L1712">
        <v>29</v>
      </c>
      <c r="M1712">
        <v>29</v>
      </c>
      <c r="N1712">
        <v>30</v>
      </c>
      <c r="O1712">
        <v>30</v>
      </c>
      <c r="P1712">
        <v>29</v>
      </c>
      <c r="Q1712">
        <v>27</v>
      </c>
      <c r="R1712">
        <v>27</v>
      </c>
      <c r="S1712">
        <v>30</v>
      </c>
      <c r="T1712">
        <f t="shared" si="80"/>
        <v>344</v>
      </c>
      <c r="U1712">
        <v>1</v>
      </c>
    </row>
    <row r="1713" spans="1:21" x14ac:dyDescent="0.3">
      <c r="A1713" t="str">
        <f t="shared" si="78"/>
        <v>SolihullReablement &amp; Rehabilitation in a bedded setting (pathway 2)2</v>
      </c>
      <c r="B1713">
        <f>IF(C1713="","",COUNTIF($C$2:C1713,C1713))</f>
        <v>2</v>
      </c>
      <c r="C1713" t="str">
        <f t="shared" si="79"/>
        <v>SolihullReablement in a bedded setting (pathway 2)</v>
      </c>
      <c r="D1713" t="str">
        <f>VLOOKUP(G1713,PathwayLookup!A:B,2,0)</f>
        <v>Reablement &amp; Rehabilitation in a bedded setting (pathway 2)</v>
      </c>
      <c r="E1713" t="s">
        <v>285</v>
      </c>
      <c r="F1713" t="s">
        <v>651</v>
      </c>
      <c r="G1713" t="s">
        <v>722</v>
      </c>
      <c r="H1713">
        <v>2</v>
      </c>
      <c r="I1713">
        <v>2</v>
      </c>
      <c r="J1713">
        <v>1</v>
      </c>
      <c r="K1713">
        <v>2</v>
      </c>
      <c r="L1713">
        <v>1</v>
      </c>
      <c r="M1713">
        <v>2</v>
      </c>
      <c r="N1713">
        <v>2</v>
      </c>
      <c r="O1713">
        <v>3</v>
      </c>
      <c r="P1713">
        <v>2</v>
      </c>
      <c r="Q1713">
        <v>2</v>
      </c>
      <c r="R1713">
        <v>1</v>
      </c>
      <c r="S1713">
        <v>2</v>
      </c>
      <c r="T1713">
        <f t="shared" si="80"/>
        <v>22</v>
      </c>
      <c r="U1713">
        <v>1</v>
      </c>
    </row>
    <row r="1714" spans="1:21" x14ac:dyDescent="0.3">
      <c r="A1714" t="str">
        <f t="shared" si="78"/>
        <v>SolihullReablement &amp; Rehabilitation in a bedded setting (pathway 2)1</v>
      </c>
      <c r="B1714">
        <f>IF(C1714="","",COUNTIF($C$2:C1714,C1714))</f>
        <v>1</v>
      </c>
      <c r="C1714" t="str">
        <f t="shared" si="79"/>
        <v>SolihullRehabilitation in a bedded setting (pathway 2)</v>
      </c>
      <c r="D1714" t="str">
        <f>VLOOKUP(G1714,PathwayLookup!A:B,2,0)</f>
        <v>Reablement &amp; Rehabilitation in a bedded setting (pathway 2)</v>
      </c>
      <c r="E1714" t="s">
        <v>285</v>
      </c>
      <c r="F1714" t="s">
        <v>628</v>
      </c>
      <c r="G1714" t="s">
        <v>724</v>
      </c>
      <c r="H1714">
        <v>49</v>
      </c>
      <c r="I1714">
        <v>53</v>
      </c>
      <c r="J1714">
        <v>52</v>
      </c>
      <c r="K1714">
        <v>51</v>
      </c>
      <c r="L1714">
        <v>52</v>
      </c>
      <c r="M1714">
        <v>52</v>
      </c>
      <c r="N1714">
        <v>54</v>
      </c>
      <c r="O1714">
        <v>55</v>
      </c>
      <c r="P1714">
        <v>53</v>
      </c>
      <c r="Q1714">
        <v>48</v>
      </c>
      <c r="R1714">
        <v>48</v>
      </c>
      <c r="S1714">
        <v>54</v>
      </c>
      <c r="T1714">
        <f t="shared" si="80"/>
        <v>621</v>
      </c>
      <c r="U1714">
        <v>1</v>
      </c>
    </row>
    <row r="1715" spans="1:21" x14ac:dyDescent="0.3">
      <c r="A1715" t="str">
        <f t="shared" si="78"/>
        <v>SolihullReablement &amp; Rehabilitation in a bedded setting (pathway 2)2</v>
      </c>
      <c r="B1715">
        <f>IF(C1715="","",COUNTIF($C$2:C1715,C1715))</f>
        <v>2</v>
      </c>
      <c r="C1715" t="str">
        <f t="shared" si="79"/>
        <v>SolihullRehabilitation in a bedded setting (pathway 2)</v>
      </c>
      <c r="D1715" t="str">
        <f>VLOOKUP(G1715,PathwayLookup!A:B,2,0)</f>
        <v>Reablement &amp; Rehabilitation in a bedded setting (pathway 2)</v>
      </c>
      <c r="E1715" t="s">
        <v>285</v>
      </c>
      <c r="F1715" t="s">
        <v>651</v>
      </c>
      <c r="G1715" t="s">
        <v>724</v>
      </c>
      <c r="H1715">
        <v>3</v>
      </c>
      <c r="I1715">
        <v>4</v>
      </c>
      <c r="J1715">
        <v>3</v>
      </c>
      <c r="K1715">
        <v>3</v>
      </c>
      <c r="L1715">
        <v>3</v>
      </c>
      <c r="M1715">
        <v>3</v>
      </c>
      <c r="N1715">
        <v>4</v>
      </c>
      <c r="O1715">
        <v>4</v>
      </c>
      <c r="P1715">
        <v>3</v>
      </c>
      <c r="Q1715">
        <v>4</v>
      </c>
      <c r="R1715">
        <v>4</v>
      </c>
      <c r="S1715">
        <v>4</v>
      </c>
      <c r="T1715">
        <f t="shared" si="80"/>
        <v>42</v>
      </c>
      <c r="U1715">
        <v>1</v>
      </c>
    </row>
    <row r="1716" spans="1:21" x14ac:dyDescent="0.3">
      <c r="A1716" t="str">
        <f t="shared" si="78"/>
        <v>SomersetSocial support (including VCS) (pathway 0)1</v>
      </c>
      <c r="B1716">
        <f>IF(C1716="","",COUNTIF($C$2:C1716,C1716))</f>
        <v>1</v>
      </c>
      <c r="C1716" t="str">
        <f t="shared" si="79"/>
        <v>SomersetSocial support (including VCS) (pathway 0)</v>
      </c>
      <c r="D1716" t="str">
        <f>VLOOKUP(G1716,PathwayLookup!A:B,2,0)</f>
        <v>Social support (including VCS) (pathway 0)</v>
      </c>
      <c r="E1716" t="s">
        <v>287</v>
      </c>
      <c r="F1716" t="s">
        <v>582</v>
      </c>
      <c r="G1716" t="s">
        <v>682</v>
      </c>
      <c r="H1716">
        <v>30</v>
      </c>
      <c r="I1716">
        <v>33</v>
      </c>
      <c r="J1716">
        <v>32</v>
      </c>
      <c r="K1716">
        <v>32</v>
      </c>
      <c r="L1716">
        <v>34</v>
      </c>
      <c r="M1716">
        <v>35</v>
      </c>
      <c r="N1716">
        <v>35</v>
      </c>
      <c r="O1716">
        <v>31</v>
      </c>
      <c r="P1716">
        <v>30</v>
      </c>
      <c r="Q1716">
        <v>36</v>
      </c>
      <c r="R1716">
        <v>36</v>
      </c>
      <c r="S1716">
        <v>39</v>
      </c>
      <c r="T1716">
        <f t="shared" si="80"/>
        <v>403</v>
      </c>
      <c r="U1716">
        <v>1</v>
      </c>
    </row>
    <row r="1717" spans="1:21" x14ac:dyDescent="0.3">
      <c r="A1717" t="str">
        <f t="shared" si="78"/>
        <v>SomersetSocial support (including VCS) (pathway 0)2</v>
      </c>
      <c r="B1717">
        <f>IF(C1717="","",COUNTIF($C$2:C1717,C1717))</f>
        <v>2</v>
      </c>
      <c r="C1717" t="str">
        <f t="shared" si="79"/>
        <v>SomersetSocial support (including VCS) (pathway 0)</v>
      </c>
      <c r="D1717" t="str">
        <f>VLOOKUP(G1717,PathwayLookup!A:B,2,0)</f>
        <v>Social support (including VCS) (pathway 0)</v>
      </c>
      <c r="E1717" t="s">
        <v>287</v>
      </c>
      <c r="F1717" t="s">
        <v>591</v>
      </c>
      <c r="G1717" t="s">
        <v>682</v>
      </c>
      <c r="H1717">
        <v>248</v>
      </c>
      <c r="I1717">
        <v>267</v>
      </c>
      <c r="J1717">
        <v>266</v>
      </c>
      <c r="K1717">
        <v>258</v>
      </c>
      <c r="L1717">
        <v>282</v>
      </c>
      <c r="M1717">
        <v>282</v>
      </c>
      <c r="N1717">
        <v>288</v>
      </c>
      <c r="O1717">
        <v>256</v>
      </c>
      <c r="P1717">
        <v>243</v>
      </c>
      <c r="Q1717">
        <v>296</v>
      </c>
      <c r="R1717">
        <v>292</v>
      </c>
      <c r="S1717">
        <v>317</v>
      </c>
      <c r="T1717">
        <f t="shared" si="80"/>
        <v>3295</v>
      </c>
      <c r="U1717">
        <v>1</v>
      </c>
    </row>
    <row r="1718" spans="1:21" x14ac:dyDescent="0.3">
      <c r="A1718" t="str">
        <f t="shared" si="78"/>
        <v>SomersetSocial support (including VCS) (pathway 0)3</v>
      </c>
      <c r="B1718">
        <f>IF(C1718="","",COUNTIF($C$2:C1718,C1718))</f>
        <v>3</v>
      </c>
      <c r="C1718" t="str">
        <f t="shared" si="79"/>
        <v>SomersetSocial support (including VCS) (pathway 0)</v>
      </c>
      <c r="D1718" t="str">
        <f>VLOOKUP(G1718,PathwayLookup!A:B,2,0)</f>
        <v>Social support (including VCS) (pathway 0)</v>
      </c>
      <c r="E1718" t="s">
        <v>287</v>
      </c>
      <c r="F1718" t="s">
        <v>629</v>
      </c>
      <c r="G1718" t="s">
        <v>682</v>
      </c>
      <c r="H1718">
        <v>20</v>
      </c>
      <c r="I1718">
        <v>21</v>
      </c>
      <c r="J1718">
        <v>21</v>
      </c>
      <c r="K1718">
        <v>20</v>
      </c>
      <c r="L1718">
        <v>22</v>
      </c>
      <c r="M1718">
        <v>22</v>
      </c>
      <c r="N1718">
        <v>23</v>
      </c>
      <c r="O1718">
        <v>20</v>
      </c>
      <c r="P1718">
        <v>19</v>
      </c>
      <c r="Q1718">
        <v>23</v>
      </c>
      <c r="R1718">
        <v>23</v>
      </c>
      <c r="S1718">
        <v>25</v>
      </c>
      <c r="T1718">
        <f t="shared" si="80"/>
        <v>259</v>
      </c>
      <c r="U1718">
        <v>1</v>
      </c>
    </row>
    <row r="1719" spans="1:21" x14ac:dyDescent="0.3">
      <c r="A1719" t="str">
        <f t="shared" si="78"/>
        <v>SomersetSocial support (including VCS) (pathway 0)4</v>
      </c>
      <c r="B1719">
        <f>IF(C1719="","",COUNTIF($C$2:C1719,C1719))</f>
        <v>4</v>
      </c>
      <c r="C1719" t="str">
        <f t="shared" si="79"/>
        <v>SomersetSocial support (including VCS) (pathway 0)</v>
      </c>
      <c r="D1719" t="str">
        <f>VLOOKUP(G1719,PathwayLookup!A:B,2,0)</f>
        <v>Social support (including VCS) (pathway 0)</v>
      </c>
      <c r="E1719" t="s">
        <v>287</v>
      </c>
      <c r="F1719" t="s">
        <v>649</v>
      </c>
      <c r="G1719" t="s">
        <v>682</v>
      </c>
      <c r="H1719">
        <v>82</v>
      </c>
      <c r="I1719">
        <v>88</v>
      </c>
      <c r="J1719">
        <v>88</v>
      </c>
      <c r="K1719">
        <v>86</v>
      </c>
      <c r="L1719">
        <v>93</v>
      </c>
      <c r="M1719">
        <v>94</v>
      </c>
      <c r="N1719">
        <v>96</v>
      </c>
      <c r="O1719">
        <v>85</v>
      </c>
      <c r="P1719">
        <v>80</v>
      </c>
      <c r="Q1719">
        <v>98</v>
      </c>
      <c r="R1719">
        <v>97</v>
      </c>
      <c r="S1719">
        <v>105</v>
      </c>
      <c r="T1719">
        <f t="shared" si="80"/>
        <v>1092</v>
      </c>
      <c r="U1719">
        <v>1</v>
      </c>
    </row>
    <row r="1720" spans="1:21" x14ac:dyDescent="0.3">
      <c r="A1720" t="str">
        <f t="shared" si="78"/>
        <v>SomersetReablement &amp; Rehabilitation at home  (pathway 1)1</v>
      </c>
      <c r="B1720">
        <f>IF(C1720="","",COUNTIF($C$2:C1720,C1720))</f>
        <v>1</v>
      </c>
      <c r="C1720" t="str">
        <f t="shared" si="79"/>
        <v>SomersetReablement at home  (pathway 1)</v>
      </c>
      <c r="D1720" t="str">
        <f>VLOOKUP(G1720,PathwayLookup!A:B,2,0)</f>
        <v>Reablement &amp; Rehabilitation at home  (pathway 1)</v>
      </c>
      <c r="E1720" t="s">
        <v>287</v>
      </c>
      <c r="F1720" t="s">
        <v>582</v>
      </c>
      <c r="G1720" t="s">
        <v>718</v>
      </c>
      <c r="H1720">
        <v>5</v>
      </c>
      <c r="I1720">
        <v>6</v>
      </c>
      <c r="J1720">
        <v>6</v>
      </c>
      <c r="K1720">
        <v>6</v>
      </c>
      <c r="L1720">
        <v>5</v>
      </c>
      <c r="M1720">
        <v>6</v>
      </c>
      <c r="N1720">
        <v>5</v>
      </c>
      <c r="O1720">
        <v>5</v>
      </c>
      <c r="P1720">
        <v>4</v>
      </c>
      <c r="Q1720">
        <v>6</v>
      </c>
      <c r="R1720">
        <v>4</v>
      </c>
      <c r="S1720">
        <v>4</v>
      </c>
      <c r="T1720">
        <f t="shared" si="80"/>
        <v>62</v>
      </c>
      <c r="U1720">
        <v>1</v>
      </c>
    </row>
    <row r="1721" spans="1:21" x14ac:dyDescent="0.3">
      <c r="A1721" t="str">
        <f t="shared" si="78"/>
        <v>SomersetReablement &amp; Rehabilitation at home  (pathway 1)2</v>
      </c>
      <c r="B1721">
        <f>IF(C1721="","",COUNTIF($C$2:C1721,C1721))</f>
        <v>2</v>
      </c>
      <c r="C1721" t="str">
        <f t="shared" si="79"/>
        <v>SomersetReablement at home  (pathway 1)</v>
      </c>
      <c r="D1721" t="str">
        <f>VLOOKUP(G1721,PathwayLookup!A:B,2,0)</f>
        <v>Reablement &amp; Rehabilitation at home  (pathway 1)</v>
      </c>
      <c r="E1721" t="s">
        <v>287</v>
      </c>
      <c r="F1721" t="s">
        <v>591</v>
      </c>
      <c r="G1721" t="s">
        <v>718</v>
      </c>
      <c r="H1721">
        <v>40</v>
      </c>
      <c r="I1721">
        <v>50</v>
      </c>
      <c r="J1721">
        <v>46</v>
      </c>
      <c r="K1721">
        <v>45</v>
      </c>
      <c r="L1721">
        <v>44</v>
      </c>
      <c r="M1721">
        <v>46</v>
      </c>
      <c r="N1721">
        <v>40</v>
      </c>
      <c r="O1721">
        <v>44</v>
      </c>
      <c r="P1721">
        <v>36</v>
      </c>
      <c r="Q1721">
        <v>47</v>
      </c>
      <c r="R1721">
        <v>31</v>
      </c>
      <c r="S1721">
        <v>35</v>
      </c>
      <c r="T1721">
        <f t="shared" si="80"/>
        <v>504</v>
      </c>
      <c r="U1721">
        <v>1</v>
      </c>
    </row>
    <row r="1722" spans="1:21" x14ac:dyDescent="0.3">
      <c r="A1722" t="str">
        <f t="shared" si="78"/>
        <v>SomersetReablement &amp; Rehabilitation at home  (pathway 1)3</v>
      </c>
      <c r="B1722">
        <f>IF(C1722="","",COUNTIF($C$2:C1722,C1722))</f>
        <v>3</v>
      </c>
      <c r="C1722" t="str">
        <f t="shared" si="79"/>
        <v>SomersetReablement at home  (pathway 1)</v>
      </c>
      <c r="D1722" t="str">
        <f>VLOOKUP(G1722,PathwayLookup!A:B,2,0)</f>
        <v>Reablement &amp; Rehabilitation at home  (pathway 1)</v>
      </c>
      <c r="E1722" t="s">
        <v>287</v>
      </c>
      <c r="F1722" t="s">
        <v>629</v>
      </c>
      <c r="G1722" t="s">
        <v>718</v>
      </c>
      <c r="H1722">
        <v>3</v>
      </c>
      <c r="I1722">
        <v>4</v>
      </c>
      <c r="J1722">
        <v>4</v>
      </c>
      <c r="K1722">
        <v>4</v>
      </c>
      <c r="L1722">
        <v>3</v>
      </c>
      <c r="M1722">
        <v>4</v>
      </c>
      <c r="N1722">
        <v>3</v>
      </c>
      <c r="O1722">
        <v>3</v>
      </c>
      <c r="P1722">
        <v>3</v>
      </c>
      <c r="Q1722">
        <v>4</v>
      </c>
      <c r="R1722">
        <v>2</v>
      </c>
      <c r="S1722">
        <v>3</v>
      </c>
      <c r="T1722">
        <f t="shared" si="80"/>
        <v>40</v>
      </c>
      <c r="U1722">
        <v>1</v>
      </c>
    </row>
    <row r="1723" spans="1:21" x14ac:dyDescent="0.3">
      <c r="A1723" t="str">
        <f t="shared" si="78"/>
        <v>SomersetReablement &amp; Rehabilitation at home  (pathway 1)4</v>
      </c>
      <c r="B1723">
        <f>IF(C1723="","",COUNTIF($C$2:C1723,C1723))</f>
        <v>4</v>
      </c>
      <c r="C1723" t="str">
        <f t="shared" si="79"/>
        <v>SomersetReablement at home  (pathway 1)</v>
      </c>
      <c r="D1723" t="str">
        <f>VLOOKUP(G1723,PathwayLookup!A:B,2,0)</f>
        <v>Reablement &amp; Rehabilitation at home  (pathway 1)</v>
      </c>
      <c r="E1723" t="s">
        <v>287</v>
      </c>
      <c r="F1723" t="s">
        <v>649</v>
      </c>
      <c r="G1723" t="s">
        <v>718</v>
      </c>
      <c r="H1723">
        <v>13</v>
      </c>
      <c r="I1723">
        <v>17</v>
      </c>
      <c r="J1723">
        <v>15</v>
      </c>
      <c r="K1723">
        <v>15</v>
      </c>
      <c r="L1723">
        <v>14</v>
      </c>
      <c r="M1723">
        <v>15</v>
      </c>
      <c r="N1723">
        <v>13</v>
      </c>
      <c r="O1723">
        <v>14</v>
      </c>
      <c r="P1723">
        <v>12</v>
      </c>
      <c r="Q1723">
        <v>16</v>
      </c>
      <c r="R1723">
        <v>10</v>
      </c>
      <c r="S1723">
        <v>12</v>
      </c>
      <c r="T1723">
        <f t="shared" si="80"/>
        <v>166</v>
      </c>
      <c r="U1723">
        <v>1</v>
      </c>
    </row>
    <row r="1724" spans="1:21" x14ac:dyDescent="0.3">
      <c r="A1724" t="str">
        <f t="shared" si="78"/>
        <v>SomersetReablement &amp; Rehabilitation at home  (pathway 1)1</v>
      </c>
      <c r="B1724">
        <f>IF(C1724="","",COUNTIF($C$2:C1724,C1724))</f>
        <v>1</v>
      </c>
      <c r="C1724" t="str">
        <f t="shared" si="79"/>
        <v>SomersetRehabilitation at home (pathway 1)</v>
      </c>
      <c r="D1724" t="str">
        <f>VLOOKUP(G1724,PathwayLookup!A:B,2,0)</f>
        <v>Reablement &amp; Rehabilitation at home  (pathway 1)</v>
      </c>
      <c r="E1724" t="s">
        <v>287</v>
      </c>
      <c r="F1724" t="s">
        <v>582</v>
      </c>
      <c r="G1724" t="s">
        <v>719</v>
      </c>
      <c r="H1724">
        <v>9</v>
      </c>
      <c r="I1724">
        <v>11</v>
      </c>
      <c r="J1724">
        <v>10</v>
      </c>
      <c r="K1724">
        <v>10</v>
      </c>
      <c r="L1724">
        <v>10</v>
      </c>
      <c r="M1724">
        <v>10</v>
      </c>
      <c r="N1724">
        <v>9</v>
      </c>
      <c r="O1724">
        <v>10</v>
      </c>
      <c r="P1724">
        <v>8</v>
      </c>
      <c r="Q1724">
        <v>10</v>
      </c>
      <c r="R1724">
        <v>7</v>
      </c>
      <c r="S1724">
        <v>8</v>
      </c>
      <c r="T1724">
        <f t="shared" si="80"/>
        <v>112</v>
      </c>
      <c r="U1724">
        <v>1</v>
      </c>
    </row>
    <row r="1725" spans="1:21" x14ac:dyDescent="0.3">
      <c r="A1725" t="str">
        <f t="shared" si="78"/>
        <v>SomersetReablement &amp; Rehabilitation at home  (pathway 1)2</v>
      </c>
      <c r="B1725">
        <f>IF(C1725="","",COUNTIF($C$2:C1725,C1725))</f>
        <v>2</v>
      </c>
      <c r="C1725" t="str">
        <f t="shared" si="79"/>
        <v>SomersetRehabilitation at home (pathway 1)</v>
      </c>
      <c r="D1725" t="str">
        <f>VLOOKUP(G1725,PathwayLookup!A:B,2,0)</f>
        <v>Reablement &amp; Rehabilitation at home  (pathway 1)</v>
      </c>
      <c r="E1725" t="s">
        <v>287</v>
      </c>
      <c r="F1725" t="s">
        <v>591</v>
      </c>
      <c r="G1725" t="s">
        <v>719</v>
      </c>
      <c r="H1725">
        <v>74</v>
      </c>
      <c r="I1725">
        <v>91</v>
      </c>
      <c r="J1725">
        <v>82</v>
      </c>
      <c r="K1725">
        <v>82</v>
      </c>
      <c r="L1725">
        <v>79</v>
      </c>
      <c r="M1725">
        <v>83</v>
      </c>
      <c r="N1725">
        <v>72</v>
      </c>
      <c r="O1725">
        <v>79</v>
      </c>
      <c r="P1725">
        <v>65</v>
      </c>
      <c r="Q1725">
        <v>85</v>
      </c>
      <c r="R1725">
        <v>57</v>
      </c>
      <c r="S1725">
        <v>64</v>
      </c>
      <c r="T1725">
        <f t="shared" si="80"/>
        <v>913</v>
      </c>
      <c r="U1725">
        <v>1</v>
      </c>
    </row>
    <row r="1726" spans="1:21" x14ac:dyDescent="0.3">
      <c r="A1726" t="str">
        <f t="shared" si="78"/>
        <v>SomersetReablement &amp; Rehabilitation at home  (pathway 1)3</v>
      </c>
      <c r="B1726">
        <f>IF(C1726="","",COUNTIF($C$2:C1726,C1726))</f>
        <v>3</v>
      </c>
      <c r="C1726" t="str">
        <f t="shared" si="79"/>
        <v>SomersetRehabilitation at home (pathway 1)</v>
      </c>
      <c r="D1726" t="str">
        <f>VLOOKUP(G1726,PathwayLookup!A:B,2,0)</f>
        <v>Reablement &amp; Rehabilitation at home  (pathway 1)</v>
      </c>
      <c r="E1726" t="s">
        <v>287</v>
      </c>
      <c r="F1726" t="s">
        <v>629</v>
      </c>
      <c r="G1726" t="s">
        <v>719</v>
      </c>
      <c r="H1726">
        <v>6</v>
      </c>
      <c r="I1726">
        <v>7</v>
      </c>
      <c r="J1726">
        <v>6</v>
      </c>
      <c r="K1726">
        <v>6</v>
      </c>
      <c r="L1726">
        <v>6</v>
      </c>
      <c r="M1726">
        <v>7</v>
      </c>
      <c r="N1726">
        <v>6</v>
      </c>
      <c r="O1726">
        <v>6</v>
      </c>
      <c r="P1726">
        <v>5</v>
      </c>
      <c r="Q1726">
        <v>7</v>
      </c>
      <c r="R1726">
        <v>4</v>
      </c>
      <c r="S1726">
        <v>5</v>
      </c>
      <c r="T1726">
        <f t="shared" si="80"/>
        <v>71</v>
      </c>
      <c r="U1726">
        <v>1</v>
      </c>
    </row>
    <row r="1727" spans="1:21" x14ac:dyDescent="0.3">
      <c r="A1727" t="str">
        <f t="shared" si="78"/>
        <v>SomersetReablement &amp; Rehabilitation at home  (pathway 1)4</v>
      </c>
      <c r="B1727">
        <f>IF(C1727="","",COUNTIF($C$2:C1727,C1727))</f>
        <v>4</v>
      </c>
      <c r="C1727" t="str">
        <f t="shared" si="79"/>
        <v>SomersetRehabilitation at home (pathway 1)</v>
      </c>
      <c r="D1727" t="str">
        <f>VLOOKUP(G1727,PathwayLookup!A:B,2,0)</f>
        <v>Reablement &amp; Rehabilitation at home  (pathway 1)</v>
      </c>
      <c r="E1727" t="s">
        <v>287</v>
      </c>
      <c r="F1727" t="s">
        <v>649</v>
      </c>
      <c r="G1727" t="s">
        <v>719</v>
      </c>
      <c r="H1727">
        <v>24</v>
      </c>
      <c r="I1727">
        <v>30</v>
      </c>
      <c r="J1727">
        <v>27</v>
      </c>
      <c r="K1727">
        <v>27</v>
      </c>
      <c r="L1727">
        <v>26</v>
      </c>
      <c r="M1727">
        <v>27</v>
      </c>
      <c r="N1727">
        <v>24</v>
      </c>
      <c r="O1727">
        <v>26</v>
      </c>
      <c r="P1727">
        <v>22</v>
      </c>
      <c r="Q1727">
        <v>28</v>
      </c>
      <c r="R1727">
        <v>19</v>
      </c>
      <c r="S1727">
        <v>21</v>
      </c>
      <c r="T1727">
        <f t="shared" si="80"/>
        <v>301</v>
      </c>
      <c r="U1727">
        <v>1</v>
      </c>
    </row>
    <row r="1728" spans="1:21" x14ac:dyDescent="0.3">
      <c r="A1728" t="str">
        <f t="shared" si="78"/>
        <v/>
      </c>
      <c r="B1728" t="str">
        <f>IF(C1728="","",COUNTIF($C$2:C1728,C1728))</f>
        <v/>
      </c>
      <c r="C1728" t="str">
        <f t="shared" si="79"/>
        <v/>
      </c>
      <c r="D1728" t="str">
        <f>VLOOKUP(G1728,PathwayLookup!A:B,2,0)</f>
        <v>Short term domiciliary care (pathway 1)</v>
      </c>
      <c r="E1728" t="s">
        <v>287</v>
      </c>
      <c r="F1728" t="s">
        <v>582</v>
      </c>
      <c r="G1728" t="s">
        <v>684</v>
      </c>
      <c r="H1728">
        <v>0</v>
      </c>
      <c r="I1728">
        <v>0</v>
      </c>
      <c r="J1728">
        <v>0</v>
      </c>
      <c r="K1728">
        <v>0</v>
      </c>
      <c r="L1728">
        <v>0</v>
      </c>
      <c r="M1728">
        <v>0</v>
      </c>
      <c r="N1728">
        <v>0</v>
      </c>
      <c r="O1728">
        <v>0</v>
      </c>
      <c r="P1728">
        <v>0</v>
      </c>
      <c r="Q1728">
        <v>0</v>
      </c>
      <c r="R1728">
        <v>0</v>
      </c>
      <c r="S1728">
        <v>0</v>
      </c>
      <c r="T1728">
        <f t="shared" si="80"/>
        <v>0</v>
      </c>
      <c r="U1728">
        <v>1</v>
      </c>
    </row>
    <row r="1729" spans="1:21" x14ac:dyDescent="0.3">
      <c r="A1729" t="str">
        <f t="shared" si="78"/>
        <v/>
      </c>
      <c r="B1729" t="str">
        <f>IF(C1729="","",COUNTIF($C$2:C1729,C1729))</f>
        <v/>
      </c>
      <c r="C1729" t="str">
        <f t="shared" si="79"/>
        <v/>
      </c>
      <c r="D1729" t="str">
        <f>VLOOKUP(G1729,PathwayLookup!A:B,2,0)</f>
        <v>Short term domiciliary care (pathway 1)</v>
      </c>
      <c r="E1729" t="s">
        <v>287</v>
      </c>
      <c r="F1729" t="s">
        <v>591</v>
      </c>
      <c r="G1729" t="s">
        <v>684</v>
      </c>
      <c r="H1729">
        <v>0</v>
      </c>
      <c r="I1729">
        <v>0</v>
      </c>
      <c r="J1729">
        <v>0</v>
      </c>
      <c r="K1729">
        <v>0</v>
      </c>
      <c r="L1729">
        <v>0</v>
      </c>
      <c r="M1729">
        <v>0</v>
      </c>
      <c r="N1729">
        <v>0</v>
      </c>
      <c r="O1729">
        <v>0</v>
      </c>
      <c r="P1729">
        <v>0</v>
      </c>
      <c r="Q1729">
        <v>0</v>
      </c>
      <c r="R1729">
        <v>0</v>
      </c>
      <c r="S1729">
        <v>0</v>
      </c>
      <c r="T1729">
        <f t="shared" si="80"/>
        <v>0</v>
      </c>
      <c r="U1729">
        <v>1</v>
      </c>
    </row>
    <row r="1730" spans="1:21" x14ac:dyDescent="0.3">
      <c r="A1730" t="str">
        <f t="shared" ref="A1730:A1793" si="81">IF(B1730="","",E1730&amp;D1730&amp;B1730)</f>
        <v/>
      </c>
      <c r="B1730" t="str">
        <f>IF(C1730="","",COUNTIF($C$2:C1730,C1730))</f>
        <v/>
      </c>
      <c r="C1730" t="str">
        <f t="shared" ref="C1730:C1793" si="82">IF(T1730=0,"",E1730&amp;G1730)</f>
        <v/>
      </c>
      <c r="D1730" t="str">
        <f>VLOOKUP(G1730,PathwayLookup!A:B,2,0)</f>
        <v>Short term domiciliary care (pathway 1)</v>
      </c>
      <c r="E1730" t="s">
        <v>287</v>
      </c>
      <c r="F1730" t="s">
        <v>629</v>
      </c>
      <c r="G1730" t="s">
        <v>684</v>
      </c>
      <c r="H1730">
        <v>0</v>
      </c>
      <c r="I1730">
        <v>0</v>
      </c>
      <c r="J1730">
        <v>0</v>
      </c>
      <c r="K1730">
        <v>0</v>
      </c>
      <c r="L1730">
        <v>0</v>
      </c>
      <c r="M1730">
        <v>0</v>
      </c>
      <c r="N1730">
        <v>0</v>
      </c>
      <c r="O1730">
        <v>0</v>
      </c>
      <c r="P1730">
        <v>0</v>
      </c>
      <c r="Q1730">
        <v>0</v>
      </c>
      <c r="R1730">
        <v>0</v>
      </c>
      <c r="S1730">
        <v>0</v>
      </c>
      <c r="T1730">
        <f t="shared" ref="T1730:T1793" si="83">SUM(H1730:S1730)</f>
        <v>0</v>
      </c>
      <c r="U1730">
        <v>1</v>
      </c>
    </row>
    <row r="1731" spans="1:21" x14ac:dyDescent="0.3">
      <c r="A1731" t="str">
        <f t="shared" si="81"/>
        <v/>
      </c>
      <c r="B1731" t="str">
        <f>IF(C1731="","",COUNTIF($C$2:C1731,C1731))</f>
        <v/>
      </c>
      <c r="C1731" t="str">
        <f t="shared" si="82"/>
        <v/>
      </c>
      <c r="D1731" t="str">
        <f>VLOOKUP(G1731,PathwayLookup!A:B,2,0)</f>
        <v>Short term domiciliary care (pathway 1)</v>
      </c>
      <c r="E1731" t="s">
        <v>287</v>
      </c>
      <c r="F1731" t="s">
        <v>649</v>
      </c>
      <c r="G1731" t="s">
        <v>684</v>
      </c>
      <c r="H1731">
        <v>0</v>
      </c>
      <c r="I1731">
        <v>0</v>
      </c>
      <c r="J1731">
        <v>0</v>
      </c>
      <c r="K1731">
        <v>0</v>
      </c>
      <c r="L1731">
        <v>0</v>
      </c>
      <c r="M1731">
        <v>0</v>
      </c>
      <c r="N1731">
        <v>0</v>
      </c>
      <c r="O1731">
        <v>0</v>
      </c>
      <c r="P1731">
        <v>0</v>
      </c>
      <c r="Q1731">
        <v>0</v>
      </c>
      <c r="R1731">
        <v>0</v>
      </c>
      <c r="S1731">
        <v>0</v>
      </c>
      <c r="T1731">
        <f t="shared" si="83"/>
        <v>0</v>
      </c>
      <c r="U1731">
        <v>1</v>
      </c>
    </row>
    <row r="1732" spans="1:21" x14ac:dyDescent="0.3">
      <c r="A1732" t="str">
        <f t="shared" si="81"/>
        <v>SomersetReablement &amp; Rehabilitation in a bedded setting (pathway 2)1</v>
      </c>
      <c r="B1732">
        <f>IF(C1732="","",COUNTIF($C$2:C1732,C1732))</f>
        <v>1</v>
      </c>
      <c r="C1732" t="str">
        <f t="shared" si="82"/>
        <v>SomersetReablement in a bedded setting (pathway 2)</v>
      </c>
      <c r="D1732" t="str">
        <f>VLOOKUP(G1732,PathwayLookup!A:B,2,0)</f>
        <v>Reablement &amp; Rehabilitation in a bedded setting (pathway 2)</v>
      </c>
      <c r="E1732" t="s">
        <v>287</v>
      </c>
      <c r="F1732" t="s">
        <v>582</v>
      </c>
      <c r="G1732" t="s">
        <v>722</v>
      </c>
      <c r="H1732">
        <v>20</v>
      </c>
      <c r="I1732">
        <v>22</v>
      </c>
      <c r="J1732">
        <v>13</v>
      </c>
      <c r="K1732">
        <v>18</v>
      </c>
      <c r="L1732">
        <v>20</v>
      </c>
      <c r="M1732">
        <v>17</v>
      </c>
      <c r="N1732">
        <v>16</v>
      </c>
      <c r="O1732">
        <v>18</v>
      </c>
      <c r="P1732">
        <v>18</v>
      </c>
      <c r="Q1732">
        <v>19</v>
      </c>
      <c r="R1732">
        <v>18</v>
      </c>
      <c r="S1732">
        <v>21</v>
      </c>
      <c r="T1732">
        <f t="shared" si="83"/>
        <v>220</v>
      </c>
      <c r="U1732">
        <v>1</v>
      </c>
    </row>
    <row r="1733" spans="1:21" x14ac:dyDescent="0.3">
      <c r="A1733" t="str">
        <f t="shared" si="81"/>
        <v>SomersetReablement &amp; Rehabilitation in a bedded setting (pathway 2)2</v>
      </c>
      <c r="B1733">
        <f>IF(C1733="","",COUNTIF($C$2:C1733,C1733))</f>
        <v>2</v>
      </c>
      <c r="C1733" t="str">
        <f t="shared" si="82"/>
        <v>SomersetReablement in a bedded setting (pathway 2)</v>
      </c>
      <c r="D1733" t="str">
        <f>VLOOKUP(G1733,PathwayLookup!A:B,2,0)</f>
        <v>Reablement &amp; Rehabilitation in a bedded setting (pathway 2)</v>
      </c>
      <c r="E1733" t="s">
        <v>287</v>
      </c>
      <c r="F1733" t="s">
        <v>591</v>
      </c>
      <c r="G1733" t="s">
        <v>722</v>
      </c>
      <c r="H1733">
        <v>105</v>
      </c>
      <c r="I1733">
        <v>116</v>
      </c>
      <c r="J1733">
        <v>71</v>
      </c>
      <c r="K1733">
        <v>94</v>
      </c>
      <c r="L1733">
        <v>108</v>
      </c>
      <c r="M1733">
        <v>90</v>
      </c>
      <c r="N1733">
        <v>85</v>
      </c>
      <c r="O1733">
        <v>99</v>
      </c>
      <c r="P1733">
        <v>98</v>
      </c>
      <c r="Q1733">
        <v>104</v>
      </c>
      <c r="R1733">
        <v>98</v>
      </c>
      <c r="S1733">
        <v>113</v>
      </c>
      <c r="T1733">
        <f t="shared" si="83"/>
        <v>1181</v>
      </c>
      <c r="U1733">
        <v>1</v>
      </c>
    </row>
    <row r="1734" spans="1:21" x14ac:dyDescent="0.3">
      <c r="A1734" t="str">
        <f t="shared" si="81"/>
        <v>SomersetReablement &amp; Rehabilitation in a bedded setting (pathway 2)3</v>
      </c>
      <c r="B1734">
        <f>IF(C1734="","",COUNTIF($C$2:C1734,C1734))</f>
        <v>3</v>
      </c>
      <c r="C1734" t="str">
        <f t="shared" si="82"/>
        <v>SomersetReablement in a bedded setting (pathway 2)</v>
      </c>
      <c r="D1734" t="str">
        <f>VLOOKUP(G1734,PathwayLookup!A:B,2,0)</f>
        <v>Reablement &amp; Rehabilitation in a bedded setting (pathway 2)</v>
      </c>
      <c r="E1734" t="s">
        <v>287</v>
      </c>
      <c r="F1734" t="s">
        <v>629</v>
      </c>
      <c r="G1734" t="s">
        <v>722</v>
      </c>
      <c r="H1734">
        <v>17</v>
      </c>
      <c r="I1734">
        <v>19</v>
      </c>
      <c r="J1734">
        <v>11</v>
      </c>
      <c r="K1734">
        <v>15</v>
      </c>
      <c r="L1734">
        <v>17</v>
      </c>
      <c r="M1734">
        <v>14</v>
      </c>
      <c r="N1734">
        <v>14</v>
      </c>
      <c r="O1734">
        <v>16</v>
      </c>
      <c r="P1734">
        <v>16</v>
      </c>
      <c r="Q1734">
        <v>17</v>
      </c>
      <c r="R1734">
        <v>16</v>
      </c>
      <c r="S1734">
        <v>18</v>
      </c>
      <c r="T1734">
        <f t="shared" si="83"/>
        <v>190</v>
      </c>
      <c r="U1734">
        <v>1</v>
      </c>
    </row>
    <row r="1735" spans="1:21" x14ac:dyDescent="0.3">
      <c r="A1735" t="str">
        <f t="shared" si="81"/>
        <v>SomersetReablement &amp; Rehabilitation in a bedded setting (pathway 2)4</v>
      </c>
      <c r="B1735">
        <f>IF(C1735="","",COUNTIF($C$2:C1735,C1735))</f>
        <v>4</v>
      </c>
      <c r="C1735" t="str">
        <f t="shared" si="82"/>
        <v>SomersetReablement in a bedded setting (pathway 2)</v>
      </c>
      <c r="D1735" t="str">
        <f>VLOOKUP(G1735,PathwayLookup!A:B,2,0)</f>
        <v>Reablement &amp; Rehabilitation in a bedded setting (pathway 2)</v>
      </c>
      <c r="E1735" t="s">
        <v>287</v>
      </c>
      <c r="F1735" t="s">
        <v>649</v>
      </c>
      <c r="G1735" t="s">
        <v>722</v>
      </c>
      <c r="H1735">
        <v>46</v>
      </c>
      <c r="I1735">
        <v>51</v>
      </c>
      <c r="J1735">
        <v>31</v>
      </c>
      <c r="K1735">
        <v>41</v>
      </c>
      <c r="L1735">
        <v>47</v>
      </c>
      <c r="M1735">
        <v>39</v>
      </c>
      <c r="N1735">
        <v>37</v>
      </c>
      <c r="O1735">
        <v>44</v>
      </c>
      <c r="P1735">
        <v>43</v>
      </c>
      <c r="Q1735">
        <v>46</v>
      </c>
      <c r="R1735">
        <v>43</v>
      </c>
      <c r="S1735">
        <v>49</v>
      </c>
      <c r="T1735">
        <f t="shared" si="83"/>
        <v>517</v>
      </c>
      <c r="U1735">
        <v>1</v>
      </c>
    </row>
    <row r="1736" spans="1:21" x14ac:dyDescent="0.3">
      <c r="A1736" t="str">
        <f t="shared" si="81"/>
        <v/>
      </c>
      <c r="B1736" t="str">
        <f>IF(C1736="","",COUNTIF($C$2:C1736,C1736))</f>
        <v/>
      </c>
      <c r="C1736" t="str">
        <f t="shared" si="82"/>
        <v/>
      </c>
      <c r="D1736" t="str">
        <f>VLOOKUP(G1736,PathwayLookup!A:B,2,0)</f>
        <v>Reablement &amp; Rehabilitation in a bedded setting (pathway 2)</v>
      </c>
      <c r="E1736" t="s">
        <v>287</v>
      </c>
      <c r="F1736" t="s">
        <v>582</v>
      </c>
      <c r="G1736" t="s">
        <v>724</v>
      </c>
      <c r="H1736">
        <v>0</v>
      </c>
      <c r="I1736">
        <v>0</v>
      </c>
      <c r="J1736">
        <v>0</v>
      </c>
      <c r="K1736">
        <v>0</v>
      </c>
      <c r="L1736">
        <v>0</v>
      </c>
      <c r="M1736">
        <v>0</v>
      </c>
      <c r="N1736">
        <v>0</v>
      </c>
      <c r="O1736">
        <v>0</v>
      </c>
      <c r="P1736">
        <v>0</v>
      </c>
      <c r="Q1736">
        <v>0</v>
      </c>
      <c r="R1736">
        <v>0</v>
      </c>
      <c r="S1736">
        <v>0</v>
      </c>
      <c r="T1736">
        <f t="shared" si="83"/>
        <v>0</v>
      </c>
      <c r="U1736">
        <v>1</v>
      </c>
    </row>
    <row r="1737" spans="1:21" x14ac:dyDescent="0.3">
      <c r="A1737" t="str">
        <f t="shared" si="81"/>
        <v/>
      </c>
      <c r="B1737" t="str">
        <f>IF(C1737="","",COUNTIF($C$2:C1737,C1737))</f>
        <v/>
      </c>
      <c r="C1737" t="str">
        <f t="shared" si="82"/>
        <v/>
      </c>
      <c r="D1737" t="str">
        <f>VLOOKUP(G1737,PathwayLookup!A:B,2,0)</f>
        <v>Reablement &amp; Rehabilitation in a bedded setting (pathway 2)</v>
      </c>
      <c r="E1737" t="s">
        <v>287</v>
      </c>
      <c r="F1737" t="s">
        <v>591</v>
      </c>
      <c r="G1737" t="s">
        <v>724</v>
      </c>
      <c r="H1737">
        <v>0</v>
      </c>
      <c r="I1737">
        <v>0</v>
      </c>
      <c r="J1737">
        <v>0</v>
      </c>
      <c r="K1737">
        <v>0</v>
      </c>
      <c r="L1737">
        <v>0</v>
      </c>
      <c r="M1737">
        <v>0</v>
      </c>
      <c r="N1737">
        <v>0</v>
      </c>
      <c r="O1737">
        <v>0</v>
      </c>
      <c r="P1737">
        <v>0</v>
      </c>
      <c r="Q1737">
        <v>0</v>
      </c>
      <c r="R1737">
        <v>0</v>
      </c>
      <c r="S1737">
        <v>0</v>
      </c>
      <c r="T1737">
        <f t="shared" si="83"/>
        <v>0</v>
      </c>
      <c r="U1737">
        <v>1</v>
      </c>
    </row>
    <row r="1738" spans="1:21" x14ac:dyDescent="0.3">
      <c r="A1738" t="str">
        <f t="shared" si="81"/>
        <v/>
      </c>
      <c r="B1738" t="str">
        <f>IF(C1738="","",COUNTIF($C$2:C1738,C1738))</f>
        <v/>
      </c>
      <c r="C1738" t="str">
        <f t="shared" si="82"/>
        <v/>
      </c>
      <c r="D1738" t="str">
        <f>VLOOKUP(G1738,PathwayLookup!A:B,2,0)</f>
        <v>Reablement &amp; Rehabilitation in a bedded setting (pathway 2)</v>
      </c>
      <c r="E1738" t="s">
        <v>287</v>
      </c>
      <c r="F1738" t="s">
        <v>629</v>
      </c>
      <c r="G1738" t="s">
        <v>724</v>
      </c>
      <c r="H1738">
        <v>0</v>
      </c>
      <c r="I1738">
        <v>0</v>
      </c>
      <c r="J1738">
        <v>0</v>
      </c>
      <c r="K1738">
        <v>0</v>
      </c>
      <c r="L1738">
        <v>0</v>
      </c>
      <c r="M1738">
        <v>0</v>
      </c>
      <c r="N1738">
        <v>0</v>
      </c>
      <c r="O1738">
        <v>0</v>
      </c>
      <c r="P1738">
        <v>0</v>
      </c>
      <c r="Q1738">
        <v>0</v>
      </c>
      <c r="R1738">
        <v>0</v>
      </c>
      <c r="S1738">
        <v>0</v>
      </c>
      <c r="T1738">
        <f t="shared" si="83"/>
        <v>0</v>
      </c>
      <c r="U1738">
        <v>1</v>
      </c>
    </row>
    <row r="1739" spans="1:21" x14ac:dyDescent="0.3">
      <c r="A1739" t="str">
        <f t="shared" si="81"/>
        <v/>
      </c>
      <c r="B1739" t="str">
        <f>IF(C1739="","",COUNTIF($C$2:C1739,C1739))</f>
        <v/>
      </c>
      <c r="C1739" t="str">
        <f t="shared" si="82"/>
        <v/>
      </c>
      <c r="D1739" t="str">
        <f>VLOOKUP(G1739,PathwayLookup!A:B,2,0)</f>
        <v>Reablement &amp; Rehabilitation in a bedded setting (pathway 2)</v>
      </c>
      <c r="E1739" t="s">
        <v>287</v>
      </c>
      <c r="F1739" t="s">
        <v>649</v>
      </c>
      <c r="G1739" t="s">
        <v>724</v>
      </c>
      <c r="H1739">
        <v>0</v>
      </c>
      <c r="I1739">
        <v>0</v>
      </c>
      <c r="J1739">
        <v>0</v>
      </c>
      <c r="K1739">
        <v>0</v>
      </c>
      <c r="L1739">
        <v>0</v>
      </c>
      <c r="M1739">
        <v>0</v>
      </c>
      <c r="N1739">
        <v>0</v>
      </c>
      <c r="O1739">
        <v>0</v>
      </c>
      <c r="P1739">
        <v>0</v>
      </c>
      <c r="Q1739">
        <v>0</v>
      </c>
      <c r="R1739">
        <v>0</v>
      </c>
      <c r="S1739">
        <v>0</v>
      </c>
      <c r="T1739">
        <f t="shared" si="83"/>
        <v>0</v>
      </c>
      <c r="U1739">
        <v>1</v>
      </c>
    </row>
    <row r="1740" spans="1:21" x14ac:dyDescent="0.3">
      <c r="A1740" t="str">
        <f t="shared" si="81"/>
        <v>SomersetShort-term residential/nursing care for someone likely to require a longer-term care home placement (pathway 3)1</v>
      </c>
      <c r="B1740">
        <f>IF(C1740="","",COUNTIF($C$2:C1740,C1740))</f>
        <v>1</v>
      </c>
      <c r="C1740" t="str">
        <f t="shared" si="82"/>
        <v>SomersetShort-term residential/nursing care for someone likely to require a longer-term care home placement (pathway 3)</v>
      </c>
      <c r="D1740" t="str">
        <f>VLOOKUP(G1740,PathwayLookup!A:B,2,0)</f>
        <v>Short-term residential/nursing care for someone likely to require a longer-term care home placement (pathway 3)</v>
      </c>
      <c r="E1740" t="s">
        <v>287</v>
      </c>
      <c r="F1740" t="s">
        <v>582</v>
      </c>
      <c r="G1740" t="s">
        <v>686</v>
      </c>
      <c r="H1740">
        <v>5</v>
      </c>
      <c r="I1740">
        <v>5</v>
      </c>
      <c r="J1740">
        <v>3</v>
      </c>
      <c r="K1740">
        <v>4</v>
      </c>
      <c r="L1740">
        <v>5</v>
      </c>
      <c r="M1740">
        <v>4</v>
      </c>
      <c r="N1740">
        <v>4</v>
      </c>
      <c r="O1740">
        <v>5</v>
      </c>
      <c r="P1740">
        <v>5</v>
      </c>
      <c r="Q1740">
        <v>5</v>
      </c>
      <c r="R1740">
        <v>5</v>
      </c>
      <c r="S1740">
        <v>5</v>
      </c>
      <c r="T1740">
        <f t="shared" si="83"/>
        <v>55</v>
      </c>
      <c r="U1740">
        <v>1</v>
      </c>
    </row>
    <row r="1741" spans="1:21" x14ac:dyDescent="0.3">
      <c r="A1741" t="str">
        <f t="shared" si="81"/>
        <v>SomersetShort-term residential/nursing care for someone likely to require a longer-term care home placement (pathway 3)2</v>
      </c>
      <c r="B1741">
        <f>IF(C1741="","",COUNTIF($C$2:C1741,C1741))</f>
        <v>2</v>
      </c>
      <c r="C1741" t="str">
        <f t="shared" si="82"/>
        <v>SomersetShort-term residential/nursing care for someone likely to require a longer-term care home placement (pathway 3)</v>
      </c>
      <c r="D1741" t="str">
        <f>VLOOKUP(G1741,PathwayLookup!A:B,2,0)</f>
        <v>Short-term residential/nursing care for someone likely to require a longer-term care home placement (pathway 3)</v>
      </c>
      <c r="E1741" t="s">
        <v>287</v>
      </c>
      <c r="F1741" t="s">
        <v>591</v>
      </c>
      <c r="G1741" t="s">
        <v>686</v>
      </c>
      <c r="H1741">
        <v>25</v>
      </c>
      <c r="I1741">
        <v>27</v>
      </c>
      <c r="J1741">
        <v>17</v>
      </c>
      <c r="K1741">
        <v>22</v>
      </c>
      <c r="L1741">
        <v>25</v>
      </c>
      <c r="M1741">
        <v>21</v>
      </c>
      <c r="N1741">
        <v>20</v>
      </c>
      <c r="O1741">
        <v>23</v>
      </c>
      <c r="P1741">
        <v>23</v>
      </c>
      <c r="Q1741">
        <v>25</v>
      </c>
      <c r="R1741">
        <v>23</v>
      </c>
      <c r="S1741">
        <v>26</v>
      </c>
      <c r="T1741">
        <f t="shared" si="83"/>
        <v>277</v>
      </c>
      <c r="U1741">
        <v>1</v>
      </c>
    </row>
    <row r="1742" spans="1:21" x14ac:dyDescent="0.3">
      <c r="A1742" t="str">
        <f t="shared" si="81"/>
        <v>SomersetShort-term residential/nursing care for someone likely to require a longer-term care home placement (pathway 3)3</v>
      </c>
      <c r="B1742">
        <f>IF(C1742="","",COUNTIF($C$2:C1742,C1742))</f>
        <v>3</v>
      </c>
      <c r="C1742" t="str">
        <f t="shared" si="82"/>
        <v>SomersetShort-term residential/nursing care for someone likely to require a longer-term care home placement (pathway 3)</v>
      </c>
      <c r="D1742" t="str">
        <f>VLOOKUP(G1742,PathwayLookup!A:B,2,0)</f>
        <v>Short-term residential/nursing care for someone likely to require a longer-term care home placement (pathway 3)</v>
      </c>
      <c r="E1742" t="s">
        <v>287</v>
      </c>
      <c r="F1742" t="s">
        <v>629</v>
      </c>
      <c r="G1742" t="s">
        <v>686</v>
      </c>
      <c r="H1742">
        <v>4</v>
      </c>
      <c r="I1742">
        <v>5</v>
      </c>
      <c r="J1742">
        <v>3</v>
      </c>
      <c r="K1742">
        <v>4</v>
      </c>
      <c r="L1742">
        <v>4</v>
      </c>
      <c r="M1742">
        <v>4</v>
      </c>
      <c r="N1742">
        <v>3</v>
      </c>
      <c r="O1742">
        <v>4</v>
      </c>
      <c r="P1742">
        <v>4</v>
      </c>
      <c r="Q1742">
        <v>4</v>
      </c>
      <c r="R1742">
        <v>4</v>
      </c>
      <c r="S1742">
        <v>5</v>
      </c>
      <c r="T1742">
        <f t="shared" si="83"/>
        <v>48</v>
      </c>
      <c r="U1742">
        <v>1</v>
      </c>
    </row>
    <row r="1743" spans="1:21" x14ac:dyDescent="0.3">
      <c r="A1743" t="str">
        <f t="shared" si="81"/>
        <v>SomersetShort-term residential/nursing care for someone likely to require a longer-term care home placement (pathway 3)4</v>
      </c>
      <c r="B1743">
        <f>IF(C1743="","",COUNTIF($C$2:C1743,C1743))</f>
        <v>4</v>
      </c>
      <c r="C1743" t="str">
        <f t="shared" si="82"/>
        <v>SomersetShort-term residential/nursing care for someone likely to require a longer-term care home placement (pathway 3)</v>
      </c>
      <c r="D1743" t="str">
        <f>VLOOKUP(G1743,PathwayLookup!A:B,2,0)</f>
        <v>Short-term residential/nursing care for someone likely to require a longer-term care home placement (pathway 3)</v>
      </c>
      <c r="E1743" t="s">
        <v>287</v>
      </c>
      <c r="F1743" t="s">
        <v>649</v>
      </c>
      <c r="G1743" t="s">
        <v>686</v>
      </c>
      <c r="H1743">
        <v>12</v>
      </c>
      <c r="I1743">
        <v>13</v>
      </c>
      <c r="J1743">
        <v>8</v>
      </c>
      <c r="K1743">
        <v>11</v>
      </c>
      <c r="L1743">
        <v>12</v>
      </c>
      <c r="M1743">
        <v>10</v>
      </c>
      <c r="N1743">
        <v>10</v>
      </c>
      <c r="O1743">
        <v>11</v>
      </c>
      <c r="P1743">
        <v>11</v>
      </c>
      <c r="Q1743">
        <v>12</v>
      </c>
      <c r="R1743">
        <v>11</v>
      </c>
      <c r="S1743">
        <v>13</v>
      </c>
      <c r="T1743">
        <f t="shared" si="83"/>
        <v>134</v>
      </c>
      <c r="U1743">
        <v>1</v>
      </c>
    </row>
    <row r="1744" spans="1:21" x14ac:dyDescent="0.3">
      <c r="A1744" t="str">
        <f t="shared" si="81"/>
        <v>South GloucestershireSocial support (including VCS) (pathway 0)1</v>
      </c>
      <c r="B1744">
        <f>IF(C1744="","",COUNTIF($C$2:C1744,C1744))</f>
        <v>1</v>
      </c>
      <c r="C1744" t="str">
        <f t="shared" si="82"/>
        <v>South GloucestershireSocial support (including VCS) (pathway 0)</v>
      </c>
      <c r="D1744" t="str">
        <f>VLOOKUP(G1744,PathwayLookup!A:B,2,0)</f>
        <v>Social support (including VCS) (pathway 0)</v>
      </c>
      <c r="E1744" t="s">
        <v>289</v>
      </c>
      <c r="F1744" t="s">
        <v>554</v>
      </c>
      <c r="G1744" t="s">
        <v>682</v>
      </c>
      <c r="H1744">
        <v>50</v>
      </c>
      <c r="I1744">
        <v>50</v>
      </c>
      <c r="J1744">
        <v>50</v>
      </c>
      <c r="K1744">
        <v>50</v>
      </c>
      <c r="L1744">
        <v>50</v>
      </c>
      <c r="M1744">
        <v>50</v>
      </c>
      <c r="N1744">
        <v>50</v>
      </c>
      <c r="O1744">
        <v>50</v>
      </c>
      <c r="P1744">
        <v>50</v>
      </c>
      <c r="Q1744">
        <v>48</v>
      </c>
      <c r="R1744">
        <v>48</v>
      </c>
      <c r="S1744">
        <v>48</v>
      </c>
      <c r="T1744">
        <f t="shared" si="83"/>
        <v>594</v>
      </c>
      <c r="U1744">
        <v>1</v>
      </c>
    </row>
    <row r="1745" spans="1:21" x14ac:dyDescent="0.3">
      <c r="A1745" t="str">
        <f t="shared" si="81"/>
        <v>South GloucestershireReablement &amp; Rehabilitation at home  (pathway 1)1</v>
      </c>
      <c r="B1745">
        <f>IF(C1745="","",COUNTIF($C$2:C1745,C1745))</f>
        <v>1</v>
      </c>
      <c r="C1745" t="str">
        <f t="shared" si="82"/>
        <v>South GloucestershireReablement at home  (pathway 1)</v>
      </c>
      <c r="D1745" t="str">
        <f>VLOOKUP(G1745,PathwayLookup!A:B,2,0)</f>
        <v>Reablement &amp; Rehabilitation at home  (pathway 1)</v>
      </c>
      <c r="E1745" t="s">
        <v>289</v>
      </c>
      <c r="F1745" t="s">
        <v>554</v>
      </c>
      <c r="G1745" t="s">
        <v>718</v>
      </c>
      <c r="H1745">
        <v>26</v>
      </c>
      <c r="I1745">
        <v>31</v>
      </c>
      <c r="J1745">
        <v>32</v>
      </c>
      <c r="K1745">
        <v>32</v>
      </c>
      <c r="L1745">
        <v>32</v>
      </c>
      <c r="M1745">
        <v>32</v>
      </c>
      <c r="N1745">
        <v>36</v>
      </c>
      <c r="O1745">
        <v>41</v>
      </c>
      <c r="P1745">
        <v>42</v>
      </c>
      <c r="Q1745">
        <v>45</v>
      </c>
      <c r="R1745">
        <v>47</v>
      </c>
      <c r="S1745">
        <v>48</v>
      </c>
      <c r="T1745">
        <f t="shared" si="83"/>
        <v>444</v>
      </c>
      <c r="U1745">
        <v>1</v>
      </c>
    </row>
    <row r="1746" spans="1:21" x14ac:dyDescent="0.3">
      <c r="A1746" t="str">
        <f t="shared" si="81"/>
        <v/>
      </c>
      <c r="B1746" t="str">
        <f>IF(C1746="","",COUNTIF($C$2:C1746,C1746))</f>
        <v/>
      </c>
      <c r="C1746" t="str">
        <f t="shared" si="82"/>
        <v/>
      </c>
      <c r="D1746" t="str">
        <f>VLOOKUP(G1746,PathwayLookup!A:B,2,0)</f>
        <v>Reablement &amp; Rehabilitation at home  (pathway 1)</v>
      </c>
      <c r="E1746" t="s">
        <v>289</v>
      </c>
      <c r="F1746" t="s">
        <v>629</v>
      </c>
      <c r="G1746" t="s">
        <v>718</v>
      </c>
      <c r="H1746">
        <v>0</v>
      </c>
      <c r="I1746">
        <v>0</v>
      </c>
      <c r="J1746">
        <v>0</v>
      </c>
      <c r="K1746">
        <v>0</v>
      </c>
      <c r="L1746">
        <v>0</v>
      </c>
      <c r="M1746">
        <v>0</v>
      </c>
      <c r="N1746">
        <v>0</v>
      </c>
      <c r="O1746">
        <v>0</v>
      </c>
      <c r="P1746">
        <v>0</v>
      </c>
      <c r="Q1746">
        <v>0</v>
      </c>
      <c r="R1746">
        <v>0</v>
      </c>
      <c r="S1746">
        <v>0</v>
      </c>
      <c r="T1746">
        <f t="shared" si="83"/>
        <v>0</v>
      </c>
      <c r="U1746">
        <v>1</v>
      </c>
    </row>
    <row r="1747" spans="1:21" x14ac:dyDescent="0.3">
      <c r="A1747" t="str">
        <f t="shared" si="81"/>
        <v>South GloucestershireReablement &amp; Rehabilitation at home  (pathway 1)1</v>
      </c>
      <c r="B1747">
        <f>IF(C1747="","",COUNTIF($C$2:C1747,C1747))</f>
        <v>1</v>
      </c>
      <c r="C1747" t="str">
        <f t="shared" si="82"/>
        <v>South GloucestershireRehabilitation at home (pathway 1)</v>
      </c>
      <c r="D1747" t="str">
        <f>VLOOKUP(G1747,PathwayLookup!A:B,2,0)</f>
        <v>Reablement &amp; Rehabilitation at home  (pathway 1)</v>
      </c>
      <c r="E1747" t="s">
        <v>289</v>
      </c>
      <c r="F1747" t="s">
        <v>554</v>
      </c>
      <c r="G1747" t="s">
        <v>719</v>
      </c>
      <c r="H1747">
        <v>138</v>
      </c>
      <c r="I1747">
        <v>142</v>
      </c>
      <c r="J1747">
        <v>138</v>
      </c>
      <c r="K1747">
        <v>139</v>
      </c>
      <c r="L1747">
        <v>139</v>
      </c>
      <c r="M1747">
        <v>135</v>
      </c>
      <c r="N1747">
        <v>137</v>
      </c>
      <c r="O1747">
        <v>132</v>
      </c>
      <c r="P1747">
        <v>137</v>
      </c>
      <c r="Q1747">
        <v>137</v>
      </c>
      <c r="R1747">
        <v>128</v>
      </c>
      <c r="S1747">
        <v>137</v>
      </c>
      <c r="T1747">
        <f t="shared" si="83"/>
        <v>1639</v>
      </c>
      <c r="U1747">
        <v>1</v>
      </c>
    </row>
    <row r="1748" spans="1:21" x14ac:dyDescent="0.3">
      <c r="A1748" t="str">
        <f t="shared" si="81"/>
        <v>South GloucestershireReablement &amp; Rehabilitation at home  (pathway 1)2</v>
      </c>
      <c r="B1748">
        <f>IF(C1748="","",COUNTIF($C$2:C1748,C1748))</f>
        <v>2</v>
      </c>
      <c r="C1748" t="str">
        <f t="shared" si="82"/>
        <v>South GloucestershireRehabilitation at home (pathway 1)</v>
      </c>
      <c r="D1748" t="str">
        <f>VLOOKUP(G1748,PathwayLookup!A:B,2,0)</f>
        <v>Reablement &amp; Rehabilitation at home  (pathway 1)</v>
      </c>
      <c r="E1748" t="s">
        <v>289</v>
      </c>
      <c r="F1748" t="s">
        <v>629</v>
      </c>
      <c r="G1748" t="s">
        <v>719</v>
      </c>
      <c r="H1748">
        <v>6</v>
      </c>
      <c r="I1748">
        <v>6</v>
      </c>
      <c r="J1748">
        <v>6</v>
      </c>
      <c r="K1748">
        <v>6</v>
      </c>
      <c r="L1748">
        <v>6</v>
      </c>
      <c r="M1748">
        <v>6</v>
      </c>
      <c r="N1748">
        <v>6</v>
      </c>
      <c r="O1748">
        <v>6</v>
      </c>
      <c r="P1748">
        <v>6</v>
      </c>
      <c r="Q1748">
        <v>6</v>
      </c>
      <c r="R1748">
        <v>6</v>
      </c>
      <c r="S1748">
        <v>6</v>
      </c>
      <c r="T1748">
        <f t="shared" si="83"/>
        <v>72</v>
      </c>
      <c r="U1748">
        <v>1</v>
      </c>
    </row>
    <row r="1749" spans="1:21" x14ac:dyDescent="0.3">
      <c r="A1749" t="str">
        <f t="shared" si="81"/>
        <v>South GloucestershireShort term domiciliary care (pathway 1)1</v>
      </c>
      <c r="B1749">
        <f>IF(C1749="","",COUNTIF($C$2:C1749,C1749))</f>
        <v>1</v>
      </c>
      <c r="C1749" t="str">
        <f t="shared" si="82"/>
        <v>South GloucestershireShort term domiciliary care (pathway 1)</v>
      </c>
      <c r="D1749" t="str">
        <f>VLOOKUP(G1749,PathwayLookup!A:B,2,0)</f>
        <v>Short term domiciliary care (pathway 1)</v>
      </c>
      <c r="E1749" t="s">
        <v>289</v>
      </c>
      <c r="F1749" t="s">
        <v>554</v>
      </c>
      <c r="G1749" t="s">
        <v>684</v>
      </c>
      <c r="H1749">
        <v>15</v>
      </c>
      <c r="I1749">
        <v>15</v>
      </c>
      <c r="J1749">
        <v>15</v>
      </c>
      <c r="K1749">
        <v>0</v>
      </c>
      <c r="L1749">
        <v>0</v>
      </c>
      <c r="M1749">
        <v>0</v>
      </c>
      <c r="N1749">
        <v>0</v>
      </c>
      <c r="O1749">
        <v>0</v>
      </c>
      <c r="P1749">
        <v>0</v>
      </c>
      <c r="Q1749">
        <v>0</v>
      </c>
      <c r="R1749">
        <v>0</v>
      </c>
      <c r="S1749">
        <v>0</v>
      </c>
      <c r="T1749">
        <f t="shared" si="83"/>
        <v>45</v>
      </c>
      <c r="U1749">
        <v>1</v>
      </c>
    </row>
    <row r="1750" spans="1:21" x14ac:dyDescent="0.3">
      <c r="A1750" t="str">
        <f t="shared" si="81"/>
        <v/>
      </c>
      <c r="B1750" t="str">
        <f>IF(C1750="","",COUNTIF($C$2:C1750,C1750))</f>
        <v/>
      </c>
      <c r="C1750" t="str">
        <f t="shared" si="82"/>
        <v/>
      </c>
      <c r="D1750" t="str">
        <f>VLOOKUP(G1750,PathwayLookup!A:B,2,0)</f>
        <v>Short term domiciliary care (pathway 1)</v>
      </c>
      <c r="E1750" t="s">
        <v>289</v>
      </c>
      <c r="F1750" t="s">
        <v>629</v>
      </c>
      <c r="G1750" t="s">
        <v>684</v>
      </c>
      <c r="H1750">
        <v>0</v>
      </c>
      <c r="I1750">
        <v>0</v>
      </c>
      <c r="J1750">
        <v>0</v>
      </c>
      <c r="K1750">
        <v>0</v>
      </c>
      <c r="L1750">
        <v>0</v>
      </c>
      <c r="M1750">
        <v>0</v>
      </c>
      <c r="N1750">
        <v>0</v>
      </c>
      <c r="O1750">
        <v>0</v>
      </c>
      <c r="P1750">
        <v>0</v>
      </c>
      <c r="Q1750">
        <v>0</v>
      </c>
      <c r="R1750">
        <v>0</v>
      </c>
      <c r="S1750">
        <v>0</v>
      </c>
      <c r="T1750">
        <f t="shared" si="83"/>
        <v>0</v>
      </c>
      <c r="U1750">
        <v>1</v>
      </c>
    </row>
    <row r="1751" spans="1:21" x14ac:dyDescent="0.3">
      <c r="A1751" t="str">
        <f t="shared" si="81"/>
        <v/>
      </c>
      <c r="B1751" t="str">
        <f>IF(C1751="","",COUNTIF($C$2:C1751,C1751))</f>
        <v/>
      </c>
      <c r="C1751" t="str">
        <f t="shared" si="82"/>
        <v/>
      </c>
      <c r="D1751" t="str">
        <f>VLOOKUP(G1751,PathwayLookup!A:B,2,0)</f>
        <v>Reablement &amp; Rehabilitation in a bedded setting (pathway 2)</v>
      </c>
      <c r="E1751" t="s">
        <v>289</v>
      </c>
      <c r="F1751" t="s">
        <v>554</v>
      </c>
      <c r="G1751" t="s">
        <v>722</v>
      </c>
      <c r="H1751">
        <v>0</v>
      </c>
      <c r="I1751">
        <v>0</v>
      </c>
      <c r="J1751">
        <v>0</v>
      </c>
      <c r="K1751">
        <v>0</v>
      </c>
      <c r="L1751">
        <v>0</v>
      </c>
      <c r="M1751">
        <v>0</v>
      </c>
      <c r="N1751">
        <v>0</v>
      </c>
      <c r="O1751">
        <v>0</v>
      </c>
      <c r="P1751">
        <v>0</v>
      </c>
      <c r="Q1751">
        <v>0</v>
      </c>
      <c r="R1751">
        <v>0</v>
      </c>
      <c r="S1751">
        <v>0</v>
      </c>
      <c r="T1751">
        <f t="shared" si="83"/>
        <v>0</v>
      </c>
      <c r="U1751">
        <v>1</v>
      </c>
    </row>
    <row r="1752" spans="1:21" x14ac:dyDescent="0.3">
      <c r="A1752" t="str">
        <f t="shared" si="81"/>
        <v/>
      </c>
      <c r="B1752" t="str">
        <f>IF(C1752="","",COUNTIF($C$2:C1752,C1752))</f>
        <v/>
      </c>
      <c r="C1752" t="str">
        <f t="shared" si="82"/>
        <v/>
      </c>
      <c r="D1752" t="str">
        <f>VLOOKUP(G1752,PathwayLookup!A:B,2,0)</f>
        <v>Reablement &amp; Rehabilitation in a bedded setting (pathway 2)</v>
      </c>
      <c r="E1752" t="s">
        <v>289</v>
      </c>
      <c r="F1752" t="s">
        <v>629</v>
      </c>
      <c r="G1752" t="s">
        <v>722</v>
      </c>
      <c r="H1752">
        <v>0</v>
      </c>
      <c r="I1752">
        <v>0</v>
      </c>
      <c r="J1752">
        <v>0</v>
      </c>
      <c r="K1752">
        <v>0</v>
      </c>
      <c r="L1752">
        <v>0</v>
      </c>
      <c r="M1752">
        <v>0</v>
      </c>
      <c r="N1752">
        <v>0</v>
      </c>
      <c r="O1752">
        <v>0</v>
      </c>
      <c r="P1752">
        <v>0</v>
      </c>
      <c r="Q1752">
        <v>0</v>
      </c>
      <c r="R1752">
        <v>0</v>
      </c>
      <c r="S1752">
        <v>0</v>
      </c>
      <c r="T1752">
        <f t="shared" si="83"/>
        <v>0</v>
      </c>
      <c r="U1752">
        <v>1</v>
      </c>
    </row>
    <row r="1753" spans="1:21" x14ac:dyDescent="0.3">
      <c r="A1753" t="str">
        <f t="shared" si="81"/>
        <v>South GloucestershireReablement &amp; Rehabilitation in a bedded setting (pathway 2)1</v>
      </c>
      <c r="B1753">
        <f>IF(C1753="","",COUNTIF($C$2:C1753,C1753))</f>
        <v>1</v>
      </c>
      <c r="C1753" t="str">
        <f t="shared" si="82"/>
        <v>South GloucestershireRehabilitation in a bedded setting (pathway 2)</v>
      </c>
      <c r="D1753" t="str">
        <f>VLOOKUP(G1753,PathwayLookup!A:B,2,0)</f>
        <v>Reablement &amp; Rehabilitation in a bedded setting (pathway 2)</v>
      </c>
      <c r="E1753" t="s">
        <v>289</v>
      </c>
      <c r="F1753" t="s">
        <v>554</v>
      </c>
      <c r="G1753" t="s">
        <v>724</v>
      </c>
      <c r="H1753">
        <v>46</v>
      </c>
      <c r="I1753">
        <v>47</v>
      </c>
      <c r="J1753">
        <v>46</v>
      </c>
      <c r="K1753">
        <v>46</v>
      </c>
      <c r="L1753">
        <v>46</v>
      </c>
      <c r="M1753">
        <v>45</v>
      </c>
      <c r="N1753">
        <v>45</v>
      </c>
      <c r="O1753">
        <v>44</v>
      </c>
      <c r="P1753">
        <v>45</v>
      </c>
      <c r="Q1753">
        <v>45</v>
      </c>
      <c r="R1753">
        <v>42</v>
      </c>
      <c r="S1753">
        <v>45</v>
      </c>
      <c r="T1753">
        <f t="shared" si="83"/>
        <v>542</v>
      </c>
      <c r="U1753">
        <v>1</v>
      </c>
    </row>
    <row r="1754" spans="1:21" x14ac:dyDescent="0.3">
      <c r="A1754" t="str">
        <f t="shared" si="81"/>
        <v>South GloucestershireReablement &amp; Rehabilitation in a bedded setting (pathway 2)2</v>
      </c>
      <c r="B1754">
        <f>IF(C1754="","",COUNTIF($C$2:C1754,C1754))</f>
        <v>2</v>
      </c>
      <c r="C1754" t="str">
        <f t="shared" si="82"/>
        <v>South GloucestershireRehabilitation in a bedded setting (pathway 2)</v>
      </c>
      <c r="D1754" t="str">
        <f>VLOOKUP(G1754,PathwayLookup!A:B,2,0)</f>
        <v>Reablement &amp; Rehabilitation in a bedded setting (pathway 2)</v>
      </c>
      <c r="E1754" t="s">
        <v>289</v>
      </c>
      <c r="F1754" t="s">
        <v>629</v>
      </c>
      <c r="G1754" t="s">
        <v>724</v>
      </c>
      <c r="H1754">
        <v>1</v>
      </c>
      <c r="I1754">
        <v>1</v>
      </c>
      <c r="J1754">
        <v>1</v>
      </c>
      <c r="K1754">
        <v>1</v>
      </c>
      <c r="L1754">
        <v>1</v>
      </c>
      <c r="M1754">
        <v>1</v>
      </c>
      <c r="N1754">
        <v>1</v>
      </c>
      <c r="O1754">
        <v>1</v>
      </c>
      <c r="P1754">
        <v>1</v>
      </c>
      <c r="Q1754">
        <v>1</v>
      </c>
      <c r="R1754">
        <v>1</v>
      </c>
      <c r="S1754">
        <v>1</v>
      </c>
      <c r="T1754">
        <f t="shared" si="83"/>
        <v>12</v>
      </c>
      <c r="U1754">
        <v>1</v>
      </c>
    </row>
    <row r="1755" spans="1:21" x14ac:dyDescent="0.3">
      <c r="A1755" t="str">
        <f t="shared" si="81"/>
        <v>South GloucestershireShort-term residential/nursing care for someone likely to require a longer-term care home placement (pathway 3)1</v>
      </c>
      <c r="B1755">
        <f>IF(C1755="","",COUNTIF($C$2:C1755,C1755))</f>
        <v>1</v>
      </c>
      <c r="C1755" t="str">
        <f t="shared" si="82"/>
        <v>South GloucestershireShort-term residential/nursing care for someone likely to require a longer-term care home placement (pathway 3)</v>
      </c>
      <c r="D1755" t="str">
        <f>VLOOKUP(G1755,PathwayLookup!A:B,2,0)</f>
        <v>Short-term residential/nursing care for someone likely to require a longer-term care home placement (pathway 3)</v>
      </c>
      <c r="E1755" t="s">
        <v>289</v>
      </c>
      <c r="F1755" t="s">
        <v>554</v>
      </c>
      <c r="G1755" t="s">
        <v>686</v>
      </c>
      <c r="H1755">
        <v>32</v>
      </c>
      <c r="I1755">
        <v>33</v>
      </c>
      <c r="J1755">
        <v>32</v>
      </c>
      <c r="K1755">
        <v>31</v>
      </c>
      <c r="L1755">
        <v>31</v>
      </c>
      <c r="M1755">
        <v>30</v>
      </c>
      <c r="N1755">
        <v>29</v>
      </c>
      <c r="O1755">
        <v>28</v>
      </c>
      <c r="P1755">
        <v>29</v>
      </c>
      <c r="Q1755">
        <v>29</v>
      </c>
      <c r="R1755">
        <v>27</v>
      </c>
      <c r="S1755">
        <v>29</v>
      </c>
      <c r="T1755">
        <f t="shared" si="83"/>
        <v>360</v>
      </c>
      <c r="U1755">
        <v>1</v>
      </c>
    </row>
    <row r="1756" spans="1:21" x14ac:dyDescent="0.3">
      <c r="A1756" t="str">
        <f t="shared" si="81"/>
        <v/>
      </c>
      <c r="B1756" t="str">
        <f>IF(C1756="","",COUNTIF($C$2:C1756,C1756))</f>
        <v/>
      </c>
      <c r="C1756" t="str">
        <f t="shared" si="82"/>
        <v/>
      </c>
      <c r="D1756" t="str">
        <f>VLOOKUP(G1756,PathwayLookup!A:B,2,0)</f>
        <v>Short-term residential/nursing care for someone likely to require a longer-term care home placement (pathway 3)</v>
      </c>
      <c r="E1756" t="s">
        <v>289</v>
      </c>
      <c r="F1756" t="s">
        <v>629</v>
      </c>
      <c r="G1756" t="s">
        <v>686</v>
      </c>
      <c r="H1756">
        <v>0</v>
      </c>
      <c r="I1756">
        <v>0</v>
      </c>
      <c r="J1756">
        <v>0</v>
      </c>
      <c r="K1756">
        <v>0</v>
      </c>
      <c r="L1756">
        <v>0</v>
      </c>
      <c r="M1756">
        <v>0</v>
      </c>
      <c r="N1756">
        <v>0</v>
      </c>
      <c r="O1756">
        <v>0</v>
      </c>
      <c r="P1756">
        <v>0</v>
      </c>
      <c r="Q1756">
        <v>0</v>
      </c>
      <c r="R1756">
        <v>0</v>
      </c>
      <c r="S1756">
        <v>0</v>
      </c>
      <c r="T1756">
        <f t="shared" si="83"/>
        <v>0</v>
      </c>
      <c r="U1756">
        <v>1</v>
      </c>
    </row>
    <row r="1757" spans="1:21" x14ac:dyDescent="0.3">
      <c r="A1757" t="str">
        <f t="shared" si="81"/>
        <v>South TynesideSocial support (including VCS) (pathway 0)1</v>
      </c>
      <c r="B1757">
        <f>IF(C1757="","",COUNTIF($C$2:C1757,C1757))</f>
        <v>1</v>
      </c>
      <c r="C1757" t="str">
        <f t="shared" si="82"/>
        <v>South TynesideSocial support (including VCS) (pathway 0)</v>
      </c>
      <c r="D1757" t="str">
        <f>VLOOKUP(G1757,PathwayLookup!A:B,2,0)</f>
        <v>Social support (including VCS) (pathway 0)</v>
      </c>
      <c r="E1757" t="s">
        <v>291</v>
      </c>
      <c r="F1757" t="s">
        <v>448</v>
      </c>
      <c r="G1757" t="s">
        <v>682</v>
      </c>
      <c r="H1757">
        <v>700</v>
      </c>
      <c r="I1757">
        <v>700</v>
      </c>
      <c r="J1757">
        <v>680</v>
      </c>
      <c r="K1757">
        <v>650</v>
      </c>
      <c r="L1757">
        <v>600</v>
      </c>
      <c r="M1757">
        <v>800</v>
      </c>
      <c r="N1757">
        <v>800</v>
      </c>
      <c r="O1757">
        <v>1000</v>
      </c>
      <c r="P1757">
        <v>1000</v>
      </c>
      <c r="Q1757">
        <v>1000</v>
      </c>
      <c r="R1757">
        <v>1000</v>
      </c>
      <c r="S1757">
        <v>1000</v>
      </c>
      <c r="T1757">
        <f t="shared" si="83"/>
        <v>9930</v>
      </c>
      <c r="U1757">
        <v>1</v>
      </c>
    </row>
    <row r="1758" spans="1:21" x14ac:dyDescent="0.3">
      <c r="A1758" t="str">
        <f t="shared" si="81"/>
        <v>South TynesideReablement &amp; Rehabilitation at home  (pathway 1)1</v>
      </c>
      <c r="B1758">
        <f>IF(C1758="","",COUNTIF($C$2:C1758,C1758))</f>
        <v>1</v>
      </c>
      <c r="C1758" t="str">
        <f t="shared" si="82"/>
        <v>South TynesideReablement at home  (pathway 1)</v>
      </c>
      <c r="D1758" t="str">
        <f>VLOOKUP(G1758,PathwayLookup!A:B,2,0)</f>
        <v>Reablement &amp; Rehabilitation at home  (pathway 1)</v>
      </c>
      <c r="E1758" t="s">
        <v>291</v>
      </c>
      <c r="F1758" t="s">
        <v>448</v>
      </c>
      <c r="G1758" t="s">
        <v>718</v>
      </c>
      <c r="H1758">
        <v>163</v>
      </c>
      <c r="I1758">
        <v>233</v>
      </c>
      <c r="J1758">
        <v>175</v>
      </c>
      <c r="K1758">
        <v>192</v>
      </c>
      <c r="L1758">
        <v>179</v>
      </c>
      <c r="M1758">
        <v>182</v>
      </c>
      <c r="N1758">
        <v>207</v>
      </c>
      <c r="O1758">
        <v>206</v>
      </c>
      <c r="P1758">
        <v>194</v>
      </c>
      <c r="Q1758">
        <v>182</v>
      </c>
      <c r="R1758">
        <v>186</v>
      </c>
      <c r="S1758">
        <v>210</v>
      </c>
      <c r="T1758">
        <f t="shared" si="83"/>
        <v>2309</v>
      </c>
      <c r="U1758">
        <v>1</v>
      </c>
    </row>
    <row r="1759" spans="1:21" x14ac:dyDescent="0.3">
      <c r="A1759" t="str">
        <f t="shared" si="81"/>
        <v/>
      </c>
      <c r="B1759" t="str">
        <f>IF(C1759="","",COUNTIF($C$2:C1759,C1759))</f>
        <v/>
      </c>
      <c r="C1759" t="str">
        <f t="shared" si="82"/>
        <v/>
      </c>
      <c r="D1759" t="str">
        <f>VLOOKUP(G1759,PathwayLookup!A:B,2,0)</f>
        <v>Reablement &amp; Rehabilitation at home  (pathway 1)</v>
      </c>
      <c r="E1759" t="s">
        <v>291</v>
      </c>
      <c r="F1759" t="s">
        <v>448</v>
      </c>
      <c r="G1759" t="s">
        <v>719</v>
      </c>
      <c r="H1759">
        <v>0</v>
      </c>
      <c r="I1759">
        <v>0</v>
      </c>
      <c r="J1759">
        <v>0</v>
      </c>
      <c r="K1759">
        <v>0</v>
      </c>
      <c r="L1759">
        <v>0</v>
      </c>
      <c r="M1759">
        <v>0</v>
      </c>
      <c r="N1759">
        <v>0</v>
      </c>
      <c r="O1759">
        <v>0</v>
      </c>
      <c r="P1759">
        <v>0</v>
      </c>
      <c r="Q1759">
        <v>0</v>
      </c>
      <c r="R1759">
        <v>0</v>
      </c>
      <c r="S1759">
        <v>0</v>
      </c>
      <c r="T1759">
        <f t="shared" si="83"/>
        <v>0</v>
      </c>
      <c r="U1759">
        <v>1</v>
      </c>
    </row>
    <row r="1760" spans="1:21" x14ac:dyDescent="0.3">
      <c r="A1760" t="str">
        <f t="shared" si="81"/>
        <v/>
      </c>
      <c r="B1760" t="str">
        <f>IF(C1760="","",COUNTIF($C$2:C1760,C1760))</f>
        <v/>
      </c>
      <c r="C1760" t="str">
        <f t="shared" si="82"/>
        <v/>
      </c>
      <c r="D1760" t="str">
        <f>VLOOKUP(G1760,PathwayLookup!A:B,2,0)</f>
        <v>Short term domiciliary care (pathway 1)</v>
      </c>
      <c r="E1760" t="s">
        <v>291</v>
      </c>
      <c r="F1760" t="s">
        <v>448</v>
      </c>
      <c r="G1760" t="s">
        <v>684</v>
      </c>
      <c r="H1760">
        <v>0</v>
      </c>
      <c r="I1760">
        <v>0</v>
      </c>
      <c r="J1760">
        <v>0</v>
      </c>
      <c r="K1760">
        <v>0</v>
      </c>
      <c r="L1760">
        <v>0</v>
      </c>
      <c r="M1760">
        <v>0</v>
      </c>
      <c r="N1760">
        <v>0</v>
      </c>
      <c r="O1760">
        <v>0</v>
      </c>
      <c r="P1760">
        <v>0</v>
      </c>
      <c r="Q1760">
        <v>0</v>
      </c>
      <c r="R1760">
        <v>0</v>
      </c>
      <c r="S1760">
        <v>0</v>
      </c>
      <c r="T1760">
        <f t="shared" si="83"/>
        <v>0</v>
      </c>
      <c r="U1760">
        <v>1</v>
      </c>
    </row>
    <row r="1761" spans="1:21" x14ac:dyDescent="0.3">
      <c r="A1761" t="str">
        <f t="shared" si="81"/>
        <v>South TynesideReablement &amp; Rehabilitation in a bedded setting (pathway 2)1</v>
      </c>
      <c r="B1761">
        <f>IF(C1761="","",COUNTIF($C$2:C1761,C1761))</f>
        <v>1</v>
      </c>
      <c r="C1761" t="str">
        <f t="shared" si="82"/>
        <v>South TynesideReablement in a bedded setting (pathway 2)</v>
      </c>
      <c r="D1761" t="str">
        <f>VLOOKUP(G1761,PathwayLookup!A:B,2,0)</f>
        <v>Reablement &amp; Rehabilitation in a bedded setting (pathway 2)</v>
      </c>
      <c r="E1761" t="s">
        <v>291</v>
      </c>
      <c r="F1761" t="s">
        <v>448</v>
      </c>
      <c r="G1761" t="s">
        <v>722</v>
      </c>
      <c r="H1761">
        <v>38</v>
      </c>
      <c r="I1761">
        <v>38</v>
      </c>
      <c r="J1761">
        <v>38</v>
      </c>
      <c r="K1761">
        <v>38</v>
      </c>
      <c r="L1761">
        <v>38</v>
      </c>
      <c r="M1761">
        <v>38</v>
      </c>
      <c r="N1761">
        <v>45</v>
      </c>
      <c r="O1761">
        <v>45</v>
      </c>
      <c r="P1761">
        <v>45</v>
      </c>
      <c r="Q1761">
        <v>45</v>
      </c>
      <c r="R1761">
        <v>45</v>
      </c>
      <c r="S1761">
        <v>45</v>
      </c>
      <c r="T1761">
        <f t="shared" si="83"/>
        <v>498</v>
      </c>
      <c r="U1761">
        <v>1</v>
      </c>
    </row>
    <row r="1762" spans="1:21" x14ac:dyDescent="0.3">
      <c r="A1762" t="str">
        <f t="shared" si="81"/>
        <v/>
      </c>
      <c r="B1762" t="str">
        <f>IF(C1762="","",COUNTIF($C$2:C1762,C1762))</f>
        <v/>
      </c>
      <c r="C1762" t="str">
        <f t="shared" si="82"/>
        <v/>
      </c>
      <c r="D1762" t="str">
        <f>VLOOKUP(G1762,PathwayLookup!A:B,2,0)</f>
        <v>Reablement &amp; Rehabilitation in a bedded setting (pathway 2)</v>
      </c>
      <c r="E1762" t="s">
        <v>291</v>
      </c>
      <c r="F1762" t="s">
        <v>448</v>
      </c>
      <c r="G1762" t="s">
        <v>724</v>
      </c>
      <c r="H1762">
        <v>0</v>
      </c>
      <c r="I1762">
        <v>0</v>
      </c>
      <c r="J1762">
        <v>0</v>
      </c>
      <c r="K1762">
        <v>0</v>
      </c>
      <c r="L1762">
        <v>0</v>
      </c>
      <c r="M1762">
        <v>0</v>
      </c>
      <c r="N1762">
        <v>0</v>
      </c>
      <c r="O1762">
        <v>0</v>
      </c>
      <c r="P1762">
        <v>0</v>
      </c>
      <c r="Q1762">
        <v>0</v>
      </c>
      <c r="R1762">
        <v>0</v>
      </c>
      <c r="S1762">
        <v>0</v>
      </c>
      <c r="T1762">
        <f t="shared" si="83"/>
        <v>0</v>
      </c>
      <c r="U1762">
        <v>1</v>
      </c>
    </row>
    <row r="1763" spans="1:21" x14ac:dyDescent="0.3">
      <c r="A1763" t="str">
        <f t="shared" si="81"/>
        <v>South TynesideShort-term residential/nursing care for someone likely to require a longer-term care home placement (pathway 3)1</v>
      </c>
      <c r="B1763">
        <f>IF(C1763="","",COUNTIF($C$2:C1763,C1763))</f>
        <v>1</v>
      </c>
      <c r="C1763" t="str">
        <f t="shared" si="82"/>
        <v>South TynesideShort-term residential/nursing care for someone likely to require a longer-term care home placement (pathway 3)</v>
      </c>
      <c r="D1763" t="str">
        <f>VLOOKUP(G1763,PathwayLookup!A:B,2,0)</f>
        <v>Short-term residential/nursing care for someone likely to require a longer-term care home placement (pathway 3)</v>
      </c>
      <c r="E1763" t="s">
        <v>291</v>
      </c>
      <c r="F1763" t="s">
        <v>448</v>
      </c>
      <c r="G1763" t="s">
        <v>686</v>
      </c>
      <c r="H1763">
        <v>71</v>
      </c>
      <c r="I1763">
        <v>69</v>
      </c>
      <c r="J1763">
        <v>45</v>
      </c>
      <c r="K1763">
        <v>44</v>
      </c>
      <c r="L1763">
        <v>57</v>
      </c>
      <c r="M1763">
        <v>64</v>
      </c>
      <c r="N1763">
        <v>72</v>
      </c>
      <c r="O1763">
        <v>94</v>
      </c>
      <c r="P1763">
        <v>99</v>
      </c>
      <c r="Q1763">
        <v>101</v>
      </c>
      <c r="R1763">
        <v>77</v>
      </c>
      <c r="S1763">
        <v>86</v>
      </c>
      <c r="T1763">
        <f t="shared" si="83"/>
        <v>879</v>
      </c>
      <c r="U1763">
        <v>1</v>
      </c>
    </row>
    <row r="1764" spans="1:21" x14ac:dyDescent="0.3">
      <c r="A1764" t="str">
        <f t="shared" si="81"/>
        <v>SouthamptonSocial support (including VCS) (pathway 0)1</v>
      </c>
      <c r="B1764">
        <f>IF(C1764="","",COUNTIF($C$2:C1764,C1764))</f>
        <v>1</v>
      </c>
      <c r="C1764" t="str">
        <f t="shared" si="82"/>
        <v>SouthamptonSocial support (including VCS) (pathway 0)</v>
      </c>
      <c r="D1764" t="str">
        <f>VLOOKUP(G1764,PathwayLookup!A:B,2,0)</f>
        <v>Social support (including VCS) (pathway 0)</v>
      </c>
      <c r="E1764" t="s">
        <v>293</v>
      </c>
      <c r="F1764" t="s">
        <v>448</v>
      </c>
      <c r="G1764" t="s">
        <v>682</v>
      </c>
      <c r="H1764">
        <v>135</v>
      </c>
      <c r="I1764">
        <v>178</v>
      </c>
      <c r="J1764">
        <v>146</v>
      </c>
      <c r="K1764">
        <v>144</v>
      </c>
      <c r="L1764">
        <v>178</v>
      </c>
      <c r="M1764">
        <v>156</v>
      </c>
      <c r="N1764">
        <v>187</v>
      </c>
      <c r="O1764">
        <v>154</v>
      </c>
      <c r="P1764">
        <v>154</v>
      </c>
      <c r="Q1764">
        <v>188</v>
      </c>
      <c r="R1764">
        <v>149</v>
      </c>
      <c r="S1764">
        <v>150</v>
      </c>
      <c r="T1764">
        <f t="shared" si="83"/>
        <v>1919</v>
      </c>
      <c r="U1764">
        <v>1</v>
      </c>
    </row>
    <row r="1765" spans="1:21" x14ac:dyDescent="0.3">
      <c r="A1765" t="str">
        <f t="shared" si="81"/>
        <v>SouthamptonReablement &amp; Rehabilitation at home  (pathway 1)1</v>
      </c>
      <c r="B1765">
        <f>IF(C1765="","",COUNTIF($C$2:C1765,C1765))</f>
        <v>1</v>
      </c>
      <c r="C1765" t="str">
        <f t="shared" si="82"/>
        <v>SouthamptonReablement at home  (pathway 1)</v>
      </c>
      <c r="D1765" t="str">
        <f>VLOOKUP(G1765,PathwayLookup!A:B,2,0)</f>
        <v>Reablement &amp; Rehabilitation at home  (pathway 1)</v>
      </c>
      <c r="E1765" t="s">
        <v>293</v>
      </c>
      <c r="F1765" t="s">
        <v>448</v>
      </c>
      <c r="G1765" t="s">
        <v>718</v>
      </c>
      <c r="H1765">
        <v>142</v>
      </c>
      <c r="I1765">
        <v>130</v>
      </c>
      <c r="J1765">
        <v>135</v>
      </c>
      <c r="K1765">
        <v>140</v>
      </c>
      <c r="L1765">
        <v>131</v>
      </c>
      <c r="M1765">
        <v>125</v>
      </c>
      <c r="N1765">
        <v>130</v>
      </c>
      <c r="O1765">
        <v>135</v>
      </c>
      <c r="P1765">
        <v>148</v>
      </c>
      <c r="Q1765">
        <v>153</v>
      </c>
      <c r="R1765">
        <v>120</v>
      </c>
      <c r="S1765">
        <v>147</v>
      </c>
      <c r="T1765">
        <f t="shared" si="83"/>
        <v>1636</v>
      </c>
      <c r="U1765">
        <v>1</v>
      </c>
    </row>
    <row r="1766" spans="1:21" x14ac:dyDescent="0.3">
      <c r="A1766" t="str">
        <f t="shared" si="81"/>
        <v>SouthamptonReablement &amp; Rehabilitation at home  (pathway 1)1</v>
      </c>
      <c r="B1766">
        <f>IF(C1766="","",COUNTIF($C$2:C1766,C1766))</f>
        <v>1</v>
      </c>
      <c r="C1766" t="str">
        <f t="shared" si="82"/>
        <v>SouthamptonRehabilitation at home (pathway 1)</v>
      </c>
      <c r="D1766" t="str">
        <f>VLOOKUP(G1766,PathwayLookup!A:B,2,0)</f>
        <v>Reablement &amp; Rehabilitation at home  (pathway 1)</v>
      </c>
      <c r="E1766" t="s">
        <v>293</v>
      </c>
      <c r="F1766" t="s">
        <v>448</v>
      </c>
      <c r="G1766" t="s">
        <v>719</v>
      </c>
      <c r="H1766">
        <v>91</v>
      </c>
      <c r="I1766">
        <v>85</v>
      </c>
      <c r="J1766">
        <v>88</v>
      </c>
      <c r="K1766">
        <v>90</v>
      </c>
      <c r="L1766">
        <v>86</v>
      </c>
      <c r="M1766">
        <v>83</v>
      </c>
      <c r="N1766">
        <v>85</v>
      </c>
      <c r="O1766">
        <v>88</v>
      </c>
      <c r="P1766">
        <v>94</v>
      </c>
      <c r="Q1766">
        <v>97</v>
      </c>
      <c r="R1766">
        <v>80</v>
      </c>
      <c r="S1766">
        <v>94</v>
      </c>
      <c r="T1766">
        <f t="shared" si="83"/>
        <v>1061</v>
      </c>
      <c r="U1766">
        <v>1</v>
      </c>
    </row>
    <row r="1767" spans="1:21" x14ac:dyDescent="0.3">
      <c r="A1767" t="str">
        <f t="shared" si="81"/>
        <v>SouthamptonShort term domiciliary care (pathway 1)1</v>
      </c>
      <c r="B1767">
        <f>IF(C1767="","",COUNTIF($C$2:C1767,C1767))</f>
        <v>1</v>
      </c>
      <c r="C1767" t="str">
        <f t="shared" si="82"/>
        <v>SouthamptonShort term domiciliary care (pathway 1)</v>
      </c>
      <c r="D1767" t="str">
        <f>VLOOKUP(G1767,PathwayLookup!A:B,2,0)</f>
        <v>Short term domiciliary care (pathway 1)</v>
      </c>
      <c r="E1767" t="s">
        <v>293</v>
      </c>
      <c r="F1767" t="s">
        <v>448</v>
      </c>
      <c r="G1767" t="s">
        <v>684</v>
      </c>
      <c r="H1767">
        <v>100</v>
      </c>
      <c r="I1767">
        <v>102</v>
      </c>
      <c r="J1767">
        <v>100</v>
      </c>
      <c r="K1767">
        <v>106</v>
      </c>
      <c r="L1767">
        <v>106</v>
      </c>
      <c r="M1767">
        <v>100</v>
      </c>
      <c r="N1767">
        <v>106</v>
      </c>
      <c r="O1767">
        <v>100</v>
      </c>
      <c r="P1767">
        <v>106</v>
      </c>
      <c r="Q1767">
        <v>105</v>
      </c>
      <c r="R1767">
        <v>100</v>
      </c>
      <c r="S1767">
        <v>106</v>
      </c>
      <c r="T1767">
        <f t="shared" si="83"/>
        <v>1237</v>
      </c>
      <c r="U1767">
        <v>1</v>
      </c>
    </row>
    <row r="1768" spans="1:21" x14ac:dyDescent="0.3">
      <c r="A1768" t="str">
        <f t="shared" si="81"/>
        <v>SouthamptonReablement &amp; Rehabilitation in a bedded setting (pathway 2)1</v>
      </c>
      <c r="B1768">
        <f>IF(C1768="","",COUNTIF($C$2:C1768,C1768))</f>
        <v>1</v>
      </c>
      <c r="C1768" t="str">
        <f t="shared" si="82"/>
        <v>SouthamptonReablement in a bedded setting (pathway 2)</v>
      </c>
      <c r="D1768" t="str">
        <f>VLOOKUP(G1768,PathwayLookup!A:B,2,0)</f>
        <v>Reablement &amp; Rehabilitation in a bedded setting (pathway 2)</v>
      </c>
      <c r="E1768" t="s">
        <v>293</v>
      </c>
      <c r="F1768" t="s">
        <v>448</v>
      </c>
      <c r="G1768" t="s">
        <v>722</v>
      </c>
      <c r="H1768">
        <v>47</v>
      </c>
      <c r="I1768">
        <v>48</v>
      </c>
      <c r="J1768">
        <v>48</v>
      </c>
      <c r="K1768">
        <v>42</v>
      </c>
      <c r="L1768">
        <v>42</v>
      </c>
      <c r="M1768">
        <v>40</v>
      </c>
      <c r="N1768">
        <v>38</v>
      </c>
      <c r="O1768">
        <v>35</v>
      </c>
      <c r="P1768">
        <v>34</v>
      </c>
      <c r="Q1768">
        <v>30</v>
      </c>
      <c r="R1768">
        <v>26</v>
      </c>
      <c r="S1768">
        <v>26</v>
      </c>
      <c r="T1768">
        <f t="shared" si="83"/>
        <v>456</v>
      </c>
      <c r="U1768">
        <v>1</v>
      </c>
    </row>
    <row r="1769" spans="1:21" x14ac:dyDescent="0.3">
      <c r="A1769" t="str">
        <f t="shared" si="81"/>
        <v>SouthamptonReablement &amp; Rehabilitation in a bedded setting (pathway 2)1</v>
      </c>
      <c r="B1769">
        <f>IF(C1769="","",COUNTIF($C$2:C1769,C1769))</f>
        <v>1</v>
      </c>
      <c r="C1769" t="str">
        <f t="shared" si="82"/>
        <v>SouthamptonRehabilitation in a bedded setting (pathway 2)</v>
      </c>
      <c r="D1769" t="str">
        <f>VLOOKUP(G1769,PathwayLookup!A:B,2,0)</f>
        <v>Reablement &amp; Rehabilitation in a bedded setting (pathway 2)</v>
      </c>
      <c r="E1769" t="s">
        <v>293</v>
      </c>
      <c r="F1769" t="s">
        <v>448</v>
      </c>
      <c r="G1769" t="s">
        <v>724</v>
      </c>
      <c r="H1769">
        <v>65</v>
      </c>
      <c r="I1769">
        <v>65</v>
      </c>
      <c r="J1769">
        <v>65</v>
      </c>
      <c r="K1769">
        <v>65</v>
      </c>
      <c r="L1769">
        <v>65</v>
      </c>
      <c r="M1769">
        <v>65</v>
      </c>
      <c r="N1769">
        <v>65</v>
      </c>
      <c r="O1769">
        <v>65</v>
      </c>
      <c r="P1769">
        <v>65</v>
      </c>
      <c r="Q1769">
        <v>65</v>
      </c>
      <c r="R1769">
        <v>65</v>
      </c>
      <c r="S1769">
        <v>65</v>
      </c>
      <c r="T1769">
        <f t="shared" si="83"/>
        <v>780</v>
      </c>
      <c r="U1769">
        <v>1</v>
      </c>
    </row>
    <row r="1770" spans="1:21" x14ac:dyDescent="0.3">
      <c r="A1770" t="str">
        <f t="shared" si="81"/>
        <v>SouthamptonShort-term residential/nursing care for someone likely to require a longer-term care home placement (pathway 3)1</v>
      </c>
      <c r="B1770">
        <f>IF(C1770="","",COUNTIF($C$2:C1770,C1770))</f>
        <v>1</v>
      </c>
      <c r="C1770" t="str">
        <f t="shared" si="82"/>
        <v>SouthamptonShort-term residential/nursing care for someone likely to require a longer-term care home placement (pathway 3)</v>
      </c>
      <c r="D1770" t="str">
        <f>VLOOKUP(G1770,PathwayLookup!A:B,2,0)</f>
        <v>Short-term residential/nursing care for someone likely to require a longer-term care home placement (pathway 3)</v>
      </c>
      <c r="E1770" t="s">
        <v>293</v>
      </c>
      <c r="F1770" t="s">
        <v>448</v>
      </c>
      <c r="G1770" t="s">
        <v>686</v>
      </c>
      <c r="H1770">
        <v>26</v>
      </c>
      <c r="I1770">
        <v>24</v>
      </c>
      <c r="J1770">
        <v>23</v>
      </c>
      <c r="K1770">
        <v>24</v>
      </c>
      <c r="L1770">
        <v>23</v>
      </c>
      <c r="M1770">
        <v>24</v>
      </c>
      <c r="N1770">
        <v>24</v>
      </c>
      <c r="O1770">
        <v>23</v>
      </c>
      <c r="P1770">
        <v>23</v>
      </c>
      <c r="Q1770">
        <v>22</v>
      </c>
      <c r="R1770">
        <v>22</v>
      </c>
      <c r="S1770">
        <v>24</v>
      </c>
      <c r="T1770">
        <f t="shared" si="83"/>
        <v>282</v>
      </c>
      <c r="U1770">
        <v>1</v>
      </c>
    </row>
    <row r="1771" spans="1:21" x14ac:dyDescent="0.3">
      <c r="A1771" t="str">
        <f t="shared" si="81"/>
        <v>Southend-on-SeaSocial support (including VCS) (pathway 0)1</v>
      </c>
      <c r="B1771">
        <f>IF(C1771="","",COUNTIF($C$2:C1771,C1771))</f>
        <v>1</v>
      </c>
      <c r="C1771" t="str">
        <f t="shared" si="82"/>
        <v>Southend-on-SeaSocial support (including VCS) (pathway 0)</v>
      </c>
      <c r="D1771" t="str">
        <f>VLOOKUP(G1771,PathwayLookup!A:B,2,0)</f>
        <v>Social support (including VCS) (pathway 0)</v>
      </c>
      <c r="E1771" t="s">
        <v>295</v>
      </c>
      <c r="F1771" t="s">
        <v>545</v>
      </c>
      <c r="G1771" t="s">
        <v>682</v>
      </c>
      <c r="H1771">
        <v>875</v>
      </c>
      <c r="I1771">
        <v>869</v>
      </c>
      <c r="J1771">
        <v>869</v>
      </c>
      <c r="K1771">
        <v>869</v>
      </c>
      <c r="L1771">
        <v>869</v>
      </c>
      <c r="M1771">
        <v>874</v>
      </c>
      <c r="N1771">
        <v>877</v>
      </c>
      <c r="O1771">
        <v>881</v>
      </c>
      <c r="P1771">
        <v>884</v>
      </c>
      <c r="Q1771">
        <v>886</v>
      </c>
      <c r="R1771">
        <v>881</v>
      </c>
      <c r="S1771">
        <v>869</v>
      </c>
      <c r="T1771">
        <f t="shared" si="83"/>
        <v>10503</v>
      </c>
      <c r="U1771">
        <v>1</v>
      </c>
    </row>
    <row r="1772" spans="1:21" x14ac:dyDescent="0.3">
      <c r="A1772" t="str">
        <f t="shared" si="81"/>
        <v>Southend-on-SeaReablement &amp; Rehabilitation at home  (pathway 1)1</v>
      </c>
      <c r="B1772">
        <f>IF(C1772="","",COUNTIF($C$2:C1772,C1772))</f>
        <v>1</v>
      </c>
      <c r="C1772" t="str">
        <f t="shared" si="82"/>
        <v>Southend-on-SeaReablement at home  (pathway 1)</v>
      </c>
      <c r="D1772" t="str">
        <f>VLOOKUP(G1772,PathwayLookup!A:B,2,0)</f>
        <v>Reablement &amp; Rehabilitation at home  (pathway 1)</v>
      </c>
      <c r="E1772" t="s">
        <v>295</v>
      </c>
      <c r="F1772" t="s">
        <v>448</v>
      </c>
      <c r="G1772" t="s">
        <v>718</v>
      </c>
      <c r="H1772">
        <v>48</v>
      </c>
      <c r="I1772">
        <v>60</v>
      </c>
      <c r="J1772">
        <v>60</v>
      </c>
      <c r="K1772">
        <v>60</v>
      </c>
      <c r="L1772">
        <v>60</v>
      </c>
      <c r="M1772">
        <v>60</v>
      </c>
      <c r="N1772">
        <v>60</v>
      </c>
      <c r="O1772">
        <v>60</v>
      </c>
      <c r="P1772">
        <v>60</v>
      </c>
      <c r="Q1772">
        <v>60</v>
      </c>
      <c r="R1772">
        <v>60</v>
      </c>
      <c r="S1772">
        <v>60</v>
      </c>
      <c r="T1772">
        <f t="shared" si="83"/>
        <v>708</v>
      </c>
      <c r="U1772">
        <v>1</v>
      </c>
    </row>
    <row r="1773" spans="1:21" x14ac:dyDescent="0.3">
      <c r="A1773" t="str">
        <f t="shared" si="81"/>
        <v>Southend-on-SeaReablement &amp; Rehabilitation at home  (pathway 1)1</v>
      </c>
      <c r="B1773">
        <f>IF(C1773="","",COUNTIF($C$2:C1773,C1773))</f>
        <v>1</v>
      </c>
      <c r="C1773" t="str">
        <f t="shared" si="82"/>
        <v>Southend-on-SeaRehabilitation at home (pathway 1)</v>
      </c>
      <c r="D1773" t="str">
        <f>VLOOKUP(G1773,PathwayLookup!A:B,2,0)</f>
        <v>Reablement &amp; Rehabilitation at home  (pathway 1)</v>
      </c>
      <c r="E1773" t="s">
        <v>295</v>
      </c>
      <c r="F1773" t="s">
        <v>448</v>
      </c>
      <c r="G1773" t="s">
        <v>719</v>
      </c>
      <c r="H1773">
        <v>147</v>
      </c>
      <c r="I1773">
        <v>159</v>
      </c>
      <c r="J1773">
        <v>159</v>
      </c>
      <c r="K1773">
        <v>159</v>
      </c>
      <c r="L1773">
        <v>159</v>
      </c>
      <c r="M1773">
        <v>159</v>
      </c>
      <c r="N1773">
        <v>159</v>
      </c>
      <c r="O1773">
        <v>159</v>
      </c>
      <c r="P1773">
        <v>159</v>
      </c>
      <c r="Q1773">
        <v>159</v>
      </c>
      <c r="R1773">
        <v>159</v>
      </c>
      <c r="S1773">
        <v>159</v>
      </c>
      <c r="T1773">
        <f t="shared" si="83"/>
        <v>1896</v>
      </c>
      <c r="U1773">
        <v>1</v>
      </c>
    </row>
    <row r="1774" spans="1:21" x14ac:dyDescent="0.3">
      <c r="A1774" t="str">
        <f t="shared" si="81"/>
        <v>Southend-on-SeaReablement &amp; Rehabilitation in a bedded setting (pathway 2)1</v>
      </c>
      <c r="B1774">
        <f>IF(C1774="","",COUNTIF($C$2:C1774,C1774))</f>
        <v>1</v>
      </c>
      <c r="C1774" t="str">
        <f t="shared" si="82"/>
        <v>Southend-on-SeaReablement in a bedded setting (pathway 2)</v>
      </c>
      <c r="D1774" t="str">
        <f>VLOOKUP(G1774,PathwayLookup!A:B,2,0)</f>
        <v>Reablement &amp; Rehabilitation in a bedded setting (pathway 2)</v>
      </c>
      <c r="E1774" t="s">
        <v>295</v>
      </c>
      <c r="F1774" t="s">
        <v>448</v>
      </c>
      <c r="G1774" t="s">
        <v>722</v>
      </c>
      <c r="H1774">
        <v>11</v>
      </c>
      <c r="I1774">
        <v>10</v>
      </c>
      <c r="J1774">
        <v>10</v>
      </c>
      <c r="K1774">
        <v>10</v>
      </c>
      <c r="L1774">
        <v>10</v>
      </c>
      <c r="M1774">
        <v>10</v>
      </c>
      <c r="N1774">
        <v>10</v>
      </c>
      <c r="O1774">
        <v>10</v>
      </c>
      <c r="P1774">
        <v>10</v>
      </c>
      <c r="Q1774">
        <v>10</v>
      </c>
      <c r="R1774">
        <v>10</v>
      </c>
      <c r="S1774">
        <v>10</v>
      </c>
      <c r="T1774">
        <f t="shared" si="83"/>
        <v>121</v>
      </c>
      <c r="U1774">
        <v>1</v>
      </c>
    </row>
    <row r="1775" spans="1:21" x14ac:dyDescent="0.3">
      <c r="A1775" t="str">
        <f t="shared" si="81"/>
        <v>Southend-on-SeaReablement &amp; Rehabilitation in a bedded setting (pathway 2)1</v>
      </c>
      <c r="B1775">
        <f>IF(C1775="","",COUNTIF($C$2:C1775,C1775))</f>
        <v>1</v>
      </c>
      <c r="C1775" t="str">
        <f t="shared" si="82"/>
        <v>Southend-on-SeaRehabilitation in a bedded setting (pathway 2)</v>
      </c>
      <c r="D1775" t="str">
        <f>VLOOKUP(G1775,PathwayLookup!A:B,2,0)</f>
        <v>Reablement &amp; Rehabilitation in a bedded setting (pathway 2)</v>
      </c>
      <c r="E1775" t="s">
        <v>295</v>
      </c>
      <c r="F1775" t="s">
        <v>448</v>
      </c>
      <c r="G1775" t="s">
        <v>724</v>
      </c>
      <c r="H1775">
        <v>61</v>
      </c>
      <c r="I1775">
        <v>58</v>
      </c>
      <c r="J1775">
        <v>58</v>
      </c>
      <c r="K1775">
        <v>58</v>
      </c>
      <c r="L1775">
        <v>58</v>
      </c>
      <c r="M1775">
        <v>60</v>
      </c>
      <c r="N1775">
        <v>61</v>
      </c>
      <c r="O1775">
        <v>63</v>
      </c>
      <c r="P1775">
        <v>65</v>
      </c>
      <c r="Q1775">
        <v>67</v>
      </c>
      <c r="R1775">
        <v>63</v>
      </c>
      <c r="S1775">
        <v>63</v>
      </c>
      <c r="T1775">
        <f t="shared" si="83"/>
        <v>735</v>
      </c>
      <c r="U1775">
        <v>1</v>
      </c>
    </row>
    <row r="1776" spans="1:21" x14ac:dyDescent="0.3">
      <c r="A1776" t="str">
        <f t="shared" si="81"/>
        <v/>
      </c>
      <c r="B1776" t="str">
        <f>IF(C1776="","",COUNTIF($C$2:C1776,C1776))</f>
        <v/>
      </c>
      <c r="C1776" t="str">
        <f t="shared" si="82"/>
        <v/>
      </c>
      <c r="D1776" t="str">
        <f>VLOOKUP(G1776,PathwayLookup!A:B,2,0)</f>
        <v>Short term domiciliary care (pathway 1)</v>
      </c>
      <c r="E1776" t="s">
        <v>295</v>
      </c>
      <c r="F1776" t="s">
        <v>448</v>
      </c>
      <c r="G1776" t="s">
        <v>684</v>
      </c>
      <c r="H1776">
        <v>0</v>
      </c>
      <c r="I1776">
        <v>0</v>
      </c>
      <c r="J1776">
        <v>0</v>
      </c>
      <c r="K1776">
        <v>0</v>
      </c>
      <c r="L1776">
        <v>0</v>
      </c>
      <c r="M1776">
        <v>0</v>
      </c>
      <c r="N1776">
        <v>0</v>
      </c>
      <c r="O1776">
        <v>0</v>
      </c>
      <c r="P1776">
        <v>0</v>
      </c>
      <c r="Q1776">
        <v>0</v>
      </c>
      <c r="R1776">
        <v>0</v>
      </c>
      <c r="S1776">
        <v>0</v>
      </c>
      <c r="T1776">
        <f t="shared" si="83"/>
        <v>0</v>
      </c>
      <c r="U1776">
        <v>1</v>
      </c>
    </row>
    <row r="1777" spans="1:21" x14ac:dyDescent="0.3">
      <c r="A1777" t="str">
        <f t="shared" si="81"/>
        <v>Southend-on-SeaShort-term residential/nursing care for someone likely to require a longer-term care home placement (pathway 3)1</v>
      </c>
      <c r="B1777">
        <f>IF(C1777="","",COUNTIF($C$2:C1777,C1777))</f>
        <v>1</v>
      </c>
      <c r="C1777" t="str">
        <f t="shared" si="82"/>
        <v>Southend-on-SeaShort-term residential/nursing care for someone likely to require a longer-term care home placement (pathway 3)</v>
      </c>
      <c r="D1777" t="str">
        <f>VLOOKUP(G1777,PathwayLookup!A:B,2,0)</f>
        <v>Short-term residential/nursing care for someone likely to require a longer-term care home placement (pathway 3)</v>
      </c>
      <c r="E1777" t="s">
        <v>295</v>
      </c>
      <c r="F1777" t="s">
        <v>448</v>
      </c>
      <c r="G1777" t="s">
        <v>686</v>
      </c>
      <c r="H1777">
        <v>19</v>
      </c>
      <c r="I1777">
        <v>18</v>
      </c>
      <c r="J1777">
        <v>18</v>
      </c>
      <c r="K1777">
        <v>18</v>
      </c>
      <c r="L1777">
        <v>18</v>
      </c>
      <c r="M1777">
        <v>18</v>
      </c>
      <c r="N1777">
        <v>19</v>
      </c>
      <c r="O1777">
        <v>19</v>
      </c>
      <c r="P1777">
        <v>19</v>
      </c>
      <c r="Q1777">
        <v>20</v>
      </c>
      <c r="R1777">
        <v>20</v>
      </c>
      <c r="S1777">
        <v>19</v>
      </c>
      <c r="T1777">
        <f t="shared" si="83"/>
        <v>225</v>
      </c>
      <c r="U1777">
        <v>1</v>
      </c>
    </row>
    <row r="1778" spans="1:21" x14ac:dyDescent="0.3">
      <c r="A1778" t="str">
        <f t="shared" si="81"/>
        <v>SouthwarkSocial support (including VCS) (pathway 0)1</v>
      </c>
      <c r="B1778">
        <f>IF(C1778="","",COUNTIF($C$2:C1778,C1778))</f>
        <v>1</v>
      </c>
      <c r="C1778" t="str">
        <f t="shared" si="82"/>
        <v>SouthwarkSocial support (including VCS) (pathway 0)</v>
      </c>
      <c r="D1778" t="str">
        <f>VLOOKUP(G1778,PathwayLookup!A:B,2,0)</f>
        <v>Social support (including VCS) (pathway 0)</v>
      </c>
      <c r="E1778" t="s">
        <v>297</v>
      </c>
      <c r="F1778" t="s">
        <v>510</v>
      </c>
      <c r="G1778" t="s">
        <v>682</v>
      </c>
      <c r="H1778">
        <v>42</v>
      </c>
      <c r="I1778">
        <v>44</v>
      </c>
      <c r="J1778">
        <v>44</v>
      </c>
      <c r="K1778">
        <v>42</v>
      </c>
      <c r="L1778">
        <v>43</v>
      </c>
      <c r="M1778">
        <v>40</v>
      </c>
      <c r="N1778">
        <v>44</v>
      </c>
      <c r="O1778">
        <v>42</v>
      </c>
      <c r="P1778">
        <v>39</v>
      </c>
      <c r="Q1778">
        <v>42</v>
      </c>
      <c r="R1778">
        <v>39</v>
      </c>
      <c r="S1778">
        <v>41</v>
      </c>
      <c r="T1778">
        <f t="shared" si="83"/>
        <v>502</v>
      </c>
      <c r="U1778">
        <v>1</v>
      </c>
    </row>
    <row r="1779" spans="1:21" x14ac:dyDescent="0.3">
      <c r="A1779" t="str">
        <f t="shared" si="81"/>
        <v>SouthwarkSocial support (including VCS) (pathway 0)2</v>
      </c>
      <c r="B1779">
        <f>IF(C1779="","",COUNTIF($C$2:C1779,C1779))</f>
        <v>2</v>
      </c>
      <c r="C1779" t="str">
        <f t="shared" si="82"/>
        <v>SouthwarkSocial support (including VCS) (pathway 0)</v>
      </c>
      <c r="D1779" t="str">
        <f>VLOOKUP(G1779,PathwayLookup!A:B,2,0)</f>
        <v>Social support (including VCS) (pathway 0)</v>
      </c>
      <c r="E1779" t="s">
        <v>297</v>
      </c>
      <c r="F1779" t="s">
        <v>526</v>
      </c>
      <c r="G1779" t="s">
        <v>682</v>
      </c>
      <c r="H1779">
        <v>34</v>
      </c>
      <c r="I1779">
        <v>36</v>
      </c>
      <c r="J1779">
        <v>35</v>
      </c>
      <c r="K1779">
        <v>34</v>
      </c>
      <c r="L1779">
        <v>35</v>
      </c>
      <c r="M1779">
        <v>32</v>
      </c>
      <c r="N1779">
        <v>36</v>
      </c>
      <c r="O1779">
        <v>34</v>
      </c>
      <c r="P1779">
        <v>31</v>
      </c>
      <c r="Q1779">
        <v>33</v>
      </c>
      <c r="R1779">
        <v>31</v>
      </c>
      <c r="S1779">
        <v>33</v>
      </c>
      <c r="T1779">
        <f t="shared" si="83"/>
        <v>404</v>
      </c>
      <c r="U1779">
        <v>1</v>
      </c>
    </row>
    <row r="1780" spans="1:21" x14ac:dyDescent="0.3">
      <c r="A1780" t="str">
        <f t="shared" si="81"/>
        <v>SouthwarkSocial support (including VCS) (pathway 0)3</v>
      </c>
      <c r="B1780">
        <f>IF(C1780="","",COUNTIF($C$2:C1780,C1780))</f>
        <v>3</v>
      </c>
      <c r="C1780" t="str">
        <f t="shared" si="82"/>
        <v>SouthwarkSocial support (including VCS) (pathway 0)</v>
      </c>
      <c r="D1780" t="str">
        <f>VLOOKUP(G1780,PathwayLookup!A:B,2,0)</f>
        <v>Social support (including VCS) (pathway 0)</v>
      </c>
      <c r="E1780" t="s">
        <v>297</v>
      </c>
      <c r="F1780" t="s">
        <v>651</v>
      </c>
      <c r="G1780" t="s">
        <v>682</v>
      </c>
      <c r="H1780">
        <v>7</v>
      </c>
      <c r="I1780">
        <v>7</v>
      </c>
      <c r="J1780">
        <v>7</v>
      </c>
      <c r="K1780">
        <v>7</v>
      </c>
      <c r="L1780">
        <v>7</v>
      </c>
      <c r="M1780">
        <v>6</v>
      </c>
      <c r="N1780">
        <v>7</v>
      </c>
      <c r="O1780">
        <v>7</v>
      </c>
      <c r="P1780">
        <v>6</v>
      </c>
      <c r="Q1780">
        <v>7</v>
      </c>
      <c r="R1780">
        <v>6</v>
      </c>
      <c r="S1780">
        <v>7</v>
      </c>
      <c r="T1780">
        <f t="shared" si="83"/>
        <v>81</v>
      </c>
      <c r="U1780">
        <v>1</v>
      </c>
    </row>
    <row r="1781" spans="1:21" x14ac:dyDescent="0.3">
      <c r="A1781" t="str">
        <f t="shared" si="81"/>
        <v>SouthwarkReablement &amp; Rehabilitation at home  (pathway 1)1</v>
      </c>
      <c r="B1781">
        <f>IF(C1781="","",COUNTIF($C$2:C1781,C1781))</f>
        <v>1</v>
      </c>
      <c r="C1781" t="str">
        <f t="shared" si="82"/>
        <v>SouthwarkReablement at home  (pathway 1)</v>
      </c>
      <c r="D1781" t="str">
        <f>VLOOKUP(G1781,PathwayLookup!A:B,2,0)</f>
        <v>Reablement &amp; Rehabilitation at home  (pathway 1)</v>
      </c>
      <c r="E1781" t="s">
        <v>297</v>
      </c>
      <c r="F1781" t="s">
        <v>510</v>
      </c>
      <c r="G1781" t="s">
        <v>718</v>
      </c>
      <c r="H1781">
        <v>18</v>
      </c>
      <c r="I1781">
        <v>21</v>
      </c>
      <c r="J1781">
        <v>17</v>
      </c>
      <c r="K1781">
        <v>11</v>
      </c>
      <c r="L1781">
        <v>14</v>
      </c>
      <c r="M1781">
        <v>32</v>
      </c>
      <c r="N1781">
        <v>23</v>
      </c>
      <c r="O1781">
        <v>36</v>
      </c>
      <c r="P1781">
        <v>27</v>
      </c>
      <c r="Q1781">
        <v>26</v>
      </c>
      <c r="R1781">
        <v>26</v>
      </c>
      <c r="S1781">
        <v>39</v>
      </c>
      <c r="T1781">
        <f t="shared" si="83"/>
        <v>290</v>
      </c>
      <c r="U1781">
        <v>1</v>
      </c>
    </row>
    <row r="1782" spans="1:21" x14ac:dyDescent="0.3">
      <c r="A1782" t="str">
        <f t="shared" si="81"/>
        <v>SouthwarkReablement &amp; Rehabilitation at home  (pathway 1)2</v>
      </c>
      <c r="B1782">
        <f>IF(C1782="","",COUNTIF($C$2:C1782,C1782))</f>
        <v>2</v>
      </c>
      <c r="C1782" t="str">
        <f t="shared" si="82"/>
        <v>SouthwarkReablement at home  (pathway 1)</v>
      </c>
      <c r="D1782" t="str">
        <f>VLOOKUP(G1782,PathwayLookup!A:B,2,0)</f>
        <v>Reablement &amp; Rehabilitation at home  (pathway 1)</v>
      </c>
      <c r="E1782" t="s">
        <v>297</v>
      </c>
      <c r="F1782" t="s">
        <v>526</v>
      </c>
      <c r="G1782" t="s">
        <v>718</v>
      </c>
      <c r="H1782">
        <v>14</v>
      </c>
      <c r="I1782">
        <v>17</v>
      </c>
      <c r="J1782">
        <v>14</v>
      </c>
      <c r="K1782">
        <v>9</v>
      </c>
      <c r="L1782">
        <v>11</v>
      </c>
      <c r="M1782">
        <v>25</v>
      </c>
      <c r="N1782">
        <v>19</v>
      </c>
      <c r="O1782">
        <v>29</v>
      </c>
      <c r="P1782">
        <v>22</v>
      </c>
      <c r="Q1782">
        <v>21</v>
      </c>
      <c r="R1782">
        <v>21</v>
      </c>
      <c r="S1782">
        <v>31</v>
      </c>
      <c r="T1782">
        <f t="shared" si="83"/>
        <v>233</v>
      </c>
      <c r="U1782">
        <v>1</v>
      </c>
    </row>
    <row r="1783" spans="1:21" x14ac:dyDescent="0.3">
      <c r="A1783" t="str">
        <f t="shared" si="81"/>
        <v>SouthwarkReablement &amp; Rehabilitation at home  (pathway 1)3</v>
      </c>
      <c r="B1783">
        <f>IF(C1783="","",COUNTIF($C$2:C1783,C1783))</f>
        <v>3</v>
      </c>
      <c r="C1783" t="str">
        <f t="shared" si="82"/>
        <v>SouthwarkReablement at home  (pathway 1)</v>
      </c>
      <c r="D1783" t="str">
        <f>VLOOKUP(G1783,PathwayLookup!A:B,2,0)</f>
        <v>Reablement &amp; Rehabilitation at home  (pathway 1)</v>
      </c>
      <c r="E1783" t="s">
        <v>297</v>
      </c>
      <c r="F1783" t="s">
        <v>651</v>
      </c>
      <c r="G1783" t="s">
        <v>718</v>
      </c>
      <c r="H1783">
        <v>3</v>
      </c>
      <c r="I1783">
        <v>3</v>
      </c>
      <c r="J1783">
        <v>3</v>
      </c>
      <c r="K1783">
        <v>2</v>
      </c>
      <c r="L1783">
        <v>2</v>
      </c>
      <c r="M1783">
        <v>5</v>
      </c>
      <c r="N1783">
        <v>4</v>
      </c>
      <c r="O1783">
        <v>6</v>
      </c>
      <c r="P1783">
        <v>4</v>
      </c>
      <c r="Q1783">
        <v>4</v>
      </c>
      <c r="R1783">
        <v>4</v>
      </c>
      <c r="S1783">
        <v>6</v>
      </c>
      <c r="T1783">
        <f t="shared" si="83"/>
        <v>46</v>
      </c>
      <c r="U1783">
        <v>1</v>
      </c>
    </row>
    <row r="1784" spans="1:21" x14ac:dyDescent="0.3">
      <c r="A1784" t="str">
        <f t="shared" si="81"/>
        <v>SouthwarkReablement &amp; Rehabilitation at home  (pathway 1)1</v>
      </c>
      <c r="B1784">
        <f>IF(C1784="","",COUNTIF($C$2:C1784,C1784))</f>
        <v>1</v>
      </c>
      <c r="C1784" t="str">
        <f t="shared" si="82"/>
        <v>SouthwarkRehabilitation at home (pathway 1)</v>
      </c>
      <c r="D1784" t="str">
        <f>VLOOKUP(G1784,PathwayLookup!A:B,2,0)</f>
        <v>Reablement &amp; Rehabilitation at home  (pathway 1)</v>
      </c>
      <c r="E1784" t="s">
        <v>297</v>
      </c>
      <c r="F1784" t="s">
        <v>510</v>
      </c>
      <c r="G1784" t="s">
        <v>719</v>
      </c>
      <c r="H1784">
        <v>61</v>
      </c>
      <c r="I1784">
        <v>61</v>
      </c>
      <c r="J1784">
        <v>61</v>
      </c>
      <c r="K1784">
        <v>61</v>
      </c>
      <c r="L1784">
        <v>61</v>
      </c>
      <c r="M1784">
        <v>61</v>
      </c>
      <c r="N1784">
        <v>61</v>
      </c>
      <c r="O1784">
        <v>61</v>
      </c>
      <c r="P1784">
        <v>61</v>
      </c>
      <c r="Q1784">
        <v>61</v>
      </c>
      <c r="R1784">
        <v>61</v>
      </c>
      <c r="S1784">
        <v>61</v>
      </c>
      <c r="T1784">
        <f t="shared" si="83"/>
        <v>732</v>
      </c>
      <c r="U1784">
        <v>1</v>
      </c>
    </row>
    <row r="1785" spans="1:21" x14ac:dyDescent="0.3">
      <c r="A1785" t="str">
        <f t="shared" si="81"/>
        <v>SouthwarkReablement &amp; Rehabilitation at home  (pathway 1)2</v>
      </c>
      <c r="B1785">
        <f>IF(C1785="","",COUNTIF($C$2:C1785,C1785))</f>
        <v>2</v>
      </c>
      <c r="C1785" t="str">
        <f t="shared" si="82"/>
        <v>SouthwarkRehabilitation at home (pathway 1)</v>
      </c>
      <c r="D1785" t="str">
        <f>VLOOKUP(G1785,PathwayLookup!A:B,2,0)</f>
        <v>Reablement &amp; Rehabilitation at home  (pathway 1)</v>
      </c>
      <c r="E1785" t="s">
        <v>297</v>
      </c>
      <c r="F1785" t="s">
        <v>526</v>
      </c>
      <c r="G1785" t="s">
        <v>719</v>
      </c>
      <c r="H1785">
        <v>49</v>
      </c>
      <c r="I1785">
        <v>49</v>
      </c>
      <c r="J1785">
        <v>49</v>
      </c>
      <c r="K1785">
        <v>49</v>
      </c>
      <c r="L1785">
        <v>49</v>
      </c>
      <c r="M1785">
        <v>49</v>
      </c>
      <c r="N1785">
        <v>49</v>
      </c>
      <c r="O1785">
        <v>49</v>
      </c>
      <c r="P1785">
        <v>49</v>
      </c>
      <c r="Q1785">
        <v>49</v>
      </c>
      <c r="R1785">
        <v>49</v>
      </c>
      <c r="S1785">
        <v>49</v>
      </c>
      <c r="T1785">
        <f t="shared" si="83"/>
        <v>588</v>
      </c>
      <c r="U1785">
        <v>1</v>
      </c>
    </row>
    <row r="1786" spans="1:21" x14ac:dyDescent="0.3">
      <c r="A1786" t="str">
        <f t="shared" si="81"/>
        <v>SouthwarkReablement &amp; Rehabilitation at home  (pathway 1)3</v>
      </c>
      <c r="B1786">
        <f>IF(C1786="","",COUNTIF($C$2:C1786,C1786))</f>
        <v>3</v>
      </c>
      <c r="C1786" t="str">
        <f t="shared" si="82"/>
        <v>SouthwarkRehabilitation at home (pathway 1)</v>
      </c>
      <c r="D1786" t="str">
        <f>VLOOKUP(G1786,PathwayLookup!A:B,2,0)</f>
        <v>Reablement &amp; Rehabilitation at home  (pathway 1)</v>
      </c>
      <c r="E1786" t="s">
        <v>297</v>
      </c>
      <c r="F1786" t="s">
        <v>651</v>
      </c>
      <c r="G1786" t="s">
        <v>719</v>
      </c>
      <c r="H1786">
        <v>9</v>
      </c>
      <c r="I1786">
        <v>9</v>
      </c>
      <c r="J1786">
        <v>9</v>
      </c>
      <c r="K1786">
        <v>9</v>
      </c>
      <c r="L1786">
        <v>9</v>
      </c>
      <c r="M1786">
        <v>9</v>
      </c>
      <c r="N1786">
        <v>9</v>
      </c>
      <c r="O1786">
        <v>9</v>
      </c>
      <c r="P1786">
        <v>9</v>
      </c>
      <c r="Q1786">
        <v>9</v>
      </c>
      <c r="R1786">
        <v>9</v>
      </c>
      <c r="S1786">
        <v>9</v>
      </c>
      <c r="T1786">
        <f t="shared" si="83"/>
        <v>108</v>
      </c>
      <c r="U1786">
        <v>1</v>
      </c>
    </row>
    <row r="1787" spans="1:21" x14ac:dyDescent="0.3">
      <c r="A1787" t="str">
        <f t="shared" si="81"/>
        <v/>
      </c>
      <c r="B1787" t="str">
        <f>IF(C1787="","",COUNTIF($C$2:C1787,C1787))</f>
        <v/>
      </c>
      <c r="C1787" t="str">
        <f t="shared" si="82"/>
        <v/>
      </c>
      <c r="D1787" t="str">
        <f>VLOOKUP(G1787,PathwayLookup!A:B,2,0)</f>
        <v>Short term domiciliary care (pathway 1)</v>
      </c>
      <c r="E1787" t="s">
        <v>297</v>
      </c>
      <c r="F1787" t="s">
        <v>510</v>
      </c>
      <c r="G1787" t="s">
        <v>684</v>
      </c>
      <c r="H1787">
        <v>0</v>
      </c>
      <c r="I1787">
        <v>0</v>
      </c>
      <c r="J1787">
        <v>0</v>
      </c>
      <c r="K1787">
        <v>0</v>
      </c>
      <c r="L1787">
        <v>0</v>
      </c>
      <c r="M1787">
        <v>0</v>
      </c>
      <c r="N1787">
        <v>0</v>
      </c>
      <c r="O1787">
        <v>0</v>
      </c>
      <c r="P1787">
        <v>0</v>
      </c>
      <c r="Q1787">
        <v>0</v>
      </c>
      <c r="R1787">
        <v>0</v>
      </c>
      <c r="S1787">
        <v>0</v>
      </c>
      <c r="T1787">
        <f t="shared" si="83"/>
        <v>0</v>
      </c>
      <c r="U1787">
        <v>1</v>
      </c>
    </row>
    <row r="1788" spans="1:21" x14ac:dyDescent="0.3">
      <c r="A1788" t="str">
        <f t="shared" si="81"/>
        <v/>
      </c>
      <c r="B1788" t="str">
        <f>IF(C1788="","",COUNTIF($C$2:C1788,C1788))</f>
        <v/>
      </c>
      <c r="C1788" t="str">
        <f t="shared" si="82"/>
        <v/>
      </c>
      <c r="D1788" t="str">
        <f>VLOOKUP(G1788,PathwayLookup!A:B,2,0)</f>
        <v>Short term domiciliary care (pathway 1)</v>
      </c>
      <c r="E1788" t="s">
        <v>297</v>
      </c>
      <c r="F1788" t="s">
        <v>526</v>
      </c>
      <c r="G1788" t="s">
        <v>684</v>
      </c>
      <c r="H1788">
        <v>0</v>
      </c>
      <c r="I1788">
        <v>0</v>
      </c>
      <c r="J1788">
        <v>0</v>
      </c>
      <c r="K1788">
        <v>0</v>
      </c>
      <c r="L1788">
        <v>0</v>
      </c>
      <c r="M1788">
        <v>0</v>
      </c>
      <c r="N1788">
        <v>0</v>
      </c>
      <c r="O1788">
        <v>0</v>
      </c>
      <c r="P1788">
        <v>0</v>
      </c>
      <c r="Q1788">
        <v>0</v>
      </c>
      <c r="R1788">
        <v>0</v>
      </c>
      <c r="S1788">
        <v>0</v>
      </c>
      <c r="T1788">
        <f t="shared" si="83"/>
        <v>0</v>
      </c>
      <c r="U1788">
        <v>1</v>
      </c>
    </row>
    <row r="1789" spans="1:21" x14ac:dyDescent="0.3">
      <c r="A1789" t="str">
        <f t="shared" si="81"/>
        <v/>
      </c>
      <c r="B1789" t="str">
        <f>IF(C1789="","",COUNTIF($C$2:C1789,C1789))</f>
        <v/>
      </c>
      <c r="C1789" t="str">
        <f t="shared" si="82"/>
        <v/>
      </c>
      <c r="D1789" t="str">
        <f>VLOOKUP(G1789,PathwayLookup!A:B,2,0)</f>
        <v>Short term domiciliary care (pathway 1)</v>
      </c>
      <c r="E1789" t="s">
        <v>297</v>
      </c>
      <c r="F1789" t="s">
        <v>651</v>
      </c>
      <c r="G1789" t="s">
        <v>684</v>
      </c>
      <c r="H1789">
        <v>0</v>
      </c>
      <c r="I1789">
        <v>0</v>
      </c>
      <c r="J1789">
        <v>0</v>
      </c>
      <c r="K1789">
        <v>0</v>
      </c>
      <c r="L1789">
        <v>0</v>
      </c>
      <c r="M1789">
        <v>0</v>
      </c>
      <c r="N1789">
        <v>0</v>
      </c>
      <c r="O1789">
        <v>0</v>
      </c>
      <c r="P1789">
        <v>0</v>
      </c>
      <c r="Q1789">
        <v>0</v>
      </c>
      <c r="R1789">
        <v>0</v>
      </c>
      <c r="S1789">
        <v>0</v>
      </c>
      <c r="T1789">
        <f t="shared" si="83"/>
        <v>0</v>
      </c>
      <c r="U1789">
        <v>1</v>
      </c>
    </row>
    <row r="1790" spans="1:21" x14ac:dyDescent="0.3">
      <c r="A1790" t="str">
        <f t="shared" si="81"/>
        <v>SouthwarkReablement &amp; Rehabilitation in a bedded setting (pathway 2)1</v>
      </c>
      <c r="B1790">
        <f>IF(C1790="","",COUNTIF($C$2:C1790,C1790))</f>
        <v>1</v>
      </c>
      <c r="C1790" t="str">
        <f t="shared" si="82"/>
        <v>SouthwarkReablement in a bedded setting (pathway 2)</v>
      </c>
      <c r="D1790" t="str">
        <f>VLOOKUP(G1790,PathwayLookup!A:B,2,0)</f>
        <v>Reablement &amp; Rehabilitation in a bedded setting (pathway 2)</v>
      </c>
      <c r="E1790" t="s">
        <v>297</v>
      </c>
      <c r="F1790" t="s">
        <v>510</v>
      </c>
      <c r="G1790" t="s">
        <v>722</v>
      </c>
      <c r="H1790">
        <v>1</v>
      </c>
      <c r="I1790">
        <v>1</v>
      </c>
      <c r="J1790">
        <v>1</v>
      </c>
      <c r="K1790">
        <v>1</v>
      </c>
      <c r="L1790">
        <v>1</v>
      </c>
      <c r="M1790">
        <v>1</v>
      </c>
      <c r="N1790">
        <v>1</v>
      </c>
      <c r="O1790">
        <v>1</v>
      </c>
      <c r="P1790">
        <v>1</v>
      </c>
      <c r="Q1790">
        <v>1</v>
      </c>
      <c r="R1790">
        <v>1</v>
      </c>
      <c r="S1790">
        <v>1</v>
      </c>
      <c r="T1790">
        <f t="shared" si="83"/>
        <v>12</v>
      </c>
      <c r="U1790">
        <v>1</v>
      </c>
    </row>
    <row r="1791" spans="1:21" x14ac:dyDescent="0.3">
      <c r="A1791" t="str">
        <f t="shared" si="81"/>
        <v>SouthwarkReablement &amp; Rehabilitation in a bedded setting (pathway 2)2</v>
      </c>
      <c r="B1791">
        <f>IF(C1791="","",COUNTIF($C$2:C1791,C1791))</f>
        <v>2</v>
      </c>
      <c r="C1791" t="str">
        <f t="shared" si="82"/>
        <v>SouthwarkReablement in a bedded setting (pathway 2)</v>
      </c>
      <c r="D1791" t="str">
        <f>VLOOKUP(G1791,PathwayLookup!A:B,2,0)</f>
        <v>Reablement &amp; Rehabilitation in a bedded setting (pathway 2)</v>
      </c>
      <c r="E1791" t="s">
        <v>297</v>
      </c>
      <c r="F1791" t="s">
        <v>526</v>
      </c>
      <c r="G1791" t="s">
        <v>722</v>
      </c>
      <c r="H1791">
        <v>1</v>
      </c>
      <c r="I1791">
        <v>1</v>
      </c>
      <c r="J1791">
        <v>1</v>
      </c>
      <c r="K1791">
        <v>1</v>
      </c>
      <c r="L1791">
        <v>1</v>
      </c>
      <c r="M1791">
        <v>1</v>
      </c>
      <c r="N1791">
        <v>1</v>
      </c>
      <c r="O1791">
        <v>1</v>
      </c>
      <c r="P1791">
        <v>1</v>
      </c>
      <c r="Q1791">
        <v>1</v>
      </c>
      <c r="R1791">
        <v>1</v>
      </c>
      <c r="S1791">
        <v>1</v>
      </c>
      <c r="T1791">
        <f t="shared" si="83"/>
        <v>12</v>
      </c>
      <c r="U1791">
        <v>1</v>
      </c>
    </row>
    <row r="1792" spans="1:21" x14ac:dyDescent="0.3">
      <c r="A1792" t="str">
        <f t="shared" si="81"/>
        <v/>
      </c>
      <c r="B1792" t="str">
        <f>IF(C1792="","",COUNTIF($C$2:C1792,C1792))</f>
        <v/>
      </c>
      <c r="C1792" t="str">
        <f t="shared" si="82"/>
        <v/>
      </c>
      <c r="D1792" t="str">
        <f>VLOOKUP(G1792,PathwayLookup!A:B,2,0)</f>
        <v>Reablement &amp; Rehabilitation in a bedded setting (pathway 2)</v>
      </c>
      <c r="E1792" t="s">
        <v>297</v>
      </c>
      <c r="F1792" t="s">
        <v>651</v>
      </c>
      <c r="G1792" t="s">
        <v>722</v>
      </c>
      <c r="H1792">
        <v>0</v>
      </c>
      <c r="I1792">
        <v>0</v>
      </c>
      <c r="J1792">
        <v>0</v>
      </c>
      <c r="K1792">
        <v>0</v>
      </c>
      <c r="L1792">
        <v>0</v>
      </c>
      <c r="M1792">
        <v>0</v>
      </c>
      <c r="N1792">
        <v>0</v>
      </c>
      <c r="O1792">
        <v>0</v>
      </c>
      <c r="P1792">
        <v>0</v>
      </c>
      <c r="Q1792">
        <v>0</v>
      </c>
      <c r="R1792">
        <v>0</v>
      </c>
      <c r="S1792">
        <v>0</v>
      </c>
      <c r="T1792">
        <f t="shared" si="83"/>
        <v>0</v>
      </c>
      <c r="U1792">
        <v>1</v>
      </c>
    </row>
    <row r="1793" spans="1:21" x14ac:dyDescent="0.3">
      <c r="A1793" t="str">
        <f t="shared" si="81"/>
        <v>SouthwarkReablement &amp; Rehabilitation in a bedded setting (pathway 2)1</v>
      </c>
      <c r="B1793">
        <f>IF(C1793="","",COUNTIF($C$2:C1793,C1793))</f>
        <v>1</v>
      </c>
      <c r="C1793" t="str">
        <f t="shared" si="82"/>
        <v>SouthwarkRehabilitation in a bedded setting (pathway 2)</v>
      </c>
      <c r="D1793" t="str">
        <f>VLOOKUP(G1793,PathwayLookup!A:B,2,0)</f>
        <v>Reablement &amp; Rehabilitation in a bedded setting (pathway 2)</v>
      </c>
      <c r="E1793" t="s">
        <v>297</v>
      </c>
      <c r="F1793" t="s">
        <v>510</v>
      </c>
      <c r="G1793" t="s">
        <v>724</v>
      </c>
      <c r="H1793">
        <v>9</v>
      </c>
      <c r="I1793">
        <v>9</v>
      </c>
      <c r="J1793">
        <v>9</v>
      </c>
      <c r="K1793">
        <v>9</v>
      </c>
      <c r="L1793">
        <v>9</v>
      </c>
      <c r="M1793">
        <v>8</v>
      </c>
      <c r="N1793">
        <v>9</v>
      </c>
      <c r="O1793">
        <v>9</v>
      </c>
      <c r="P1793">
        <v>8</v>
      </c>
      <c r="Q1793">
        <v>9</v>
      </c>
      <c r="R1793">
        <v>8</v>
      </c>
      <c r="S1793">
        <v>9</v>
      </c>
      <c r="T1793">
        <f t="shared" si="83"/>
        <v>105</v>
      </c>
      <c r="U1793">
        <v>1</v>
      </c>
    </row>
    <row r="1794" spans="1:21" x14ac:dyDescent="0.3">
      <c r="A1794" t="str">
        <f t="shared" ref="A1794:A1857" si="84">IF(B1794="","",E1794&amp;D1794&amp;B1794)</f>
        <v>SouthwarkReablement &amp; Rehabilitation in a bedded setting (pathway 2)2</v>
      </c>
      <c r="B1794">
        <f>IF(C1794="","",COUNTIF($C$2:C1794,C1794))</f>
        <v>2</v>
      </c>
      <c r="C1794" t="str">
        <f t="shared" ref="C1794:C1857" si="85">IF(T1794=0,"",E1794&amp;G1794)</f>
        <v>SouthwarkRehabilitation in a bedded setting (pathway 2)</v>
      </c>
      <c r="D1794" t="str">
        <f>VLOOKUP(G1794,PathwayLookup!A:B,2,0)</f>
        <v>Reablement &amp; Rehabilitation in a bedded setting (pathway 2)</v>
      </c>
      <c r="E1794" t="s">
        <v>297</v>
      </c>
      <c r="F1794" t="s">
        <v>526</v>
      </c>
      <c r="G1794" t="s">
        <v>724</v>
      </c>
      <c r="H1794">
        <v>7</v>
      </c>
      <c r="I1794">
        <v>7</v>
      </c>
      <c r="J1794">
        <v>7</v>
      </c>
      <c r="K1794">
        <v>7</v>
      </c>
      <c r="L1794">
        <v>7</v>
      </c>
      <c r="M1794">
        <v>7</v>
      </c>
      <c r="N1794">
        <v>7</v>
      </c>
      <c r="O1794">
        <v>7</v>
      </c>
      <c r="P1794">
        <v>7</v>
      </c>
      <c r="Q1794">
        <v>7</v>
      </c>
      <c r="R1794">
        <v>7</v>
      </c>
      <c r="S1794">
        <v>7</v>
      </c>
      <c r="T1794">
        <f t="shared" ref="T1794:T1857" si="86">SUM(H1794:S1794)</f>
        <v>84</v>
      </c>
      <c r="U1794">
        <v>1</v>
      </c>
    </row>
    <row r="1795" spans="1:21" x14ac:dyDescent="0.3">
      <c r="A1795" t="str">
        <f t="shared" si="84"/>
        <v>SouthwarkReablement &amp; Rehabilitation in a bedded setting (pathway 2)3</v>
      </c>
      <c r="B1795">
        <f>IF(C1795="","",COUNTIF($C$2:C1795,C1795))</f>
        <v>3</v>
      </c>
      <c r="C1795" t="str">
        <f t="shared" si="85"/>
        <v>SouthwarkRehabilitation in a bedded setting (pathway 2)</v>
      </c>
      <c r="D1795" t="str">
        <f>VLOOKUP(G1795,PathwayLookup!A:B,2,0)</f>
        <v>Reablement &amp; Rehabilitation in a bedded setting (pathway 2)</v>
      </c>
      <c r="E1795" t="s">
        <v>297</v>
      </c>
      <c r="F1795" t="s">
        <v>651</v>
      </c>
      <c r="G1795" t="s">
        <v>724</v>
      </c>
      <c r="H1795">
        <v>1</v>
      </c>
      <c r="I1795">
        <v>1</v>
      </c>
      <c r="J1795">
        <v>1</v>
      </c>
      <c r="K1795">
        <v>1</v>
      </c>
      <c r="L1795">
        <v>1</v>
      </c>
      <c r="M1795">
        <v>1</v>
      </c>
      <c r="N1795">
        <v>1</v>
      </c>
      <c r="O1795">
        <v>1</v>
      </c>
      <c r="P1795">
        <v>1</v>
      </c>
      <c r="Q1795">
        <v>1</v>
      </c>
      <c r="R1795">
        <v>1</v>
      </c>
      <c r="S1795">
        <v>1</v>
      </c>
      <c r="T1795">
        <f t="shared" si="86"/>
        <v>12</v>
      </c>
      <c r="U1795">
        <v>1</v>
      </c>
    </row>
    <row r="1796" spans="1:21" x14ac:dyDescent="0.3">
      <c r="A1796" t="str">
        <f t="shared" si="84"/>
        <v>SouthwarkShort-term residential/nursing care for someone likely to require a longer-term care home placement (pathway 3)1</v>
      </c>
      <c r="B1796">
        <f>IF(C1796="","",COUNTIF($C$2:C1796,C1796))</f>
        <v>1</v>
      </c>
      <c r="C1796" t="str">
        <f t="shared" si="85"/>
        <v>SouthwarkShort-term residential/nursing care for someone likely to require a longer-term care home placement (pathway 3)</v>
      </c>
      <c r="D1796" t="str">
        <f>VLOOKUP(G1796,PathwayLookup!A:B,2,0)</f>
        <v>Short-term residential/nursing care for someone likely to require a longer-term care home placement (pathway 3)</v>
      </c>
      <c r="E1796" t="s">
        <v>297</v>
      </c>
      <c r="F1796" t="s">
        <v>510</v>
      </c>
      <c r="G1796" t="s">
        <v>686</v>
      </c>
      <c r="H1796">
        <v>10</v>
      </c>
      <c r="I1796">
        <v>11</v>
      </c>
      <c r="J1796">
        <v>11</v>
      </c>
      <c r="K1796">
        <v>6</v>
      </c>
      <c r="L1796">
        <v>8</v>
      </c>
      <c r="M1796">
        <v>7</v>
      </c>
      <c r="N1796">
        <v>10</v>
      </c>
      <c r="O1796">
        <v>10</v>
      </c>
      <c r="P1796">
        <v>7</v>
      </c>
      <c r="Q1796">
        <v>11</v>
      </c>
      <c r="R1796">
        <v>9</v>
      </c>
      <c r="S1796">
        <v>9</v>
      </c>
      <c r="T1796">
        <f t="shared" si="86"/>
        <v>109</v>
      </c>
      <c r="U1796">
        <v>1</v>
      </c>
    </row>
    <row r="1797" spans="1:21" x14ac:dyDescent="0.3">
      <c r="A1797" t="str">
        <f t="shared" si="84"/>
        <v>SouthwarkShort-term residential/nursing care for someone likely to require a longer-term care home placement (pathway 3)2</v>
      </c>
      <c r="B1797">
        <f>IF(C1797="","",COUNTIF($C$2:C1797,C1797))</f>
        <v>2</v>
      </c>
      <c r="C1797" t="str">
        <f t="shared" si="85"/>
        <v>SouthwarkShort-term residential/nursing care for someone likely to require a longer-term care home placement (pathway 3)</v>
      </c>
      <c r="D1797" t="str">
        <f>VLOOKUP(G1797,PathwayLookup!A:B,2,0)</f>
        <v>Short-term residential/nursing care for someone likely to require a longer-term care home placement (pathway 3)</v>
      </c>
      <c r="E1797" t="s">
        <v>297</v>
      </c>
      <c r="F1797" t="s">
        <v>526</v>
      </c>
      <c r="G1797" t="s">
        <v>686</v>
      </c>
      <c r="H1797">
        <v>8</v>
      </c>
      <c r="I1797">
        <v>9</v>
      </c>
      <c r="J1797">
        <v>9</v>
      </c>
      <c r="K1797">
        <v>5</v>
      </c>
      <c r="L1797">
        <v>6</v>
      </c>
      <c r="M1797">
        <v>5</v>
      </c>
      <c r="N1797">
        <v>8</v>
      </c>
      <c r="O1797">
        <v>8</v>
      </c>
      <c r="P1797">
        <v>6</v>
      </c>
      <c r="Q1797">
        <v>9</v>
      </c>
      <c r="R1797">
        <v>7</v>
      </c>
      <c r="S1797">
        <v>7</v>
      </c>
      <c r="T1797">
        <f t="shared" si="86"/>
        <v>87</v>
      </c>
      <c r="U1797">
        <v>1</v>
      </c>
    </row>
    <row r="1798" spans="1:21" x14ac:dyDescent="0.3">
      <c r="A1798" t="str">
        <f t="shared" si="84"/>
        <v>SouthwarkShort-term residential/nursing care for someone likely to require a longer-term care home placement (pathway 3)3</v>
      </c>
      <c r="B1798">
        <f>IF(C1798="","",COUNTIF($C$2:C1798,C1798))</f>
        <v>3</v>
      </c>
      <c r="C1798" t="str">
        <f t="shared" si="85"/>
        <v>SouthwarkShort-term residential/nursing care for someone likely to require a longer-term care home placement (pathway 3)</v>
      </c>
      <c r="D1798" t="str">
        <f>VLOOKUP(G1798,PathwayLookup!A:B,2,0)</f>
        <v>Short-term residential/nursing care for someone likely to require a longer-term care home placement (pathway 3)</v>
      </c>
      <c r="E1798" t="s">
        <v>297</v>
      </c>
      <c r="F1798" t="s">
        <v>651</v>
      </c>
      <c r="G1798" t="s">
        <v>686</v>
      </c>
      <c r="H1798">
        <v>2</v>
      </c>
      <c r="I1798">
        <v>2</v>
      </c>
      <c r="J1798">
        <v>2</v>
      </c>
      <c r="K1798">
        <v>1</v>
      </c>
      <c r="L1798">
        <v>1</v>
      </c>
      <c r="M1798">
        <v>1</v>
      </c>
      <c r="N1798">
        <v>2</v>
      </c>
      <c r="O1798">
        <v>2</v>
      </c>
      <c r="P1798">
        <v>1</v>
      </c>
      <c r="Q1798">
        <v>2</v>
      </c>
      <c r="R1798">
        <v>1</v>
      </c>
      <c r="S1798">
        <v>1</v>
      </c>
      <c r="T1798">
        <f t="shared" si="86"/>
        <v>18</v>
      </c>
      <c r="U1798">
        <v>1</v>
      </c>
    </row>
    <row r="1799" spans="1:21" x14ac:dyDescent="0.3">
      <c r="A1799" t="str">
        <f t="shared" si="84"/>
        <v>St. HelensSocial support (including VCS) (pathway 0)1</v>
      </c>
      <c r="B1799">
        <f>IF(C1799="","",COUNTIF($C$2:C1799,C1799))</f>
        <v>1</v>
      </c>
      <c r="C1799" t="str">
        <f t="shared" si="85"/>
        <v>St. HelensSocial support (including VCS) (pathway 0)</v>
      </c>
      <c r="D1799" t="str">
        <f>VLOOKUP(G1799,PathwayLookup!A:B,2,0)</f>
        <v>Social support (including VCS) (pathway 0)</v>
      </c>
      <c r="E1799" t="s">
        <v>299</v>
      </c>
      <c r="F1799" t="s">
        <v>601</v>
      </c>
      <c r="G1799" t="s">
        <v>682</v>
      </c>
      <c r="H1799">
        <v>0</v>
      </c>
      <c r="I1799">
        <v>0</v>
      </c>
      <c r="J1799">
        <v>10</v>
      </c>
      <c r="K1799">
        <v>10</v>
      </c>
      <c r="L1799">
        <v>10</v>
      </c>
      <c r="M1799">
        <v>10</v>
      </c>
      <c r="N1799">
        <v>10</v>
      </c>
      <c r="O1799">
        <v>10</v>
      </c>
      <c r="P1799">
        <v>10</v>
      </c>
      <c r="Q1799">
        <v>10</v>
      </c>
      <c r="R1799">
        <v>10</v>
      </c>
      <c r="S1799">
        <v>10</v>
      </c>
      <c r="T1799">
        <f t="shared" si="86"/>
        <v>100</v>
      </c>
      <c r="U1799">
        <v>1</v>
      </c>
    </row>
    <row r="1800" spans="1:21" x14ac:dyDescent="0.3">
      <c r="A1800" t="str">
        <f t="shared" si="84"/>
        <v>St. HelensReablement &amp; Rehabilitation at home  (pathway 1)1</v>
      </c>
      <c r="B1800">
        <f>IF(C1800="","",COUNTIF($C$2:C1800,C1800))</f>
        <v>1</v>
      </c>
      <c r="C1800" t="str">
        <f t="shared" si="85"/>
        <v>St. HelensReablement at home  (pathway 1)</v>
      </c>
      <c r="D1800" t="str">
        <f>VLOOKUP(G1800,PathwayLookup!A:B,2,0)</f>
        <v>Reablement &amp; Rehabilitation at home  (pathway 1)</v>
      </c>
      <c r="E1800" t="s">
        <v>299</v>
      </c>
      <c r="F1800" t="s">
        <v>601</v>
      </c>
      <c r="G1800" t="s">
        <v>718</v>
      </c>
      <c r="H1800">
        <v>39</v>
      </c>
      <c r="I1800">
        <v>36</v>
      </c>
      <c r="J1800">
        <v>38</v>
      </c>
      <c r="K1800">
        <v>38</v>
      </c>
      <c r="L1800">
        <v>38</v>
      </c>
      <c r="M1800">
        <v>38</v>
      </c>
      <c r="N1800">
        <v>38</v>
      </c>
      <c r="O1800">
        <v>38</v>
      </c>
      <c r="P1800">
        <v>38</v>
      </c>
      <c r="Q1800">
        <v>38</v>
      </c>
      <c r="R1800">
        <v>38</v>
      </c>
      <c r="S1800">
        <v>38</v>
      </c>
      <c r="T1800">
        <f t="shared" si="86"/>
        <v>455</v>
      </c>
      <c r="U1800">
        <v>1</v>
      </c>
    </row>
    <row r="1801" spans="1:21" x14ac:dyDescent="0.3">
      <c r="A1801" t="str">
        <f t="shared" si="84"/>
        <v/>
      </c>
      <c r="B1801" t="str">
        <f>IF(C1801="","",COUNTIF($C$2:C1801,C1801))</f>
        <v/>
      </c>
      <c r="C1801" t="str">
        <f t="shared" si="85"/>
        <v/>
      </c>
      <c r="D1801" t="str">
        <f>VLOOKUP(G1801,PathwayLookup!A:B,2,0)</f>
        <v>Reablement &amp; Rehabilitation at home  (pathway 1)</v>
      </c>
      <c r="E1801" t="s">
        <v>299</v>
      </c>
      <c r="F1801" t="s">
        <v>601</v>
      </c>
      <c r="G1801" t="s">
        <v>719</v>
      </c>
      <c r="H1801">
        <v>0</v>
      </c>
      <c r="I1801">
        <v>0</v>
      </c>
      <c r="J1801">
        <v>0</v>
      </c>
      <c r="K1801">
        <v>0</v>
      </c>
      <c r="L1801">
        <v>0</v>
      </c>
      <c r="M1801">
        <v>0</v>
      </c>
      <c r="N1801">
        <v>0</v>
      </c>
      <c r="O1801">
        <v>0</v>
      </c>
      <c r="P1801">
        <v>0</v>
      </c>
      <c r="Q1801">
        <v>0</v>
      </c>
      <c r="R1801">
        <v>0</v>
      </c>
      <c r="S1801">
        <v>0</v>
      </c>
      <c r="T1801">
        <f t="shared" si="86"/>
        <v>0</v>
      </c>
      <c r="U1801">
        <v>1</v>
      </c>
    </row>
    <row r="1802" spans="1:21" x14ac:dyDescent="0.3">
      <c r="A1802" t="str">
        <f t="shared" si="84"/>
        <v>St. HelensShort term domiciliary care (pathway 1)1</v>
      </c>
      <c r="B1802">
        <f>IF(C1802="","",COUNTIF($C$2:C1802,C1802))</f>
        <v>1</v>
      </c>
      <c r="C1802" t="str">
        <f t="shared" si="85"/>
        <v>St. HelensShort term domiciliary care (pathway 1)</v>
      </c>
      <c r="D1802" t="str">
        <f>VLOOKUP(G1802,PathwayLookup!A:B,2,0)</f>
        <v>Short term domiciliary care (pathway 1)</v>
      </c>
      <c r="E1802" t="s">
        <v>299</v>
      </c>
      <c r="F1802" t="s">
        <v>601</v>
      </c>
      <c r="G1802" t="s">
        <v>684</v>
      </c>
      <c r="H1802">
        <v>40</v>
      </c>
      <c r="I1802">
        <v>43</v>
      </c>
      <c r="J1802">
        <v>33</v>
      </c>
      <c r="K1802">
        <v>38</v>
      </c>
      <c r="L1802">
        <v>57</v>
      </c>
      <c r="M1802">
        <v>50</v>
      </c>
      <c r="N1802">
        <v>50</v>
      </c>
      <c r="O1802">
        <v>50</v>
      </c>
      <c r="P1802">
        <v>50</v>
      </c>
      <c r="Q1802">
        <v>72</v>
      </c>
      <c r="R1802">
        <v>54</v>
      </c>
      <c r="S1802">
        <v>50</v>
      </c>
      <c r="T1802">
        <f t="shared" si="86"/>
        <v>587</v>
      </c>
      <c r="U1802">
        <v>1</v>
      </c>
    </row>
    <row r="1803" spans="1:21" x14ac:dyDescent="0.3">
      <c r="A1803" t="str">
        <f t="shared" si="84"/>
        <v>St. HelensReablement &amp; Rehabilitation in a bedded setting (pathway 2)1</v>
      </c>
      <c r="B1803">
        <f>IF(C1803="","",COUNTIF($C$2:C1803,C1803))</f>
        <v>1</v>
      </c>
      <c r="C1803" t="str">
        <f t="shared" si="85"/>
        <v>St. HelensReablement in a bedded setting (pathway 2)</v>
      </c>
      <c r="D1803" t="str">
        <f>VLOOKUP(G1803,PathwayLookup!A:B,2,0)</f>
        <v>Reablement &amp; Rehabilitation in a bedded setting (pathway 2)</v>
      </c>
      <c r="E1803" t="s">
        <v>299</v>
      </c>
      <c r="F1803" t="s">
        <v>601</v>
      </c>
      <c r="G1803" t="s">
        <v>722</v>
      </c>
      <c r="H1803">
        <v>16</v>
      </c>
      <c r="I1803">
        <v>16</v>
      </c>
      <c r="J1803">
        <v>16</v>
      </c>
      <c r="K1803">
        <v>16</v>
      </c>
      <c r="L1803">
        <v>16</v>
      </c>
      <c r="M1803">
        <v>16</v>
      </c>
      <c r="N1803">
        <v>16</v>
      </c>
      <c r="O1803">
        <v>16</v>
      </c>
      <c r="P1803">
        <v>16</v>
      </c>
      <c r="Q1803">
        <v>16</v>
      </c>
      <c r="R1803">
        <v>16</v>
      </c>
      <c r="S1803">
        <v>16</v>
      </c>
      <c r="T1803">
        <f t="shared" si="86"/>
        <v>192</v>
      </c>
      <c r="U1803">
        <v>1</v>
      </c>
    </row>
    <row r="1804" spans="1:21" x14ac:dyDescent="0.3">
      <c r="A1804" t="str">
        <f t="shared" si="84"/>
        <v>St. HelensReablement &amp; Rehabilitation in a bedded setting (pathway 2)1</v>
      </c>
      <c r="B1804">
        <f>IF(C1804="","",COUNTIF($C$2:C1804,C1804))</f>
        <v>1</v>
      </c>
      <c r="C1804" t="str">
        <f t="shared" si="85"/>
        <v>St. HelensRehabilitation in a bedded setting (pathway 2)</v>
      </c>
      <c r="D1804" t="str">
        <f>VLOOKUP(G1804,PathwayLookup!A:B,2,0)</f>
        <v>Reablement &amp; Rehabilitation in a bedded setting (pathway 2)</v>
      </c>
      <c r="E1804" t="s">
        <v>299</v>
      </c>
      <c r="F1804" t="s">
        <v>601</v>
      </c>
      <c r="G1804" t="s">
        <v>724</v>
      </c>
      <c r="H1804">
        <v>26</v>
      </c>
      <c r="I1804">
        <v>28</v>
      </c>
      <c r="J1804">
        <v>26</v>
      </c>
      <c r="K1804">
        <v>28</v>
      </c>
      <c r="L1804">
        <v>28</v>
      </c>
      <c r="M1804">
        <v>27</v>
      </c>
      <c r="N1804">
        <v>27</v>
      </c>
      <c r="O1804">
        <v>26</v>
      </c>
      <c r="P1804">
        <v>30</v>
      </c>
      <c r="Q1804">
        <v>30</v>
      </c>
      <c r="R1804">
        <v>26</v>
      </c>
      <c r="S1804">
        <v>28</v>
      </c>
      <c r="T1804">
        <f t="shared" si="86"/>
        <v>330</v>
      </c>
      <c r="U1804">
        <v>1</v>
      </c>
    </row>
    <row r="1805" spans="1:21" x14ac:dyDescent="0.3">
      <c r="A1805" t="str">
        <f t="shared" si="84"/>
        <v>St. HelensShort-term residential/nursing care for someone likely to require a longer-term care home placement (pathway 3)1</v>
      </c>
      <c r="B1805">
        <f>IF(C1805="","",COUNTIF($C$2:C1805,C1805))</f>
        <v>1</v>
      </c>
      <c r="C1805" t="str">
        <f t="shared" si="85"/>
        <v>St. HelensShort-term residential/nursing care for someone likely to require a longer-term care home placement (pathway 3)</v>
      </c>
      <c r="D1805" t="str">
        <f>VLOOKUP(G1805,PathwayLookup!A:B,2,0)</f>
        <v>Short-term residential/nursing care for someone likely to require a longer-term care home placement (pathway 3)</v>
      </c>
      <c r="E1805" t="s">
        <v>299</v>
      </c>
      <c r="F1805" t="s">
        <v>601</v>
      </c>
      <c r="G1805" t="s">
        <v>686</v>
      </c>
      <c r="H1805">
        <v>13</v>
      </c>
      <c r="I1805">
        <v>17</v>
      </c>
      <c r="J1805">
        <v>8</v>
      </c>
      <c r="K1805">
        <v>9</v>
      </c>
      <c r="L1805">
        <v>7</v>
      </c>
      <c r="M1805">
        <v>5</v>
      </c>
      <c r="N1805">
        <v>11</v>
      </c>
      <c r="O1805">
        <v>11</v>
      </c>
      <c r="P1805">
        <v>11</v>
      </c>
      <c r="Q1805">
        <v>11</v>
      </c>
      <c r="R1805">
        <v>13</v>
      </c>
      <c r="S1805">
        <v>11</v>
      </c>
      <c r="T1805">
        <f t="shared" si="86"/>
        <v>127</v>
      </c>
      <c r="U1805">
        <v>1</v>
      </c>
    </row>
    <row r="1806" spans="1:21" x14ac:dyDescent="0.3">
      <c r="A1806" t="str">
        <f t="shared" si="84"/>
        <v>StaffordshireSocial support (including VCS) (pathway 0)1</v>
      </c>
      <c r="B1806">
        <f>IF(C1806="","",COUNTIF($C$2:C1806,C1806))</f>
        <v>1</v>
      </c>
      <c r="C1806" t="str">
        <f t="shared" si="85"/>
        <v>StaffordshireSocial support (including VCS) (pathway 0)</v>
      </c>
      <c r="D1806" t="str">
        <f>VLOOKUP(G1806,PathwayLookup!A:B,2,0)</f>
        <v>Social support (including VCS) (pathway 0)</v>
      </c>
      <c r="E1806" t="s">
        <v>301</v>
      </c>
      <c r="F1806" t="s">
        <v>621</v>
      </c>
      <c r="G1806" t="s">
        <v>682</v>
      </c>
      <c r="H1806">
        <v>354</v>
      </c>
      <c r="I1806">
        <v>392</v>
      </c>
      <c r="J1806">
        <v>400</v>
      </c>
      <c r="K1806">
        <v>377</v>
      </c>
      <c r="L1806">
        <v>395</v>
      </c>
      <c r="M1806">
        <v>388</v>
      </c>
      <c r="N1806">
        <v>425</v>
      </c>
      <c r="O1806">
        <v>413</v>
      </c>
      <c r="P1806">
        <v>354</v>
      </c>
      <c r="Q1806">
        <v>369</v>
      </c>
      <c r="R1806">
        <v>356</v>
      </c>
      <c r="S1806">
        <v>393</v>
      </c>
      <c r="T1806">
        <f t="shared" si="86"/>
        <v>4616</v>
      </c>
      <c r="U1806">
        <v>1</v>
      </c>
    </row>
    <row r="1807" spans="1:21" x14ac:dyDescent="0.3">
      <c r="A1807" t="str">
        <f t="shared" si="84"/>
        <v>StaffordshireSocial support (including VCS) (pathway 0)2</v>
      </c>
      <c r="B1807">
        <f>IF(C1807="","",COUNTIF($C$2:C1807,C1807))</f>
        <v>2</v>
      </c>
      <c r="C1807" t="str">
        <f t="shared" si="85"/>
        <v>StaffordshireSocial support (including VCS) (pathway 0)</v>
      </c>
      <c r="D1807" t="str">
        <f>VLOOKUP(G1807,PathwayLookup!A:B,2,0)</f>
        <v>Social support (including VCS) (pathway 0)</v>
      </c>
      <c r="E1807" t="s">
        <v>301</v>
      </c>
      <c r="F1807" t="s">
        <v>628</v>
      </c>
      <c r="G1807" t="s">
        <v>682</v>
      </c>
      <c r="H1807">
        <v>57</v>
      </c>
      <c r="I1807">
        <v>69</v>
      </c>
      <c r="J1807">
        <v>74</v>
      </c>
      <c r="K1807">
        <v>67</v>
      </c>
      <c r="L1807">
        <v>82</v>
      </c>
      <c r="M1807">
        <v>83</v>
      </c>
      <c r="N1807">
        <v>83</v>
      </c>
      <c r="O1807">
        <v>81</v>
      </c>
      <c r="P1807">
        <v>72</v>
      </c>
      <c r="Q1807">
        <v>73</v>
      </c>
      <c r="R1807">
        <v>67</v>
      </c>
      <c r="S1807">
        <v>69</v>
      </c>
      <c r="T1807">
        <f t="shared" si="86"/>
        <v>877</v>
      </c>
      <c r="U1807">
        <v>1</v>
      </c>
    </row>
    <row r="1808" spans="1:21" x14ac:dyDescent="0.3">
      <c r="A1808" t="str">
        <f t="shared" si="84"/>
        <v>StaffordshireSocial support (including VCS) (pathway 0)3</v>
      </c>
      <c r="B1808">
        <f>IF(C1808="","",COUNTIF($C$2:C1808,C1808))</f>
        <v>3</v>
      </c>
      <c r="C1808" t="str">
        <f t="shared" si="85"/>
        <v>StaffordshireSocial support (including VCS) (pathway 0)</v>
      </c>
      <c r="D1808" t="str">
        <f>VLOOKUP(G1808,PathwayLookup!A:B,2,0)</f>
        <v>Social support (including VCS) (pathway 0)</v>
      </c>
      <c r="E1808" t="s">
        <v>301</v>
      </c>
      <c r="F1808" t="s">
        <v>632</v>
      </c>
      <c r="G1808" t="s">
        <v>682</v>
      </c>
      <c r="H1808">
        <v>1092</v>
      </c>
      <c r="I1808">
        <v>1107</v>
      </c>
      <c r="J1808">
        <v>1108</v>
      </c>
      <c r="K1808">
        <v>1125</v>
      </c>
      <c r="L1808">
        <v>1117</v>
      </c>
      <c r="M1808">
        <v>1176</v>
      </c>
      <c r="N1808">
        <v>1127</v>
      </c>
      <c r="O1808">
        <v>1275</v>
      </c>
      <c r="P1808">
        <v>1267</v>
      </c>
      <c r="Q1808">
        <v>1238</v>
      </c>
      <c r="R1808">
        <v>1125</v>
      </c>
      <c r="S1808">
        <v>1292</v>
      </c>
      <c r="T1808">
        <f t="shared" si="86"/>
        <v>14049</v>
      </c>
      <c r="U1808">
        <v>1</v>
      </c>
    </row>
    <row r="1809" spans="1:21" x14ac:dyDescent="0.3">
      <c r="A1809" t="str">
        <f t="shared" si="84"/>
        <v>StaffordshireSocial support (including VCS) (pathway 0)4</v>
      </c>
      <c r="B1809">
        <f>IF(C1809="","",COUNTIF($C$2:C1809,C1809))</f>
        <v>4</v>
      </c>
      <c r="C1809" t="str">
        <f t="shared" si="85"/>
        <v>StaffordshireSocial support (including VCS) (pathway 0)</v>
      </c>
      <c r="D1809" t="str">
        <f>VLOOKUP(G1809,PathwayLookup!A:B,2,0)</f>
        <v>Social support (including VCS) (pathway 0)</v>
      </c>
      <c r="E1809" t="s">
        <v>301</v>
      </c>
      <c r="F1809" t="s">
        <v>635</v>
      </c>
      <c r="G1809" t="s">
        <v>682</v>
      </c>
      <c r="H1809">
        <v>2893</v>
      </c>
      <c r="I1809">
        <v>3210</v>
      </c>
      <c r="J1809">
        <v>3092</v>
      </c>
      <c r="K1809">
        <v>3019</v>
      </c>
      <c r="L1809">
        <v>3069</v>
      </c>
      <c r="M1809">
        <v>2973</v>
      </c>
      <c r="N1809">
        <v>3105</v>
      </c>
      <c r="O1809">
        <v>3175</v>
      </c>
      <c r="P1809">
        <v>3179</v>
      </c>
      <c r="Q1809">
        <v>3325</v>
      </c>
      <c r="R1809">
        <v>3100</v>
      </c>
      <c r="S1809">
        <v>3507</v>
      </c>
      <c r="T1809">
        <f t="shared" si="86"/>
        <v>37647</v>
      </c>
      <c r="U1809">
        <v>1</v>
      </c>
    </row>
    <row r="1810" spans="1:21" x14ac:dyDescent="0.3">
      <c r="A1810" t="str">
        <f t="shared" si="84"/>
        <v>StaffordshireSocial support (including VCS) (pathway 0)5</v>
      </c>
      <c r="B1810">
        <f>IF(C1810="","",COUNTIF($C$2:C1810,C1810))</f>
        <v>5</v>
      </c>
      <c r="C1810" t="str">
        <f t="shared" si="85"/>
        <v>StaffordshireSocial support (including VCS) (pathway 0)</v>
      </c>
      <c r="D1810" t="str">
        <f>VLOOKUP(G1810,PathwayLookup!A:B,2,0)</f>
        <v>Social support (including VCS) (pathway 0)</v>
      </c>
      <c r="E1810" t="s">
        <v>301</v>
      </c>
      <c r="F1810" t="s">
        <v>638</v>
      </c>
      <c r="G1810" t="s">
        <v>682</v>
      </c>
      <c r="H1810">
        <v>124</v>
      </c>
      <c r="I1810">
        <v>149</v>
      </c>
      <c r="J1810">
        <v>121</v>
      </c>
      <c r="K1810">
        <v>150</v>
      </c>
      <c r="L1810">
        <v>149</v>
      </c>
      <c r="M1810">
        <v>140</v>
      </c>
      <c r="N1810">
        <v>157</v>
      </c>
      <c r="O1810">
        <v>133</v>
      </c>
      <c r="P1810">
        <v>120</v>
      </c>
      <c r="Q1810">
        <v>117</v>
      </c>
      <c r="R1810">
        <v>123</v>
      </c>
      <c r="S1810">
        <v>131</v>
      </c>
      <c r="T1810">
        <f t="shared" si="86"/>
        <v>1614</v>
      </c>
      <c r="U1810">
        <v>1</v>
      </c>
    </row>
    <row r="1811" spans="1:21" x14ac:dyDescent="0.3">
      <c r="A1811" t="str">
        <f t="shared" si="84"/>
        <v>StaffordshireSocial support (including VCS) (pathway 0)6</v>
      </c>
      <c r="B1811">
        <f>IF(C1811="","",COUNTIF($C$2:C1811,C1811))</f>
        <v>6</v>
      </c>
      <c r="C1811" t="str">
        <f t="shared" si="85"/>
        <v>StaffordshireSocial support (including VCS) (pathway 0)</v>
      </c>
      <c r="D1811" t="str">
        <f>VLOOKUP(G1811,PathwayLookup!A:B,2,0)</f>
        <v>Social support (including VCS) (pathway 0)</v>
      </c>
      <c r="E1811" t="s">
        <v>301</v>
      </c>
      <c r="F1811" t="s">
        <v>492</v>
      </c>
      <c r="G1811" t="s">
        <v>682</v>
      </c>
      <c r="H1811">
        <v>47</v>
      </c>
      <c r="I1811">
        <v>46</v>
      </c>
      <c r="J1811">
        <v>42</v>
      </c>
      <c r="K1811">
        <v>22</v>
      </c>
      <c r="L1811">
        <v>30</v>
      </c>
      <c r="M1811">
        <v>44</v>
      </c>
      <c r="N1811">
        <v>43</v>
      </c>
      <c r="O1811">
        <v>44</v>
      </c>
      <c r="P1811">
        <v>42</v>
      </c>
      <c r="Q1811">
        <v>42</v>
      </c>
      <c r="R1811">
        <v>41</v>
      </c>
      <c r="S1811">
        <v>45</v>
      </c>
      <c r="T1811">
        <f t="shared" si="86"/>
        <v>488</v>
      </c>
      <c r="U1811">
        <v>1</v>
      </c>
    </row>
    <row r="1812" spans="1:21" x14ac:dyDescent="0.3">
      <c r="A1812" t="str">
        <f t="shared" si="84"/>
        <v>StaffordshireReablement &amp; Rehabilitation at home  (pathway 1)1</v>
      </c>
      <c r="B1812">
        <f>IF(C1812="","",COUNTIF($C$2:C1812,C1812))</f>
        <v>1</v>
      </c>
      <c r="C1812" t="str">
        <f t="shared" si="85"/>
        <v>StaffordshireReablement at home  (pathway 1)</v>
      </c>
      <c r="D1812" t="str">
        <f>VLOOKUP(G1812,PathwayLookup!A:B,2,0)</f>
        <v>Reablement &amp; Rehabilitation at home  (pathway 1)</v>
      </c>
      <c r="E1812" t="s">
        <v>301</v>
      </c>
      <c r="F1812" t="s">
        <v>492</v>
      </c>
      <c r="G1812" t="s">
        <v>718</v>
      </c>
      <c r="H1812">
        <v>8</v>
      </c>
      <c r="I1812">
        <v>9</v>
      </c>
      <c r="J1812">
        <v>9</v>
      </c>
      <c r="K1812">
        <v>5</v>
      </c>
      <c r="L1812">
        <v>7</v>
      </c>
      <c r="M1812">
        <v>10</v>
      </c>
      <c r="N1812">
        <v>9</v>
      </c>
      <c r="O1812">
        <v>10</v>
      </c>
      <c r="P1812">
        <v>9</v>
      </c>
      <c r="Q1812">
        <v>12</v>
      </c>
      <c r="R1812">
        <v>11</v>
      </c>
      <c r="S1812">
        <v>10</v>
      </c>
      <c r="T1812">
        <f t="shared" si="86"/>
        <v>109</v>
      </c>
      <c r="U1812">
        <v>1</v>
      </c>
    </row>
    <row r="1813" spans="1:21" x14ac:dyDescent="0.3">
      <c r="A1813" t="str">
        <f t="shared" si="84"/>
        <v>StaffordshireReablement &amp; Rehabilitation at home  (pathway 1)2</v>
      </c>
      <c r="B1813">
        <f>IF(C1813="","",COUNTIF($C$2:C1813,C1813))</f>
        <v>2</v>
      </c>
      <c r="C1813" t="str">
        <f t="shared" si="85"/>
        <v>StaffordshireReablement at home  (pathway 1)</v>
      </c>
      <c r="D1813" t="str">
        <f>VLOOKUP(G1813,PathwayLookup!A:B,2,0)</f>
        <v>Reablement &amp; Rehabilitation at home  (pathway 1)</v>
      </c>
      <c r="E1813" t="s">
        <v>301</v>
      </c>
      <c r="F1813" t="s">
        <v>621</v>
      </c>
      <c r="G1813" t="s">
        <v>718</v>
      </c>
      <c r="H1813">
        <v>13</v>
      </c>
      <c r="I1813">
        <v>9</v>
      </c>
      <c r="J1813">
        <v>10</v>
      </c>
      <c r="K1813">
        <v>12</v>
      </c>
      <c r="L1813">
        <v>14</v>
      </c>
      <c r="M1813">
        <v>16</v>
      </c>
      <c r="N1813">
        <v>15</v>
      </c>
      <c r="O1813">
        <v>16</v>
      </c>
      <c r="P1813">
        <v>10</v>
      </c>
      <c r="Q1813">
        <v>10</v>
      </c>
      <c r="R1813">
        <v>9</v>
      </c>
      <c r="S1813">
        <v>12</v>
      </c>
      <c r="T1813">
        <f t="shared" si="86"/>
        <v>146</v>
      </c>
      <c r="U1813">
        <v>1</v>
      </c>
    </row>
    <row r="1814" spans="1:21" x14ac:dyDescent="0.3">
      <c r="A1814" t="str">
        <f t="shared" si="84"/>
        <v>StaffordshireReablement &amp; Rehabilitation at home  (pathway 1)3</v>
      </c>
      <c r="B1814">
        <f>IF(C1814="","",COUNTIF($C$2:C1814,C1814))</f>
        <v>3</v>
      </c>
      <c r="C1814" t="str">
        <f t="shared" si="85"/>
        <v>StaffordshireReablement at home  (pathway 1)</v>
      </c>
      <c r="D1814" t="str">
        <f>VLOOKUP(G1814,PathwayLookup!A:B,2,0)</f>
        <v>Reablement &amp; Rehabilitation at home  (pathway 1)</v>
      </c>
      <c r="E1814" t="s">
        <v>301</v>
      </c>
      <c r="F1814" t="s">
        <v>628</v>
      </c>
      <c r="G1814" t="s">
        <v>718</v>
      </c>
      <c r="H1814">
        <v>2</v>
      </c>
      <c r="I1814">
        <v>3</v>
      </c>
      <c r="J1814">
        <v>3</v>
      </c>
      <c r="K1814">
        <v>4</v>
      </c>
      <c r="L1814">
        <v>5</v>
      </c>
      <c r="M1814">
        <v>4</v>
      </c>
      <c r="N1814">
        <v>3</v>
      </c>
      <c r="O1814">
        <v>4</v>
      </c>
      <c r="P1814">
        <v>4</v>
      </c>
      <c r="Q1814">
        <v>4</v>
      </c>
      <c r="R1814">
        <v>4</v>
      </c>
      <c r="S1814">
        <v>4</v>
      </c>
      <c r="T1814">
        <f t="shared" si="86"/>
        <v>44</v>
      </c>
      <c r="U1814">
        <v>1</v>
      </c>
    </row>
    <row r="1815" spans="1:21" x14ac:dyDescent="0.3">
      <c r="A1815" t="str">
        <f t="shared" si="84"/>
        <v>StaffordshireReablement &amp; Rehabilitation at home  (pathway 1)4</v>
      </c>
      <c r="B1815">
        <f>IF(C1815="","",COUNTIF($C$2:C1815,C1815))</f>
        <v>4</v>
      </c>
      <c r="C1815" t="str">
        <f t="shared" si="85"/>
        <v>StaffordshireReablement at home  (pathway 1)</v>
      </c>
      <c r="D1815" t="str">
        <f>VLOOKUP(G1815,PathwayLookup!A:B,2,0)</f>
        <v>Reablement &amp; Rehabilitation at home  (pathway 1)</v>
      </c>
      <c r="E1815" t="s">
        <v>301</v>
      </c>
      <c r="F1815" t="s">
        <v>632</v>
      </c>
      <c r="G1815" t="s">
        <v>718</v>
      </c>
      <c r="H1815">
        <v>48</v>
      </c>
      <c r="I1815">
        <v>63</v>
      </c>
      <c r="J1815">
        <v>60</v>
      </c>
      <c r="K1815">
        <v>66</v>
      </c>
      <c r="L1815">
        <v>62</v>
      </c>
      <c r="M1815">
        <v>50</v>
      </c>
      <c r="N1815">
        <v>63</v>
      </c>
      <c r="O1815">
        <v>47</v>
      </c>
      <c r="P1815">
        <v>7</v>
      </c>
      <c r="Q1815">
        <v>68</v>
      </c>
      <c r="R1815">
        <v>59</v>
      </c>
      <c r="S1815">
        <v>62</v>
      </c>
      <c r="T1815">
        <f t="shared" si="86"/>
        <v>655</v>
      </c>
      <c r="U1815">
        <v>1</v>
      </c>
    </row>
    <row r="1816" spans="1:21" x14ac:dyDescent="0.3">
      <c r="A1816" t="str">
        <f t="shared" si="84"/>
        <v>StaffordshireReablement &amp; Rehabilitation at home  (pathway 1)5</v>
      </c>
      <c r="B1816">
        <f>IF(C1816="","",COUNTIF($C$2:C1816,C1816))</f>
        <v>5</v>
      </c>
      <c r="C1816" t="str">
        <f t="shared" si="85"/>
        <v>StaffordshireReablement at home  (pathway 1)</v>
      </c>
      <c r="D1816" t="str">
        <f>VLOOKUP(G1816,PathwayLookup!A:B,2,0)</f>
        <v>Reablement &amp; Rehabilitation at home  (pathway 1)</v>
      </c>
      <c r="E1816" t="s">
        <v>301</v>
      </c>
      <c r="F1816" t="s">
        <v>635</v>
      </c>
      <c r="G1816" t="s">
        <v>718</v>
      </c>
      <c r="H1816">
        <v>596</v>
      </c>
      <c r="I1816">
        <v>655</v>
      </c>
      <c r="J1816">
        <v>626</v>
      </c>
      <c r="K1816">
        <v>606</v>
      </c>
      <c r="L1816">
        <v>611</v>
      </c>
      <c r="M1816">
        <v>587</v>
      </c>
      <c r="N1816">
        <v>607</v>
      </c>
      <c r="O1816">
        <v>616</v>
      </c>
      <c r="P1816">
        <v>611</v>
      </c>
      <c r="Q1816">
        <v>634</v>
      </c>
      <c r="R1816">
        <v>586</v>
      </c>
      <c r="S1816">
        <v>658</v>
      </c>
      <c r="T1816">
        <f t="shared" si="86"/>
        <v>7393</v>
      </c>
      <c r="U1816">
        <v>1</v>
      </c>
    </row>
    <row r="1817" spans="1:21" x14ac:dyDescent="0.3">
      <c r="A1817" t="str">
        <f t="shared" si="84"/>
        <v>StaffordshireReablement &amp; Rehabilitation at home  (pathway 1)6</v>
      </c>
      <c r="B1817">
        <f>IF(C1817="","",COUNTIF($C$2:C1817,C1817))</f>
        <v>6</v>
      </c>
      <c r="C1817" t="str">
        <f t="shared" si="85"/>
        <v>StaffordshireReablement at home  (pathway 1)</v>
      </c>
      <c r="D1817" t="str">
        <f>VLOOKUP(G1817,PathwayLookup!A:B,2,0)</f>
        <v>Reablement &amp; Rehabilitation at home  (pathway 1)</v>
      </c>
      <c r="E1817" t="s">
        <v>301</v>
      </c>
      <c r="F1817" t="s">
        <v>638</v>
      </c>
      <c r="G1817" t="s">
        <v>718</v>
      </c>
      <c r="H1817">
        <v>29</v>
      </c>
      <c r="I1817">
        <v>29</v>
      </c>
      <c r="J1817">
        <v>33</v>
      </c>
      <c r="K1817">
        <v>40</v>
      </c>
      <c r="L1817">
        <v>30</v>
      </c>
      <c r="M1817">
        <v>25</v>
      </c>
      <c r="N1817">
        <v>35</v>
      </c>
      <c r="O1817">
        <v>26</v>
      </c>
      <c r="P1817">
        <v>33</v>
      </c>
      <c r="Q1817">
        <v>32</v>
      </c>
      <c r="R1817">
        <v>33</v>
      </c>
      <c r="S1817">
        <v>35</v>
      </c>
      <c r="T1817">
        <f t="shared" si="86"/>
        <v>380</v>
      </c>
      <c r="U1817">
        <v>1</v>
      </c>
    </row>
    <row r="1818" spans="1:21" x14ac:dyDescent="0.3">
      <c r="A1818" t="str">
        <f t="shared" si="84"/>
        <v>StaffordshireReablement &amp; Rehabilitation in a bedded setting (pathway 2)1</v>
      </c>
      <c r="B1818">
        <f>IF(C1818="","",COUNTIF($C$2:C1818,C1818))</f>
        <v>1</v>
      </c>
      <c r="C1818" t="str">
        <f t="shared" si="85"/>
        <v>StaffordshireReablement in a bedded setting (pathway 2)</v>
      </c>
      <c r="D1818" t="str">
        <f>VLOOKUP(G1818,PathwayLookup!A:B,2,0)</f>
        <v>Reablement &amp; Rehabilitation in a bedded setting (pathway 2)</v>
      </c>
      <c r="E1818" t="s">
        <v>301</v>
      </c>
      <c r="F1818" t="s">
        <v>492</v>
      </c>
      <c r="G1818" t="s">
        <v>722</v>
      </c>
      <c r="H1818">
        <v>1</v>
      </c>
      <c r="I1818">
        <v>1</v>
      </c>
      <c r="J1818">
        <v>1</v>
      </c>
      <c r="K1818">
        <v>1</v>
      </c>
      <c r="L1818">
        <v>1</v>
      </c>
      <c r="M1818">
        <v>1</v>
      </c>
      <c r="N1818">
        <v>1</v>
      </c>
      <c r="O1818">
        <v>2</v>
      </c>
      <c r="P1818">
        <v>2</v>
      </c>
      <c r="Q1818">
        <v>2</v>
      </c>
      <c r="R1818">
        <v>1</v>
      </c>
      <c r="S1818">
        <v>2</v>
      </c>
      <c r="T1818">
        <f t="shared" si="86"/>
        <v>16</v>
      </c>
      <c r="U1818">
        <v>1</v>
      </c>
    </row>
    <row r="1819" spans="1:21" x14ac:dyDescent="0.3">
      <c r="A1819" t="str">
        <f t="shared" si="84"/>
        <v>StaffordshireReablement &amp; Rehabilitation in a bedded setting (pathway 2)2</v>
      </c>
      <c r="B1819">
        <f>IF(C1819="","",COUNTIF($C$2:C1819,C1819))</f>
        <v>2</v>
      </c>
      <c r="C1819" t="str">
        <f t="shared" si="85"/>
        <v>StaffordshireReablement in a bedded setting (pathway 2)</v>
      </c>
      <c r="D1819" t="str">
        <f>VLOOKUP(G1819,PathwayLookup!A:B,2,0)</f>
        <v>Reablement &amp; Rehabilitation in a bedded setting (pathway 2)</v>
      </c>
      <c r="E1819" t="s">
        <v>301</v>
      </c>
      <c r="F1819" t="s">
        <v>621</v>
      </c>
      <c r="G1819" t="s">
        <v>722</v>
      </c>
      <c r="H1819">
        <v>8</v>
      </c>
      <c r="I1819">
        <v>11</v>
      </c>
      <c r="J1819">
        <v>11</v>
      </c>
      <c r="K1819">
        <v>9</v>
      </c>
      <c r="L1819">
        <v>8</v>
      </c>
      <c r="M1819">
        <v>10</v>
      </c>
      <c r="N1819">
        <v>14</v>
      </c>
      <c r="O1819">
        <v>10</v>
      </c>
      <c r="P1819">
        <v>10</v>
      </c>
      <c r="Q1819">
        <v>12</v>
      </c>
      <c r="R1819">
        <v>8</v>
      </c>
      <c r="S1819">
        <v>6</v>
      </c>
      <c r="T1819">
        <f t="shared" si="86"/>
        <v>117</v>
      </c>
      <c r="U1819">
        <v>1</v>
      </c>
    </row>
    <row r="1820" spans="1:21" x14ac:dyDescent="0.3">
      <c r="A1820" t="str">
        <f t="shared" si="84"/>
        <v>StaffordshireReablement &amp; Rehabilitation in a bedded setting (pathway 2)3</v>
      </c>
      <c r="B1820">
        <f>IF(C1820="","",COUNTIF($C$2:C1820,C1820))</f>
        <v>3</v>
      </c>
      <c r="C1820" t="str">
        <f t="shared" si="85"/>
        <v>StaffordshireReablement in a bedded setting (pathway 2)</v>
      </c>
      <c r="D1820" t="str">
        <f>VLOOKUP(G1820,PathwayLookup!A:B,2,0)</f>
        <v>Reablement &amp; Rehabilitation in a bedded setting (pathway 2)</v>
      </c>
      <c r="E1820" t="s">
        <v>301</v>
      </c>
      <c r="F1820" t="s">
        <v>628</v>
      </c>
      <c r="G1820" t="s">
        <v>722</v>
      </c>
      <c r="H1820">
        <v>0</v>
      </c>
      <c r="I1820">
        <v>2</v>
      </c>
      <c r="J1820">
        <v>1</v>
      </c>
      <c r="K1820">
        <v>0</v>
      </c>
      <c r="L1820">
        <v>1</v>
      </c>
      <c r="M1820">
        <v>2</v>
      </c>
      <c r="N1820">
        <v>1</v>
      </c>
      <c r="O1820">
        <v>1</v>
      </c>
      <c r="P1820">
        <v>1</v>
      </c>
      <c r="Q1820">
        <v>2</v>
      </c>
      <c r="R1820">
        <v>1</v>
      </c>
      <c r="S1820">
        <v>1</v>
      </c>
      <c r="T1820">
        <f t="shared" si="86"/>
        <v>13</v>
      </c>
      <c r="U1820">
        <v>1</v>
      </c>
    </row>
    <row r="1821" spans="1:21" x14ac:dyDescent="0.3">
      <c r="A1821" t="str">
        <f t="shared" si="84"/>
        <v>StaffordshireReablement &amp; Rehabilitation in a bedded setting (pathway 2)4</v>
      </c>
      <c r="B1821">
        <f>IF(C1821="","",COUNTIF($C$2:C1821,C1821))</f>
        <v>4</v>
      </c>
      <c r="C1821" t="str">
        <f t="shared" si="85"/>
        <v>StaffordshireReablement in a bedded setting (pathway 2)</v>
      </c>
      <c r="D1821" t="str">
        <f>VLOOKUP(G1821,PathwayLookup!A:B,2,0)</f>
        <v>Reablement &amp; Rehabilitation in a bedded setting (pathway 2)</v>
      </c>
      <c r="E1821" t="s">
        <v>301</v>
      </c>
      <c r="F1821" t="s">
        <v>632</v>
      </c>
      <c r="G1821" t="s">
        <v>722</v>
      </c>
      <c r="H1821">
        <v>37</v>
      </c>
      <c r="I1821">
        <v>33</v>
      </c>
      <c r="J1821">
        <v>30</v>
      </c>
      <c r="K1821">
        <v>26</v>
      </c>
      <c r="L1821">
        <v>29</v>
      </c>
      <c r="M1821">
        <v>27</v>
      </c>
      <c r="N1821">
        <v>31</v>
      </c>
      <c r="O1821">
        <v>26</v>
      </c>
      <c r="P1821">
        <v>9</v>
      </c>
      <c r="Q1821">
        <v>35</v>
      </c>
      <c r="R1821">
        <v>35</v>
      </c>
      <c r="S1821">
        <v>38</v>
      </c>
      <c r="T1821">
        <f t="shared" si="86"/>
        <v>356</v>
      </c>
      <c r="U1821">
        <v>1</v>
      </c>
    </row>
    <row r="1822" spans="1:21" x14ac:dyDescent="0.3">
      <c r="A1822" t="str">
        <f t="shared" si="84"/>
        <v>StaffordshireReablement &amp; Rehabilitation in a bedded setting (pathway 2)5</v>
      </c>
      <c r="B1822">
        <f>IF(C1822="","",COUNTIF($C$2:C1822,C1822))</f>
        <v>5</v>
      </c>
      <c r="C1822" t="str">
        <f t="shared" si="85"/>
        <v>StaffordshireReablement in a bedded setting (pathway 2)</v>
      </c>
      <c r="D1822" t="str">
        <f>VLOOKUP(G1822,PathwayLookup!A:B,2,0)</f>
        <v>Reablement &amp; Rehabilitation in a bedded setting (pathway 2)</v>
      </c>
      <c r="E1822" t="s">
        <v>301</v>
      </c>
      <c r="F1822" t="s">
        <v>635</v>
      </c>
      <c r="G1822" t="s">
        <v>722</v>
      </c>
      <c r="H1822">
        <v>125</v>
      </c>
      <c r="I1822">
        <v>141</v>
      </c>
      <c r="J1822">
        <v>138</v>
      </c>
      <c r="K1822">
        <v>136</v>
      </c>
      <c r="L1822">
        <v>141</v>
      </c>
      <c r="M1822">
        <v>138</v>
      </c>
      <c r="N1822">
        <v>146</v>
      </c>
      <c r="O1822">
        <v>151</v>
      </c>
      <c r="P1822">
        <v>153</v>
      </c>
      <c r="Q1822">
        <v>162</v>
      </c>
      <c r="R1822">
        <v>153</v>
      </c>
      <c r="S1822">
        <v>175</v>
      </c>
      <c r="T1822">
        <f t="shared" si="86"/>
        <v>1759</v>
      </c>
      <c r="U1822">
        <v>1</v>
      </c>
    </row>
    <row r="1823" spans="1:21" x14ac:dyDescent="0.3">
      <c r="A1823" t="str">
        <f t="shared" si="84"/>
        <v>StaffordshireReablement &amp; Rehabilitation in a bedded setting (pathway 2)6</v>
      </c>
      <c r="B1823">
        <f>IF(C1823="","",COUNTIF($C$2:C1823,C1823))</f>
        <v>6</v>
      </c>
      <c r="C1823" t="str">
        <f t="shared" si="85"/>
        <v>StaffordshireReablement in a bedded setting (pathway 2)</v>
      </c>
      <c r="D1823" t="str">
        <f>VLOOKUP(G1823,PathwayLookup!A:B,2,0)</f>
        <v>Reablement &amp; Rehabilitation in a bedded setting (pathway 2)</v>
      </c>
      <c r="E1823" t="s">
        <v>301</v>
      </c>
      <c r="F1823" t="s">
        <v>638</v>
      </c>
      <c r="G1823" t="s">
        <v>722</v>
      </c>
      <c r="H1823">
        <v>3</v>
      </c>
      <c r="I1823">
        <v>3</v>
      </c>
      <c r="J1823">
        <v>1</v>
      </c>
      <c r="K1823">
        <v>2</v>
      </c>
      <c r="L1823">
        <v>6</v>
      </c>
      <c r="M1823">
        <v>2</v>
      </c>
      <c r="N1823">
        <v>4</v>
      </c>
      <c r="O1823">
        <v>3</v>
      </c>
      <c r="P1823">
        <v>3</v>
      </c>
      <c r="Q1823">
        <v>3</v>
      </c>
      <c r="R1823">
        <v>1</v>
      </c>
      <c r="S1823">
        <v>3</v>
      </c>
      <c r="T1823">
        <f t="shared" si="86"/>
        <v>34</v>
      </c>
      <c r="U1823">
        <v>1</v>
      </c>
    </row>
    <row r="1824" spans="1:21" x14ac:dyDescent="0.3">
      <c r="A1824" t="str">
        <f t="shared" si="84"/>
        <v>StaffordshireShort-term residential/nursing care for someone likely to require a longer-term care home placement (pathway 3)1</v>
      </c>
      <c r="B1824">
        <f>IF(C1824="","",COUNTIF($C$2:C1824,C1824))</f>
        <v>1</v>
      </c>
      <c r="C1824" t="str">
        <f t="shared" si="85"/>
        <v>StaffordshireShort-term residential/nursing care for someone likely to require a longer-term care home placement (pathway 3)</v>
      </c>
      <c r="D1824" t="str">
        <f>VLOOKUP(G1824,PathwayLookup!A:B,2,0)</f>
        <v>Short-term residential/nursing care for someone likely to require a longer-term care home placement (pathway 3)</v>
      </c>
      <c r="E1824" t="s">
        <v>301</v>
      </c>
      <c r="F1824" t="s">
        <v>492</v>
      </c>
      <c r="G1824" t="s">
        <v>686</v>
      </c>
      <c r="H1824">
        <v>2</v>
      </c>
      <c r="I1824">
        <v>2</v>
      </c>
      <c r="J1824">
        <v>2</v>
      </c>
      <c r="K1824">
        <v>1</v>
      </c>
      <c r="L1824">
        <v>1</v>
      </c>
      <c r="M1824">
        <v>2</v>
      </c>
      <c r="N1824">
        <v>2</v>
      </c>
      <c r="O1824">
        <v>2</v>
      </c>
      <c r="P1824">
        <v>2</v>
      </c>
      <c r="Q1824">
        <v>2</v>
      </c>
      <c r="R1824">
        <v>2</v>
      </c>
      <c r="S1824">
        <v>2</v>
      </c>
      <c r="T1824">
        <f t="shared" si="86"/>
        <v>22</v>
      </c>
      <c r="U1824">
        <v>1</v>
      </c>
    </row>
    <row r="1825" spans="1:21" x14ac:dyDescent="0.3">
      <c r="A1825" t="str">
        <f t="shared" si="84"/>
        <v>StaffordshireShort-term residential/nursing care for someone likely to require a longer-term care home placement (pathway 3)2</v>
      </c>
      <c r="B1825">
        <f>IF(C1825="","",COUNTIF($C$2:C1825,C1825))</f>
        <v>2</v>
      </c>
      <c r="C1825" t="str">
        <f t="shared" si="85"/>
        <v>StaffordshireShort-term residential/nursing care for someone likely to require a longer-term care home placement (pathway 3)</v>
      </c>
      <c r="D1825" t="str">
        <f>VLOOKUP(G1825,PathwayLookup!A:B,2,0)</f>
        <v>Short-term residential/nursing care for someone likely to require a longer-term care home placement (pathway 3)</v>
      </c>
      <c r="E1825" t="s">
        <v>301</v>
      </c>
      <c r="F1825" t="s">
        <v>621</v>
      </c>
      <c r="G1825" t="s">
        <v>686</v>
      </c>
      <c r="H1825">
        <v>9</v>
      </c>
      <c r="I1825">
        <v>16</v>
      </c>
      <c r="J1825">
        <v>12</v>
      </c>
      <c r="K1825">
        <v>13</v>
      </c>
      <c r="L1825">
        <v>15</v>
      </c>
      <c r="M1825">
        <v>16</v>
      </c>
      <c r="N1825">
        <v>18</v>
      </c>
      <c r="O1825">
        <v>15</v>
      </c>
      <c r="P1825">
        <v>10</v>
      </c>
      <c r="Q1825">
        <v>10</v>
      </c>
      <c r="R1825">
        <v>7</v>
      </c>
      <c r="S1825">
        <v>8</v>
      </c>
      <c r="T1825">
        <f t="shared" si="86"/>
        <v>149</v>
      </c>
      <c r="U1825">
        <v>1</v>
      </c>
    </row>
    <row r="1826" spans="1:21" x14ac:dyDescent="0.3">
      <c r="A1826" t="str">
        <f t="shared" si="84"/>
        <v/>
      </c>
      <c r="B1826" t="str">
        <f>IF(C1826="","",COUNTIF($C$2:C1826,C1826))</f>
        <v/>
      </c>
      <c r="C1826" t="str">
        <f t="shared" si="85"/>
        <v/>
      </c>
      <c r="D1826" t="str">
        <f>VLOOKUP(G1826,PathwayLookup!A:B,2,0)</f>
        <v>Short-term residential/nursing care for someone likely to require a longer-term care home placement (pathway 3)</v>
      </c>
      <c r="E1826" t="s">
        <v>301</v>
      </c>
      <c r="F1826" t="s">
        <v>628</v>
      </c>
      <c r="G1826" t="s">
        <v>686</v>
      </c>
      <c r="H1826">
        <v>0</v>
      </c>
      <c r="I1826">
        <v>0</v>
      </c>
      <c r="J1826">
        <v>0</v>
      </c>
      <c r="K1826">
        <v>0</v>
      </c>
      <c r="L1826">
        <v>0</v>
      </c>
      <c r="M1826">
        <v>0</v>
      </c>
      <c r="N1826">
        <v>0</v>
      </c>
      <c r="O1826">
        <v>0</v>
      </c>
      <c r="P1826">
        <v>0</v>
      </c>
      <c r="Q1826">
        <v>0</v>
      </c>
      <c r="R1826">
        <v>0</v>
      </c>
      <c r="S1826">
        <v>0</v>
      </c>
      <c r="T1826">
        <f t="shared" si="86"/>
        <v>0</v>
      </c>
      <c r="U1826">
        <v>1</v>
      </c>
    </row>
    <row r="1827" spans="1:21" x14ac:dyDescent="0.3">
      <c r="A1827" t="str">
        <f t="shared" si="84"/>
        <v>StaffordshireShort-term residential/nursing care for someone likely to require a longer-term care home placement (pathway 3)3</v>
      </c>
      <c r="B1827">
        <f>IF(C1827="","",COUNTIF($C$2:C1827,C1827))</f>
        <v>3</v>
      </c>
      <c r="C1827" t="str">
        <f t="shared" si="85"/>
        <v>StaffordshireShort-term residential/nursing care for someone likely to require a longer-term care home placement (pathway 3)</v>
      </c>
      <c r="D1827" t="str">
        <f>VLOOKUP(G1827,PathwayLookup!A:B,2,0)</f>
        <v>Short-term residential/nursing care for someone likely to require a longer-term care home placement (pathway 3)</v>
      </c>
      <c r="E1827" t="s">
        <v>301</v>
      </c>
      <c r="F1827" t="s">
        <v>632</v>
      </c>
      <c r="G1827" t="s">
        <v>686</v>
      </c>
      <c r="H1827">
        <v>65</v>
      </c>
      <c r="I1827">
        <v>65</v>
      </c>
      <c r="J1827">
        <v>62</v>
      </c>
      <c r="K1827">
        <v>69</v>
      </c>
      <c r="L1827">
        <v>70</v>
      </c>
      <c r="M1827">
        <v>64</v>
      </c>
      <c r="N1827">
        <v>73</v>
      </c>
      <c r="O1827">
        <v>70</v>
      </c>
      <c r="P1827">
        <v>70</v>
      </c>
      <c r="Q1827">
        <v>67</v>
      </c>
      <c r="R1827">
        <v>61</v>
      </c>
      <c r="S1827">
        <v>71</v>
      </c>
      <c r="T1827">
        <f t="shared" si="86"/>
        <v>807</v>
      </c>
      <c r="U1827">
        <v>1</v>
      </c>
    </row>
    <row r="1828" spans="1:21" x14ac:dyDescent="0.3">
      <c r="A1828" t="str">
        <f t="shared" si="84"/>
        <v>StaffordshireShort-term residential/nursing care for someone likely to require a longer-term care home placement (pathway 3)4</v>
      </c>
      <c r="B1828">
        <f>IF(C1828="","",COUNTIF($C$2:C1828,C1828))</f>
        <v>4</v>
      </c>
      <c r="C1828" t="str">
        <f t="shared" si="85"/>
        <v>StaffordshireShort-term residential/nursing care for someone likely to require a longer-term care home placement (pathway 3)</v>
      </c>
      <c r="D1828" t="str">
        <f>VLOOKUP(G1828,PathwayLookup!A:B,2,0)</f>
        <v>Short-term residential/nursing care for someone likely to require a longer-term care home placement (pathway 3)</v>
      </c>
      <c r="E1828" t="s">
        <v>301</v>
      </c>
      <c r="F1828" t="s">
        <v>635</v>
      </c>
      <c r="G1828" t="s">
        <v>686</v>
      </c>
      <c r="H1828">
        <v>213</v>
      </c>
      <c r="I1828">
        <v>218</v>
      </c>
      <c r="J1828">
        <v>192</v>
      </c>
      <c r="K1828">
        <v>170</v>
      </c>
      <c r="L1828">
        <v>155</v>
      </c>
      <c r="M1828">
        <v>134</v>
      </c>
      <c r="N1828">
        <v>123</v>
      </c>
      <c r="O1828">
        <v>108</v>
      </c>
      <c r="P1828">
        <v>91</v>
      </c>
      <c r="Q1828">
        <v>77</v>
      </c>
      <c r="R1828">
        <v>55</v>
      </c>
      <c r="S1828">
        <v>44</v>
      </c>
      <c r="T1828">
        <f t="shared" si="86"/>
        <v>1580</v>
      </c>
      <c r="U1828">
        <v>1</v>
      </c>
    </row>
    <row r="1829" spans="1:21" x14ac:dyDescent="0.3">
      <c r="A1829" t="str">
        <f t="shared" si="84"/>
        <v>StaffordshireShort-term residential/nursing care for someone likely to require a longer-term care home placement (pathway 3)5</v>
      </c>
      <c r="B1829">
        <f>IF(C1829="","",COUNTIF($C$2:C1829,C1829))</f>
        <v>5</v>
      </c>
      <c r="C1829" t="str">
        <f t="shared" si="85"/>
        <v>StaffordshireShort-term residential/nursing care for someone likely to require a longer-term care home placement (pathway 3)</v>
      </c>
      <c r="D1829" t="str">
        <f>VLOOKUP(G1829,PathwayLookup!A:B,2,0)</f>
        <v>Short-term residential/nursing care for someone likely to require a longer-term care home placement (pathway 3)</v>
      </c>
      <c r="E1829" t="s">
        <v>301</v>
      </c>
      <c r="F1829" t="s">
        <v>638</v>
      </c>
      <c r="G1829" t="s">
        <v>686</v>
      </c>
      <c r="H1829">
        <v>5</v>
      </c>
      <c r="I1829">
        <v>4</v>
      </c>
      <c r="J1829">
        <v>4</v>
      </c>
      <c r="K1829">
        <v>11</v>
      </c>
      <c r="L1829">
        <v>11</v>
      </c>
      <c r="M1829">
        <v>16</v>
      </c>
      <c r="N1829">
        <v>30</v>
      </c>
      <c r="O1829">
        <v>20</v>
      </c>
      <c r="P1829">
        <v>19</v>
      </c>
      <c r="Q1829">
        <v>19</v>
      </c>
      <c r="R1829">
        <v>17</v>
      </c>
      <c r="S1829">
        <v>22</v>
      </c>
      <c r="T1829">
        <f t="shared" si="86"/>
        <v>178</v>
      </c>
      <c r="U1829">
        <v>1</v>
      </c>
    </row>
    <row r="1830" spans="1:21" x14ac:dyDescent="0.3">
      <c r="A1830" t="str">
        <f t="shared" si="84"/>
        <v>StockportSocial support (including VCS) (pathway 0)1</v>
      </c>
      <c r="B1830">
        <f>IF(C1830="","",COUNTIF($C$2:C1830,C1830))</f>
        <v>1</v>
      </c>
      <c r="C1830" t="str">
        <f t="shared" si="85"/>
        <v>StockportSocial support (including VCS) (pathway 0)</v>
      </c>
      <c r="D1830" t="str">
        <f>VLOOKUP(G1830,PathwayLookup!A:B,2,0)</f>
        <v>Social support (including VCS) (pathway 0)</v>
      </c>
      <c r="E1830" t="s">
        <v>303</v>
      </c>
      <c r="F1830" t="s">
        <v>602</v>
      </c>
      <c r="G1830" t="s">
        <v>682</v>
      </c>
      <c r="H1830">
        <v>177</v>
      </c>
      <c r="I1830">
        <v>121</v>
      </c>
      <c r="J1830">
        <v>129</v>
      </c>
      <c r="K1830">
        <v>117</v>
      </c>
      <c r="L1830">
        <v>108</v>
      </c>
      <c r="M1830">
        <v>125</v>
      </c>
      <c r="N1830">
        <v>138</v>
      </c>
      <c r="O1830">
        <v>172</v>
      </c>
      <c r="P1830">
        <v>174</v>
      </c>
      <c r="Q1830">
        <v>127</v>
      </c>
      <c r="R1830">
        <v>128</v>
      </c>
      <c r="S1830">
        <v>114</v>
      </c>
      <c r="T1830">
        <f t="shared" si="86"/>
        <v>1630</v>
      </c>
      <c r="U1830">
        <v>1</v>
      </c>
    </row>
    <row r="1831" spans="1:21" x14ac:dyDescent="0.3">
      <c r="A1831" t="str">
        <f t="shared" si="84"/>
        <v>StockportReablement &amp; Rehabilitation at home  (pathway 1)1</v>
      </c>
      <c r="B1831">
        <f>IF(C1831="","",COUNTIF($C$2:C1831,C1831))</f>
        <v>1</v>
      </c>
      <c r="C1831" t="str">
        <f t="shared" si="85"/>
        <v>StockportReablement at home  (pathway 1)</v>
      </c>
      <c r="D1831" t="str">
        <f>VLOOKUP(G1831,PathwayLookup!A:B,2,0)</f>
        <v>Reablement &amp; Rehabilitation at home  (pathway 1)</v>
      </c>
      <c r="E1831" t="s">
        <v>303</v>
      </c>
      <c r="F1831" t="s">
        <v>602</v>
      </c>
      <c r="G1831" t="s">
        <v>718</v>
      </c>
      <c r="H1831">
        <v>15</v>
      </c>
      <c r="I1831">
        <v>13</v>
      </c>
      <c r="J1831">
        <v>13</v>
      </c>
      <c r="K1831">
        <v>13</v>
      </c>
      <c r="L1831">
        <v>14</v>
      </c>
      <c r="M1831">
        <v>13</v>
      </c>
      <c r="N1831">
        <v>15</v>
      </c>
      <c r="O1831">
        <v>16</v>
      </c>
      <c r="P1831">
        <v>17</v>
      </c>
      <c r="Q1831">
        <v>16</v>
      </c>
      <c r="R1831">
        <v>14</v>
      </c>
      <c r="S1831">
        <v>16</v>
      </c>
      <c r="T1831">
        <f t="shared" si="86"/>
        <v>175</v>
      </c>
      <c r="U1831">
        <v>1</v>
      </c>
    </row>
    <row r="1832" spans="1:21" x14ac:dyDescent="0.3">
      <c r="A1832" t="str">
        <f t="shared" si="84"/>
        <v>StockportReablement &amp; Rehabilitation at home  (pathway 1)1</v>
      </c>
      <c r="B1832">
        <f>IF(C1832="","",COUNTIF($C$2:C1832,C1832))</f>
        <v>1</v>
      </c>
      <c r="C1832" t="str">
        <f t="shared" si="85"/>
        <v>StockportRehabilitation at home (pathway 1)</v>
      </c>
      <c r="D1832" t="str">
        <f>VLOOKUP(G1832,PathwayLookup!A:B,2,0)</f>
        <v>Reablement &amp; Rehabilitation at home  (pathway 1)</v>
      </c>
      <c r="E1832" t="s">
        <v>303</v>
      </c>
      <c r="F1832" t="s">
        <v>602</v>
      </c>
      <c r="G1832" t="s">
        <v>719</v>
      </c>
      <c r="H1832">
        <v>4</v>
      </c>
      <c r="I1832">
        <v>5</v>
      </c>
      <c r="J1832">
        <v>4</v>
      </c>
      <c r="K1832">
        <v>5</v>
      </c>
      <c r="L1832">
        <v>5</v>
      </c>
      <c r="M1832">
        <v>4</v>
      </c>
      <c r="N1832">
        <v>5</v>
      </c>
      <c r="O1832">
        <v>5</v>
      </c>
      <c r="P1832">
        <v>5</v>
      </c>
      <c r="Q1832">
        <v>6</v>
      </c>
      <c r="R1832">
        <v>4</v>
      </c>
      <c r="S1832">
        <v>5</v>
      </c>
      <c r="T1832">
        <f t="shared" si="86"/>
        <v>57</v>
      </c>
      <c r="U1832">
        <v>1</v>
      </c>
    </row>
    <row r="1833" spans="1:21" x14ac:dyDescent="0.3">
      <c r="A1833" t="str">
        <f t="shared" si="84"/>
        <v>StockportShort term domiciliary care (pathway 1)1</v>
      </c>
      <c r="B1833">
        <f>IF(C1833="","",COUNTIF($C$2:C1833,C1833))</f>
        <v>1</v>
      </c>
      <c r="C1833" t="str">
        <f t="shared" si="85"/>
        <v>StockportShort term domiciliary care (pathway 1)</v>
      </c>
      <c r="D1833" t="str">
        <f>VLOOKUP(G1833,PathwayLookup!A:B,2,0)</f>
        <v>Short term domiciliary care (pathway 1)</v>
      </c>
      <c r="E1833" t="s">
        <v>303</v>
      </c>
      <c r="F1833" t="s">
        <v>602</v>
      </c>
      <c r="G1833" t="s">
        <v>684</v>
      </c>
      <c r="H1833">
        <v>287</v>
      </c>
      <c r="I1833">
        <v>293</v>
      </c>
      <c r="J1833">
        <v>274</v>
      </c>
      <c r="K1833">
        <v>291</v>
      </c>
      <c r="L1833">
        <v>277</v>
      </c>
      <c r="M1833">
        <v>285</v>
      </c>
      <c r="N1833">
        <v>297</v>
      </c>
      <c r="O1833">
        <v>300</v>
      </c>
      <c r="P1833">
        <v>292</v>
      </c>
      <c r="Q1833">
        <v>311</v>
      </c>
      <c r="R1833">
        <v>271</v>
      </c>
      <c r="S1833">
        <v>302</v>
      </c>
      <c r="T1833">
        <f t="shared" si="86"/>
        <v>3480</v>
      </c>
      <c r="U1833">
        <v>1</v>
      </c>
    </row>
    <row r="1834" spans="1:21" x14ac:dyDescent="0.3">
      <c r="A1834" t="str">
        <f t="shared" si="84"/>
        <v>StockportReablement &amp; Rehabilitation in a bedded setting (pathway 2)1</v>
      </c>
      <c r="B1834">
        <f>IF(C1834="","",COUNTIF($C$2:C1834,C1834))</f>
        <v>1</v>
      </c>
      <c r="C1834" t="str">
        <f t="shared" si="85"/>
        <v>StockportReablement in a bedded setting (pathway 2)</v>
      </c>
      <c r="D1834" t="str">
        <f>VLOOKUP(G1834,PathwayLookup!A:B,2,0)</f>
        <v>Reablement &amp; Rehabilitation in a bedded setting (pathway 2)</v>
      </c>
      <c r="E1834" t="s">
        <v>303</v>
      </c>
      <c r="F1834" t="s">
        <v>602</v>
      </c>
      <c r="G1834" t="s">
        <v>722</v>
      </c>
      <c r="H1834">
        <v>54</v>
      </c>
      <c r="I1834">
        <v>58</v>
      </c>
      <c r="J1834">
        <v>55</v>
      </c>
      <c r="K1834">
        <v>57</v>
      </c>
      <c r="L1834">
        <v>48</v>
      </c>
      <c r="M1834">
        <v>53</v>
      </c>
      <c r="N1834">
        <v>52</v>
      </c>
      <c r="O1834">
        <v>50</v>
      </c>
      <c r="P1834">
        <v>62</v>
      </c>
      <c r="Q1834">
        <v>59</v>
      </c>
      <c r="R1834">
        <v>61</v>
      </c>
      <c r="S1834">
        <v>59</v>
      </c>
      <c r="T1834">
        <f t="shared" si="86"/>
        <v>668</v>
      </c>
      <c r="U1834">
        <v>1</v>
      </c>
    </row>
    <row r="1835" spans="1:21" x14ac:dyDescent="0.3">
      <c r="A1835" t="str">
        <f t="shared" si="84"/>
        <v>StockportReablement &amp; Rehabilitation in a bedded setting (pathway 2)1</v>
      </c>
      <c r="B1835">
        <f>IF(C1835="","",COUNTIF($C$2:C1835,C1835))</f>
        <v>1</v>
      </c>
      <c r="C1835" t="str">
        <f t="shared" si="85"/>
        <v>StockportRehabilitation in a bedded setting (pathway 2)</v>
      </c>
      <c r="D1835" t="str">
        <f>VLOOKUP(G1835,PathwayLookup!A:B,2,0)</f>
        <v>Reablement &amp; Rehabilitation in a bedded setting (pathway 2)</v>
      </c>
      <c r="E1835" t="s">
        <v>303</v>
      </c>
      <c r="F1835" t="s">
        <v>602</v>
      </c>
      <c r="G1835" t="s">
        <v>724</v>
      </c>
      <c r="H1835">
        <v>65</v>
      </c>
      <c r="I1835">
        <v>67</v>
      </c>
      <c r="J1835">
        <v>59</v>
      </c>
      <c r="K1835">
        <v>63</v>
      </c>
      <c r="L1835">
        <v>61</v>
      </c>
      <c r="M1835">
        <v>64</v>
      </c>
      <c r="N1835">
        <v>66</v>
      </c>
      <c r="O1835">
        <v>63</v>
      </c>
      <c r="P1835">
        <v>79</v>
      </c>
      <c r="Q1835">
        <v>75</v>
      </c>
      <c r="R1835">
        <v>86</v>
      </c>
      <c r="S1835">
        <v>83</v>
      </c>
      <c r="T1835">
        <f t="shared" si="86"/>
        <v>831</v>
      </c>
      <c r="U1835">
        <v>1</v>
      </c>
    </row>
    <row r="1836" spans="1:21" x14ac:dyDescent="0.3">
      <c r="A1836" t="str">
        <f t="shared" si="84"/>
        <v>StockportShort-term residential/nursing care for someone likely to require a longer-term care home placement (pathway 3)1</v>
      </c>
      <c r="B1836">
        <f>IF(C1836="","",COUNTIF($C$2:C1836,C1836))</f>
        <v>1</v>
      </c>
      <c r="C1836" t="str">
        <f t="shared" si="85"/>
        <v>StockportShort-term residential/nursing care for someone likely to require a longer-term care home placement (pathway 3)</v>
      </c>
      <c r="D1836" t="str">
        <f>VLOOKUP(G1836,PathwayLookup!A:B,2,0)</f>
        <v>Short-term residential/nursing care for someone likely to require a longer-term care home placement (pathway 3)</v>
      </c>
      <c r="E1836" t="s">
        <v>303</v>
      </c>
      <c r="F1836" t="s">
        <v>602</v>
      </c>
      <c r="G1836" t="s">
        <v>686</v>
      </c>
      <c r="H1836">
        <v>54</v>
      </c>
      <c r="I1836">
        <v>56</v>
      </c>
      <c r="J1836">
        <v>57</v>
      </c>
      <c r="K1836">
        <v>67</v>
      </c>
      <c r="L1836">
        <v>63</v>
      </c>
      <c r="M1836">
        <v>65</v>
      </c>
      <c r="N1836">
        <v>32</v>
      </c>
      <c r="O1836">
        <v>66</v>
      </c>
      <c r="P1836">
        <v>67</v>
      </c>
      <c r="Q1836">
        <v>48</v>
      </c>
      <c r="R1836">
        <v>45</v>
      </c>
      <c r="S1836">
        <v>52</v>
      </c>
      <c r="T1836">
        <f t="shared" si="86"/>
        <v>672</v>
      </c>
      <c r="U1836">
        <v>1</v>
      </c>
    </row>
    <row r="1837" spans="1:21" x14ac:dyDescent="0.3">
      <c r="A1837" t="str">
        <f t="shared" si="84"/>
        <v>Stockton-on-TeesSocial support (including VCS) (pathway 0)1</v>
      </c>
      <c r="B1837">
        <f>IF(C1837="","",COUNTIF($C$2:C1837,C1837))</f>
        <v>1</v>
      </c>
      <c r="C1837" t="str">
        <f t="shared" si="85"/>
        <v>Stockton-on-TeesSocial support (including VCS) (pathway 0)</v>
      </c>
      <c r="D1837" t="str">
        <f>VLOOKUP(G1837,PathwayLookup!A:B,2,0)</f>
        <v>Social support (including VCS) (pathway 0)</v>
      </c>
      <c r="E1837" t="s">
        <v>305</v>
      </c>
      <c r="F1837" t="s">
        <v>559</v>
      </c>
      <c r="G1837" t="s">
        <v>682</v>
      </c>
      <c r="H1837">
        <v>1450</v>
      </c>
      <c r="I1837">
        <v>1484</v>
      </c>
      <c r="J1837">
        <v>1460</v>
      </c>
      <c r="K1837">
        <v>1440</v>
      </c>
      <c r="L1837">
        <v>1436</v>
      </c>
      <c r="M1837">
        <v>1484</v>
      </c>
      <c r="N1837">
        <v>1352</v>
      </c>
      <c r="O1837">
        <v>1420</v>
      </c>
      <c r="P1837">
        <v>1508</v>
      </c>
      <c r="Q1837">
        <v>1440</v>
      </c>
      <c r="R1837">
        <v>1316</v>
      </c>
      <c r="S1837">
        <v>1564</v>
      </c>
      <c r="T1837">
        <f t="shared" si="86"/>
        <v>17354</v>
      </c>
      <c r="U1837">
        <v>1</v>
      </c>
    </row>
    <row r="1838" spans="1:21" x14ac:dyDescent="0.3">
      <c r="A1838" t="str">
        <f t="shared" si="84"/>
        <v>Stockton-on-TeesSocial support (including VCS) (pathway 0)2</v>
      </c>
      <c r="B1838">
        <f>IF(C1838="","",COUNTIF($C$2:C1838,C1838))</f>
        <v>2</v>
      </c>
      <c r="C1838" t="str">
        <f t="shared" si="85"/>
        <v>Stockton-on-TeesSocial support (including VCS) (pathway 0)</v>
      </c>
      <c r="D1838" t="str">
        <f>VLOOKUP(G1838,PathwayLookup!A:B,2,0)</f>
        <v>Social support (including VCS) (pathway 0)</v>
      </c>
      <c r="E1838" t="s">
        <v>305</v>
      </c>
      <c r="F1838" t="s">
        <v>651</v>
      </c>
      <c r="G1838" t="s">
        <v>682</v>
      </c>
      <c r="H1838">
        <v>115</v>
      </c>
      <c r="I1838">
        <v>142</v>
      </c>
      <c r="J1838">
        <v>140</v>
      </c>
      <c r="K1838">
        <v>139</v>
      </c>
      <c r="L1838">
        <v>138</v>
      </c>
      <c r="M1838">
        <v>136</v>
      </c>
      <c r="N1838">
        <v>140</v>
      </c>
      <c r="O1838">
        <v>144</v>
      </c>
      <c r="P1838">
        <v>144</v>
      </c>
      <c r="Q1838">
        <v>146</v>
      </c>
      <c r="R1838">
        <v>137</v>
      </c>
      <c r="S1838">
        <v>144</v>
      </c>
      <c r="T1838">
        <f t="shared" si="86"/>
        <v>1665</v>
      </c>
      <c r="U1838">
        <v>1</v>
      </c>
    </row>
    <row r="1839" spans="1:21" x14ac:dyDescent="0.3">
      <c r="A1839" t="str">
        <f t="shared" si="84"/>
        <v>Stockton-on-TeesReablement &amp; Rehabilitation at home  (pathway 1)1</v>
      </c>
      <c r="B1839">
        <f>IF(C1839="","",COUNTIF($C$2:C1839,C1839))</f>
        <v>1</v>
      </c>
      <c r="C1839" t="str">
        <f t="shared" si="85"/>
        <v>Stockton-on-TeesReablement at home  (pathway 1)</v>
      </c>
      <c r="D1839" t="str">
        <f>VLOOKUP(G1839,PathwayLookup!A:B,2,0)</f>
        <v>Reablement &amp; Rehabilitation at home  (pathway 1)</v>
      </c>
      <c r="E1839" t="s">
        <v>305</v>
      </c>
      <c r="F1839" t="s">
        <v>559</v>
      </c>
      <c r="G1839" t="s">
        <v>718</v>
      </c>
      <c r="H1839">
        <v>118</v>
      </c>
      <c r="I1839">
        <v>141</v>
      </c>
      <c r="J1839">
        <v>111</v>
      </c>
      <c r="K1839">
        <v>105</v>
      </c>
      <c r="L1839">
        <v>113</v>
      </c>
      <c r="M1839">
        <v>84</v>
      </c>
      <c r="N1839">
        <v>102</v>
      </c>
      <c r="O1839">
        <v>111</v>
      </c>
      <c r="P1839">
        <v>118</v>
      </c>
      <c r="Q1839">
        <v>109</v>
      </c>
      <c r="R1839">
        <v>81</v>
      </c>
      <c r="S1839">
        <v>98</v>
      </c>
      <c r="T1839">
        <f t="shared" si="86"/>
        <v>1291</v>
      </c>
      <c r="U1839">
        <v>1</v>
      </c>
    </row>
    <row r="1840" spans="1:21" x14ac:dyDescent="0.3">
      <c r="A1840" t="str">
        <f t="shared" si="84"/>
        <v>Stockton-on-TeesReablement &amp; Rehabilitation at home  (pathway 1)2</v>
      </c>
      <c r="B1840">
        <f>IF(C1840="","",COUNTIF($C$2:C1840,C1840))</f>
        <v>2</v>
      </c>
      <c r="C1840" t="str">
        <f t="shared" si="85"/>
        <v>Stockton-on-TeesReablement at home  (pathway 1)</v>
      </c>
      <c r="D1840" t="str">
        <f>VLOOKUP(G1840,PathwayLookup!A:B,2,0)</f>
        <v>Reablement &amp; Rehabilitation at home  (pathway 1)</v>
      </c>
      <c r="E1840" t="s">
        <v>305</v>
      </c>
      <c r="F1840" t="s">
        <v>651</v>
      </c>
      <c r="G1840" t="s">
        <v>718</v>
      </c>
      <c r="H1840">
        <v>19</v>
      </c>
      <c r="I1840">
        <v>23</v>
      </c>
      <c r="J1840">
        <v>23</v>
      </c>
      <c r="K1840">
        <v>22</v>
      </c>
      <c r="L1840">
        <v>22</v>
      </c>
      <c r="M1840">
        <v>22</v>
      </c>
      <c r="N1840">
        <v>22</v>
      </c>
      <c r="O1840">
        <v>23</v>
      </c>
      <c r="P1840">
        <v>23</v>
      </c>
      <c r="Q1840">
        <v>23</v>
      </c>
      <c r="R1840">
        <v>22</v>
      </c>
      <c r="S1840">
        <v>23</v>
      </c>
      <c r="T1840">
        <f t="shared" si="86"/>
        <v>267</v>
      </c>
      <c r="U1840">
        <v>1</v>
      </c>
    </row>
    <row r="1841" spans="1:21" x14ac:dyDescent="0.3">
      <c r="A1841" t="str">
        <f t="shared" si="84"/>
        <v/>
      </c>
      <c r="B1841" t="str">
        <f>IF(C1841="","",COUNTIF($C$2:C1841,C1841))</f>
        <v/>
      </c>
      <c r="C1841" t="str">
        <f t="shared" si="85"/>
        <v/>
      </c>
      <c r="D1841" t="str">
        <f>VLOOKUP(G1841,PathwayLookup!A:B,2,0)</f>
        <v>Reablement &amp; Rehabilitation at home  (pathway 1)</v>
      </c>
      <c r="E1841" t="s">
        <v>305</v>
      </c>
      <c r="F1841" t="s">
        <v>559</v>
      </c>
      <c r="G1841" t="s">
        <v>719</v>
      </c>
      <c r="H1841">
        <v>0</v>
      </c>
      <c r="I1841">
        <v>0</v>
      </c>
      <c r="J1841">
        <v>0</v>
      </c>
      <c r="K1841">
        <v>0</v>
      </c>
      <c r="L1841">
        <v>0</v>
      </c>
      <c r="M1841">
        <v>0</v>
      </c>
      <c r="N1841">
        <v>0</v>
      </c>
      <c r="O1841">
        <v>0</v>
      </c>
      <c r="P1841">
        <v>0</v>
      </c>
      <c r="Q1841">
        <v>0</v>
      </c>
      <c r="R1841">
        <v>0</v>
      </c>
      <c r="S1841">
        <v>0</v>
      </c>
      <c r="T1841">
        <f t="shared" si="86"/>
        <v>0</v>
      </c>
      <c r="U1841">
        <v>1</v>
      </c>
    </row>
    <row r="1842" spans="1:21" x14ac:dyDescent="0.3">
      <c r="A1842" t="str">
        <f t="shared" si="84"/>
        <v/>
      </c>
      <c r="B1842" t="str">
        <f>IF(C1842="","",COUNTIF($C$2:C1842,C1842))</f>
        <v/>
      </c>
      <c r="C1842" t="str">
        <f t="shared" si="85"/>
        <v/>
      </c>
      <c r="D1842" t="str">
        <f>VLOOKUP(G1842,PathwayLookup!A:B,2,0)</f>
        <v>Reablement &amp; Rehabilitation at home  (pathway 1)</v>
      </c>
      <c r="E1842" t="s">
        <v>305</v>
      </c>
      <c r="F1842" t="s">
        <v>651</v>
      </c>
      <c r="G1842" t="s">
        <v>719</v>
      </c>
      <c r="H1842">
        <v>0</v>
      </c>
      <c r="I1842">
        <v>0</v>
      </c>
      <c r="J1842">
        <v>0</v>
      </c>
      <c r="K1842">
        <v>0</v>
      </c>
      <c r="L1842">
        <v>0</v>
      </c>
      <c r="M1842">
        <v>0</v>
      </c>
      <c r="N1842">
        <v>0</v>
      </c>
      <c r="O1842">
        <v>0</v>
      </c>
      <c r="P1842">
        <v>0</v>
      </c>
      <c r="Q1842">
        <v>0</v>
      </c>
      <c r="R1842">
        <v>0</v>
      </c>
      <c r="S1842">
        <v>0</v>
      </c>
      <c r="T1842">
        <f t="shared" si="86"/>
        <v>0</v>
      </c>
      <c r="U1842">
        <v>1</v>
      </c>
    </row>
    <row r="1843" spans="1:21" x14ac:dyDescent="0.3">
      <c r="A1843" t="str">
        <f t="shared" si="84"/>
        <v/>
      </c>
      <c r="B1843" t="str">
        <f>IF(C1843="","",COUNTIF($C$2:C1843,C1843))</f>
        <v/>
      </c>
      <c r="C1843" t="str">
        <f t="shared" si="85"/>
        <v/>
      </c>
      <c r="D1843" t="str">
        <f>VLOOKUP(G1843,PathwayLookup!A:B,2,0)</f>
        <v>Short term domiciliary care (pathway 1)</v>
      </c>
      <c r="E1843" t="s">
        <v>305</v>
      </c>
      <c r="F1843" t="s">
        <v>559</v>
      </c>
      <c r="G1843" t="s">
        <v>684</v>
      </c>
      <c r="H1843">
        <v>0</v>
      </c>
      <c r="I1843">
        <v>0</v>
      </c>
      <c r="J1843">
        <v>0</v>
      </c>
      <c r="K1843">
        <v>0</v>
      </c>
      <c r="L1843">
        <v>0</v>
      </c>
      <c r="M1843">
        <v>0</v>
      </c>
      <c r="N1843">
        <v>0</v>
      </c>
      <c r="O1843">
        <v>0</v>
      </c>
      <c r="P1843">
        <v>0</v>
      </c>
      <c r="Q1843">
        <v>0</v>
      </c>
      <c r="R1843">
        <v>0</v>
      </c>
      <c r="S1843">
        <v>0</v>
      </c>
      <c r="T1843">
        <f t="shared" si="86"/>
        <v>0</v>
      </c>
      <c r="U1843">
        <v>1</v>
      </c>
    </row>
    <row r="1844" spans="1:21" x14ac:dyDescent="0.3">
      <c r="A1844" t="str">
        <f t="shared" si="84"/>
        <v/>
      </c>
      <c r="B1844" t="str">
        <f>IF(C1844="","",COUNTIF($C$2:C1844,C1844))</f>
        <v/>
      </c>
      <c r="C1844" t="str">
        <f t="shared" si="85"/>
        <v/>
      </c>
      <c r="D1844" t="str">
        <f>VLOOKUP(G1844,PathwayLookup!A:B,2,0)</f>
        <v>Short term domiciliary care (pathway 1)</v>
      </c>
      <c r="E1844" t="s">
        <v>305</v>
      </c>
      <c r="F1844" t="s">
        <v>651</v>
      </c>
      <c r="G1844" t="s">
        <v>684</v>
      </c>
      <c r="H1844">
        <v>0</v>
      </c>
      <c r="I1844">
        <v>0</v>
      </c>
      <c r="J1844">
        <v>0</v>
      </c>
      <c r="K1844">
        <v>0</v>
      </c>
      <c r="L1844">
        <v>0</v>
      </c>
      <c r="M1844">
        <v>0</v>
      </c>
      <c r="N1844">
        <v>0</v>
      </c>
      <c r="O1844">
        <v>0</v>
      </c>
      <c r="P1844">
        <v>0</v>
      </c>
      <c r="Q1844">
        <v>0</v>
      </c>
      <c r="R1844">
        <v>0</v>
      </c>
      <c r="S1844">
        <v>0</v>
      </c>
      <c r="T1844">
        <f t="shared" si="86"/>
        <v>0</v>
      </c>
      <c r="U1844">
        <v>1</v>
      </c>
    </row>
    <row r="1845" spans="1:21" x14ac:dyDescent="0.3">
      <c r="A1845" t="str">
        <f t="shared" si="84"/>
        <v>Stockton-on-TeesReablement &amp; Rehabilitation in a bedded setting (pathway 2)1</v>
      </c>
      <c r="B1845">
        <f>IF(C1845="","",COUNTIF($C$2:C1845,C1845))</f>
        <v>1</v>
      </c>
      <c r="C1845" t="str">
        <f t="shared" si="85"/>
        <v>Stockton-on-TeesReablement in a bedded setting (pathway 2)</v>
      </c>
      <c r="D1845" t="str">
        <f>VLOOKUP(G1845,PathwayLookup!A:B,2,0)</f>
        <v>Reablement &amp; Rehabilitation in a bedded setting (pathway 2)</v>
      </c>
      <c r="E1845" t="s">
        <v>305</v>
      </c>
      <c r="F1845" t="s">
        <v>559</v>
      </c>
      <c r="G1845" t="s">
        <v>722</v>
      </c>
      <c r="H1845">
        <v>75</v>
      </c>
      <c r="I1845">
        <v>88</v>
      </c>
      <c r="J1845">
        <v>78</v>
      </c>
      <c r="K1845">
        <v>93</v>
      </c>
      <c r="L1845">
        <v>97</v>
      </c>
      <c r="M1845">
        <v>77</v>
      </c>
      <c r="N1845">
        <v>88</v>
      </c>
      <c r="O1845">
        <v>91</v>
      </c>
      <c r="P1845">
        <v>120</v>
      </c>
      <c r="Q1845">
        <v>113</v>
      </c>
      <c r="R1845">
        <v>110</v>
      </c>
      <c r="S1845">
        <v>109</v>
      </c>
      <c r="T1845">
        <f t="shared" si="86"/>
        <v>1139</v>
      </c>
      <c r="U1845">
        <v>1</v>
      </c>
    </row>
    <row r="1846" spans="1:21" x14ac:dyDescent="0.3">
      <c r="A1846" t="str">
        <f t="shared" si="84"/>
        <v>Stockton-on-TeesReablement &amp; Rehabilitation in a bedded setting (pathway 2)2</v>
      </c>
      <c r="B1846">
        <f>IF(C1846="","",COUNTIF($C$2:C1846,C1846))</f>
        <v>2</v>
      </c>
      <c r="C1846" t="str">
        <f t="shared" si="85"/>
        <v>Stockton-on-TeesReablement in a bedded setting (pathway 2)</v>
      </c>
      <c r="D1846" t="str">
        <f>VLOOKUP(G1846,PathwayLookup!A:B,2,0)</f>
        <v>Reablement &amp; Rehabilitation in a bedded setting (pathway 2)</v>
      </c>
      <c r="E1846" t="s">
        <v>305</v>
      </c>
      <c r="F1846" t="s">
        <v>651</v>
      </c>
      <c r="G1846" t="s">
        <v>722</v>
      </c>
      <c r="H1846">
        <v>2</v>
      </c>
      <c r="I1846">
        <v>3</v>
      </c>
      <c r="J1846">
        <v>3</v>
      </c>
      <c r="K1846">
        <v>3</v>
      </c>
      <c r="L1846">
        <v>3</v>
      </c>
      <c r="M1846">
        <v>3</v>
      </c>
      <c r="N1846">
        <v>3</v>
      </c>
      <c r="O1846">
        <v>3</v>
      </c>
      <c r="P1846">
        <v>3</v>
      </c>
      <c r="Q1846">
        <v>3</v>
      </c>
      <c r="R1846">
        <v>3</v>
      </c>
      <c r="S1846">
        <v>3</v>
      </c>
      <c r="T1846">
        <f t="shared" si="86"/>
        <v>35</v>
      </c>
      <c r="U1846">
        <v>1</v>
      </c>
    </row>
    <row r="1847" spans="1:21" x14ac:dyDescent="0.3">
      <c r="A1847" t="str">
        <f t="shared" si="84"/>
        <v/>
      </c>
      <c r="B1847" t="str">
        <f>IF(C1847="","",COUNTIF($C$2:C1847,C1847))</f>
        <v/>
      </c>
      <c r="C1847" t="str">
        <f t="shared" si="85"/>
        <v/>
      </c>
      <c r="D1847" t="str">
        <f>VLOOKUP(G1847,PathwayLookup!A:B,2,0)</f>
        <v>Reablement &amp; Rehabilitation in a bedded setting (pathway 2)</v>
      </c>
      <c r="E1847" t="s">
        <v>305</v>
      </c>
      <c r="F1847" t="s">
        <v>559</v>
      </c>
      <c r="G1847" t="s">
        <v>724</v>
      </c>
      <c r="H1847">
        <v>0</v>
      </c>
      <c r="I1847">
        <v>0</v>
      </c>
      <c r="J1847">
        <v>0</v>
      </c>
      <c r="K1847">
        <v>0</v>
      </c>
      <c r="L1847">
        <v>0</v>
      </c>
      <c r="M1847">
        <v>0</v>
      </c>
      <c r="N1847">
        <v>0</v>
      </c>
      <c r="O1847">
        <v>0</v>
      </c>
      <c r="P1847">
        <v>0</v>
      </c>
      <c r="Q1847">
        <v>0</v>
      </c>
      <c r="R1847">
        <v>0</v>
      </c>
      <c r="S1847">
        <v>0</v>
      </c>
      <c r="T1847">
        <f t="shared" si="86"/>
        <v>0</v>
      </c>
      <c r="U1847">
        <v>1</v>
      </c>
    </row>
    <row r="1848" spans="1:21" x14ac:dyDescent="0.3">
      <c r="A1848" t="str">
        <f t="shared" si="84"/>
        <v/>
      </c>
      <c r="B1848" t="str">
        <f>IF(C1848="","",COUNTIF($C$2:C1848,C1848))</f>
        <v/>
      </c>
      <c r="C1848" t="str">
        <f t="shared" si="85"/>
        <v/>
      </c>
      <c r="D1848" t="str">
        <f>VLOOKUP(G1848,PathwayLookup!A:B,2,0)</f>
        <v>Reablement &amp; Rehabilitation in a bedded setting (pathway 2)</v>
      </c>
      <c r="E1848" t="s">
        <v>305</v>
      </c>
      <c r="F1848" t="s">
        <v>651</v>
      </c>
      <c r="G1848" t="s">
        <v>724</v>
      </c>
      <c r="H1848">
        <v>0</v>
      </c>
      <c r="I1848">
        <v>0</v>
      </c>
      <c r="J1848">
        <v>0</v>
      </c>
      <c r="K1848">
        <v>0</v>
      </c>
      <c r="L1848">
        <v>0</v>
      </c>
      <c r="M1848">
        <v>0</v>
      </c>
      <c r="N1848">
        <v>0</v>
      </c>
      <c r="O1848">
        <v>0</v>
      </c>
      <c r="P1848">
        <v>0</v>
      </c>
      <c r="Q1848">
        <v>0</v>
      </c>
      <c r="R1848">
        <v>0</v>
      </c>
      <c r="S1848">
        <v>0</v>
      </c>
      <c r="T1848">
        <f t="shared" si="86"/>
        <v>0</v>
      </c>
      <c r="U1848">
        <v>1</v>
      </c>
    </row>
    <row r="1849" spans="1:21" x14ac:dyDescent="0.3">
      <c r="A1849" t="str">
        <f t="shared" si="84"/>
        <v>Stockton-on-TeesShort-term residential/nursing care for someone likely to require a longer-term care home placement (pathway 3)1</v>
      </c>
      <c r="B1849">
        <f>IF(C1849="","",COUNTIF($C$2:C1849,C1849))</f>
        <v>1</v>
      </c>
      <c r="C1849" t="str">
        <f t="shared" si="85"/>
        <v>Stockton-on-TeesShort-term residential/nursing care for someone likely to require a longer-term care home placement (pathway 3)</v>
      </c>
      <c r="D1849" t="str">
        <f>VLOOKUP(G1849,PathwayLookup!A:B,2,0)</f>
        <v>Short-term residential/nursing care for someone likely to require a longer-term care home placement (pathway 3)</v>
      </c>
      <c r="E1849" t="s">
        <v>305</v>
      </c>
      <c r="F1849" t="s">
        <v>559</v>
      </c>
      <c r="G1849" t="s">
        <v>686</v>
      </c>
      <c r="H1849">
        <v>45</v>
      </c>
      <c r="I1849">
        <v>31</v>
      </c>
      <c r="J1849">
        <v>15</v>
      </c>
      <c r="K1849">
        <v>19</v>
      </c>
      <c r="L1849">
        <v>14</v>
      </c>
      <c r="M1849">
        <v>12</v>
      </c>
      <c r="N1849">
        <v>21</v>
      </c>
      <c r="O1849">
        <v>26</v>
      </c>
      <c r="P1849">
        <v>20</v>
      </c>
      <c r="Q1849">
        <v>28</v>
      </c>
      <c r="R1849">
        <v>21</v>
      </c>
      <c r="S1849">
        <v>40</v>
      </c>
      <c r="T1849">
        <f t="shared" si="86"/>
        <v>292</v>
      </c>
      <c r="U1849">
        <v>1</v>
      </c>
    </row>
    <row r="1850" spans="1:21" x14ac:dyDescent="0.3">
      <c r="A1850" t="str">
        <f t="shared" si="84"/>
        <v>Stockton-on-TeesShort-term residential/nursing care for someone likely to require a longer-term care home placement (pathway 3)2</v>
      </c>
      <c r="B1850">
        <f>IF(C1850="","",COUNTIF($C$2:C1850,C1850))</f>
        <v>2</v>
      </c>
      <c r="C1850" t="str">
        <f t="shared" si="85"/>
        <v>Stockton-on-TeesShort-term residential/nursing care for someone likely to require a longer-term care home placement (pathway 3)</v>
      </c>
      <c r="D1850" t="str">
        <f>VLOOKUP(G1850,PathwayLookup!A:B,2,0)</f>
        <v>Short-term residential/nursing care for someone likely to require a longer-term care home placement (pathway 3)</v>
      </c>
      <c r="E1850" t="s">
        <v>305</v>
      </c>
      <c r="F1850" t="s">
        <v>651</v>
      </c>
      <c r="G1850" t="s">
        <v>686</v>
      </c>
      <c r="H1850">
        <v>8</v>
      </c>
      <c r="I1850">
        <v>10</v>
      </c>
      <c r="J1850">
        <v>10</v>
      </c>
      <c r="K1850">
        <v>9</v>
      </c>
      <c r="L1850">
        <v>9</v>
      </c>
      <c r="M1850">
        <v>9</v>
      </c>
      <c r="N1850">
        <v>9</v>
      </c>
      <c r="O1850">
        <v>10</v>
      </c>
      <c r="P1850">
        <v>10</v>
      </c>
      <c r="Q1850">
        <v>10</v>
      </c>
      <c r="R1850">
        <v>9</v>
      </c>
      <c r="S1850">
        <v>10</v>
      </c>
      <c r="T1850">
        <f t="shared" si="86"/>
        <v>113</v>
      </c>
      <c r="U1850">
        <v>1</v>
      </c>
    </row>
    <row r="1851" spans="1:21" x14ac:dyDescent="0.3">
      <c r="A1851" t="str">
        <f t="shared" si="84"/>
        <v>Stoke-on-TrentSocial support (including VCS) (pathway 0)1</v>
      </c>
      <c r="B1851">
        <f>IF(C1851="","",COUNTIF($C$2:C1851,C1851))</f>
        <v>1</v>
      </c>
      <c r="C1851" t="str">
        <f t="shared" si="85"/>
        <v>Stoke-on-TrentSocial support (including VCS) (pathway 0)</v>
      </c>
      <c r="D1851" t="str">
        <f>VLOOKUP(G1851,PathwayLookup!A:B,2,0)</f>
        <v>Social support (including VCS) (pathway 0)</v>
      </c>
      <c r="E1851" t="s">
        <v>307</v>
      </c>
      <c r="F1851" t="s">
        <v>635</v>
      </c>
      <c r="G1851" t="s">
        <v>682</v>
      </c>
      <c r="H1851">
        <v>2893</v>
      </c>
      <c r="I1851">
        <v>3210</v>
      </c>
      <c r="J1851">
        <v>3092</v>
      </c>
      <c r="K1851">
        <v>3019</v>
      </c>
      <c r="L1851">
        <v>3069</v>
      </c>
      <c r="M1851">
        <v>2973</v>
      </c>
      <c r="N1851">
        <v>3105</v>
      </c>
      <c r="O1851">
        <v>3175</v>
      </c>
      <c r="P1851">
        <v>3179</v>
      </c>
      <c r="Q1851">
        <v>3325</v>
      </c>
      <c r="R1851">
        <v>3100</v>
      </c>
      <c r="S1851">
        <v>3507</v>
      </c>
      <c r="T1851">
        <f t="shared" si="86"/>
        <v>37647</v>
      </c>
      <c r="U1851">
        <v>1</v>
      </c>
    </row>
    <row r="1852" spans="1:21" x14ac:dyDescent="0.3">
      <c r="A1852" t="str">
        <f t="shared" si="84"/>
        <v>Stoke-on-TrentReablement &amp; Rehabilitation at home  (pathway 1)1</v>
      </c>
      <c r="B1852">
        <f>IF(C1852="","",COUNTIF($C$2:C1852,C1852))</f>
        <v>1</v>
      </c>
      <c r="C1852" t="str">
        <f t="shared" si="85"/>
        <v>Stoke-on-TrentReablement at home  (pathway 1)</v>
      </c>
      <c r="D1852" t="str">
        <f>VLOOKUP(G1852,PathwayLookup!A:B,2,0)</f>
        <v>Reablement &amp; Rehabilitation at home  (pathway 1)</v>
      </c>
      <c r="E1852" t="s">
        <v>307</v>
      </c>
      <c r="F1852" t="s">
        <v>635</v>
      </c>
      <c r="G1852" t="s">
        <v>718</v>
      </c>
      <c r="H1852">
        <v>596</v>
      </c>
      <c r="I1852">
        <v>655</v>
      </c>
      <c r="J1852">
        <v>626</v>
      </c>
      <c r="K1852">
        <v>606</v>
      </c>
      <c r="L1852">
        <v>611</v>
      </c>
      <c r="M1852">
        <v>587</v>
      </c>
      <c r="N1852">
        <v>607</v>
      </c>
      <c r="O1852">
        <v>616</v>
      </c>
      <c r="P1852">
        <v>611</v>
      </c>
      <c r="Q1852">
        <v>634</v>
      </c>
      <c r="R1852">
        <v>586</v>
      </c>
      <c r="S1852">
        <v>658</v>
      </c>
      <c r="T1852">
        <f t="shared" si="86"/>
        <v>7393</v>
      </c>
      <c r="U1852">
        <v>1</v>
      </c>
    </row>
    <row r="1853" spans="1:21" x14ac:dyDescent="0.3">
      <c r="A1853" t="str">
        <f t="shared" si="84"/>
        <v/>
      </c>
      <c r="B1853" t="str">
        <f>IF(C1853="","",COUNTIF($C$2:C1853,C1853))</f>
        <v/>
      </c>
      <c r="C1853" t="str">
        <f t="shared" si="85"/>
        <v/>
      </c>
      <c r="D1853" t="str">
        <f>VLOOKUP(G1853,PathwayLookup!A:B,2,0)</f>
        <v>Reablement &amp; Rehabilitation at home  (pathway 1)</v>
      </c>
      <c r="E1853" t="s">
        <v>307</v>
      </c>
      <c r="F1853" t="s">
        <v>635</v>
      </c>
      <c r="G1853" t="s">
        <v>719</v>
      </c>
      <c r="H1853">
        <v>0</v>
      </c>
      <c r="I1853">
        <v>0</v>
      </c>
      <c r="J1853">
        <v>0</v>
      </c>
      <c r="K1853">
        <v>0</v>
      </c>
      <c r="L1853">
        <v>0</v>
      </c>
      <c r="M1853">
        <v>0</v>
      </c>
      <c r="N1853">
        <v>0</v>
      </c>
      <c r="O1853">
        <v>0</v>
      </c>
      <c r="P1853">
        <v>0</v>
      </c>
      <c r="Q1853">
        <v>0</v>
      </c>
      <c r="R1853">
        <v>0</v>
      </c>
      <c r="S1853">
        <v>0</v>
      </c>
      <c r="T1853">
        <f t="shared" si="86"/>
        <v>0</v>
      </c>
      <c r="U1853">
        <v>1</v>
      </c>
    </row>
    <row r="1854" spans="1:21" x14ac:dyDescent="0.3">
      <c r="A1854" t="str">
        <f t="shared" si="84"/>
        <v/>
      </c>
      <c r="B1854" t="str">
        <f>IF(C1854="","",COUNTIF($C$2:C1854,C1854))</f>
        <v/>
      </c>
      <c r="C1854" t="str">
        <f t="shared" si="85"/>
        <v/>
      </c>
      <c r="D1854" t="str">
        <f>VLOOKUP(G1854,PathwayLookup!A:B,2,0)</f>
        <v>Short term domiciliary care (pathway 1)</v>
      </c>
      <c r="E1854" t="s">
        <v>307</v>
      </c>
      <c r="F1854" t="s">
        <v>635</v>
      </c>
      <c r="G1854" t="s">
        <v>684</v>
      </c>
      <c r="H1854">
        <v>0</v>
      </c>
      <c r="I1854">
        <v>0</v>
      </c>
      <c r="J1854">
        <v>0</v>
      </c>
      <c r="K1854">
        <v>0</v>
      </c>
      <c r="L1854">
        <v>0</v>
      </c>
      <c r="M1854">
        <v>0</v>
      </c>
      <c r="N1854">
        <v>0</v>
      </c>
      <c r="O1854">
        <v>0</v>
      </c>
      <c r="P1854">
        <v>0</v>
      </c>
      <c r="Q1854">
        <v>0</v>
      </c>
      <c r="R1854">
        <v>0</v>
      </c>
      <c r="S1854">
        <v>0</v>
      </c>
      <c r="T1854">
        <f t="shared" si="86"/>
        <v>0</v>
      </c>
      <c r="U1854">
        <v>1</v>
      </c>
    </row>
    <row r="1855" spans="1:21" x14ac:dyDescent="0.3">
      <c r="A1855" t="str">
        <f t="shared" si="84"/>
        <v>Stoke-on-TrentReablement &amp; Rehabilitation in a bedded setting (pathway 2)1</v>
      </c>
      <c r="B1855">
        <f>IF(C1855="","",COUNTIF($C$2:C1855,C1855))</f>
        <v>1</v>
      </c>
      <c r="C1855" t="str">
        <f t="shared" si="85"/>
        <v>Stoke-on-TrentReablement in a bedded setting (pathway 2)</v>
      </c>
      <c r="D1855" t="str">
        <f>VLOOKUP(G1855,PathwayLookup!A:B,2,0)</f>
        <v>Reablement &amp; Rehabilitation in a bedded setting (pathway 2)</v>
      </c>
      <c r="E1855" t="s">
        <v>307</v>
      </c>
      <c r="F1855" t="s">
        <v>635</v>
      </c>
      <c r="G1855" t="s">
        <v>722</v>
      </c>
      <c r="H1855">
        <v>125</v>
      </c>
      <c r="I1855">
        <v>141</v>
      </c>
      <c r="J1855">
        <v>138</v>
      </c>
      <c r="K1855">
        <v>136</v>
      </c>
      <c r="L1855">
        <v>141</v>
      </c>
      <c r="M1855">
        <v>138</v>
      </c>
      <c r="N1855">
        <v>146</v>
      </c>
      <c r="O1855">
        <v>151</v>
      </c>
      <c r="P1855">
        <v>153</v>
      </c>
      <c r="Q1855">
        <v>162</v>
      </c>
      <c r="R1855">
        <v>153</v>
      </c>
      <c r="S1855">
        <v>175</v>
      </c>
      <c r="T1855">
        <f t="shared" si="86"/>
        <v>1759</v>
      </c>
      <c r="U1855">
        <v>1</v>
      </c>
    </row>
    <row r="1856" spans="1:21" x14ac:dyDescent="0.3">
      <c r="A1856" t="str">
        <f t="shared" si="84"/>
        <v/>
      </c>
      <c r="B1856" t="str">
        <f>IF(C1856="","",COUNTIF($C$2:C1856,C1856))</f>
        <v/>
      </c>
      <c r="C1856" t="str">
        <f t="shared" si="85"/>
        <v/>
      </c>
      <c r="D1856" t="str">
        <f>VLOOKUP(G1856,PathwayLookup!A:B,2,0)</f>
        <v>Reablement &amp; Rehabilitation in a bedded setting (pathway 2)</v>
      </c>
      <c r="E1856" t="s">
        <v>307</v>
      </c>
      <c r="F1856" t="s">
        <v>635</v>
      </c>
      <c r="G1856" t="s">
        <v>724</v>
      </c>
      <c r="H1856">
        <v>0</v>
      </c>
      <c r="I1856">
        <v>0</v>
      </c>
      <c r="J1856">
        <v>0</v>
      </c>
      <c r="K1856">
        <v>0</v>
      </c>
      <c r="L1856">
        <v>0</v>
      </c>
      <c r="M1856">
        <v>0</v>
      </c>
      <c r="N1856">
        <v>0</v>
      </c>
      <c r="O1856">
        <v>0</v>
      </c>
      <c r="P1856">
        <v>0</v>
      </c>
      <c r="Q1856">
        <v>0</v>
      </c>
      <c r="R1856">
        <v>0</v>
      </c>
      <c r="S1856">
        <v>0</v>
      </c>
      <c r="T1856">
        <f t="shared" si="86"/>
        <v>0</v>
      </c>
      <c r="U1856">
        <v>1</v>
      </c>
    </row>
    <row r="1857" spans="1:21" x14ac:dyDescent="0.3">
      <c r="A1857" t="str">
        <f t="shared" si="84"/>
        <v>Stoke-on-TrentShort-term residential/nursing care for someone likely to require a longer-term care home placement (pathway 3)1</v>
      </c>
      <c r="B1857">
        <f>IF(C1857="","",COUNTIF($C$2:C1857,C1857))</f>
        <v>1</v>
      </c>
      <c r="C1857" t="str">
        <f t="shared" si="85"/>
        <v>Stoke-on-TrentShort-term residential/nursing care for someone likely to require a longer-term care home placement (pathway 3)</v>
      </c>
      <c r="D1857" t="str">
        <f>VLOOKUP(G1857,PathwayLookup!A:B,2,0)</f>
        <v>Short-term residential/nursing care for someone likely to require a longer-term care home placement (pathway 3)</v>
      </c>
      <c r="E1857" t="s">
        <v>307</v>
      </c>
      <c r="F1857" t="s">
        <v>635</v>
      </c>
      <c r="G1857" t="s">
        <v>686</v>
      </c>
      <c r="H1857">
        <v>213</v>
      </c>
      <c r="I1857">
        <v>218</v>
      </c>
      <c r="J1857">
        <v>192</v>
      </c>
      <c r="K1857">
        <v>170</v>
      </c>
      <c r="L1857">
        <v>155</v>
      </c>
      <c r="M1857">
        <v>134</v>
      </c>
      <c r="N1857">
        <v>123</v>
      </c>
      <c r="O1857">
        <v>108</v>
      </c>
      <c r="P1857">
        <v>91</v>
      </c>
      <c r="Q1857">
        <v>77</v>
      </c>
      <c r="R1857">
        <v>55</v>
      </c>
      <c r="S1857">
        <v>44</v>
      </c>
      <c r="T1857">
        <f t="shared" si="86"/>
        <v>1580</v>
      </c>
      <c r="U1857">
        <v>1</v>
      </c>
    </row>
    <row r="1858" spans="1:21" x14ac:dyDescent="0.3">
      <c r="A1858" t="str">
        <f t="shared" ref="A1858:A1921" si="87">IF(B1858="","",E1858&amp;D1858&amp;B1858)</f>
        <v>SuffolkSocial support (including VCS) (pathway 0)1</v>
      </c>
      <c r="B1858">
        <f>IF(C1858="","",COUNTIF($C$2:C1858,C1858))</f>
        <v>1</v>
      </c>
      <c r="C1858" t="str">
        <f t="shared" ref="C1858:C1921" si="88">IF(T1858=0,"",E1858&amp;G1858)</f>
        <v>SuffolkSocial support (including VCS) (pathway 0)</v>
      </c>
      <c r="D1858" t="str">
        <f>VLOOKUP(G1858,PathwayLookup!A:B,2,0)</f>
        <v>Social support (including VCS) (pathway 0)</v>
      </c>
      <c r="E1858" t="s">
        <v>309</v>
      </c>
      <c r="F1858" t="s">
        <v>522</v>
      </c>
      <c r="G1858" t="s">
        <v>682</v>
      </c>
      <c r="H1858">
        <v>526</v>
      </c>
      <c r="I1858">
        <v>510</v>
      </c>
      <c r="J1858">
        <v>524</v>
      </c>
      <c r="K1858">
        <v>571</v>
      </c>
      <c r="L1858">
        <v>543</v>
      </c>
      <c r="M1858">
        <v>496</v>
      </c>
      <c r="N1858">
        <v>446</v>
      </c>
      <c r="O1858">
        <v>467</v>
      </c>
      <c r="P1858">
        <v>552</v>
      </c>
      <c r="Q1858">
        <v>457</v>
      </c>
      <c r="R1858">
        <v>427</v>
      </c>
      <c r="S1858">
        <v>458</v>
      </c>
      <c r="T1858">
        <f t="shared" ref="T1858:T1921" si="89">SUM(H1858:S1858)</f>
        <v>5977</v>
      </c>
      <c r="U1858">
        <v>1</v>
      </c>
    </row>
    <row r="1859" spans="1:21" x14ac:dyDescent="0.3">
      <c r="A1859" t="str">
        <f t="shared" si="87"/>
        <v>SuffolkReablement &amp; Rehabilitation at home  (pathway 1)1</v>
      </c>
      <c r="B1859">
        <f>IF(C1859="","",COUNTIF($C$2:C1859,C1859))</f>
        <v>1</v>
      </c>
      <c r="C1859" t="str">
        <f t="shared" si="88"/>
        <v>SuffolkReablement at home  (pathway 1)</v>
      </c>
      <c r="D1859" t="str">
        <f>VLOOKUP(G1859,PathwayLookup!A:B,2,0)</f>
        <v>Reablement &amp; Rehabilitation at home  (pathway 1)</v>
      </c>
      <c r="E1859" t="s">
        <v>309</v>
      </c>
      <c r="F1859" t="s">
        <v>498</v>
      </c>
      <c r="G1859" t="s">
        <v>718</v>
      </c>
      <c r="H1859">
        <v>210</v>
      </c>
      <c r="I1859">
        <v>218</v>
      </c>
      <c r="J1859">
        <v>235</v>
      </c>
      <c r="K1859">
        <v>203</v>
      </c>
      <c r="L1859">
        <v>218</v>
      </c>
      <c r="M1859">
        <v>233</v>
      </c>
      <c r="N1859">
        <v>233</v>
      </c>
      <c r="O1859">
        <v>216</v>
      </c>
      <c r="P1859">
        <v>199</v>
      </c>
      <c r="Q1859">
        <v>239</v>
      </c>
      <c r="R1859">
        <v>233</v>
      </c>
      <c r="S1859">
        <v>238</v>
      </c>
      <c r="T1859">
        <f t="shared" si="89"/>
        <v>2675</v>
      </c>
      <c r="U1859">
        <v>1</v>
      </c>
    </row>
    <row r="1860" spans="1:21" x14ac:dyDescent="0.3">
      <c r="A1860" t="str">
        <f t="shared" si="87"/>
        <v>SuffolkReablement &amp; Rehabilitation at home  (pathway 1)2</v>
      </c>
      <c r="B1860">
        <f>IF(C1860="","",COUNTIF($C$2:C1860,C1860))</f>
        <v>2</v>
      </c>
      <c r="C1860" t="str">
        <f t="shared" si="88"/>
        <v>SuffolkReablement at home  (pathway 1)</v>
      </c>
      <c r="D1860" t="str">
        <f>VLOOKUP(G1860,PathwayLookup!A:B,2,0)</f>
        <v>Reablement &amp; Rehabilitation at home  (pathway 1)</v>
      </c>
      <c r="E1860" t="s">
        <v>309</v>
      </c>
      <c r="F1860" t="s">
        <v>522</v>
      </c>
      <c r="G1860" t="s">
        <v>718</v>
      </c>
      <c r="H1860">
        <v>77</v>
      </c>
      <c r="I1860">
        <v>87</v>
      </c>
      <c r="J1860">
        <v>76</v>
      </c>
      <c r="K1860">
        <v>88</v>
      </c>
      <c r="L1860">
        <v>101</v>
      </c>
      <c r="M1860">
        <v>82</v>
      </c>
      <c r="N1860">
        <v>85</v>
      </c>
      <c r="O1860">
        <v>90</v>
      </c>
      <c r="P1860">
        <v>99</v>
      </c>
      <c r="Q1860">
        <v>82</v>
      </c>
      <c r="R1860">
        <v>70</v>
      </c>
      <c r="S1860">
        <v>94</v>
      </c>
      <c r="T1860">
        <f t="shared" si="89"/>
        <v>1031</v>
      </c>
      <c r="U1860">
        <v>1</v>
      </c>
    </row>
    <row r="1861" spans="1:21" x14ac:dyDescent="0.3">
      <c r="A1861" t="str">
        <f t="shared" si="87"/>
        <v>SuffolkReablement &amp; Rehabilitation at home  (pathway 1)3</v>
      </c>
      <c r="B1861">
        <f>IF(C1861="","",COUNTIF($C$2:C1861,C1861))</f>
        <v>3</v>
      </c>
      <c r="C1861" t="str">
        <f t="shared" si="88"/>
        <v>SuffolkReablement at home  (pathway 1)</v>
      </c>
      <c r="D1861" t="str">
        <f>VLOOKUP(G1861,PathwayLookup!A:B,2,0)</f>
        <v>Reablement &amp; Rehabilitation at home  (pathway 1)</v>
      </c>
      <c r="E1861" t="s">
        <v>309</v>
      </c>
      <c r="F1861" t="s">
        <v>642</v>
      </c>
      <c r="G1861" t="s">
        <v>718</v>
      </c>
      <c r="H1861">
        <v>137</v>
      </c>
      <c r="I1861">
        <v>158</v>
      </c>
      <c r="J1861">
        <v>163</v>
      </c>
      <c r="K1861">
        <v>149</v>
      </c>
      <c r="L1861">
        <v>159</v>
      </c>
      <c r="M1861">
        <v>150</v>
      </c>
      <c r="N1861">
        <v>162</v>
      </c>
      <c r="O1861">
        <v>160</v>
      </c>
      <c r="P1861">
        <v>160</v>
      </c>
      <c r="Q1861">
        <v>170</v>
      </c>
      <c r="R1861">
        <v>169</v>
      </c>
      <c r="S1861">
        <v>159</v>
      </c>
      <c r="T1861">
        <f t="shared" si="89"/>
        <v>1896</v>
      </c>
      <c r="U1861">
        <v>1</v>
      </c>
    </row>
    <row r="1862" spans="1:21" x14ac:dyDescent="0.3">
      <c r="A1862" t="str">
        <f t="shared" si="87"/>
        <v>SuffolkReablement &amp; Rehabilitation at home  (pathway 1)1</v>
      </c>
      <c r="B1862">
        <f>IF(C1862="","",COUNTIF($C$2:C1862,C1862))</f>
        <v>1</v>
      </c>
      <c r="C1862" t="str">
        <f t="shared" si="88"/>
        <v>SuffolkRehabilitation at home (pathway 1)</v>
      </c>
      <c r="D1862" t="str">
        <f>VLOOKUP(G1862,PathwayLookup!A:B,2,0)</f>
        <v>Reablement &amp; Rehabilitation at home  (pathway 1)</v>
      </c>
      <c r="E1862" t="s">
        <v>309</v>
      </c>
      <c r="F1862" t="s">
        <v>498</v>
      </c>
      <c r="G1862" t="s">
        <v>719</v>
      </c>
      <c r="H1862">
        <v>259</v>
      </c>
      <c r="I1862">
        <v>245</v>
      </c>
      <c r="J1862">
        <v>244</v>
      </c>
      <c r="K1862">
        <v>219</v>
      </c>
      <c r="L1862">
        <v>229</v>
      </c>
      <c r="M1862">
        <v>221</v>
      </c>
      <c r="N1862">
        <v>235</v>
      </c>
      <c r="O1862">
        <v>213</v>
      </c>
      <c r="P1862">
        <v>225</v>
      </c>
      <c r="Q1862">
        <v>270</v>
      </c>
      <c r="R1862">
        <v>234</v>
      </c>
      <c r="S1862">
        <v>267</v>
      </c>
      <c r="T1862">
        <f t="shared" si="89"/>
        <v>2861</v>
      </c>
      <c r="U1862">
        <v>1</v>
      </c>
    </row>
    <row r="1863" spans="1:21" x14ac:dyDescent="0.3">
      <c r="A1863" t="str">
        <f t="shared" si="87"/>
        <v/>
      </c>
      <c r="B1863" t="str">
        <f>IF(C1863="","",COUNTIF($C$2:C1863,C1863))</f>
        <v/>
      </c>
      <c r="C1863" t="str">
        <f t="shared" si="88"/>
        <v/>
      </c>
      <c r="D1863" t="str">
        <f>VLOOKUP(G1863,PathwayLookup!A:B,2,0)</f>
        <v>Reablement &amp; Rehabilitation at home  (pathway 1)</v>
      </c>
      <c r="E1863" t="s">
        <v>309</v>
      </c>
      <c r="F1863" t="s">
        <v>522</v>
      </c>
      <c r="G1863" t="s">
        <v>719</v>
      </c>
      <c r="H1863">
        <v>0</v>
      </c>
      <c r="I1863">
        <v>0</v>
      </c>
      <c r="J1863">
        <v>0</v>
      </c>
      <c r="K1863">
        <v>0</v>
      </c>
      <c r="L1863">
        <v>0</v>
      </c>
      <c r="M1863">
        <v>0</v>
      </c>
      <c r="N1863">
        <v>0</v>
      </c>
      <c r="O1863">
        <v>0</v>
      </c>
      <c r="P1863">
        <v>0</v>
      </c>
      <c r="Q1863">
        <v>0</v>
      </c>
      <c r="R1863">
        <v>0</v>
      </c>
      <c r="S1863">
        <v>0</v>
      </c>
      <c r="T1863">
        <f t="shared" si="89"/>
        <v>0</v>
      </c>
      <c r="U1863">
        <v>1</v>
      </c>
    </row>
    <row r="1864" spans="1:21" x14ac:dyDescent="0.3">
      <c r="A1864" t="str">
        <f t="shared" si="87"/>
        <v>SuffolkReablement &amp; Rehabilitation at home  (pathway 1)2</v>
      </c>
      <c r="B1864">
        <f>IF(C1864="","",COUNTIF($C$2:C1864,C1864))</f>
        <v>2</v>
      </c>
      <c r="C1864" t="str">
        <f t="shared" si="88"/>
        <v>SuffolkRehabilitation at home (pathway 1)</v>
      </c>
      <c r="D1864" t="str">
        <f>VLOOKUP(G1864,PathwayLookup!A:B,2,0)</f>
        <v>Reablement &amp; Rehabilitation at home  (pathway 1)</v>
      </c>
      <c r="E1864" t="s">
        <v>309</v>
      </c>
      <c r="F1864" t="s">
        <v>642</v>
      </c>
      <c r="G1864" t="s">
        <v>719</v>
      </c>
      <c r="H1864">
        <v>99</v>
      </c>
      <c r="I1864">
        <v>98</v>
      </c>
      <c r="J1864">
        <v>79</v>
      </c>
      <c r="K1864">
        <v>96</v>
      </c>
      <c r="L1864">
        <v>90</v>
      </c>
      <c r="M1864">
        <v>95</v>
      </c>
      <c r="N1864">
        <v>114</v>
      </c>
      <c r="O1864">
        <v>116</v>
      </c>
      <c r="P1864">
        <v>91</v>
      </c>
      <c r="Q1864">
        <v>118</v>
      </c>
      <c r="R1864">
        <v>112</v>
      </c>
      <c r="S1864">
        <v>115</v>
      </c>
      <c r="T1864">
        <f t="shared" si="89"/>
        <v>1223</v>
      </c>
      <c r="U1864">
        <v>1</v>
      </c>
    </row>
    <row r="1865" spans="1:21" x14ac:dyDescent="0.3">
      <c r="A1865" t="str">
        <f t="shared" si="87"/>
        <v>SuffolkShort term domiciliary care (pathway 1)1</v>
      </c>
      <c r="B1865">
        <f>IF(C1865="","",COUNTIF($C$2:C1865,C1865))</f>
        <v>1</v>
      </c>
      <c r="C1865" t="str">
        <f t="shared" si="88"/>
        <v>SuffolkShort term domiciliary care (pathway 1)</v>
      </c>
      <c r="D1865" t="str">
        <f>VLOOKUP(G1865,PathwayLookup!A:B,2,0)</f>
        <v>Short term domiciliary care (pathway 1)</v>
      </c>
      <c r="E1865" t="s">
        <v>309</v>
      </c>
      <c r="F1865" t="s">
        <v>498</v>
      </c>
      <c r="G1865" t="s">
        <v>684</v>
      </c>
      <c r="H1865">
        <v>135</v>
      </c>
      <c r="I1865">
        <v>151</v>
      </c>
      <c r="J1865">
        <v>154</v>
      </c>
      <c r="K1865">
        <v>150</v>
      </c>
      <c r="L1865">
        <v>147</v>
      </c>
      <c r="M1865">
        <v>138</v>
      </c>
      <c r="N1865">
        <v>155</v>
      </c>
      <c r="O1865">
        <v>167</v>
      </c>
      <c r="P1865">
        <v>145</v>
      </c>
      <c r="Q1865">
        <v>136</v>
      </c>
      <c r="R1865">
        <v>128</v>
      </c>
      <c r="S1865">
        <v>139</v>
      </c>
      <c r="T1865">
        <f t="shared" si="89"/>
        <v>1745</v>
      </c>
      <c r="U1865">
        <v>1</v>
      </c>
    </row>
    <row r="1866" spans="1:21" x14ac:dyDescent="0.3">
      <c r="A1866" t="str">
        <f t="shared" si="87"/>
        <v>SuffolkShort term domiciliary care (pathway 1)2</v>
      </c>
      <c r="B1866">
        <f>IF(C1866="","",COUNTIF($C$2:C1866,C1866))</f>
        <v>2</v>
      </c>
      <c r="C1866" t="str">
        <f t="shared" si="88"/>
        <v>SuffolkShort term domiciliary care (pathway 1)</v>
      </c>
      <c r="D1866" t="str">
        <f>VLOOKUP(G1866,PathwayLookup!A:B,2,0)</f>
        <v>Short term domiciliary care (pathway 1)</v>
      </c>
      <c r="E1866" t="s">
        <v>309</v>
      </c>
      <c r="F1866" t="s">
        <v>522</v>
      </c>
      <c r="G1866" t="s">
        <v>684</v>
      </c>
      <c r="H1866">
        <v>45</v>
      </c>
      <c r="I1866">
        <v>49</v>
      </c>
      <c r="J1866">
        <v>49</v>
      </c>
      <c r="K1866">
        <v>51</v>
      </c>
      <c r="L1866">
        <v>54</v>
      </c>
      <c r="M1866">
        <v>45</v>
      </c>
      <c r="N1866">
        <v>45</v>
      </c>
      <c r="O1866">
        <v>47</v>
      </c>
      <c r="P1866">
        <v>46</v>
      </c>
      <c r="Q1866">
        <v>43</v>
      </c>
      <c r="R1866">
        <v>44</v>
      </c>
      <c r="S1866">
        <v>46</v>
      </c>
      <c r="T1866">
        <f t="shared" si="89"/>
        <v>564</v>
      </c>
      <c r="U1866">
        <v>1</v>
      </c>
    </row>
    <row r="1867" spans="1:21" x14ac:dyDescent="0.3">
      <c r="A1867" t="str">
        <f t="shared" si="87"/>
        <v>SuffolkShort term domiciliary care (pathway 1)3</v>
      </c>
      <c r="B1867">
        <f>IF(C1867="","",COUNTIF($C$2:C1867,C1867))</f>
        <v>3</v>
      </c>
      <c r="C1867" t="str">
        <f t="shared" si="88"/>
        <v>SuffolkShort term domiciliary care (pathway 1)</v>
      </c>
      <c r="D1867" t="str">
        <f>VLOOKUP(G1867,PathwayLookup!A:B,2,0)</f>
        <v>Short term domiciliary care (pathway 1)</v>
      </c>
      <c r="E1867" t="s">
        <v>309</v>
      </c>
      <c r="F1867" t="s">
        <v>642</v>
      </c>
      <c r="G1867" t="s">
        <v>684</v>
      </c>
      <c r="H1867">
        <v>27</v>
      </c>
      <c r="I1867">
        <v>22</v>
      </c>
      <c r="J1867">
        <v>24</v>
      </c>
      <c r="K1867">
        <v>24</v>
      </c>
      <c r="L1867">
        <v>23</v>
      </c>
      <c r="M1867">
        <v>20</v>
      </c>
      <c r="N1867">
        <v>17</v>
      </c>
      <c r="O1867">
        <v>25</v>
      </c>
      <c r="P1867">
        <v>33</v>
      </c>
      <c r="Q1867">
        <v>31</v>
      </c>
      <c r="R1867">
        <v>24</v>
      </c>
      <c r="S1867">
        <v>28</v>
      </c>
      <c r="T1867">
        <f t="shared" si="89"/>
        <v>298</v>
      </c>
      <c r="U1867">
        <v>1</v>
      </c>
    </row>
    <row r="1868" spans="1:21" x14ac:dyDescent="0.3">
      <c r="A1868" t="str">
        <f t="shared" si="87"/>
        <v>SuffolkReablement &amp; Rehabilitation in a bedded setting (pathway 2)1</v>
      </c>
      <c r="B1868">
        <f>IF(C1868="","",COUNTIF($C$2:C1868,C1868))</f>
        <v>1</v>
      </c>
      <c r="C1868" t="str">
        <f t="shared" si="88"/>
        <v>SuffolkReablement in a bedded setting (pathway 2)</v>
      </c>
      <c r="D1868" t="str">
        <f>VLOOKUP(G1868,PathwayLookup!A:B,2,0)</f>
        <v>Reablement &amp; Rehabilitation in a bedded setting (pathway 2)</v>
      </c>
      <c r="E1868" t="s">
        <v>309</v>
      </c>
      <c r="F1868" t="s">
        <v>498</v>
      </c>
      <c r="G1868" t="s">
        <v>722</v>
      </c>
      <c r="H1868">
        <v>2</v>
      </c>
      <c r="I1868">
        <v>2</v>
      </c>
      <c r="J1868">
        <v>2</v>
      </c>
      <c r="K1868">
        <v>2</v>
      </c>
      <c r="L1868">
        <v>2</v>
      </c>
      <c r="M1868">
        <v>2</v>
      </c>
      <c r="N1868">
        <v>2</v>
      </c>
      <c r="O1868">
        <v>2</v>
      </c>
      <c r="P1868">
        <v>2</v>
      </c>
      <c r="Q1868">
        <v>2</v>
      </c>
      <c r="R1868">
        <v>2</v>
      </c>
      <c r="S1868">
        <v>2</v>
      </c>
      <c r="T1868">
        <f t="shared" si="89"/>
        <v>24</v>
      </c>
      <c r="U1868">
        <v>1</v>
      </c>
    </row>
    <row r="1869" spans="1:21" x14ac:dyDescent="0.3">
      <c r="A1869" t="str">
        <f t="shared" si="87"/>
        <v/>
      </c>
      <c r="B1869" t="str">
        <f>IF(C1869="","",COUNTIF($C$2:C1869,C1869))</f>
        <v/>
      </c>
      <c r="C1869" t="str">
        <f t="shared" si="88"/>
        <v/>
      </c>
      <c r="D1869" t="str">
        <f>VLOOKUP(G1869,PathwayLookup!A:B,2,0)</f>
        <v>Reablement &amp; Rehabilitation in a bedded setting (pathway 2)</v>
      </c>
      <c r="E1869" t="s">
        <v>309</v>
      </c>
      <c r="F1869" t="s">
        <v>522</v>
      </c>
      <c r="G1869" t="s">
        <v>722</v>
      </c>
      <c r="H1869">
        <v>0</v>
      </c>
      <c r="I1869">
        <v>0</v>
      </c>
      <c r="J1869">
        <v>0</v>
      </c>
      <c r="K1869">
        <v>0</v>
      </c>
      <c r="L1869">
        <v>0</v>
      </c>
      <c r="M1869">
        <v>0</v>
      </c>
      <c r="N1869">
        <v>0</v>
      </c>
      <c r="O1869">
        <v>0</v>
      </c>
      <c r="P1869">
        <v>0</v>
      </c>
      <c r="Q1869">
        <v>0</v>
      </c>
      <c r="R1869">
        <v>0</v>
      </c>
      <c r="S1869">
        <v>0</v>
      </c>
      <c r="T1869">
        <f t="shared" si="89"/>
        <v>0</v>
      </c>
      <c r="U1869">
        <v>1</v>
      </c>
    </row>
    <row r="1870" spans="1:21" x14ac:dyDescent="0.3">
      <c r="A1870" t="str">
        <f t="shared" si="87"/>
        <v>SuffolkReablement &amp; Rehabilitation in a bedded setting (pathway 2)2</v>
      </c>
      <c r="B1870">
        <f>IF(C1870="","",COUNTIF($C$2:C1870,C1870))</f>
        <v>2</v>
      </c>
      <c r="C1870" t="str">
        <f t="shared" si="88"/>
        <v>SuffolkReablement in a bedded setting (pathway 2)</v>
      </c>
      <c r="D1870" t="str">
        <f>VLOOKUP(G1870,PathwayLookup!A:B,2,0)</f>
        <v>Reablement &amp; Rehabilitation in a bedded setting (pathway 2)</v>
      </c>
      <c r="E1870" t="s">
        <v>309</v>
      </c>
      <c r="F1870" t="s">
        <v>642</v>
      </c>
      <c r="G1870" t="s">
        <v>722</v>
      </c>
      <c r="H1870">
        <v>25</v>
      </c>
      <c r="I1870">
        <v>27</v>
      </c>
      <c r="J1870">
        <v>37</v>
      </c>
      <c r="K1870">
        <v>26</v>
      </c>
      <c r="L1870">
        <v>17</v>
      </c>
      <c r="M1870">
        <v>26</v>
      </c>
      <c r="N1870">
        <v>17</v>
      </c>
      <c r="O1870">
        <v>29</v>
      </c>
      <c r="P1870">
        <v>46</v>
      </c>
      <c r="Q1870">
        <v>22</v>
      </c>
      <c r="R1870">
        <v>15</v>
      </c>
      <c r="S1870">
        <v>32</v>
      </c>
      <c r="T1870">
        <f t="shared" si="89"/>
        <v>319</v>
      </c>
      <c r="U1870">
        <v>1</v>
      </c>
    </row>
    <row r="1871" spans="1:21" x14ac:dyDescent="0.3">
      <c r="A1871" t="str">
        <f t="shared" si="87"/>
        <v>SuffolkReablement &amp; Rehabilitation in a bedded setting (pathway 2)1</v>
      </c>
      <c r="B1871">
        <f>IF(C1871="","",COUNTIF($C$2:C1871,C1871))</f>
        <v>1</v>
      </c>
      <c r="C1871" t="str">
        <f t="shared" si="88"/>
        <v>SuffolkRehabilitation in a bedded setting (pathway 2)</v>
      </c>
      <c r="D1871" t="str">
        <f>VLOOKUP(G1871,PathwayLookup!A:B,2,0)</f>
        <v>Reablement &amp; Rehabilitation in a bedded setting (pathway 2)</v>
      </c>
      <c r="E1871" t="s">
        <v>309</v>
      </c>
      <c r="F1871" t="s">
        <v>498</v>
      </c>
      <c r="G1871" t="s">
        <v>724</v>
      </c>
      <c r="H1871">
        <v>173</v>
      </c>
      <c r="I1871">
        <v>159</v>
      </c>
      <c r="J1871">
        <v>134</v>
      </c>
      <c r="K1871">
        <v>130</v>
      </c>
      <c r="L1871">
        <v>159</v>
      </c>
      <c r="M1871">
        <v>142</v>
      </c>
      <c r="N1871">
        <v>155</v>
      </c>
      <c r="O1871">
        <v>162</v>
      </c>
      <c r="P1871">
        <v>140</v>
      </c>
      <c r="Q1871">
        <v>164</v>
      </c>
      <c r="R1871">
        <v>157</v>
      </c>
      <c r="S1871">
        <v>195</v>
      </c>
      <c r="T1871">
        <f t="shared" si="89"/>
        <v>1870</v>
      </c>
      <c r="U1871">
        <v>1</v>
      </c>
    </row>
    <row r="1872" spans="1:21" x14ac:dyDescent="0.3">
      <c r="A1872" t="str">
        <f t="shared" si="87"/>
        <v>SuffolkReablement &amp; Rehabilitation in a bedded setting (pathway 2)2</v>
      </c>
      <c r="B1872">
        <f>IF(C1872="","",COUNTIF($C$2:C1872,C1872))</f>
        <v>2</v>
      </c>
      <c r="C1872" t="str">
        <f t="shared" si="88"/>
        <v>SuffolkRehabilitation in a bedded setting (pathway 2)</v>
      </c>
      <c r="D1872" t="str">
        <f>VLOOKUP(G1872,PathwayLookup!A:B,2,0)</f>
        <v>Reablement &amp; Rehabilitation in a bedded setting (pathway 2)</v>
      </c>
      <c r="E1872" t="s">
        <v>309</v>
      </c>
      <c r="F1872" t="s">
        <v>522</v>
      </c>
      <c r="G1872" t="s">
        <v>724</v>
      </c>
      <c r="H1872">
        <v>20</v>
      </c>
      <c r="I1872">
        <v>22</v>
      </c>
      <c r="J1872">
        <v>28</v>
      </c>
      <c r="K1872">
        <v>11</v>
      </c>
      <c r="L1872">
        <v>7</v>
      </c>
      <c r="M1872">
        <v>9</v>
      </c>
      <c r="N1872">
        <v>10</v>
      </c>
      <c r="O1872">
        <v>19</v>
      </c>
      <c r="P1872">
        <v>12</v>
      </c>
      <c r="Q1872">
        <v>9</v>
      </c>
      <c r="R1872">
        <v>9</v>
      </c>
      <c r="S1872">
        <v>14</v>
      </c>
      <c r="T1872">
        <f t="shared" si="89"/>
        <v>170</v>
      </c>
      <c r="U1872">
        <v>1</v>
      </c>
    </row>
    <row r="1873" spans="1:21" x14ac:dyDescent="0.3">
      <c r="A1873" t="str">
        <f t="shared" si="87"/>
        <v>SuffolkReablement &amp; Rehabilitation in a bedded setting (pathway 2)3</v>
      </c>
      <c r="B1873">
        <f>IF(C1873="","",COUNTIF($C$2:C1873,C1873))</f>
        <v>3</v>
      </c>
      <c r="C1873" t="str">
        <f t="shared" si="88"/>
        <v>SuffolkRehabilitation in a bedded setting (pathway 2)</v>
      </c>
      <c r="D1873" t="str">
        <f>VLOOKUP(G1873,PathwayLookup!A:B,2,0)</f>
        <v>Reablement &amp; Rehabilitation in a bedded setting (pathway 2)</v>
      </c>
      <c r="E1873" t="s">
        <v>309</v>
      </c>
      <c r="F1873" t="s">
        <v>642</v>
      </c>
      <c r="G1873" t="s">
        <v>724</v>
      </c>
      <c r="H1873">
        <v>77</v>
      </c>
      <c r="I1873">
        <v>49</v>
      </c>
      <c r="J1873">
        <v>84</v>
      </c>
      <c r="K1873">
        <v>86</v>
      </c>
      <c r="L1873">
        <v>85</v>
      </c>
      <c r="M1873">
        <v>80</v>
      </c>
      <c r="N1873">
        <v>81</v>
      </c>
      <c r="O1873">
        <v>87</v>
      </c>
      <c r="P1873">
        <v>87</v>
      </c>
      <c r="Q1873">
        <v>70</v>
      </c>
      <c r="R1873">
        <v>84</v>
      </c>
      <c r="S1873">
        <v>99</v>
      </c>
      <c r="T1873">
        <f t="shared" si="89"/>
        <v>969</v>
      </c>
      <c r="U1873">
        <v>1</v>
      </c>
    </row>
    <row r="1874" spans="1:21" x14ac:dyDescent="0.3">
      <c r="A1874" t="str">
        <f t="shared" si="87"/>
        <v>SuffolkShort-term residential/nursing care for someone likely to require a longer-term care home placement (pathway 3)1</v>
      </c>
      <c r="B1874">
        <f>IF(C1874="","",COUNTIF($C$2:C1874,C1874))</f>
        <v>1</v>
      </c>
      <c r="C1874" t="str">
        <f t="shared" si="88"/>
        <v>SuffolkShort-term residential/nursing care for someone likely to require a longer-term care home placement (pathway 3)</v>
      </c>
      <c r="D1874" t="str">
        <f>VLOOKUP(G1874,PathwayLookup!A:B,2,0)</f>
        <v>Short-term residential/nursing care for someone likely to require a longer-term care home placement (pathway 3)</v>
      </c>
      <c r="E1874" t="s">
        <v>309</v>
      </c>
      <c r="F1874" t="s">
        <v>498</v>
      </c>
      <c r="G1874" t="s">
        <v>686</v>
      </c>
      <c r="H1874">
        <v>108</v>
      </c>
      <c r="I1874">
        <v>142</v>
      </c>
      <c r="J1874">
        <v>139</v>
      </c>
      <c r="K1874">
        <v>144</v>
      </c>
      <c r="L1874">
        <v>168</v>
      </c>
      <c r="M1874">
        <v>157</v>
      </c>
      <c r="N1874">
        <v>114</v>
      </c>
      <c r="O1874">
        <v>153</v>
      </c>
      <c r="P1874">
        <v>153</v>
      </c>
      <c r="Q1874">
        <v>168</v>
      </c>
      <c r="R1874">
        <v>133</v>
      </c>
      <c r="S1874">
        <v>145</v>
      </c>
      <c r="T1874">
        <f t="shared" si="89"/>
        <v>1724</v>
      </c>
      <c r="U1874">
        <v>1</v>
      </c>
    </row>
    <row r="1875" spans="1:21" x14ac:dyDescent="0.3">
      <c r="A1875" t="str">
        <f t="shared" si="87"/>
        <v>SuffolkShort-term residential/nursing care for someone likely to require a longer-term care home placement (pathway 3)2</v>
      </c>
      <c r="B1875">
        <f>IF(C1875="","",COUNTIF($C$2:C1875,C1875))</f>
        <v>2</v>
      </c>
      <c r="C1875" t="str">
        <f t="shared" si="88"/>
        <v>SuffolkShort-term residential/nursing care for someone likely to require a longer-term care home placement (pathway 3)</v>
      </c>
      <c r="D1875" t="str">
        <f>VLOOKUP(G1875,PathwayLookup!A:B,2,0)</f>
        <v>Short-term residential/nursing care for someone likely to require a longer-term care home placement (pathway 3)</v>
      </c>
      <c r="E1875" t="s">
        <v>309</v>
      </c>
      <c r="F1875" t="s">
        <v>522</v>
      </c>
      <c r="G1875" t="s">
        <v>686</v>
      </c>
      <c r="H1875">
        <v>5</v>
      </c>
      <c r="I1875">
        <v>7</v>
      </c>
      <c r="J1875">
        <v>2</v>
      </c>
      <c r="K1875">
        <v>8</v>
      </c>
      <c r="L1875">
        <v>2</v>
      </c>
      <c r="M1875">
        <v>4</v>
      </c>
      <c r="N1875">
        <v>3</v>
      </c>
      <c r="O1875">
        <v>7</v>
      </c>
      <c r="P1875">
        <v>4</v>
      </c>
      <c r="Q1875">
        <v>5</v>
      </c>
      <c r="R1875">
        <v>5</v>
      </c>
      <c r="S1875">
        <v>7</v>
      </c>
      <c r="T1875">
        <f t="shared" si="89"/>
        <v>59</v>
      </c>
      <c r="U1875">
        <v>1</v>
      </c>
    </row>
    <row r="1876" spans="1:21" x14ac:dyDescent="0.3">
      <c r="A1876" t="str">
        <f t="shared" si="87"/>
        <v>SuffolkShort-term residential/nursing care for someone likely to require a longer-term care home placement (pathway 3)3</v>
      </c>
      <c r="B1876">
        <f>IF(C1876="","",COUNTIF($C$2:C1876,C1876))</f>
        <v>3</v>
      </c>
      <c r="C1876" t="str">
        <f t="shared" si="88"/>
        <v>SuffolkShort-term residential/nursing care for someone likely to require a longer-term care home placement (pathway 3)</v>
      </c>
      <c r="D1876" t="str">
        <f>VLOOKUP(G1876,PathwayLookup!A:B,2,0)</f>
        <v>Short-term residential/nursing care for someone likely to require a longer-term care home placement (pathway 3)</v>
      </c>
      <c r="E1876" t="s">
        <v>309</v>
      </c>
      <c r="F1876" t="s">
        <v>642</v>
      </c>
      <c r="G1876" t="s">
        <v>686</v>
      </c>
      <c r="H1876">
        <v>19</v>
      </c>
      <c r="I1876">
        <v>21</v>
      </c>
      <c r="J1876">
        <v>11</v>
      </c>
      <c r="K1876">
        <v>16</v>
      </c>
      <c r="L1876">
        <v>21</v>
      </c>
      <c r="M1876">
        <v>18</v>
      </c>
      <c r="N1876">
        <v>21</v>
      </c>
      <c r="O1876">
        <v>14</v>
      </c>
      <c r="P1876">
        <v>32</v>
      </c>
      <c r="Q1876">
        <v>21</v>
      </c>
      <c r="R1876">
        <v>14</v>
      </c>
      <c r="S1876">
        <v>30</v>
      </c>
      <c r="T1876">
        <f t="shared" si="89"/>
        <v>238</v>
      </c>
      <c r="U1876">
        <v>1</v>
      </c>
    </row>
    <row r="1877" spans="1:21" x14ac:dyDescent="0.3">
      <c r="A1877" t="str">
        <f t="shared" si="87"/>
        <v>SunderlandSocial support (including VCS) (pathway 0)1</v>
      </c>
      <c r="B1877">
        <f>IF(C1877="","",COUNTIF($C$2:C1877,C1877))</f>
        <v>1</v>
      </c>
      <c r="C1877" t="str">
        <f t="shared" si="88"/>
        <v>SunderlandSocial support (including VCS) (pathway 0)</v>
      </c>
      <c r="D1877" t="str">
        <f>VLOOKUP(G1877,PathwayLookup!A:B,2,0)</f>
        <v>Social support (including VCS) (pathway 0)</v>
      </c>
      <c r="E1877" t="s">
        <v>311</v>
      </c>
      <c r="F1877" t="s">
        <v>594</v>
      </c>
      <c r="G1877" t="s">
        <v>682</v>
      </c>
      <c r="H1877">
        <v>38</v>
      </c>
      <c r="I1877">
        <v>58</v>
      </c>
      <c r="J1877">
        <v>45</v>
      </c>
      <c r="K1877">
        <v>74</v>
      </c>
      <c r="L1877">
        <v>68</v>
      </c>
      <c r="M1877">
        <v>57</v>
      </c>
      <c r="N1877">
        <v>57</v>
      </c>
      <c r="O1877">
        <v>73</v>
      </c>
      <c r="P1877">
        <v>35</v>
      </c>
      <c r="Q1877">
        <v>80</v>
      </c>
      <c r="R1877">
        <v>58</v>
      </c>
      <c r="S1877">
        <v>75</v>
      </c>
      <c r="T1877">
        <f t="shared" si="89"/>
        <v>718</v>
      </c>
      <c r="U1877">
        <v>1</v>
      </c>
    </row>
    <row r="1878" spans="1:21" x14ac:dyDescent="0.3">
      <c r="A1878" t="str">
        <f t="shared" si="87"/>
        <v>SunderlandSocial support (including VCS) (pathway 0)2</v>
      </c>
      <c r="B1878">
        <f>IF(C1878="","",COUNTIF($C$2:C1878,C1878))</f>
        <v>2</v>
      </c>
      <c r="C1878" t="str">
        <f t="shared" si="88"/>
        <v>SunderlandSocial support (including VCS) (pathway 0)</v>
      </c>
      <c r="D1878" t="str">
        <f>VLOOKUP(G1878,PathwayLookup!A:B,2,0)</f>
        <v>Social support (including VCS) (pathway 0)</v>
      </c>
      <c r="E1878" t="s">
        <v>311</v>
      </c>
      <c r="F1878" t="s">
        <v>651</v>
      </c>
      <c r="G1878" t="s">
        <v>682</v>
      </c>
      <c r="H1878">
        <v>1</v>
      </c>
      <c r="I1878">
        <v>3</v>
      </c>
      <c r="J1878">
        <v>2</v>
      </c>
      <c r="K1878">
        <v>2</v>
      </c>
      <c r="L1878">
        <v>1</v>
      </c>
      <c r="M1878">
        <v>3</v>
      </c>
      <c r="N1878">
        <v>3</v>
      </c>
      <c r="O1878">
        <v>2</v>
      </c>
      <c r="P1878">
        <v>3</v>
      </c>
      <c r="Q1878">
        <v>5</v>
      </c>
      <c r="R1878">
        <v>9</v>
      </c>
      <c r="S1878">
        <v>4</v>
      </c>
      <c r="T1878">
        <f t="shared" si="89"/>
        <v>38</v>
      </c>
      <c r="U1878">
        <v>1</v>
      </c>
    </row>
    <row r="1879" spans="1:21" x14ac:dyDescent="0.3">
      <c r="A1879" t="str">
        <f t="shared" si="87"/>
        <v>SunderlandReablement &amp; Rehabilitation at home  (pathway 1)1</v>
      </c>
      <c r="B1879">
        <f>IF(C1879="","",COUNTIF($C$2:C1879,C1879))</f>
        <v>1</v>
      </c>
      <c r="C1879" t="str">
        <f t="shared" si="88"/>
        <v>SunderlandReablement at home  (pathway 1)</v>
      </c>
      <c r="D1879" t="str">
        <f>VLOOKUP(G1879,PathwayLookup!A:B,2,0)</f>
        <v>Reablement &amp; Rehabilitation at home  (pathway 1)</v>
      </c>
      <c r="E1879" t="s">
        <v>311</v>
      </c>
      <c r="F1879" t="s">
        <v>594</v>
      </c>
      <c r="G1879" t="s">
        <v>718</v>
      </c>
      <c r="H1879">
        <v>17</v>
      </c>
      <c r="I1879">
        <v>18</v>
      </c>
      <c r="J1879">
        <v>17</v>
      </c>
      <c r="K1879">
        <v>17</v>
      </c>
      <c r="L1879">
        <v>17</v>
      </c>
      <c r="M1879">
        <v>17</v>
      </c>
      <c r="N1879">
        <v>19</v>
      </c>
      <c r="O1879">
        <v>19</v>
      </c>
      <c r="P1879">
        <v>20</v>
      </c>
      <c r="Q1879">
        <v>20</v>
      </c>
      <c r="R1879">
        <v>13</v>
      </c>
      <c r="S1879">
        <v>19</v>
      </c>
      <c r="T1879">
        <f t="shared" si="89"/>
        <v>213</v>
      </c>
      <c r="U1879">
        <v>1</v>
      </c>
    </row>
    <row r="1880" spans="1:21" x14ac:dyDescent="0.3">
      <c r="A1880" t="str">
        <f t="shared" si="87"/>
        <v>SunderlandReablement &amp; Rehabilitation at home  (pathway 1)2</v>
      </c>
      <c r="B1880">
        <f>IF(C1880="","",COUNTIF($C$2:C1880,C1880))</f>
        <v>2</v>
      </c>
      <c r="C1880" t="str">
        <f t="shared" si="88"/>
        <v>SunderlandReablement at home  (pathway 1)</v>
      </c>
      <c r="D1880" t="str">
        <f>VLOOKUP(G1880,PathwayLookup!A:B,2,0)</f>
        <v>Reablement &amp; Rehabilitation at home  (pathway 1)</v>
      </c>
      <c r="E1880" t="s">
        <v>311</v>
      </c>
      <c r="F1880" t="s">
        <v>651</v>
      </c>
      <c r="G1880" t="s">
        <v>718</v>
      </c>
      <c r="H1880">
        <v>4</v>
      </c>
      <c r="I1880">
        <v>4</v>
      </c>
      <c r="J1880">
        <v>5</v>
      </c>
      <c r="K1880">
        <v>4</v>
      </c>
      <c r="L1880">
        <v>5</v>
      </c>
      <c r="M1880">
        <v>4</v>
      </c>
      <c r="N1880">
        <v>4</v>
      </c>
      <c r="O1880">
        <v>5</v>
      </c>
      <c r="P1880">
        <v>6</v>
      </c>
      <c r="Q1880">
        <v>4</v>
      </c>
      <c r="R1880">
        <v>4</v>
      </c>
      <c r="S1880">
        <v>4</v>
      </c>
      <c r="T1880">
        <f t="shared" si="89"/>
        <v>53</v>
      </c>
      <c r="U1880">
        <v>1</v>
      </c>
    </row>
    <row r="1881" spans="1:21" x14ac:dyDescent="0.3">
      <c r="A1881" t="str">
        <f t="shared" si="87"/>
        <v>SunderlandShort term domiciliary care (pathway 1)1</v>
      </c>
      <c r="B1881">
        <f>IF(C1881="","",COUNTIF($C$2:C1881,C1881))</f>
        <v>1</v>
      </c>
      <c r="C1881" t="str">
        <f t="shared" si="88"/>
        <v>SunderlandShort term domiciliary care (pathway 1)</v>
      </c>
      <c r="D1881" t="str">
        <f>VLOOKUP(G1881,PathwayLookup!A:B,2,0)</f>
        <v>Short term domiciliary care (pathway 1)</v>
      </c>
      <c r="E1881" t="s">
        <v>311</v>
      </c>
      <c r="F1881" t="s">
        <v>594</v>
      </c>
      <c r="G1881" t="s">
        <v>684</v>
      </c>
      <c r="H1881">
        <v>37</v>
      </c>
      <c r="I1881">
        <v>31</v>
      </c>
      <c r="J1881">
        <v>45</v>
      </c>
      <c r="K1881">
        <v>37</v>
      </c>
      <c r="L1881">
        <v>43</v>
      </c>
      <c r="M1881">
        <v>37</v>
      </c>
      <c r="N1881">
        <v>60</v>
      </c>
      <c r="O1881">
        <v>51</v>
      </c>
      <c r="P1881">
        <v>46</v>
      </c>
      <c r="Q1881">
        <v>60</v>
      </c>
      <c r="R1881">
        <v>59</v>
      </c>
      <c r="S1881">
        <v>55</v>
      </c>
      <c r="T1881">
        <f t="shared" si="89"/>
        <v>561</v>
      </c>
      <c r="U1881">
        <v>1</v>
      </c>
    </row>
    <row r="1882" spans="1:21" x14ac:dyDescent="0.3">
      <c r="A1882" t="str">
        <f t="shared" si="87"/>
        <v>SunderlandReablement &amp; Rehabilitation in a bedded setting (pathway 2)1</v>
      </c>
      <c r="B1882">
        <f>IF(C1882="","",COUNTIF($C$2:C1882,C1882))</f>
        <v>1</v>
      </c>
      <c r="C1882" t="str">
        <f t="shared" si="88"/>
        <v>SunderlandReablement in a bedded setting (pathway 2)</v>
      </c>
      <c r="D1882" t="str">
        <f>VLOOKUP(G1882,PathwayLookup!A:B,2,0)</f>
        <v>Reablement &amp; Rehabilitation in a bedded setting (pathway 2)</v>
      </c>
      <c r="E1882" t="s">
        <v>311</v>
      </c>
      <c r="F1882" t="s">
        <v>594</v>
      </c>
      <c r="G1882" t="s">
        <v>722</v>
      </c>
      <c r="H1882">
        <v>72</v>
      </c>
      <c r="I1882">
        <v>53</v>
      </c>
      <c r="J1882">
        <v>62</v>
      </c>
      <c r="K1882">
        <v>58</v>
      </c>
      <c r="L1882">
        <v>73</v>
      </c>
      <c r="M1882">
        <v>61</v>
      </c>
      <c r="N1882">
        <v>60</v>
      </c>
      <c r="O1882">
        <v>64</v>
      </c>
      <c r="P1882">
        <v>52</v>
      </c>
      <c r="Q1882">
        <v>58</v>
      </c>
      <c r="R1882">
        <v>50</v>
      </c>
      <c r="S1882">
        <v>65</v>
      </c>
      <c r="T1882">
        <f t="shared" si="89"/>
        <v>728</v>
      </c>
      <c r="U1882">
        <v>1</v>
      </c>
    </row>
    <row r="1883" spans="1:21" x14ac:dyDescent="0.3">
      <c r="A1883" t="str">
        <f t="shared" si="87"/>
        <v/>
      </c>
      <c r="B1883" t="str">
        <f>IF(C1883="","",COUNTIF($C$2:C1883,C1883))</f>
        <v/>
      </c>
      <c r="C1883" t="str">
        <f t="shared" si="88"/>
        <v/>
      </c>
      <c r="D1883" t="str">
        <f>VLOOKUP(G1883,PathwayLookup!A:B,2,0)</f>
        <v>Reablement &amp; Rehabilitation in a bedded setting (pathway 2)</v>
      </c>
      <c r="E1883" t="s">
        <v>311</v>
      </c>
      <c r="F1883" t="s">
        <v>651</v>
      </c>
      <c r="G1883" t="s">
        <v>722</v>
      </c>
      <c r="H1883">
        <v>0</v>
      </c>
      <c r="I1883">
        <v>0</v>
      </c>
      <c r="J1883">
        <v>0</v>
      </c>
      <c r="K1883">
        <v>0</v>
      </c>
      <c r="L1883">
        <v>0</v>
      </c>
      <c r="M1883">
        <v>0</v>
      </c>
      <c r="N1883">
        <v>0</v>
      </c>
      <c r="O1883">
        <v>0</v>
      </c>
      <c r="P1883">
        <v>0</v>
      </c>
      <c r="Q1883">
        <v>0</v>
      </c>
      <c r="R1883">
        <v>0</v>
      </c>
      <c r="S1883">
        <v>0</v>
      </c>
      <c r="T1883">
        <f t="shared" si="89"/>
        <v>0</v>
      </c>
      <c r="U1883">
        <v>1</v>
      </c>
    </row>
    <row r="1884" spans="1:21" x14ac:dyDescent="0.3">
      <c r="A1884" t="str">
        <f t="shared" si="87"/>
        <v>SunderlandShort-term residential/nursing care for someone likely to require a longer-term care home placement (pathway 3)1</v>
      </c>
      <c r="B1884">
        <f>IF(C1884="","",COUNTIF($C$2:C1884,C1884))</f>
        <v>1</v>
      </c>
      <c r="C1884" t="str">
        <f t="shared" si="88"/>
        <v>SunderlandShort-term residential/nursing care for someone likely to require a longer-term care home placement (pathway 3)</v>
      </c>
      <c r="D1884" t="str">
        <f>VLOOKUP(G1884,PathwayLookup!A:B,2,0)</f>
        <v>Short-term residential/nursing care for someone likely to require a longer-term care home placement (pathway 3)</v>
      </c>
      <c r="E1884" t="s">
        <v>311</v>
      </c>
      <c r="F1884" t="s">
        <v>594</v>
      </c>
      <c r="G1884" t="s">
        <v>686</v>
      </c>
      <c r="H1884">
        <v>188</v>
      </c>
      <c r="I1884">
        <v>180</v>
      </c>
      <c r="J1884">
        <v>224</v>
      </c>
      <c r="K1884">
        <v>191</v>
      </c>
      <c r="L1884">
        <v>220</v>
      </c>
      <c r="M1884">
        <v>228</v>
      </c>
      <c r="N1884">
        <v>281</v>
      </c>
      <c r="O1884">
        <v>202</v>
      </c>
      <c r="P1884">
        <v>190</v>
      </c>
      <c r="Q1884">
        <v>233</v>
      </c>
      <c r="R1884">
        <v>198</v>
      </c>
      <c r="S1884">
        <v>216</v>
      </c>
      <c r="T1884">
        <f t="shared" si="89"/>
        <v>2551</v>
      </c>
      <c r="U1884">
        <v>1</v>
      </c>
    </row>
    <row r="1885" spans="1:21" x14ac:dyDescent="0.3">
      <c r="A1885" t="str">
        <f t="shared" si="87"/>
        <v>SunderlandShort-term residential/nursing care for someone likely to require a longer-term care home placement (pathway 3)2</v>
      </c>
      <c r="B1885">
        <f>IF(C1885="","",COUNTIF($C$2:C1885,C1885))</f>
        <v>2</v>
      </c>
      <c r="C1885" t="str">
        <f t="shared" si="88"/>
        <v>SunderlandShort-term residential/nursing care for someone likely to require a longer-term care home placement (pathway 3)</v>
      </c>
      <c r="D1885" t="str">
        <f>VLOOKUP(G1885,PathwayLookup!A:B,2,0)</f>
        <v>Short-term residential/nursing care for someone likely to require a longer-term care home placement (pathway 3)</v>
      </c>
      <c r="E1885" t="s">
        <v>311</v>
      </c>
      <c r="F1885" t="s">
        <v>651</v>
      </c>
      <c r="G1885" t="s">
        <v>686</v>
      </c>
      <c r="H1885">
        <v>2</v>
      </c>
      <c r="I1885">
        <v>3</v>
      </c>
      <c r="J1885">
        <v>1</v>
      </c>
      <c r="K1885">
        <v>1</v>
      </c>
      <c r="L1885">
        <v>3</v>
      </c>
      <c r="M1885">
        <v>1</v>
      </c>
      <c r="N1885">
        <v>2</v>
      </c>
      <c r="O1885">
        <v>3</v>
      </c>
      <c r="P1885">
        <v>4</v>
      </c>
      <c r="Q1885">
        <v>2</v>
      </c>
      <c r="R1885">
        <v>4</v>
      </c>
      <c r="S1885">
        <v>3</v>
      </c>
      <c r="T1885">
        <f t="shared" si="89"/>
        <v>29</v>
      </c>
      <c r="U1885">
        <v>1</v>
      </c>
    </row>
    <row r="1886" spans="1:21" x14ac:dyDescent="0.3">
      <c r="A1886" t="str">
        <f t="shared" si="87"/>
        <v>SurreySocial support (including VCS) (pathway 0)1</v>
      </c>
      <c r="B1886">
        <f>IF(C1886="","",COUNTIF($C$2:C1886,C1886))</f>
        <v>1</v>
      </c>
      <c r="C1886" t="str">
        <f t="shared" si="88"/>
        <v>SurreySocial support (including VCS) (pathway 0)</v>
      </c>
      <c r="D1886" t="str">
        <f>VLOOKUP(G1886,PathwayLookup!A:B,2,0)</f>
        <v>Social support (including VCS) (pathway 0)</v>
      </c>
      <c r="E1886" t="s">
        <v>313</v>
      </c>
      <c r="F1886" t="s">
        <v>651</v>
      </c>
      <c r="G1886" t="s">
        <v>682</v>
      </c>
      <c r="H1886">
        <v>13</v>
      </c>
      <c r="I1886">
        <v>13</v>
      </c>
      <c r="J1886">
        <v>12</v>
      </c>
      <c r="K1886">
        <v>13</v>
      </c>
      <c r="L1886">
        <v>12</v>
      </c>
      <c r="M1886">
        <v>13</v>
      </c>
      <c r="N1886">
        <v>14</v>
      </c>
      <c r="O1886">
        <v>13</v>
      </c>
      <c r="P1886">
        <v>13</v>
      </c>
      <c r="Q1886">
        <v>11</v>
      </c>
      <c r="R1886">
        <v>9</v>
      </c>
      <c r="S1886">
        <v>6</v>
      </c>
      <c r="T1886">
        <f t="shared" si="89"/>
        <v>142</v>
      </c>
      <c r="U1886">
        <v>1</v>
      </c>
    </row>
    <row r="1887" spans="1:21" x14ac:dyDescent="0.3">
      <c r="A1887" t="str">
        <f t="shared" si="87"/>
        <v>SurreyReablement &amp; Rehabilitation at home  (pathway 1)1</v>
      </c>
      <c r="B1887">
        <f>IF(C1887="","",COUNTIF($C$2:C1887,C1887))</f>
        <v>1</v>
      </c>
      <c r="C1887" t="str">
        <f t="shared" si="88"/>
        <v>SurreyReablement at home  (pathway 1)</v>
      </c>
      <c r="D1887" t="str">
        <f>VLOOKUP(G1887,PathwayLookup!A:B,2,0)</f>
        <v>Reablement &amp; Rehabilitation at home  (pathway 1)</v>
      </c>
      <c r="E1887" t="s">
        <v>313</v>
      </c>
      <c r="F1887" t="s">
        <v>651</v>
      </c>
      <c r="G1887" t="s">
        <v>718</v>
      </c>
      <c r="H1887">
        <v>51</v>
      </c>
      <c r="I1887">
        <v>83</v>
      </c>
      <c r="J1887">
        <v>56</v>
      </c>
      <c r="K1887">
        <v>70</v>
      </c>
      <c r="L1887">
        <v>74</v>
      </c>
      <c r="M1887">
        <v>125</v>
      </c>
      <c r="N1887">
        <v>127</v>
      </c>
      <c r="O1887">
        <v>143</v>
      </c>
      <c r="P1887">
        <v>143</v>
      </c>
      <c r="Q1887">
        <v>94</v>
      </c>
      <c r="R1887">
        <v>75</v>
      </c>
      <c r="S1887">
        <v>61</v>
      </c>
      <c r="T1887">
        <f t="shared" si="89"/>
        <v>1102</v>
      </c>
      <c r="U1887">
        <v>1</v>
      </c>
    </row>
    <row r="1888" spans="1:21" x14ac:dyDescent="0.3">
      <c r="A1888" t="str">
        <f t="shared" si="87"/>
        <v/>
      </c>
      <c r="B1888" t="str">
        <f>IF(C1888="","",COUNTIF($C$2:C1888,C1888))</f>
        <v/>
      </c>
      <c r="C1888" t="str">
        <f t="shared" si="88"/>
        <v/>
      </c>
      <c r="D1888" t="str">
        <f>VLOOKUP(G1888,PathwayLookup!A:B,2,0)</f>
        <v>Reablement &amp; Rehabilitation at home  (pathway 1)</v>
      </c>
      <c r="E1888" t="s">
        <v>313</v>
      </c>
      <c r="F1888" t="s">
        <v>651</v>
      </c>
      <c r="G1888" t="s">
        <v>719</v>
      </c>
      <c r="H1888">
        <v>0</v>
      </c>
      <c r="I1888">
        <v>0</v>
      </c>
      <c r="J1888">
        <v>0</v>
      </c>
      <c r="K1888">
        <v>0</v>
      </c>
      <c r="L1888">
        <v>0</v>
      </c>
      <c r="M1888">
        <v>0</v>
      </c>
      <c r="N1888">
        <v>0</v>
      </c>
      <c r="O1888">
        <v>0</v>
      </c>
      <c r="P1888">
        <v>0</v>
      </c>
      <c r="Q1888">
        <v>0</v>
      </c>
      <c r="R1888">
        <v>0</v>
      </c>
      <c r="S1888">
        <v>0</v>
      </c>
      <c r="T1888">
        <f t="shared" si="89"/>
        <v>0</v>
      </c>
      <c r="U1888">
        <v>1</v>
      </c>
    </row>
    <row r="1889" spans="1:21" x14ac:dyDescent="0.3">
      <c r="A1889" t="str">
        <f t="shared" si="87"/>
        <v>SurreyShort term domiciliary care (pathway 1)1</v>
      </c>
      <c r="B1889">
        <f>IF(C1889="","",COUNTIF($C$2:C1889,C1889))</f>
        <v>1</v>
      </c>
      <c r="C1889" t="str">
        <f t="shared" si="88"/>
        <v>SurreyShort term domiciliary care (pathway 1)</v>
      </c>
      <c r="D1889" t="str">
        <f>VLOOKUP(G1889,PathwayLookup!A:B,2,0)</f>
        <v>Short term domiciliary care (pathway 1)</v>
      </c>
      <c r="E1889" t="s">
        <v>313</v>
      </c>
      <c r="F1889" t="s">
        <v>651</v>
      </c>
      <c r="G1889" t="s">
        <v>684</v>
      </c>
      <c r="H1889">
        <v>61</v>
      </c>
      <c r="I1889">
        <v>48</v>
      </c>
      <c r="J1889">
        <v>49</v>
      </c>
      <c r="K1889">
        <v>72</v>
      </c>
      <c r="L1889">
        <v>50</v>
      </c>
      <c r="M1889">
        <v>47</v>
      </c>
      <c r="N1889">
        <v>55</v>
      </c>
      <c r="O1889">
        <v>52</v>
      </c>
      <c r="P1889">
        <v>48</v>
      </c>
      <c r="Q1889">
        <v>48</v>
      </c>
      <c r="R1889">
        <v>44</v>
      </c>
      <c r="S1889">
        <v>24</v>
      </c>
      <c r="T1889">
        <f t="shared" si="89"/>
        <v>598</v>
      </c>
      <c r="U1889">
        <v>1</v>
      </c>
    </row>
    <row r="1890" spans="1:21" x14ac:dyDescent="0.3">
      <c r="A1890" t="str">
        <f t="shared" si="87"/>
        <v>SurreyReablement &amp; Rehabilitation in a bedded setting (pathway 2)1</v>
      </c>
      <c r="B1890">
        <f>IF(C1890="","",COUNTIF($C$2:C1890,C1890))</f>
        <v>1</v>
      </c>
      <c r="C1890" t="str">
        <f t="shared" si="88"/>
        <v>SurreyReablement in a bedded setting (pathway 2)</v>
      </c>
      <c r="D1890" t="str">
        <f>VLOOKUP(G1890,PathwayLookup!A:B,2,0)</f>
        <v>Reablement &amp; Rehabilitation in a bedded setting (pathway 2)</v>
      </c>
      <c r="E1890" t="s">
        <v>313</v>
      </c>
      <c r="F1890" t="s">
        <v>651</v>
      </c>
      <c r="G1890" t="s">
        <v>722</v>
      </c>
      <c r="H1890">
        <v>313</v>
      </c>
      <c r="I1890">
        <v>293</v>
      </c>
      <c r="J1890">
        <v>267</v>
      </c>
      <c r="K1890">
        <v>288</v>
      </c>
      <c r="L1890">
        <v>264</v>
      </c>
      <c r="M1890">
        <v>241</v>
      </c>
      <c r="N1890">
        <v>263</v>
      </c>
      <c r="O1890">
        <v>213</v>
      </c>
      <c r="P1890">
        <v>223</v>
      </c>
      <c r="Q1890">
        <v>196</v>
      </c>
      <c r="R1890">
        <v>176</v>
      </c>
      <c r="S1890">
        <v>96</v>
      </c>
      <c r="T1890">
        <f t="shared" si="89"/>
        <v>2833</v>
      </c>
      <c r="U1890">
        <v>1</v>
      </c>
    </row>
    <row r="1891" spans="1:21" x14ac:dyDescent="0.3">
      <c r="A1891" t="str">
        <f t="shared" si="87"/>
        <v/>
      </c>
      <c r="B1891" t="str">
        <f>IF(C1891="","",COUNTIF($C$2:C1891,C1891))</f>
        <v/>
      </c>
      <c r="C1891" t="str">
        <f t="shared" si="88"/>
        <v/>
      </c>
      <c r="D1891" t="str">
        <f>VLOOKUP(G1891,PathwayLookup!A:B,2,0)</f>
        <v>Reablement &amp; Rehabilitation in a bedded setting (pathway 2)</v>
      </c>
      <c r="E1891" t="s">
        <v>313</v>
      </c>
      <c r="F1891" t="s">
        <v>651</v>
      </c>
      <c r="G1891" t="s">
        <v>724</v>
      </c>
      <c r="H1891">
        <v>0</v>
      </c>
      <c r="I1891">
        <v>0</v>
      </c>
      <c r="J1891">
        <v>0</v>
      </c>
      <c r="K1891">
        <v>0</v>
      </c>
      <c r="L1891">
        <v>0</v>
      </c>
      <c r="M1891">
        <v>0</v>
      </c>
      <c r="N1891">
        <v>0</v>
      </c>
      <c r="O1891">
        <v>0</v>
      </c>
      <c r="P1891">
        <v>0</v>
      </c>
      <c r="Q1891">
        <v>0</v>
      </c>
      <c r="R1891">
        <v>0</v>
      </c>
      <c r="S1891">
        <v>0</v>
      </c>
      <c r="T1891">
        <f t="shared" si="89"/>
        <v>0</v>
      </c>
      <c r="U1891">
        <v>1</v>
      </c>
    </row>
    <row r="1892" spans="1:21" x14ac:dyDescent="0.3">
      <c r="A1892" t="str">
        <f t="shared" si="87"/>
        <v/>
      </c>
      <c r="B1892" t="str">
        <f>IF(C1892="","",COUNTIF($C$2:C1892,C1892))</f>
        <v/>
      </c>
      <c r="C1892" t="str">
        <f t="shared" si="88"/>
        <v/>
      </c>
      <c r="D1892" t="str">
        <f>VLOOKUP(G1892,PathwayLookup!A:B,2,0)</f>
        <v>Short-term residential/nursing care for someone likely to require a longer-term care home placement (pathway 3)</v>
      </c>
      <c r="E1892" t="s">
        <v>313</v>
      </c>
      <c r="F1892" t="s">
        <v>651</v>
      </c>
      <c r="G1892" t="s">
        <v>686</v>
      </c>
      <c r="H1892">
        <v>0</v>
      </c>
      <c r="I1892">
        <v>0</v>
      </c>
      <c r="J1892">
        <v>0</v>
      </c>
      <c r="K1892">
        <v>0</v>
      </c>
      <c r="L1892">
        <v>0</v>
      </c>
      <c r="M1892">
        <v>0</v>
      </c>
      <c r="N1892">
        <v>0</v>
      </c>
      <c r="O1892">
        <v>0</v>
      </c>
      <c r="P1892">
        <v>0</v>
      </c>
      <c r="Q1892">
        <v>0</v>
      </c>
      <c r="R1892">
        <v>0</v>
      </c>
      <c r="S1892">
        <v>0</v>
      </c>
      <c r="T1892">
        <f t="shared" si="89"/>
        <v>0</v>
      </c>
      <c r="U1892">
        <v>1</v>
      </c>
    </row>
    <row r="1893" spans="1:21" x14ac:dyDescent="0.3">
      <c r="A1893" t="str">
        <f t="shared" si="87"/>
        <v>SuttonSocial support (including VCS) (pathway 0)1</v>
      </c>
      <c r="B1893">
        <f>IF(C1893="","",COUNTIF($C$2:C1893,C1893))</f>
        <v>1</v>
      </c>
      <c r="C1893" t="str">
        <f t="shared" si="88"/>
        <v>SuttonSocial support (including VCS) (pathway 0)</v>
      </c>
      <c r="D1893" t="str">
        <f>VLOOKUP(G1893,PathwayLookup!A:B,2,0)</f>
        <v>Social support (including VCS) (pathway 0)</v>
      </c>
      <c r="E1893" t="s">
        <v>315</v>
      </c>
      <c r="F1893" t="s">
        <v>448</v>
      </c>
      <c r="G1893" t="s">
        <v>682</v>
      </c>
      <c r="H1893">
        <v>35</v>
      </c>
      <c r="I1893">
        <v>35</v>
      </c>
      <c r="J1893">
        <v>35</v>
      </c>
      <c r="K1893">
        <v>38</v>
      </c>
      <c r="L1893">
        <v>38</v>
      </c>
      <c r="M1893">
        <v>38</v>
      </c>
      <c r="N1893">
        <v>39</v>
      </c>
      <c r="O1893">
        <v>39</v>
      </c>
      <c r="P1893">
        <v>39</v>
      </c>
      <c r="Q1893">
        <v>28</v>
      </c>
      <c r="R1893">
        <v>28</v>
      </c>
      <c r="S1893">
        <v>28</v>
      </c>
      <c r="T1893">
        <f t="shared" si="89"/>
        <v>420</v>
      </c>
      <c r="U1893">
        <v>1</v>
      </c>
    </row>
    <row r="1894" spans="1:21" x14ac:dyDescent="0.3">
      <c r="A1894" t="str">
        <f t="shared" si="87"/>
        <v>SuttonReablement &amp; Rehabilitation at home  (pathway 1)1</v>
      </c>
      <c r="B1894">
        <f>IF(C1894="","",COUNTIF($C$2:C1894,C1894))</f>
        <v>1</v>
      </c>
      <c r="C1894" t="str">
        <f t="shared" si="88"/>
        <v>SuttonReablement at home  (pathway 1)</v>
      </c>
      <c r="D1894" t="str">
        <f>VLOOKUP(G1894,PathwayLookup!A:B,2,0)</f>
        <v>Reablement &amp; Rehabilitation at home  (pathway 1)</v>
      </c>
      <c r="E1894" t="s">
        <v>315</v>
      </c>
      <c r="F1894" t="s">
        <v>448</v>
      </c>
      <c r="G1894" t="s">
        <v>718</v>
      </c>
      <c r="H1894">
        <v>51</v>
      </c>
      <c r="I1894">
        <v>33</v>
      </c>
      <c r="J1894">
        <v>37</v>
      </c>
      <c r="K1894">
        <v>43</v>
      </c>
      <c r="L1894">
        <v>29</v>
      </c>
      <c r="M1894">
        <v>38</v>
      </c>
      <c r="N1894">
        <v>31</v>
      </c>
      <c r="O1894">
        <v>40</v>
      </c>
      <c r="P1894">
        <v>29</v>
      </c>
      <c r="Q1894">
        <v>42</v>
      </c>
      <c r="R1894">
        <v>31</v>
      </c>
      <c r="S1894">
        <v>61</v>
      </c>
      <c r="T1894">
        <f t="shared" si="89"/>
        <v>465</v>
      </c>
      <c r="U1894">
        <v>1</v>
      </c>
    </row>
    <row r="1895" spans="1:21" x14ac:dyDescent="0.3">
      <c r="A1895" t="str">
        <f t="shared" si="87"/>
        <v>SuttonReablement &amp; Rehabilitation at home  (pathway 1)1</v>
      </c>
      <c r="B1895">
        <f>IF(C1895="","",COUNTIF($C$2:C1895,C1895))</f>
        <v>1</v>
      </c>
      <c r="C1895" t="str">
        <f t="shared" si="88"/>
        <v>SuttonRehabilitation at home (pathway 1)</v>
      </c>
      <c r="D1895" t="str">
        <f>VLOOKUP(G1895,PathwayLookup!A:B,2,0)</f>
        <v>Reablement &amp; Rehabilitation at home  (pathway 1)</v>
      </c>
      <c r="E1895" t="s">
        <v>315</v>
      </c>
      <c r="F1895" t="s">
        <v>448</v>
      </c>
      <c r="G1895" t="s">
        <v>719</v>
      </c>
      <c r="H1895">
        <v>62</v>
      </c>
      <c r="I1895">
        <v>40</v>
      </c>
      <c r="J1895">
        <v>50</v>
      </c>
      <c r="K1895">
        <v>37</v>
      </c>
      <c r="L1895">
        <v>40</v>
      </c>
      <c r="M1895">
        <v>49</v>
      </c>
      <c r="N1895">
        <v>48</v>
      </c>
      <c r="O1895">
        <v>44</v>
      </c>
      <c r="P1895">
        <v>67</v>
      </c>
      <c r="Q1895">
        <v>68</v>
      </c>
      <c r="R1895">
        <v>60</v>
      </c>
      <c r="S1895">
        <v>56</v>
      </c>
      <c r="T1895">
        <f t="shared" si="89"/>
        <v>621</v>
      </c>
      <c r="U1895">
        <v>1</v>
      </c>
    </row>
    <row r="1896" spans="1:21" x14ac:dyDescent="0.3">
      <c r="A1896" t="str">
        <f t="shared" si="87"/>
        <v>SuttonShort term domiciliary care (pathway 1)1</v>
      </c>
      <c r="B1896">
        <f>IF(C1896="","",COUNTIF($C$2:C1896,C1896))</f>
        <v>1</v>
      </c>
      <c r="C1896" t="str">
        <f t="shared" si="88"/>
        <v>SuttonShort term domiciliary care (pathway 1)</v>
      </c>
      <c r="D1896" t="str">
        <f>VLOOKUP(G1896,PathwayLookup!A:B,2,0)</f>
        <v>Short term domiciliary care (pathway 1)</v>
      </c>
      <c r="E1896" t="s">
        <v>315</v>
      </c>
      <c r="F1896" t="s">
        <v>448</v>
      </c>
      <c r="G1896" t="s">
        <v>684</v>
      </c>
      <c r="H1896">
        <v>35</v>
      </c>
      <c r="I1896">
        <v>31</v>
      </c>
      <c r="J1896">
        <v>26</v>
      </c>
      <c r="K1896">
        <v>34</v>
      </c>
      <c r="L1896">
        <v>43</v>
      </c>
      <c r="M1896">
        <v>41</v>
      </c>
      <c r="N1896">
        <v>45</v>
      </c>
      <c r="O1896">
        <v>43</v>
      </c>
      <c r="P1896">
        <v>55</v>
      </c>
      <c r="Q1896">
        <v>60</v>
      </c>
      <c r="R1896">
        <v>41</v>
      </c>
      <c r="S1896">
        <v>53</v>
      </c>
      <c r="T1896">
        <f t="shared" si="89"/>
        <v>507</v>
      </c>
      <c r="U1896">
        <v>1</v>
      </c>
    </row>
    <row r="1897" spans="1:21" x14ac:dyDescent="0.3">
      <c r="A1897" t="str">
        <f t="shared" si="87"/>
        <v>SuttonReablement &amp; Rehabilitation in a bedded setting (pathway 2)1</v>
      </c>
      <c r="B1897">
        <f>IF(C1897="","",COUNTIF($C$2:C1897,C1897))</f>
        <v>1</v>
      </c>
      <c r="C1897" t="str">
        <f t="shared" si="88"/>
        <v>SuttonReablement in a bedded setting (pathway 2)</v>
      </c>
      <c r="D1897" t="str">
        <f>VLOOKUP(G1897,PathwayLookup!A:B,2,0)</f>
        <v>Reablement &amp; Rehabilitation in a bedded setting (pathway 2)</v>
      </c>
      <c r="E1897" t="s">
        <v>315</v>
      </c>
      <c r="F1897" t="s">
        <v>448</v>
      </c>
      <c r="G1897" t="s">
        <v>722</v>
      </c>
      <c r="H1897">
        <v>9</v>
      </c>
      <c r="I1897">
        <v>9</v>
      </c>
      <c r="J1897">
        <v>9</v>
      </c>
      <c r="K1897">
        <v>9</v>
      </c>
      <c r="L1897">
        <v>9</v>
      </c>
      <c r="M1897">
        <v>9</v>
      </c>
      <c r="N1897">
        <v>9</v>
      </c>
      <c r="O1897">
        <v>9</v>
      </c>
      <c r="P1897">
        <v>9</v>
      </c>
      <c r="Q1897">
        <v>9</v>
      </c>
      <c r="R1897">
        <v>9</v>
      </c>
      <c r="S1897">
        <v>9</v>
      </c>
      <c r="T1897">
        <f t="shared" si="89"/>
        <v>108</v>
      </c>
      <c r="U1897">
        <v>1</v>
      </c>
    </row>
    <row r="1898" spans="1:21" x14ac:dyDescent="0.3">
      <c r="A1898" t="str">
        <f t="shared" si="87"/>
        <v>SuttonReablement &amp; Rehabilitation in a bedded setting (pathway 2)1</v>
      </c>
      <c r="B1898">
        <f>IF(C1898="","",COUNTIF($C$2:C1898,C1898))</f>
        <v>1</v>
      </c>
      <c r="C1898" t="str">
        <f t="shared" si="88"/>
        <v>SuttonRehabilitation in a bedded setting (pathway 2)</v>
      </c>
      <c r="D1898" t="str">
        <f>VLOOKUP(G1898,PathwayLookup!A:B,2,0)</f>
        <v>Reablement &amp; Rehabilitation in a bedded setting (pathway 2)</v>
      </c>
      <c r="E1898" t="s">
        <v>315</v>
      </c>
      <c r="F1898" t="s">
        <v>448</v>
      </c>
      <c r="G1898" t="s">
        <v>724</v>
      </c>
      <c r="H1898">
        <v>11</v>
      </c>
      <c r="I1898">
        <v>11</v>
      </c>
      <c r="J1898">
        <v>11</v>
      </c>
      <c r="K1898">
        <v>11</v>
      </c>
      <c r="L1898">
        <v>11</v>
      </c>
      <c r="M1898">
        <v>11</v>
      </c>
      <c r="N1898">
        <v>13</v>
      </c>
      <c r="O1898">
        <v>13</v>
      </c>
      <c r="P1898">
        <v>13</v>
      </c>
      <c r="Q1898">
        <v>13</v>
      </c>
      <c r="R1898">
        <v>13</v>
      </c>
      <c r="S1898">
        <v>13</v>
      </c>
      <c r="T1898">
        <f t="shared" si="89"/>
        <v>144</v>
      </c>
      <c r="U1898">
        <v>1</v>
      </c>
    </row>
    <row r="1899" spans="1:21" x14ac:dyDescent="0.3">
      <c r="A1899" t="str">
        <f t="shared" si="87"/>
        <v>SuttonShort-term residential/nursing care for someone likely to require a longer-term care home placement (pathway 3)1</v>
      </c>
      <c r="B1899">
        <f>IF(C1899="","",COUNTIF($C$2:C1899,C1899))</f>
        <v>1</v>
      </c>
      <c r="C1899" t="str">
        <f t="shared" si="88"/>
        <v>SuttonShort-term residential/nursing care for someone likely to require a longer-term care home placement (pathway 3)</v>
      </c>
      <c r="D1899" t="str">
        <f>VLOOKUP(G1899,PathwayLookup!A:B,2,0)</f>
        <v>Short-term residential/nursing care for someone likely to require a longer-term care home placement (pathway 3)</v>
      </c>
      <c r="E1899" t="s">
        <v>315</v>
      </c>
      <c r="F1899" t="s">
        <v>448</v>
      </c>
      <c r="G1899" t="s">
        <v>686</v>
      </c>
      <c r="H1899">
        <v>17</v>
      </c>
      <c r="I1899">
        <v>23</v>
      </c>
      <c r="J1899">
        <v>21</v>
      </c>
      <c r="K1899">
        <v>14</v>
      </c>
      <c r="L1899">
        <v>25</v>
      </c>
      <c r="M1899">
        <v>19</v>
      </c>
      <c r="N1899">
        <v>14</v>
      </c>
      <c r="O1899">
        <v>15</v>
      </c>
      <c r="P1899">
        <v>20</v>
      </c>
      <c r="Q1899">
        <v>20</v>
      </c>
      <c r="R1899">
        <v>23</v>
      </c>
      <c r="S1899">
        <v>13</v>
      </c>
      <c r="T1899">
        <f t="shared" si="89"/>
        <v>224</v>
      </c>
      <c r="U1899">
        <v>1</v>
      </c>
    </row>
    <row r="1900" spans="1:21" x14ac:dyDescent="0.3">
      <c r="A1900" t="str">
        <f t="shared" si="87"/>
        <v>SwindonSocial support (including VCS) (pathway 0)1</v>
      </c>
      <c r="B1900">
        <f>IF(C1900="","",COUNTIF($C$2:C1900,C1900))</f>
        <v>1</v>
      </c>
      <c r="C1900" t="str">
        <f t="shared" si="88"/>
        <v>SwindonSocial support (including VCS) (pathway 0)</v>
      </c>
      <c r="D1900" t="str">
        <f>VLOOKUP(G1900,PathwayLookup!A:B,2,0)</f>
        <v>Social support (including VCS) (pathway 0)</v>
      </c>
      <c r="E1900" t="s">
        <v>317</v>
      </c>
      <c r="F1900" t="s">
        <v>508</v>
      </c>
      <c r="G1900" t="s">
        <v>682</v>
      </c>
      <c r="H1900">
        <v>1045</v>
      </c>
      <c r="I1900">
        <v>1078</v>
      </c>
      <c r="J1900">
        <v>1122</v>
      </c>
      <c r="K1900">
        <v>1135</v>
      </c>
      <c r="L1900">
        <v>1151</v>
      </c>
      <c r="M1900">
        <v>1144</v>
      </c>
      <c r="N1900">
        <v>1072</v>
      </c>
      <c r="O1900">
        <v>1134</v>
      </c>
      <c r="P1900">
        <v>1236</v>
      </c>
      <c r="Q1900">
        <v>1205</v>
      </c>
      <c r="R1900">
        <v>1118</v>
      </c>
      <c r="S1900">
        <v>1205</v>
      </c>
      <c r="T1900">
        <f t="shared" si="89"/>
        <v>13645</v>
      </c>
      <c r="U1900">
        <v>1</v>
      </c>
    </row>
    <row r="1901" spans="1:21" x14ac:dyDescent="0.3">
      <c r="A1901" t="str">
        <f t="shared" si="87"/>
        <v>SwindonReablement &amp; Rehabilitation at home  (pathway 1)1</v>
      </c>
      <c r="B1901">
        <f>IF(C1901="","",COUNTIF($C$2:C1901,C1901))</f>
        <v>1</v>
      </c>
      <c r="C1901" t="str">
        <f t="shared" si="88"/>
        <v>SwindonReablement at home  (pathway 1)</v>
      </c>
      <c r="D1901" t="str">
        <f>VLOOKUP(G1901,PathwayLookup!A:B,2,0)</f>
        <v>Reablement &amp; Rehabilitation at home  (pathway 1)</v>
      </c>
      <c r="E1901" t="s">
        <v>317</v>
      </c>
      <c r="F1901" t="s">
        <v>508</v>
      </c>
      <c r="G1901" t="s">
        <v>718</v>
      </c>
      <c r="H1901">
        <v>15</v>
      </c>
      <c r="I1901">
        <v>15</v>
      </c>
      <c r="J1901">
        <v>15</v>
      </c>
      <c r="K1901">
        <v>15</v>
      </c>
      <c r="L1901">
        <v>15</v>
      </c>
      <c r="M1901">
        <v>15</v>
      </c>
      <c r="N1901">
        <v>15</v>
      </c>
      <c r="O1901">
        <v>15</v>
      </c>
      <c r="P1901">
        <v>15</v>
      </c>
      <c r="Q1901">
        <v>15</v>
      </c>
      <c r="R1901">
        <v>15</v>
      </c>
      <c r="S1901">
        <v>15</v>
      </c>
      <c r="T1901">
        <f t="shared" si="89"/>
        <v>180</v>
      </c>
      <c r="U1901">
        <v>1</v>
      </c>
    </row>
    <row r="1902" spans="1:21" x14ac:dyDescent="0.3">
      <c r="A1902" t="str">
        <f t="shared" si="87"/>
        <v/>
      </c>
      <c r="B1902" t="str">
        <f>IF(C1902="","",COUNTIF($C$2:C1902,C1902))</f>
        <v/>
      </c>
      <c r="C1902" t="str">
        <f t="shared" si="88"/>
        <v/>
      </c>
      <c r="D1902" t="str">
        <f>VLOOKUP(G1902,PathwayLookup!A:B,2,0)</f>
        <v>Reablement &amp; Rehabilitation at home  (pathway 1)</v>
      </c>
      <c r="E1902" t="s">
        <v>317</v>
      </c>
      <c r="F1902" t="s">
        <v>508</v>
      </c>
      <c r="G1902" t="s">
        <v>719</v>
      </c>
      <c r="H1902">
        <v>0</v>
      </c>
      <c r="I1902">
        <v>0</v>
      </c>
      <c r="J1902">
        <v>0</v>
      </c>
      <c r="K1902">
        <v>0</v>
      </c>
      <c r="L1902">
        <v>0</v>
      </c>
      <c r="M1902">
        <v>0</v>
      </c>
      <c r="N1902">
        <v>0</v>
      </c>
      <c r="O1902">
        <v>0</v>
      </c>
      <c r="P1902">
        <v>0</v>
      </c>
      <c r="Q1902">
        <v>0</v>
      </c>
      <c r="R1902">
        <v>0</v>
      </c>
      <c r="S1902">
        <v>0</v>
      </c>
      <c r="T1902">
        <f t="shared" si="89"/>
        <v>0</v>
      </c>
      <c r="U1902">
        <v>1</v>
      </c>
    </row>
    <row r="1903" spans="1:21" x14ac:dyDescent="0.3">
      <c r="A1903" t="str">
        <f t="shared" si="87"/>
        <v>SwindonShort term domiciliary care (pathway 1)1</v>
      </c>
      <c r="B1903">
        <f>IF(C1903="","",COUNTIF($C$2:C1903,C1903))</f>
        <v>1</v>
      </c>
      <c r="C1903" t="str">
        <f t="shared" si="88"/>
        <v>SwindonShort term domiciliary care (pathway 1)</v>
      </c>
      <c r="D1903" t="str">
        <f>VLOOKUP(G1903,PathwayLookup!A:B,2,0)</f>
        <v>Short term domiciliary care (pathway 1)</v>
      </c>
      <c r="E1903" t="s">
        <v>317</v>
      </c>
      <c r="F1903" t="s">
        <v>508</v>
      </c>
      <c r="G1903" t="s">
        <v>684</v>
      </c>
      <c r="H1903">
        <v>35</v>
      </c>
      <c r="I1903">
        <v>35</v>
      </c>
      <c r="J1903">
        <v>35</v>
      </c>
      <c r="K1903">
        <v>35</v>
      </c>
      <c r="L1903">
        <v>35</v>
      </c>
      <c r="M1903">
        <v>35</v>
      </c>
      <c r="N1903">
        <v>35</v>
      </c>
      <c r="O1903">
        <v>35</v>
      </c>
      <c r="P1903">
        <v>35</v>
      </c>
      <c r="Q1903">
        <v>35</v>
      </c>
      <c r="R1903">
        <v>35</v>
      </c>
      <c r="S1903">
        <v>35</v>
      </c>
      <c r="T1903">
        <f t="shared" si="89"/>
        <v>420</v>
      </c>
      <c r="U1903">
        <v>1</v>
      </c>
    </row>
    <row r="1904" spans="1:21" x14ac:dyDescent="0.3">
      <c r="A1904" t="str">
        <f t="shared" si="87"/>
        <v>SwindonReablement &amp; Rehabilitation in a bedded setting (pathway 2)1</v>
      </c>
      <c r="B1904">
        <f>IF(C1904="","",COUNTIF($C$2:C1904,C1904))</f>
        <v>1</v>
      </c>
      <c r="C1904" t="str">
        <f t="shared" si="88"/>
        <v>SwindonReablement in a bedded setting (pathway 2)</v>
      </c>
      <c r="D1904" t="str">
        <f>VLOOKUP(G1904,PathwayLookup!A:B,2,0)</f>
        <v>Reablement &amp; Rehabilitation in a bedded setting (pathway 2)</v>
      </c>
      <c r="E1904" t="s">
        <v>317</v>
      </c>
      <c r="F1904" t="s">
        <v>508</v>
      </c>
      <c r="G1904" t="s">
        <v>722</v>
      </c>
      <c r="H1904">
        <v>10</v>
      </c>
      <c r="I1904">
        <v>10</v>
      </c>
      <c r="J1904">
        <v>10</v>
      </c>
      <c r="K1904">
        <v>10</v>
      </c>
      <c r="L1904">
        <v>10</v>
      </c>
      <c r="M1904">
        <v>10</v>
      </c>
      <c r="N1904">
        <v>10</v>
      </c>
      <c r="O1904">
        <v>10</v>
      </c>
      <c r="P1904">
        <v>10</v>
      </c>
      <c r="Q1904">
        <v>10</v>
      </c>
      <c r="R1904">
        <v>10</v>
      </c>
      <c r="S1904">
        <v>10</v>
      </c>
      <c r="T1904">
        <f t="shared" si="89"/>
        <v>120</v>
      </c>
      <c r="U1904">
        <v>1</v>
      </c>
    </row>
    <row r="1905" spans="1:21" x14ac:dyDescent="0.3">
      <c r="A1905" t="str">
        <f t="shared" si="87"/>
        <v>SwindonReablement &amp; Rehabilitation in a bedded setting (pathway 2)1</v>
      </c>
      <c r="B1905">
        <f>IF(C1905="","",COUNTIF($C$2:C1905,C1905))</f>
        <v>1</v>
      </c>
      <c r="C1905" t="str">
        <f t="shared" si="88"/>
        <v>SwindonRehabilitation in a bedded setting (pathway 2)</v>
      </c>
      <c r="D1905" t="str">
        <f>VLOOKUP(G1905,PathwayLookup!A:B,2,0)</f>
        <v>Reablement &amp; Rehabilitation in a bedded setting (pathway 2)</v>
      </c>
      <c r="E1905" t="s">
        <v>317</v>
      </c>
      <c r="F1905" t="s">
        <v>508</v>
      </c>
      <c r="G1905" t="s">
        <v>724</v>
      </c>
      <c r="H1905">
        <v>99</v>
      </c>
      <c r="I1905">
        <v>84</v>
      </c>
      <c r="J1905">
        <v>82</v>
      </c>
      <c r="K1905">
        <v>97</v>
      </c>
      <c r="L1905">
        <v>100</v>
      </c>
      <c r="M1905">
        <v>79</v>
      </c>
      <c r="N1905">
        <v>78</v>
      </c>
      <c r="O1905">
        <v>92</v>
      </c>
      <c r="P1905">
        <v>85</v>
      </c>
      <c r="Q1905">
        <v>87</v>
      </c>
      <c r="R1905">
        <v>81</v>
      </c>
      <c r="S1905">
        <v>107</v>
      </c>
      <c r="T1905">
        <f t="shared" si="89"/>
        <v>1071</v>
      </c>
      <c r="U1905">
        <v>1</v>
      </c>
    </row>
    <row r="1906" spans="1:21" x14ac:dyDescent="0.3">
      <c r="A1906" t="str">
        <f t="shared" si="87"/>
        <v>SwindonShort-term residential/nursing care for someone likely to require a longer-term care home placement (pathway 3)1</v>
      </c>
      <c r="B1906">
        <f>IF(C1906="","",COUNTIF($C$2:C1906,C1906))</f>
        <v>1</v>
      </c>
      <c r="C1906" t="str">
        <f t="shared" si="88"/>
        <v>SwindonShort-term residential/nursing care for someone likely to require a longer-term care home placement (pathway 3)</v>
      </c>
      <c r="D1906" t="str">
        <f>VLOOKUP(G1906,PathwayLookup!A:B,2,0)</f>
        <v>Short-term residential/nursing care for someone likely to require a longer-term care home placement (pathway 3)</v>
      </c>
      <c r="E1906" t="s">
        <v>317</v>
      </c>
      <c r="F1906" t="s">
        <v>508</v>
      </c>
      <c r="G1906" t="s">
        <v>686</v>
      </c>
      <c r="H1906">
        <v>20</v>
      </c>
      <c r="I1906">
        <v>20</v>
      </c>
      <c r="J1906">
        <v>20</v>
      </c>
      <c r="K1906">
        <v>20</v>
      </c>
      <c r="L1906">
        <v>20</v>
      </c>
      <c r="M1906">
        <v>20</v>
      </c>
      <c r="N1906">
        <v>20</v>
      </c>
      <c r="O1906">
        <v>20</v>
      </c>
      <c r="P1906">
        <v>20</v>
      </c>
      <c r="Q1906">
        <v>20</v>
      </c>
      <c r="R1906">
        <v>20</v>
      </c>
      <c r="S1906">
        <v>20</v>
      </c>
      <c r="T1906">
        <f t="shared" si="89"/>
        <v>240</v>
      </c>
      <c r="U1906">
        <v>1</v>
      </c>
    </row>
    <row r="1907" spans="1:21" x14ac:dyDescent="0.3">
      <c r="A1907" t="str">
        <f t="shared" si="87"/>
        <v>TamesideSocial support (including VCS) (pathway 0)1</v>
      </c>
      <c r="B1907">
        <f>IF(C1907="","",COUNTIF($C$2:C1907,C1907))</f>
        <v>1</v>
      </c>
      <c r="C1907" t="str">
        <f t="shared" si="88"/>
        <v>TamesideSocial support (including VCS) (pathway 0)</v>
      </c>
      <c r="D1907" t="str">
        <f>VLOOKUP(G1907,PathwayLookup!A:B,2,0)</f>
        <v>Social support (including VCS) (pathway 0)</v>
      </c>
      <c r="E1907" t="s">
        <v>319</v>
      </c>
      <c r="F1907" t="s">
        <v>607</v>
      </c>
      <c r="G1907" t="s">
        <v>682</v>
      </c>
      <c r="H1907">
        <v>25</v>
      </c>
      <c r="I1907">
        <v>25</v>
      </c>
      <c r="J1907">
        <v>25</v>
      </c>
      <c r="K1907">
        <v>25</v>
      </c>
      <c r="L1907">
        <v>25</v>
      </c>
      <c r="M1907">
        <v>25</v>
      </c>
      <c r="N1907">
        <v>25</v>
      </c>
      <c r="O1907">
        <v>25</v>
      </c>
      <c r="P1907">
        <v>25</v>
      </c>
      <c r="Q1907">
        <v>25</v>
      </c>
      <c r="R1907">
        <v>25</v>
      </c>
      <c r="S1907">
        <v>25</v>
      </c>
      <c r="T1907">
        <f t="shared" si="89"/>
        <v>300</v>
      </c>
      <c r="U1907">
        <v>1</v>
      </c>
    </row>
    <row r="1908" spans="1:21" x14ac:dyDescent="0.3">
      <c r="A1908" t="str">
        <f t="shared" si="87"/>
        <v/>
      </c>
      <c r="B1908" t="str">
        <f>IF(C1908="","",COUNTIF($C$2:C1908,C1908))</f>
        <v/>
      </c>
      <c r="C1908" t="str">
        <f t="shared" si="88"/>
        <v/>
      </c>
      <c r="D1908" t="str">
        <f>VLOOKUP(G1908,PathwayLookup!A:B,2,0)</f>
        <v>Reablement &amp; Rehabilitation at home  (pathway 1)</v>
      </c>
      <c r="E1908" t="s">
        <v>319</v>
      </c>
      <c r="F1908" t="s">
        <v>607</v>
      </c>
      <c r="G1908" t="s">
        <v>718</v>
      </c>
      <c r="H1908">
        <v>0</v>
      </c>
      <c r="I1908">
        <v>0</v>
      </c>
      <c r="J1908">
        <v>0</v>
      </c>
      <c r="K1908">
        <v>0</v>
      </c>
      <c r="L1908">
        <v>0</v>
      </c>
      <c r="M1908">
        <v>0</v>
      </c>
      <c r="N1908">
        <v>0</v>
      </c>
      <c r="O1908">
        <v>0</v>
      </c>
      <c r="P1908">
        <v>0</v>
      </c>
      <c r="Q1908">
        <v>0</v>
      </c>
      <c r="R1908">
        <v>0</v>
      </c>
      <c r="S1908">
        <v>0</v>
      </c>
      <c r="T1908">
        <f t="shared" si="89"/>
        <v>0</v>
      </c>
      <c r="U1908">
        <v>1</v>
      </c>
    </row>
    <row r="1909" spans="1:21" x14ac:dyDescent="0.3">
      <c r="A1909" t="str">
        <f t="shared" si="87"/>
        <v>TamesideReablement &amp; Rehabilitation at home  (pathway 1)1</v>
      </c>
      <c r="B1909">
        <f>IF(C1909="","",COUNTIF($C$2:C1909,C1909))</f>
        <v>1</v>
      </c>
      <c r="C1909" t="str">
        <f t="shared" si="88"/>
        <v>TamesideRehabilitation at home (pathway 1)</v>
      </c>
      <c r="D1909" t="str">
        <f>VLOOKUP(G1909,PathwayLookup!A:B,2,0)</f>
        <v>Reablement &amp; Rehabilitation at home  (pathway 1)</v>
      </c>
      <c r="E1909" t="s">
        <v>319</v>
      </c>
      <c r="F1909" t="s">
        <v>607</v>
      </c>
      <c r="G1909" t="s">
        <v>719</v>
      </c>
      <c r="H1909">
        <v>145</v>
      </c>
      <c r="I1909">
        <v>142</v>
      </c>
      <c r="J1909">
        <v>163</v>
      </c>
      <c r="K1909">
        <v>168</v>
      </c>
      <c r="L1909">
        <v>180</v>
      </c>
      <c r="M1909">
        <v>173</v>
      </c>
      <c r="N1909">
        <v>156</v>
      </c>
      <c r="O1909">
        <v>140</v>
      </c>
      <c r="P1909">
        <v>130</v>
      </c>
      <c r="Q1909">
        <v>145</v>
      </c>
      <c r="R1909">
        <v>132</v>
      </c>
      <c r="S1909">
        <v>139</v>
      </c>
      <c r="T1909">
        <f t="shared" si="89"/>
        <v>1813</v>
      </c>
      <c r="U1909">
        <v>1</v>
      </c>
    </row>
    <row r="1910" spans="1:21" x14ac:dyDescent="0.3">
      <c r="A1910" t="str">
        <f t="shared" si="87"/>
        <v/>
      </c>
      <c r="B1910" t="str">
        <f>IF(C1910="","",COUNTIF($C$2:C1910,C1910))</f>
        <v/>
      </c>
      <c r="C1910" t="str">
        <f t="shared" si="88"/>
        <v/>
      </c>
      <c r="D1910" t="str">
        <f>VLOOKUP(G1910,PathwayLookup!A:B,2,0)</f>
        <v>Short term domiciliary care (pathway 1)</v>
      </c>
      <c r="E1910" t="s">
        <v>319</v>
      </c>
      <c r="F1910" t="s">
        <v>607</v>
      </c>
      <c r="G1910" t="s">
        <v>684</v>
      </c>
      <c r="H1910">
        <v>0</v>
      </c>
      <c r="I1910">
        <v>0</v>
      </c>
      <c r="J1910">
        <v>0</v>
      </c>
      <c r="K1910">
        <v>0</v>
      </c>
      <c r="L1910">
        <v>0</v>
      </c>
      <c r="M1910">
        <v>0</v>
      </c>
      <c r="N1910">
        <v>0</v>
      </c>
      <c r="O1910">
        <v>0</v>
      </c>
      <c r="P1910">
        <v>0</v>
      </c>
      <c r="Q1910">
        <v>0</v>
      </c>
      <c r="R1910">
        <v>0</v>
      </c>
      <c r="S1910">
        <v>0</v>
      </c>
      <c r="T1910">
        <f t="shared" si="89"/>
        <v>0</v>
      </c>
      <c r="U1910">
        <v>1</v>
      </c>
    </row>
    <row r="1911" spans="1:21" x14ac:dyDescent="0.3">
      <c r="A1911" t="str">
        <f t="shared" si="87"/>
        <v/>
      </c>
      <c r="B1911" t="str">
        <f>IF(C1911="","",COUNTIF($C$2:C1911,C1911))</f>
        <v/>
      </c>
      <c r="C1911" t="str">
        <f t="shared" si="88"/>
        <v/>
      </c>
      <c r="D1911" t="str">
        <f>VLOOKUP(G1911,PathwayLookup!A:B,2,0)</f>
        <v>Reablement &amp; Rehabilitation in a bedded setting (pathway 2)</v>
      </c>
      <c r="E1911" t="s">
        <v>319</v>
      </c>
      <c r="F1911" t="s">
        <v>607</v>
      </c>
      <c r="G1911" t="s">
        <v>722</v>
      </c>
      <c r="H1911">
        <v>0</v>
      </c>
      <c r="I1911">
        <v>0</v>
      </c>
      <c r="J1911">
        <v>0</v>
      </c>
      <c r="K1911">
        <v>0</v>
      </c>
      <c r="L1911">
        <v>0</v>
      </c>
      <c r="M1911">
        <v>0</v>
      </c>
      <c r="N1911">
        <v>0</v>
      </c>
      <c r="O1911">
        <v>0</v>
      </c>
      <c r="P1911">
        <v>0</v>
      </c>
      <c r="Q1911">
        <v>0</v>
      </c>
      <c r="R1911">
        <v>0</v>
      </c>
      <c r="S1911">
        <v>0</v>
      </c>
      <c r="T1911">
        <f t="shared" si="89"/>
        <v>0</v>
      </c>
      <c r="U1911">
        <v>1</v>
      </c>
    </row>
    <row r="1912" spans="1:21" x14ac:dyDescent="0.3">
      <c r="A1912" t="str">
        <f t="shared" si="87"/>
        <v>TamesideReablement &amp; Rehabilitation in a bedded setting (pathway 2)1</v>
      </c>
      <c r="B1912">
        <f>IF(C1912="","",COUNTIF($C$2:C1912,C1912))</f>
        <v>1</v>
      </c>
      <c r="C1912" t="str">
        <f t="shared" si="88"/>
        <v>TamesideRehabilitation in a bedded setting (pathway 2)</v>
      </c>
      <c r="D1912" t="str">
        <f>VLOOKUP(G1912,PathwayLookup!A:B,2,0)</f>
        <v>Reablement &amp; Rehabilitation in a bedded setting (pathway 2)</v>
      </c>
      <c r="E1912" t="s">
        <v>319</v>
      </c>
      <c r="F1912" t="s">
        <v>607</v>
      </c>
      <c r="G1912" t="s">
        <v>724</v>
      </c>
      <c r="H1912">
        <v>109</v>
      </c>
      <c r="I1912">
        <v>115</v>
      </c>
      <c r="J1912">
        <v>122</v>
      </c>
      <c r="K1912">
        <v>124</v>
      </c>
      <c r="L1912">
        <v>128</v>
      </c>
      <c r="M1912">
        <v>124</v>
      </c>
      <c r="N1912">
        <v>116</v>
      </c>
      <c r="O1912">
        <v>105</v>
      </c>
      <c r="P1912">
        <v>121</v>
      </c>
      <c r="Q1912">
        <v>105</v>
      </c>
      <c r="R1912">
        <v>98</v>
      </c>
      <c r="S1912">
        <v>105</v>
      </c>
      <c r="T1912">
        <f t="shared" si="89"/>
        <v>1372</v>
      </c>
      <c r="U1912">
        <v>1</v>
      </c>
    </row>
    <row r="1913" spans="1:21" x14ac:dyDescent="0.3">
      <c r="A1913" t="str">
        <f t="shared" si="87"/>
        <v>TamesideShort-term residential/nursing care for someone likely to require a longer-term care home placement (pathway 3)1</v>
      </c>
      <c r="B1913">
        <f>IF(C1913="","",COUNTIF($C$2:C1913,C1913))</f>
        <v>1</v>
      </c>
      <c r="C1913" t="str">
        <f t="shared" si="88"/>
        <v>TamesideShort-term residential/nursing care for someone likely to require a longer-term care home placement (pathway 3)</v>
      </c>
      <c r="D1913" t="str">
        <f>VLOOKUP(G1913,PathwayLookup!A:B,2,0)</f>
        <v>Short-term residential/nursing care for someone likely to require a longer-term care home placement (pathway 3)</v>
      </c>
      <c r="E1913" t="s">
        <v>319</v>
      </c>
      <c r="F1913" t="s">
        <v>607</v>
      </c>
      <c r="G1913" t="s">
        <v>686</v>
      </c>
      <c r="H1913">
        <v>25</v>
      </c>
      <c r="I1913">
        <v>20</v>
      </c>
      <c r="J1913">
        <v>29</v>
      </c>
      <c r="K1913">
        <v>34</v>
      </c>
      <c r="L1913">
        <v>44</v>
      </c>
      <c r="M1913">
        <v>35</v>
      </c>
      <c r="N1913">
        <v>27</v>
      </c>
      <c r="O1913">
        <v>25</v>
      </c>
      <c r="P1913">
        <v>30</v>
      </c>
      <c r="Q1913">
        <v>33</v>
      </c>
      <c r="R1913">
        <v>26</v>
      </c>
      <c r="S1913">
        <v>30</v>
      </c>
      <c r="T1913">
        <f t="shared" si="89"/>
        <v>358</v>
      </c>
      <c r="U1913">
        <v>1</v>
      </c>
    </row>
    <row r="1914" spans="1:21" x14ac:dyDescent="0.3">
      <c r="A1914" t="str">
        <f t="shared" si="87"/>
        <v>Telford and WrekinReablement &amp; Rehabilitation at home  (pathway 1)1</v>
      </c>
      <c r="B1914">
        <f>IF(C1914="","",COUNTIF($C$2:C1914,C1914))</f>
        <v>1</v>
      </c>
      <c r="C1914" t="str">
        <f t="shared" si="88"/>
        <v>Telford and WrekinReablement at home  (pathway 1)</v>
      </c>
      <c r="D1914" t="str">
        <f>VLOOKUP(G1914,PathwayLookup!A:B,2,0)</f>
        <v>Reablement &amp; Rehabilitation at home  (pathway 1)</v>
      </c>
      <c r="E1914" t="s">
        <v>321</v>
      </c>
      <c r="F1914" t="s">
        <v>622</v>
      </c>
      <c r="G1914" t="s">
        <v>718</v>
      </c>
      <c r="H1914">
        <v>90</v>
      </c>
      <c r="I1914">
        <v>90</v>
      </c>
      <c r="J1914">
        <v>90</v>
      </c>
      <c r="K1914">
        <v>90</v>
      </c>
      <c r="L1914">
        <v>90</v>
      </c>
      <c r="M1914">
        <v>90</v>
      </c>
      <c r="N1914">
        <v>90</v>
      </c>
      <c r="O1914">
        <v>100</v>
      </c>
      <c r="P1914">
        <v>110</v>
      </c>
      <c r="Q1914">
        <v>110</v>
      </c>
      <c r="R1914">
        <v>110</v>
      </c>
      <c r="S1914">
        <v>100</v>
      </c>
      <c r="T1914">
        <f t="shared" si="89"/>
        <v>1160</v>
      </c>
      <c r="U1914">
        <v>1</v>
      </c>
    </row>
    <row r="1915" spans="1:21" x14ac:dyDescent="0.3">
      <c r="A1915" t="str">
        <f t="shared" si="87"/>
        <v>Telford and WrekinReablement &amp; Rehabilitation at home  (pathway 1)2</v>
      </c>
      <c r="B1915">
        <f>IF(C1915="","",COUNTIF($C$2:C1915,C1915))</f>
        <v>2</v>
      </c>
      <c r="C1915" t="str">
        <f t="shared" si="88"/>
        <v>Telford and WrekinReablement at home  (pathway 1)</v>
      </c>
      <c r="D1915" t="str">
        <f>VLOOKUP(G1915,PathwayLookup!A:B,2,0)</f>
        <v>Reablement &amp; Rehabilitation at home  (pathway 1)</v>
      </c>
      <c r="E1915" t="s">
        <v>321</v>
      </c>
      <c r="F1915" t="s">
        <v>651</v>
      </c>
      <c r="G1915" t="s">
        <v>718</v>
      </c>
      <c r="H1915">
        <v>3</v>
      </c>
      <c r="I1915">
        <v>3</v>
      </c>
      <c r="J1915">
        <v>3</v>
      </c>
      <c r="K1915">
        <v>3</v>
      </c>
      <c r="L1915">
        <v>3</v>
      </c>
      <c r="M1915">
        <v>3</v>
      </c>
      <c r="N1915">
        <v>3</v>
      </c>
      <c r="O1915">
        <v>3</v>
      </c>
      <c r="P1915">
        <v>3</v>
      </c>
      <c r="Q1915">
        <v>3</v>
      </c>
      <c r="R1915">
        <v>3</v>
      </c>
      <c r="S1915">
        <v>3</v>
      </c>
      <c r="T1915">
        <f t="shared" si="89"/>
        <v>36</v>
      </c>
      <c r="U1915">
        <v>1</v>
      </c>
    </row>
    <row r="1916" spans="1:21" x14ac:dyDescent="0.3">
      <c r="A1916" t="str">
        <f t="shared" si="87"/>
        <v>Telford and WrekinReablement &amp; Rehabilitation in a bedded setting (pathway 2)1</v>
      </c>
      <c r="B1916">
        <f>IF(C1916="","",COUNTIF($C$2:C1916,C1916))</f>
        <v>1</v>
      </c>
      <c r="C1916" t="str">
        <f t="shared" si="88"/>
        <v>Telford and WrekinReablement in a bedded setting (pathway 2)</v>
      </c>
      <c r="D1916" t="str">
        <f>VLOOKUP(G1916,PathwayLookup!A:B,2,0)</f>
        <v>Reablement &amp; Rehabilitation in a bedded setting (pathway 2)</v>
      </c>
      <c r="E1916" t="s">
        <v>321</v>
      </c>
      <c r="F1916" t="s">
        <v>622</v>
      </c>
      <c r="G1916" t="s">
        <v>722</v>
      </c>
      <c r="H1916">
        <v>70</v>
      </c>
      <c r="I1916">
        <v>70</v>
      </c>
      <c r="J1916">
        <v>70</v>
      </c>
      <c r="K1916">
        <v>70</v>
      </c>
      <c r="L1916">
        <v>70</v>
      </c>
      <c r="M1916">
        <v>70</v>
      </c>
      <c r="N1916">
        <v>70</v>
      </c>
      <c r="O1916">
        <v>80</v>
      </c>
      <c r="P1916">
        <v>80</v>
      </c>
      <c r="Q1916">
        <v>90</v>
      </c>
      <c r="R1916">
        <v>90</v>
      </c>
      <c r="S1916">
        <v>80</v>
      </c>
      <c r="T1916">
        <f t="shared" si="89"/>
        <v>910</v>
      </c>
      <c r="U1916">
        <v>1</v>
      </c>
    </row>
    <row r="1917" spans="1:21" x14ac:dyDescent="0.3">
      <c r="A1917" t="str">
        <f t="shared" si="87"/>
        <v>Telford and WrekinReablement &amp; Rehabilitation in a bedded setting (pathway 2)2</v>
      </c>
      <c r="B1917">
        <f>IF(C1917="","",COUNTIF($C$2:C1917,C1917))</f>
        <v>2</v>
      </c>
      <c r="C1917" t="str">
        <f t="shared" si="88"/>
        <v>Telford and WrekinReablement in a bedded setting (pathway 2)</v>
      </c>
      <c r="D1917" t="str">
        <f>VLOOKUP(G1917,PathwayLookup!A:B,2,0)</f>
        <v>Reablement &amp; Rehabilitation in a bedded setting (pathway 2)</v>
      </c>
      <c r="E1917" t="s">
        <v>321</v>
      </c>
      <c r="F1917" t="s">
        <v>651</v>
      </c>
      <c r="G1917" t="s">
        <v>722</v>
      </c>
      <c r="H1917">
        <v>4</v>
      </c>
      <c r="I1917">
        <v>4</v>
      </c>
      <c r="J1917">
        <v>4</v>
      </c>
      <c r="K1917">
        <v>4</v>
      </c>
      <c r="L1917">
        <v>4</v>
      </c>
      <c r="M1917">
        <v>4</v>
      </c>
      <c r="N1917">
        <v>4</v>
      </c>
      <c r="O1917">
        <v>4</v>
      </c>
      <c r="P1917">
        <v>4</v>
      </c>
      <c r="Q1917">
        <v>4</v>
      </c>
      <c r="R1917">
        <v>4</v>
      </c>
      <c r="S1917">
        <v>4</v>
      </c>
      <c r="T1917">
        <f t="shared" si="89"/>
        <v>48</v>
      </c>
      <c r="U1917">
        <v>1</v>
      </c>
    </row>
    <row r="1918" spans="1:21" x14ac:dyDescent="0.3">
      <c r="A1918" t="str">
        <f t="shared" si="87"/>
        <v>ThurrockSocial support (including VCS) (pathway 0)1</v>
      </c>
      <c r="B1918">
        <f>IF(C1918="","",COUNTIF($C$2:C1918,C1918))</f>
        <v>1</v>
      </c>
      <c r="C1918" t="str">
        <f t="shared" si="88"/>
        <v>ThurrockSocial support (including VCS) (pathway 0)</v>
      </c>
      <c r="D1918" t="str">
        <f>VLOOKUP(G1918,PathwayLookup!A:B,2,0)</f>
        <v>Social support (including VCS) (pathway 0)</v>
      </c>
      <c r="E1918" t="s">
        <v>323</v>
      </c>
      <c r="F1918" t="s">
        <v>545</v>
      </c>
      <c r="G1918" t="s">
        <v>682</v>
      </c>
      <c r="H1918">
        <v>233</v>
      </c>
      <c r="I1918">
        <v>233</v>
      </c>
      <c r="J1918">
        <v>233</v>
      </c>
      <c r="K1918">
        <v>187</v>
      </c>
      <c r="L1918">
        <v>187</v>
      </c>
      <c r="M1918">
        <v>187</v>
      </c>
      <c r="N1918">
        <v>192</v>
      </c>
      <c r="O1918">
        <v>192</v>
      </c>
      <c r="P1918">
        <v>192</v>
      </c>
      <c r="Q1918">
        <v>255</v>
      </c>
      <c r="R1918">
        <v>255</v>
      </c>
      <c r="S1918">
        <v>255</v>
      </c>
      <c r="T1918">
        <f t="shared" si="89"/>
        <v>2601</v>
      </c>
      <c r="U1918">
        <v>1</v>
      </c>
    </row>
    <row r="1919" spans="1:21" x14ac:dyDescent="0.3">
      <c r="A1919" t="str">
        <f t="shared" si="87"/>
        <v>ThurrockReablement &amp; Rehabilitation at home  (pathway 1)1</v>
      </c>
      <c r="B1919">
        <f>IF(C1919="","",COUNTIF($C$2:C1919,C1919))</f>
        <v>1</v>
      </c>
      <c r="C1919" t="str">
        <f t="shared" si="88"/>
        <v>ThurrockReablement at home  (pathway 1)</v>
      </c>
      <c r="D1919" t="str">
        <f>VLOOKUP(G1919,PathwayLookup!A:B,2,0)</f>
        <v>Reablement &amp; Rehabilitation at home  (pathway 1)</v>
      </c>
      <c r="E1919" t="s">
        <v>323</v>
      </c>
      <c r="F1919" t="s">
        <v>545</v>
      </c>
      <c r="G1919" t="s">
        <v>718</v>
      </c>
      <c r="H1919">
        <v>27</v>
      </c>
      <c r="I1919">
        <v>24</v>
      </c>
      <c r="J1919">
        <v>26</v>
      </c>
      <c r="K1919">
        <v>25</v>
      </c>
      <c r="L1919">
        <v>25</v>
      </c>
      <c r="M1919">
        <v>20</v>
      </c>
      <c r="N1919">
        <v>26</v>
      </c>
      <c r="O1919">
        <v>24</v>
      </c>
      <c r="P1919">
        <v>21</v>
      </c>
      <c r="Q1919">
        <v>30</v>
      </c>
      <c r="R1919">
        <v>23</v>
      </c>
      <c r="S1919">
        <v>29</v>
      </c>
      <c r="T1919">
        <f t="shared" si="89"/>
        <v>300</v>
      </c>
      <c r="U1919">
        <v>1</v>
      </c>
    </row>
    <row r="1920" spans="1:21" x14ac:dyDescent="0.3">
      <c r="A1920" t="str">
        <f t="shared" si="87"/>
        <v>ThurrockShort term domiciliary care (pathway 1)1</v>
      </c>
      <c r="B1920">
        <f>IF(C1920="","",COUNTIF($C$2:C1920,C1920))</f>
        <v>1</v>
      </c>
      <c r="C1920" t="str">
        <f t="shared" si="88"/>
        <v>ThurrockShort term domiciliary care (pathway 1)</v>
      </c>
      <c r="D1920" t="str">
        <f>VLOOKUP(G1920,PathwayLookup!A:B,2,0)</f>
        <v>Short term domiciliary care (pathway 1)</v>
      </c>
      <c r="E1920" t="s">
        <v>323</v>
      </c>
      <c r="F1920" t="s">
        <v>545</v>
      </c>
      <c r="G1920" t="s">
        <v>684</v>
      </c>
      <c r="H1920">
        <v>9</v>
      </c>
      <c r="I1920">
        <v>9</v>
      </c>
      <c r="J1920">
        <v>9</v>
      </c>
      <c r="K1920">
        <v>9</v>
      </c>
      <c r="L1920">
        <v>9</v>
      </c>
      <c r="M1920">
        <v>9</v>
      </c>
      <c r="N1920">
        <v>9</v>
      </c>
      <c r="O1920">
        <v>9</v>
      </c>
      <c r="P1920">
        <v>9</v>
      </c>
      <c r="Q1920">
        <v>9</v>
      </c>
      <c r="R1920">
        <v>9</v>
      </c>
      <c r="S1920">
        <v>9</v>
      </c>
      <c r="T1920">
        <f t="shared" si="89"/>
        <v>108</v>
      </c>
      <c r="U1920">
        <v>1</v>
      </c>
    </row>
    <row r="1921" spans="1:21" x14ac:dyDescent="0.3">
      <c r="A1921" t="str">
        <f t="shared" si="87"/>
        <v>ThurrockReablement &amp; Rehabilitation in a bedded setting (pathway 2)1</v>
      </c>
      <c r="B1921">
        <f>IF(C1921="","",COUNTIF($C$2:C1921,C1921))</f>
        <v>1</v>
      </c>
      <c r="C1921" t="str">
        <f t="shared" si="88"/>
        <v>ThurrockReablement in a bedded setting (pathway 2)</v>
      </c>
      <c r="D1921" t="str">
        <f>VLOOKUP(G1921,PathwayLookup!A:B,2,0)</f>
        <v>Reablement &amp; Rehabilitation in a bedded setting (pathway 2)</v>
      </c>
      <c r="E1921" t="s">
        <v>323</v>
      </c>
      <c r="F1921" t="s">
        <v>545</v>
      </c>
      <c r="G1921" t="s">
        <v>722</v>
      </c>
      <c r="H1921">
        <v>1</v>
      </c>
      <c r="I1921">
        <v>1</v>
      </c>
      <c r="J1921">
        <v>1</v>
      </c>
      <c r="K1921">
        <v>1</v>
      </c>
      <c r="L1921">
        <v>2</v>
      </c>
      <c r="M1921">
        <v>2</v>
      </c>
      <c r="N1921">
        <v>1</v>
      </c>
      <c r="O1921">
        <v>4</v>
      </c>
      <c r="P1921">
        <v>1</v>
      </c>
      <c r="Q1921">
        <v>1</v>
      </c>
      <c r="R1921">
        <v>1</v>
      </c>
      <c r="S1921">
        <v>1</v>
      </c>
      <c r="T1921">
        <f t="shared" si="89"/>
        <v>17</v>
      </c>
      <c r="U1921">
        <v>1</v>
      </c>
    </row>
    <row r="1922" spans="1:21" x14ac:dyDescent="0.3">
      <c r="A1922" t="str">
        <f t="shared" ref="A1922:A1985" si="90">IF(B1922="","",E1922&amp;D1922&amp;B1922)</f>
        <v>TorbaySocial support (including VCS) (pathway 0)1</v>
      </c>
      <c r="B1922">
        <f>IF(C1922="","",COUNTIF($C$2:C1922,C1922))</f>
        <v>1</v>
      </c>
      <c r="C1922" t="str">
        <f t="shared" ref="C1922:C1985" si="91">IF(T1922=0,"",E1922&amp;G1922)</f>
        <v>TorbaySocial support (including VCS) (pathway 0)</v>
      </c>
      <c r="D1922" t="str">
        <f>VLOOKUP(G1922,PathwayLookup!A:B,2,0)</f>
        <v>Social support (including VCS) (pathway 0)</v>
      </c>
      <c r="E1922" t="s">
        <v>325</v>
      </c>
      <c r="F1922" t="s">
        <v>624</v>
      </c>
      <c r="G1922" t="s">
        <v>682</v>
      </c>
      <c r="H1922">
        <v>735</v>
      </c>
      <c r="I1922">
        <v>863</v>
      </c>
      <c r="J1922">
        <v>844</v>
      </c>
      <c r="K1922">
        <v>782</v>
      </c>
      <c r="L1922">
        <v>831</v>
      </c>
      <c r="M1922">
        <v>873</v>
      </c>
      <c r="N1922">
        <v>857</v>
      </c>
      <c r="O1922">
        <v>904</v>
      </c>
      <c r="P1922">
        <v>811</v>
      </c>
      <c r="Q1922">
        <v>835</v>
      </c>
      <c r="R1922">
        <v>756</v>
      </c>
      <c r="S1922">
        <v>790</v>
      </c>
      <c r="T1922">
        <f t="shared" ref="T1922:T1985" si="92">SUM(H1922:S1922)</f>
        <v>9881</v>
      </c>
      <c r="U1922">
        <v>1</v>
      </c>
    </row>
    <row r="1923" spans="1:21" x14ac:dyDescent="0.3">
      <c r="A1923" t="str">
        <f t="shared" si="90"/>
        <v>TorbaySocial support (including VCS) (pathway 0)2</v>
      </c>
      <c r="B1923">
        <f>IF(C1923="","",COUNTIF($C$2:C1923,C1923))</f>
        <v>2</v>
      </c>
      <c r="C1923" t="str">
        <f t="shared" si="91"/>
        <v>TorbaySocial support (including VCS) (pathway 0)</v>
      </c>
      <c r="D1923" t="str">
        <f>VLOOKUP(G1923,PathwayLookup!A:B,2,0)</f>
        <v>Social support (including VCS) (pathway 0)</v>
      </c>
      <c r="E1923" t="s">
        <v>325</v>
      </c>
      <c r="F1923" t="s">
        <v>651</v>
      </c>
      <c r="G1923" t="s">
        <v>682</v>
      </c>
      <c r="H1923">
        <v>66</v>
      </c>
      <c r="I1923">
        <v>78</v>
      </c>
      <c r="J1923">
        <v>76</v>
      </c>
      <c r="K1923">
        <v>71</v>
      </c>
      <c r="L1923">
        <v>75</v>
      </c>
      <c r="M1923">
        <v>79</v>
      </c>
      <c r="N1923">
        <v>77</v>
      </c>
      <c r="O1923">
        <v>82</v>
      </c>
      <c r="P1923">
        <v>73</v>
      </c>
      <c r="Q1923">
        <v>75</v>
      </c>
      <c r="R1923">
        <v>68</v>
      </c>
      <c r="S1923">
        <v>71</v>
      </c>
      <c r="T1923">
        <f t="shared" si="92"/>
        <v>891</v>
      </c>
      <c r="U1923">
        <v>1</v>
      </c>
    </row>
    <row r="1924" spans="1:21" x14ac:dyDescent="0.3">
      <c r="A1924" t="str">
        <f t="shared" si="90"/>
        <v>TorbayReablement &amp; Rehabilitation at home  (pathway 1)1</v>
      </c>
      <c r="B1924">
        <f>IF(C1924="","",COUNTIF($C$2:C1924,C1924))</f>
        <v>1</v>
      </c>
      <c r="C1924" t="str">
        <f t="shared" si="91"/>
        <v>TorbayReablement at home  (pathway 1)</v>
      </c>
      <c r="D1924" t="str">
        <f>VLOOKUP(G1924,PathwayLookup!A:B,2,0)</f>
        <v>Reablement &amp; Rehabilitation at home  (pathway 1)</v>
      </c>
      <c r="E1924" t="s">
        <v>325</v>
      </c>
      <c r="F1924" t="s">
        <v>624</v>
      </c>
      <c r="G1924" t="s">
        <v>718</v>
      </c>
      <c r="H1924">
        <v>92</v>
      </c>
      <c r="I1924">
        <v>98</v>
      </c>
      <c r="J1924">
        <v>94</v>
      </c>
      <c r="K1924">
        <v>74</v>
      </c>
      <c r="L1924">
        <v>81</v>
      </c>
      <c r="M1924">
        <v>67</v>
      </c>
      <c r="N1924">
        <v>69</v>
      </c>
      <c r="O1924">
        <v>64</v>
      </c>
      <c r="P1924">
        <v>67</v>
      </c>
      <c r="Q1924">
        <v>67</v>
      </c>
      <c r="R1924">
        <v>96</v>
      </c>
      <c r="S1924">
        <v>97</v>
      </c>
      <c r="T1924">
        <f t="shared" si="92"/>
        <v>966</v>
      </c>
      <c r="U1924">
        <v>1</v>
      </c>
    </row>
    <row r="1925" spans="1:21" x14ac:dyDescent="0.3">
      <c r="A1925" t="str">
        <f t="shared" si="90"/>
        <v>TorbayReablement &amp; Rehabilitation at home  (pathway 1)2</v>
      </c>
      <c r="B1925">
        <f>IF(C1925="","",COUNTIF($C$2:C1925,C1925))</f>
        <v>2</v>
      </c>
      <c r="C1925" t="str">
        <f t="shared" si="91"/>
        <v>TorbayReablement at home  (pathway 1)</v>
      </c>
      <c r="D1925" t="str">
        <f>VLOOKUP(G1925,PathwayLookup!A:B,2,0)</f>
        <v>Reablement &amp; Rehabilitation at home  (pathway 1)</v>
      </c>
      <c r="E1925" t="s">
        <v>325</v>
      </c>
      <c r="F1925" t="s">
        <v>651</v>
      </c>
      <c r="G1925" t="s">
        <v>718</v>
      </c>
      <c r="H1925">
        <v>8</v>
      </c>
      <c r="I1925">
        <v>9</v>
      </c>
      <c r="J1925">
        <v>9</v>
      </c>
      <c r="K1925">
        <v>7</v>
      </c>
      <c r="L1925">
        <v>7</v>
      </c>
      <c r="M1925">
        <v>6</v>
      </c>
      <c r="N1925">
        <v>6</v>
      </c>
      <c r="O1925">
        <v>6</v>
      </c>
      <c r="P1925">
        <v>6</v>
      </c>
      <c r="Q1925">
        <v>6</v>
      </c>
      <c r="R1925">
        <v>9</v>
      </c>
      <c r="S1925">
        <v>9</v>
      </c>
      <c r="T1925">
        <f t="shared" si="92"/>
        <v>88</v>
      </c>
      <c r="U1925">
        <v>1</v>
      </c>
    </row>
    <row r="1926" spans="1:21" x14ac:dyDescent="0.3">
      <c r="A1926" t="str">
        <f t="shared" si="90"/>
        <v>TorbayReablement &amp; Rehabilitation in a bedded setting (pathway 2)1</v>
      </c>
      <c r="B1926">
        <f>IF(C1926="","",COUNTIF($C$2:C1926,C1926))</f>
        <v>1</v>
      </c>
      <c r="C1926" t="str">
        <f t="shared" si="91"/>
        <v>TorbayReablement in a bedded setting (pathway 2)</v>
      </c>
      <c r="D1926" t="str">
        <f>VLOOKUP(G1926,PathwayLookup!A:B,2,0)</f>
        <v>Reablement &amp; Rehabilitation in a bedded setting (pathway 2)</v>
      </c>
      <c r="E1926" t="s">
        <v>325</v>
      </c>
      <c r="F1926" t="s">
        <v>624</v>
      </c>
      <c r="G1926" t="s">
        <v>722</v>
      </c>
      <c r="H1926">
        <v>40</v>
      </c>
      <c r="I1926">
        <v>39</v>
      </c>
      <c r="J1926">
        <v>35</v>
      </c>
      <c r="K1926">
        <v>34</v>
      </c>
      <c r="L1926">
        <v>33</v>
      </c>
      <c r="M1926">
        <v>32</v>
      </c>
      <c r="N1926">
        <v>35</v>
      </c>
      <c r="O1926">
        <v>33</v>
      </c>
      <c r="P1926">
        <v>29</v>
      </c>
      <c r="Q1926">
        <v>37</v>
      </c>
      <c r="R1926">
        <v>36</v>
      </c>
      <c r="S1926">
        <v>37</v>
      </c>
      <c r="T1926">
        <f t="shared" si="92"/>
        <v>420</v>
      </c>
      <c r="U1926">
        <v>1</v>
      </c>
    </row>
    <row r="1927" spans="1:21" x14ac:dyDescent="0.3">
      <c r="A1927" t="str">
        <f t="shared" si="90"/>
        <v>TorbayReablement &amp; Rehabilitation in a bedded setting (pathway 2)2</v>
      </c>
      <c r="B1927">
        <f>IF(C1927="","",COUNTIF($C$2:C1927,C1927))</f>
        <v>2</v>
      </c>
      <c r="C1927" t="str">
        <f t="shared" si="91"/>
        <v>TorbayReablement in a bedded setting (pathway 2)</v>
      </c>
      <c r="D1927" t="str">
        <f>VLOOKUP(G1927,PathwayLookup!A:B,2,0)</f>
        <v>Reablement &amp; Rehabilitation in a bedded setting (pathway 2)</v>
      </c>
      <c r="E1927" t="s">
        <v>325</v>
      </c>
      <c r="F1927" t="s">
        <v>651</v>
      </c>
      <c r="G1927" t="s">
        <v>722</v>
      </c>
      <c r="H1927">
        <v>4</v>
      </c>
      <c r="I1927">
        <v>3</v>
      </c>
      <c r="J1927">
        <v>3</v>
      </c>
      <c r="K1927">
        <v>3</v>
      </c>
      <c r="L1927">
        <v>3</v>
      </c>
      <c r="M1927">
        <v>3</v>
      </c>
      <c r="N1927">
        <v>3</v>
      </c>
      <c r="O1927">
        <v>3</v>
      </c>
      <c r="P1927">
        <v>3</v>
      </c>
      <c r="Q1927">
        <v>3</v>
      </c>
      <c r="R1927">
        <v>3</v>
      </c>
      <c r="S1927">
        <v>3</v>
      </c>
      <c r="T1927">
        <f t="shared" si="92"/>
        <v>37</v>
      </c>
      <c r="U1927">
        <v>1</v>
      </c>
    </row>
    <row r="1928" spans="1:21" x14ac:dyDescent="0.3">
      <c r="A1928" t="str">
        <f t="shared" si="90"/>
        <v>TorbayShort-term residential/nursing care for someone likely to require a longer-term care home placement (pathway 3)1</v>
      </c>
      <c r="B1928">
        <f>IF(C1928="","",COUNTIF($C$2:C1928,C1928))</f>
        <v>1</v>
      </c>
      <c r="C1928" t="str">
        <f t="shared" si="91"/>
        <v>TorbayShort-term residential/nursing care for someone likely to require a longer-term care home placement (pathway 3)</v>
      </c>
      <c r="D1928" t="str">
        <f>VLOOKUP(G1928,PathwayLookup!A:B,2,0)</f>
        <v>Short-term residential/nursing care for someone likely to require a longer-term care home placement (pathway 3)</v>
      </c>
      <c r="E1928" t="s">
        <v>325</v>
      </c>
      <c r="F1928" t="s">
        <v>624</v>
      </c>
      <c r="G1928" t="s">
        <v>686</v>
      </c>
      <c r="H1928">
        <v>29</v>
      </c>
      <c r="I1928">
        <v>30</v>
      </c>
      <c r="J1928">
        <v>26</v>
      </c>
      <c r="K1928">
        <v>19</v>
      </c>
      <c r="L1928">
        <v>20</v>
      </c>
      <c r="M1928">
        <v>26</v>
      </c>
      <c r="N1928">
        <v>24</v>
      </c>
      <c r="O1928">
        <v>24</v>
      </c>
      <c r="P1928">
        <v>20</v>
      </c>
      <c r="Q1928">
        <v>24</v>
      </c>
      <c r="R1928">
        <v>28</v>
      </c>
      <c r="S1928">
        <v>23</v>
      </c>
      <c r="T1928">
        <f t="shared" si="92"/>
        <v>293</v>
      </c>
      <c r="U1928">
        <v>1</v>
      </c>
    </row>
    <row r="1929" spans="1:21" x14ac:dyDescent="0.3">
      <c r="A1929" t="str">
        <f t="shared" si="90"/>
        <v>TorbayShort-term residential/nursing care for someone likely to require a longer-term care home placement (pathway 3)2</v>
      </c>
      <c r="B1929">
        <f>IF(C1929="","",COUNTIF($C$2:C1929,C1929))</f>
        <v>2</v>
      </c>
      <c r="C1929" t="str">
        <f t="shared" si="91"/>
        <v>TorbayShort-term residential/nursing care for someone likely to require a longer-term care home placement (pathway 3)</v>
      </c>
      <c r="D1929" t="str">
        <f>VLOOKUP(G1929,PathwayLookup!A:B,2,0)</f>
        <v>Short-term residential/nursing care for someone likely to require a longer-term care home placement (pathway 3)</v>
      </c>
      <c r="E1929" t="s">
        <v>325</v>
      </c>
      <c r="F1929" t="s">
        <v>651</v>
      </c>
      <c r="G1929" t="s">
        <v>686</v>
      </c>
      <c r="H1929">
        <v>3</v>
      </c>
      <c r="I1929">
        <v>2</v>
      </c>
      <c r="J1929">
        <v>2</v>
      </c>
      <c r="K1929">
        <v>2</v>
      </c>
      <c r="L1929">
        <v>2</v>
      </c>
      <c r="M1929">
        <v>2</v>
      </c>
      <c r="N1929">
        <v>2</v>
      </c>
      <c r="O1929">
        <v>2</v>
      </c>
      <c r="P1929">
        <v>2</v>
      </c>
      <c r="Q1929">
        <v>2</v>
      </c>
      <c r="R1929">
        <v>2</v>
      </c>
      <c r="S1929">
        <v>2</v>
      </c>
      <c r="T1929">
        <f t="shared" si="92"/>
        <v>25</v>
      </c>
      <c r="U1929">
        <v>1</v>
      </c>
    </row>
    <row r="1930" spans="1:21" x14ac:dyDescent="0.3">
      <c r="A1930" t="str">
        <f t="shared" si="90"/>
        <v/>
      </c>
      <c r="B1930" t="str">
        <f>IF(C1930="","",COUNTIF($C$2:C1930,C1930))</f>
        <v/>
      </c>
      <c r="C1930" t="str">
        <f t="shared" si="91"/>
        <v/>
      </c>
      <c r="D1930" t="str">
        <f>VLOOKUP(G1930,PathwayLookup!A:B,2,0)</f>
        <v>Social support (including VCS) (pathway 0)</v>
      </c>
      <c r="E1930" t="s">
        <v>327</v>
      </c>
      <c r="F1930" t="s">
        <v>453</v>
      </c>
      <c r="G1930" t="s">
        <v>682</v>
      </c>
      <c r="H1930">
        <v>0</v>
      </c>
      <c r="I1930">
        <v>0</v>
      </c>
      <c r="J1930">
        <v>0</v>
      </c>
      <c r="K1930">
        <v>0</v>
      </c>
      <c r="L1930">
        <v>0</v>
      </c>
      <c r="M1930">
        <v>0</v>
      </c>
      <c r="N1930">
        <v>0</v>
      </c>
      <c r="O1930">
        <v>0</v>
      </c>
      <c r="P1930">
        <v>0</v>
      </c>
      <c r="Q1930">
        <v>0</v>
      </c>
      <c r="R1930">
        <v>0</v>
      </c>
      <c r="S1930">
        <v>0</v>
      </c>
      <c r="T1930">
        <f t="shared" si="92"/>
        <v>0</v>
      </c>
      <c r="U1930">
        <v>1</v>
      </c>
    </row>
    <row r="1931" spans="1:21" x14ac:dyDescent="0.3">
      <c r="A1931" t="str">
        <f t="shared" si="90"/>
        <v>Tower HamletsSocial support (including VCS) (pathway 0)1</v>
      </c>
      <c r="B1931">
        <f>IF(C1931="","",COUNTIF($C$2:C1931,C1931))</f>
        <v>1</v>
      </c>
      <c r="C1931" t="str">
        <f t="shared" si="91"/>
        <v>Tower HamletsSocial support (including VCS) (pathway 0)</v>
      </c>
      <c r="D1931" t="str">
        <f>VLOOKUP(G1931,PathwayLookup!A:B,2,0)</f>
        <v>Social support (including VCS) (pathway 0)</v>
      </c>
      <c r="E1931" t="s">
        <v>327</v>
      </c>
      <c r="F1931" t="s">
        <v>456</v>
      </c>
      <c r="G1931" t="s">
        <v>682</v>
      </c>
      <c r="H1931">
        <v>2</v>
      </c>
      <c r="I1931">
        <v>2</v>
      </c>
      <c r="J1931">
        <v>2</v>
      </c>
      <c r="K1931">
        <v>2</v>
      </c>
      <c r="L1931">
        <v>2</v>
      </c>
      <c r="M1931">
        <v>2</v>
      </c>
      <c r="N1931">
        <v>2</v>
      </c>
      <c r="O1931">
        <v>2</v>
      </c>
      <c r="P1931">
        <v>2</v>
      </c>
      <c r="Q1931">
        <v>2</v>
      </c>
      <c r="R1931">
        <v>2</v>
      </c>
      <c r="S1931">
        <v>2</v>
      </c>
      <c r="T1931">
        <f t="shared" si="92"/>
        <v>24</v>
      </c>
      <c r="U1931">
        <v>1</v>
      </c>
    </row>
    <row r="1932" spans="1:21" x14ac:dyDescent="0.3">
      <c r="A1932" t="str">
        <f t="shared" si="90"/>
        <v/>
      </c>
      <c r="B1932" t="str">
        <f>IF(C1932="","",COUNTIF($C$2:C1932,C1932))</f>
        <v/>
      </c>
      <c r="C1932" t="str">
        <f t="shared" si="91"/>
        <v/>
      </c>
      <c r="D1932" t="str">
        <f>VLOOKUP(G1932,PathwayLookup!A:B,2,0)</f>
        <v>Social support (including VCS) (pathway 0)</v>
      </c>
      <c r="E1932" t="s">
        <v>327</v>
      </c>
      <c r="F1932" t="s">
        <v>516</v>
      </c>
      <c r="G1932" t="s">
        <v>682</v>
      </c>
      <c r="H1932">
        <v>0</v>
      </c>
      <c r="I1932">
        <v>0</v>
      </c>
      <c r="J1932">
        <v>0</v>
      </c>
      <c r="K1932">
        <v>0</v>
      </c>
      <c r="L1932">
        <v>0</v>
      </c>
      <c r="M1932">
        <v>0</v>
      </c>
      <c r="N1932">
        <v>0</v>
      </c>
      <c r="O1932">
        <v>0</v>
      </c>
      <c r="P1932">
        <v>0</v>
      </c>
      <c r="Q1932">
        <v>0</v>
      </c>
      <c r="R1932">
        <v>0</v>
      </c>
      <c r="S1932">
        <v>0</v>
      </c>
      <c r="T1932">
        <f t="shared" si="92"/>
        <v>0</v>
      </c>
      <c r="U1932">
        <v>1</v>
      </c>
    </row>
    <row r="1933" spans="1:21" x14ac:dyDescent="0.3">
      <c r="A1933" t="str">
        <f t="shared" si="90"/>
        <v>Tower HamletsReablement &amp; Rehabilitation at home  (pathway 1)1</v>
      </c>
      <c r="B1933">
        <f>IF(C1933="","",COUNTIF($C$2:C1933,C1933))</f>
        <v>1</v>
      </c>
      <c r="C1933" t="str">
        <f t="shared" si="91"/>
        <v>Tower HamletsReablement at home  (pathway 1)</v>
      </c>
      <c r="D1933" t="str">
        <f>VLOOKUP(G1933,PathwayLookup!A:B,2,0)</f>
        <v>Reablement &amp; Rehabilitation at home  (pathway 1)</v>
      </c>
      <c r="E1933" t="s">
        <v>327</v>
      </c>
      <c r="F1933" t="s">
        <v>453</v>
      </c>
      <c r="G1933" t="s">
        <v>718</v>
      </c>
      <c r="H1933">
        <v>1</v>
      </c>
      <c r="I1933">
        <v>1</v>
      </c>
      <c r="J1933">
        <v>1</v>
      </c>
      <c r="K1933">
        <v>1</v>
      </c>
      <c r="L1933">
        <v>1</v>
      </c>
      <c r="M1933">
        <v>1</v>
      </c>
      <c r="N1933">
        <v>1</v>
      </c>
      <c r="O1933">
        <v>1</v>
      </c>
      <c r="P1933">
        <v>1</v>
      </c>
      <c r="Q1933">
        <v>1</v>
      </c>
      <c r="R1933">
        <v>1</v>
      </c>
      <c r="S1933">
        <v>1</v>
      </c>
      <c r="T1933">
        <f t="shared" si="92"/>
        <v>12</v>
      </c>
      <c r="U1933">
        <v>1</v>
      </c>
    </row>
    <row r="1934" spans="1:21" x14ac:dyDescent="0.3">
      <c r="A1934" t="str">
        <f t="shared" si="90"/>
        <v>Tower HamletsReablement &amp; Rehabilitation at home  (pathway 1)2</v>
      </c>
      <c r="B1934">
        <f>IF(C1934="","",COUNTIF($C$2:C1934,C1934))</f>
        <v>2</v>
      </c>
      <c r="C1934" t="str">
        <f t="shared" si="91"/>
        <v>Tower HamletsReablement at home  (pathway 1)</v>
      </c>
      <c r="D1934" t="str">
        <f>VLOOKUP(G1934,PathwayLookup!A:B,2,0)</f>
        <v>Reablement &amp; Rehabilitation at home  (pathway 1)</v>
      </c>
      <c r="E1934" t="s">
        <v>327</v>
      </c>
      <c r="F1934" t="s">
        <v>456</v>
      </c>
      <c r="G1934" t="s">
        <v>718</v>
      </c>
      <c r="H1934">
        <v>78</v>
      </c>
      <c r="I1934">
        <v>92</v>
      </c>
      <c r="J1934">
        <v>88</v>
      </c>
      <c r="K1934">
        <v>88</v>
      </c>
      <c r="L1934">
        <v>83</v>
      </c>
      <c r="M1934">
        <v>83</v>
      </c>
      <c r="N1934">
        <v>82</v>
      </c>
      <c r="O1934">
        <v>85</v>
      </c>
      <c r="P1934">
        <v>84</v>
      </c>
      <c r="Q1934">
        <v>103</v>
      </c>
      <c r="R1934">
        <v>81</v>
      </c>
      <c r="S1934">
        <v>82</v>
      </c>
      <c r="T1934">
        <f t="shared" si="92"/>
        <v>1029</v>
      </c>
      <c r="U1934">
        <v>1</v>
      </c>
    </row>
    <row r="1935" spans="1:21" x14ac:dyDescent="0.3">
      <c r="A1935" t="str">
        <f t="shared" si="90"/>
        <v>Tower HamletsReablement &amp; Rehabilitation at home  (pathway 1)3</v>
      </c>
      <c r="B1935">
        <f>IF(C1935="","",COUNTIF($C$2:C1935,C1935))</f>
        <v>3</v>
      </c>
      <c r="C1935" t="str">
        <f t="shared" si="91"/>
        <v>Tower HamletsReablement at home  (pathway 1)</v>
      </c>
      <c r="D1935" t="str">
        <f>VLOOKUP(G1935,PathwayLookup!A:B,2,0)</f>
        <v>Reablement &amp; Rehabilitation at home  (pathway 1)</v>
      </c>
      <c r="E1935" t="s">
        <v>327</v>
      </c>
      <c r="F1935" t="s">
        <v>516</v>
      </c>
      <c r="G1935" t="s">
        <v>718</v>
      </c>
      <c r="H1935">
        <v>4</v>
      </c>
      <c r="I1935">
        <v>5</v>
      </c>
      <c r="J1935">
        <v>4</v>
      </c>
      <c r="K1935">
        <v>4</v>
      </c>
      <c r="L1935">
        <v>4</v>
      </c>
      <c r="M1935">
        <v>4</v>
      </c>
      <c r="N1935">
        <v>4</v>
      </c>
      <c r="O1935">
        <v>4</v>
      </c>
      <c r="P1935">
        <v>4</v>
      </c>
      <c r="Q1935">
        <v>5</v>
      </c>
      <c r="R1935">
        <v>4</v>
      </c>
      <c r="S1935">
        <v>4</v>
      </c>
      <c r="T1935">
        <f t="shared" si="92"/>
        <v>50</v>
      </c>
      <c r="U1935">
        <v>1</v>
      </c>
    </row>
    <row r="1936" spans="1:21" x14ac:dyDescent="0.3">
      <c r="A1936" t="str">
        <f t="shared" si="90"/>
        <v/>
      </c>
      <c r="B1936" t="str">
        <f>IF(C1936="","",COUNTIF($C$2:C1936,C1936))</f>
        <v/>
      </c>
      <c r="C1936" t="str">
        <f t="shared" si="91"/>
        <v/>
      </c>
      <c r="D1936" t="str">
        <f>VLOOKUP(G1936,PathwayLookup!A:B,2,0)</f>
        <v>Reablement &amp; Rehabilitation at home  (pathway 1)</v>
      </c>
      <c r="E1936" t="s">
        <v>327</v>
      </c>
      <c r="F1936" t="s">
        <v>453</v>
      </c>
      <c r="G1936" t="s">
        <v>719</v>
      </c>
      <c r="H1936">
        <v>0</v>
      </c>
      <c r="I1936">
        <v>0</v>
      </c>
      <c r="J1936">
        <v>0</v>
      </c>
      <c r="K1936">
        <v>0</v>
      </c>
      <c r="L1936">
        <v>0</v>
      </c>
      <c r="M1936">
        <v>0</v>
      </c>
      <c r="N1936">
        <v>0</v>
      </c>
      <c r="O1936">
        <v>0</v>
      </c>
      <c r="P1936">
        <v>0</v>
      </c>
      <c r="Q1936">
        <v>0</v>
      </c>
      <c r="R1936">
        <v>0</v>
      </c>
      <c r="S1936">
        <v>0</v>
      </c>
      <c r="T1936">
        <f t="shared" si="92"/>
        <v>0</v>
      </c>
      <c r="U1936">
        <v>1</v>
      </c>
    </row>
    <row r="1937" spans="1:21" x14ac:dyDescent="0.3">
      <c r="A1937" t="str">
        <f t="shared" si="90"/>
        <v>Tower HamletsReablement &amp; Rehabilitation at home  (pathway 1)1</v>
      </c>
      <c r="B1937">
        <f>IF(C1937="","",COUNTIF($C$2:C1937,C1937))</f>
        <v>1</v>
      </c>
      <c r="C1937" t="str">
        <f t="shared" si="91"/>
        <v>Tower HamletsRehabilitation at home (pathway 1)</v>
      </c>
      <c r="D1937" t="str">
        <f>VLOOKUP(G1937,PathwayLookup!A:B,2,0)</f>
        <v>Reablement &amp; Rehabilitation at home  (pathway 1)</v>
      </c>
      <c r="E1937" t="s">
        <v>327</v>
      </c>
      <c r="F1937" t="s">
        <v>456</v>
      </c>
      <c r="G1937" t="s">
        <v>719</v>
      </c>
      <c r="H1937">
        <v>20</v>
      </c>
      <c r="I1937">
        <v>17</v>
      </c>
      <c r="J1937">
        <v>13</v>
      </c>
      <c r="K1937">
        <v>20</v>
      </c>
      <c r="L1937">
        <v>6</v>
      </c>
      <c r="M1937">
        <v>12</v>
      </c>
      <c r="N1937">
        <v>5</v>
      </c>
      <c r="O1937">
        <v>9</v>
      </c>
      <c r="P1937">
        <v>6</v>
      </c>
      <c r="Q1937">
        <v>2</v>
      </c>
      <c r="R1937">
        <v>9</v>
      </c>
      <c r="S1937">
        <v>10</v>
      </c>
      <c r="T1937">
        <f t="shared" si="92"/>
        <v>129</v>
      </c>
      <c r="U1937">
        <v>1</v>
      </c>
    </row>
    <row r="1938" spans="1:21" x14ac:dyDescent="0.3">
      <c r="A1938" t="str">
        <f t="shared" si="90"/>
        <v>Tower HamletsReablement &amp; Rehabilitation at home  (pathway 1)2</v>
      </c>
      <c r="B1938">
        <f>IF(C1938="","",COUNTIF($C$2:C1938,C1938))</f>
        <v>2</v>
      </c>
      <c r="C1938" t="str">
        <f t="shared" si="91"/>
        <v>Tower HamletsRehabilitation at home (pathway 1)</v>
      </c>
      <c r="D1938" t="str">
        <f>VLOOKUP(G1938,PathwayLookup!A:B,2,0)</f>
        <v>Reablement &amp; Rehabilitation at home  (pathway 1)</v>
      </c>
      <c r="E1938" t="s">
        <v>327</v>
      </c>
      <c r="F1938" t="s">
        <v>516</v>
      </c>
      <c r="G1938" t="s">
        <v>719</v>
      </c>
      <c r="H1938">
        <v>0</v>
      </c>
      <c r="I1938">
        <v>0</v>
      </c>
      <c r="J1938">
        <v>0</v>
      </c>
      <c r="K1938">
        <v>0</v>
      </c>
      <c r="L1938">
        <v>1</v>
      </c>
      <c r="M1938">
        <v>1</v>
      </c>
      <c r="N1938">
        <v>1</v>
      </c>
      <c r="O1938">
        <v>1</v>
      </c>
      <c r="P1938">
        <v>0</v>
      </c>
      <c r="Q1938">
        <v>0</v>
      </c>
      <c r="R1938">
        <v>0</v>
      </c>
      <c r="S1938">
        <v>1</v>
      </c>
      <c r="T1938">
        <f t="shared" si="92"/>
        <v>5</v>
      </c>
      <c r="U1938">
        <v>1</v>
      </c>
    </row>
    <row r="1939" spans="1:21" x14ac:dyDescent="0.3">
      <c r="A1939" t="str">
        <f t="shared" si="90"/>
        <v/>
      </c>
      <c r="B1939" t="str">
        <f>IF(C1939="","",COUNTIF($C$2:C1939,C1939))</f>
        <v/>
      </c>
      <c r="C1939" t="str">
        <f t="shared" si="91"/>
        <v/>
      </c>
      <c r="D1939" t="str">
        <f>VLOOKUP(G1939,PathwayLookup!A:B,2,0)</f>
        <v>Reablement &amp; Rehabilitation in a bedded setting (pathway 2)</v>
      </c>
      <c r="E1939" t="s">
        <v>327</v>
      </c>
      <c r="F1939" t="s">
        <v>453</v>
      </c>
      <c r="G1939" t="s">
        <v>722</v>
      </c>
      <c r="H1939">
        <v>0</v>
      </c>
      <c r="I1939">
        <v>0</v>
      </c>
      <c r="J1939">
        <v>0</v>
      </c>
      <c r="K1939">
        <v>0</v>
      </c>
      <c r="L1939">
        <v>0</v>
      </c>
      <c r="M1939">
        <v>0</v>
      </c>
      <c r="N1939">
        <v>0</v>
      </c>
      <c r="O1939">
        <v>0</v>
      </c>
      <c r="P1939">
        <v>0</v>
      </c>
      <c r="Q1939">
        <v>0</v>
      </c>
      <c r="R1939">
        <v>0</v>
      </c>
      <c r="S1939">
        <v>0</v>
      </c>
      <c r="T1939">
        <f t="shared" si="92"/>
        <v>0</v>
      </c>
      <c r="U1939">
        <v>1</v>
      </c>
    </row>
    <row r="1940" spans="1:21" x14ac:dyDescent="0.3">
      <c r="A1940" t="str">
        <f t="shared" si="90"/>
        <v>Tower HamletsReablement &amp; Rehabilitation in a bedded setting (pathway 2)1</v>
      </c>
      <c r="B1940">
        <f>IF(C1940="","",COUNTIF($C$2:C1940,C1940))</f>
        <v>1</v>
      </c>
      <c r="C1940" t="str">
        <f t="shared" si="91"/>
        <v>Tower HamletsReablement in a bedded setting (pathway 2)</v>
      </c>
      <c r="D1940" t="str">
        <f>VLOOKUP(G1940,PathwayLookup!A:B,2,0)</f>
        <v>Reablement &amp; Rehabilitation in a bedded setting (pathway 2)</v>
      </c>
      <c r="E1940" t="s">
        <v>327</v>
      </c>
      <c r="F1940" t="s">
        <v>456</v>
      </c>
      <c r="G1940" t="s">
        <v>722</v>
      </c>
      <c r="H1940">
        <v>20</v>
      </c>
      <c r="I1940">
        <v>17</v>
      </c>
      <c r="J1940">
        <v>13</v>
      </c>
      <c r="K1940">
        <v>20</v>
      </c>
      <c r="L1940">
        <v>6</v>
      </c>
      <c r="M1940">
        <v>12</v>
      </c>
      <c r="N1940">
        <v>5</v>
      </c>
      <c r="O1940">
        <v>9</v>
      </c>
      <c r="P1940">
        <v>6</v>
      </c>
      <c r="Q1940">
        <v>2</v>
      </c>
      <c r="R1940">
        <v>9</v>
      </c>
      <c r="S1940">
        <v>10</v>
      </c>
      <c r="T1940">
        <f t="shared" si="92"/>
        <v>129</v>
      </c>
      <c r="U1940">
        <v>1</v>
      </c>
    </row>
    <row r="1941" spans="1:21" x14ac:dyDescent="0.3">
      <c r="A1941" t="str">
        <f t="shared" si="90"/>
        <v>Tower HamletsReablement &amp; Rehabilitation in a bedded setting (pathway 2)2</v>
      </c>
      <c r="B1941">
        <f>IF(C1941="","",COUNTIF($C$2:C1941,C1941))</f>
        <v>2</v>
      </c>
      <c r="C1941" t="str">
        <f t="shared" si="91"/>
        <v>Tower HamletsReablement in a bedded setting (pathway 2)</v>
      </c>
      <c r="D1941" t="str">
        <f>VLOOKUP(G1941,PathwayLookup!A:B,2,0)</f>
        <v>Reablement &amp; Rehabilitation in a bedded setting (pathway 2)</v>
      </c>
      <c r="E1941" t="s">
        <v>327</v>
      </c>
      <c r="F1941" t="s">
        <v>516</v>
      </c>
      <c r="G1941" t="s">
        <v>722</v>
      </c>
      <c r="H1941">
        <v>0</v>
      </c>
      <c r="I1941">
        <v>0</v>
      </c>
      <c r="J1941">
        <v>0</v>
      </c>
      <c r="K1941">
        <v>0</v>
      </c>
      <c r="L1941">
        <v>1</v>
      </c>
      <c r="M1941">
        <v>1</v>
      </c>
      <c r="N1941">
        <v>1</v>
      </c>
      <c r="O1941">
        <v>1</v>
      </c>
      <c r="P1941">
        <v>0</v>
      </c>
      <c r="Q1941">
        <v>0</v>
      </c>
      <c r="R1941">
        <v>0</v>
      </c>
      <c r="S1941">
        <v>1</v>
      </c>
      <c r="T1941">
        <f t="shared" si="92"/>
        <v>5</v>
      </c>
      <c r="U1941">
        <v>1</v>
      </c>
    </row>
    <row r="1942" spans="1:21" x14ac:dyDescent="0.3">
      <c r="A1942" t="str">
        <f t="shared" si="90"/>
        <v/>
      </c>
      <c r="B1942" t="str">
        <f>IF(C1942="","",COUNTIF($C$2:C1942,C1942))</f>
        <v/>
      </c>
      <c r="C1942" t="str">
        <f t="shared" si="91"/>
        <v/>
      </c>
      <c r="D1942" t="str">
        <f>VLOOKUP(G1942,PathwayLookup!A:B,2,0)</f>
        <v>Reablement &amp; Rehabilitation in a bedded setting (pathway 2)</v>
      </c>
      <c r="E1942" t="s">
        <v>327</v>
      </c>
      <c r="F1942" t="s">
        <v>453</v>
      </c>
      <c r="G1942" t="s">
        <v>724</v>
      </c>
      <c r="H1942">
        <v>0</v>
      </c>
      <c r="I1942">
        <v>0</v>
      </c>
      <c r="J1942">
        <v>0</v>
      </c>
      <c r="K1942">
        <v>0</v>
      </c>
      <c r="L1942">
        <v>0</v>
      </c>
      <c r="M1942">
        <v>0</v>
      </c>
      <c r="N1942">
        <v>0</v>
      </c>
      <c r="O1942">
        <v>0</v>
      </c>
      <c r="P1942">
        <v>0</v>
      </c>
      <c r="Q1942">
        <v>0</v>
      </c>
      <c r="R1942">
        <v>0</v>
      </c>
      <c r="S1942">
        <v>0</v>
      </c>
      <c r="T1942">
        <f t="shared" si="92"/>
        <v>0</v>
      </c>
      <c r="U1942">
        <v>1</v>
      </c>
    </row>
    <row r="1943" spans="1:21" x14ac:dyDescent="0.3">
      <c r="A1943" t="str">
        <f t="shared" si="90"/>
        <v>Tower HamletsReablement &amp; Rehabilitation in a bedded setting (pathway 2)1</v>
      </c>
      <c r="B1943">
        <f>IF(C1943="","",COUNTIF($C$2:C1943,C1943))</f>
        <v>1</v>
      </c>
      <c r="C1943" t="str">
        <f t="shared" si="91"/>
        <v>Tower HamletsRehabilitation in a bedded setting (pathway 2)</v>
      </c>
      <c r="D1943" t="str">
        <f>VLOOKUP(G1943,PathwayLookup!A:B,2,0)</f>
        <v>Reablement &amp; Rehabilitation in a bedded setting (pathway 2)</v>
      </c>
      <c r="E1943" t="s">
        <v>327</v>
      </c>
      <c r="F1943" t="s">
        <v>456</v>
      </c>
      <c r="G1943" t="s">
        <v>724</v>
      </c>
      <c r="H1943">
        <v>10</v>
      </c>
      <c r="I1943">
        <v>12</v>
      </c>
      <c r="J1943">
        <v>10</v>
      </c>
      <c r="K1943">
        <v>7</v>
      </c>
      <c r="L1943">
        <v>8</v>
      </c>
      <c r="M1943">
        <v>7</v>
      </c>
      <c r="N1943">
        <v>7</v>
      </c>
      <c r="O1943">
        <v>7</v>
      </c>
      <c r="P1943">
        <v>7</v>
      </c>
      <c r="Q1943">
        <v>7</v>
      </c>
      <c r="R1943">
        <v>7</v>
      </c>
      <c r="S1943">
        <v>7</v>
      </c>
      <c r="T1943">
        <f t="shared" si="92"/>
        <v>96</v>
      </c>
      <c r="U1943">
        <v>1</v>
      </c>
    </row>
    <row r="1944" spans="1:21" x14ac:dyDescent="0.3">
      <c r="A1944" t="str">
        <f t="shared" si="90"/>
        <v/>
      </c>
      <c r="B1944" t="str">
        <f>IF(C1944="","",COUNTIF($C$2:C1944,C1944))</f>
        <v/>
      </c>
      <c r="C1944" t="str">
        <f t="shared" si="91"/>
        <v/>
      </c>
      <c r="D1944" t="str">
        <f>VLOOKUP(G1944,PathwayLookup!A:B,2,0)</f>
        <v>Reablement &amp; Rehabilitation in a bedded setting (pathway 2)</v>
      </c>
      <c r="E1944" t="s">
        <v>327</v>
      </c>
      <c r="F1944" t="s">
        <v>516</v>
      </c>
      <c r="G1944" t="s">
        <v>724</v>
      </c>
      <c r="H1944">
        <v>0</v>
      </c>
      <c r="I1944">
        <v>0</v>
      </c>
      <c r="J1944">
        <v>0</v>
      </c>
      <c r="K1944">
        <v>0</v>
      </c>
      <c r="L1944">
        <v>0</v>
      </c>
      <c r="M1944">
        <v>0</v>
      </c>
      <c r="N1944">
        <v>0</v>
      </c>
      <c r="O1944">
        <v>0</v>
      </c>
      <c r="P1944">
        <v>0</v>
      </c>
      <c r="Q1944">
        <v>0</v>
      </c>
      <c r="R1944">
        <v>0</v>
      </c>
      <c r="S1944">
        <v>0</v>
      </c>
      <c r="T1944">
        <f t="shared" si="92"/>
        <v>0</v>
      </c>
      <c r="U1944">
        <v>1</v>
      </c>
    </row>
    <row r="1945" spans="1:21" x14ac:dyDescent="0.3">
      <c r="A1945" t="str">
        <f t="shared" si="90"/>
        <v/>
      </c>
      <c r="B1945" t="str">
        <f>IF(C1945="","",COUNTIF($C$2:C1945,C1945))</f>
        <v/>
      </c>
      <c r="C1945" t="str">
        <f t="shared" si="91"/>
        <v/>
      </c>
      <c r="D1945" t="str">
        <f>VLOOKUP(G1945,PathwayLookup!A:B,2,0)</f>
        <v>Short term domiciliary care (pathway 1)</v>
      </c>
      <c r="E1945" t="s">
        <v>327</v>
      </c>
      <c r="F1945" t="s">
        <v>453</v>
      </c>
      <c r="G1945" t="s">
        <v>684</v>
      </c>
      <c r="H1945">
        <v>0</v>
      </c>
      <c r="I1945">
        <v>0</v>
      </c>
      <c r="J1945">
        <v>0</v>
      </c>
      <c r="K1945">
        <v>0</v>
      </c>
      <c r="L1945">
        <v>0</v>
      </c>
      <c r="M1945">
        <v>0</v>
      </c>
      <c r="N1945">
        <v>0</v>
      </c>
      <c r="O1945">
        <v>0</v>
      </c>
      <c r="P1945">
        <v>0</v>
      </c>
      <c r="Q1945">
        <v>0</v>
      </c>
      <c r="R1945">
        <v>0</v>
      </c>
      <c r="S1945">
        <v>0</v>
      </c>
      <c r="T1945">
        <f t="shared" si="92"/>
        <v>0</v>
      </c>
      <c r="U1945">
        <v>1</v>
      </c>
    </row>
    <row r="1946" spans="1:21" x14ac:dyDescent="0.3">
      <c r="A1946" t="str">
        <f t="shared" si="90"/>
        <v>Tower HamletsShort term domiciliary care (pathway 1)1</v>
      </c>
      <c r="B1946">
        <f>IF(C1946="","",COUNTIF($C$2:C1946,C1946))</f>
        <v>1</v>
      </c>
      <c r="C1946" t="str">
        <f t="shared" si="91"/>
        <v>Tower HamletsShort term domiciliary care (pathway 1)</v>
      </c>
      <c r="D1946" t="str">
        <f>VLOOKUP(G1946,PathwayLookup!A:B,2,0)</f>
        <v>Short term domiciliary care (pathway 1)</v>
      </c>
      <c r="E1946" t="s">
        <v>327</v>
      </c>
      <c r="F1946" t="s">
        <v>456</v>
      </c>
      <c r="G1946" t="s">
        <v>684</v>
      </c>
      <c r="H1946">
        <v>10</v>
      </c>
      <c r="I1946">
        <v>12</v>
      </c>
      <c r="J1946">
        <v>10</v>
      </c>
      <c r="K1946">
        <v>7</v>
      </c>
      <c r="L1946">
        <v>8</v>
      </c>
      <c r="M1946">
        <v>7</v>
      </c>
      <c r="N1946">
        <v>7</v>
      </c>
      <c r="O1946">
        <v>7</v>
      </c>
      <c r="P1946">
        <v>7</v>
      </c>
      <c r="Q1946">
        <v>7</v>
      </c>
      <c r="R1946">
        <v>7</v>
      </c>
      <c r="S1946">
        <v>7</v>
      </c>
      <c r="T1946">
        <f t="shared" si="92"/>
        <v>96</v>
      </c>
      <c r="U1946">
        <v>1</v>
      </c>
    </row>
    <row r="1947" spans="1:21" x14ac:dyDescent="0.3">
      <c r="A1947" t="str">
        <f t="shared" si="90"/>
        <v/>
      </c>
      <c r="B1947" t="str">
        <f>IF(C1947="","",COUNTIF($C$2:C1947,C1947))</f>
        <v/>
      </c>
      <c r="C1947" t="str">
        <f t="shared" si="91"/>
        <v/>
      </c>
      <c r="D1947" t="str">
        <f>VLOOKUP(G1947,PathwayLookup!A:B,2,0)</f>
        <v>Short term domiciliary care (pathway 1)</v>
      </c>
      <c r="E1947" t="s">
        <v>327</v>
      </c>
      <c r="F1947" t="s">
        <v>516</v>
      </c>
      <c r="G1947" t="s">
        <v>684</v>
      </c>
      <c r="H1947">
        <v>0</v>
      </c>
      <c r="I1947">
        <v>0</v>
      </c>
      <c r="J1947">
        <v>0</v>
      </c>
      <c r="K1947">
        <v>0</v>
      </c>
      <c r="L1947">
        <v>0</v>
      </c>
      <c r="M1947">
        <v>0</v>
      </c>
      <c r="N1947">
        <v>0</v>
      </c>
      <c r="O1947">
        <v>0</v>
      </c>
      <c r="P1947">
        <v>0</v>
      </c>
      <c r="Q1947">
        <v>0</v>
      </c>
      <c r="R1947">
        <v>0</v>
      </c>
      <c r="S1947">
        <v>0</v>
      </c>
      <c r="T1947">
        <f t="shared" si="92"/>
        <v>0</v>
      </c>
      <c r="U1947">
        <v>1</v>
      </c>
    </row>
    <row r="1948" spans="1:21" x14ac:dyDescent="0.3">
      <c r="A1948" t="str">
        <f t="shared" si="90"/>
        <v>Tower HamletsShort-term residential/nursing care for someone likely to require a longer-term care home placement (pathway 3)1</v>
      </c>
      <c r="B1948">
        <f>IF(C1948="","",COUNTIF($C$2:C1948,C1948))</f>
        <v>1</v>
      </c>
      <c r="C1948" t="str">
        <f t="shared" si="91"/>
        <v>Tower HamletsShort-term residential/nursing care for someone likely to require a longer-term care home placement (pathway 3)</v>
      </c>
      <c r="D1948" t="str">
        <f>VLOOKUP(G1948,PathwayLookup!A:B,2,0)</f>
        <v>Short-term residential/nursing care for someone likely to require a longer-term care home placement (pathway 3)</v>
      </c>
      <c r="E1948" t="s">
        <v>327</v>
      </c>
      <c r="F1948" t="s">
        <v>453</v>
      </c>
      <c r="G1948" t="s">
        <v>686</v>
      </c>
      <c r="H1948">
        <v>1</v>
      </c>
      <c r="I1948">
        <v>1</v>
      </c>
      <c r="J1948">
        <v>1</v>
      </c>
      <c r="K1948">
        <v>1</v>
      </c>
      <c r="L1948">
        <v>1</v>
      </c>
      <c r="M1948">
        <v>1</v>
      </c>
      <c r="N1948">
        <v>1</v>
      </c>
      <c r="O1948">
        <v>1</v>
      </c>
      <c r="P1948">
        <v>1</v>
      </c>
      <c r="Q1948">
        <v>1</v>
      </c>
      <c r="R1948">
        <v>1</v>
      </c>
      <c r="S1948">
        <v>1</v>
      </c>
      <c r="T1948">
        <f t="shared" si="92"/>
        <v>12</v>
      </c>
      <c r="U1948">
        <v>1</v>
      </c>
    </row>
    <row r="1949" spans="1:21" x14ac:dyDescent="0.3">
      <c r="A1949" t="str">
        <f t="shared" si="90"/>
        <v>Tower HamletsShort-term residential/nursing care for someone likely to require a longer-term care home placement (pathway 3)2</v>
      </c>
      <c r="B1949">
        <f>IF(C1949="","",COUNTIF($C$2:C1949,C1949))</f>
        <v>2</v>
      </c>
      <c r="C1949" t="str">
        <f t="shared" si="91"/>
        <v>Tower HamletsShort-term residential/nursing care for someone likely to require a longer-term care home placement (pathway 3)</v>
      </c>
      <c r="D1949" t="str">
        <f>VLOOKUP(G1949,PathwayLookup!A:B,2,0)</f>
        <v>Short-term residential/nursing care for someone likely to require a longer-term care home placement (pathway 3)</v>
      </c>
      <c r="E1949" t="s">
        <v>327</v>
      </c>
      <c r="F1949" t="s">
        <v>456</v>
      </c>
      <c r="G1949" t="s">
        <v>686</v>
      </c>
      <c r="H1949">
        <v>10</v>
      </c>
      <c r="I1949">
        <v>18</v>
      </c>
      <c r="J1949">
        <v>10</v>
      </c>
      <c r="K1949">
        <v>8</v>
      </c>
      <c r="L1949">
        <v>10</v>
      </c>
      <c r="M1949">
        <v>11</v>
      </c>
      <c r="N1949">
        <v>10</v>
      </c>
      <c r="O1949">
        <v>15</v>
      </c>
      <c r="P1949">
        <v>18</v>
      </c>
      <c r="Q1949">
        <v>17</v>
      </c>
      <c r="R1949">
        <v>17</v>
      </c>
      <c r="S1949">
        <v>18</v>
      </c>
      <c r="T1949">
        <f t="shared" si="92"/>
        <v>162</v>
      </c>
      <c r="U1949">
        <v>1</v>
      </c>
    </row>
    <row r="1950" spans="1:21" x14ac:dyDescent="0.3">
      <c r="A1950" t="str">
        <f t="shared" si="90"/>
        <v>Tower HamletsShort-term residential/nursing care for someone likely to require a longer-term care home placement (pathway 3)3</v>
      </c>
      <c r="B1950">
        <f>IF(C1950="","",COUNTIF($C$2:C1950,C1950))</f>
        <v>3</v>
      </c>
      <c r="C1950" t="str">
        <f t="shared" si="91"/>
        <v>Tower HamletsShort-term residential/nursing care for someone likely to require a longer-term care home placement (pathway 3)</v>
      </c>
      <c r="D1950" t="str">
        <f>VLOOKUP(G1950,PathwayLookup!A:B,2,0)</f>
        <v>Short-term residential/nursing care for someone likely to require a longer-term care home placement (pathway 3)</v>
      </c>
      <c r="E1950" t="s">
        <v>327</v>
      </c>
      <c r="F1950" t="s">
        <v>516</v>
      </c>
      <c r="G1950" t="s">
        <v>686</v>
      </c>
      <c r="H1950">
        <v>1</v>
      </c>
      <c r="I1950">
        <v>1</v>
      </c>
      <c r="J1950">
        <v>1</v>
      </c>
      <c r="K1950">
        <v>1</v>
      </c>
      <c r="L1950">
        <v>1</v>
      </c>
      <c r="M1950">
        <v>1</v>
      </c>
      <c r="N1950">
        <v>1</v>
      </c>
      <c r="O1950">
        <v>1</v>
      </c>
      <c r="P1950">
        <v>1</v>
      </c>
      <c r="Q1950">
        <v>1</v>
      </c>
      <c r="R1950">
        <v>1</v>
      </c>
      <c r="S1950">
        <v>1</v>
      </c>
      <c r="T1950">
        <f t="shared" si="92"/>
        <v>12</v>
      </c>
      <c r="U1950">
        <v>1</v>
      </c>
    </row>
    <row r="1951" spans="1:21" x14ac:dyDescent="0.3">
      <c r="A1951" t="str">
        <f t="shared" si="90"/>
        <v>TraffordSocial support (including VCS) (pathway 0)1</v>
      </c>
      <c r="B1951">
        <f>IF(C1951="","",COUNTIF($C$2:C1951,C1951))</f>
        <v>1</v>
      </c>
      <c r="C1951" t="str">
        <f t="shared" si="91"/>
        <v>TraffordSocial support (including VCS) (pathway 0)</v>
      </c>
      <c r="D1951" t="str">
        <f>VLOOKUP(G1951,PathwayLookup!A:B,2,0)</f>
        <v>Social support (including VCS) (pathway 0)</v>
      </c>
      <c r="E1951" t="s">
        <v>329</v>
      </c>
      <c r="F1951" t="s">
        <v>542</v>
      </c>
      <c r="G1951" t="s">
        <v>682</v>
      </c>
      <c r="H1951">
        <v>12</v>
      </c>
      <c r="I1951">
        <v>12</v>
      </c>
      <c r="J1951">
        <v>12</v>
      </c>
      <c r="K1951">
        <v>12</v>
      </c>
      <c r="L1951">
        <v>12</v>
      </c>
      <c r="M1951">
        <v>12</v>
      </c>
      <c r="N1951">
        <v>12</v>
      </c>
      <c r="O1951">
        <v>12</v>
      </c>
      <c r="P1951">
        <v>12</v>
      </c>
      <c r="Q1951">
        <v>12</v>
      </c>
      <c r="R1951">
        <v>12</v>
      </c>
      <c r="S1951">
        <v>12</v>
      </c>
      <c r="T1951">
        <f t="shared" si="92"/>
        <v>144</v>
      </c>
      <c r="U1951">
        <v>1</v>
      </c>
    </row>
    <row r="1952" spans="1:21" x14ac:dyDescent="0.3">
      <c r="A1952" t="str">
        <f t="shared" si="90"/>
        <v>TraffordReablement &amp; Rehabilitation at home  (pathway 1)1</v>
      </c>
      <c r="B1952">
        <f>IF(C1952="","",COUNTIF($C$2:C1952,C1952))</f>
        <v>1</v>
      </c>
      <c r="C1952" t="str">
        <f t="shared" si="91"/>
        <v>TraffordReablement at home  (pathway 1)</v>
      </c>
      <c r="D1952" t="str">
        <f>VLOOKUP(G1952,PathwayLookup!A:B,2,0)</f>
        <v>Reablement &amp; Rehabilitation at home  (pathway 1)</v>
      </c>
      <c r="E1952" t="s">
        <v>329</v>
      </c>
      <c r="F1952" t="s">
        <v>542</v>
      </c>
      <c r="G1952" t="s">
        <v>718</v>
      </c>
      <c r="H1952">
        <v>40</v>
      </c>
      <c r="I1952">
        <v>40</v>
      </c>
      <c r="J1952">
        <v>40</v>
      </c>
      <c r="K1952">
        <v>40</v>
      </c>
      <c r="L1952">
        <v>40</v>
      </c>
      <c r="M1952">
        <v>40</v>
      </c>
      <c r="N1952">
        <v>40</v>
      </c>
      <c r="O1952">
        <v>40</v>
      </c>
      <c r="P1952">
        <v>40</v>
      </c>
      <c r="Q1952">
        <v>40</v>
      </c>
      <c r="R1952">
        <v>40</v>
      </c>
      <c r="S1952">
        <v>40</v>
      </c>
      <c r="T1952">
        <f t="shared" si="92"/>
        <v>480</v>
      </c>
      <c r="U1952">
        <v>1</v>
      </c>
    </row>
    <row r="1953" spans="1:21" x14ac:dyDescent="0.3">
      <c r="A1953" t="str">
        <f t="shared" si="90"/>
        <v>WakefieldSocial support (including VCS) (pathway 0)1</v>
      </c>
      <c r="B1953">
        <f>IF(C1953="","",COUNTIF($C$2:C1953,C1953))</f>
        <v>1</v>
      </c>
      <c r="C1953" t="str">
        <f t="shared" si="91"/>
        <v>WakefieldSocial support (including VCS) (pathway 0)</v>
      </c>
      <c r="D1953" t="str">
        <f>VLOOKUP(G1953,PathwayLookup!A:B,2,0)</f>
        <v>Social support (including VCS) (pathway 0)</v>
      </c>
      <c r="E1953" t="s">
        <v>331</v>
      </c>
      <c r="F1953" t="s">
        <v>547</v>
      </c>
      <c r="G1953" t="s">
        <v>682</v>
      </c>
      <c r="H1953">
        <v>2930</v>
      </c>
      <c r="I1953">
        <v>3026</v>
      </c>
      <c r="J1953">
        <v>2930</v>
      </c>
      <c r="K1953">
        <v>3026</v>
      </c>
      <c r="L1953">
        <v>3026</v>
      </c>
      <c r="M1953">
        <v>2930</v>
      </c>
      <c r="N1953">
        <v>3026</v>
      </c>
      <c r="O1953">
        <v>2930</v>
      </c>
      <c r="P1953">
        <v>3026</v>
      </c>
      <c r="Q1953">
        <v>3026</v>
      </c>
      <c r="R1953">
        <v>2830</v>
      </c>
      <c r="S1953">
        <v>3026</v>
      </c>
      <c r="T1953">
        <f t="shared" si="92"/>
        <v>35732</v>
      </c>
      <c r="U1953">
        <v>1</v>
      </c>
    </row>
    <row r="1954" spans="1:21" x14ac:dyDescent="0.3">
      <c r="A1954" t="str">
        <f t="shared" si="90"/>
        <v>WakefieldReablement &amp; Rehabilitation at home  (pathway 1)1</v>
      </c>
      <c r="B1954">
        <f>IF(C1954="","",COUNTIF($C$2:C1954,C1954))</f>
        <v>1</v>
      </c>
      <c r="C1954" t="str">
        <f t="shared" si="91"/>
        <v>WakefieldReablement at home  (pathway 1)</v>
      </c>
      <c r="D1954" t="str">
        <f>VLOOKUP(G1954,PathwayLookup!A:B,2,0)</f>
        <v>Reablement &amp; Rehabilitation at home  (pathway 1)</v>
      </c>
      <c r="E1954" t="s">
        <v>331</v>
      </c>
      <c r="F1954" t="s">
        <v>547</v>
      </c>
      <c r="G1954" t="s">
        <v>718</v>
      </c>
      <c r="H1954">
        <v>340</v>
      </c>
      <c r="I1954">
        <v>351</v>
      </c>
      <c r="J1954">
        <v>340</v>
      </c>
      <c r="K1954">
        <v>351</v>
      </c>
      <c r="L1954">
        <v>351</v>
      </c>
      <c r="M1954">
        <v>340</v>
      </c>
      <c r="N1954">
        <v>351</v>
      </c>
      <c r="O1954">
        <v>340</v>
      </c>
      <c r="P1954">
        <v>351</v>
      </c>
      <c r="Q1954">
        <v>351</v>
      </c>
      <c r="R1954">
        <v>328</v>
      </c>
      <c r="S1954">
        <v>351</v>
      </c>
      <c r="T1954">
        <f t="shared" si="92"/>
        <v>4145</v>
      </c>
      <c r="U1954">
        <v>1</v>
      </c>
    </row>
    <row r="1955" spans="1:21" x14ac:dyDescent="0.3">
      <c r="A1955" t="str">
        <f t="shared" si="90"/>
        <v>WakefieldReablement &amp; Rehabilitation at home  (pathway 1)1</v>
      </c>
      <c r="B1955">
        <f>IF(C1955="","",COUNTIF($C$2:C1955,C1955))</f>
        <v>1</v>
      </c>
      <c r="C1955" t="str">
        <f t="shared" si="91"/>
        <v>WakefieldRehabilitation at home (pathway 1)</v>
      </c>
      <c r="D1955" t="str">
        <f>VLOOKUP(G1955,PathwayLookup!A:B,2,0)</f>
        <v>Reablement &amp; Rehabilitation at home  (pathway 1)</v>
      </c>
      <c r="E1955" t="s">
        <v>331</v>
      </c>
      <c r="F1955" t="s">
        <v>448</v>
      </c>
      <c r="G1955" t="s">
        <v>719</v>
      </c>
      <c r="H1955">
        <v>196</v>
      </c>
      <c r="I1955">
        <v>212</v>
      </c>
      <c r="J1955">
        <v>515</v>
      </c>
      <c r="K1955">
        <v>506</v>
      </c>
      <c r="L1955">
        <v>506</v>
      </c>
      <c r="M1955">
        <v>506</v>
      </c>
      <c r="N1955">
        <v>532</v>
      </c>
      <c r="O1955">
        <v>532</v>
      </c>
      <c r="P1955">
        <v>532</v>
      </c>
      <c r="Q1955">
        <v>532</v>
      </c>
      <c r="R1955">
        <v>518</v>
      </c>
      <c r="S1955">
        <v>518</v>
      </c>
      <c r="T1955">
        <f t="shared" si="92"/>
        <v>5605</v>
      </c>
      <c r="U1955">
        <v>1</v>
      </c>
    </row>
    <row r="1956" spans="1:21" x14ac:dyDescent="0.3">
      <c r="A1956" t="str">
        <f t="shared" si="90"/>
        <v>WakefieldReablement &amp; Rehabilitation at home  (pathway 1)2</v>
      </c>
      <c r="B1956">
        <f>IF(C1956="","",COUNTIF($C$2:C1956,C1956))</f>
        <v>2</v>
      </c>
      <c r="C1956" t="str">
        <f t="shared" si="91"/>
        <v>WakefieldRehabilitation at home (pathway 1)</v>
      </c>
      <c r="D1956" t="str">
        <f>VLOOKUP(G1956,PathwayLookup!A:B,2,0)</f>
        <v>Reablement &amp; Rehabilitation at home  (pathway 1)</v>
      </c>
      <c r="E1956" t="s">
        <v>331</v>
      </c>
      <c r="F1956" t="s">
        <v>547</v>
      </c>
      <c r="G1956" t="s">
        <v>719</v>
      </c>
      <c r="H1956">
        <v>379</v>
      </c>
      <c r="I1956">
        <v>306</v>
      </c>
      <c r="J1956">
        <v>311</v>
      </c>
      <c r="K1956">
        <v>332</v>
      </c>
      <c r="L1956">
        <v>332</v>
      </c>
      <c r="M1956">
        <v>332</v>
      </c>
      <c r="N1956">
        <v>332</v>
      </c>
      <c r="O1956">
        <v>332</v>
      </c>
      <c r="P1956">
        <v>332</v>
      </c>
      <c r="Q1956">
        <v>332</v>
      </c>
      <c r="R1956">
        <v>332</v>
      </c>
      <c r="S1956">
        <v>332</v>
      </c>
      <c r="T1956">
        <f t="shared" si="92"/>
        <v>3984</v>
      </c>
      <c r="U1956">
        <v>1</v>
      </c>
    </row>
    <row r="1957" spans="1:21" x14ac:dyDescent="0.3">
      <c r="A1957" t="str">
        <f t="shared" si="90"/>
        <v>WakefieldReablement &amp; Rehabilitation in a bedded setting (pathway 2)1</v>
      </c>
      <c r="B1957">
        <f>IF(C1957="","",COUNTIF($C$2:C1957,C1957))</f>
        <v>1</v>
      </c>
      <c r="C1957" t="str">
        <f t="shared" si="91"/>
        <v>WakefieldReablement in a bedded setting (pathway 2)</v>
      </c>
      <c r="D1957" t="str">
        <f>VLOOKUP(G1957,PathwayLookup!A:B,2,0)</f>
        <v>Reablement &amp; Rehabilitation in a bedded setting (pathway 2)</v>
      </c>
      <c r="E1957" t="s">
        <v>331</v>
      </c>
      <c r="F1957" t="s">
        <v>547</v>
      </c>
      <c r="G1957" t="s">
        <v>722</v>
      </c>
      <c r="H1957">
        <v>133</v>
      </c>
      <c r="I1957">
        <v>137</v>
      </c>
      <c r="J1957">
        <v>133</v>
      </c>
      <c r="K1957">
        <v>137</v>
      </c>
      <c r="L1957">
        <v>137</v>
      </c>
      <c r="M1957">
        <v>133</v>
      </c>
      <c r="N1957">
        <v>137</v>
      </c>
      <c r="O1957">
        <v>133</v>
      </c>
      <c r="P1957">
        <v>137</v>
      </c>
      <c r="Q1957">
        <v>137</v>
      </c>
      <c r="R1957">
        <v>128</v>
      </c>
      <c r="S1957">
        <v>137</v>
      </c>
      <c r="T1957">
        <f t="shared" si="92"/>
        <v>1619</v>
      </c>
      <c r="U1957">
        <v>1</v>
      </c>
    </row>
    <row r="1958" spans="1:21" x14ac:dyDescent="0.3">
      <c r="A1958" t="str">
        <f t="shared" si="90"/>
        <v>WakefieldReablement &amp; Rehabilitation in a bedded setting (pathway 2)1</v>
      </c>
      <c r="B1958">
        <f>IF(C1958="","",COUNTIF($C$2:C1958,C1958))</f>
        <v>1</v>
      </c>
      <c r="C1958" t="str">
        <f t="shared" si="91"/>
        <v>WakefieldRehabilitation in a bedded setting (pathway 2)</v>
      </c>
      <c r="D1958" t="str">
        <f>VLOOKUP(G1958,PathwayLookup!A:B,2,0)</f>
        <v>Reablement &amp; Rehabilitation in a bedded setting (pathway 2)</v>
      </c>
      <c r="E1958" t="s">
        <v>331</v>
      </c>
      <c r="F1958" t="s">
        <v>448</v>
      </c>
      <c r="G1958" t="s">
        <v>724</v>
      </c>
      <c r="H1958">
        <v>30</v>
      </c>
      <c r="I1958">
        <v>30</v>
      </c>
      <c r="J1958">
        <v>30</v>
      </c>
      <c r="K1958">
        <v>32</v>
      </c>
      <c r="L1958">
        <v>32</v>
      </c>
      <c r="M1958">
        <v>32</v>
      </c>
      <c r="N1958">
        <v>36</v>
      </c>
      <c r="O1958">
        <v>36</v>
      </c>
      <c r="P1958">
        <v>36</v>
      </c>
      <c r="Q1958">
        <v>33</v>
      </c>
      <c r="R1958">
        <v>33</v>
      </c>
      <c r="S1958">
        <v>33</v>
      </c>
      <c r="T1958">
        <f t="shared" si="92"/>
        <v>393</v>
      </c>
      <c r="U1958">
        <v>1</v>
      </c>
    </row>
    <row r="1959" spans="1:21" x14ac:dyDescent="0.3">
      <c r="A1959" t="str">
        <f t="shared" si="90"/>
        <v>WakefieldReablement &amp; Rehabilitation in a bedded setting (pathway 2)2</v>
      </c>
      <c r="B1959">
        <f>IF(C1959="","",COUNTIF($C$2:C1959,C1959))</f>
        <v>2</v>
      </c>
      <c r="C1959" t="str">
        <f t="shared" si="91"/>
        <v>WakefieldRehabilitation in a bedded setting (pathway 2)</v>
      </c>
      <c r="D1959" t="str">
        <f>VLOOKUP(G1959,PathwayLookup!A:B,2,0)</f>
        <v>Reablement &amp; Rehabilitation in a bedded setting (pathway 2)</v>
      </c>
      <c r="E1959" t="s">
        <v>331</v>
      </c>
      <c r="F1959" t="s">
        <v>547</v>
      </c>
      <c r="G1959" t="s">
        <v>724</v>
      </c>
      <c r="H1959">
        <v>4</v>
      </c>
      <c r="I1959">
        <v>4</v>
      </c>
      <c r="J1959">
        <v>4</v>
      </c>
      <c r="K1959">
        <v>4</v>
      </c>
      <c r="L1959">
        <v>4</v>
      </c>
      <c r="M1959">
        <v>4</v>
      </c>
      <c r="N1959">
        <v>4</v>
      </c>
      <c r="O1959">
        <v>4</v>
      </c>
      <c r="P1959">
        <v>4</v>
      </c>
      <c r="Q1959">
        <v>4</v>
      </c>
      <c r="R1959">
        <v>4</v>
      </c>
      <c r="S1959">
        <v>4</v>
      </c>
      <c r="T1959">
        <f t="shared" si="92"/>
        <v>48</v>
      </c>
      <c r="U1959">
        <v>1</v>
      </c>
    </row>
    <row r="1960" spans="1:21" x14ac:dyDescent="0.3">
      <c r="A1960" t="str">
        <f t="shared" si="90"/>
        <v>WakefieldShort-term residential/nursing care for someone likely to require a longer-term care home placement (pathway 3)1</v>
      </c>
      <c r="B1960">
        <f>IF(C1960="","",COUNTIF($C$2:C1960,C1960))</f>
        <v>1</v>
      </c>
      <c r="C1960" t="str">
        <f t="shared" si="91"/>
        <v>WakefieldShort-term residential/nursing care for someone likely to require a longer-term care home placement (pathway 3)</v>
      </c>
      <c r="D1960" t="str">
        <f>VLOOKUP(G1960,PathwayLookup!A:B,2,0)</f>
        <v>Short-term residential/nursing care for someone likely to require a longer-term care home placement (pathway 3)</v>
      </c>
      <c r="E1960" t="s">
        <v>331</v>
      </c>
      <c r="F1960" t="s">
        <v>547</v>
      </c>
      <c r="G1960" t="s">
        <v>686</v>
      </c>
      <c r="H1960">
        <v>43</v>
      </c>
      <c r="I1960">
        <v>32</v>
      </c>
      <c r="J1960">
        <v>40</v>
      </c>
      <c r="K1960">
        <v>40</v>
      </c>
      <c r="L1960">
        <v>40</v>
      </c>
      <c r="M1960">
        <v>40</v>
      </c>
      <c r="N1960">
        <v>40</v>
      </c>
      <c r="O1960">
        <v>40</v>
      </c>
      <c r="P1960">
        <v>40</v>
      </c>
      <c r="Q1960">
        <v>40</v>
      </c>
      <c r="R1960">
        <v>40</v>
      </c>
      <c r="S1960">
        <v>40</v>
      </c>
      <c r="T1960">
        <f t="shared" si="92"/>
        <v>475</v>
      </c>
      <c r="U1960">
        <v>1</v>
      </c>
    </row>
    <row r="1961" spans="1:21" x14ac:dyDescent="0.3">
      <c r="A1961" t="str">
        <f t="shared" si="90"/>
        <v>WalsallReablement &amp; Rehabilitation at home  (pathway 1)1</v>
      </c>
      <c r="B1961">
        <f>IF(C1961="","",COUNTIF($C$2:C1961,C1961))</f>
        <v>1</v>
      </c>
      <c r="C1961" t="str">
        <f t="shared" si="91"/>
        <v>WalsallReablement at home  (pathway 1)</v>
      </c>
      <c r="D1961" t="str">
        <f>VLOOKUP(G1961,PathwayLookup!A:B,2,0)</f>
        <v>Reablement &amp; Rehabilitation at home  (pathway 1)</v>
      </c>
      <c r="E1961" t="s">
        <v>333</v>
      </c>
      <c r="F1961" t="s">
        <v>638</v>
      </c>
      <c r="G1961" t="s">
        <v>718</v>
      </c>
      <c r="H1961">
        <v>148</v>
      </c>
      <c r="I1961">
        <v>133</v>
      </c>
      <c r="J1961">
        <v>176</v>
      </c>
      <c r="K1961">
        <v>165</v>
      </c>
      <c r="L1961">
        <v>157</v>
      </c>
      <c r="M1961">
        <v>160</v>
      </c>
      <c r="N1961">
        <v>175</v>
      </c>
      <c r="O1961">
        <v>200</v>
      </c>
      <c r="P1961">
        <v>200</v>
      </c>
      <c r="Q1961">
        <v>180</v>
      </c>
      <c r="R1961">
        <v>202</v>
      </c>
      <c r="S1961">
        <v>139</v>
      </c>
      <c r="T1961">
        <f t="shared" si="92"/>
        <v>2035</v>
      </c>
      <c r="U1961">
        <v>1</v>
      </c>
    </row>
    <row r="1962" spans="1:21" x14ac:dyDescent="0.3">
      <c r="A1962" t="str">
        <f t="shared" si="90"/>
        <v>WalsallReablement &amp; Rehabilitation at home  (pathway 1)1</v>
      </c>
      <c r="B1962">
        <f>IF(C1962="","",COUNTIF($C$2:C1962,C1962))</f>
        <v>1</v>
      </c>
      <c r="C1962" t="str">
        <f t="shared" si="91"/>
        <v>WalsallRehabilitation at home (pathway 1)</v>
      </c>
      <c r="D1962" t="str">
        <f>VLOOKUP(G1962,PathwayLookup!A:B,2,0)</f>
        <v>Reablement &amp; Rehabilitation at home  (pathway 1)</v>
      </c>
      <c r="E1962" t="s">
        <v>333</v>
      </c>
      <c r="F1962" t="s">
        <v>638</v>
      </c>
      <c r="G1962" t="s">
        <v>719</v>
      </c>
      <c r="H1962">
        <v>48</v>
      </c>
      <c r="I1962">
        <v>47</v>
      </c>
      <c r="J1962">
        <v>48</v>
      </c>
      <c r="K1962">
        <v>55</v>
      </c>
      <c r="L1962">
        <v>53</v>
      </c>
      <c r="M1962">
        <v>30</v>
      </c>
      <c r="N1962">
        <v>55</v>
      </c>
      <c r="O1962">
        <v>50</v>
      </c>
      <c r="P1962">
        <v>50</v>
      </c>
      <c r="Q1962">
        <v>56</v>
      </c>
      <c r="R1962">
        <v>54</v>
      </c>
      <c r="S1962">
        <v>49</v>
      </c>
      <c r="T1962">
        <f t="shared" si="92"/>
        <v>595</v>
      </c>
      <c r="U1962">
        <v>1</v>
      </c>
    </row>
    <row r="1963" spans="1:21" x14ac:dyDescent="0.3">
      <c r="A1963" t="str">
        <f t="shared" si="90"/>
        <v>WalsallReablement &amp; Rehabilitation in a bedded setting (pathway 2)1</v>
      </c>
      <c r="B1963">
        <f>IF(C1963="","",COUNTIF($C$2:C1963,C1963))</f>
        <v>1</v>
      </c>
      <c r="C1963" t="str">
        <f t="shared" si="91"/>
        <v>WalsallRehabilitation in a bedded setting (pathway 2)</v>
      </c>
      <c r="D1963" t="str">
        <f>VLOOKUP(G1963,PathwayLookup!A:B,2,0)</f>
        <v>Reablement &amp; Rehabilitation in a bedded setting (pathway 2)</v>
      </c>
      <c r="E1963" t="s">
        <v>333</v>
      </c>
      <c r="F1963" t="s">
        <v>638</v>
      </c>
      <c r="G1963" t="s">
        <v>724</v>
      </c>
      <c r="H1963">
        <v>8</v>
      </c>
      <c r="I1963">
        <v>10</v>
      </c>
      <c r="J1963">
        <v>8</v>
      </c>
      <c r="K1963">
        <v>10</v>
      </c>
      <c r="L1963">
        <v>10</v>
      </c>
      <c r="M1963">
        <v>12</v>
      </c>
      <c r="N1963">
        <v>14</v>
      </c>
      <c r="O1963">
        <v>14</v>
      </c>
      <c r="P1963">
        <v>17</v>
      </c>
      <c r="Q1963">
        <v>17</v>
      </c>
      <c r="R1963">
        <v>8</v>
      </c>
      <c r="S1963">
        <v>14</v>
      </c>
      <c r="T1963">
        <f t="shared" si="92"/>
        <v>142</v>
      </c>
      <c r="U1963">
        <v>1</v>
      </c>
    </row>
    <row r="1964" spans="1:21" x14ac:dyDescent="0.3">
      <c r="A1964" t="str">
        <f t="shared" si="90"/>
        <v>WalsallShort-term residential/nursing care for someone likely to require a longer-term care home placement (pathway 3)1</v>
      </c>
      <c r="B1964">
        <f>IF(C1964="","",COUNTIF($C$2:C1964,C1964))</f>
        <v>1</v>
      </c>
      <c r="C1964" t="str">
        <f t="shared" si="91"/>
        <v>WalsallShort-term residential/nursing care for someone likely to require a longer-term care home placement (pathway 3)</v>
      </c>
      <c r="D1964" t="str">
        <f>VLOOKUP(G1964,PathwayLookup!A:B,2,0)</f>
        <v>Short-term residential/nursing care for someone likely to require a longer-term care home placement (pathway 3)</v>
      </c>
      <c r="E1964" t="s">
        <v>333</v>
      </c>
      <c r="F1964" t="s">
        <v>638</v>
      </c>
      <c r="G1964" t="s">
        <v>686</v>
      </c>
      <c r="H1964">
        <v>33</v>
      </c>
      <c r="I1964">
        <v>39</v>
      </c>
      <c r="J1964">
        <v>18</v>
      </c>
      <c r="K1964">
        <v>30</v>
      </c>
      <c r="L1964">
        <v>30</v>
      </c>
      <c r="M1964">
        <v>34</v>
      </c>
      <c r="N1964">
        <v>37</v>
      </c>
      <c r="O1964">
        <v>37</v>
      </c>
      <c r="P1964">
        <v>48</v>
      </c>
      <c r="Q1964">
        <v>46</v>
      </c>
      <c r="R1964">
        <v>32</v>
      </c>
      <c r="S1964">
        <v>37</v>
      </c>
      <c r="T1964">
        <f t="shared" si="92"/>
        <v>421</v>
      </c>
      <c r="U1964">
        <v>1</v>
      </c>
    </row>
    <row r="1965" spans="1:21" x14ac:dyDescent="0.3">
      <c r="A1965" t="str">
        <f t="shared" si="90"/>
        <v>Waltham ForestSocial support (including VCS) (pathway 0)1</v>
      </c>
      <c r="B1965">
        <f>IF(C1965="","",COUNTIF($C$2:C1965,C1965))</f>
        <v>1</v>
      </c>
      <c r="C1965" t="str">
        <f t="shared" si="91"/>
        <v>Waltham ForestSocial support (including VCS) (pathway 0)</v>
      </c>
      <c r="D1965" t="str">
        <f>VLOOKUP(G1965,PathwayLookup!A:B,2,0)</f>
        <v>Social support (including VCS) (pathway 0)</v>
      </c>
      <c r="E1965" t="s">
        <v>335</v>
      </c>
      <c r="F1965" t="s">
        <v>453</v>
      </c>
      <c r="G1965" t="s">
        <v>682</v>
      </c>
      <c r="H1965">
        <v>11.131775663485822</v>
      </c>
      <c r="I1965">
        <v>13.149391832318198</v>
      </c>
      <c r="J1965">
        <v>12.521430603978438</v>
      </c>
      <c r="K1965">
        <v>14.780346689256186</v>
      </c>
      <c r="L1965">
        <v>14.783253917165164</v>
      </c>
      <c r="M1965">
        <v>14.759996093893321</v>
      </c>
      <c r="N1965">
        <v>14.649521433352064</v>
      </c>
      <c r="O1965">
        <v>15.152471861605672</v>
      </c>
      <c r="P1965">
        <v>15.656510283117299</v>
      </c>
      <c r="Q1965">
        <v>14.693129851986772</v>
      </c>
      <c r="R1965">
        <v>14.779493182903323</v>
      </c>
      <c r="S1965">
        <v>14.646614205443088</v>
      </c>
      <c r="T1965">
        <f t="shared" si="92"/>
        <v>170.70393561850534</v>
      </c>
      <c r="U1965">
        <v>1</v>
      </c>
    </row>
    <row r="1966" spans="1:21" x14ac:dyDescent="0.3">
      <c r="A1966" t="str">
        <f t="shared" si="90"/>
        <v>Waltham ForestSocial support (including VCS) (pathway 0)2</v>
      </c>
      <c r="B1966">
        <f>IF(C1966="","",COUNTIF($C$2:C1966,C1966))</f>
        <v>2</v>
      </c>
      <c r="C1966" t="str">
        <f t="shared" si="91"/>
        <v>Waltham ForestSocial support (including VCS) (pathway 0)</v>
      </c>
      <c r="D1966" t="str">
        <f>VLOOKUP(G1966,PathwayLookup!A:B,2,0)</f>
        <v>Social support (including VCS) (pathway 0)</v>
      </c>
      <c r="E1966" t="s">
        <v>335</v>
      </c>
      <c r="F1966" t="s">
        <v>456</v>
      </c>
      <c r="G1966" t="s">
        <v>682</v>
      </c>
      <c r="H1966">
        <v>548.54814356982035</v>
      </c>
      <c r="I1966">
        <v>654.11310758906893</v>
      </c>
      <c r="J1966">
        <v>637.46359984106664</v>
      </c>
      <c r="K1966">
        <v>768.00282548231871</v>
      </c>
      <c r="L1966">
        <v>794.2169440642798</v>
      </c>
      <c r="M1966">
        <v>784.12096596176764</v>
      </c>
      <c r="N1966">
        <v>789.78888349300257</v>
      </c>
      <c r="O1966">
        <v>807.67824820096234</v>
      </c>
      <c r="P1966">
        <v>775.97333451061763</v>
      </c>
      <c r="Q1966">
        <v>772.60800847644703</v>
      </c>
      <c r="R1966">
        <v>791.7372301443645</v>
      </c>
      <c r="S1966">
        <v>774.20211028210667</v>
      </c>
      <c r="T1966">
        <f t="shared" si="92"/>
        <v>8898.4534016158232</v>
      </c>
      <c r="U1966">
        <v>1</v>
      </c>
    </row>
    <row r="1967" spans="1:21" x14ac:dyDescent="0.3">
      <c r="A1967" t="str">
        <f t="shared" si="90"/>
        <v>Waltham ForestSocial support (including VCS) (pathway 0)3</v>
      </c>
      <c r="B1967">
        <f>IF(C1967="","",COUNTIF($C$2:C1967,C1967))</f>
        <v>3</v>
      </c>
      <c r="C1967" t="str">
        <f t="shared" si="91"/>
        <v>Waltham ForestSocial support (including VCS) (pathway 0)</v>
      </c>
      <c r="D1967" t="str">
        <f>VLOOKUP(G1967,PathwayLookup!A:B,2,0)</f>
        <v>Social support (including VCS) (pathway 0)</v>
      </c>
      <c r="E1967" t="s">
        <v>335</v>
      </c>
      <c r="F1967" t="s">
        <v>516</v>
      </c>
      <c r="G1967" t="s">
        <v>682</v>
      </c>
      <c r="H1967">
        <v>41.654571588079861</v>
      </c>
      <c r="I1967">
        <v>49.204394696496536</v>
      </c>
      <c r="J1967">
        <v>46.854593844309214</v>
      </c>
      <c r="K1967">
        <v>55.307349687594169</v>
      </c>
      <c r="L1967">
        <v>55.318228395243175</v>
      </c>
      <c r="M1967">
        <v>55.231198734051056</v>
      </c>
      <c r="N1967">
        <v>54.817807843388479</v>
      </c>
      <c r="O1967">
        <v>56.699824266668131</v>
      </c>
      <c r="P1967">
        <v>60.088154943934761</v>
      </c>
      <c r="Q1967">
        <v>54.980988458123711</v>
      </c>
      <c r="R1967">
        <v>44.763933116306603</v>
      </c>
      <c r="S1967">
        <v>54.806929135739466</v>
      </c>
      <c r="T1967">
        <f t="shared" si="92"/>
        <v>629.72797470993521</v>
      </c>
      <c r="U1967">
        <v>1</v>
      </c>
    </row>
    <row r="1968" spans="1:21" x14ac:dyDescent="0.3">
      <c r="A1968" t="str">
        <f t="shared" si="90"/>
        <v>Waltham ForestReablement &amp; Rehabilitation at home  (pathway 1)1</v>
      </c>
      <c r="B1968">
        <f>IF(C1968="","",COUNTIF($C$2:C1968,C1968))</f>
        <v>1</v>
      </c>
      <c r="C1968" t="str">
        <f t="shared" si="91"/>
        <v>Waltham ForestReablement at home  (pathway 1)</v>
      </c>
      <c r="D1968" t="str">
        <f>VLOOKUP(G1968,PathwayLookup!A:B,2,0)</f>
        <v>Reablement &amp; Rehabilitation at home  (pathway 1)</v>
      </c>
      <c r="E1968" t="s">
        <v>335</v>
      </c>
      <c r="F1968" t="s">
        <v>453</v>
      </c>
      <c r="G1968" t="s">
        <v>718</v>
      </c>
      <c r="H1968">
        <v>1.7218523841432047</v>
      </c>
      <c r="I1968">
        <v>2.0339353182240059</v>
      </c>
      <c r="J1968">
        <v>1.9368028776455437</v>
      </c>
      <c r="K1968">
        <v>1.9432783736841075</v>
      </c>
      <c r="L1968">
        <v>1.8293276308943744</v>
      </c>
      <c r="M1968">
        <v>1.8264496326550128</v>
      </c>
      <c r="N1968">
        <v>1.8127791410180436</v>
      </c>
      <c r="O1968">
        <v>1.875015852944244</v>
      </c>
      <c r="P1968">
        <v>1.8613235892068256</v>
      </c>
      <c r="Q1968">
        <v>2.272719234646059</v>
      </c>
      <c r="R1968">
        <v>1.7977649773835849</v>
      </c>
      <c r="S1968">
        <v>1.8124193912381239</v>
      </c>
      <c r="T1968">
        <f t="shared" si="92"/>
        <v>22.723668403683131</v>
      </c>
      <c r="U1968">
        <v>1</v>
      </c>
    </row>
    <row r="1969" spans="1:21" x14ac:dyDescent="0.3">
      <c r="A1969" t="str">
        <f t="shared" si="90"/>
        <v>Waltham ForestReablement &amp; Rehabilitation at home  (pathway 1)2</v>
      </c>
      <c r="B1969">
        <f>IF(C1969="","",COUNTIF($C$2:C1969,C1969))</f>
        <v>2</v>
      </c>
      <c r="C1969" t="str">
        <f t="shared" si="91"/>
        <v>Waltham ForestReablement at home  (pathway 1)</v>
      </c>
      <c r="D1969" t="str">
        <f>VLOOKUP(G1969,PathwayLookup!A:B,2,0)</f>
        <v>Reablement &amp; Rehabilitation at home  (pathway 1)</v>
      </c>
      <c r="E1969" t="s">
        <v>335</v>
      </c>
      <c r="F1969" t="s">
        <v>456</v>
      </c>
      <c r="G1969" t="s">
        <v>718</v>
      </c>
      <c r="H1969">
        <v>68.437454712975168</v>
      </c>
      <c r="I1969">
        <v>80.841631670615513</v>
      </c>
      <c r="J1969">
        <v>76.980965643453686</v>
      </c>
      <c r="K1969">
        <v>77.238343378597804</v>
      </c>
      <c r="L1969">
        <v>72.709210178214434</v>
      </c>
      <c r="M1969">
        <v>72.594820073705947</v>
      </c>
      <c r="N1969">
        <v>72.051467077290582</v>
      </c>
      <c r="O1969">
        <v>74.525153087286853</v>
      </c>
      <c r="P1969">
        <v>73.980934727991254</v>
      </c>
      <c r="Q1969">
        <v>90.332435654055004</v>
      </c>
      <c r="R1969">
        <v>71.454707939719199</v>
      </c>
      <c r="S1969">
        <v>72.037168314227017</v>
      </c>
      <c r="T1969">
        <f t="shared" si="92"/>
        <v>903.1842924581324</v>
      </c>
      <c r="U1969">
        <v>1</v>
      </c>
    </row>
    <row r="1970" spans="1:21" x14ac:dyDescent="0.3">
      <c r="A1970" t="str">
        <f t="shared" si="90"/>
        <v>Waltham ForestReablement &amp; Rehabilitation at home  (pathway 1)3</v>
      </c>
      <c r="B1970">
        <f>IF(C1970="","",COUNTIF($C$2:C1970,C1970))</f>
        <v>3</v>
      </c>
      <c r="C1970" t="str">
        <f t="shared" si="91"/>
        <v>Waltham ForestReablement at home  (pathway 1)</v>
      </c>
      <c r="D1970" t="str">
        <f>VLOOKUP(G1970,PathwayLookup!A:B,2,0)</f>
        <v>Reablement &amp; Rehabilitation at home  (pathway 1)</v>
      </c>
      <c r="E1970" t="s">
        <v>335</v>
      </c>
      <c r="F1970" t="s">
        <v>516</v>
      </c>
      <c r="G1970" t="s">
        <v>718</v>
      </c>
      <c r="H1970">
        <v>11.301374015325219</v>
      </c>
      <c r="I1970">
        <v>13.349729608596498</v>
      </c>
      <c r="J1970">
        <v>12.712201066598524</v>
      </c>
      <c r="K1970">
        <v>12.754702969398387</v>
      </c>
      <c r="L1970">
        <v>12.006787540961874</v>
      </c>
      <c r="M1970">
        <v>11.987897806384154</v>
      </c>
      <c r="N1970">
        <v>11.898171567139997</v>
      </c>
      <c r="O1970">
        <v>12.306662077383145</v>
      </c>
      <c r="P1970">
        <v>12.216792937009632</v>
      </c>
      <c r="Q1970">
        <v>14.916987274341521</v>
      </c>
      <c r="R1970">
        <v>11.799626139946042</v>
      </c>
      <c r="S1970">
        <v>11.895810350317785</v>
      </c>
      <c r="T1970">
        <f t="shared" si="92"/>
        <v>149.14674335340277</v>
      </c>
      <c r="U1970">
        <v>1</v>
      </c>
    </row>
    <row r="1971" spans="1:21" x14ac:dyDescent="0.3">
      <c r="A1971" t="str">
        <f t="shared" si="90"/>
        <v>Waltham ForestReablement &amp; Rehabilitation at home  (pathway 1)1</v>
      </c>
      <c r="B1971">
        <f>IF(C1971="","",COUNTIF($C$2:C1971,C1971))</f>
        <v>1</v>
      </c>
      <c r="C1971" t="str">
        <f t="shared" si="91"/>
        <v>Waltham ForestRehabilitation at home (pathway 1)</v>
      </c>
      <c r="D1971" t="str">
        <f>VLOOKUP(G1971,PathwayLookup!A:B,2,0)</f>
        <v>Reablement &amp; Rehabilitation at home  (pathway 1)</v>
      </c>
      <c r="E1971" t="s">
        <v>335</v>
      </c>
      <c r="F1971" t="s">
        <v>453</v>
      </c>
      <c r="G1971" t="s">
        <v>719</v>
      </c>
      <c r="H1971">
        <v>1.7218523841432409E-2</v>
      </c>
      <c r="I1971">
        <v>2.0339353182240005E-2</v>
      </c>
      <c r="J1971">
        <v>1.9368028776455271E-2</v>
      </c>
      <c r="K1971">
        <v>0.19432783736841064</v>
      </c>
      <c r="L1971">
        <v>0.25153254924797652</v>
      </c>
      <c r="M1971">
        <v>0.25113682449006414</v>
      </c>
      <c r="N1971">
        <v>0.24925713188998111</v>
      </c>
      <c r="O1971">
        <v>0.25781467977983341</v>
      </c>
      <c r="P1971">
        <v>0.3610003037537638</v>
      </c>
      <c r="Q1971">
        <v>2.2727192346460701E-2</v>
      </c>
      <c r="R1971">
        <v>0.39770383467378462</v>
      </c>
      <c r="S1971">
        <v>0.24920766629524185</v>
      </c>
      <c r="T1971">
        <f t="shared" si="92"/>
        <v>2.2916339256456446</v>
      </c>
      <c r="U1971">
        <v>1</v>
      </c>
    </row>
    <row r="1972" spans="1:21" x14ac:dyDescent="0.3">
      <c r="A1972" t="str">
        <f t="shared" si="90"/>
        <v>Waltham ForestReablement &amp; Rehabilitation at home  (pathway 1)2</v>
      </c>
      <c r="B1972">
        <f>IF(C1972="","",COUNTIF($C$2:C1972,C1972))</f>
        <v>2</v>
      </c>
      <c r="C1972" t="str">
        <f t="shared" si="91"/>
        <v>Waltham ForestRehabilitation at home (pathway 1)</v>
      </c>
      <c r="D1972" t="str">
        <f>VLOOKUP(G1972,PathwayLookup!A:B,2,0)</f>
        <v>Reablement &amp; Rehabilitation at home  (pathway 1)</v>
      </c>
      <c r="E1972" t="s">
        <v>335</v>
      </c>
      <c r="F1972" t="s">
        <v>456</v>
      </c>
      <c r="G1972" t="s">
        <v>719</v>
      </c>
      <c r="H1972">
        <v>17.412458904604641</v>
      </c>
      <c r="I1972">
        <v>14.575696459955148</v>
      </c>
      <c r="J1972">
        <v>11.103795576577866</v>
      </c>
      <c r="K1972">
        <v>17.705758777347164</v>
      </c>
      <c r="L1972">
        <v>5.0920418580474376</v>
      </c>
      <c r="M1972">
        <v>10.197225961557692</v>
      </c>
      <c r="N1972">
        <v>4.8009849285305535</v>
      </c>
      <c r="O1972">
        <v>7.8150800719585325</v>
      </c>
      <c r="P1972">
        <v>5.5189141202655563</v>
      </c>
      <c r="Q1972">
        <v>2.0369078627875155</v>
      </c>
      <c r="R1972">
        <v>8.0218844743591973</v>
      </c>
      <c r="S1972">
        <v>8.7933888242118172</v>
      </c>
      <c r="T1972">
        <f t="shared" si="92"/>
        <v>113.07413782020312</v>
      </c>
      <c r="U1972">
        <v>1</v>
      </c>
    </row>
    <row r="1973" spans="1:21" x14ac:dyDescent="0.3">
      <c r="A1973" t="str">
        <f t="shared" si="90"/>
        <v>Waltham ForestReablement &amp; Rehabilitation at home  (pathway 1)3</v>
      </c>
      <c r="B1973">
        <f>IF(C1973="","",COUNTIF($C$2:C1973,C1973))</f>
        <v>3</v>
      </c>
      <c r="C1973" t="str">
        <f t="shared" si="91"/>
        <v>Waltham ForestRehabilitation at home (pathway 1)</v>
      </c>
      <c r="D1973" t="str">
        <f>VLOOKUP(G1973,PathwayLookup!A:B,2,0)</f>
        <v>Reablement &amp; Rehabilitation at home  (pathway 1)</v>
      </c>
      <c r="E1973" t="s">
        <v>335</v>
      </c>
      <c r="F1973" t="s">
        <v>516</v>
      </c>
      <c r="G1973" t="s">
        <v>719</v>
      </c>
      <c r="H1973">
        <v>5.7325810222664586E-2</v>
      </c>
      <c r="I1973">
        <v>6.7716019753749634E-2</v>
      </c>
      <c r="J1973">
        <v>6.4482179323324118E-2</v>
      </c>
      <c r="K1973">
        <v>1.2015299898708616</v>
      </c>
      <c r="L1973">
        <v>1.5769784360864776</v>
      </c>
      <c r="M1973">
        <v>1.5744974473964699</v>
      </c>
      <c r="N1973">
        <v>1.56271275111893</v>
      </c>
      <c r="O1973">
        <v>1.6163641315403563</v>
      </c>
      <c r="P1973">
        <v>0.98065551926276828</v>
      </c>
      <c r="Q1973">
        <v>7.5665877478543919E-2</v>
      </c>
      <c r="R1973">
        <v>0.1030132099914649</v>
      </c>
      <c r="S1973">
        <v>1.5624026275326788</v>
      </c>
      <c r="T1973">
        <f t="shared" si="92"/>
        <v>10.443343999578289</v>
      </c>
      <c r="U1973">
        <v>1</v>
      </c>
    </row>
    <row r="1974" spans="1:21" x14ac:dyDescent="0.3">
      <c r="A1974" t="str">
        <f t="shared" si="90"/>
        <v>Waltham ForestShort term domiciliary care (pathway 1)1</v>
      </c>
      <c r="B1974">
        <f>IF(C1974="","",COUNTIF($C$2:C1974,C1974))</f>
        <v>1</v>
      </c>
      <c r="C1974" t="str">
        <f t="shared" si="91"/>
        <v>Waltham ForestShort term domiciliary care (pathway 1)</v>
      </c>
      <c r="D1974" t="str">
        <f>VLOOKUP(G1974,PathwayLookup!A:B,2,0)</f>
        <v>Short term domiciliary care (pathway 1)</v>
      </c>
      <c r="E1974" t="s">
        <v>335</v>
      </c>
      <c r="F1974" t="s">
        <v>453</v>
      </c>
      <c r="G1974" t="s">
        <v>684</v>
      </c>
      <c r="H1974">
        <v>1.7218523841432409E-2</v>
      </c>
      <c r="I1974">
        <v>2.0339353182240005E-2</v>
      </c>
      <c r="J1974">
        <v>1.9368028776455271E-2</v>
      </c>
      <c r="K1974">
        <v>0.19432783736841064</v>
      </c>
      <c r="L1974">
        <v>0.25153254924797652</v>
      </c>
      <c r="M1974">
        <v>0.25113682449006414</v>
      </c>
      <c r="N1974">
        <v>0.24925713188998111</v>
      </c>
      <c r="O1974">
        <v>0.25781467977983341</v>
      </c>
      <c r="P1974">
        <v>0.3610003037537638</v>
      </c>
      <c r="Q1974">
        <v>2.2727192346460701E-2</v>
      </c>
      <c r="R1974">
        <v>0.39770383467378462</v>
      </c>
      <c r="S1974">
        <v>0.24920766629524185</v>
      </c>
      <c r="T1974">
        <f t="shared" si="92"/>
        <v>2.2916339256456446</v>
      </c>
      <c r="U1974">
        <v>1</v>
      </c>
    </row>
    <row r="1975" spans="1:21" x14ac:dyDescent="0.3">
      <c r="A1975" t="str">
        <f t="shared" si="90"/>
        <v>Waltham ForestShort term domiciliary care (pathway 1)2</v>
      </c>
      <c r="B1975">
        <f>IF(C1975="","",COUNTIF($C$2:C1975,C1975))</f>
        <v>2</v>
      </c>
      <c r="C1975" t="str">
        <f t="shared" si="91"/>
        <v>Waltham ForestShort term domiciliary care (pathway 1)</v>
      </c>
      <c r="D1975" t="str">
        <f>VLOOKUP(G1975,PathwayLookup!A:B,2,0)</f>
        <v>Short term domiciliary care (pathway 1)</v>
      </c>
      <c r="E1975" t="s">
        <v>335</v>
      </c>
      <c r="F1975" t="s">
        <v>456</v>
      </c>
      <c r="G1975" t="s">
        <v>684</v>
      </c>
      <c r="H1975">
        <v>17.412458904604641</v>
      </c>
      <c r="I1975">
        <v>14.575696459955148</v>
      </c>
      <c r="J1975">
        <v>11.103795576577866</v>
      </c>
      <c r="K1975">
        <v>17.705758777347164</v>
      </c>
      <c r="L1975">
        <v>5.0920418580474376</v>
      </c>
      <c r="M1975">
        <v>10.197225961557692</v>
      </c>
      <c r="N1975">
        <v>4.8009849285305535</v>
      </c>
      <c r="O1975">
        <v>7.8150800719585325</v>
      </c>
      <c r="P1975">
        <v>5.5189141202655563</v>
      </c>
      <c r="Q1975">
        <v>2.0369078627875155</v>
      </c>
      <c r="R1975">
        <v>8.0218844743591973</v>
      </c>
      <c r="S1975">
        <v>8.7933888242118172</v>
      </c>
      <c r="T1975">
        <f t="shared" si="92"/>
        <v>113.07413782020312</v>
      </c>
      <c r="U1975">
        <v>1</v>
      </c>
    </row>
    <row r="1976" spans="1:21" x14ac:dyDescent="0.3">
      <c r="A1976" t="str">
        <f t="shared" si="90"/>
        <v>Waltham ForestShort term domiciliary care (pathway 1)3</v>
      </c>
      <c r="B1976">
        <f>IF(C1976="","",COUNTIF($C$2:C1976,C1976))</f>
        <v>3</v>
      </c>
      <c r="C1976" t="str">
        <f t="shared" si="91"/>
        <v>Waltham ForestShort term domiciliary care (pathway 1)</v>
      </c>
      <c r="D1976" t="str">
        <f>VLOOKUP(G1976,PathwayLookup!A:B,2,0)</f>
        <v>Short term domiciliary care (pathway 1)</v>
      </c>
      <c r="E1976" t="s">
        <v>335</v>
      </c>
      <c r="F1976" t="s">
        <v>516</v>
      </c>
      <c r="G1976" t="s">
        <v>684</v>
      </c>
      <c r="H1976">
        <v>5.7325810222664586E-2</v>
      </c>
      <c r="I1976">
        <v>6.7716019753749634E-2</v>
      </c>
      <c r="J1976">
        <v>6.4482179323324118E-2</v>
      </c>
      <c r="K1976">
        <v>1.2015299898708616</v>
      </c>
      <c r="L1976">
        <v>1.5769784360864776</v>
      </c>
      <c r="M1976">
        <v>1.5744974473964699</v>
      </c>
      <c r="N1976">
        <v>1.56271275111893</v>
      </c>
      <c r="O1976">
        <v>1.6163641315403563</v>
      </c>
      <c r="P1976">
        <v>0.98065551926276828</v>
      </c>
      <c r="Q1976">
        <v>7.5665877478543919E-2</v>
      </c>
      <c r="R1976">
        <v>0.1030132099914649</v>
      </c>
      <c r="S1976">
        <v>1.5624026275326788</v>
      </c>
      <c r="T1976">
        <f t="shared" si="92"/>
        <v>10.443343999578289</v>
      </c>
      <c r="U1976">
        <v>1</v>
      </c>
    </row>
    <row r="1977" spans="1:21" x14ac:dyDescent="0.3">
      <c r="A1977" t="str">
        <f t="shared" si="90"/>
        <v>Waltham ForestReablement &amp; Rehabilitation in a bedded setting (pathway 2)1</v>
      </c>
      <c r="B1977">
        <f>IF(C1977="","",COUNTIF($C$2:C1977,C1977))</f>
        <v>1</v>
      </c>
      <c r="C1977" t="str">
        <f t="shared" si="91"/>
        <v>Waltham ForestReablement in a bedded setting (pathway 2)</v>
      </c>
      <c r="D1977" t="str">
        <f>VLOOKUP(G1977,PathwayLookup!A:B,2,0)</f>
        <v>Reablement &amp; Rehabilitation in a bedded setting (pathway 2)</v>
      </c>
      <c r="E1977" t="s">
        <v>335</v>
      </c>
      <c r="F1977" t="s">
        <v>453</v>
      </c>
      <c r="G1977" t="s">
        <v>722</v>
      </c>
      <c r="H1977">
        <v>0.14980115742045885</v>
      </c>
      <c r="I1977">
        <v>0.1769523726854885</v>
      </c>
      <c r="J1977">
        <v>0.1685018503551623</v>
      </c>
      <c r="K1977">
        <v>0.19890025707119691</v>
      </c>
      <c r="L1977">
        <v>0.1989393798597632</v>
      </c>
      <c r="M1977">
        <v>0.1986263975512326</v>
      </c>
      <c r="N1977">
        <v>0.19713973158571227</v>
      </c>
      <c r="O1977">
        <v>0.20390797400768648</v>
      </c>
      <c r="P1977">
        <v>0.19570637853896619</v>
      </c>
      <c r="Q1977">
        <v>0.19772657341420716</v>
      </c>
      <c r="R1977">
        <v>0.15113582910396292</v>
      </c>
      <c r="S1977">
        <v>0.19710060879714597</v>
      </c>
      <c r="T1977">
        <f t="shared" si="92"/>
        <v>2.2344385103909832</v>
      </c>
      <c r="U1977">
        <v>1</v>
      </c>
    </row>
    <row r="1978" spans="1:21" x14ac:dyDescent="0.3">
      <c r="A1978" t="str">
        <f t="shared" si="90"/>
        <v>Waltham ForestReablement &amp; Rehabilitation in a bedded setting (pathway 2)2</v>
      </c>
      <c r="B1978">
        <f>IF(C1978="","",COUNTIF($C$2:C1978,C1978))</f>
        <v>2</v>
      </c>
      <c r="C1978" t="str">
        <f t="shared" si="91"/>
        <v>Waltham ForestReablement in a bedded setting (pathway 2)</v>
      </c>
      <c r="D1978" t="str">
        <f>VLOOKUP(G1978,PathwayLookup!A:B,2,0)</f>
        <v>Reablement &amp; Rehabilitation in a bedded setting (pathway 2)</v>
      </c>
      <c r="E1978" t="s">
        <v>335</v>
      </c>
      <c r="F1978" t="s">
        <v>456</v>
      </c>
      <c r="G1978" t="s">
        <v>722</v>
      </c>
      <c r="H1978">
        <v>8.9446823539799567</v>
      </c>
      <c r="I1978">
        <v>10.804467793916384</v>
      </c>
      <c r="J1978">
        <v>8.6789987197033245</v>
      </c>
      <c r="K1978">
        <v>6.4649684340647218</v>
      </c>
      <c r="L1978">
        <v>7.2620193368946175</v>
      </c>
      <c r="M1978">
        <v>6.3764072226391768</v>
      </c>
      <c r="N1978">
        <v>6.2878460112136327</v>
      </c>
      <c r="O1978">
        <v>6.0221623769370005</v>
      </c>
      <c r="P1978">
        <v>6.5535296454902658</v>
      </c>
      <c r="Q1978">
        <v>6.4649684340647218</v>
      </c>
      <c r="R1978">
        <v>6.2878460112136327</v>
      </c>
      <c r="S1978">
        <v>6.4649684340647218</v>
      </c>
      <c r="T1978">
        <f t="shared" si="92"/>
        <v>86.612864774182157</v>
      </c>
      <c r="U1978">
        <v>1</v>
      </c>
    </row>
    <row r="1979" spans="1:21" x14ac:dyDescent="0.3">
      <c r="A1979" t="str">
        <f t="shared" si="90"/>
        <v>Waltham ForestReablement &amp; Rehabilitation in a bedded setting (pathway 2)3</v>
      </c>
      <c r="B1979">
        <f>IF(C1979="","",COUNTIF($C$2:C1979,C1979))</f>
        <v>3</v>
      </c>
      <c r="C1979" t="str">
        <f t="shared" si="91"/>
        <v>Waltham ForestReablement in a bedded setting (pathway 2)</v>
      </c>
      <c r="D1979" t="str">
        <f>VLOOKUP(G1979,PathwayLookup!A:B,2,0)</f>
        <v>Reablement &amp; Rehabilitation in a bedded setting (pathway 2)</v>
      </c>
      <c r="E1979" t="s">
        <v>335</v>
      </c>
      <c r="F1979" t="s">
        <v>516</v>
      </c>
      <c r="G1979" t="s">
        <v>722</v>
      </c>
      <c r="H1979">
        <v>0.36197154454882247</v>
      </c>
      <c r="I1979">
        <v>0.42757829615939513</v>
      </c>
      <c r="J1979">
        <v>0.40715890372728603</v>
      </c>
      <c r="K1979">
        <v>0.48061199594834514</v>
      </c>
      <c r="L1979">
        <v>0.48070653017256781</v>
      </c>
      <c r="M1979">
        <v>0.47995025637878602</v>
      </c>
      <c r="N1979">
        <v>0.47635795585832241</v>
      </c>
      <c r="O1979">
        <v>0.49271237664885414</v>
      </c>
      <c r="P1979">
        <v>0.63295107033639142</v>
      </c>
      <c r="Q1979">
        <v>0.47777596922166321</v>
      </c>
      <c r="R1979">
        <v>0.17150932228469962</v>
      </c>
      <c r="S1979">
        <v>0.47626342163409963</v>
      </c>
      <c r="T1979">
        <f t="shared" si="92"/>
        <v>5.3655476429192328</v>
      </c>
      <c r="U1979">
        <v>1</v>
      </c>
    </row>
    <row r="1980" spans="1:21" x14ac:dyDescent="0.3">
      <c r="A1980" t="str">
        <f t="shared" si="90"/>
        <v>Waltham ForestReablement &amp; Rehabilitation in a bedded setting (pathway 2)1</v>
      </c>
      <c r="B1980">
        <f>IF(C1980="","",COUNTIF($C$2:C1980,C1980))</f>
        <v>1</v>
      </c>
      <c r="C1980" t="str">
        <f t="shared" si="91"/>
        <v>Waltham ForestRehabilitation in a bedded setting (pathway 2)</v>
      </c>
      <c r="D1980" t="str">
        <f>VLOOKUP(G1980,PathwayLookup!A:B,2,0)</f>
        <v>Reablement &amp; Rehabilitation in a bedded setting (pathway 2)</v>
      </c>
      <c r="E1980" t="s">
        <v>335</v>
      </c>
      <c r="F1980" t="s">
        <v>453</v>
      </c>
      <c r="G1980" t="s">
        <v>724</v>
      </c>
      <c r="H1980">
        <v>0.14980115742045885</v>
      </c>
      <c r="I1980">
        <v>0.1769523726854885</v>
      </c>
      <c r="J1980">
        <v>0.1685018503551623</v>
      </c>
      <c r="K1980">
        <v>0.19890025707119691</v>
      </c>
      <c r="L1980">
        <v>0.1989393798597632</v>
      </c>
      <c r="M1980">
        <v>0.1986263975512326</v>
      </c>
      <c r="N1980">
        <v>0.19713973158571227</v>
      </c>
      <c r="O1980">
        <v>0.20390797400768648</v>
      </c>
      <c r="P1980">
        <v>0.19570637853896619</v>
      </c>
      <c r="Q1980">
        <v>0.19772657341420716</v>
      </c>
      <c r="R1980">
        <v>0.15113582910396292</v>
      </c>
      <c r="S1980">
        <v>0.19710060879714597</v>
      </c>
      <c r="T1980">
        <f t="shared" si="92"/>
        <v>2.2344385103909832</v>
      </c>
      <c r="U1980">
        <v>1</v>
      </c>
    </row>
    <row r="1981" spans="1:21" x14ac:dyDescent="0.3">
      <c r="A1981" t="str">
        <f t="shared" si="90"/>
        <v>Waltham ForestReablement &amp; Rehabilitation in a bedded setting (pathway 2)2</v>
      </c>
      <c r="B1981">
        <f>IF(C1981="","",COUNTIF($C$2:C1981,C1981))</f>
        <v>2</v>
      </c>
      <c r="C1981" t="str">
        <f t="shared" si="91"/>
        <v>Waltham ForestRehabilitation in a bedded setting (pathway 2)</v>
      </c>
      <c r="D1981" t="str">
        <f>VLOOKUP(G1981,PathwayLookup!A:B,2,0)</f>
        <v>Reablement &amp; Rehabilitation in a bedded setting (pathway 2)</v>
      </c>
      <c r="E1981" t="s">
        <v>335</v>
      </c>
      <c r="F1981" t="s">
        <v>456</v>
      </c>
      <c r="G1981" t="s">
        <v>724</v>
      </c>
      <c r="H1981">
        <v>8.9446823539799567</v>
      </c>
      <c r="I1981">
        <v>10.804467793916384</v>
      </c>
      <c r="J1981">
        <v>8.6789987197033245</v>
      </c>
      <c r="K1981">
        <v>6.4649684340647218</v>
      </c>
      <c r="L1981">
        <v>7.2620193368946175</v>
      </c>
      <c r="M1981">
        <v>6.3764072226391768</v>
      </c>
      <c r="N1981">
        <v>6.2878460112136327</v>
      </c>
      <c r="O1981">
        <v>6.0221623769370005</v>
      </c>
      <c r="P1981">
        <v>6.5535296454902658</v>
      </c>
      <c r="Q1981">
        <v>6.4649684340647218</v>
      </c>
      <c r="R1981">
        <v>6.2878460112136327</v>
      </c>
      <c r="S1981">
        <v>6.4649684340647218</v>
      </c>
      <c r="T1981">
        <f t="shared" si="92"/>
        <v>86.612864774182157</v>
      </c>
      <c r="U1981">
        <v>1</v>
      </c>
    </row>
    <row r="1982" spans="1:21" x14ac:dyDescent="0.3">
      <c r="A1982" t="str">
        <f t="shared" si="90"/>
        <v>Waltham ForestReablement &amp; Rehabilitation in a bedded setting (pathway 2)3</v>
      </c>
      <c r="B1982">
        <f>IF(C1982="","",COUNTIF($C$2:C1982,C1982))</f>
        <v>3</v>
      </c>
      <c r="C1982" t="str">
        <f t="shared" si="91"/>
        <v>Waltham ForestRehabilitation in a bedded setting (pathway 2)</v>
      </c>
      <c r="D1982" t="str">
        <f>VLOOKUP(G1982,PathwayLookup!A:B,2,0)</f>
        <v>Reablement &amp; Rehabilitation in a bedded setting (pathway 2)</v>
      </c>
      <c r="E1982" t="s">
        <v>335</v>
      </c>
      <c r="F1982" t="s">
        <v>516</v>
      </c>
      <c r="G1982" t="s">
        <v>724</v>
      </c>
      <c r="H1982">
        <v>0.36197154454882247</v>
      </c>
      <c r="I1982">
        <v>0.42757829615939513</v>
      </c>
      <c r="J1982">
        <v>0.40715890372728603</v>
      </c>
      <c r="K1982">
        <v>0.48061199594834514</v>
      </c>
      <c r="L1982">
        <v>0.48070653017256781</v>
      </c>
      <c r="M1982">
        <v>0.47995025637878602</v>
      </c>
      <c r="N1982">
        <v>0.47635795585832241</v>
      </c>
      <c r="O1982">
        <v>0.49271237664885414</v>
      </c>
      <c r="P1982">
        <v>0.63295107033639142</v>
      </c>
      <c r="Q1982">
        <v>0.47777596922166321</v>
      </c>
      <c r="R1982">
        <v>0.17150932228469962</v>
      </c>
      <c r="S1982">
        <v>0.47626342163409963</v>
      </c>
      <c r="T1982">
        <f t="shared" si="92"/>
        <v>5.3655476429192328</v>
      </c>
      <c r="U1982">
        <v>1</v>
      </c>
    </row>
    <row r="1983" spans="1:21" x14ac:dyDescent="0.3">
      <c r="A1983" t="str">
        <f t="shared" si="90"/>
        <v>Waltham ForestShort-term residential/nursing care for someone likely to require a longer-term care home placement (pathway 3)1</v>
      </c>
      <c r="B1983">
        <f>IF(C1983="","",COUNTIF($C$2:C1983,C1983))</f>
        <v>1</v>
      </c>
      <c r="C1983" t="str">
        <f t="shared" si="91"/>
        <v>Waltham ForestShort-term residential/nursing care for someone likely to require a longer-term care home placement (pathway 3)</v>
      </c>
      <c r="D1983" t="str">
        <f>VLOOKUP(G1983,PathwayLookup!A:B,2,0)</f>
        <v>Short-term residential/nursing care for someone likely to require a longer-term care home placement (pathway 3)</v>
      </c>
      <c r="E1983" t="s">
        <v>335</v>
      </c>
      <c r="F1983" t="s">
        <v>453</v>
      </c>
      <c r="G1983" t="s">
        <v>686</v>
      </c>
      <c r="H1983">
        <v>1.0847670020102191</v>
      </c>
      <c r="I1983">
        <v>1.2813792504811237</v>
      </c>
      <c r="J1983">
        <v>1.2201858129166925</v>
      </c>
      <c r="K1983">
        <v>1.4403122063776326</v>
      </c>
      <c r="L1983">
        <v>1.4405955093293197</v>
      </c>
      <c r="M1983">
        <v>1.4383290857158222</v>
      </c>
      <c r="N1983">
        <v>1.4275635735517096</v>
      </c>
      <c r="O1983">
        <v>1.4765749841935918</v>
      </c>
      <c r="P1983">
        <v>1.2446925675078253</v>
      </c>
      <c r="Q1983">
        <v>1.4318131178270173</v>
      </c>
      <c r="R1983">
        <v>1.3681769792569278</v>
      </c>
      <c r="S1983">
        <v>1.4272802706000225</v>
      </c>
      <c r="T1983">
        <f t="shared" si="92"/>
        <v>16.281670359767904</v>
      </c>
      <c r="U1983">
        <v>1</v>
      </c>
    </row>
    <row r="1984" spans="1:21" x14ac:dyDescent="0.3">
      <c r="A1984" t="str">
        <f t="shared" si="90"/>
        <v>Waltham ForestShort-term residential/nursing care for someone likely to require a longer-term care home placement (pathway 3)2</v>
      </c>
      <c r="B1984">
        <f>IF(C1984="","",COUNTIF($C$2:C1984,C1984))</f>
        <v>2</v>
      </c>
      <c r="C1984" t="str">
        <f t="shared" si="91"/>
        <v>Waltham ForestShort-term residential/nursing care for someone likely to require a longer-term care home placement (pathway 3)</v>
      </c>
      <c r="D1984" t="str">
        <f>VLOOKUP(G1984,PathwayLookup!A:B,2,0)</f>
        <v>Short-term residential/nursing care for someone likely to require a longer-term care home placement (pathway 3)</v>
      </c>
      <c r="E1984" t="s">
        <v>335</v>
      </c>
      <c r="F1984" t="s">
        <v>456</v>
      </c>
      <c r="G1984" t="s">
        <v>686</v>
      </c>
      <c r="H1984">
        <v>8.5018762968522363</v>
      </c>
      <c r="I1984">
        <v>15.409650788044678</v>
      </c>
      <c r="J1984">
        <v>8.8561211425544126</v>
      </c>
      <c r="K1984">
        <v>6.9077744911924421</v>
      </c>
      <c r="L1984">
        <v>9.0332435654055008</v>
      </c>
      <c r="M1984">
        <v>9.3874884111076771</v>
      </c>
      <c r="N1984">
        <v>8.5018762968522363</v>
      </c>
      <c r="O1984">
        <v>13.28418171383162</v>
      </c>
      <c r="P1984">
        <v>15.941018056597944</v>
      </c>
      <c r="Q1984">
        <v>15.232528365193588</v>
      </c>
      <c r="R1984">
        <v>14.524038673789237</v>
      </c>
      <c r="S1984">
        <v>15.586773210895768</v>
      </c>
      <c r="T1984">
        <f t="shared" si="92"/>
        <v>141.16657101231732</v>
      </c>
      <c r="U1984">
        <v>1</v>
      </c>
    </row>
    <row r="1985" spans="1:21" x14ac:dyDescent="0.3">
      <c r="A1985" t="str">
        <f t="shared" si="90"/>
        <v>Waltham ForestShort-term residential/nursing care for someone likely to require a longer-term care home placement (pathway 3)3</v>
      </c>
      <c r="B1985">
        <f>IF(C1985="","",COUNTIF($C$2:C1985,C1985))</f>
        <v>3</v>
      </c>
      <c r="C1985" t="str">
        <f t="shared" si="91"/>
        <v>Waltham ForestShort-term residential/nursing care for someone likely to require a longer-term care home placement (pathway 3)</v>
      </c>
      <c r="D1985" t="str">
        <f>VLOOKUP(G1985,PathwayLookup!A:B,2,0)</f>
        <v>Short-term residential/nursing care for someone likely to require a longer-term care home placement (pathway 3)</v>
      </c>
      <c r="E1985" t="s">
        <v>335</v>
      </c>
      <c r="F1985" t="s">
        <v>516</v>
      </c>
      <c r="G1985" t="s">
        <v>686</v>
      </c>
      <c r="H1985">
        <v>1.5035741081258776</v>
      </c>
      <c r="I1985">
        <v>1.7760944609697948</v>
      </c>
      <c r="J1985">
        <v>1.6912754462518034</v>
      </c>
      <c r="K1985">
        <v>1.9963882908623565</v>
      </c>
      <c r="L1985">
        <v>1.9967809714860505</v>
      </c>
      <c r="M1985">
        <v>1.9936395264964952</v>
      </c>
      <c r="N1985">
        <v>1.9787176627961081</v>
      </c>
      <c r="O1985">
        <v>2.0466514106952403</v>
      </c>
      <c r="P1985">
        <v>2.1098369011213047</v>
      </c>
      <c r="Q1985">
        <v>1.9846078721515239</v>
      </c>
      <c r="R1985">
        <v>1.5435839005622969</v>
      </c>
      <c r="S1985">
        <v>1.9783249821724136</v>
      </c>
      <c r="T1985">
        <f t="shared" si="92"/>
        <v>22.599475533691265</v>
      </c>
      <c r="U1985">
        <v>1</v>
      </c>
    </row>
    <row r="1986" spans="1:21" x14ac:dyDescent="0.3">
      <c r="A1986" t="str">
        <f t="shared" ref="A1986:A2049" si="93">IF(B1986="","",E1986&amp;D1986&amp;B1986)</f>
        <v>WandsworthSocial support (including VCS) (pathway 0)1</v>
      </c>
      <c r="B1986">
        <f>IF(C1986="","",COUNTIF($C$2:C1986,C1986))</f>
        <v>1</v>
      </c>
      <c r="C1986" t="str">
        <f t="shared" ref="C1986:C2049" si="94">IF(T1986=0,"",E1986&amp;G1986)</f>
        <v>WandsworthSocial support (including VCS) (pathway 0)</v>
      </c>
      <c r="D1986" t="str">
        <f>VLOOKUP(G1986,PathwayLookup!A:B,2,0)</f>
        <v>Social support (including VCS) (pathway 0)</v>
      </c>
      <c r="E1986" t="s">
        <v>337</v>
      </c>
      <c r="F1986" t="s">
        <v>476</v>
      </c>
      <c r="G1986" t="s">
        <v>682</v>
      </c>
      <c r="H1986">
        <v>8</v>
      </c>
      <c r="I1986">
        <v>8</v>
      </c>
      <c r="J1986">
        <v>8</v>
      </c>
      <c r="K1986">
        <v>9</v>
      </c>
      <c r="L1986">
        <v>8</v>
      </c>
      <c r="M1986">
        <v>9</v>
      </c>
      <c r="N1986">
        <v>9</v>
      </c>
      <c r="O1986">
        <v>9</v>
      </c>
      <c r="P1986">
        <v>9</v>
      </c>
      <c r="Q1986">
        <v>8</v>
      </c>
      <c r="R1986">
        <v>8</v>
      </c>
      <c r="S1986">
        <v>8</v>
      </c>
      <c r="T1986">
        <f t="shared" ref="T1986:T2049" si="95">SUM(H1986:S1986)</f>
        <v>101</v>
      </c>
      <c r="U1986">
        <v>1</v>
      </c>
    </row>
    <row r="1987" spans="1:21" x14ac:dyDescent="0.3">
      <c r="A1987" t="str">
        <f t="shared" si="93"/>
        <v>WandsworthSocial support (including VCS) (pathway 0)2</v>
      </c>
      <c r="B1987">
        <f>IF(C1987="","",COUNTIF($C$2:C1987,C1987))</f>
        <v>2</v>
      </c>
      <c r="C1987" t="str">
        <f t="shared" si="94"/>
        <v>WandsworthSocial support (including VCS) (pathway 0)</v>
      </c>
      <c r="D1987" t="str">
        <f>VLOOKUP(G1987,PathwayLookup!A:B,2,0)</f>
        <v>Social support (including VCS) (pathway 0)</v>
      </c>
      <c r="E1987" t="s">
        <v>337</v>
      </c>
      <c r="F1987" t="s">
        <v>600</v>
      </c>
      <c r="G1987" t="s">
        <v>682</v>
      </c>
      <c r="H1987">
        <v>17</v>
      </c>
      <c r="I1987">
        <v>18</v>
      </c>
      <c r="J1987">
        <v>19</v>
      </c>
      <c r="K1987">
        <v>20</v>
      </c>
      <c r="L1987">
        <v>19</v>
      </c>
      <c r="M1987">
        <v>20</v>
      </c>
      <c r="N1987">
        <v>21</v>
      </c>
      <c r="O1987">
        <v>19</v>
      </c>
      <c r="P1987">
        <v>20</v>
      </c>
      <c r="Q1987">
        <v>19</v>
      </c>
      <c r="R1987">
        <v>18</v>
      </c>
      <c r="S1987">
        <v>19</v>
      </c>
      <c r="T1987">
        <f t="shared" si="95"/>
        <v>229</v>
      </c>
      <c r="U1987">
        <v>1</v>
      </c>
    </row>
    <row r="1988" spans="1:21" x14ac:dyDescent="0.3">
      <c r="A1988" t="str">
        <f t="shared" si="93"/>
        <v>WandsworthSocial support (including VCS) (pathway 0)3</v>
      </c>
      <c r="B1988">
        <f>IF(C1988="","",COUNTIF($C$2:C1988,C1988))</f>
        <v>3</v>
      </c>
      <c r="C1988" t="str">
        <f t="shared" si="94"/>
        <v>WandsworthSocial support (including VCS) (pathway 0)</v>
      </c>
      <c r="D1988" t="str">
        <f>VLOOKUP(G1988,PathwayLookup!A:B,2,0)</f>
        <v>Social support (including VCS) (pathway 0)</v>
      </c>
      <c r="E1988" t="s">
        <v>337</v>
      </c>
      <c r="F1988" t="s">
        <v>651</v>
      </c>
      <c r="G1988" t="s">
        <v>682</v>
      </c>
      <c r="H1988">
        <v>8</v>
      </c>
      <c r="I1988">
        <v>9</v>
      </c>
      <c r="J1988">
        <v>9</v>
      </c>
      <c r="K1988">
        <v>10</v>
      </c>
      <c r="L1988">
        <v>9</v>
      </c>
      <c r="M1988">
        <v>10</v>
      </c>
      <c r="N1988">
        <v>10</v>
      </c>
      <c r="O1988">
        <v>9</v>
      </c>
      <c r="P1988">
        <v>9</v>
      </c>
      <c r="Q1988">
        <v>9</v>
      </c>
      <c r="R1988">
        <v>9</v>
      </c>
      <c r="S1988">
        <v>9</v>
      </c>
      <c r="T1988">
        <f t="shared" si="95"/>
        <v>110</v>
      </c>
      <c r="U1988">
        <v>1</v>
      </c>
    </row>
    <row r="1989" spans="1:21" x14ac:dyDescent="0.3">
      <c r="A1989" t="str">
        <f t="shared" si="93"/>
        <v>WandsworthReablement &amp; Rehabilitation at home  (pathway 1)1</v>
      </c>
      <c r="B1989">
        <f>IF(C1989="","",COUNTIF($C$2:C1989,C1989))</f>
        <v>1</v>
      </c>
      <c r="C1989" t="str">
        <f t="shared" si="94"/>
        <v>WandsworthReablement at home  (pathway 1)</v>
      </c>
      <c r="D1989" t="str">
        <f>VLOOKUP(G1989,PathwayLookup!A:B,2,0)</f>
        <v>Reablement &amp; Rehabilitation at home  (pathway 1)</v>
      </c>
      <c r="E1989" t="s">
        <v>337</v>
      </c>
      <c r="F1989" t="s">
        <v>476</v>
      </c>
      <c r="G1989" t="s">
        <v>718</v>
      </c>
      <c r="H1989">
        <v>34</v>
      </c>
      <c r="I1989">
        <v>37</v>
      </c>
      <c r="J1989">
        <v>37</v>
      </c>
      <c r="K1989">
        <v>40</v>
      </c>
      <c r="L1989">
        <v>38</v>
      </c>
      <c r="M1989">
        <v>40</v>
      </c>
      <c r="N1989">
        <v>41</v>
      </c>
      <c r="O1989">
        <v>39</v>
      </c>
      <c r="P1989">
        <v>39</v>
      </c>
      <c r="Q1989">
        <v>38</v>
      </c>
      <c r="R1989">
        <v>36</v>
      </c>
      <c r="S1989">
        <v>38</v>
      </c>
      <c r="T1989">
        <f t="shared" si="95"/>
        <v>457</v>
      </c>
      <c r="U1989">
        <v>1</v>
      </c>
    </row>
    <row r="1990" spans="1:21" x14ac:dyDescent="0.3">
      <c r="A1990" t="str">
        <f t="shared" si="93"/>
        <v>WandsworthReablement &amp; Rehabilitation at home  (pathway 1)2</v>
      </c>
      <c r="B1990">
        <f>IF(C1990="","",COUNTIF($C$2:C1990,C1990))</f>
        <v>2</v>
      </c>
      <c r="C1990" t="str">
        <f t="shared" si="94"/>
        <v>WandsworthReablement at home  (pathway 1)</v>
      </c>
      <c r="D1990" t="str">
        <f>VLOOKUP(G1990,PathwayLookup!A:B,2,0)</f>
        <v>Reablement &amp; Rehabilitation at home  (pathway 1)</v>
      </c>
      <c r="E1990" t="s">
        <v>337</v>
      </c>
      <c r="F1990" t="s">
        <v>600</v>
      </c>
      <c r="G1990" t="s">
        <v>718</v>
      </c>
      <c r="H1990">
        <v>80</v>
      </c>
      <c r="I1990">
        <v>85</v>
      </c>
      <c r="J1990">
        <v>87</v>
      </c>
      <c r="K1990">
        <v>92</v>
      </c>
      <c r="L1990">
        <v>89</v>
      </c>
      <c r="M1990">
        <v>93</v>
      </c>
      <c r="N1990">
        <v>97</v>
      </c>
      <c r="O1990">
        <v>90</v>
      </c>
      <c r="P1990">
        <v>91</v>
      </c>
      <c r="Q1990">
        <v>88</v>
      </c>
      <c r="R1990">
        <v>84</v>
      </c>
      <c r="S1990">
        <v>88</v>
      </c>
      <c r="T1990">
        <f t="shared" si="95"/>
        <v>1064</v>
      </c>
      <c r="U1990">
        <v>1</v>
      </c>
    </row>
    <row r="1991" spans="1:21" x14ac:dyDescent="0.3">
      <c r="A1991" t="str">
        <f t="shared" si="93"/>
        <v>WandsworthReablement &amp; Rehabilitation at home  (pathway 1)3</v>
      </c>
      <c r="B1991">
        <f>IF(C1991="","",COUNTIF($C$2:C1991,C1991))</f>
        <v>3</v>
      </c>
      <c r="C1991" t="str">
        <f t="shared" si="94"/>
        <v>WandsworthReablement at home  (pathway 1)</v>
      </c>
      <c r="D1991" t="str">
        <f>VLOOKUP(G1991,PathwayLookup!A:B,2,0)</f>
        <v>Reablement &amp; Rehabilitation at home  (pathway 1)</v>
      </c>
      <c r="E1991" t="s">
        <v>337</v>
      </c>
      <c r="F1991" t="s">
        <v>651</v>
      </c>
      <c r="G1991" t="s">
        <v>718</v>
      </c>
      <c r="H1991">
        <v>40</v>
      </c>
      <c r="I1991">
        <v>43</v>
      </c>
      <c r="J1991">
        <v>44</v>
      </c>
      <c r="K1991">
        <v>46</v>
      </c>
      <c r="L1991">
        <v>45</v>
      </c>
      <c r="M1991">
        <v>47</v>
      </c>
      <c r="N1991">
        <v>49</v>
      </c>
      <c r="O1991">
        <v>46</v>
      </c>
      <c r="P1991">
        <v>46</v>
      </c>
      <c r="Q1991">
        <v>44</v>
      </c>
      <c r="R1991">
        <v>43</v>
      </c>
      <c r="S1991">
        <v>45</v>
      </c>
      <c r="T1991">
        <f t="shared" si="95"/>
        <v>538</v>
      </c>
      <c r="U1991">
        <v>1</v>
      </c>
    </row>
    <row r="1992" spans="1:21" x14ac:dyDescent="0.3">
      <c r="A1992" t="str">
        <f t="shared" si="93"/>
        <v>WandsworthReablement &amp; Rehabilitation at home  (pathway 1)1</v>
      </c>
      <c r="B1992">
        <f>IF(C1992="","",COUNTIF($C$2:C1992,C1992))</f>
        <v>1</v>
      </c>
      <c r="C1992" t="str">
        <f t="shared" si="94"/>
        <v>WandsworthRehabilitation at home (pathway 1)</v>
      </c>
      <c r="D1992" t="str">
        <f>VLOOKUP(G1992,PathwayLookup!A:B,2,0)</f>
        <v>Reablement &amp; Rehabilitation at home  (pathway 1)</v>
      </c>
      <c r="E1992" t="s">
        <v>337</v>
      </c>
      <c r="F1992" t="s">
        <v>476</v>
      </c>
      <c r="G1992" t="s">
        <v>719</v>
      </c>
      <c r="H1992">
        <v>25</v>
      </c>
      <c r="I1992">
        <v>27</v>
      </c>
      <c r="J1992">
        <v>27</v>
      </c>
      <c r="K1992">
        <v>29</v>
      </c>
      <c r="L1992">
        <v>28</v>
      </c>
      <c r="M1992">
        <v>29</v>
      </c>
      <c r="N1992">
        <v>31</v>
      </c>
      <c r="O1992">
        <v>28</v>
      </c>
      <c r="P1992">
        <v>28</v>
      </c>
      <c r="Q1992">
        <v>27</v>
      </c>
      <c r="R1992">
        <v>26</v>
      </c>
      <c r="S1992">
        <v>28</v>
      </c>
      <c r="T1992">
        <f t="shared" si="95"/>
        <v>333</v>
      </c>
      <c r="U1992">
        <v>1</v>
      </c>
    </row>
    <row r="1993" spans="1:21" x14ac:dyDescent="0.3">
      <c r="A1993" t="str">
        <f t="shared" si="93"/>
        <v>WandsworthReablement &amp; Rehabilitation at home  (pathway 1)2</v>
      </c>
      <c r="B1993">
        <f>IF(C1993="","",COUNTIF($C$2:C1993,C1993))</f>
        <v>2</v>
      </c>
      <c r="C1993" t="str">
        <f t="shared" si="94"/>
        <v>WandsworthRehabilitation at home (pathway 1)</v>
      </c>
      <c r="D1993" t="str">
        <f>VLOOKUP(G1993,PathwayLookup!A:B,2,0)</f>
        <v>Reablement &amp; Rehabilitation at home  (pathway 1)</v>
      </c>
      <c r="E1993" t="s">
        <v>337</v>
      </c>
      <c r="F1993" t="s">
        <v>600</v>
      </c>
      <c r="G1993" t="s">
        <v>719</v>
      </c>
      <c r="H1993">
        <v>91</v>
      </c>
      <c r="I1993">
        <v>97</v>
      </c>
      <c r="J1993">
        <v>99</v>
      </c>
      <c r="K1993">
        <v>105</v>
      </c>
      <c r="L1993">
        <v>100</v>
      </c>
      <c r="M1993">
        <v>105</v>
      </c>
      <c r="N1993">
        <v>111</v>
      </c>
      <c r="O1993">
        <v>102</v>
      </c>
      <c r="P1993">
        <v>103</v>
      </c>
      <c r="Q1993">
        <v>100</v>
      </c>
      <c r="R1993">
        <v>96</v>
      </c>
      <c r="S1993">
        <v>101</v>
      </c>
      <c r="T1993">
        <f t="shared" si="95"/>
        <v>1210</v>
      </c>
      <c r="U1993">
        <v>1</v>
      </c>
    </row>
    <row r="1994" spans="1:21" x14ac:dyDescent="0.3">
      <c r="A1994" t="str">
        <f t="shared" si="93"/>
        <v>WandsworthReablement &amp; Rehabilitation at home  (pathway 1)3</v>
      </c>
      <c r="B1994">
        <f>IF(C1994="","",COUNTIF($C$2:C1994,C1994))</f>
        <v>3</v>
      </c>
      <c r="C1994" t="str">
        <f t="shared" si="94"/>
        <v>WandsworthRehabilitation at home (pathway 1)</v>
      </c>
      <c r="D1994" t="str">
        <f>VLOOKUP(G1994,PathwayLookup!A:B,2,0)</f>
        <v>Reablement &amp; Rehabilitation at home  (pathway 1)</v>
      </c>
      <c r="E1994" t="s">
        <v>337</v>
      </c>
      <c r="F1994" t="s">
        <v>651</v>
      </c>
      <c r="G1994" t="s">
        <v>719</v>
      </c>
      <c r="H1994">
        <v>29</v>
      </c>
      <c r="I1994">
        <v>31</v>
      </c>
      <c r="J1994">
        <v>32</v>
      </c>
      <c r="K1994">
        <v>34</v>
      </c>
      <c r="L1994">
        <v>32</v>
      </c>
      <c r="M1994">
        <v>34</v>
      </c>
      <c r="N1994">
        <v>36</v>
      </c>
      <c r="O1994">
        <v>33</v>
      </c>
      <c r="P1994">
        <v>33</v>
      </c>
      <c r="Q1994">
        <v>32</v>
      </c>
      <c r="R1994">
        <v>31</v>
      </c>
      <c r="S1994">
        <v>32</v>
      </c>
      <c r="T1994">
        <f t="shared" si="95"/>
        <v>389</v>
      </c>
      <c r="U1994">
        <v>1</v>
      </c>
    </row>
    <row r="1995" spans="1:21" x14ac:dyDescent="0.3">
      <c r="A1995" t="str">
        <f t="shared" si="93"/>
        <v>WandsworthShort term domiciliary care (pathway 1)1</v>
      </c>
      <c r="B1995">
        <f>IF(C1995="","",COUNTIF($C$2:C1995,C1995))</f>
        <v>1</v>
      </c>
      <c r="C1995" t="str">
        <f t="shared" si="94"/>
        <v>WandsworthShort term domiciliary care (pathway 1)</v>
      </c>
      <c r="D1995" t="str">
        <f>VLOOKUP(G1995,PathwayLookup!A:B,2,0)</f>
        <v>Short term domiciliary care (pathway 1)</v>
      </c>
      <c r="E1995" t="s">
        <v>337</v>
      </c>
      <c r="F1995" t="s">
        <v>476</v>
      </c>
      <c r="G1995" t="s">
        <v>684</v>
      </c>
      <c r="H1995">
        <v>1</v>
      </c>
      <c r="I1995">
        <v>1</v>
      </c>
      <c r="J1995">
        <v>1</v>
      </c>
      <c r="K1995">
        <v>1</v>
      </c>
      <c r="L1995">
        <v>1</v>
      </c>
      <c r="M1995">
        <v>1</v>
      </c>
      <c r="N1995">
        <v>1</v>
      </c>
      <c r="O1995">
        <v>1</v>
      </c>
      <c r="P1995">
        <v>1</v>
      </c>
      <c r="Q1995">
        <v>1</v>
      </c>
      <c r="R1995">
        <v>1</v>
      </c>
      <c r="S1995">
        <v>1</v>
      </c>
      <c r="T1995">
        <f t="shared" si="95"/>
        <v>12</v>
      </c>
      <c r="U1995">
        <v>1</v>
      </c>
    </row>
    <row r="1996" spans="1:21" x14ac:dyDescent="0.3">
      <c r="A1996" t="str">
        <f t="shared" si="93"/>
        <v>WandsworthShort term domiciliary care (pathway 1)2</v>
      </c>
      <c r="B1996">
        <f>IF(C1996="","",COUNTIF($C$2:C1996,C1996))</f>
        <v>2</v>
      </c>
      <c r="C1996" t="str">
        <f t="shared" si="94"/>
        <v>WandsworthShort term domiciliary care (pathway 1)</v>
      </c>
      <c r="D1996" t="str">
        <f>VLOOKUP(G1996,PathwayLookup!A:B,2,0)</f>
        <v>Short term domiciliary care (pathway 1)</v>
      </c>
      <c r="E1996" t="s">
        <v>337</v>
      </c>
      <c r="F1996" t="s">
        <v>600</v>
      </c>
      <c r="G1996" t="s">
        <v>684</v>
      </c>
      <c r="H1996">
        <v>2</v>
      </c>
      <c r="I1996">
        <v>2</v>
      </c>
      <c r="J1996">
        <v>2</v>
      </c>
      <c r="K1996">
        <v>2</v>
      </c>
      <c r="L1996">
        <v>2</v>
      </c>
      <c r="M1996">
        <v>2</v>
      </c>
      <c r="N1996">
        <v>2</v>
      </c>
      <c r="O1996">
        <v>2</v>
      </c>
      <c r="P1996">
        <v>2</v>
      </c>
      <c r="Q1996">
        <v>2</v>
      </c>
      <c r="R1996">
        <v>2</v>
      </c>
      <c r="S1996">
        <v>2</v>
      </c>
      <c r="T1996">
        <f t="shared" si="95"/>
        <v>24</v>
      </c>
      <c r="U1996">
        <v>1</v>
      </c>
    </row>
    <row r="1997" spans="1:21" x14ac:dyDescent="0.3">
      <c r="A1997" t="str">
        <f t="shared" si="93"/>
        <v>WandsworthShort term domiciliary care (pathway 1)3</v>
      </c>
      <c r="B1997">
        <f>IF(C1997="","",COUNTIF($C$2:C1997,C1997))</f>
        <v>3</v>
      </c>
      <c r="C1997" t="str">
        <f t="shared" si="94"/>
        <v>WandsworthShort term domiciliary care (pathway 1)</v>
      </c>
      <c r="D1997" t="str">
        <f>VLOOKUP(G1997,PathwayLookup!A:B,2,0)</f>
        <v>Short term domiciliary care (pathway 1)</v>
      </c>
      <c r="E1997" t="s">
        <v>337</v>
      </c>
      <c r="F1997" t="s">
        <v>651</v>
      </c>
      <c r="G1997" t="s">
        <v>684</v>
      </c>
      <c r="H1997">
        <v>1</v>
      </c>
      <c r="I1997">
        <v>1</v>
      </c>
      <c r="J1997">
        <v>1</v>
      </c>
      <c r="K1997">
        <v>1</v>
      </c>
      <c r="L1997">
        <v>1</v>
      </c>
      <c r="M1997">
        <v>1</v>
      </c>
      <c r="N1997">
        <v>1</v>
      </c>
      <c r="O1997">
        <v>1</v>
      </c>
      <c r="P1997">
        <v>1</v>
      </c>
      <c r="Q1997">
        <v>1</v>
      </c>
      <c r="R1997">
        <v>1</v>
      </c>
      <c r="S1997">
        <v>1</v>
      </c>
      <c r="T1997">
        <f t="shared" si="95"/>
        <v>12</v>
      </c>
      <c r="U1997">
        <v>1</v>
      </c>
    </row>
    <row r="1998" spans="1:21" x14ac:dyDescent="0.3">
      <c r="A1998" t="str">
        <f t="shared" si="93"/>
        <v/>
      </c>
      <c r="B1998" t="str">
        <f>IF(C1998="","",COUNTIF($C$2:C1998,C1998))</f>
        <v/>
      </c>
      <c r="C1998" t="str">
        <f t="shared" si="94"/>
        <v/>
      </c>
      <c r="D1998" t="str">
        <f>VLOOKUP(G1998,PathwayLookup!A:B,2,0)</f>
        <v>Reablement &amp; Rehabilitation in a bedded setting (pathway 2)</v>
      </c>
      <c r="E1998" t="s">
        <v>337</v>
      </c>
      <c r="F1998" t="s">
        <v>476</v>
      </c>
      <c r="G1998" t="s">
        <v>722</v>
      </c>
      <c r="H1998">
        <v>0</v>
      </c>
      <c r="I1998">
        <v>0</v>
      </c>
      <c r="J1998">
        <v>0</v>
      </c>
      <c r="K1998">
        <v>0</v>
      </c>
      <c r="L1998">
        <v>0</v>
      </c>
      <c r="M1998">
        <v>0</v>
      </c>
      <c r="N1998">
        <v>0</v>
      </c>
      <c r="O1998">
        <v>0</v>
      </c>
      <c r="P1998">
        <v>0</v>
      </c>
      <c r="Q1998">
        <v>0</v>
      </c>
      <c r="R1998">
        <v>0</v>
      </c>
      <c r="S1998">
        <v>0</v>
      </c>
      <c r="T1998">
        <f t="shared" si="95"/>
        <v>0</v>
      </c>
      <c r="U1998">
        <v>1</v>
      </c>
    </row>
    <row r="1999" spans="1:21" x14ac:dyDescent="0.3">
      <c r="A1999" t="str">
        <f t="shared" si="93"/>
        <v/>
      </c>
      <c r="B1999" t="str">
        <f>IF(C1999="","",COUNTIF($C$2:C1999,C1999))</f>
        <v/>
      </c>
      <c r="C1999" t="str">
        <f t="shared" si="94"/>
        <v/>
      </c>
      <c r="D1999" t="str">
        <f>VLOOKUP(G1999,PathwayLookup!A:B,2,0)</f>
        <v>Reablement &amp; Rehabilitation in a bedded setting (pathway 2)</v>
      </c>
      <c r="E1999" t="s">
        <v>337</v>
      </c>
      <c r="F1999" t="s">
        <v>600</v>
      </c>
      <c r="G1999" t="s">
        <v>722</v>
      </c>
      <c r="H1999">
        <v>0</v>
      </c>
      <c r="I1999">
        <v>0</v>
      </c>
      <c r="J1999">
        <v>0</v>
      </c>
      <c r="K1999">
        <v>0</v>
      </c>
      <c r="L1999">
        <v>0</v>
      </c>
      <c r="M1999">
        <v>0</v>
      </c>
      <c r="N1999">
        <v>0</v>
      </c>
      <c r="O1999">
        <v>0</v>
      </c>
      <c r="P1999">
        <v>0</v>
      </c>
      <c r="Q1999">
        <v>0</v>
      </c>
      <c r="R1999">
        <v>0</v>
      </c>
      <c r="S1999">
        <v>0</v>
      </c>
      <c r="T1999">
        <f t="shared" si="95"/>
        <v>0</v>
      </c>
      <c r="U1999">
        <v>1</v>
      </c>
    </row>
    <row r="2000" spans="1:21" x14ac:dyDescent="0.3">
      <c r="A2000" t="str">
        <f t="shared" si="93"/>
        <v/>
      </c>
      <c r="B2000" t="str">
        <f>IF(C2000="","",COUNTIF($C$2:C2000,C2000))</f>
        <v/>
      </c>
      <c r="C2000" t="str">
        <f t="shared" si="94"/>
        <v/>
      </c>
      <c r="D2000" t="str">
        <f>VLOOKUP(G2000,PathwayLookup!A:B,2,0)</f>
        <v>Reablement &amp; Rehabilitation in a bedded setting (pathway 2)</v>
      </c>
      <c r="E2000" t="s">
        <v>337</v>
      </c>
      <c r="F2000" t="s">
        <v>651</v>
      </c>
      <c r="G2000" t="s">
        <v>722</v>
      </c>
      <c r="H2000">
        <v>0</v>
      </c>
      <c r="I2000">
        <v>0</v>
      </c>
      <c r="J2000">
        <v>0</v>
      </c>
      <c r="K2000">
        <v>0</v>
      </c>
      <c r="L2000">
        <v>0</v>
      </c>
      <c r="M2000">
        <v>0</v>
      </c>
      <c r="N2000">
        <v>0</v>
      </c>
      <c r="O2000">
        <v>0</v>
      </c>
      <c r="P2000">
        <v>0</v>
      </c>
      <c r="Q2000">
        <v>0</v>
      </c>
      <c r="R2000">
        <v>0</v>
      </c>
      <c r="S2000">
        <v>0</v>
      </c>
      <c r="T2000">
        <f t="shared" si="95"/>
        <v>0</v>
      </c>
      <c r="U2000">
        <v>1</v>
      </c>
    </row>
    <row r="2001" spans="1:21" x14ac:dyDescent="0.3">
      <c r="A2001" t="str">
        <f t="shared" si="93"/>
        <v>WandsworthReablement &amp; Rehabilitation in a bedded setting (pathway 2)1</v>
      </c>
      <c r="B2001">
        <f>IF(C2001="","",COUNTIF($C$2:C2001,C2001))</f>
        <v>1</v>
      </c>
      <c r="C2001" t="str">
        <f t="shared" si="94"/>
        <v>WandsworthRehabilitation in a bedded setting (pathway 2)</v>
      </c>
      <c r="D2001" t="str">
        <f>VLOOKUP(G2001,PathwayLookup!A:B,2,0)</f>
        <v>Reablement &amp; Rehabilitation in a bedded setting (pathway 2)</v>
      </c>
      <c r="E2001" t="s">
        <v>337</v>
      </c>
      <c r="F2001" t="s">
        <v>476</v>
      </c>
      <c r="G2001" t="s">
        <v>724</v>
      </c>
      <c r="H2001">
        <v>5</v>
      </c>
      <c r="I2001">
        <v>5</v>
      </c>
      <c r="J2001">
        <v>5</v>
      </c>
      <c r="K2001">
        <v>6</v>
      </c>
      <c r="L2001">
        <v>5</v>
      </c>
      <c r="M2001">
        <v>6</v>
      </c>
      <c r="N2001">
        <v>6</v>
      </c>
      <c r="O2001">
        <v>6</v>
      </c>
      <c r="P2001">
        <v>6</v>
      </c>
      <c r="Q2001">
        <v>5</v>
      </c>
      <c r="R2001">
        <v>5</v>
      </c>
      <c r="S2001">
        <v>6</v>
      </c>
      <c r="T2001">
        <f t="shared" si="95"/>
        <v>66</v>
      </c>
      <c r="U2001">
        <v>1</v>
      </c>
    </row>
    <row r="2002" spans="1:21" x14ac:dyDescent="0.3">
      <c r="A2002" t="str">
        <f t="shared" si="93"/>
        <v>WandsworthReablement &amp; Rehabilitation in a bedded setting (pathway 2)2</v>
      </c>
      <c r="B2002">
        <f>IF(C2002="","",COUNTIF($C$2:C2002,C2002))</f>
        <v>2</v>
      </c>
      <c r="C2002" t="str">
        <f t="shared" si="94"/>
        <v>WandsworthRehabilitation in a bedded setting (pathway 2)</v>
      </c>
      <c r="D2002" t="str">
        <f>VLOOKUP(G2002,PathwayLookup!A:B,2,0)</f>
        <v>Reablement &amp; Rehabilitation in a bedded setting (pathway 2)</v>
      </c>
      <c r="E2002" t="s">
        <v>337</v>
      </c>
      <c r="F2002" t="s">
        <v>600</v>
      </c>
      <c r="G2002" t="s">
        <v>724</v>
      </c>
      <c r="H2002">
        <v>22</v>
      </c>
      <c r="I2002">
        <v>24</v>
      </c>
      <c r="J2002">
        <v>24</v>
      </c>
      <c r="K2002">
        <v>26</v>
      </c>
      <c r="L2002">
        <v>25</v>
      </c>
      <c r="M2002">
        <v>26</v>
      </c>
      <c r="N2002">
        <v>27</v>
      </c>
      <c r="O2002">
        <v>25</v>
      </c>
      <c r="P2002">
        <v>25</v>
      </c>
      <c r="Q2002">
        <v>25</v>
      </c>
      <c r="R2002">
        <v>24</v>
      </c>
      <c r="S2002">
        <v>25</v>
      </c>
      <c r="T2002">
        <f t="shared" si="95"/>
        <v>298</v>
      </c>
      <c r="U2002">
        <v>1</v>
      </c>
    </row>
    <row r="2003" spans="1:21" x14ac:dyDescent="0.3">
      <c r="A2003" t="str">
        <f t="shared" si="93"/>
        <v>WandsworthReablement &amp; Rehabilitation in a bedded setting (pathway 2)3</v>
      </c>
      <c r="B2003">
        <f>IF(C2003="","",COUNTIF($C$2:C2003,C2003))</f>
        <v>3</v>
      </c>
      <c r="C2003" t="str">
        <f t="shared" si="94"/>
        <v>WandsworthRehabilitation in a bedded setting (pathway 2)</v>
      </c>
      <c r="D2003" t="str">
        <f>VLOOKUP(G2003,PathwayLookup!A:B,2,0)</f>
        <v>Reablement &amp; Rehabilitation in a bedded setting (pathway 2)</v>
      </c>
      <c r="E2003" t="s">
        <v>337</v>
      </c>
      <c r="F2003" t="s">
        <v>651</v>
      </c>
      <c r="G2003" t="s">
        <v>724</v>
      </c>
      <c r="H2003">
        <v>5</v>
      </c>
      <c r="I2003">
        <v>5</v>
      </c>
      <c r="J2003">
        <v>5</v>
      </c>
      <c r="K2003">
        <v>5</v>
      </c>
      <c r="L2003">
        <v>5</v>
      </c>
      <c r="M2003">
        <v>5</v>
      </c>
      <c r="N2003">
        <v>5</v>
      </c>
      <c r="O2003">
        <v>5</v>
      </c>
      <c r="P2003">
        <v>5</v>
      </c>
      <c r="Q2003">
        <v>5</v>
      </c>
      <c r="R2003">
        <v>5</v>
      </c>
      <c r="S2003">
        <v>5</v>
      </c>
      <c r="T2003">
        <f t="shared" si="95"/>
        <v>60</v>
      </c>
      <c r="U2003">
        <v>1</v>
      </c>
    </row>
    <row r="2004" spans="1:21" x14ac:dyDescent="0.3">
      <c r="A2004" t="str">
        <f t="shared" si="93"/>
        <v>WandsworthShort-term residential/nursing care for someone likely to require a longer-term care home placement (pathway 3)1</v>
      </c>
      <c r="B2004">
        <f>IF(C2004="","",COUNTIF($C$2:C2004,C2004))</f>
        <v>1</v>
      </c>
      <c r="C2004" t="str">
        <f t="shared" si="94"/>
        <v>WandsworthShort-term residential/nursing care for someone likely to require a longer-term care home placement (pathway 3)</v>
      </c>
      <c r="D2004" t="str">
        <f>VLOOKUP(G2004,PathwayLookup!A:B,2,0)</f>
        <v>Short-term residential/nursing care for someone likely to require a longer-term care home placement (pathway 3)</v>
      </c>
      <c r="E2004" t="s">
        <v>337</v>
      </c>
      <c r="F2004" t="s">
        <v>476</v>
      </c>
      <c r="G2004" t="s">
        <v>686</v>
      </c>
      <c r="H2004">
        <v>8</v>
      </c>
      <c r="I2004">
        <v>8</v>
      </c>
      <c r="J2004">
        <v>8</v>
      </c>
      <c r="K2004">
        <v>9</v>
      </c>
      <c r="L2004">
        <v>8</v>
      </c>
      <c r="M2004">
        <v>9</v>
      </c>
      <c r="N2004">
        <v>9</v>
      </c>
      <c r="O2004">
        <v>9</v>
      </c>
      <c r="P2004">
        <v>9</v>
      </c>
      <c r="Q2004">
        <v>8</v>
      </c>
      <c r="R2004">
        <v>8</v>
      </c>
      <c r="S2004">
        <v>8</v>
      </c>
      <c r="T2004">
        <f t="shared" si="95"/>
        <v>101</v>
      </c>
      <c r="U2004">
        <v>1</v>
      </c>
    </row>
    <row r="2005" spans="1:21" x14ac:dyDescent="0.3">
      <c r="A2005" t="str">
        <f t="shared" si="93"/>
        <v>WandsworthShort-term residential/nursing care for someone likely to require a longer-term care home placement (pathway 3)2</v>
      </c>
      <c r="B2005">
        <f>IF(C2005="","",COUNTIF($C$2:C2005,C2005))</f>
        <v>2</v>
      </c>
      <c r="C2005" t="str">
        <f t="shared" si="94"/>
        <v>WandsworthShort-term residential/nursing care for someone likely to require a longer-term care home placement (pathway 3)</v>
      </c>
      <c r="D2005" t="str">
        <f>VLOOKUP(G2005,PathwayLookup!A:B,2,0)</f>
        <v>Short-term residential/nursing care for someone likely to require a longer-term care home placement (pathway 3)</v>
      </c>
      <c r="E2005" t="s">
        <v>337</v>
      </c>
      <c r="F2005" t="s">
        <v>600</v>
      </c>
      <c r="G2005" t="s">
        <v>686</v>
      </c>
      <c r="H2005">
        <v>9</v>
      </c>
      <c r="I2005">
        <v>9</v>
      </c>
      <c r="J2005">
        <v>10</v>
      </c>
      <c r="K2005">
        <v>10</v>
      </c>
      <c r="L2005">
        <v>10</v>
      </c>
      <c r="M2005">
        <v>10</v>
      </c>
      <c r="N2005">
        <v>11</v>
      </c>
      <c r="O2005">
        <v>10</v>
      </c>
      <c r="P2005">
        <v>10</v>
      </c>
      <c r="Q2005">
        <v>10</v>
      </c>
      <c r="R2005">
        <v>9</v>
      </c>
      <c r="S2005">
        <v>10</v>
      </c>
      <c r="T2005">
        <f t="shared" si="95"/>
        <v>118</v>
      </c>
      <c r="U2005">
        <v>1</v>
      </c>
    </row>
    <row r="2006" spans="1:21" x14ac:dyDescent="0.3">
      <c r="A2006" t="str">
        <f t="shared" si="93"/>
        <v>WandsworthShort-term residential/nursing care for someone likely to require a longer-term care home placement (pathway 3)3</v>
      </c>
      <c r="B2006">
        <f>IF(C2006="","",COUNTIF($C$2:C2006,C2006))</f>
        <v>3</v>
      </c>
      <c r="C2006" t="str">
        <f t="shared" si="94"/>
        <v>WandsworthShort-term residential/nursing care for someone likely to require a longer-term care home placement (pathway 3)</v>
      </c>
      <c r="D2006" t="str">
        <f>VLOOKUP(G2006,PathwayLookup!A:B,2,0)</f>
        <v>Short-term residential/nursing care for someone likely to require a longer-term care home placement (pathway 3)</v>
      </c>
      <c r="E2006" t="s">
        <v>337</v>
      </c>
      <c r="F2006" t="s">
        <v>651</v>
      </c>
      <c r="G2006" t="s">
        <v>686</v>
      </c>
      <c r="H2006">
        <v>7</v>
      </c>
      <c r="I2006">
        <v>8</v>
      </c>
      <c r="J2006">
        <v>8</v>
      </c>
      <c r="K2006">
        <v>9</v>
      </c>
      <c r="L2006">
        <v>8</v>
      </c>
      <c r="M2006">
        <v>9</v>
      </c>
      <c r="N2006">
        <v>9</v>
      </c>
      <c r="O2006">
        <v>8</v>
      </c>
      <c r="P2006">
        <v>9</v>
      </c>
      <c r="Q2006">
        <v>8</v>
      </c>
      <c r="R2006">
        <v>8</v>
      </c>
      <c r="S2006">
        <v>8</v>
      </c>
      <c r="T2006">
        <f t="shared" si="95"/>
        <v>99</v>
      </c>
      <c r="U2006">
        <v>1</v>
      </c>
    </row>
    <row r="2007" spans="1:21" x14ac:dyDescent="0.3">
      <c r="A2007" t="str">
        <f t="shared" si="93"/>
        <v>WarringtonSocial support (including VCS) (pathway 0)1</v>
      </c>
      <c r="B2007">
        <f>IF(C2007="","",COUNTIF($C$2:C2007,C2007))</f>
        <v>1</v>
      </c>
      <c r="C2007" t="str">
        <f t="shared" si="94"/>
        <v>WarringtonSocial support (including VCS) (pathway 0)</v>
      </c>
      <c r="D2007" t="str">
        <f>VLOOKUP(G2007,PathwayLookup!A:B,2,0)</f>
        <v>Social support (including VCS) (pathway 0)</v>
      </c>
      <c r="E2007" t="s">
        <v>339</v>
      </c>
      <c r="F2007" t="s">
        <v>639</v>
      </c>
      <c r="G2007" t="s">
        <v>682</v>
      </c>
      <c r="H2007">
        <v>146</v>
      </c>
      <c r="I2007">
        <v>146</v>
      </c>
      <c r="J2007">
        <v>146</v>
      </c>
      <c r="K2007">
        <v>146</v>
      </c>
      <c r="L2007">
        <v>146</v>
      </c>
      <c r="M2007">
        <v>146</v>
      </c>
      <c r="N2007">
        <v>146</v>
      </c>
      <c r="O2007">
        <v>146</v>
      </c>
      <c r="P2007">
        <v>146</v>
      </c>
      <c r="Q2007">
        <v>146</v>
      </c>
      <c r="R2007">
        <v>146</v>
      </c>
      <c r="S2007">
        <v>146</v>
      </c>
      <c r="T2007">
        <f t="shared" si="95"/>
        <v>1752</v>
      </c>
      <c r="U2007">
        <v>1</v>
      </c>
    </row>
    <row r="2008" spans="1:21" x14ac:dyDescent="0.3">
      <c r="A2008" t="str">
        <f t="shared" si="93"/>
        <v>WarringtonReablement &amp; Rehabilitation at home  (pathway 1)1</v>
      </c>
      <c r="B2008">
        <f>IF(C2008="","",COUNTIF($C$2:C2008,C2008))</f>
        <v>1</v>
      </c>
      <c r="C2008" t="str">
        <f t="shared" si="94"/>
        <v>WarringtonReablement at home  (pathway 1)</v>
      </c>
      <c r="D2008" t="str">
        <f>VLOOKUP(G2008,PathwayLookup!A:B,2,0)</f>
        <v>Reablement &amp; Rehabilitation at home  (pathway 1)</v>
      </c>
      <c r="E2008" t="s">
        <v>339</v>
      </c>
      <c r="F2008" t="s">
        <v>639</v>
      </c>
      <c r="G2008" t="s">
        <v>718</v>
      </c>
      <c r="H2008">
        <v>113</v>
      </c>
      <c r="I2008">
        <v>111</v>
      </c>
      <c r="J2008">
        <v>105</v>
      </c>
      <c r="K2008">
        <v>114</v>
      </c>
      <c r="L2008">
        <v>117</v>
      </c>
      <c r="M2008">
        <v>102</v>
      </c>
      <c r="N2008">
        <v>105</v>
      </c>
      <c r="O2008">
        <v>95</v>
      </c>
      <c r="P2008">
        <v>86</v>
      </c>
      <c r="Q2008">
        <v>95</v>
      </c>
      <c r="R2008">
        <v>82</v>
      </c>
      <c r="S2008">
        <v>99</v>
      </c>
      <c r="T2008">
        <f t="shared" si="95"/>
        <v>1224</v>
      </c>
      <c r="U2008">
        <v>1</v>
      </c>
    </row>
    <row r="2009" spans="1:21" x14ac:dyDescent="0.3">
      <c r="A2009" t="str">
        <f t="shared" si="93"/>
        <v/>
      </c>
      <c r="B2009" t="str">
        <f>IF(C2009="","",COUNTIF($C$2:C2009,C2009))</f>
        <v/>
      </c>
      <c r="C2009" t="str">
        <f t="shared" si="94"/>
        <v/>
      </c>
      <c r="D2009" t="str">
        <f>VLOOKUP(G2009,PathwayLookup!A:B,2,0)</f>
        <v>Reablement &amp; Rehabilitation at home  (pathway 1)</v>
      </c>
      <c r="E2009" t="s">
        <v>339</v>
      </c>
      <c r="F2009" t="s">
        <v>639</v>
      </c>
      <c r="G2009" t="s">
        <v>719</v>
      </c>
      <c r="H2009">
        <v>0</v>
      </c>
      <c r="I2009">
        <v>0</v>
      </c>
      <c r="J2009">
        <v>0</v>
      </c>
      <c r="K2009">
        <v>0</v>
      </c>
      <c r="L2009">
        <v>0</v>
      </c>
      <c r="M2009">
        <v>0</v>
      </c>
      <c r="N2009">
        <v>0</v>
      </c>
      <c r="O2009">
        <v>0</v>
      </c>
      <c r="P2009">
        <v>0</v>
      </c>
      <c r="Q2009">
        <v>0</v>
      </c>
      <c r="R2009">
        <v>0</v>
      </c>
      <c r="S2009">
        <v>0</v>
      </c>
      <c r="T2009">
        <f t="shared" si="95"/>
        <v>0</v>
      </c>
      <c r="U2009">
        <v>1</v>
      </c>
    </row>
    <row r="2010" spans="1:21" x14ac:dyDescent="0.3">
      <c r="A2010" t="str">
        <f t="shared" si="93"/>
        <v>WarringtonShort term domiciliary care (pathway 1)1</v>
      </c>
      <c r="B2010">
        <f>IF(C2010="","",COUNTIF($C$2:C2010,C2010))</f>
        <v>1</v>
      </c>
      <c r="C2010" t="str">
        <f t="shared" si="94"/>
        <v>WarringtonShort term domiciliary care (pathway 1)</v>
      </c>
      <c r="D2010" t="str">
        <f>VLOOKUP(G2010,PathwayLookup!A:B,2,0)</f>
        <v>Short term domiciliary care (pathway 1)</v>
      </c>
      <c r="E2010" t="s">
        <v>339</v>
      </c>
      <c r="F2010" t="s">
        <v>639</v>
      </c>
      <c r="G2010" t="s">
        <v>684</v>
      </c>
      <c r="H2010">
        <v>23</v>
      </c>
      <c r="I2010">
        <v>23</v>
      </c>
      <c r="J2010">
        <v>23</v>
      </c>
      <c r="K2010">
        <v>23</v>
      </c>
      <c r="L2010">
        <v>23</v>
      </c>
      <c r="M2010">
        <v>23</v>
      </c>
      <c r="N2010">
        <v>23</v>
      </c>
      <c r="O2010">
        <v>23</v>
      </c>
      <c r="P2010">
        <v>23</v>
      </c>
      <c r="Q2010">
        <v>23</v>
      </c>
      <c r="R2010">
        <v>23</v>
      </c>
      <c r="S2010">
        <v>23</v>
      </c>
      <c r="T2010">
        <f t="shared" si="95"/>
        <v>276</v>
      </c>
      <c r="U2010">
        <v>1</v>
      </c>
    </row>
    <row r="2011" spans="1:21" x14ac:dyDescent="0.3">
      <c r="A2011" t="str">
        <f t="shared" si="93"/>
        <v>WarringtonReablement &amp; Rehabilitation in a bedded setting (pathway 2)1</v>
      </c>
      <c r="B2011">
        <f>IF(C2011="","",COUNTIF($C$2:C2011,C2011))</f>
        <v>1</v>
      </c>
      <c r="C2011" t="str">
        <f t="shared" si="94"/>
        <v>WarringtonReablement in a bedded setting (pathway 2)</v>
      </c>
      <c r="D2011" t="str">
        <f>VLOOKUP(G2011,PathwayLookup!A:B,2,0)</f>
        <v>Reablement &amp; Rehabilitation in a bedded setting (pathway 2)</v>
      </c>
      <c r="E2011" t="s">
        <v>339</v>
      </c>
      <c r="F2011" t="s">
        <v>639</v>
      </c>
      <c r="G2011" t="s">
        <v>722</v>
      </c>
      <c r="H2011">
        <v>26</v>
      </c>
      <c r="I2011">
        <v>26</v>
      </c>
      <c r="J2011">
        <v>26</v>
      </c>
      <c r="K2011">
        <v>26</v>
      </c>
      <c r="L2011">
        <v>26</v>
      </c>
      <c r="M2011">
        <v>26</v>
      </c>
      <c r="N2011">
        <v>26</v>
      </c>
      <c r="O2011">
        <v>26</v>
      </c>
      <c r="P2011">
        <v>26</v>
      </c>
      <c r="Q2011">
        <v>26</v>
      </c>
      <c r="R2011">
        <v>26</v>
      </c>
      <c r="S2011">
        <v>26</v>
      </c>
      <c r="T2011">
        <f t="shared" si="95"/>
        <v>312</v>
      </c>
      <c r="U2011">
        <v>1</v>
      </c>
    </row>
    <row r="2012" spans="1:21" x14ac:dyDescent="0.3">
      <c r="A2012" t="str">
        <f t="shared" si="93"/>
        <v>WarringtonReablement &amp; Rehabilitation in a bedded setting (pathway 2)1</v>
      </c>
      <c r="B2012">
        <f>IF(C2012="","",COUNTIF($C$2:C2012,C2012))</f>
        <v>1</v>
      </c>
      <c r="C2012" t="str">
        <f t="shared" si="94"/>
        <v>WarringtonRehabilitation in a bedded setting (pathway 2)</v>
      </c>
      <c r="D2012" t="str">
        <f>VLOOKUP(G2012,PathwayLookup!A:B,2,0)</f>
        <v>Reablement &amp; Rehabilitation in a bedded setting (pathway 2)</v>
      </c>
      <c r="E2012" t="s">
        <v>339</v>
      </c>
      <c r="F2012" t="s">
        <v>639</v>
      </c>
      <c r="G2012" t="s">
        <v>724</v>
      </c>
      <c r="H2012">
        <v>13</v>
      </c>
      <c r="I2012">
        <v>15</v>
      </c>
      <c r="J2012">
        <v>6</v>
      </c>
      <c r="K2012">
        <v>0</v>
      </c>
      <c r="L2012">
        <v>14</v>
      </c>
      <c r="M2012">
        <v>5</v>
      </c>
      <c r="N2012">
        <v>5</v>
      </c>
      <c r="O2012">
        <v>7</v>
      </c>
      <c r="P2012">
        <v>9</v>
      </c>
      <c r="Q2012">
        <v>18</v>
      </c>
      <c r="R2012">
        <v>7</v>
      </c>
      <c r="S2012">
        <v>19</v>
      </c>
      <c r="T2012">
        <f t="shared" si="95"/>
        <v>118</v>
      </c>
      <c r="U2012">
        <v>1</v>
      </c>
    </row>
    <row r="2013" spans="1:21" x14ac:dyDescent="0.3">
      <c r="A2013" t="str">
        <f t="shared" si="93"/>
        <v>WarringtonShort-term residential/nursing care for someone likely to require a longer-term care home placement (pathway 3)1</v>
      </c>
      <c r="B2013">
        <f>IF(C2013="","",COUNTIF($C$2:C2013,C2013))</f>
        <v>1</v>
      </c>
      <c r="C2013" t="str">
        <f t="shared" si="94"/>
        <v>WarringtonShort-term residential/nursing care for someone likely to require a longer-term care home placement (pathway 3)</v>
      </c>
      <c r="D2013" t="str">
        <f>VLOOKUP(G2013,PathwayLookup!A:B,2,0)</f>
        <v>Short-term residential/nursing care for someone likely to require a longer-term care home placement (pathway 3)</v>
      </c>
      <c r="E2013" t="s">
        <v>339</v>
      </c>
      <c r="F2013" t="s">
        <v>639</v>
      </c>
      <c r="G2013" t="s">
        <v>686</v>
      </c>
      <c r="H2013">
        <v>39</v>
      </c>
      <c r="I2013">
        <v>43</v>
      </c>
      <c r="J2013">
        <v>47</v>
      </c>
      <c r="K2013">
        <v>43</v>
      </c>
      <c r="L2013">
        <v>44</v>
      </c>
      <c r="M2013">
        <v>48</v>
      </c>
      <c r="N2013">
        <v>42</v>
      </c>
      <c r="O2013">
        <v>60</v>
      </c>
      <c r="P2013">
        <v>56</v>
      </c>
      <c r="Q2013">
        <v>56</v>
      </c>
      <c r="R2013">
        <v>43</v>
      </c>
      <c r="S2013">
        <v>53</v>
      </c>
      <c r="T2013">
        <f t="shared" si="95"/>
        <v>574</v>
      </c>
      <c r="U2013">
        <v>1</v>
      </c>
    </row>
    <row r="2014" spans="1:21" x14ac:dyDescent="0.3">
      <c r="A2014" t="str">
        <f t="shared" si="93"/>
        <v/>
      </c>
      <c r="B2014" t="str">
        <f>IF(C2014="","",COUNTIF($C$2:C2014,C2014))</f>
        <v/>
      </c>
      <c r="C2014" t="str">
        <f t="shared" si="94"/>
        <v/>
      </c>
      <c r="D2014" t="str">
        <f>VLOOKUP(G2014,PathwayLookup!A:B,2,0)</f>
        <v>Social support (including VCS) (pathway 0)</v>
      </c>
      <c r="E2014" t="s">
        <v>341</v>
      </c>
      <c r="F2014" t="s">
        <v>504</v>
      </c>
      <c r="G2014" t="s">
        <v>682</v>
      </c>
      <c r="H2014">
        <v>0</v>
      </c>
      <c r="I2014">
        <v>0</v>
      </c>
      <c r="J2014">
        <v>0</v>
      </c>
      <c r="K2014">
        <v>0</v>
      </c>
      <c r="L2014">
        <v>0</v>
      </c>
      <c r="M2014">
        <v>0</v>
      </c>
      <c r="N2014">
        <v>0</v>
      </c>
      <c r="O2014">
        <v>0</v>
      </c>
      <c r="P2014">
        <v>0</v>
      </c>
      <c r="Q2014">
        <v>0</v>
      </c>
      <c r="R2014">
        <v>0</v>
      </c>
      <c r="S2014">
        <v>0</v>
      </c>
      <c r="T2014">
        <f t="shared" si="95"/>
        <v>0</v>
      </c>
      <c r="U2014">
        <v>1</v>
      </c>
    </row>
    <row r="2015" spans="1:21" x14ac:dyDescent="0.3">
      <c r="A2015" t="str">
        <f t="shared" si="93"/>
        <v/>
      </c>
      <c r="B2015" t="str">
        <f>IF(C2015="","",COUNTIF($C$2:C2015,C2015))</f>
        <v/>
      </c>
      <c r="C2015" t="str">
        <f t="shared" si="94"/>
        <v/>
      </c>
      <c r="D2015" t="str">
        <f>VLOOKUP(G2015,PathwayLookup!A:B,2,0)</f>
        <v>Social support (including VCS) (pathway 0)</v>
      </c>
      <c r="E2015" t="s">
        <v>341</v>
      </c>
      <c r="F2015" t="s">
        <v>595</v>
      </c>
      <c r="G2015" t="s">
        <v>682</v>
      </c>
      <c r="H2015">
        <v>0</v>
      </c>
      <c r="I2015">
        <v>0</v>
      </c>
      <c r="J2015">
        <v>0</v>
      </c>
      <c r="K2015">
        <v>0</v>
      </c>
      <c r="L2015">
        <v>0</v>
      </c>
      <c r="M2015">
        <v>0</v>
      </c>
      <c r="N2015">
        <v>0</v>
      </c>
      <c r="O2015">
        <v>0</v>
      </c>
      <c r="P2015">
        <v>0</v>
      </c>
      <c r="Q2015">
        <v>0</v>
      </c>
      <c r="R2015">
        <v>0</v>
      </c>
      <c r="S2015">
        <v>0</v>
      </c>
      <c r="T2015">
        <f t="shared" si="95"/>
        <v>0</v>
      </c>
      <c r="U2015">
        <v>1</v>
      </c>
    </row>
    <row r="2016" spans="1:21" x14ac:dyDescent="0.3">
      <c r="A2016" t="str">
        <f t="shared" si="93"/>
        <v/>
      </c>
      <c r="B2016" t="str">
        <f>IF(C2016="","",COUNTIF($C$2:C2016,C2016))</f>
        <v/>
      </c>
      <c r="C2016" t="str">
        <f t="shared" si="94"/>
        <v/>
      </c>
      <c r="D2016" t="str">
        <f>VLOOKUP(G2016,PathwayLookup!A:B,2,0)</f>
        <v>Social support (including VCS) (pathway 0)</v>
      </c>
      <c r="E2016" t="s">
        <v>341</v>
      </c>
      <c r="F2016" t="s">
        <v>630</v>
      </c>
      <c r="G2016" t="s">
        <v>682</v>
      </c>
      <c r="H2016">
        <v>0</v>
      </c>
      <c r="I2016">
        <v>0</v>
      </c>
      <c r="J2016">
        <v>0</v>
      </c>
      <c r="K2016">
        <v>0</v>
      </c>
      <c r="L2016">
        <v>0</v>
      </c>
      <c r="M2016">
        <v>0</v>
      </c>
      <c r="N2016">
        <v>0</v>
      </c>
      <c r="O2016">
        <v>0</v>
      </c>
      <c r="P2016">
        <v>0</v>
      </c>
      <c r="Q2016">
        <v>0</v>
      </c>
      <c r="R2016">
        <v>0</v>
      </c>
      <c r="S2016">
        <v>0</v>
      </c>
      <c r="T2016">
        <f t="shared" si="95"/>
        <v>0</v>
      </c>
      <c r="U2016">
        <v>1</v>
      </c>
    </row>
    <row r="2017" spans="1:21" x14ac:dyDescent="0.3">
      <c r="A2017" t="str">
        <f t="shared" si="93"/>
        <v>WarwickshireReablement &amp; Rehabilitation at home  (pathway 1)1</v>
      </c>
      <c r="B2017">
        <f>IF(C2017="","",COUNTIF($C$2:C2017,C2017))</f>
        <v>1</v>
      </c>
      <c r="C2017" t="str">
        <f t="shared" si="94"/>
        <v>WarwickshireReablement at home  (pathway 1)</v>
      </c>
      <c r="D2017" t="str">
        <f>VLOOKUP(G2017,PathwayLookup!A:B,2,0)</f>
        <v>Reablement &amp; Rehabilitation at home  (pathway 1)</v>
      </c>
      <c r="E2017" t="s">
        <v>341</v>
      </c>
      <c r="F2017" t="s">
        <v>504</v>
      </c>
      <c r="G2017" t="s">
        <v>718</v>
      </c>
      <c r="H2017">
        <v>111.6352345</v>
      </c>
      <c r="I2017">
        <v>119.5752596</v>
      </c>
      <c r="J2017">
        <v>113.62973839999999</v>
      </c>
      <c r="K2017">
        <v>111.2933195</v>
      </c>
      <c r="L2017">
        <v>111.1033667</v>
      </c>
      <c r="M2017">
        <v>110.020636</v>
      </c>
      <c r="N2017">
        <v>114.25658249999999</v>
      </c>
      <c r="O2017">
        <v>114.5984974</v>
      </c>
      <c r="P2017">
        <v>113.61074309999999</v>
      </c>
      <c r="Q2017">
        <v>111.74920609999999</v>
      </c>
      <c r="R2017">
        <v>107.32330690000001</v>
      </c>
      <c r="S2017">
        <v>117.1628596</v>
      </c>
      <c r="T2017">
        <f t="shared" si="95"/>
        <v>1355.9587503000002</v>
      </c>
      <c r="U2017">
        <v>1</v>
      </c>
    </row>
    <row r="2018" spans="1:21" x14ac:dyDescent="0.3">
      <c r="A2018" t="str">
        <f t="shared" si="93"/>
        <v>WarwickshireReablement &amp; Rehabilitation at home  (pathway 1)2</v>
      </c>
      <c r="B2018">
        <f>IF(C2018="","",COUNTIF($C$2:C2018,C2018))</f>
        <v>2</v>
      </c>
      <c r="C2018" t="str">
        <f t="shared" si="94"/>
        <v>WarwickshireReablement at home  (pathway 1)</v>
      </c>
      <c r="D2018" t="str">
        <f>VLOOKUP(G2018,PathwayLookup!A:B,2,0)</f>
        <v>Reablement &amp; Rehabilitation at home  (pathway 1)</v>
      </c>
      <c r="E2018" t="s">
        <v>341</v>
      </c>
      <c r="F2018" t="s">
        <v>595</v>
      </c>
      <c r="G2018" t="s">
        <v>718</v>
      </c>
      <c r="H2018">
        <v>347.07936610000002</v>
      </c>
      <c r="I2018">
        <v>371.76529010000002</v>
      </c>
      <c r="J2018">
        <v>353.28037569999998</v>
      </c>
      <c r="K2018">
        <v>346.0163359</v>
      </c>
      <c r="L2018">
        <v>345.42576350000002</v>
      </c>
      <c r="M2018">
        <v>342.0595012</v>
      </c>
      <c r="N2018">
        <v>355.22926439999998</v>
      </c>
      <c r="O2018">
        <v>356.29229470000001</v>
      </c>
      <c r="P2018">
        <v>353.2213185</v>
      </c>
      <c r="Q2018">
        <v>347.43370950000002</v>
      </c>
      <c r="R2018">
        <v>333.6733739</v>
      </c>
      <c r="S2018">
        <v>364.2650213</v>
      </c>
      <c r="T2018">
        <f t="shared" si="95"/>
        <v>4215.7416148000002</v>
      </c>
      <c r="U2018">
        <v>1</v>
      </c>
    </row>
    <row r="2019" spans="1:21" x14ac:dyDescent="0.3">
      <c r="A2019" t="str">
        <f t="shared" si="93"/>
        <v>WarwickshireReablement &amp; Rehabilitation at home  (pathway 1)3</v>
      </c>
      <c r="B2019">
        <f>IF(C2019="","",COUNTIF($C$2:C2019,C2019))</f>
        <v>3</v>
      </c>
      <c r="C2019" t="str">
        <f t="shared" si="94"/>
        <v>WarwickshireReablement at home  (pathway 1)</v>
      </c>
      <c r="D2019" t="str">
        <f>VLOOKUP(G2019,PathwayLookup!A:B,2,0)</f>
        <v>Reablement &amp; Rehabilitation at home  (pathway 1)</v>
      </c>
      <c r="E2019" t="s">
        <v>341</v>
      </c>
      <c r="F2019" t="s">
        <v>630</v>
      </c>
      <c r="G2019" t="s">
        <v>718</v>
      </c>
      <c r="H2019">
        <v>126.6966</v>
      </c>
      <c r="I2019">
        <v>135.7078606</v>
      </c>
      <c r="J2019">
        <v>128.9601941</v>
      </c>
      <c r="K2019">
        <v>126.3085552</v>
      </c>
      <c r="L2019">
        <v>126.09297479999999</v>
      </c>
      <c r="M2019">
        <v>124.8641666</v>
      </c>
      <c r="N2019">
        <v>129.67160939999999</v>
      </c>
      <c r="O2019">
        <v>130.05965420000001</v>
      </c>
      <c r="P2019">
        <v>128.9386361</v>
      </c>
      <c r="Q2019">
        <v>126.8259482</v>
      </c>
      <c r="R2019">
        <v>121.80292489999999</v>
      </c>
      <c r="S2019">
        <v>132.9699895</v>
      </c>
      <c r="T2019">
        <f t="shared" si="95"/>
        <v>1538.8991136</v>
      </c>
      <c r="U2019">
        <v>1</v>
      </c>
    </row>
    <row r="2020" spans="1:21" x14ac:dyDescent="0.3">
      <c r="A2020" t="str">
        <f t="shared" si="93"/>
        <v/>
      </c>
      <c r="B2020" t="str">
        <f>IF(C2020="","",COUNTIF($C$2:C2020,C2020))</f>
        <v/>
      </c>
      <c r="C2020" t="str">
        <f t="shared" si="94"/>
        <v/>
      </c>
      <c r="D2020" t="str">
        <f>VLOOKUP(G2020,PathwayLookup!A:B,2,0)</f>
        <v>Reablement &amp; Rehabilitation at home  (pathway 1)</v>
      </c>
      <c r="E2020" t="s">
        <v>341</v>
      </c>
      <c r="F2020" t="s">
        <v>504</v>
      </c>
      <c r="G2020" t="s">
        <v>719</v>
      </c>
      <c r="H2020">
        <v>0</v>
      </c>
      <c r="I2020">
        <v>0</v>
      </c>
      <c r="J2020">
        <v>0</v>
      </c>
      <c r="K2020">
        <v>0</v>
      </c>
      <c r="L2020">
        <v>0</v>
      </c>
      <c r="M2020">
        <v>0</v>
      </c>
      <c r="N2020">
        <v>0</v>
      </c>
      <c r="O2020">
        <v>0</v>
      </c>
      <c r="P2020">
        <v>0</v>
      </c>
      <c r="Q2020">
        <v>0</v>
      </c>
      <c r="R2020">
        <v>0</v>
      </c>
      <c r="S2020">
        <v>0</v>
      </c>
      <c r="T2020">
        <f t="shared" si="95"/>
        <v>0</v>
      </c>
      <c r="U2020">
        <v>1</v>
      </c>
    </row>
    <row r="2021" spans="1:21" x14ac:dyDescent="0.3">
      <c r="A2021" t="str">
        <f t="shared" si="93"/>
        <v/>
      </c>
      <c r="B2021" t="str">
        <f>IF(C2021="","",COUNTIF($C$2:C2021,C2021))</f>
        <v/>
      </c>
      <c r="C2021" t="str">
        <f t="shared" si="94"/>
        <v/>
      </c>
      <c r="D2021" t="str">
        <f>VLOOKUP(G2021,PathwayLookup!A:B,2,0)</f>
        <v>Reablement &amp; Rehabilitation at home  (pathway 1)</v>
      </c>
      <c r="E2021" t="s">
        <v>341</v>
      </c>
      <c r="F2021" t="s">
        <v>595</v>
      </c>
      <c r="G2021" t="s">
        <v>719</v>
      </c>
      <c r="H2021">
        <v>0</v>
      </c>
      <c r="I2021">
        <v>0</v>
      </c>
      <c r="J2021">
        <v>0</v>
      </c>
      <c r="K2021">
        <v>0</v>
      </c>
      <c r="L2021">
        <v>0</v>
      </c>
      <c r="M2021">
        <v>0</v>
      </c>
      <c r="N2021">
        <v>0</v>
      </c>
      <c r="O2021">
        <v>0</v>
      </c>
      <c r="P2021">
        <v>0</v>
      </c>
      <c r="Q2021">
        <v>0</v>
      </c>
      <c r="R2021">
        <v>0</v>
      </c>
      <c r="S2021">
        <v>0</v>
      </c>
      <c r="T2021">
        <f t="shared" si="95"/>
        <v>0</v>
      </c>
      <c r="U2021">
        <v>1</v>
      </c>
    </row>
    <row r="2022" spans="1:21" x14ac:dyDescent="0.3">
      <c r="A2022" t="str">
        <f t="shared" si="93"/>
        <v/>
      </c>
      <c r="B2022" t="str">
        <f>IF(C2022="","",COUNTIF($C$2:C2022,C2022))</f>
        <v/>
      </c>
      <c r="C2022" t="str">
        <f t="shared" si="94"/>
        <v/>
      </c>
      <c r="D2022" t="str">
        <f>VLOOKUP(G2022,PathwayLookup!A:B,2,0)</f>
        <v>Reablement &amp; Rehabilitation at home  (pathway 1)</v>
      </c>
      <c r="E2022" t="s">
        <v>341</v>
      </c>
      <c r="F2022" t="s">
        <v>630</v>
      </c>
      <c r="G2022" t="s">
        <v>719</v>
      </c>
      <c r="H2022">
        <v>0</v>
      </c>
      <c r="I2022">
        <v>0</v>
      </c>
      <c r="J2022">
        <v>0</v>
      </c>
      <c r="K2022">
        <v>0</v>
      </c>
      <c r="L2022">
        <v>0</v>
      </c>
      <c r="M2022">
        <v>0</v>
      </c>
      <c r="N2022">
        <v>0</v>
      </c>
      <c r="O2022">
        <v>0</v>
      </c>
      <c r="P2022">
        <v>0</v>
      </c>
      <c r="Q2022">
        <v>0</v>
      </c>
      <c r="R2022">
        <v>0</v>
      </c>
      <c r="S2022">
        <v>0</v>
      </c>
      <c r="T2022">
        <f t="shared" si="95"/>
        <v>0</v>
      </c>
      <c r="U2022">
        <v>1</v>
      </c>
    </row>
    <row r="2023" spans="1:21" x14ac:dyDescent="0.3">
      <c r="A2023" t="str">
        <f t="shared" si="93"/>
        <v/>
      </c>
      <c r="B2023" t="str">
        <f>IF(C2023="","",COUNTIF($C$2:C2023,C2023))</f>
        <v/>
      </c>
      <c r="C2023" t="str">
        <f t="shared" si="94"/>
        <v/>
      </c>
      <c r="D2023" t="str">
        <f>VLOOKUP(G2023,PathwayLookup!A:B,2,0)</f>
        <v>Reablement &amp; Rehabilitation in a bedded setting (pathway 2)</v>
      </c>
      <c r="E2023" t="s">
        <v>341</v>
      </c>
      <c r="F2023" t="s">
        <v>504</v>
      </c>
      <c r="G2023" t="s">
        <v>722</v>
      </c>
      <c r="H2023">
        <v>0</v>
      </c>
      <c r="I2023">
        <v>0</v>
      </c>
      <c r="J2023">
        <v>0</v>
      </c>
      <c r="K2023">
        <v>0</v>
      </c>
      <c r="L2023">
        <v>0</v>
      </c>
      <c r="M2023">
        <v>0</v>
      </c>
      <c r="N2023">
        <v>0</v>
      </c>
      <c r="O2023">
        <v>0</v>
      </c>
      <c r="P2023">
        <v>0</v>
      </c>
      <c r="Q2023">
        <v>0</v>
      </c>
      <c r="R2023">
        <v>0</v>
      </c>
      <c r="S2023">
        <v>0</v>
      </c>
      <c r="T2023">
        <f t="shared" si="95"/>
        <v>0</v>
      </c>
      <c r="U2023">
        <v>1</v>
      </c>
    </row>
    <row r="2024" spans="1:21" x14ac:dyDescent="0.3">
      <c r="A2024" t="str">
        <f t="shared" si="93"/>
        <v/>
      </c>
      <c r="B2024" t="str">
        <f>IF(C2024="","",COUNTIF($C$2:C2024,C2024))</f>
        <v/>
      </c>
      <c r="C2024" t="str">
        <f t="shared" si="94"/>
        <v/>
      </c>
      <c r="D2024" t="str">
        <f>VLOOKUP(G2024,PathwayLookup!A:B,2,0)</f>
        <v>Reablement &amp; Rehabilitation in a bedded setting (pathway 2)</v>
      </c>
      <c r="E2024" t="s">
        <v>341</v>
      </c>
      <c r="F2024" t="s">
        <v>595</v>
      </c>
      <c r="G2024" t="s">
        <v>722</v>
      </c>
      <c r="H2024">
        <v>0</v>
      </c>
      <c r="I2024">
        <v>0</v>
      </c>
      <c r="J2024">
        <v>0</v>
      </c>
      <c r="K2024">
        <v>0</v>
      </c>
      <c r="L2024">
        <v>0</v>
      </c>
      <c r="M2024">
        <v>0</v>
      </c>
      <c r="N2024">
        <v>0</v>
      </c>
      <c r="O2024">
        <v>0</v>
      </c>
      <c r="P2024">
        <v>0</v>
      </c>
      <c r="Q2024">
        <v>0</v>
      </c>
      <c r="R2024">
        <v>0</v>
      </c>
      <c r="S2024">
        <v>0</v>
      </c>
      <c r="T2024">
        <f t="shared" si="95"/>
        <v>0</v>
      </c>
      <c r="U2024">
        <v>1</v>
      </c>
    </row>
    <row r="2025" spans="1:21" x14ac:dyDescent="0.3">
      <c r="A2025" t="str">
        <f t="shared" si="93"/>
        <v/>
      </c>
      <c r="B2025" t="str">
        <f>IF(C2025="","",COUNTIF($C$2:C2025,C2025))</f>
        <v/>
      </c>
      <c r="C2025" t="str">
        <f t="shared" si="94"/>
        <v/>
      </c>
      <c r="D2025" t="str">
        <f>VLOOKUP(G2025,PathwayLookup!A:B,2,0)</f>
        <v>Reablement &amp; Rehabilitation in a bedded setting (pathway 2)</v>
      </c>
      <c r="E2025" t="s">
        <v>341</v>
      </c>
      <c r="F2025" t="s">
        <v>630</v>
      </c>
      <c r="G2025" t="s">
        <v>722</v>
      </c>
      <c r="H2025">
        <v>0</v>
      </c>
      <c r="I2025">
        <v>0</v>
      </c>
      <c r="J2025">
        <v>0</v>
      </c>
      <c r="K2025">
        <v>0</v>
      </c>
      <c r="L2025">
        <v>0</v>
      </c>
      <c r="M2025">
        <v>0</v>
      </c>
      <c r="N2025">
        <v>0</v>
      </c>
      <c r="O2025">
        <v>0</v>
      </c>
      <c r="P2025">
        <v>0</v>
      </c>
      <c r="Q2025">
        <v>0</v>
      </c>
      <c r="R2025">
        <v>0</v>
      </c>
      <c r="S2025">
        <v>0</v>
      </c>
      <c r="T2025">
        <f t="shared" si="95"/>
        <v>0</v>
      </c>
      <c r="U2025">
        <v>1</v>
      </c>
    </row>
    <row r="2026" spans="1:21" x14ac:dyDescent="0.3">
      <c r="A2026" t="str">
        <f t="shared" si="93"/>
        <v>WarwickshireReablement &amp; Rehabilitation in a bedded setting (pathway 2)1</v>
      </c>
      <c r="B2026">
        <f>IF(C2026="","",COUNTIF($C$2:C2026,C2026))</f>
        <v>1</v>
      </c>
      <c r="C2026" t="str">
        <f t="shared" si="94"/>
        <v>WarwickshireRehabilitation in a bedded setting (pathway 2)</v>
      </c>
      <c r="D2026" t="str">
        <f>VLOOKUP(G2026,PathwayLookup!A:B,2,0)</f>
        <v>Reablement &amp; Rehabilitation in a bedded setting (pathway 2)</v>
      </c>
      <c r="E2026" t="s">
        <v>341</v>
      </c>
      <c r="F2026" t="s">
        <v>504</v>
      </c>
      <c r="G2026" t="s">
        <v>724</v>
      </c>
      <c r="H2026">
        <v>14.5295316</v>
      </c>
      <c r="I2026">
        <v>15.56294052</v>
      </c>
      <c r="J2026">
        <v>14.789119960000001</v>
      </c>
      <c r="K2026">
        <v>14.485030739999999</v>
      </c>
      <c r="L2026">
        <v>14.460308039999999</v>
      </c>
      <c r="M2026">
        <v>14.31938864</v>
      </c>
      <c r="N2026">
        <v>14.87070488</v>
      </c>
      <c r="O2026">
        <v>14.915205739999999</v>
      </c>
      <c r="P2026">
        <v>14.786647690000001</v>
      </c>
      <c r="Q2026">
        <v>14.54436522</v>
      </c>
      <c r="R2026">
        <v>13.968326279999999</v>
      </c>
      <c r="S2026">
        <v>15.24896221</v>
      </c>
      <c r="T2026">
        <f t="shared" si="95"/>
        <v>176.48053152</v>
      </c>
      <c r="U2026">
        <v>1</v>
      </c>
    </row>
    <row r="2027" spans="1:21" x14ac:dyDescent="0.3">
      <c r="A2027" t="str">
        <f t="shared" si="93"/>
        <v>WarwickshireReablement &amp; Rehabilitation in a bedded setting (pathway 2)2</v>
      </c>
      <c r="B2027">
        <f>IF(C2027="","",COUNTIF($C$2:C2027,C2027))</f>
        <v>2</v>
      </c>
      <c r="C2027" t="str">
        <f t="shared" si="94"/>
        <v>WarwickshireRehabilitation in a bedded setting (pathway 2)</v>
      </c>
      <c r="D2027" t="str">
        <f>VLOOKUP(G2027,PathwayLookup!A:B,2,0)</f>
        <v>Reablement &amp; Rehabilitation in a bedded setting (pathway 2)</v>
      </c>
      <c r="E2027" t="s">
        <v>341</v>
      </c>
      <c r="F2027" t="s">
        <v>595</v>
      </c>
      <c r="G2027" t="s">
        <v>724</v>
      </c>
      <c r="H2027">
        <v>14.21508672</v>
      </c>
      <c r="I2027">
        <v>15.226130830000001</v>
      </c>
      <c r="J2027">
        <v>14.469057129999999</v>
      </c>
      <c r="K2027">
        <v>14.17154893</v>
      </c>
      <c r="L2027">
        <v>14.147361269999999</v>
      </c>
      <c r="M2027">
        <v>14.00949162</v>
      </c>
      <c r="N2027">
        <v>14.548876399999999</v>
      </c>
      <c r="O2027">
        <v>14.59241418</v>
      </c>
      <c r="P2027">
        <v>14.466638359999999</v>
      </c>
      <c r="Q2027">
        <v>14.229599309999999</v>
      </c>
      <c r="R2027">
        <v>13.66602688</v>
      </c>
      <c r="S2027">
        <v>14.91894757</v>
      </c>
      <c r="T2027">
        <f t="shared" si="95"/>
        <v>172.66117920000002</v>
      </c>
      <c r="U2027">
        <v>1</v>
      </c>
    </row>
    <row r="2028" spans="1:21" x14ac:dyDescent="0.3">
      <c r="A2028" t="str">
        <f t="shared" si="93"/>
        <v>WarwickshireReablement &amp; Rehabilitation in a bedded setting (pathway 2)3</v>
      </c>
      <c r="B2028">
        <f>IF(C2028="","",COUNTIF($C$2:C2028,C2028))</f>
        <v>3</v>
      </c>
      <c r="C2028" t="str">
        <f t="shared" si="94"/>
        <v>WarwickshireRehabilitation in a bedded setting (pathway 2)</v>
      </c>
      <c r="D2028" t="str">
        <f>VLOOKUP(G2028,PathwayLookup!A:B,2,0)</f>
        <v>Reablement &amp; Rehabilitation in a bedded setting (pathway 2)</v>
      </c>
      <c r="E2028" t="s">
        <v>341</v>
      </c>
      <c r="F2028" t="s">
        <v>630</v>
      </c>
      <c r="G2028" t="s">
        <v>724</v>
      </c>
      <c r="H2028">
        <v>49.892021249999999</v>
      </c>
      <c r="I2028">
        <v>53.440577470000001</v>
      </c>
      <c r="J2028">
        <v>50.783404990000001</v>
      </c>
      <c r="K2028">
        <v>49.739212610000003</v>
      </c>
      <c r="L2028">
        <v>49.654318920000001</v>
      </c>
      <c r="M2028">
        <v>49.17042489</v>
      </c>
      <c r="N2028">
        <v>51.063554170000003</v>
      </c>
      <c r="O2028">
        <v>51.21636281</v>
      </c>
      <c r="P2028">
        <v>50.774915620000002</v>
      </c>
      <c r="Q2028">
        <v>49.942957470000003</v>
      </c>
      <c r="R2028">
        <v>47.964934499999998</v>
      </c>
      <c r="S2028">
        <v>52.362427609999997</v>
      </c>
      <c r="T2028">
        <f t="shared" si="95"/>
        <v>606.00511230999996</v>
      </c>
      <c r="U2028">
        <v>1</v>
      </c>
    </row>
    <row r="2029" spans="1:21" x14ac:dyDescent="0.3">
      <c r="A2029" t="str">
        <f t="shared" si="93"/>
        <v>WarwickshireShort-term residential/nursing care for someone likely to require a longer-term care home placement (pathway 3)1</v>
      </c>
      <c r="B2029">
        <f>IF(C2029="","",COUNTIF($C$2:C2029,C2029))</f>
        <v>1</v>
      </c>
      <c r="C2029" t="str">
        <f t="shared" si="94"/>
        <v>WarwickshireShort-term residential/nursing care for someone likely to require a longer-term care home placement (pathway 3)</v>
      </c>
      <c r="D2029" t="str">
        <f>VLOOKUP(G2029,PathwayLookup!A:B,2,0)</f>
        <v>Short-term residential/nursing care for someone likely to require a longer-term care home placement (pathway 3)</v>
      </c>
      <c r="E2029" t="s">
        <v>341</v>
      </c>
      <c r="F2029" t="s">
        <v>504</v>
      </c>
      <c r="G2029" t="s">
        <v>686</v>
      </c>
      <c r="H2029">
        <v>1.2915139200000001</v>
      </c>
      <c r="I2029">
        <v>1.38337249</v>
      </c>
      <c r="J2029">
        <v>1.3145884409999999</v>
      </c>
      <c r="K2029">
        <v>1.2875582880000001</v>
      </c>
      <c r="L2029">
        <v>1.2853607140000001</v>
      </c>
      <c r="M2029">
        <v>1.2728345459999999</v>
      </c>
      <c r="N2029">
        <v>1.3218404340000001</v>
      </c>
      <c r="O2029">
        <v>1.3257960660000001</v>
      </c>
      <c r="P2029">
        <v>1.314368684</v>
      </c>
      <c r="Q2029">
        <v>1.292832464</v>
      </c>
      <c r="R2029">
        <v>1.241629002</v>
      </c>
      <c r="S2029">
        <v>1.355463307</v>
      </c>
      <c r="T2029">
        <f t="shared" si="95"/>
        <v>15.687158356000001</v>
      </c>
      <c r="U2029">
        <v>1</v>
      </c>
    </row>
    <row r="2030" spans="1:21" x14ac:dyDescent="0.3">
      <c r="A2030" t="str">
        <f t="shared" si="93"/>
        <v>WarwickshireShort-term residential/nursing care for someone likely to require a longer-term care home placement (pathway 3)2</v>
      </c>
      <c r="B2030">
        <f>IF(C2030="","",COUNTIF($C$2:C2030,C2030))</f>
        <v>2</v>
      </c>
      <c r="C2030" t="str">
        <f t="shared" si="94"/>
        <v>WarwickshireShort-term residential/nursing care for someone likely to require a longer-term care home placement (pathway 3)</v>
      </c>
      <c r="D2030" t="str">
        <f>VLOOKUP(G2030,PathwayLookup!A:B,2,0)</f>
        <v>Short-term residential/nursing care for someone likely to require a longer-term care home placement (pathway 3)</v>
      </c>
      <c r="E2030" t="s">
        <v>341</v>
      </c>
      <c r="F2030" t="s">
        <v>595</v>
      </c>
      <c r="G2030" t="s">
        <v>686</v>
      </c>
      <c r="H2030">
        <v>0.20404430700000001</v>
      </c>
      <c r="I2030">
        <v>0.218556902</v>
      </c>
      <c r="J2030">
        <v>0.207689815</v>
      </c>
      <c r="K2030">
        <v>0.20341936299999999</v>
      </c>
      <c r="L2030">
        <v>0.203072171</v>
      </c>
      <c r="M2030">
        <v>0.20109318100000001</v>
      </c>
      <c r="N2030">
        <v>0.20883554600000001</v>
      </c>
      <c r="O2030">
        <v>0.209460491</v>
      </c>
      <c r="P2030">
        <v>0.20765509600000001</v>
      </c>
      <c r="Q2030">
        <v>0.20425262199999999</v>
      </c>
      <c r="R2030">
        <v>0.196163065</v>
      </c>
      <c r="S2030">
        <v>0.21414757300000001</v>
      </c>
      <c r="T2030">
        <f t="shared" si="95"/>
        <v>2.4783901319999999</v>
      </c>
      <c r="U2030">
        <v>1</v>
      </c>
    </row>
    <row r="2031" spans="1:21" x14ac:dyDescent="0.3">
      <c r="A2031" t="str">
        <f t="shared" si="93"/>
        <v/>
      </c>
      <c r="B2031" t="str">
        <f>IF(C2031="","",COUNTIF($C$2:C2031,C2031))</f>
        <v/>
      </c>
      <c r="C2031" t="str">
        <f t="shared" si="94"/>
        <v/>
      </c>
      <c r="D2031" t="str">
        <f>VLOOKUP(G2031,PathwayLookup!A:B,2,0)</f>
        <v>Short-term residential/nursing care for someone likely to require a longer-term care home placement (pathway 3)</v>
      </c>
      <c r="E2031" t="s">
        <v>341</v>
      </c>
      <c r="F2031" t="s">
        <v>630</v>
      </c>
      <c r="G2031" t="s">
        <v>686</v>
      </c>
      <c r="H2031">
        <v>0</v>
      </c>
      <c r="I2031">
        <v>0</v>
      </c>
      <c r="J2031">
        <v>0</v>
      </c>
      <c r="K2031">
        <v>0</v>
      </c>
      <c r="L2031">
        <v>0</v>
      </c>
      <c r="M2031">
        <v>0</v>
      </c>
      <c r="N2031">
        <v>0</v>
      </c>
      <c r="O2031">
        <v>0</v>
      </c>
      <c r="P2031">
        <v>0</v>
      </c>
      <c r="Q2031">
        <v>0</v>
      </c>
      <c r="R2031">
        <v>0</v>
      </c>
      <c r="S2031">
        <v>0</v>
      </c>
      <c r="T2031">
        <f t="shared" si="95"/>
        <v>0</v>
      </c>
      <c r="U2031">
        <v>1</v>
      </c>
    </row>
    <row r="2032" spans="1:21" x14ac:dyDescent="0.3">
      <c r="A2032" t="str">
        <f t="shared" si="93"/>
        <v/>
      </c>
      <c r="B2032" t="str">
        <f>IF(C2032="","",COUNTIF($C$2:C2032,C2032))</f>
        <v/>
      </c>
      <c r="C2032" t="str">
        <f t="shared" si="94"/>
        <v/>
      </c>
      <c r="D2032" t="str">
        <f>VLOOKUP(G2032,PathwayLookup!A:B,2,0)</f>
        <v>Social support (including VCS) (pathway 0)</v>
      </c>
      <c r="E2032" t="s">
        <v>343</v>
      </c>
      <c r="F2032" t="s">
        <v>575</v>
      </c>
      <c r="G2032" t="s">
        <v>682</v>
      </c>
      <c r="H2032">
        <v>0</v>
      </c>
      <c r="I2032">
        <v>0</v>
      </c>
      <c r="J2032">
        <v>0</v>
      </c>
      <c r="K2032">
        <v>0</v>
      </c>
      <c r="L2032">
        <v>0</v>
      </c>
      <c r="M2032">
        <v>0</v>
      </c>
      <c r="N2032">
        <v>0</v>
      </c>
      <c r="O2032">
        <v>0</v>
      </c>
      <c r="P2032">
        <v>0</v>
      </c>
      <c r="Q2032">
        <v>0</v>
      </c>
      <c r="R2032">
        <v>0</v>
      </c>
      <c r="S2032">
        <v>0</v>
      </c>
      <c r="T2032">
        <f t="shared" si="95"/>
        <v>0</v>
      </c>
      <c r="U2032">
        <v>1</v>
      </c>
    </row>
    <row r="2033" spans="1:21" x14ac:dyDescent="0.3">
      <c r="A2033" t="str">
        <f t="shared" si="93"/>
        <v>West BerkshireReablement &amp; Rehabilitation at home  (pathway 1)1</v>
      </c>
      <c r="B2033">
        <f>IF(C2033="","",COUNTIF($C$2:C2033,C2033))</f>
        <v>1</v>
      </c>
      <c r="C2033" t="str">
        <f t="shared" si="94"/>
        <v>West BerkshireReablement at home  (pathway 1)</v>
      </c>
      <c r="D2033" t="str">
        <f>VLOOKUP(G2033,PathwayLookup!A:B,2,0)</f>
        <v>Reablement &amp; Rehabilitation at home  (pathway 1)</v>
      </c>
      <c r="E2033" t="s">
        <v>343</v>
      </c>
      <c r="F2033" t="s">
        <v>575</v>
      </c>
      <c r="G2033" t="s">
        <v>718</v>
      </c>
      <c r="H2033">
        <v>117</v>
      </c>
      <c r="I2033">
        <v>88</v>
      </c>
      <c r="J2033">
        <v>129</v>
      </c>
      <c r="K2033">
        <v>123</v>
      </c>
      <c r="L2033">
        <v>110</v>
      </c>
      <c r="M2033">
        <v>83</v>
      </c>
      <c r="N2033">
        <v>129</v>
      </c>
      <c r="O2033">
        <v>125</v>
      </c>
      <c r="P2033">
        <v>91</v>
      </c>
      <c r="Q2033">
        <v>125</v>
      </c>
      <c r="R2033">
        <v>106</v>
      </c>
      <c r="S2033">
        <v>98</v>
      </c>
      <c r="T2033">
        <f t="shared" si="95"/>
        <v>1324</v>
      </c>
      <c r="U2033">
        <v>1</v>
      </c>
    </row>
    <row r="2034" spans="1:21" x14ac:dyDescent="0.3">
      <c r="A2034" t="str">
        <f t="shared" si="93"/>
        <v/>
      </c>
      <c r="B2034" t="str">
        <f>IF(C2034="","",COUNTIF($C$2:C2034,C2034))</f>
        <v/>
      </c>
      <c r="C2034" t="str">
        <f t="shared" si="94"/>
        <v/>
      </c>
      <c r="D2034" t="str">
        <f>VLOOKUP(G2034,PathwayLookup!A:B,2,0)</f>
        <v>Reablement &amp; Rehabilitation at home  (pathway 1)</v>
      </c>
      <c r="E2034" t="s">
        <v>343</v>
      </c>
      <c r="F2034" t="s">
        <v>575</v>
      </c>
      <c r="G2034" t="s">
        <v>719</v>
      </c>
      <c r="H2034">
        <v>0</v>
      </c>
      <c r="I2034">
        <v>0</v>
      </c>
      <c r="J2034">
        <v>0</v>
      </c>
      <c r="K2034">
        <v>0</v>
      </c>
      <c r="L2034">
        <v>0</v>
      </c>
      <c r="M2034">
        <v>0</v>
      </c>
      <c r="N2034">
        <v>0</v>
      </c>
      <c r="O2034">
        <v>0</v>
      </c>
      <c r="P2034">
        <v>0</v>
      </c>
      <c r="Q2034">
        <v>0</v>
      </c>
      <c r="R2034">
        <v>0</v>
      </c>
      <c r="S2034">
        <v>0</v>
      </c>
      <c r="T2034">
        <f t="shared" si="95"/>
        <v>0</v>
      </c>
      <c r="U2034">
        <v>1</v>
      </c>
    </row>
    <row r="2035" spans="1:21" x14ac:dyDescent="0.3">
      <c r="A2035" t="str">
        <f t="shared" si="93"/>
        <v/>
      </c>
      <c r="B2035" t="str">
        <f>IF(C2035="","",COUNTIF($C$2:C2035,C2035))</f>
        <v/>
      </c>
      <c r="C2035" t="str">
        <f t="shared" si="94"/>
        <v/>
      </c>
      <c r="D2035" t="str">
        <f>VLOOKUP(G2035,PathwayLookup!A:B,2,0)</f>
        <v>Short term domiciliary care (pathway 1)</v>
      </c>
      <c r="E2035" t="s">
        <v>343</v>
      </c>
      <c r="F2035" t="s">
        <v>575</v>
      </c>
      <c r="G2035" t="s">
        <v>684</v>
      </c>
      <c r="H2035">
        <v>0</v>
      </c>
      <c r="I2035">
        <v>0</v>
      </c>
      <c r="J2035">
        <v>0</v>
      </c>
      <c r="K2035">
        <v>0</v>
      </c>
      <c r="L2035">
        <v>0</v>
      </c>
      <c r="M2035">
        <v>0</v>
      </c>
      <c r="N2035">
        <v>0</v>
      </c>
      <c r="O2035">
        <v>0</v>
      </c>
      <c r="P2035">
        <v>0</v>
      </c>
      <c r="Q2035">
        <v>0</v>
      </c>
      <c r="R2035">
        <v>0</v>
      </c>
      <c r="S2035">
        <v>0</v>
      </c>
      <c r="T2035">
        <f t="shared" si="95"/>
        <v>0</v>
      </c>
      <c r="U2035">
        <v>1</v>
      </c>
    </row>
    <row r="2036" spans="1:21" x14ac:dyDescent="0.3">
      <c r="A2036" t="str">
        <f t="shared" si="93"/>
        <v>West BerkshireReablement &amp; Rehabilitation in a bedded setting (pathway 2)1</v>
      </c>
      <c r="B2036">
        <f>IF(C2036="","",COUNTIF($C$2:C2036,C2036))</f>
        <v>1</v>
      </c>
      <c r="C2036" t="str">
        <f t="shared" si="94"/>
        <v>West BerkshireReablement in a bedded setting (pathway 2)</v>
      </c>
      <c r="D2036" t="str">
        <f>VLOOKUP(G2036,PathwayLookup!A:B,2,0)</f>
        <v>Reablement &amp; Rehabilitation in a bedded setting (pathway 2)</v>
      </c>
      <c r="E2036" t="s">
        <v>343</v>
      </c>
      <c r="F2036" t="s">
        <v>575</v>
      </c>
      <c r="G2036" t="s">
        <v>722</v>
      </c>
      <c r="H2036">
        <v>30</v>
      </c>
      <c r="I2036">
        <v>24</v>
      </c>
      <c r="J2036">
        <v>25</v>
      </c>
      <c r="K2036">
        <v>23</v>
      </c>
      <c r="L2036">
        <v>27</v>
      </c>
      <c r="M2036">
        <v>24</v>
      </c>
      <c r="N2036">
        <v>28</v>
      </c>
      <c r="O2036">
        <v>25</v>
      </c>
      <c r="P2036">
        <v>34</v>
      </c>
      <c r="Q2036">
        <v>34</v>
      </c>
      <c r="R2036">
        <v>19</v>
      </c>
      <c r="S2036">
        <v>27</v>
      </c>
      <c r="T2036">
        <f t="shared" si="95"/>
        <v>320</v>
      </c>
      <c r="U2036">
        <v>1</v>
      </c>
    </row>
    <row r="2037" spans="1:21" x14ac:dyDescent="0.3">
      <c r="A2037" t="str">
        <f t="shared" si="93"/>
        <v>West BerkshireReablement &amp; Rehabilitation in a bedded setting (pathway 2)1</v>
      </c>
      <c r="B2037">
        <f>IF(C2037="","",COUNTIF($C$2:C2037,C2037))</f>
        <v>1</v>
      </c>
      <c r="C2037" t="str">
        <f t="shared" si="94"/>
        <v>West BerkshireRehabilitation in a bedded setting (pathway 2)</v>
      </c>
      <c r="D2037" t="str">
        <f>VLOOKUP(G2037,PathwayLookup!A:B,2,0)</f>
        <v>Reablement &amp; Rehabilitation in a bedded setting (pathway 2)</v>
      </c>
      <c r="E2037" t="s">
        <v>343</v>
      </c>
      <c r="F2037" t="s">
        <v>575</v>
      </c>
      <c r="G2037" t="s">
        <v>724</v>
      </c>
      <c r="H2037">
        <v>23</v>
      </c>
      <c r="I2037">
        <v>20</v>
      </c>
      <c r="J2037">
        <v>22</v>
      </c>
      <c r="K2037">
        <v>23</v>
      </c>
      <c r="L2037">
        <v>23</v>
      </c>
      <c r="M2037">
        <v>18</v>
      </c>
      <c r="N2037">
        <v>28</v>
      </c>
      <c r="O2037">
        <v>19</v>
      </c>
      <c r="P2037">
        <v>26</v>
      </c>
      <c r="Q2037">
        <v>20</v>
      </c>
      <c r="R2037">
        <v>24</v>
      </c>
      <c r="S2037">
        <v>18</v>
      </c>
      <c r="T2037">
        <f t="shared" si="95"/>
        <v>264</v>
      </c>
      <c r="U2037">
        <v>1</v>
      </c>
    </row>
    <row r="2038" spans="1:21" x14ac:dyDescent="0.3">
      <c r="A2038" t="str">
        <f t="shared" si="93"/>
        <v>West BerkshireShort-term residential/nursing care for someone likely to require a longer-term care home placement (pathway 3)1</v>
      </c>
      <c r="B2038">
        <f>IF(C2038="","",COUNTIF($C$2:C2038,C2038))</f>
        <v>1</v>
      </c>
      <c r="C2038" t="str">
        <f t="shared" si="94"/>
        <v>West BerkshireShort-term residential/nursing care for someone likely to require a longer-term care home placement (pathway 3)</v>
      </c>
      <c r="D2038" t="str">
        <f>VLOOKUP(G2038,PathwayLookup!A:B,2,0)</f>
        <v>Short-term residential/nursing care for someone likely to require a longer-term care home placement (pathway 3)</v>
      </c>
      <c r="E2038" t="s">
        <v>343</v>
      </c>
      <c r="F2038" t="s">
        <v>575</v>
      </c>
      <c r="G2038" t="s">
        <v>686</v>
      </c>
      <c r="H2038">
        <v>14</v>
      </c>
      <c r="I2038">
        <v>25</v>
      </c>
      <c r="J2038">
        <v>14</v>
      </c>
      <c r="K2038">
        <v>10</v>
      </c>
      <c r="L2038">
        <v>12</v>
      </c>
      <c r="M2038">
        <v>12</v>
      </c>
      <c r="N2038">
        <v>14</v>
      </c>
      <c r="O2038">
        <v>8</v>
      </c>
      <c r="P2038">
        <v>21</v>
      </c>
      <c r="Q2038">
        <v>6</v>
      </c>
      <c r="R2038">
        <v>6</v>
      </c>
      <c r="S2038">
        <v>23</v>
      </c>
      <c r="T2038">
        <f t="shared" si="95"/>
        <v>165</v>
      </c>
      <c r="U2038">
        <v>1</v>
      </c>
    </row>
    <row r="2039" spans="1:21" x14ac:dyDescent="0.3">
      <c r="A2039" t="str">
        <f t="shared" si="93"/>
        <v>West NorthamptonshireSocial support (including VCS) (pathway 0)1</v>
      </c>
      <c r="B2039">
        <f>IF(C2039="","",COUNTIF($C$2:C2039,C2039))</f>
        <v>1</v>
      </c>
      <c r="C2039" t="str">
        <f t="shared" si="94"/>
        <v>West NorthamptonshireSocial support (including VCS) (pathway 0)</v>
      </c>
      <c r="D2039" t="str">
        <f>VLOOKUP(G2039,PathwayLookup!A:B,2,0)</f>
        <v>Social support (including VCS) (pathway 0)</v>
      </c>
      <c r="E2039" t="s">
        <v>345</v>
      </c>
      <c r="F2039" t="s">
        <v>561</v>
      </c>
      <c r="G2039" t="s">
        <v>682</v>
      </c>
      <c r="H2039">
        <v>1530</v>
      </c>
      <c r="I2039">
        <v>1620</v>
      </c>
      <c r="J2039">
        <v>1635</v>
      </c>
      <c r="K2039">
        <v>1632</v>
      </c>
      <c r="L2039">
        <v>1667</v>
      </c>
      <c r="M2039">
        <v>1617</v>
      </c>
      <c r="N2039">
        <v>1646</v>
      </c>
      <c r="O2039">
        <v>1625</v>
      </c>
      <c r="P2039">
        <v>1607</v>
      </c>
      <c r="Q2039">
        <v>1654</v>
      </c>
      <c r="R2039">
        <v>1567</v>
      </c>
      <c r="S2039">
        <v>1615</v>
      </c>
      <c r="T2039">
        <f t="shared" si="95"/>
        <v>19415</v>
      </c>
      <c r="U2039">
        <v>1</v>
      </c>
    </row>
    <row r="2040" spans="1:21" x14ac:dyDescent="0.3">
      <c r="A2040" t="str">
        <f t="shared" si="93"/>
        <v>West NorthamptonshireReablement &amp; Rehabilitation at home  (pathway 1)1</v>
      </c>
      <c r="B2040">
        <f>IF(C2040="","",COUNTIF($C$2:C2040,C2040))</f>
        <v>1</v>
      </c>
      <c r="C2040" t="str">
        <f t="shared" si="94"/>
        <v>West NorthamptonshireReablement at home  (pathway 1)</v>
      </c>
      <c r="D2040" t="str">
        <f>VLOOKUP(G2040,PathwayLookup!A:B,2,0)</f>
        <v>Reablement &amp; Rehabilitation at home  (pathway 1)</v>
      </c>
      <c r="E2040" t="s">
        <v>345</v>
      </c>
      <c r="F2040" t="s">
        <v>561</v>
      </c>
      <c r="G2040" t="s">
        <v>718</v>
      </c>
      <c r="H2040">
        <v>155</v>
      </c>
      <c r="I2040">
        <v>157</v>
      </c>
      <c r="J2040">
        <v>151</v>
      </c>
      <c r="K2040">
        <v>152</v>
      </c>
      <c r="L2040">
        <v>152</v>
      </c>
      <c r="M2040">
        <v>151</v>
      </c>
      <c r="N2040">
        <v>156</v>
      </c>
      <c r="O2040">
        <v>167</v>
      </c>
      <c r="P2040">
        <v>176</v>
      </c>
      <c r="Q2040">
        <v>176</v>
      </c>
      <c r="R2040">
        <v>174</v>
      </c>
      <c r="S2040">
        <v>176</v>
      </c>
      <c r="T2040">
        <f t="shared" si="95"/>
        <v>1943</v>
      </c>
      <c r="U2040">
        <v>1</v>
      </c>
    </row>
    <row r="2041" spans="1:21" x14ac:dyDescent="0.3">
      <c r="A2041" t="str">
        <f t="shared" si="93"/>
        <v>West NorthamptonshireReablement &amp; Rehabilitation at home  (pathway 1)1</v>
      </c>
      <c r="B2041">
        <f>IF(C2041="","",COUNTIF($C$2:C2041,C2041))</f>
        <v>1</v>
      </c>
      <c r="C2041" t="str">
        <f t="shared" si="94"/>
        <v>West NorthamptonshireRehabilitation at home (pathway 1)</v>
      </c>
      <c r="D2041" t="str">
        <f>VLOOKUP(G2041,PathwayLookup!A:B,2,0)</f>
        <v>Reablement &amp; Rehabilitation at home  (pathway 1)</v>
      </c>
      <c r="E2041" t="s">
        <v>345</v>
      </c>
      <c r="F2041" t="s">
        <v>561</v>
      </c>
      <c r="G2041" t="s">
        <v>719</v>
      </c>
      <c r="H2041">
        <v>106</v>
      </c>
      <c r="I2041">
        <v>116</v>
      </c>
      <c r="J2041">
        <v>114</v>
      </c>
      <c r="K2041">
        <v>109</v>
      </c>
      <c r="L2041">
        <v>118</v>
      </c>
      <c r="M2041">
        <v>111</v>
      </c>
      <c r="N2041">
        <v>112</v>
      </c>
      <c r="O2041">
        <v>114</v>
      </c>
      <c r="P2041">
        <v>111</v>
      </c>
      <c r="Q2041">
        <v>116</v>
      </c>
      <c r="R2041">
        <v>108</v>
      </c>
      <c r="S2041">
        <v>111</v>
      </c>
      <c r="T2041">
        <f t="shared" si="95"/>
        <v>1346</v>
      </c>
      <c r="U2041">
        <v>1</v>
      </c>
    </row>
    <row r="2042" spans="1:21" x14ac:dyDescent="0.3">
      <c r="A2042" t="str">
        <f t="shared" si="93"/>
        <v>West NorthamptonshireReablement &amp; Rehabilitation in a bedded setting (pathway 2)1</v>
      </c>
      <c r="B2042">
        <f>IF(C2042="","",COUNTIF($C$2:C2042,C2042))</f>
        <v>1</v>
      </c>
      <c r="C2042" t="str">
        <f t="shared" si="94"/>
        <v>West NorthamptonshireReablement in a bedded setting (pathway 2)</v>
      </c>
      <c r="D2042" t="str">
        <f>VLOOKUP(G2042,PathwayLookup!A:B,2,0)</f>
        <v>Reablement &amp; Rehabilitation in a bedded setting (pathway 2)</v>
      </c>
      <c r="E2042" t="s">
        <v>345</v>
      </c>
      <c r="F2042" t="s">
        <v>561</v>
      </c>
      <c r="G2042" t="s">
        <v>722</v>
      </c>
      <c r="H2042">
        <v>36</v>
      </c>
      <c r="I2042">
        <v>38</v>
      </c>
      <c r="J2042">
        <v>36</v>
      </c>
      <c r="K2042">
        <v>38</v>
      </c>
      <c r="L2042">
        <v>38</v>
      </c>
      <c r="M2042">
        <v>36</v>
      </c>
      <c r="N2042">
        <v>44</v>
      </c>
      <c r="O2042">
        <v>43</v>
      </c>
      <c r="P2042">
        <v>44</v>
      </c>
      <c r="Q2042">
        <v>44</v>
      </c>
      <c r="R2042">
        <v>41</v>
      </c>
      <c r="S2042">
        <v>44</v>
      </c>
      <c r="T2042">
        <f t="shared" si="95"/>
        <v>482</v>
      </c>
      <c r="U2042">
        <v>1</v>
      </c>
    </row>
    <row r="2043" spans="1:21" x14ac:dyDescent="0.3">
      <c r="A2043" t="str">
        <f t="shared" si="93"/>
        <v>West NorthamptonshireReablement &amp; Rehabilitation in a bedded setting (pathway 2)1</v>
      </c>
      <c r="B2043">
        <f>IF(C2043="","",COUNTIF($C$2:C2043,C2043))</f>
        <v>1</v>
      </c>
      <c r="C2043" t="str">
        <f t="shared" si="94"/>
        <v>West NorthamptonshireRehabilitation in a bedded setting (pathway 2)</v>
      </c>
      <c r="D2043" t="str">
        <f>VLOOKUP(G2043,PathwayLookup!A:B,2,0)</f>
        <v>Reablement &amp; Rehabilitation in a bedded setting (pathway 2)</v>
      </c>
      <c r="E2043" t="s">
        <v>345</v>
      </c>
      <c r="F2043" t="s">
        <v>561</v>
      </c>
      <c r="G2043" t="s">
        <v>724</v>
      </c>
      <c r="H2043">
        <v>30</v>
      </c>
      <c r="I2043">
        <v>31</v>
      </c>
      <c r="J2043">
        <v>26</v>
      </c>
      <c r="K2043">
        <v>27</v>
      </c>
      <c r="L2043">
        <v>27</v>
      </c>
      <c r="M2043">
        <v>26</v>
      </c>
      <c r="N2043">
        <v>27</v>
      </c>
      <c r="O2043">
        <v>26</v>
      </c>
      <c r="P2043">
        <v>27</v>
      </c>
      <c r="Q2043">
        <v>27</v>
      </c>
      <c r="R2043">
        <v>25</v>
      </c>
      <c r="S2043">
        <v>27</v>
      </c>
      <c r="T2043">
        <f t="shared" si="95"/>
        <v>326</v>
      </c>
      <c r="U2043">
        <v>1</v>
      </c>
    </row>
    <row r="2044" spans="1:21" x14ac:dyDescent="0.3">
      <c r="A2044" t="str">
        <f t="shared" si="93"/>
        <v>West NorthamptonshireShort-term residential/nursing care for someone likely to require a longer-term care home placement (pathway 3)1</v>
      </c>
      <c r="B2044">
        <f>IF(C2044="","",COUNTIF($C$2:C2044,C2044))</f>
        <v>1</v>
      </c>
      <c r="C2044" t="str">
        <f t="shared" si="94"/>
        <v>West NorthamptonshireShort-term residential/nursing care for someone likely to require a longer-term care home placement (pathway 3)</v>
      </c>
      <c r="D2044" t="str">
        <f>VLOOKUP(G2044,PathwayLookup!A:B,2,0)</f>
        <v>Short-term residential/nursing care for someone likely to require a longer-term care home placement (pathway 3)</v>
      </c>
      <c r="E2044" t="s">
        <v>345</v>
      </c>
      <c r="F2044" t="s">
        <v>561</v>
      </c>
      <c r="G2044" t="s">
        <v>686</v>
      </c>
      <c r="H2044">
        <v>48</v>
      </c>
      <c r="I2044">
        <v>51</v>
      </c>
      <c r="J2044">
        <v>52</v>
      </c>
      <c r="K2044">
        <v>52</v>
      </c>
      <c r="L2044">
        <v>53</v>
      </c>
      <c r="M2044">
        <v>51</v>
      </c>
      <c r="N2044">
        <v>53</v>
      </c>
      <c r="O2044">
        <v>52</v>
      </c>
      <c r="P2044">
        <v>50</v>
      </c>
      <c r="Q2044">
        <v>53</v>
      </c>
      <c r="R2044">
        <v>50</v>
      </c>
      <c r="S2044">
        <v>51</v>
      </c>
      <c r="T2044">
        <f t="shared" si="95"/>
        <v>616</v>
      </c>
      <c r="U2044">
        <v>1</v>
      </c>
    </row>
    <row r="2045" spans="1:21" x14ac:dyDescent="0.3">
      <c r="A2045" t="str">
        <f t="shared" si="93"/>
        <v/>
      </c>
      <c r="B2045" t="str">
        <f>IF(C2045="","",COUNTIF($C$2:C2045,C2045))</f>
        <v/>
      </c>
      <c r="C2045" t="str">
        <f t="shared" si="94"/>
        <v/>
      </c>
      <c r="D2045" t="str">
        <f>VLOOKUP(G2045,PathwayLookup!A:B,2,0)</f>
        <v>Social support (including VCS) (pathway 0)</v>
      </c>
      <c r="E2045" t="s">
        <v>347</v>
      </c>
      <c r="F2045" t="s">
        <v>499</v>
      </c>
      <c r="G2045" t="s">
        <v>682</v>
      </c>
      <c r="H2045">
        <v>0</v>
      </c>
      <c r="I2045">
        <v>0</v>
      </c>
      <c r="J2045">
        <v>0</v>
      </c>
      <c r="K2045">
        <v>0</v>
      </c>
      <c r="L2045">
        <v>0</v>
      </c>
      <c r="M2045">
        <v>0</v>
      </c>
      <c r="N2045">
        <v>0</v>
      </c>
      <c r="O2045">
        <v>0</v>
      </c>
      <c r="P2045">
        <v>0</v>
      </c>
      <c r="Q2045">
        <v>0</v>
      </c>
      <c r="R2045">
        <v>0</v>
      </c>
      <c r="S2045">
        <v>0</v>
      </c>
      <c r="T2045">
        <f t="shared" si="95"/>
        <v>0</v>
      </c>
      <c r="U2045">
        <v>1</v>
      </c>
    </row>
    <row r="2046" spans="1:21" x14ac:dyDescent="0.3">
      <c r="A2046" t="str">
        <f t="shared" si="93"/>
        <v>West SussexSocial support (including VCS) (pathway 0)1</v>
      </c>
      <c r="B2046">
        <f>IF(C2046="","",COUNTIF($C$2:C2046,C2046))</f>
        <v>1</v>
      </c>
      <c r="C2046" t="str">
        <f t="shared" si="94"/>
        <v>West SussexSocial support (including VCS) (pathway 0)</v>
      </c>
      <c r="D2046" t="str">
        <f>VLOOKUP(G2046,PathwayLookup!A:B,2,0)</f>
        <v>Social support (including VCS) (pathway 0)</v>
      </c>
      <c r="E2046" t="s">
        <v>347</v>
      </c>
      <c r="F2046" t="s">
        <v>573</v>
      </c>
      <c r="G2046" t="s">
        <v>682</v>
      </c>
      <c r="H2046">
        <v>2</v>
      </c>
      <c r="I2046">
        <v>2</v>
      </c>
      <c r="J2046">
        <v>2</v>
      </c>
      <c r="K2046">
        <v>2</v>
      </c>
      <c r="L2046">
        <v>2</v>
      </c>
      <c r="M2046">
        <v>2</v>
      </c>
      <c r="N2046">
        <v>2</v>
      </c>
      <c r="O2046">
        <v>2</v>
      </c>
      <c r="P2046">
        <v>2</v>
      </c>
      <c r="Q2046">
        <v>2</v>
      </c>
      <c r="R2046">
        <v>1</v>
      </c>
      <c r="S2046">
        <v>2</v>
      </c>
      <c r="T2046">
        <f t="shared" si="95"/>
        <v>23</v>
      </c>
      <c r="U2046">
        <v>1</v>
      </c>
    </row>
    <row r="2047" spans="1:21" x14ac:dyDescent="0.3">
      <c r="A2047" t="str">
        <f t="shared" si="93"/>
        <v>West SussexSocial support (including VCS) (pathway 0)2</v>
      </c>
      <c r="B2047">
        <f>IF(C2047="","",COUNTIF($C$2:C2047,C2047))</f>
        <v>2</v>
      </c>
      <c r="C2047" t="str">
        <f t="shared" si="94"/>
        <v>West SussexSocial support (including VCS) (pathway 0)</v>
      </c>
      <c r="D2047" t="str">
        <f>VLOOKUP(G2047,PathwayLookup!A:B,2,0)</f>
        <v>Social support (including VCS) (pathway 0)</v>
      </c>
      <c r="E2047" t="s">
        <v>347</v>
      </c>
      <c r="F2047" t="s">
        <v>604</v>
      </c>
      <c r="G2047" t="s">
        <v>682</v>
      </c>
      <c r="H2047">
        <v>29</v>
      </c>
      <c r="I2047">
        <v>30</v>
      </c>
      <c r="J2047">
        <v>29</v>
      </c>
      <c r="K2047">
        <v>30</v>
      </c>
      <c r="L2047">
        <v>30</v>
      </c>
      <c r="M2047">
        <v>29</v>
      </c>
      <c r="N2047">
        <v>30</v>
      </c>
      <c r="O2047">
        <v>29</v>
      </c>
      <c r="P2047">
        <v>30</v>
      </c>
      <c r="Q2047">
        <v>30</v>
      </c>
      <c r="R2047">
        <v>28</v>
      </c>
      <c r="S2047">
        <v>30</v>
      </c>
      <c r="T2047">
        <f t="shared" si="95"/>
        <v>354</v>
      </c>
      <c r="U2047">
        <v>1</v>
      </c>
    </row>
    <row r="2048" spans="1:21" x14ac:dyDescent="0.3">
      <c r="A2048" t="str">
        <f t="shared" si="93"/>
        <v>West SussexSocial support (including VCS) (pathway 0)3</v>
      </c>
      <c r="B2048">
        <f>IF(C2048="","",COUNTIF($C$2:C2048,C2048))</f>
        <v>3</v>
      </c>
      <c r="C2048" t="str">
        <f t="shared" si="94"/>
        <v>West SussexSocial support (including VCS) (pathway 0)</v>
      </c>
      <c r="D2048" t="str">
        <f>VLOOKUP(G2048,PathwayLookup!A:B,2,0)</f>
        <v>Social support (including VCS) (pathway 0)</v>
      </c>
      <c r="E2048" t="s">
        <v>347</v>
      </c>
      <c r="F2048" t="s">
        <v>637</v>
      </c>
      <c r="G2048" t="s">
        <v>682</v>
      </c>
      <c r="H2048">
        <v>93</v>
      </c>
      <c r="I2048">
        <v>96</v>
      </c>
      <c r="J2048">
        <v>93</v>
      </c>
      <c r="K2048">
        <v>96</v>
      </c>
      <c r="L2048">
        <v>96</v>
      </c>
      <c r="M2048">
        <v>93</v>
      </c>
      <c r="N2048">
        <v>96</v>
      </c>
      <c r="O2048">
        <v>93</v>
      </c>
      <c r="P2048">
        <v>96</v>
      </c>
      <c r="Q2048">
        <v>96</v>
      </c>
      <c r="R2048">
        <v>90</v>
      </c>
      <c r="S2048">
        <v>96</v>
      </c>
      <c r="T2048">
        <f t="shared" si="95"/>
        <v>1134</v>
      </c>
      <c r="U2048">
        <v>1</v>
      </c>
    </row>
    <row r="2049" spans="1:21" x14ac:dyDescent="0.3">
      <c r="A2049" t="str">
        <f t="shared" si="93"/>
        <v/>
      </c>
      <c r="B2049" t="str">
        <f>IF(C2049="","",COUNTIF($C$2:C2049,C2049))</f>
        <v/>
      </c>
      <c r="C2049" t="str">
        <f t="shared" si="94"/>
        <v/>
      </c>
      <c r="D2049" t="str">
        <f>VLOOKUP(G2049,PathwayLookup!A:B,2,0)</f>
        <v>Reablement &amp; Rehabilitation at home  (pathway 1)</v>
      </c>
      <c r="E2049" t="s">
        <v>347</v>
      </c>
      <c r="F2049" t="s">
        <v>499</v>
      </c>
      <c r="G2049" t="s">
        <v>718</v>
      </c>
      <c r="H2049">
        <v>0</v>
      </c>
      <c r="I2049">
        <v>0</v>
      </c>
      <c r="J2049">
        <v>0</v>
      </c>
      <c r="K2049">
        <v>0</v>
      </c>
      <c r="L2049">
        <v>0</v>
      </c>
      <c r="M2049">
        <v>0</v>
      </c>
      <c r="N2049">
        <v>0</v>
      </c>
      <c r="O2049">
        <v>0</v>
      </c>
      <c r="P2049">
        <v>0</v>
      </c>
      <c r="Q2049">
        <v>0</v>
      </c>
      <c r="R2049">
        <v>0</v>
      </c>
      <c r="S2049">
        <v>0</v>
      </c>
      <c r="T2049">
        <f t="shared" si="95"/>
        <v>0</v>
      </c>
      <c r="U2049">
        <v>1</v>
      </c>
    </row>
    <row r="2050" spans="1:21" x14ac:dyDescent="0.3">
      <c r="A2050" t="str">
        <f t="shared" ref="A2050:A2113" si="96">IF(B2050="","",E2050&amp;D2050&amp;B2050)</f>
        <v>West SussexReablement &amp; Rehabilitation at home  (pathway 1)1</v>
      </c>
      <c r="B2050">
        <f>IF(C2050="","",COUNTIF($C$2:C2050,C2050))</f>
        <v>1</v>
      </c>
      <c r="C2050" t="str">
        <f t="shared" ref="C2050:C2113" si="97">IF(T2050=0,"",E2050&amp;G2050)</f>
        <v>West SussexReablement at home  (pathway 1)</v>
      </c>
      <c r="D2050" t="str">
        <f>VLOOKUP(G2050,PathwayLookup!A:B,2,0)</f>
        <v>Reablement &amp; Rehabilitation at home  (pathway 1)</v>
      </c>
      <c r="E2050" t="s">
        <v>347</v>
      </c>
      <c r="F2050" t="s">
        <v>573</v>
      </c>
      <c r="G2050" t="s">
        <v>718</v>
      </c>
      <c r="H2050">
        <v>1</v>
      </c>
      <c r="I2050">
        <v>1</v>
      </c>
      <c r="J2050">
        <v>1</v>
      </c>
      <c r="K2050">
        <v>1</v>
      </c>
      <c r="L2050">
        <v>1</v>
      </c>
      <c r="M2050">
        <v>1</v>
      </c>
      <c r="N2050">
        <v>1</v>
      </c>
      <c r="O2050">
        <v>1</v>
      </c>
      <c r="P2050">
        <v>1</v>
      </c>
      <c r="Q2050">
        <v>1</v>
      </c>
      <c r="R2050">
        <v>1</v>
      </c>
      <c r="S2050">
        <v>1</v>
      </c>
      <c r="T2050">
        <f t="shared" ref="T2050:T2113" si="98">SUM(H2050:S2050)</f>
        <v>12</v>
      </c>
      <c r="U2050">
        <v>1</v>
      </c>
    </row>
    <row r="2051" spans="1:21" x14ac:dyDescent="0.3">
      <c r="A2051" t="str">
        <f t="shared" si="96"/>
        <v>West SussexReablement &amp; Rehabilitation at home  (pathway 1)2</v>
      </c>
      <c r="B2051">
        <f>IF(C2051="","",COUNTIF($C$2:C2051,C2051))</f>
        <v>2</v>
      </c>
      <c r="C2051" t="str">
        <f t="shared" si="97"/>
        <v>West SussexReablement at home  (pathway 1)</v>
      </c>
      <c r="D2051" t="str">
        <f>VLOOKUP(G2051,PathwayLookup!A:B,2,0)</f>
        <v>Reablement &amp; Rehabilitation at home  (pathway 1)</v>
      </c>
      <c r="E2051" t="s">
        <v>347</v>
      </c>
      <c r="F2051" t="s">
        <v>604</v>
      </c>
      <c r="G2051" t="s">
        <v>718</v>
      </c>
      <c r="H2051">
        <v>10</v>
      </c>
      <c r="I2051">
        <v>10</v>
      </c>
      <c r="J2051">
        <v>10</v>
      </c>
      <c r="K2051">
        <v>10</v>
      </c>
      <c r="L2051">
        <v>10</v>
      </c>
      <c r="M2051">
        <v>10</v>
      </c>
      <c r="N2051">
        <v>10</v>
      </c>
      <c r="O2051">
        <v>10</v>
      </c>
      <c r="P2051">
        <v>10</v>
      </c>
      <c r="Q2051">
        <v>10</v>
      </c>
      <c r="R2051">
        <v>10</v>
      </c>
      <c r="S2051">
        <v>10</v>
      </c>
      <c r="T2051">
        <f t="shared" si="98"/>
        <v>120</v>
      </c>
      <c r="U2051">
        <v>1</v>
      </c>
    </row>
    <row r="2052" spans="1:21" x14ac:dyDescent="0.3">
      <c r="A2052" t="str">
        <f t="shared" si="96"/>
        <v>West SussexReablement &amp; Rehabilitation at home  (pathway 1)3</v>
      </c>
      <c r="B2052">
        <f>IF(C2052="","",COUNTIF($C$2:C2052,C2052))</f>
        <v>3</v>
      </c>
      <c r="C2052" t="str">
        <f t="shared" si="97"/>
        <v>West SussexReablement at home  (pathway 1)</v>
      </c>
      <c r="D2052" t="str">
        <f>VLOOKUP(G2052,PathwayLookup!A:B,2,0)</f>
        <v>Reablement &amp; Rehabilitation at home  (pathway 1)</v>
      </c>
      <c r="E2052" t="s">
        <v>347</v>
      </c>
      <c r="F2052" t="s">
        <v>637</v>
      </c>
      <c r="G2052" t="s">
        <v>718</v>
      </c>
      <c r="H2052">
        <v>33</v>
      </c>
      <c r="I2052">
        <v>34</v>
      </c>
      <c r="J2052">
        <v>33</v>
      </c>
      <c r="K2052">
        <v>34</v>
      </c>
      <c r="L2052">
        <v>34</v>
      </c>
      <c r="M2052">
        <v>33</v>
      </c>
      <c r="N2052">
        <v>34</v>
      </c>
      <c r="O2052">
        <v>33</v>
      </c>
      <c r="P2052">
        <v>34</v>
      </c>
      <c r="Q2052">
        <v>34</v>
      </c>
      <c r="R2052">
        <v>32</v>
      </c>
      <c r="S2052">
        <v>34</v>
      </c>
      <c r="T2052">
        <f t="shared" si="98"/>
        <v>402</v>
      </c>
      <c r="U2052">
        <v>1</v>
      </c>
    </row>
    <row r="2053" spans="1:21" x14ac:dyDescent="0.3">
      <c r="A2053" t="str">
        <f t="shared" si="96"/>
        <v>West SussexReablement &amp; Rehabilitation at home  (pathway 1)1</v>
      </c>
      <c r="B2053">
        <f>IF(C2053="","",COUNTIF($C$2:C2053,C2053))</f>
        <v>1</v>
      </c>
      <c r="C2053" t="str">
        <f t="shared" si="97"/>
        <v>West SussexRehabilitation at home (pathway 1)</v>
      </c>
      <c r="D2053" t="str">
        <f>VLOOKUP(G2053,PathwayLookup!A:B,2,0)</f>
        <v>Reablement &amp; Rehabilitation at home  (pathway 1)</v>
      </c>
      <c r="E2053" t="s">
        <v>347</v>
      </c>
      <c r="F2053" t="s">
        <v>499</v>
      </c>
      <c r="G2053" t="s">
        <v>719</v>
      </c>
      <c r="H2053">
        <v>1</v>
      </c>
      <c r="I2053">
        <v>1</v>
      </c>
      <c r="J2053">
        <v>1</v>
      </c>
      <c r="K2053">
        <v>1</v>
      </c>
      <c r="L2053">
        <v>1</v>
      </c>
      <c r="M2053">
        <v>1</v>
      </c>
      <c r="N2053">
        <v>1</v>
      </c>
      <c r="O2053">
        <v>1</v>
      </c>
      <c r="P2053">
        <v>1</v>
      </c>
      <c r="Q2053">
        <v>1</v>
      </c>
      <c r="R2053">
        <v>1</v>
      </c>
      <c r="S2053">
        <v>1</v>
      </c>
      <c r="T2053">
        <f t="shared" si="98"/>
        <v>12</v>
      </c>
      <c r="U2053">
        <v>1</v>
      </c>
    </row>
    <row r="2054" spans="1:21" x14ac:dyDescent="0.3">
      <c r="A2054" t="str">
        <f t="shared" si="96"/>
        <v>West SussexReablement &amp; Rehabilitation at home  (pathway 1)2</v>
      </c>
      <c r="B2054">
        <f>IF(C2054="","",COUNTIF($C$2:C2054,C2054))</f>
        <v>2</v>
      </c>
      <c r="C2054" t="str">
        <f t="shared" si="97"/>
        <v>West SussexRehabilitation at home (pathway 1)</v>
      </c>
      <c r="D2054" t="str">
        <f>VLOOKUP(G2054,PathwayLookup!A:B,2,0)</f>
        <v>Reablement &amp; Rehabilitation at home  (pathway 1)</v>
      </c>
      <c r="E2054" t="s">
        <v>347</v>
      </c>
      <c r="F2054" t="s">
        <v>573</v>
      </c>
      <c r="G2054" t="s">
        <v>719</v>
      </c>
      <c r="H2054">
        <v>5</v>
      </c>
      <c r="I2054">
        <v>5</v>
      </c>
      <c r="J2054">
        <v>5</v>
      </c>
      <c r="K2054">
        <v>5</v>
      </c>
      <c r="L2054">
        <v>5</v>
      </c>
      <c r="M2054">
        <v>5</v>
      </c>
      <c r="N2054">
        <v>5</v>
      </c>
      <c r="O2054">
        <v>5</v>
      </c>
      <c r="P2054">
        <v>5</v>
      </c>
      <c r="Q2054">
        <v>5</v>
      </c>
      <c r="R2054">
        <v>4</v>
      </c>
      <c r="S2054">
        <v>5</v>
      </c>
      <c r="T2054">
        <f t="shared" si="98"/>
        <v>59</v>
      </c>
      <c r="U2054">
        <v>1</v>
      </c>
    </row>
    <row r="2055" spans="1:21" x14ac:dyDescent="0.3">
      <c r="A2055" t="str">
        <f t="shared" si="96"/>
        <v>West SussexReablement &amp; Rehabilitation at home  (pathway 1)3</v>
      </c>
      <c r="B2055">
        <f>IF(C2055="","",COUNTIF($C$2:C2055,C2055))</f>
        <v>3</v>
      </c>
      <c r="C2055" t="str">
        <f t="shared" si="97"/>
        <v>West SussexRehabilitation at home (pathway 1)</v>
      </c>
      <c r="D2055" t="str">
        <f>VLOOKUP(G2055,PathwayLookup!A:B,2,0)</f>
        <v>Reablement &amp; Rehabilitation at home  (pathway 1)</v>
      </c>
      <c r="E2055" t="s">
        <v>347</v>
      </c>
      <c r="F2055" t="s">
        <v>604</v>
      </c>
      <c r="G2055" t="s">
        <v>719</v>
      </c>
      <c r="H2055">
        <v>86</v>
      </c>
      <c r="I2055">
        <v>89</v>
      </c>
      <c r="J2055">
        <v>86</v>
      </c>
      <c r="K2055">
        <v>89</v>
      </c>
      <c r="L2055">
        <v>89</v>
      </c>
      <c r="M2055">
        <v>86</v>
      </c>
      <c r="N2055">
        <v>89</v>
      </c>
      <c r="O2055">
        <v>86</v>
      </c>
      <c r="P2055">
        <v>89</v>
      </c>
      <c r="Q2055">
        <v>89</v>
      </c>
      <c r="R2055">
        <v>83</v>
      </c>
      <c r="S2055">
        <v>89</v>
      </c>
      <c r="T2055">
        <f t="shared" si="98"/>
        <v>1050</v>
      </c>
      <c r="U2055">
        <v>1</v>
      </c>
    </row>
    <row r="2056" spans="1:21" x14ac:dyDescent="0.3">
      <c r="A2056" t="str">
        <f t="shared" si="96"/>
        <v>West SussexReablement &amp; Rehabilitation at home  (pathway 1)4</v>
      </c>
      <c r="B2056">
        <f>IF(C2056="","",COUNTIF($C$2:C2056,C2056))</f>
        <v>4</v>
      </c>
      <c r="C2056" t="str">
        <f t="shared" si="97"/>
        <v>West SussexRehabilitation at home (pathway 1)</v>
      </c>
      <c r="D2056" t="str">
        <f>VLOOKUP(G2056,PathwayLookup!A:B,2,0)</f>
        <v>Reablement &amp; Rehabilitation at home  (pathway 1)</v>
      </c>
      <c r="E2056" t="s">
        <v>347</v>
      </c>
      <c r="F2056" t="s">
        <v>637</v>
      </c>
      <c r="G2056" t="s">
        <v>719</v>
      </c>
      <c r="H2056">
        <v>278</v>
      </c>
      <c r="I2056">
        <v>287</v>
      </c>
      <c r="J2056">
        <v>278</v>
      </c>
      <c r="K2056">
        <v>287</v>
      </c>
      <c r="L2056">
        <v>287</v>
      </c>
      <c r="M2056">
        <v>278</v>
      </c>
      <c r="N2056">
        <v>287</v>
      </c>
      <c r="O2056">
        <v>278</v>
      </c>
      <c r="P2056">
        <v>287</v>
      </c>
      <c r="Q2056">
        <v>287</v>
      </c>
      <c r="R2056">
        <v>268</v>
      </c>
      <c r="S2056">
        <v>287</v>
      </c>
      <c r="T2056">
        <f t="shared" si="98"/>
        <v>3389</v>
      </c>
      <c r="U2056">
        <v>1</v>
      </c>
    </row>
    <row r="2057" spans="1:21" x14ac:dyDescent="0.3">
      <c r="A2057" t="str">
        <f t="shared" si="96"/>
        <v/>
      </c>
      <c r="B2057" t="str">
        <f>IF(C2057="","",COUNTIF($C$2:C2057,C2057))</f>
        <v/>
      </c>
      <c r="C2057" t="str">
        <f t="shared" si="97"/>
        <v/>
      </c>
      <c r="D2057" t="str">
        <f>VLOOKUP(G2057,PathwayLookup!A:B,2,0)</f>
        <v>Short term domiciliary care (pathway 1)</v>
      </c>
      <c r="E2057" t="s">
        <v>347</v>
      </c>
      <c r="F2057" t="s">
        <v>499</v>
      </c>
      <c r="G2057" t="s">
        <v>684</v>
      </c>
      <c r="H2057">
        <v>0</v>
      </c>
      <c r="I2057">
        <v>0</v>
      </c>
      <c r="J2057">
        <v>0</v>
      </c>
      <c r="K2057">
        <v>0</v>
      </c>
      <c r="L2057">
        <v>0</v>
      </c>
      <c r="M2057">
        <v>0</v>
      </c>
      <c r="N2057">
        <v>0</v>
      </c>
      <c r="O2057">
        <v>0</v>
      </c>
      <c r="P2057">
        <v>0</v>
      </c>
      <c r="Q2057">
        <v>0</v>
      </c>
      <c r="R2057">
        <v>0</v>
      </c>
      <c r="S2057">
        <v>0</v>
      </c>
      <c r="T2057">
        <f t="shared" si="98"/>
        <v>0</v>
      </c>
      <c r="U2057">
        <v>1</v>
      </c>
    </row>
    <row r="2058" spans="1:21" x14ac:dyDescent="0.3">
      <c r="A2058" t="str">
        <f t="shared" si="96"/>
        <v/>
      </c>
      <c r="B2058" t="str">
        <f>IF(C2058="","",COUNTIF($C$2:C2058,C2058))</f>
        <v/>
      </c>
      <c r="C2058" t="str">
        <f t="shared" si="97"/>
        <v/>
      </c>
      <c r="D2058" t="str">
        <f>VLOOKUP(G2058,PathwayLookup!A:B,2,0)</f>
        <v>Short term domiciliary care (pathway 1)</v>
      </c>
      <c r="E2058" t="s">
        <v>347</v>
      </c>
      <c r="F2058" t="s">
        <v>573</v>
      </c>
      <c r="G2058" t="s">
        <v>684</v>
      </c>
      <c r="H2058">
        <v>0</v>
      </c>
      <c r="I2058">
        <v>0</v>
      </c>
      <c r="J2058">
        <v>0</v>
      </c>
      <c r="K2058">
        <v>0</v>
      </c>
      <c r="L2058">
        <v>0</v>
      </c>
      <c r="M2058">
        <v>0</v>
      </c>
      <c r="N2058">
        <v>0</v>
      </c>
      <c r="O2058">
        <v>0</v>
      </c>
      <c r="P2058">
        <v>0</v>
      </c>
      <c r="Q2058">
        <v>0</v>
      </c>
      <c r="R2058">
        <v>0</v>
      </c>
      <c r="S2058">
        <v>0</v>
      </c>
      <c r="T2058">
        <f t="shared" si="98"/>
        <v>0</v>
      </c>
      <c r="U2058">
        <v>1</v>
      </c>
    </row>
    <row r="2059" spans="1:21" x14ac:dyDescent="0.3">
      <c r="A2059" t="str">
        <f t="shared" si="96"/>
        <v>West SussexShort term domiciliary care (pathway 1)1</v>
      </c>
      <c r="B2059">
        <f>IF(C2059="","",COUNTIF($C$2:C2059,C2059))</f>
        <v>1</v>
      </c>
      <c r="C2059" t="str">
        <f t="shared" si="97"/>
        <v>West SussexShort term domiciliary care (pathway 1)</v>
      </c>
      <c r="D2059" t="str">
        <f>VLOOKUP(G2059,PathwayLookup!A:B,2,0)</f>
        <v>Short term domiciliary care (pathway 1)</v>
      </c>
      <c r="E2059" t="s">
        <v>347</v>
      </c>
      <c r="F2059" t="s">
        <v>604</v>
      </c>
      <c r="G2059" t="s">
        <v>684</v>
      </c>
      <c r="H2059">
        <v>5</v>
      </c>
      <c r="I2059">
        <v>5</v>
      </c>
      <c r="J2059">
        <v>5</v>
      </c>
      <c r="K2059">
        <v>5</v>
      </c>
      <c r="L2059">
        <v>5</v>
      </c>
      <c r="M2059">
        <v>5</v>
      </c>
      <c r="N2059">
        <v>5</v>
      </c>
      <c r="O2059">
        <v>5</v>
      </c>
      <c r="P2059">
        <v>5</v>
      </c>
      <c r="Q2059">
        <v>5</v>
      </c>
      <c r="R2059">
        <v>5</v>
      </c>
      <c r="S2059">
        <v>5</v>
      </c>
      <c r="T2059">
        <f t="shared" si="98"/>
        <v>60</v>
      </c>
      <c r="U2059">
        <v>1</v>
      </c>
    </row>
    <row r="2060" spans="1:21" x14ac:dyDescent="0.3">
      <c r="A2060" t="str">
        <f t="shared" si="96"/>
        <v>West SussexShort term domiciliary care (pathway 1)2</v>
      </c>
      <c r="B2060">
        <f>IF(C2060="","",COUNTIF($C$2:C2060,C2060))</f>
        <v>2</v>
      </c>
      <c r="C2060" t="str">
        <f t="shared" si="97"/>
        <v>West SussexShort term domiciliary care (pathway 1)</v>
      </c>
      <c r="D2060" t="str">
        <f>VLOOKUP(G2060,PathwayLookup!A:B,2,0)</f>
        <v>Short term domiciliary care (pathway 1)</v>
      </c>
      <c r="E2060" t="s">
        <v>347</v>
      </c>
      <c r="F2060" t="s">
        <v>637</v>
      </c>
      <c r="G2060" t="s">
        <v>684</v>
      </c>
      <c r="H2060">
        <v>16</v>
      </c>
      <c r="I2060">
        <v>17</v>
      </c>
      <c r="J2060">
        <v>16</v>
      </c>
      <c r="K2060">
        <v>17</v>
      </c>
      <c r="L2060">
        <v>17</v>
      </c>
      <c r="M2060">
        <v>16</v>
      </c>
      <c r="N2060">
        <v>17</v>
      </c>
      <c r="O2060">
        <v>16</v>
      </c>
      <c r="P2060">
        <v>17</v>
      </c>
      <c r="Q2060">
        <v>17</v>
      </c>
      <c r="R2060">
        <v>16</v>
      </c>
      <c r="S2060">
        <v>17</v>
      </c>
      <c r="T2060">
        <f t="shared" si="98"/>
        <v>199</v>
      </c>
      <c r="U2060">
        <v>1</v>
      </c>
    </row>
    <row r="2061" spans="1:21" x14ac:dyDescent="0.3">
      <c r="A2061" t="str">
        <f t="shared" si="96"/>
        <v/>
      </c>
      <c r="B2061" t="str">
        <f>IF(C2061="","",COUNTIF($C$2:C2061,C2061))</f>
        <v/>
      </c>
      <c r="C2061" t="str">
        <f t="shared" si="97"/>
        <v/>
      </c>
      <c r="D2061" t="str">
        <f>VLOOKUP(G2061,PathwayLookup!A:B,2,0)</f>
        <v>Reablement &amp; Rehabilitation in a bedded setting (pathway 2)</v>
      </c>
      <c r="E2061" t="s">
        <v>347</v>
      </c>
      <c r="F2061" t="s">
        <v>499</v>
      </c>
      <c r="G2061" t="s">
        <v>722</v>
      </c>
      <c r="H2061">
        <v>0</v>
      </c>
      <c r="I2061">
        <v>0</v>
      </c>
      <c r="J2061">
        <v>0</v>
      </c>
      <c r="K2061">
        <v>0</v>
      </c>
      <c r="L2061">
        <v>0</v>
      </c>
      <c r="M2061">
        <v>0</v>
      </c>
      <c r="N2061">
        <v>0</v>
      </c>
      <c r="O2061">
        <v>0</v>
      </c>
      <c r="P2061">
        <v>0</v>
      </c>
      <c r="Q2061">
        <v>0</v>
      </c>
      <c r="R2061">
        <v>0</v>
      </c>
      <c r="S2061">
        <v>0</v>
      </c>
      <c r="T2061">
        <f t="shared" si="98"/>
        <v>0</v>
      </c>
      <c r="U2061">
        <v>1</v>
      </c>
    </row>
    <row r="2062" spans="1:21" x14ac:dyDescent="0.3">
      <c r="A2062" t="str">
        <f t="shared" si="96"/>
        <v/>
      </c>
      <c r="B2062" t="str">
        <f>IF(C2062="","",COUNTIF($C$2:C2062,C2062))</f>
        <v/>
      </c>
      <c r="C2062" t="str">
        <f t="shared" si="97"/>
        <v/>
      </c>
      <c r="D2062" t="str">
        <f>VLOOKUP(G2062,PathwayLookup!A:B,2,0)</f>
        <v>Reablement &amp; Rehabilitation in a bedded setting (pathway 2)</v>
      </c>
      <c r="E2062" t="s">
        <v>347</v>
      </c>
      <c r="F2062" t="s">
        <v>573</v>
      </c>
      <c r="G2062" t="s">
        <v>722</v>
      </c>
      <c r="H2062">
        <v>0</v>
      </c>
      <c r="I2062">
        <v>0</v>
      </c>
      <c r="J2062">
        <v>0</v>
      </c>
      <c r="K2062">
        <v>0</v>
      </c>
      <c r="L2062">
        <v>0</v>
      </c>
      <c r="M2062">
        <v>0</v>
      </c>
      <c r="N2062">
        <v>0</v>
      </c>
      <c r="O2062">
        <v>0</v>
      </c>
      <c r="P2062">
        <v>0</v>
      </c>
      <c r="Q2062">
        <v>0</v>
      </c>
      <c r="R2062">
        <v>0</v>
      </c>
      <c r="S2062">
        <v>0</v>
      </c>
      <c r="T2062">
        <f t="shared" si="98"/>
        <v>0</v>
      </c>
      <c r="U2062">
        <v>1</v>
      </c>
    </row>
    <row r="2063" spans="1:21" x14ac:dyDescent="0.3">
      <c r="A2063" t="str">
        <f t="shared" si="96"/>
        <v>West SussexReablement &amp; Rehabilitation in a bedded setting (pathway 2)1</v>
      </c>
      <c r="B2063">
        <f>IF(C2063="","",COUNTIF($C$2:C2063,C2063))</f>
        <v>1</v>
      </c>
      <c r="C2063" t="str">
        <f t="shared" si="97"/>
        <v>West SussexReablement in a bedded setting (pathway 2)</v>
      </c>
      <c r="D2063" t="str">
        <f>VLOOKUP(G2063,PathwayLookup!A:B,2,0)</f>
        <v>Reablement &amp; Rehabilitation in a bedded setting (pathway 2)</v>
      </c>
      <c r="E2063" t="s">
        <v>347</v>
      </c>
      <c r="F2063" t="s">
        <v>604</v>
      </c>
      <c r="G2063" t="s">
        <v>722</v>
      </c>
      <c r="H2063">
        <v>8</v>
      </c>
      <c r="I2063">
        <v>8</v>
      </c>
      <c r="J2063">
        <v>8</v>
      </c>
      <c r="K2063">
        <v>8</v>
      </c>
      <c r="L2063">
        <v>8</v>
      </c>
      <c r="M2063">
        <v>8</v>
      </c>
      <c r="N2063">
        <v>8</v>
      </c>
      <c r="O2063">
        <v>8</v>
      </c>
      <c r="P2063">
        <v>8</v>
      </c>
      <c r="Q2063">
        <v>8</v>
      </c>
      <c r="R2063">
        <v>8</v>
      </c>
      <c r="S2063">
        <v>8</v>
      </c>
      <c r="T2063">
        <f t="shared" si="98"/>
        <v>96</v>
      </c>
      <c r="U2063">
        <v>1</v>
      </c>
    </row>
    <row r="2064" spans="1:21" x14ac:dyDescent="0.3">
      <c r="A2064" t="str">
        <f t="shared" si="96"/>
        <v>West SussexReablement &amp; Rehabilitation in a bedded setting (pathway 2)2</v>
      </c>
      <c r="B2064">
        <f>IF(C2064="","",COUNTIF($C$2:C2064,C2064))</f>
        <v>2</v>
      </c>
      <c r="C2064" t="str">
        <f t="shared" si="97"/>
        <v>West SussexReablement in a bedded setting (pathway 2)</v>
      </c>
      <c r="D2064" t="str">
        <f>VLOOKUP(G2064,PathwayLookup!A:B,2,0)</f>
        <v>Reablement &amp; Rehabilitation in a bedded setting (pathway 2)</v>
      </c>
      <c r="E2064" t="s">
        <v>347</v>
      </c>
      <c r="F2064" t="s">
        <v>637</v>
      </c>
      <c r="G2064" t="s">
        <v>722</v>
      </c>
      <c r="H2064">
        <v>26</v>
      </c>
      <c r="I2064">
        <v>26</v>
      </c>
      <c r="J2064">
        <v>26</v>
      </c>
      <c r="K2064">
        <v>26</v>
      </c>
      <c r="L2064">
        <v>26</v>
      </c>
      <c r="M2064">
        <v>26</v>
      </c>
      <c r="N2064">
        <v>26</v>
      </c>
      <c r="O2064">
        <v>26</v>
      </c>
      <c r="P2064">
        <v>26</v>
      </c>
      <c r="Q2064">
        <v>26</v>
      </c>
      <c r="R2064">
        <v>25</v>
      </c>
      <c r="S2064">
        <v>26</v>
      </c>
      <c r="T2064">
        <f t="shared" si="98"/>
        <v>311</v>
      </c>
      <c r="U2064">
        <v>1</v>
      </c>
    </row>
    <row r="2065" spans="1:21" x14ac:dyDescent="0.3">
      <c r="A2065" t="str">
        <f t="shared" si="96"/>
        <v/>
      </c>
      <c r="B2065" t="str">
        <f>IF(C2065="","",COUNTIF($C$2:C2065,C2065))</f>
        <v/>
      </c>
      <c r="C2065" t="str">
        <f t="shared" si="97"/>
        <v/>
      </c>
      <c r="D2065" t="str">
        <f>VLOOKUP(G2065,PathwayLookup!A:B,2,0)</f>
        <v>Reablement &amp; Rehabilitation in a bedded setting (pathway 2)</v>
      </c>
      <c r="E2065" t="s">
        <v>347</v>
      </c>
      <c r="F2065" t="s">
        <v>499</v>
      </c>
      <c r="G2065" t="s">
        <v>724</v>
      </c>
      <c r="H2065">
        <v>0</v>
      </c>
      <c r="I2065">
        <v>0</v>
      </c>
      <c r="J2065">
        <v>0</v>
      </c>
      <c r="K2065">
        <v>0</v>
      </c>
      <c r="L2065">
        <v>0</v>
      </c>
      <c r="M2065">
        <v>0</v>
      </c>
      <c r="N2065">
        <v>0</v>
      </c>
      <c r="O2065">
        <v>0</v>
      </c>
      <c r="P2065">
        <v>0</v>
      </c>
      <c r="Q2065">
        <v>0</v>
      </c>
      <c r="R2065">
        <v>0</v>
      </c>
      <c r="S2065">
        <v>0</v>
      </c>
      <c r="T2065">
        <f t="shared" si="98"/>
        <v>0</v>
      </c>
      <c r="U2065">
        <v>1</v>
      </c>
    </row>
    <row r="2066" spans="1:21" x14ac:dyDescent="0.3">
      <c r="A2066" t="str">
        <f t="shared" si="96"/>
        <v>West SussexReablement &amp; Rehabilitation in a bedded setting (pathway 2)1</v>
      </c>
      <c r="B2066">
        <f>IF(C2066="","",COUNTIF($C$2:C2066,C2066))</f>
        <v>1</v>
      </c>
      <c r="C2066" t="str">
        <f t="shared" si="97"/>
        <v>West SussexRehabilitation in a bedded setting (pathway 2)</v>
      </c>
      <c r="D2066" t="str">
        <f>VLOOKUP(G2066,PathwayLookup!A:B,2,0)</f>
        <v>Reablement &amp; Rehabilitation in a bedded setting (pathway 2)</v>
      </c>
      <c r="E2066" t="s">
        <v>347</v>
      </c>
      <c r="F2066" t="s">
        <v>573</v>
      </c>
      <c r="G2066" t="s">
        <v>724</v>
      </c>
      <c r="H2066">
        <v>4</v>
      </c>
      <c r="I2066">
        <v>4</v>
      </c>
      <c r="J2066">
        <v>4</v>
      </c>
      <c r="K2066">
        <v>4</v>
      </c>
      <c r="L2066">
        <v>4</v>
      </c>
      <c r="M2066">
        <v>4</v>
      </c>
      <c r="N2066">
        <v>4</v>
      </c>
      <c r="O2066">
        <v>4</v>
      </c>
      <c r="P2066">
        <v>4</v>
      </c>
      <c r="Q2066">
        <v>4</v>
      </c>
      <c r="R2066">
        <v>4</v>
      </c>
      <c r="S2066">
        <v>4</v>
      </c>
      <c r="T2066">
        <f t="shared" si="98"/>
        <v>48</v>
      </c>
      <c r="U2066">
        <v>1</v>
      </c>
    </row>
    <row r="2067" spans="1:21" x14ac:dyDescent="0.3">
      <c r="A2067" t="str">
        <f t="shared" si="96"/>
        <v>West SussexReablement &amp; Rehabilitation in a bedded setting (pathway 2)2</v>
      </c>
      <c r="B2067">
        <f>IF(C2067="","",COUNTIF($C$2:C2067,C2067))</f>
        <v>2</v>
      </c>
      <c r="C2067" t="str">
        <f t="shared" si="97"/>
        <v>West SussexRehabilitation in a bedded setting (pathway 2)</v>
      </c>
      <c r="D2067" t="str">
        <f>VLOOKUP(G2067,PathwayLookup!A:B,2,0)</f>
        <v>Reablement &amp; Rehabilitation in a bedded setting (pathway 2)</v>
      </c>
      <c r="E2067" t="s">
        <v>347</v>
      </c>
      <c r="F2067" t="s">
        <v>604</v>
      </c>
      <c r="G2067" t="s">
        <v>724</v>
      </c>
      <c r="H2067">
        <v>71</v>
      </c>
      <c r="I2067">
        <v>74</v>
      </c>
      <c r="J2067">
        <v>71</v>
      </c>
      <c r="K2067">
        <v>74</v>
      </c>
      <c r="L2067">
        <v>74</v>
      </c>
      <c r="M2067">
        <v>71</v>
      </c>
      <c r="N2067">
        <v>74</v>
      </c>
      <c r="O2067">
        <v>71</v>
      </c>
      <c r="P2067">
        <v>74</v>
      </c>
      <c r="Q2067">
        <v>74</v>
      </c>
      <c r="R2067">
        <v>69</v>
      </c>
      <c r="S2067">
        <v>74</v>
      </c>
      <c r="T2067">
        <f t="shared" si="98"/>
        <v>871</v>
      </c>
      <c r="U2067">
        <v>1</v>
      </c>
    </row>
    <row r="2068" spans="1:21" x14ac:dyDescent="0.3">
      <c r="A2068" t="str">
        <f t="shared" si="96"/>
        <v>West SussexReablement &amp; Rehabilitation in a bedded setting (pathway 2)3</v>
      </c>
      <c r="B2068">
        <f>IF(C2068="","",COUNTIF($C$2:C2068,C2068))</f>
        <v>3</v>
      </c>
      <c r="C2068" t="str">
        <f t="shared" si="97"/>
        <v>West SussexRehabilitation in a bedded setting (pathway 2)</v>
      </c>
      <c r="D2068" t="str">
        <f>VLOOKUP(G2068,PathwayLookup!A:B,2,0)</f>
        <v>Reablement &amp; Rehabilitation in a bedded setting (pathway 2)</v>
      </c>
      <c r="E2068" t="s">
        <v>347</v>
      </c>
      <c r="F2068" t="s">
        <v>637</v>
      </c>
      <c r="G2068" t="s">
        <v>724</v>
      </c>
      <c r="H2068">
        <v>231</v>
      </c>
      <c r="I2068">
        <v>238</v>
      </c>
      <c r="J2068">
        <v>231</v>
      </c>
      <c r="K2068">
        <v>238</v>
      </c>
      <c r="L2068">
        <v>238</v>
      </c>
      <c r="M2068">
        <v>231</v>
      </c>
      <c r="N2068">
        <v>238</v>
      </c>
      <c r="O2068">
        <v>231</v>
      </c>
      <c r="P2068">
        <v>238</v>
      </c>
      <c r="Q2068">
        <v>238</v>
      </c>
      <c r="R2068">
        <v>223</v>
      </c>
      <c r="S2068">
        <v>238</v>
      </c>
      <c r="T2068">
        <f t="shared" si="98"/>
        <v>2813</v>
      </c>
      <c r="U2068">
        <v>1</v>
      </c>
    </row>
    <row r="2069" spans="1:21" x14ac:dyDescent="0.3">
      <c r="A2069" t="str">
        <f t="shared" si="96"/>
        <v/>
      </c>
      <c r="B2069" t="str">
        <f>IF(C2069="","",COUNTIF($C$2:C2069,C2069))</f>
        <v/>
      </c>
      <c r="C2069" t="str">
        <f t="shared" si="97"/>
        <v/>
      </c>
      <c r="D2069" t="str">
        <f>VLOOKUP(G2069,PathwayLookup!A:B,2,0)</f>
        <v>Short-term residential/nursing care for someone likely to require a longer-term care home placement (pathway 3)</v>
      </c>
      <c r="E2069" t="s">
        <v>347</v>
      </c>
      <c r="F2069" t="s">
        <v>499</v>
      </c>
      <c r="G2069" t="s">
        <v>686</v>
      </c>
      <c r="H2069">
        <v>0</v>
      </c>
      <c r="I2069">
        <v>0</v>
      </c>
      <c r="J2069">
        <v>0</v>
      </c>
      <c r="K2069">
        <v>0</v>
      </c>
      <c r="L2069">
        <v>0</v>
      </c>
      <c r="M2069">
        <v>0</v>
      </c>
      <c r="N2069">
        <v>0</v>
      </c>
      <c r="O2069">
        <v>0</v>
      </c>
      <c r="P2069">
        <v>0</v>
      </c>
      <c r="Q2069">
        <v>0</v>
      </c>
      <c r="R2069">
        <v>0</v>
      </c>
      <c r="S2069">
        <v>0</v>
      </c>
      <c r="T2069">
        <f t="shared" si="98"/>
        <v>0</v>
      </c>
      <c r="U2069">
        <v>1</v>
      </c>
    </row>
    <row r="2070" spans="1:21" x14ac:dyDescent="0.3">
      <c r="A2070" t="str">
        <f t="shared" si="96"/>
        <v>West SussexShort-term residential/nursing care for someone likely to require a longer-term care home placement (pathway 3)1</v>
      </c>
      <c r="B2070">
        <f>IF(C2070="","",COUNTIF($C$2:C2070,C2070))</f>
        <v>1</v>
      </c>
      <c r="C2070" t="str">
        <f t="shared" si="97"/>
        <v>West SussexShort-term residential/nursing care for someone likely to require a longer-term care home placement (pathway 3)</v>
      </c>
      <c r="D2070" t="str">
        <f>VLOOKUP(G2070,PathwayLookup!A:B,2,0)</f>
        <v>Short-term residential/nursing care for someone likely to require a longer-term care home placement (pathway 3)</v>
      </c>
      <c r="E2070" t="s">
        <v>347</v>
      </c>
      <c r="F2070" t="s">
        <v>573</v>
      </c>
      <c r="G2070" t="s">
        <v>686</v>
      </c>
      <c r="H2070">
        <v>1</v>
      </c>
      <c r="I2070">
        <v>1</v>
      </c>
      <c r="J2070">
        <v>1</v>
      </c>
      <c r="K2070">
        <v>1</v>
      </c>
      <c r="L2070">
        <v>1</v>
      </c>
      <c r="M2070">
        <v>1</v>
      </c>
      <c r="N2070">
        <v>1</v>
      </c>
      <c r="O2070">
        <v>1</v>
      </c>
      <c r="P2070">
        <v>1</v>
      </c>
      <c r="Q2070">
        <v>1</v>
      </c>
      <c r="R2070">
        <v>1</v>
      </c>
      <c r="S2070">
        <v>1</v>
      </c>
      <c r="T2070">
        <f t="shared" si="98"/>
        <v>12</v>
      </c>
      <c r="U2070">
        <v>1</v>
      </c>
    </row>
    <row r="2071" spans="1:21" x14ac:dyDescent="0.3">
      <c r="A2071" t="str">
        <f t="shared" si="96"/>
        <v>West SussexShort-term residential/nursing care for someone likely to require a longer-term care home placement (pathway 3)2</v>
      </c>
      <c r="B2071">
        <f>IF(C2071="","",COUNTIF($C$2:C2071,C2071))</f>
        <v>2</v>
      </c>
      <c r="C2071" t="str">
        <f t="shared" si="97"/>
        <v>West SussexShort-term residential/nursing care for someone likely to require a longer-term care home placement (pathway 3)</v>
      </c>
      <c r="D2071" t="str">
        <f>VLOOKUP(G2071,PathwayLookup!A:B,2,0)</f>
        <v>Short-term residential/nursing care for someone likely to require a longer-term care home placement (pathway 3)</v>
      </c>
      <c r="E2071" t="s">
        <v>347</v>
      </c>
      <c r="F2071" t="s">
        <v>604</v>
      </c>
      <c r="G2071" t="s">
        <v>686</v>
      </c>
      <c r="H2071">
        <v>26</v>
      </c>
      <c r="I2071">
        <v>26</v>
      </c>
      <c r="J2071">
        <v>26</v>
      </c>
      <c r="K2071">
        <v>26</v>
      </c>
      <c r="L2071">
        <v>26</v>
      </c>
      <c r="M2071">
        <v>26</v>
      </c>
      <c r="N2071">
        <v>26</v>
      </c>
      <c r="O2071">
        <v>26</v>
      </c>
      <c r="P2071">
        <v>26</v>
      </c>
      <c r="Q2071">
        <v>26</v>
      </c>
      <c r="R2071">
        <v>25</v>
      </c>
      <c r="S2071">
        <v>26</v>
      </c>
      <c r="T2071">
        <f t="shared" si="98"/>
        <v>311</v>
      </c>
      <c r="U2071">
        <v>1</v>
      </c>
    </row>
    <row r="2072" spans="1:21" x14ac:dyDescent="0.3">
      <c r="A2072" t="str">
        <f t="shared" si="96"/>
        <v>West SussexShort-term residential/nursing care for someone likely to require a longer-term care home placement (pathway 3)3</v>
      </c>
      <c r="B2072">
        <f>IF(C2072="","",COUNTIF($C$2:C2072,C2072))</f>
        <v>3</v>
      </c>
      <c r="C2072" t="str">
        <f t="shared" si="97"/>
        <v>West SussexShort-term residential/nursing care for someone likely to require a longer-term care home placement (pathway 3)</v>
      </c>
      <c r="D2072" t="str">
        <f>VLOOKUP(G2072,PathwayLookup!A:B,2,0)</f>
        <v>Short-term residential/nursing care for someone likely to require a longer-term care home placement (pathway 3)</v>
      </c>
      <c r="E2072" t="s">
        <v>347</v>
      </c>
      <c r="F2072" t="s">
        <v>637</v>
      </c>
      <c r="G2072" t="s">
        <v>686</v>
      </c>
      <c r="H2072">
        <v>83</v>
      </c>
      <c r="I2072">
        <v>85</v>
      </c>
      <c r="J2072">
        <v>83</v>
      </c>
      <c r="K2072">
        <v>85</v>
      </c>
      <c r="L2072">
        <v>85</v>
      </c>
      <c r="M2072">
        <v>83</v>
      </c>
      <c r="N2072">
        <v>85</v>
      </c>
      <c r="O2072">
        <v>83</v>
      </c>
      <c r="P2072">
        <v>85</v>
      </c>
      <c r="Q2072">
        <v>85</v>
      </c>
      <c r="R2072">
        <v>80</v>
      </c>
      <c r="S2072">
        <v>85</v>
      </c>
      <c r="T2072">
        <f t="shared" si="98"/>
        <v>1007</v>
      </c>
      <c r="U2072">
        <v>1</v>
      </c>
    </row>
    <row r="2073" spans="1:21" x14ac:dyDescent="0.3">
      <c r="A2073" t="str">
        <f t="shared" si="96"/>
        <v>WestminsterSocial support (including VCS) (pathway 0)1</v>
      </c>
      <c r="B2073">
        <f>IF(C2073="","",COUNTIF($C$2:C2073,C2073))</f>
        <v>1</v>
      </c>
      <c r="C2073" t="str">
        <f t="shared" si="97"/>
        <v>WestminsterSocial support (including VCS) (pathway 0)</v>
      </c>
      <c r="D2073" t="str">
        <f>VLOOKUP(G2073,PathwayLookup!A:B,2,0)</f>
        <v>Social support (including VCS) (pathway 0)</v>
      </c>
      <c r="E2073" t="s">
        <v>349</v>
      </c>
      <c r="F2073" t="s">
        <v>476</v>
      </c>
      <c r="G2073" t="s">
        <v>682</v>
      </c>
      <c r="H2073">
        <v>194</v>
      </c>
      <c r="I2073">
        <v>193</v>
      </c>
      <c r="J2073">
        <v>189</v>
      </c>
      <c r="K2073">
        <v>210</v>
      </c>
      <c r="L2073">
        <v>210</v>
      </c>
      <c r="M2073">
        <v>235</v>
      </c>
      <c r="N2073">
        <v>254</v>
      </c>
      <c r="O2073">
        <v>231</v>
      </c>
      <c r="P2073">
        <v>234</v>
      </c>
      <c r="Q2073">
        <v>207</v>
      </c>
      <c r="R2073">
        <v>227</v>
      </c>
      <c r="S2073">
        <v>306</v>
      </c>
      <c r="T2073">
        <f t="shared" si="98"/>
        <v>2690</v>
      </c>
      <c r="U2073">
        <v>1</v>
      </c>
    </row>
    <row r="2074" spans="1:21" x14ac:dyDescent="0.3">
      <c r="A2074" t="str">
        <f t="shared" si="96"/>
        <v>WestminsterSocial support (including VCS) (pathway 0)2</v>
      </c>
      <c r="B2074">
        <f>IF(C2074="","",COUNTIF($C$2:C2074,C2074))</f>
        <v>2</v>
      </c>
      <c r="C2074" t="str">
        <f t="shared" si="97"/>
        <v>WestminsterSocial support (including VCS) (pathway 0)</v>
      </c>
      <c r="D2074" t="str">
        <f>VLOOKUP(G2074,PathwayLookup!A:B,2,0)</f>
        <v>Social support (including VCS) (pathway 0)</v>
      </c>
      <c r="E2074" t="s">
        <v>349</v>
      </c>
      <c r="F2074" t="s">
        <v>520</v>
      </c>
      <c r="G2074" t="s">
        <v>682</v>
      </c>
      <c r="H2074">
        <v>445</v>
      </c>
      <c r="I2074">
        <v>469</v>
      </c>
      <c r="J2074">
        <v>478</v>
      </c>
      <c r="K2074">
        <v>450</v>
      </c>
      <c r="L2074">
        <v>438</v>
      </c>
      <c r="M2074">
        <v>459</v>
      </c>
      <c r="N2074">
        <v>478</v>
      </c>
      <c r="O2074">
        <v>522</v>
      </c>
      <c r="P2074">
        <v>427</v>
      </c>
      <c r="Q2074">
        <v>445</v>
      </c>
      <c r="R2074">
        <v>440</v>
      </c>
      <c r="S2074">
        <v>511</v>
      </c>
      <c r="T2074">
        <f t="shared" si="98"/>
        <v>5562</v>
      </c>
      <c r="U2074">
        <v>1</v>
      </c>
    </row>
    <row r="2075" spans="1:21" x14ac:dyDescent="0.3">
      <c r="A2075" t="str">
        <f t="shared" si="96"/>
        <v>WestminsterSocial support (including VCS) (pathway 0)3</v>
      </c>
      <c r="B2075">
        <f>IF(C2075="","",COUNTIF($C$2:C2075,C2075))</f>
        <v>3</v>
      </c>
      <c r="C2075" t="str">
        <f t="shared" si="97"/>
        <v>WestminsterSocial support (including VCS) (pathway 0)</v>
      </c>
      <c r="D2075" t="str">
        <f>VLOOKUP(G2075,PathwayLookup!A:B,2,0)</f>
        <v>Social support (including VCS) (pathway 0)</v>
      </c>
      <c r="E2075" t="s">
        <v>349</v>
      </c>
      <c r="F2075" t="s">
        <v>540</v>
      </c>
      <c r="G2075" t="s">
        <v>682</v>
      </c>
      <c r="H2075">
        <v>13</v>
      </c>
      <c r="I2075">
        <v>15</v>
      </c>
      <c r="J2075">
        <v>22</v>
      </c>
      <c r="K2075">
        <v>14</v>
      </c>
      <c r="L2075">
        <v>14</v>
      </c>
      <c r="M2075">
        <v>17</v>
      </c>
      <c r="N2075">
        <v>13</v>
      </c>
      <c r="O2075">
        <v>20</v>
      </c>
      <c r="P2075">
        <v>10</v>
      </c>
      <c r="Q2075">
        <v>14</v>
      </c>
      <c r="R2075">
        <v>13</v>
      </c>
      <c r="S2075">
        <v>14</v>
      </c>
      <c r="T2075">
        <f t="shared" si="98"/>
        <v>179</v>
      </c>
      <c r="U2075">
        <v>1</v>
      </c>
    </row>
    <row r="2076" spans="1:21" x14ac:dyDescent="0.3">
      <c r="A2076" t="str">
        <f t="shared" si="96"/>
        <v>WestminsterSocial support (including VCS) (pathway 0)4</v>
      </c>
      <c r="B2076">
        <f>IF(C2076="","",COUNTIF($C$2:C2076,C2076))</f>
        <v>4</v>
      </c>
      <c r="C2076" t="str">
        <f t="shared" si="97"/>
        <v>WestminsterSocial support (including VCS) (pathway 0)</v>
      </c>
      <c r="D2076" t="str">
        <f>VLOOKUP(G2076,PathwayLookup!A:B,2,0)</f>
        <v>Social support (including VCS) (pathway 0)</v>
      </c>
      <c r="E2076" t="s">
        <v>349</v>
      </c>
      <c r="F2076" t="s">
        <v>613</v>
      </c>
      <c r="G2076" t="s">
        <v>682</v>
      </c>
      <c r="H2076">
        <v>3</v>
      </c>
      <c r="I2076">
        <v>1</v>
      </c>
      <c r="J2076">
        <v>2</v>
      </c>
      <c r="K2076">
        <v>1</v>
      </c>
      <c r="L2076">
        <v>1</v>
      </c>
      <c r="M2076">
        <v>3</v>
      </c>
      <c r="N2076">
        <v>1</v>
      </c>
      <c r="O2076">
        <v>0</v>
      </c>
      <c r="P2076">
        <v>2</v>
      </c>
      <c r="Q2076">
        <v>3</v>
      </c>
      <c r="R2076">
        <v>1</v>
      </c>
      <c r="S2076">
        <v>1</v>
      </c>
      <c r="T2076">
        <f t="shared" si="98"/>
        <v>19</v>
      </c>
      <c r="U2076">
        <v>1</v>
      </c>
    </row>
    <row r="2077" spans="1:21" x14ac:dyDescent="0.3">
      <c r="A2077" t="str">
        <f t="shared" si="96"/>
        <v>WestminsterReablement &amp; Rehabilitation at home  (pathway 1)1</v>
      </c>
      <c r="B2077">
        <f>IF(C2077="","",COUNTIF($C$2:C2077,C2077))</f>
        <v>1</v>
      </c>
      <c r="C2077" t="str">
        <f t="shared" si="97"/>
        <v>WestminsterReablement at home  (pathway 1)</v>
      </c>
      <c r="D2077" t="str">
        <f>VLOOKUP(G2077,PathwayLookup!A:B,2,0)</f>
        <v>Reablement &amp; Rehabilitation at home  (pathway 1)</v>
      </c>
      <c r="E2077" t="s">
        <v>349</v>
      </c>
      <c r="F2077" t="s">
        <v>476</v>
      </c>
      <c r="G2077" t="s">
        <v>718</v>
      </c>
      <c r="H2077">
        <v>10</v>
      </c>
      <c r="I2077">
        <v>9</v>
      </c>
      <c r="J2077">
        <v>9</v>
      </c>
      <c r="K2077">
        <v>10</v>
      </c>
      <c r="L2077">
        <v>10</v>
      </c>
      <c r="M2077">
        <v>12</v>
      </c>
      <c r="N2077">
        <v>12</v>
      </c>
      <c r="O2077">
        <v>11</v>
      </c>
      <c r="P2077">
        <v>11</v>
      </c>
      <c r="Q2077">
        <v>10</v>
      </c>
      <c r="R2077">
        <v>11</v>
      </c>
      <c r="S2077">
        <v>15</v>
      </c>
      <c r="T2077">
        <f t="shared" si="98"/>
        <v>130</v>
      </c>
      <c r="U2077">
        <v>1</v>
      </c>
    </row>
    <row r="2078" spans="1:21" x14ac:dyDescent="0.3">
      <c r="A2078" t="str">
        <f t="shared" si="96"/>
        <v>WestminsterReablement &amp; Rehabilitation at home  (pathway 1)2</v>
      </c>
      <c r="B2078">
        <f>IF(C2078="","",COUNTIF($C$2:C2078,C2078))</f>
        <v>2</v>
      </c>
      <c r="C2078" t="str">
        <f t="shared" si="97"/>
        <v>WestminsterReablement at home  (pathway 1)</v>
      </c>
      <c r="D2078" t="str">
        <f>VLOOKUP(G2078,PathwayLookup!A:B,2,0)</f>
        <v>Reablement &amp; Rehabilitation at home  (pathway 1)</v>
      </c>
      <c r="E2078" t="s">
        <v>349</v>
      </c>
      <c r="F2078" t="s">
        <v>520</v>
      </c>
      <c r="G2078" t="s">
        <v>718</v>
      </c>
      <c r="H2078">
        <v>22</v>
      </c>
      <c r="I2078">
        <v>23</v>
      </c>
      <c r="J2078">
        <v>23</v>
      </c>
      <c r="K2078">
        <v>22</v>
      </c>
      <c r="L2078">
        <v>21</v>
      </c>
      <c r="M2078">
        <v>22</v>
      </c>
      <c r="N2078">
        <v>23</v>
      </c>
      <c r="O2078">
        <v>26</v>
      </c>
      <c r="P2078">
        <v>21</v>
      </c>
      <c r="Q2078">
        <v>22</v>
      </c>
      <c r="R2078">
        <v>22</v>
      </c>
      <c r="S2078">
        <v>25</v>
      </c>
      <c r="T2078">
        <f t="shared" si="98"/>
        <v>272</v>
      </c>
      <c r="U2078">
        <v>1</v>
      </c>
    </row>
    <row r="2079" spans="1:21" x14ac:dyDescent="0.3">
      <c r="A2079" t="str">
        <f t="shared" si="96"/>
        <v>WestminsterReablement &amp; Rehabilitation at home  (pathway 1)3</v>
      </c>
      <c r="B2079">
        <f>IF(C2079="","",COUNTIF($C$2:C2079,C2079))</f>
        <v>3</v>
      </c>
      <c r="C2079" t="str">
        <f t="shared" si="97"/>
        <v>WestminsterReablement at home  (pathway 1)</v>
      </c>
      <c r="D2079" t="str">
        <f>VLOOKUP(G2079,PathwayLookup!A:B,2,0)</f>
        <v>Reablement &amp; Rehabilitation at home  (pathway 1)</v>
      </c>
      <c r="E2079" t="s">
        <v>349</v>
      </c>
      <c r="F2079" t="s">
        <v>540</v>
      </c>
      <c r="G2079" t="s">
        <v>718</v>
      </c>
      <c r="H2079">
        <v>1</v>
      </c>
      <c r="I2079">
        <v>1</v>
      </c>
      <c r="J2079">
        <v>1</v>
      </c>
      <c r="K2079">
        <v>1</v>
      </c>
      <c r="L2079">
        <v>1</v>
      </c>
      <c r="M2079">
        <v>1</v>
      </c>
      <c r="N2079">
        <v>1</v>
      </c>
      <c r="O2079">
        <v>1</v>
      </c>
      <c r="P2079">
        <v>1</v>
      </c>
      <c r="Q2079">
        <v>1</v>
      </c>
      <c r="R2079">
        <v>1</v>
      </c>
      <c r="S2079">
        <v>1</v>
      </c>
      <c r="T2079">
        <f t="shared" si="98"/>
        <v>12</v>
      </c>
      <c r="U2079">
        <v>1</v>
      </c>
    </row>
    <row r="2080" spans="1:21" x14ac:dyDescent="0.3">
      <c r="A2080" t="str">
        <f t="shared" si="96"/>
        <v/>
      </c>
      <c r="B2080" t="str">
        <f>IF(C2080="","",COUNTIF($C$2:C2080,C2080))</f>
        <v/>
      </c>
      <c r="C2080" t="str">
        <f t="shared" si="97"/>
        <v/>
      </c>
      <c r="D2080" t="str">
        <f>VLOOKUP(G2080,PathwayLookup!A:B,2,0)</f>
        <v>Reablement &amp; Rehabilitation at home  (pathway 1)</v>
      </c>
      <c r="E2080" t="s">
        <v>349</v>
      </c>
      <c r="F2080" t="s">
        <v>613</v>
      </c>
      <c r="G2080" t="s">
        <v>718</v>
      </c>
      <c r="H2080">
        <v>0</v>
      </c>
      <c r="I2080">
        <v>0</v>
      </c>
      <c r="J2080">
        <v>0</v>
      </c>
      <c r="K2080">
        <v>0</v>
      </c>
      <c r="L2080">
        <v>0</v>
      </c>
      <c r="M2080">
        <v>0</v>
      </c>
      <c r="N2080">
        <v>0</v>
      </c>
      <c r="O2080">
        <v>0</v>
      </c>
      <c r="P2080">
        <v>0</v>
      </c>
      <c r="Q2080">
        <v>0</v>
      </c>
      <c r="R2080">
        <v>0</v>
      </c>
      <c r="S2080">
        <v>0</v>
      </c>
      <c r="T2080">
        <f t="shared" si="98"/>
        <v>0</v>
      </c>
      <c r="U2080">
        <v>1</v>
      </c>
    </row>
    <row r="2081" spans="1:21" x14ac:dyDescent="0.3">
      <c r="A2081" t="str">
        <f t="shared" si="96"/>
        <v>WestminsterReablement &amp; Rehabilitation at home  (pathway 1)1</v>
      </c>
      <c r="B2081">
        <f>IF(C2081="","",COUNTIF($C$2:C2081,C2081))</f>
        <v>1</v>
      </c>
      <c r="C2081" t="str">
        <f t="shared" si="97"/>
        <v>WestminsterRehabilitation at home (pathway 1)</v>
      </c>
      <c r="D2081" t="str">
        <f>VLOOKUP(G2081,PathwayLookup!A:B,2,0)</f>
        <v>Reablement &amp; Rehabilitation at home  (pathway 1)</v>
      </c>
      <c r="E2081" t="s">
        <v>349</v>
      </c>
      <c r="F2081" t="s">
        <v>476</v>
      </c>
      <c r="G2081" t="s">
        <v>719</v>
      </c>
      <c r="H2081">
        <v>10</v>
      </c>
      <c r="I2081">
        <v>9</v>
      </c>
      <c r="J2081">
        <v>9</v>
      </c>
      <c r="K2081">
        <v>10</v>
      </c>
      <c r="L2081">
        <v>10</v>
      </c>
      <c r="M2081">
        <v>12</v>
      </c>
      <c r="N2081">
        <v>12</v>
      </c>
      <c r="O2081">
        <v>11</v>
      </c>
      <c r="P2081">
        <v>11</v>
      </c>
      <c r="Q2081">
        <v>10</v>
      </c>
      <c r="R2081">
        <v>11</v>
      </c>
      <c r="S2081">
        <v>15</v>
      </c>
      <c r="T2081">
        <f t="shared" si="98"/>
        <v>130</v>
      </c>
      <c r="U2081">
        <v>1</v>
      </c>
    </row>
    <row r="2082" spans="1:21" x14ac:dyDescent="0.3">
      <c r="A2082" t="str">
        <f t="shared" si="96"/>
        <v>WestminsterReablement &amp; Rehabilitation at home  (pathway 1)2</v>
      </c>
      <c r="B2082">
        <f>IF(C2082="","",COUNTIF($C$2:C2082,C2082))</f>
        <v>2</v>
      </c>
      <c r="C2082" t="str">
        <f t="shared" si="97"/>
        <v>WestminsterRehabilitation at home (pathway 1)</v>
      </c>
      <c r="D2082" t="str">
        <f>VLOOKUP(G2082,PathwayLookup!A:B,2,0)</f>
        <v>Reablement &amp; Rehabilitation at home  (pathway 1)</v>
      </c>
      <c r="E2082" t="s">
        <v>349</v>
      </c>
      <c r="F2082" t="s">
        <v>520</v>
      </c>
      <c r="G2082" t="s">
        <v>719</v>
      </c>
      <c r="H2082">
        <v>22</v>
      </c>
      <c r="I2082">
        <v>23</v>
      </c>
      <c r="J2082">
        <v>23</v>
      </c>
      <c r="K2082">
        <v>22</v>
      </c>
      <c r="L2082">
        <v>21</v>
      </c>
      <c r="M2082">
        <v>22</v>
      </c>
      <c r="N2082">
        <v>23</v>
      </c>
      <c r="O2082">
        <v>26</v>
      </c>
      <c r="P2082">
        <v>21</v>
      </c>
      <c r="Q2082">
        <v>22</v>
      </c>
      <c r="R2082">
        <v>22</v>
      </c>
      <c r="S2082">
        <v>25</v>
      </c>
      <c r="T2082">
        <f t="shared" si="98"/>
        <v>272</v>
      </c>
      <c r="U2082">
        <v>1</v>
      </c>
    </row>
    <row r="2083" spans="1:21" x14ac:dyDescent="0.3">
      <c r="A2083" t="str">
        <f t="shared" si="96"/>
        <v>WestminsterReablement &amp; Rehabilitation at home  (pathway 1)3</v>
      </c>
      <c r="B2083">
        <f>IF(C2083="","",COUNTIF($C$2:C2083,C2083))</f>
        <v>3</v>
      </c>
      <c r="C2083" t="str">
        <f t="shared" si="97"/>
        <v>WestminsterRehabilitation at home (pathway 1)</v>
      </c>
      <c r="D2083" t="str">
        <f>VLOOKUP(G2083,PathwayLookup!A:B,2,0)</f>
        <v>Reablement &amp; Rehabilitation at home  (pathway 1)</v>
      </c>
      <c r="E2083" t="s">
        <v>349</v>
      </c>
      <c r="F2083" t="s">
        <v>540</v>
      </c>
      <c r="G2083" t="s">
        <v>719</v>
      </c>
      <c r="H2083">
        <v>1</v>
      </c>
      <c r="I2083">
        <v>1</v>
      </c>
      <c r="J2083">
        <v>1</v>
      </c>
      <c r="K2083">
        <v>1</v>
      </c>
      <c r="L2083">
        <v>1</v>
      </c>
      <c r="M2083">
        <v>1</v>
      </c>
      <c r="N2083">
        <v>1</v>
      </c>
      <c r="O2083">
        <v>1</v>
      </c>
      <c r="P2083">
        <v>1</v>
      </c>
      <c r="Q2083">
        <v>1</v>
      </c>
      <c r="R2083">
        <v>1</v>
      </c>
      <c r="S2083">
        <v>1</v>
      </c>
      <c r="T2083">
        <f t="shared" si="98"/>
        <v>12</v>
      </c>
      <c r="U2083">
        <v>1</v>
      </c>
    </row>
    <row r="2084" spans="1:21" x14ac:dyDescent="0.3">
      <c r="A2084" t="str">
        <f t="shared" si="96"/>
        <v/>
      </c>
      <c r="B2084" t="str">
        <f>IF(C2084="","",COUNTIF($C$2:C2084,C2084))</f>
        <v/>
      </c>
      <c r="C2084" t="str">
        <f t="shared" si="97"/>
        <v/>
      </c>
      <c r="D2084" t="str">
        <f>VLOOKUP(G2084,PathwayLookup!A:B,2,0)</f>
        <v>Reablement &amp; Rehabilitation at home  (pathway 1)</v>
      </c>
      <c r="E2084" t="s">
        <v>349</v>
      </c>
      <c r="F2084" t="s">
        <v>613</v>
      </c>
      <c r="G2084" t="s">
        <v>719</v>
      </c>
      <c r="H2084">
        <v>0</v>
      </c>
      <c r="I2084">
        <v>0</v>
      </c>
      <c r="J2084">
        <v>0</v>
      </c>
      <c r="K2084">
        <v>0</v>
      </c>
      <c r="L2084">
        <v>0</v>
      </c>
      <c r="M2084">
        <v>0</v>
      </c>
      <c r="N2084">
        <v>0</v>
      </c>
      <c r="O2084">
        <v>0</v>
      </c>
      <c r="P2084">
        <v>0</v>
      </c>
      <c r="Q2084">
        <v>0</v>
      </c>
      <c r="R2084">
        <v>0</v>
      </c>
      <c r="S2084">
        <v>0</v>
      </c>
      <c r="T2084">
        <f t="shared" si="98"/>
        <v>0</v>
      </c>
      <c r="U2084">
        <v>1</v>
      </c>
    </row>
    <row r="2085" spans="1:21" x14ac:dyDescent="0.3">
      <c r="A2085" t="str">
        <f t="shared" si="96"/>
        <v>WestminsterShort term domiciliary care (pathway 1)1</v>
      </c>
      <c r="B2085">
        <f>IF(C2085="","",COUNTIF($C$2:C2085,C2085))</f>
        <v>1</v>
      </c>
      <c r="C2085" t="str">
        <f t="shared" si="97"/>
        <v>WestminsterShort term domiciliary care (pathway 1)</v>
      </c>
      <c r="D2085" t="str">
        <f>VLOOKUP(G2085,PathwayLookup!A:B,2,0)</f>
        <v>Short term domiciliary care (pathway 1)</v>
      </c>
      <c r="E2085" t="s">
        <v>349</v>
      </c>
      <c r="F2085" t="s">
        <v>476</v>
      </c>
      <c r="G2085" t="s">
        <v>684</v>
      </c>
      <c r="H2085">
        <v>10</v>
      </c>
      <c r="I2085">
        <v>9</v>
      </c>
      <c r="J2085">
        <v>9</v>
      </c>
      <c r="K2085">
        <v>10</v>
      </c>
      <c r="L2085">
        <v>10</v>
      </c>
      <c r="M2085">
        <v>12</v>
      </c>
      <c r="N2085">
        <v>12</v>
      </c>
      <c r="O2085">
        <v>11</v>
      </c>
      <c r="P2085">
        <v>11</v>
      </c>
      <c r="Q2085">
        <v>10</v>
      </c>
      <c r="R2085">
        <v>11</v>
      </c>
      <c r="S2085">
        <v>15</v>
      </c>
      <c r="T2085">
        <f t="shared" si="98"/>
        <v>130</v>
      </c>
      <c r="U2085">
        <v>1</v>
      </c>
    </row>
    <row r="2086" spans="1:21" x14ac:dyDescent="0.3">
      <c r="A2086" t="str">
        <f t="shared" si="96"/>
        <v>WestminsterShort term domiciliary care (pathway 1)2</v>
      </c>
      <c r="B2086">
        <f>IF(C2086="","",COUNTIF($C$2:C2086,C2086))</f>
        <v>2</v>
      </c>
      <c r="C2086" t="str">
        <f t="shared" si="97"/>
        <v>WestminsterShort term domiciliary care (pathway 1)</v>
      </c>
      <c r="D2086" t="str">
        <f>VLOOKUP(G2086,PathwayLookup!A:B,2,0)</f>
        <v>Short term domiciliary care (pathway 1)</v>
      </c>
      <c r="E2086" t="s">
        <v>349</v>
      </c>
      <c r="F2086" t="s">
        <v>520</v>
      </c>
      <c r="G2086" t="s">
        <v>684</v>
      </c>
      <c r="H2086">
        <v>22</v>
      </c>
      <c r="I2086">
        <v>23</v>
      </c>
      <c r="J2086">
        <v>23</v>
      </c>
      <c r="K2086">
        <v>22</v>
      </c>
      <c r="L2086">
        <v>21</v>
      </c>
      <c r="M2086">
        <v>22</v>
      </c>
      <c r="N2086">
        <v>23</v>
      </c>
      <c r="O2086">
        <v>26</v>
      </c>
      <c r="P2086">
        <v>21</v>
      </c>
      <c r="Q2086">
        <v>22</v>
      </c>
      <c r="R2086">
        <v>22</v>
      </c>
      <c r="S2086">
        <v>25</v>
      </c>
      <c r="T2086">
        <f t="shared" si="98"/>
        <v>272</v>
      </c>
      <c r="U2086">
        <v>1</v>
      </c>
    </row>
    <row r="2087" spans="1:21" x14ac:dyDescent="0.3">
      <c r="A2087" t="str">
        <f t="shared" si="96"/>
        <v>WestminsterShort term domiciliary care (pathway 1)3</v>
      </c>
      <c r="B2087">
        <f>IF(C2087="","",COUNTIF($C$2:C2087,C2087))</f>
        <v>3</v>
      </c>
      <c r="C2087" t="str">
        <f t="shared" si="97"/>
        <v>WestminsterShort term domiciliary care (pathway 1)</v>
      </c>
      <c r="D2087" t="str">
        <f>VLOOKUP(G2087,PathwayLookup!A:B,2,0)</f>
        <v>Short term domiciliary care (pathway 1)</v>
      </c>
      <c r="E2087" t="s">
        <v>349</v>
      </c>
      <c r="F2087" t="s">
        <v>540</v>
      </c>
      <c r="G2087" t="s">
        <v>684</v>
      </c>
      <c r="H2087">
        <v>1</v>
      </c>
      <c r="I2087">
        <v>1</v>
      </c>
      <c r="J2087">
        <v>1</v>
      </c>
      <c r="K2087">
        <v>1</v>
      </c>
      <c r="L2087">
        <v>1</v>
      </c>
      <c r="M2087">
        <v>1</v>
      </c>
      <c r="N2087">
        <v>1</v>
      </c>
      <c r="O2087">
        <v>1</v>
      </c>
      <c r="P2087">
        <v>1</v>
      </c>
      <c r="Q2087">
        <v>1</v>
      </c>
      <c r="R2087">
        <v>1</v>
      </c>
      <c r="S2087">
        <v>1</v>
      </c>
      <c r="T2087">
        <f t="shared" si="98"/>
        <v>12</v>
      </c>
      <c r="U2087">
        <v>1</v>
      </c>
    </row>
    <row r="2088" spans="1:21" x14ac:dyDescent="0.3">
      <c r="A2088" t="str">
        <f t="shared" si="96"/>
        <v/>
      </c>
      <c r="B2088" t="str">
        <f>IF(C2088="","",COUNTIF($C$2:C2088,C2088))</f>
        <v/>
      </c>
      <c r="C2088" t="str">
        <f t="shared" si="97"/>
        <v/>
      </c>
      <c r="D2088" t="str">
        <f>VLOOKUP(G2088,PathwayLookup!A:B,2,0)</f>
        <v>Short term domiciliary care (pathway 1)</v>
      </c>
      <c r="E2088" t="s">
        <v>349</v>
      </c>
      <c r="F2088" t="s">
        <v>613</v>
      </c>
      <c r="G2088" t="s">
        <v>684</v>
      </c>
      <c r="H2088">
        <v>0</v>
      </c>
      <c r="I2088">
        <v>0</v>
      </c>
      <c r="J2088">
        <v>0</v>
      </c>
      <c r="K2088">
        <v>0</v>
      </c>
      <c r="L2088">
        <v>0</v>
      </c>
      <c r="M2088">
        <v>0</v>
      </c>
      <c r="N2088">
        <v>0</v>
      </c>
      <c r="O2088">
        <v>0</v>
      </c>
      <c r="P2088">
        <v>0</v>
      </c>
      <c r="Q2088">
        <v>0</v>
      </c>
      <c r="R2088">
        <v>0</v>
      </c>
      <c r="S2088">
        <v>0</v>
      </c>
      <c r="T2088">
        <f t="shared" si="98"/>
        <v>0</v>
      </c>
      <c r="U2088">
        <v>1</v>
      </c>
    </row>
    <row r="2089" spans="1:21" x14ac:dyDescent="0.3">
      <c r="A2089" t="str">
        <f t="shared" si="96"/>
        <v/>
      </c>
      <c r="B2089" t="str">
        <f>IF(C2089="","",COUNTIF($C$2:C2089,C2089))</f>
        <v/>
      </c>
      <c r="C2089" t="str">
        <f t="shared" si="97"/>
        <v/>
      </c>
      <c r="D2089" t="str">
        <f>VLOOKUP(G2089,PathwayLookup!A:B,2,0)</f>
        <v>Reablement &amp; Rehabilitation in a bedded setting (pathway 2)</v>
      </c>
      <c r="E2089" t="s">
        <v>349</v>
      </c>
      <c r="F2089" t="s">
        <v>476</v>
      </c>
      <c r="G2089" t="s">
        <v>722</v>
      </c>
      <c r="H2089">
        <v>0</v>
      </c>
      <c r="I2089">
        <v>0</v>
      </c>
      <c r="J2089">
        <v>0</v>
      </c>
      <c r="K2089">
        <v>0</v>
      </c>
      <c r="L2089">
        <v>0</v>
      </c>
      <c r="M2089">
        <v>0</v>
      </c>
      <c r="N2089">
        <v>0</v>
      </c>
      <c r="O2089">
        <v>0</v>
      </c>
      <c r="P2089">
        <v>0</v>
      </c>
      <c r="Q2089">
        <v>0</v>
      </c>
      <c r="R2089">
        <v>0</v>
      </c>
      <c r="S2089">
        <v>0</v>
      </c>
      <c r="T2089">
        <f t="shared" si="98"/>
        <v>0</v>
      </c>
      <c r="U2089">
        <v>1</v>
      </c>
    </row>
    <row r="2090" spans="1:21" x14ac:dyDescent="0.3">
      <c r="A2090" t="str">
        <f t="shared" si="96"/>
        <v/>
      </c>
      <c r="B2090" t="str">
        <f>IF(C2090="","",COUNTIF($C$2:C2090,C2090))</f>
        <v/>
      </c>
      <c r="C2090" t="str">
        <f t="shared" si="97"/>
        <v/>
      </c>
      <c r="D2090" t="str">
        <f>VLOOKUP(G2090,PathwayLookup!A:B,2,0)</f>
        <v>Reablement &amp; Rehabilitation in a bedded setting (pathway 2)</v>
      </c>
      <c r="E2090" t="s">
        <v>349</v>
      </c>
      <c r="F2090" t="s">
        <v>520</v>
      </c>
      <c r="G2090" t="s">
        <v>722</v>
      </c>
      <c r="H2090">
        <v>0</v>
      </c>
      <c r="I2090">
        <v>0</v>
      </c>
      <c r="J2090">
        <v>0</v>
      </c>
      <c r="K2090">
        <v>0</v>
      </c>
      <c r="L2090">
        <v>0</v>
      </c>
      <c r="M2090">
        <v>0</v>
      </c>
      <c r="N2090">
        <v>0</v>
      </c>
      <c r="O2090">
        <v>0</v>
      </c>
      <c r="P2090">
        <v>0</v>
      </c>
      <c r="Q2090">
        <v>0</v>
      </c>
      <c r="R2090">
        <v>0</v>
      </c>
      <c r="S2090">
        <v>0</v>
      </c>
      <c r="T2090">
        <f t="shared" si="98"/>
        <v>0</v>
      </c>
      <c r="U2090">
        <v>1</v>
      </c>
    </row>
    <row r="2091" spans="1:21" x14ac:dyDescent="0.3">
      <c r="A2091" t="str">
        <f t="shared" si="96"/>
        <v/>
      </c>
      <c r="B2091" t="str">
        <f>IF(C2091="","",COUNTIF($C$2:C2091,C2091))</f>
        <v/>
      </c>
      <c r="C2091" t="str">
        <f t="shared" si="97"/>
        <v/>
      </c>
      <c r="D2091" t="str">
        <f>VLOOKUP(G2091,PathwayLookup!A:B,2,0)</f>
        <v>Reablement &amp; Rehabilitation in a bedded setting (pathway 2)</v>
      </c>
      <c r="E2091" t="s">
        <v>349</v>
      </c>
      <c r="F2091" t="s">
        <v>540</v>
      </c>
      <c r="G2091" t="s">
        <v>722</v>
      </c>
      <c r="H2091">
        <v>0</v>
      </c>
      <c r="I2091">
        <v>0</v>
      </c>
      <c r="J2091">
        <v>0</v>
      </c>
      <c r="K2091">
        <v>0</v>
      </c>
      <c r="L2091">
        <v>0</v>
      </c>
      <c r="M2091">
        <v>0</v>
      </c>
      <c r="N2091">
        <v>0</v>
      </c>
      <c r="O2091">
        <v>0</v>
      </c>
      <c r="P2091">
        <v>0</v>
      </c>
      <c r="Q2091">
        <v>0</v>
      </c>
      <c r="R2091">
        <v>0</v>
      </c>
      <c r="S2091">
        <v>0</v>
      </c>
      <c r="T2091">
        <f t="shared" si="98"/>
        <v>0</v>
      </c>
      <c r="U2091">
        <v>1</v>
      </c>
    </row>
    <row r="2092" spans="1:21" x14ac:dyDescent="0.3">
      <c r="A2092" t="str">
        <f t="shared" si="96"/>
        <v/>
      </c>
      <c r="B2092" t="str">
        <f>IF(C2092="","",COUNTIF($C$2:C2092,C2092))</f>
        <v/>
      </c>
      <c r="C2092" t="str">
        <f t="shared" si="97"/>
        <v/>
      </c>
      <c r="D2092" t="str">
        <f>VLOOKUP(G2092,PathwayLookup!A:B,2,0)</f>
        <v>Reablement &amp; Rehabilitation in a bedded setting (pathway 2)</v>
      </c>
      <c r="E2092" t="s">
        <v>349</v>
      </c>
      <c r="F2092" t="s">
        <v>613</v>
      </c>
      <c r="G2092" t="s">
        <v>722</v>
      </c>
      <c r="H2092">
        <v>0</v>
      </c>
      <c r="I2092">
        <v>0</v>
      </c>
      <c r="J2092">
        <v>0</v>
      </c>
      <c r="K2092">
        <v>0</v>
      </c>
      <c r="L2092">
        <v>0</v>
      </c>
      <c r="M2092">
        <v>0</v>
      </c>
      <c r="N2092">
        <v>0</v>
      </c>
      <c r="O2092">
        <v>0</v>
      </c>
      <c r="P2092">
        <v>0</v>
      </c>
      <c r="Q2092">
        <v>0</v>
      </c>
      <c r="R2092">
        <v>0</v>
      </c>
      <c r="S2092">
        <v>0</v>
      </c>
      <c r="T2092">
        <f t="shared" si="98"/>
        <v>0</v>
      </c>
      <c r="U2092">
        <v>1</v>
      </c>
    </row>
    <row r="2093" spans="1:21" x14ac:dyDescent="0.3">
      <c r="A2093" t="str">
        <f t="shared" si="96"/>
        <v>WestminsterReablement &amp; Rehabilitation in a bedded setting (pathway 2)1</v>
      </c>
      <c r="B2093">
        <f>IF(C2093="","",COUNTIF($C$2:C2093,C2093))</f>
        <v>1</v>
      </c>
      <c r="C2093" t="str">
        <f t="shared" si="97"/>
        <v>WestminsterRehabilitation in a bedded setting (pathway 2)</v>
      </c>
      <c r="D2093" t="str">
        <f>VLOOKUP(G2093,PathwayLookup!A:B,2,0)</f>
        <v>Reablement &amp; Rehabilitation in a bedded setting (pathway 2)</v>
      </c>
      <c r="E2093" t="s">
        <v>349</v>
      </c>
      <c r="F2093" t="s">
        <v>476</v>
      </c>
      <c r="G2093" t="s">
        <v>724</v>
      </c>
      <c r="H2093">
        <v>4</v>
      </c>
      <c r="I2093">
        <v>4</v>
      </c>
      <c r="J2093">
        <v>4</v>
      </c>
      <c r="K2093">
        <v>4</v>
      </c>
      <c r="L2093">
        <v>4</v>
      </c>
      <c r="M2093">
        <v>4</v>
      </c>
      <c r="N2093">
        <v>5</v>
      </c>
      <c r="O2093">
        <v>5</v>
      </c>
      <c r="P2093">
        <v>5</v>
      </c>
      <c r="Q2093">
        <v>4</v>
      </c>
      <c r="R2093">
        <v>5</v>
      </c>
      <c r="S2093">
        <v>6</v>
      </c>
      <c r="T2093">
        <f t="shared" si="98"/>
        <v>54</v>
      </c>
      <c r="U2093">
        <v>1</v>
      </c>
    </row>
    <row r="2094" spans="1:21" x14ac:dyDescent="0.3">
      <c r="A2094" t="str">
        <f t="shared" si="96"/>
        <v/>
      </c>
      <c r="B2094" t="str">
        <f>IF(C2094="","",COUNTIF($C$2:C2094,C2094))</f>
        <v/>
      </c>
      <c r="C2094" t="str">
        <f t="shared" si="97"/>
        <v/>
      </c>
      <c r="D2094" t="str">
        <f>VLOOKUP(G2094,PathwayLookup!A:B,2,0)</f>
        <v>Reablement &amp; Rehabilitation in a bedded setting (pathway 2)</v>
      </c>
      <c r="E2094" t="s">
        <v>349</v>
      </c>
      <c r="F2094" t="s">
        <v>520</v>
      </c>
      <c r="G2094" t="s">
        <v>724</v>
      </c>
      <c r="H2094">
        <v>0</v>
      </c>
      <c r="I2094">
        <v>0</v>
      </c>
      <c r="J2094">
        <v>0</v>
      </c>
      <c r="K2094">
        <v>0</v>
      </c>
      <c r="L2094">
        <v>0</v>
      </c>
      <c r="M2094">
        <v>0</v>
      </c>
      <c r="N2094">
        <v>0</v>
      </c>
      <c r="O2094">
        <v>0</v>
      </c>
      <c r="P2094">
        <v>0</v>
      </c>
      <c r="Q2094">
        <v>0</v>
      </c>
      <c r="R2094">
        <v>0</v>
      </c>
      <c r="S2094">
        <v>0</v>
      </c>
      <c r="T2094">
        <f t="shared" si="98"/>
        <v>0</v>
      </c>
      <c r="U2094">
        <v>1</v>
      </c>
    </row>
    <row r="2095" spans="1:21" x14ac:dyDescent="0.3">
      <c r="A2095" t="str">
        <f t="shared" si="96"/>
        <v/>
      </c>
      <c r="B2095" t="str">
        <f>IF(C2095="","",COUNTIF($C$2:C2095,C2095))</f>
        <v/>
      </c>
      <c r="C2095" t="str">
        <f t="shared" si="97"/>
        <v/>
      </c>
      <c r="D2095" t="str">
        <f>VLOOKUP(G2095,PathwayLookup!A:B,2,0)</f>
        <v>Reablement &amp; Rehabilitation in a bedded setting (pathway 2)</v>
      </c>
      <c r="E2095" t="s">
        <v>349</v>
      </c>
      <c r="F2095" t="s">
        <v>540</v>
      </c>
      <c r="G2095" t="s">
        <v>724</v>
      </c>
      <c r="H2095">
        <v>0</v>
      </c>
      <c r="I2095">
        <v>0</v>
      </c>
      <c r="J2095">
        <v>0</v>
      </c>
      <c r="K2095">
        <v>0</v>
      </c>
      <c r="L2095">
        <v>0</v>
      </c>
      <c r="M2095">
        <v>0</v>
      </c>
      <c r="N2095">
        <v>0</v>
      </c>
      <c r="O2095">
        <v>0</v>
      </c>
      <c r="P2095">
        <v>0</v>
      </c>
      <c r="Q2095">
        <v>0</v>
      </c>
      <c r="R2095">
        <v>0</v>
      </c>
      <c r="S2095">
        <v>0</v>
      </c>
      <c r="T2095">
        <f t="shared" si="98"/>
        <v>0</v>
      </c>
      <c r="U2095">
        <v>1</v>
      </c>
    </row>
    <row r="2096" spans="1:21" x14ac:dyDescent="0.3">
      <c r="A2096" t="str">
        <f t="shared" si="96"/>
        <v/>
      </c>
      <c r="B2096" t="str">
        <f>IF(C2096="","",COUNTIF($C$2:C2096,C2096))</f>
        <v/>
      </c>
      <c r="C2096" t="str">
        <f t="shared" si="97"/>
        <v/>
      </c>
      <c r="D2096" t="str">
        <f>VLOOKUP(G2096,PathwayLookup!A:B,2,0)</f>
        <v>Reablement &amp; Rehabilitation in a bedded setting (pathway 2)</v>
      </c>
      <c r="E2096" t="s">
        <v>349</v>
      </c>
      <c r="F2096" t="s">
        <v>613</v>
      </c>
      <c r="G2096" t="s">
        <v>724</v>
      </c>
      <c r="H2096">
        <v>0</v>
      </c>
      <c r="I2096">
        <v>0</v>
      </c>
      <c r="J2096">
        <v>0</v>
      </c>
      <c r="K2096">
        <v>0</v>
      </c>
      <c r="L2096">
        <v>0</v>
      </c>
      <c r="M2096">
        <v>0</v>
      </c>
      <c r="N2096">
        <v>0</v>
      </c>
      <c r="O2096">
        <v>0</v>
      </c>
      <c r="P2096">
        <v>0</v>
      </c>
      <c r="Q2096">
        <v>0</v>
      </c>
      <c r="R2096">
        <v>0</v>
      </c>
      <c r="S2096">
        <v>0</v>
      </c>
      <c r="T2096">
        <f t="shared" si="98"/>
        <v>0</v>
      </c>
      <c r="U2096">
        <v>1</v>
      </c>
    </row>
    <row r="2097" spans="1:21" x14ac:dyDescent="0.3">
      <c r="A2097" t="str">
        <f t="shared" si="96"/>
        <v/>
      </c>
      <c r="B2097" t="str">
        <f>IF(C2097="","",COUNTIF($C$2:C2097,C2097))</f>
        <v/>
      </c>
      <c r="C2097" t="str">
        <f t="shared" si="97"/>
        <v/>
      </c>
      <c r="D2097" t="str">
        <f>VLOOKUP(G2097,PathwayLookup!A:B,2,0)</f>
        <v>Short-term residential/nursing care for someone likely to require a longer-term care home placement (pathway 3)</v>
      </c>
      <c r="E2097" t="s">
        <v>349</v>
      </c>
      <c r="F2097" t="s">
        <v>476</v>
      </c>
      <c r="G2097" t="s">
        <v>686</v>
      </c>
      <c r="H2097">
        <v>0</v>
      </c>
      <c r="I2097">
        <v>0</v>
      </c>
      <c r="J2097">
        <v>0</v>
      </c>
      <c r="K2097">
        <v>0</v>
      </c>
      <c r="L2097">
        <v>0</v>
      </c>
      <c r="M2097">
        <v>0</v>
      </c>
      <c r="N2097">
        <v>0</v>
      </c>
      <c r="O2097">
        <v>0</v>
      </c>
      <c r="P2097">
        <v>0</v>
      </c>
      <c r="Q2097">
        <v>0</v>
      </c>
      <c r="R2097">
        <v>0</v>
      </c>
      <c r="S2097">
        <v>0</v>
      </c>
      <c r="T2097">
        <f t="shared" si="98"/>
        <v>0</v>
      </c>
      <c r="U2097">
        <v>1</v>
      </c>
    </row>
    <row r="2098" spans="1:21" x14ac:dyDescent="0.3">
      <c r="A2098" t="str">
        <f t="shared" si="96"/>
        <v/>
      </c>
      <c r="B2098" t="str">
        <f>IF(C2098="","",COUNTIF($C$2:C2098,C2098))</f>
        <v/>
      </c>
      <c r="C2098" t="str">
        <f t="shared" si="97"/>
        <v/>
      </c>
      <c r="D2098" t="str">
        <f>VLOOKUP(G2098,PathwayLookup!A:B,2,0)</f>
        <v>Short-term residential/nursing care for someone likely to require a longer-term care home placement (pathway 3)</v>
      </c>
      <c r="E2098" t="s">
        <v>349</v>
      </c>
      <c r="F2098" t="s">
        <v>520</v>
      </c>
      <c r="G2098" t="s">
        <v>686</v>
      </c>
      <c r="H2098">
        <v>0</v>
      </c>
      <c r="I2098">
        <v>0</v>
      </c>
      <c r="J2098">
        <v>0</v>
      </c>
      <c r="K2098">
        <v>0</v>
      </c>
      <c r="L2098">
        <v>0</v>
      </c>
      <c r="M2098">
        <v>0</v>
      </c>
      <c r="N2098">
        <v>0</v>
      </c>
      <c r="O2098">
        <v>0</v>
      </c>
      <c r="P2098">
        <v>0</v>
      </c>
      <c r="Q2098">
        <v>0</v>
      </c>
      <c r="R2098">
        <v>0</v>
      </c>
      <c r="S2098">
        <v>0</v>
      </c>
      <c r="T2098">
        <f t="shared" si="98"/>
        <v>0</v>
      </c>
      <c r="U2098">
        <v>1</v>
      </c>
    </row>
    <row r="2099" spans="1:21" x14ac:dyDescent="0.3">
      <c r="A2099" t="str">
        <f t="shared" si="96"/>
        <v>WestminsterShort-term residential/nursing care for someone likely to require a longer-term care home placement (pathway 3)1</v>
      </c>
      <c r="B2099">
        <f>IF(C2099="","",COUNTIF($C$2:C2099,C2099))</f>
        <v>1</v>
      </c>
      <c r="C2099" t="str">
        <f t="shared" si="97"/>
        <v>WestminsterShort-term residential/nursing care for someone likely to require a longer-term care home placement (pathway 3)</v>
      </c>
      <c r="D2099" t="str">
        <f>VLOOKUP(G2099,PathwayLookup!A:B,2,0)</f>
        <v>Short-term residential/nursing care for someone likely to require a longer-term care home placement (pathway 3)</v>
      </c>
      <c r="E2099" t="s">
        <v>349</v>
      </c>
      <c r="F2099" t="s">
        <v>540</v>
      </c>
      <c r="G2099" t="s">
        <v>686</v>
      </c>
      <c r="H2099">
        <v>0</v>
      </c>
      <c r="I2099">
        <v>0</v>
      </c>
      <c r="J2099">
        <v>1</v>
      </c>
      <c r="K2099">
        <v>0</v>
      </c>
      <c r="L2099">
        <v>0</v>
      </c>
      <c r="M2099">
        <v>1</v>
      </c>
      <c r="N2099">
        <v>0</v>
      </c>
      <c r="O2099">
        <v>1</v>
      </c>
      <c r="P2099">
        <v>0</v>
      </c>
      <c r="Q2099">
        <v>0</v>
      </c>
      <c r="R2099">
        <v>0</v>
      </c>
      <c r="S2099">
        <v>0</v>
      </c>
      <c r="T2099">
        <f t="shared" si="98"/>
        <v>3</v>
      </c>
      <c r="U2099">
        <v>1</v>
      </c>
    </row>
    <row r="2100" spans="1:21" x14ac:dyDescent="0.3">
      <c r="A2100" t="str">
        <f t="shared" si="96"/>
        <v/>
      </c>
      <c r="B2100" t="str">
        <f>IF(C2100="","",COUNTIF($C$2:C2100,C2100))</f>
        <v/>
      </c>
      <c r="C2100" t="str">
        <f t="shared" si="97"/>
        <v/>
      </c>
      <c r="D2100" t="str">
        <f>VLOOKUP(G2100,PathwayLookup!A:B,2,0)</f>
        <v>Short-term residential/nursing care for someone likely to require a longer-term care home placement (pathway 3)</v>
      </c>
      <c r="E2100" t="s">
        <v>349</v>
      </c>
      <c r="F2100" t="s">
        <v>613</v>
      </c>
      <c r="G2100" t="s">
        <v>686</v>
      </c>
      <c r="H2100">
        <v>0</v>
      </c>
      <c r="I2100">
        <v>0</v>
      </c>
      <c r="J2100">
        <v>0</v>
      </c>
      <c r="K2100">
        <v>0</v>
      </c>
      <c r="L2100">
        <v>0</v>
      </c>
      <c r="M2100">
        <v>0</v>
      </c>
      <c r="N2100">
        <v>0</v>
      </c>
      <c r="O2100">
        <v>0</v>
      </c>
      <c r="P2100">
        <v>0</v>
      </c>
      <c r="Q2100">
        <v>0</v>
      </c>
      <c r="R2100">
        <v>0</v>
      </c>
      <c r="S2100">
        <v>0</v>
      </c>
      <c r="T2100">
        <f t="shared" si="98"/>
        <v>0</v>
      </c>
      <c r="U2100">
        <v>1</v>
      </c>
    </row>
    <row r="2101" spans="1:21" x14ac:dyDescent="0.3">
      <c r="A2101" t="str">
        <f t="shared" si="96"/>
        <v>Westmorland and FurnessSocial support (including VCS) (pathway 0)1</v>
      </c>
      <c r="B2101">
        <f>IF(C2101="","",COUNTIF($C$2:C2101,C2101))</f>
        <v>1</v>
      </c>
      <c r="C2101" t="str">
        <f t="shared" si="97"/>
        <v>Westmorland and FurnessSocial support (including VCS) (pathway 0)</v>
      </c>
      <c r="D2101" t="str">
        <f>VLOOKUP(G2101,PathwayLookup!A:B,2,0)</f>
        <v>Social support (including VCS) (pathway 0)</v>
      </c>
      <c r="E2101" t="s">
        <v>351</v>
      </c>
      <c r="F2101" t="s">
        <v>555</v>
      </c>
      <c r="G2101" t="s">
        <v>682</v>
      </c>
      <c r="H2101">
        <v>31</v>
      </c>
      <c r="I2101">
        <v>28</v>
      </c>
      <c r="J2101">
        <v>26</v>
      </c>
      <c r="K2101">
        <v>27</v>
      </c>
      <c r="L2101">
        <v>24</v>
      </c>
      <c r="M2101">
        <v>24</v>
      </c>
      <c r="N2101">
        <v>26</v>
      </c>
      <c r="O2101">
        <v>26</v>
      </c>
      <c r="P2101">
        <v>27</v>
      </c>
      <c r="Q2101">
        <v>26</v>
      </c>
      <c r="R2101">
        <v>25</v>
      </c>
      <c r="S2101">
        <v>25</v>
      </c>
      <c r="T2101">
        <f t="shared" si="98"/>
        <v>315</v>
      </c>
      <c r="U2101">
        <v>1</v>
      </c>
    </row>
    <row r="2102" spans="1:21" x14ac:dyDescent="0.3">
      <c r="A2102" t="str">
        <f t="shared" si="96"/>
        <v>Westmorland and FurnessSocial support (including VCS) (pathway 0)2</v>
      </c>
      <c r="B2102">
        <f>IF(C2102="","",COUNTIF($C$2:C2102,C2102))</f>
        <v>2</v>
      </c>
      <c r="C2102" t="str">
        <f t="shared" si="97"/>
        <v>Westmorland and FurnessSocial support (including VCS) (pathway 0)</v>
      </c>
      <c r="D2102" t="str">
        <f>VLOOKUP(G2102,PathwayLookup!A:B,2,0)</f>
        <v>Social support (including VCS) (pathway 0)</v>
      </c>
      <c r="E2102" t="s">
        <v>351</v>
      </c>
      <c r="F2102" t="s">
        <v>634</v>
      </c>
      <c r="G2102" t="s">
        <v>682</v>
      </c>
      <c r="H2102">
        <v>199</v>
      </c>
      <c r="I2102">
        <v>224</v>
      </c>
      <c r="J2102">
        <v>193</v>
      </c>
      <c r="K2102">
        <v>241</v>
      </c>
      <c r="L2102">
        <v>232</v>
      </c>
      <c r="M2102">
        <v>191</v>
      </c>
      <c r="N2102">
        <v>186</v>
      </c>
      <c r="O2102">
        <v>207</v>
      </c>
      <c r="P2102">
        <v>212</v>
      </c>
      <c r="Q2102">
        <v>190</v>
      </c>
      <c r="R2102">
        <v>199</v>
      </c>
      <c r="S2102">
        <v>231</v>
      </c>
      <c r="T2102">
        <f t="shared" si="98"/>
        <v>2505</v>
      </c>
      <c r="U2102">
        <v>1</v>
      </c>
    </row>
    <row r="2103" spans="1:21" x14ac:dyDescent="0.3">
      <c r="A2103" t="str">
        <f t="shared" si="96"/>
        <v>Westmorland and FurnessReablement &amp; Rehabilitation at home  (pathway 1)1</v>
      </c>
      <c r="B2103">
        <f>IF(C2103="","",COUNTIF($C$2:C2103,C2103))</f>
        <v>1</v>
      </c>
      <c r="C2103" t="str">
        <f t="shared" si="97"/>
        <v>Westmorland and FurnessReablement at home  (pathway 1)</v>
      </c>
      <c r="D2103" t="str">
        <f>VLOOKUP(G2103,PathwayLookup!A:B,2,0)</f>
        <v>Reablement &amp; Rehabilitation at home  (pathway 1)</v>
      </c>
      <c r="E2103" t="s">
        <v>351</v>
      </c>
      <c r="F2103" t="s">
        <v>555</v>
      </c>
      <c r="G2103" t="s">
        <v>718</v>
      </c>
      <c r="H2103">
        <v>24</v>
      </c>
      <c r="I2103">
        <v>22</v>
      </c>
      <c r="J2103">
        <v>20</v>
      </c>
      <c r="K2103">
        <v>21</v>
      </c>
      <c r="L2103">
        <v>18</v>
      </c>
      <c r="M2103">
        <v>19</v>
      </c>
      <c r="N2103">
        <v>20</v>
      </c>
      <c r="O2103">
        <v>21</v>
      </c>
      <c r="P2103">
        <v>21</v>
      </c>
      <c r="Q2103">
        <v>20</v>
      </c>
      <c r="R2103">
        <v>19</v>
      </c>
      <c r="S2103">
        <v>19</v>
      </c>
      <c r="T2103">
        <f t="shared" si="98"/>
        <v>244</v>
      </c>
      <c r="U2103">
        <v>1</v>
      </c>
    </row>
    <row r="2104" spans="1:21" x14ac:dyDescent="0.3">
      <c r="A2104" t="str">
        <f t="shared" si="96"/>
        <v>Westmorland and FurnessReablement &amp; Rehabilitation at home  (pathway 1)2</v>
      </c>
      <c r="B2104">
        <f>IF(C2104="","",COUNTIF($C$2:C2104,C2104))</f>
        <v>2</v>
      </c>
      <c r="C2104" t="str">
        <f t="shared" si="97"/>
        <v>Westmorland and FurnessReablement at home  (pathway 1)</v>
      </c>
      <c r="D2104" t="str">
        <f>VLOOKUP(G2104,PathwayLookup!A:B,2,0)</f>
        <v>Reablement &amp; Rehabilitation at home  (pathway 1)</v>
      </c>
      <c r="E2104" t="s">
        <v>351</v>
      </c>
      <c r="F2104" t="s">
        <v>634</v>
      </c>
      <c r="G2104" t="s">
        <v>718</v>
      </c>
      <c r="H2104">
        <v>38</v>
      </c>
      <c r="I2104">
        <v>37</v>
      </c>
      <c r="J2104">
        <v>34</v>
      </c>
      <c r="K2104">
        <v>36</v>
      </c>
      <c r="L2104">
        <v>39</v>
      </c>
      <c r="M2104">
        <v>39</v>
      </c>
      <c r="N2104">
        <v>37</v>
      </c>
      <c r="O2104">
        <v>37</v>
      </c>
      <c r="P2104">
        <v>43</v>
      </c>
      <c r="Q2104">
        <v>45</v>
      </c>
      <c r="R2104">
        <v>37</v>
      </c>
      <c r="S2104">
        <v>38</v>
      </c>
      <c r="T2104">
        <f t="shared" si="98"/>
        <v>460</v>
      </c>
      <c r="U2104">
        <v>1</v>
      </c>
    </row>
    <row r="2105" spans="1:21" x14ac:dyDescent="0.3">
      <c r="A2105" t="str">
        <f t="shared" si="96"/>
        <v>Westmorland and FurnessReablement &amp; Rehabilitation at home  (pathway 1)1</v>
      </c>
      <c r="B2105">
        <f>IF(C2105="","",COUNTIF($C$2:C2105,C2105))</f>
        <v>1</v>
      </c>
      <c r="C2105" t="str">
        <f t="shared" si="97"/>
        <v>Westmorland and FurnessRehabilitation at home (pathway 1)</v>
      </c>
      <c r="D2105" t="str">
        <f>VLOOKUP(G2105,PathwayLookup!A:B,2,0)</f>
        <v>Reablement &amp; Rehabilitation at home  (pathway 1)</v>
      </c>
      <c r="E2105" t="s">
        <v>351</v>
      </c>
      <c r="F2105" t="s">
        <v>555</v>
      </c>
      <c r="G2105" t="s">
        <v>719</v>
      </c>
      <c r="H2105">
        <v>21</v>
      </c>
      <c r="I2105">
        <v>19</v>
      </c>
      <c r="J2105">
        <v>17</v>
      </c>
      <c r="K2105">
        <v>18</v>
      </c>
      <c r="L2105">
        <v>16</v>
      </c>
      <c r="M2105">
        <v>16</v>
      </c>
      <c r="N2105">
        <v>17</v>
      </c>
      <c r="O2105">
        <v>18</v>
      </c>
      <c r="P2105">
        <v>18</v>
      </c>
      <c r="Q2105">
        <v>17</v>
      </c>
      <c r="R2105">
        <v>16</v>
      </c>
      <c r="S2105">
        <v>17</v>
      </c>
      <c r="T2105">
        <f t="shared" si="98"/>
        <v>210</v>
      </c>
      <c r="U2105">
        <v>1</v>
      </c>
    </row>
    <row r="2106" spans="1:21" x14ac:dyDescent="0.3">
      <c r="A2106" t="str">
        <f t="shared" si="96"/>
        <v>Westmorland and FurnessReablement &amp; Rehabilitation at home  (pathway 1)2</v>
      </c>
      <c r="B2106">
        <f>IF(C2106="","",COUNTIF($C$2:C2106,C2106))</f>
        <v>2</v>
      </c>
      <c r="C2106" t="str">
        <f t="shared" si="97"/>
        <v>Westmorland and FurnessRehabilitation at home (pathway 1)</v>
      </c>
      <c r="D2106" t="str">
        <f>VLOOKUP(G2106,PathwayLookup!A:B,2,0)</f>
        <v>Reablement &amp; Rehabilitation at home  (pathway 1)</v>
      </c>
      <c r="E2106" t="s">
        <v>351</v>
      </c>
      <c r="F2106" t="s">
        <v>634</v>
      </c>
      <c r="G2106" t="s">
        <v>719</v>
      </c>
      <c r="H2106">
        <v>85</v>
      </c>
      <c r="I2106">
        <v>137</v>
      </c>
      <c r="J2106">
        <v>96</v>
      </c>
      <c r="K2106">
        <v>98</v>
      </c>
      <c r="L2106">
        <v>118</v>
      </c>
      <c r="M2106">
        <v>120</v>
      </c>
      <c r="N2106">
        <v>139</v>
      </c>
      <c r="O2106">
        <v>130</v>
      </c>
      <c r="P2106">
        <v>95</v>
      </c>
      <c r="Q2106">
        <v>116</v>
      </c>
      <c r="R2106">
        <v>151</v>
      </c>
      <c r="S2106">
        <v>114</v>
      </c>
      <c r="T2106">
        <f t="shared" si="98"/>
        <v>1399</v>
      </c>
      <c r="U2106">
        <v>1</v>
      </c>
    </row>
    <row r="2107" spans="1:21" x14ac:dyDescent="0.3">
      <c r="A2107" t="str">
        <f t="shared" si="96"/>
        <v/>
      </c>
      <c r="B2107" t="str">
        <f>IF(C2107="","",COUNTIF($C$2:C2107,C2107))</f>
        <v/>
      </c>
      <c r="C2107" t="str">
        <f t="shared" si="97"/>
        <v/>
      </c>
      <c r="D2107" t="str">
        <f>VLOOKUP(G2107,PathwayLookup!A:B,2,0)</f>
        <v>Short term domiciliary care (pathway 1)</v>
      </c>
      <c r="E2107" t="s">
        <v>351</v>
      </c>
      <c r="F2107" t="s">
        <v>555</v>
      </c>
      <c r="G2107" t="s">
        <v>684</v>
      </c>
      <c r="H2107">
        <v>0</v>
      </c>
      <c r="I2107">
        <v>0</v>
      </c>
      <c r="J2107">
        <v>0</v>
      </c>
      <c r="K2107">
        <v>0</v>
      </c>
      <c r="L2107">
        <v>0</v>
      </c>
      <c r="M2107">
        <v>0</v>
      </c>
      <c r="N2107">
        <v>0</v>
      </c>
      <c r="O2107">
        <v>0</v>
      </c>
      <c r="P2107">
        <v>0</v>
      </c>
      <c r="Q2107">
        <v>0</v>
      </c>
      <c r="R2107">
        <v>0</v>
      </c>
      <c r="S2107">
        <v>0</v>
      </c>
      <c r="T2107">
        <f t="shared" si="98"/>
        <v>0</v>
      </c>
      <c r="U2107">
        <v>1</v>
      </c>
    </row>
    <row r="2108" spans="1:21" x14ac:dyDescent="0.3">
      <c r="A2108" t="str">
        <f t="shared" si="96"/>
        <v>Westmorland and FurnessShort term domiciliary care (pathway 1)1</v>
      </c>
      <c r="B2108">
        <f>IF(C2108="","",COUNTIF($C$2:C2108,C2108))</f>
        <v>1</v>
      </c>
      <c r="C2108" t="str">
        <f t="shared" si="97"/>
        <v>Westmorland and FurnessShort term domiciliary care (pathway 1)</v>
      </c>
      <c r="D2108" t="str">
        <f>VLOOKUP(G2108,PathwayLookup!A:B,2,0)</f>
        <v>Short term domiciliary care (pathway 1)</v>
      </c>
      <c r="E2108" t="s">
        <v>351</v>
      </c>
      <c r="F2108" t="s">
        <v>634</v>
      </c>
      <c r="G2108" t="s">
        <v>684</v>
      </c>
      <c r="H2108">
        <v>8</v>
      </c>
      <c r="I2108">
        <v>17</v>
      </c>
      <c r="J2108">
        <v>19</v>
      </c>
      <c r="K2108">
        <v>23</v>
      </c>
      <c r="L2108">
        <v>18</v>
      </c>
      <c r="M2108">
        <v>18</v>
      </c>
      <c r="N2108">
        <v>12</v>
      </c>
      <c r="O2108">
        <v>17</v>
      </c>
      <c r="P2108">
        <v>21</v>
      </c>
      <c r="Q2108">
        <v>22</v>
      </c>
      <c r="R2108">
        <v>15</v>
      </c>
      <c r="S2108">
        <v>18</v>
      </c>
      <c r="T2108">
        <f t="shared" si="98"/>
        <v>208</v>
      </c>
      <c r="U2108">
        <v>1</v>
      </c>
    </row>
    <row r="2109" spans="1:21" x14ac:dyDescent="0.3">
      <c r="A2109" t="str">
        <f t="shared" si="96"/>
        <v/>
      </c>
      <c r="B2109" t="str">
        <f>IF(C2109="","",COUNTIF($C$2:C2109,C2109))</f>
        <v/>
      </c>
      <c r="C2109" t="str">
        <f t="shared" si="97"/>
        <v/>
      </c>
      <c r="D2109" t="str">
        <f>VLOOKUP(G2109,PathwayLookup!A:B,2,0)</f>
        <v>Reablement &amp; Rehabilitation in a bedded setting (pathway 2)</v>
      </c>
      <c r="E2109" t="s">
        <v>351</v>
      </c>
      <c r="F2109" t="s">
        <v>555</v>
      </c>
      <c r="G2109" t="s">
        <v>722</v>
      </c>
      <c r="H2109">
        <v>0</v>
      </c>
      <c r="I2109">
        <v>0</v>
      </c>
      <c r="J2109">
        <v>0</v>
      </c>
      <c r="K2109">
        <v>0</v>
      </c>
      <c r="L2109">
        <v>0</v>
      </c>
      <c r="M2109">
        <v>0</v>
      </c>
      <c r="N2109">
        <v>0</v>
      </c>
      <c r="O2109">
        <v>0</v>
      </c>
      <c r="P2109">
        <v>0</v>
      </c>
      <c r="Q2109">
        <v>0</v>
      </c>
      <c r="R2109">
        <v>0</v>
      </c>
      <c r="S2109">
        <v>0</v>
      </c>
      <c r="T2109">
        <f t="shared" si="98"/>
        <v>0</v>
      </c>
      <c r="U2109">
        <v>1</v>
      </c>
    </row>
    <row r="2110" spans="1:21" x14ac:dyDescent="0.3">
      <c r="A2110" t="str">
        <f t="shared" si="96"/>
        <v/>
      </c>
      <c r="B2110" t="str">
        <f>IF(C2110="","",COUNTIF($C$2:C2110,C2110))</f>
        <v/>
      </c>
      <c r="C2110" t="str">
        <f t="shared" si="97"/>
        <v/>
      </c>
      <c r="D2110" t="str">
        <f>VLOOKUP(G2110,PathwayLookup!A:B,2,0)</f>
        <v>Reablement &amp; Rehabilitation in a bedded setting (pathway 2)</v>
      </c>
      <c r="E2110" t="s">
        <v>351</v>
      </c>
      <c r="F2110" t="s">
        <v>634</v>
      </c>
      <c r="G2110" t="s">
        <v>722</v>
      </c>
      <c r="H2110">
        <v>0</v>
      </c>
      <c r="I2110">
        <v>0</v>
      </c>
      <c r="J2110">
        <v>0</v>
      </c>
      <c r="K2110">
        <v>0</v>
      </c>
      <c r="L2110">
        <v>0</v>
      </c>
      <c r="M2110">
        <v>0</v>
      </c>
      <c r="N2110">
        <v>0</v>
      </c>
      <c r="O2110">
        <v>0</v>
      </c>
      <c r="P2110">
        <v>0</v>
      </c>
      <c r="Q2110">
        <v>0</v>
      </c>
      <c r="R2110">
        <v>0</v>
      </c>
      <c r="S2110">
        <v>0</v>
      </c>
      <c r="T2110">
        <f t="shared" si="98"/>
        <v>0</v>
      </c>
      <c r="U2110">
        <v>1</v>
      </c>
    </row>
    <row r="2111" spans="1:21" x14ac:dyDescent="0.3">
      <c r="A2111" t="str">
        <f t="shared" si="96"/>
        <v>Westmorland and FurnessReablement &amp; Rehabilitation in a bedded setting (pathway 2)1</v>
      </c>
      <c r="B2111">
        <f>IF(C2111="","",COUNTIF($C$2:C2111,C2111))</f>
        <v>1</v>
      </c>
      <c r="C2111" t="str">
        <f t="shared" si="97"/>
        <v>Westmorland and FurnessRehabilitation in a bedded setting (pathway 2)</v>
      </c>
      <c r="D2111" t="str">
        <f>VLOOKUP(G2111,PathwayLookup!A:B,2,0)</f>
        <v>Reablement &amp; Rehabilitation in a bedded setting (pathway 2)</v>
      </c>
      <c r="E2111" t="s">
        <v>351</v>
      </c>
      <c r="F2111" t="s">
        <v>555</v>
      </c>
      <c r="G2111" t="s">
        <v>724</v>
      </c>
      <c r="H2111">
        <v>6</v>
      </c>
      <c r="I2111">
        <v>6</v>
      </c>
      <c r="J2111">
        <v>5</v>
      </c>
      <c r="K2111">
        <v>5</v>
      </c>
      <c r="L2111">
        <v>5</v>
      </c>
      <c r="M2111">
        <v>5</v>
      </c>
      <c r="N2111">
        <v>5</v>
      </c>
      <c r="O2111">
        <v>5</v>
      </c>
      <c r="P2111">
        <v>5</v>
      </c>
      <c r="Q2111">
        <v>5</v>
      </c>
      <c r="R2111">
        <v>5</v>
      </c>
      <c r="S2111">
        <v>5</v>
      </c>
      <c r="T2111">
        <f t="shared" si="98"/>
        <v>62</v>
      </c>
      <c r="U2111">
        <v>1</v>
      </c>
    </row>
    <row r="2112" spans="1:21" x14ac:dyDescent="0.3">
      <c r="A2112" t="str">
        <f t="shared" si="96"/>
        <v>Westmorland and FurnessReablement &amp; Rehabilitation in a bedded setting (pathway 2)2</v>
      </c>
      <c r="B2112">
        <f>IF(C2112="","",COUNTIF($C$2:C2112,C2112))</f>
        <v>2</v>
      </c>
      <c r="C2112" t="str">
        <f t="shared" si="97"/>
        <v>Westmorland and FurnessRehabilitation in a bedded setting (pathway 2)</v>
      </c>
      <c r="D2112" t="str">
        <f>VLOOKUP(G2112,PathwayLookup!A:B,2,0)</f>
        <v>Reablement &amp; Rehabilitation in a bedded setting (pathway 2)</v>
      </c>
      <c r="E2112" t="s">
        <v>351</v>
      </c>
      <c r="F2112" t="s">
        <v>634</v>
      </c>
      <c r="G2112" t="s">
        <v>724</v>
      </c>
      <c r="H2112">
        <v>0</v>
      </c>
      <c r="I2112">
        <v>1</v>
      </c>
      <c r="J2112">
        <v>1</v>
      </c>
      <c r="K2112">
        <v>3</v>
      </c>
      <c r="L2112">
        <v>5</v>
      </c>
      <c r="M2112">
        <v>0</v>
      </c>
      <c r="N2112">
        <v>2</v>
      </c>
      <c r="O2112">
        <v>1</v>
      </c>
      <c r="P2112">
        <v>3</v>
      </c>
      <c r="Q2112">
        <v>1</v>
      </c>
      <c r="R2112">
        <v>2</v>
      </c>
      <c r="S2112">
        <v>4</v>
      </c>
      <c r="T2112">
        <f t="shared" si="98"/>
        <v>23</v>
      </c>
      <c r="U2112">
        <v>1</v>
      </c>
    </row>
    <row r="2113" spans="1:21" x14ac:dyDescent="0.3">
      <c r="A2113" t="str">
        <f t="shared" si="96"/>
        <v>Westmorland and FurnessShort-term residential/nursing care for someone likely to require a longer-term care home placement (pathway 3)1</v>
      </c>
      <c r="B2113">
        <f>IF(C2113="","",COUNTIF($C$2:C2113,C2113))</f>
        <v>1</v>
      </c>
      <c r="C2113" t="str">
        <f t="shared" si="97"/>
        <v>Westmorland and FurnessShort-term residential/nursing care for someone likely to require a longer-term care home placement (pathway 3)</v>
      </c>
      <c r="D2113" t="str">
        <f>VLOOKUP(G2113,PathwayLookup!A:B,2,0)</f>
        <v>Short-term residential/nursing care for someone likely to require a longer-term care home placement (pathway 3)</v>
      </c>
      <c r="E2113" t="s">
        <v>351</v>
      </c>
      <c r="F2113" t="s">
        <v>555</v>
      </c>
      <c r="G2113" t="s">
        <v>686</v>
      </c>
      <c r="H2113">
        <v>20</v>
      </c>
      <c r="I2113">
        <v>17</v>
      </c>
      <c r="J2113">
        <v>16</v>
      </c>
      <c r="K2113">
        <v>17</v>
      </c>
      <c r="L2113">
        <v>15</v>
      </c>
      <c r="M2113">
        <v>15</v>
      </c>
      <c r="N2113">
        <v>16</v>
      </c>
      <c r="O2113">
        <v>16</v>
      </c>
      <c r="P2113">
        <v>17</v>
      </c>
      <c r="Q2113">
        <v>16</v>
      </c>
      <c r="R2113">
        <v>15</v>
      </c>
      <c r="S2113">
        <v>16</v>
      </c>
      <c r="T2113">
        <f t="shared" si="98"/>
        <v>196</v>
      </c>
      <c r="U2113">
        <v>1</v>
      </c>
    </row>
    <row r="2114" spans="1:21" x14ac:dyDescent="0.3">
      <c r="A2114" t="str">
        <f t="shared" ref="A2114:A2177" si="99">IF(B2114="","",E2114&amp;D2114&amp;B2114)</f>
        <v>Westmorland and FurnessShort-term residential/nursing care for someone likely to require a longer-term care home placement (pathway 3)2</v>
      </c>
      <c r="B2114">
        <f>IF(C2114="","",COUNTIF($C$2:C2114,C2114))</f>
        <v>2</v>
      </c>
      <c r="C2114" t="str">
        <f t="shared" ref="C2114:C2177" si="100">IF(T2114=0,"",E2114&amp;G2114)</f>
        <v>Westmorland and FurnessShort-term residential/nursing care for someone likely to require a longer-term care home placement (pathway 3)</v>
      </c>
      <c r="D2114" t="str">
        <f>VLOOKUP(G2114,PathwayLookup!A:B,2,0)</f>
        <v>Short-term residential/nursing care for someone likely to require a longer-term care home placement (pathway 3)</v>
      </c>
      <c r="E2114" t="s">
        <v>351</v>
      </c>
      <c r="F2114" t="s">
        <v>634</v>
      </c>
      <c r="G2114" t="s">
        <v>686</v>
      </c>
      <c r="H2114">
        <v>6</v>
      </c>
      <c r="I2114">
        <v>10</v>
      </c>
      <c r="J2114">
        <v>9</v>
      </c>
      <c r="K2114">
        <v>6</v>
      </c>
      <c r="L2114">
        <v>11</v>
      </c>
      <c r="M2114">
        <v>14</v>
      </c>
      <c r="N2114">
        <v>12</v>
      </c>
      <c r="O2114">
        <v>9</v>
      </c>
      <c r="P2114">
        <v>8</v>
      </c>
      <c r="Q2114">
        <v>12</v>
      </c>
      <c r="R2114">
        <v>11</v>
      </c>
      <c r="S2114">
        <v>8</v>
      </c>
      <c r="T2114">
        <f t="shared" ref="T2114:T2177" si="101">SUM(H2114:S2114)</f>
        <v>116</v>
      </c>
      <c r="U2114">
        <v>1</v>
      </c>
    </row>
    <row r="2115" spans="1:21" x14ac:dyDescent="0.3">
      <c r="A2115" t="str">
        <f t="shared" si="99"/>
        <v>WiganSocial support (including VCS) (pathway 0)1</v>
      </c>
      <c r="B2115">
        <f>IF(C2115="","",COUNTIF($C$2:C2115,C2115))</f>
        <v>1</v>
      </c>
      <c r="C2115" t="str">
        <f t="shared" si="100"/>
        <v>WiganSocial support (including VCS) (pathway 0)</v>
      </c>
      <c r="D2115" t="str">
        <f>VLOOKUP(G2115,PathwayLookup!A:B,2,0)</f>
        <v>Social support (including VCS) (pathway 0)</v>
      </c>
      <c r="E2115" t="s">
        <v>353</v>
      </c>
      <c r="F2115" t="s">
        <v>647</v>
      </c>
      <c r="G2115" t="s">
        <v>682</v>
      </c>
      <c r="H2115">
        <v>2339</v>
      </c>
      <c r="I2115">
        <v>2339</v>
      </c>
      <c r="J2115">
        <v>2339</v>
      </c>
      <c r="K2115">
        <v>2339</v>
      </c>
      <c r="L2115">
        <v>2339</v>
      </c>
      <c r="M2115">
        <v>2339</v>
      </c>
      <c r="N2115">
        <v>2339</v>
      </c>
      <c r="O2115">
        <v>2339</v>
      </c>
      <c r="P2115">
        <v>2456</v>
      </c>
      <c r="Q2115">
        <v>2456</v>
      </c>
      <c r="R2115">
        <v>2456</v>
      </c>
      <c r="S2115">
        <v>2339</v>
      </c>
      <c r="T2115">
        <f t="shared" si="101"/>
        <v>28419</v>
      </c>
      <c r="U2115">
        <v>1</v>
      </c>
    </row>
    <row r="2116" spans="1:21" x14ac:dyDescent="0.3">
      <c r="A2116" t="str">
        <f t="shared" si="99"/>
        <v>WiganReablement &amp; Rehabilitation at home  (pathway 1)1</v>
      </c>
      <c r="B2116">
        <f>IF(C2116="","",COUNTIF($C$2:C2116,C2116))</f>
        <v>1</v>
      </c>
      <c r="C2116" t="str">
        <f t="shared" si="100"/>
        <v>WiganReablement at home  (pathway 1)</v>
      </c>
      <c r="D2116" t="str">
        <f>VLOOKUP(G2116,PathwayLookup!A:B,2,0)</f>
        <v>Reablement &amp; Rehabilitation at home  (pathway 1)</v>
      </c>
      <c r="E2116" t="s">
        <v>353</v>
      </c>
      <c r="F2116" t="s">
        <v>647</v>
      </c>
      <c r="G2116" t="s">
        <v>718</v>
      </c>
      <c r="H2116">
        <v>92</v>
      </c>
      <c r="I2116">
        <v>92</v>
      </c>
      <c r="J2116">
        <v>92</v>
      </c>
      <c r="K2116">
        <v>92</v>
      </c>
      <c r="L2116">
        <v>92</v>
      </c>
      <c r="M2116">
        <v>92</v>
      </c>
      <c r="N2116">
        <v>92</v>
      </c>
      <c r="O2116">
        <v>92</v>
      </c>
      <c r="P2116">
        <v>97</v>
      </c>
      <c r="Q2116">
        <v>97</v>
      </c>
      <c r="R2116">
        <v>97</v>
      </c>
      <c r="S2116">
        <v>92</v>
      </c>
      <c r="T2116">
        <f t="shared" si="101"/>
        <v>1119</v>
      </c>
      <c r="U2116">
        <v>1</v>
      </c>
    </row>
    <row r="2117" spans="1:21" x14ac:dyDescent="0.3">
      <c r="A2117" t="str">
        <f t="shared" si="99"/>
        <v>WiganReablement &amp; Rehabilitation at home  (pathway 1)1</v>
      </c>
      <c r="B2117">
        <f>IF(C2117="","",COUNTIF($C$2:C2117,C2117))</f>
        <v>1</v>
      </c>
      <c r="C2117" t="str">
        <f t="shared" si="100"/>
        <v>WiganRehabilitation at home (pathway 1)</v>
      </c>
      <c r="D2117" t="str">
        <f>VLOOKUP(G2117,PathwayLookup!A:B,2,0)</f>
        <v>Reablement &amp; Rehabilitation at home  (pathway 1)</v>
      </c>
      <c r="E2117" t="s">
        <v>353</v>
      </c>
      <c r="F2117" t="s">
        <v>647</v>
      </c>
      <c r="G2117" t="s">
        <v>719</v>
      </c>
      <c r="H2117">
        <v>0</v>
      </c>
      <c r="I2117">
        <v>0</v>
      </c>
      <c r="J2117">
        <v>0</v>
      </c>
      <c r="K2117">
        <v>0</v>
      </c>
      <c r="L2117">
        <v>0</v>
      </c>
      <c r="M2117">
        <v>0</v>
      </c>
      <c r="N2117">
        <v>38</v>
      </c>
      <c r="O2117">
        <v>38</v>
      </c>
      <c r="P2117">
        <v>38</v>
      </c>
      <c r="Q2117">
        <v>38</v>
      </c>
      <c r="R2117">
        <v>38</v>
      </c>
      <c r="S2117">
        <v>38</v>
      </c>
      <c r="T2117">
        <f t="shared" si="101"/>
        <v>228</v>
      </c>
      <c r="U2117">
        <v>1</v>
      </c>
    </row>
    <row r="2118" spans="1:21" x14ac:dyDescent="0.3">
      <c r="A2118" t="str">
        <f t="shared" si="99"/>
        <v>WiganShort term domiciliary care (pathway 1)1</v>
      </c>
      <c r="B2118">
        <f>IF(C2118="","",COUNTIF($C$2:C2118,C2118))</f>
        <v>1</v>
      </c>
      <c r="C2118" t="str">
        <f t="shared" si="100"/>
        <v>WiganShort term domiciliary care (pathway 1)</v>
      </c>
      <c r="D2118" t="str">
        <f>VLOOKUP(G2118,PathwayLookup!A:B,2,0)</f>
        <v>Short term domiciliary care (pathway 1)</v>
      </c>
      <c r="E2118" t="s">
        <v>353</v>
      </c>
      <c r="F2118" t="s">
        <v>464</v>
      </c>
      <c r="G2118" t="s">
        <v>684</v>
      </c>
      <c r="H2118">
        <v>15</v>
      </c>
      <c r="I2118">
        <v>15</v>
      </c>
      <c r="J2118">
        <v>15</v>
      </c>
      <c r="K2118">
        <v>15</v>
      </c>
      <c r="L2118">
        <v>15</v>
      </c>
      <c r="M2118">
        <v>15</v>
      </c>
      <c r="N2118">
        <v>15</v>
      </c>
      <c r="O2118">
        <v>15</v>
      </c>
      <c r="P2118">
        <v>15</v>
      </c>
      <c r="Q2118">
        <v>15</v>
      </c>
      <c r="R2118">
        <v>15</v>
      </c>
      <c r="S2118">
        <v>15</v>
      </c>
      <c r="T2118">
        <f t="shared" si="101"/>
        <v>180</v>
      </c>
      <c r="U2118">
        <v>1</v>
      </c>
    </row>
    <row r="2119" spans="1:21" x14ac:dyDescent="0.3">
      <c r="A2119" t="str">
        <f t="shared" si="99"/>
        <v>WiganShort term domiciliary care (pathway 1)2</v>
      </c>
      <c r="B2119">
        <f>IF(C2119="","",COUNTIF($C$2:C2119,C2119))</f>
        <v>2</v>
      </c>
      <c r="C2119" t="str">
        <f t="shared" si="100"/>
        <v>WiganShort term domiciliary care (pathway 1)</v>
      </c>
      <c r="D2119" t="str">
        <f>VLOOKUP(G2119,PathwayLookup!A:B,2,0)</f>
        <v>Short term domiciliary care (pathway 1)</v>
      </c>
      <c r="E2119" t="s">
        <v>353</v>
      </c>
      <c r="F2119" t="s">
        <v>563</v>
      </c>
      <c r="G2119" t="s">
        <v>684</v>
      </c>
      <c r="H2119">
        <v>8</v>
      </c>
      <c r="I2119">
        <v>8</v>
      </c>
      <c r="J2119">
        <v>8</v>
      </c>
      <c r="K2119">
        <v>8</v>
      </c>
      <c r="L2119">
        <v>8</v>
      </c>
      <c r="M2119">
        <v>8</v>
      </c>
      <c r="N2119">
        <v>8</v>
      </c>
      <c r="O2119">
        <v>8</v>
      </c>
      <c r="P2119">
        <v>8</v>
      </c>
      <c r="Q2119">
        <v>8</v>
      </c>
      <c r="R2119">
        <v>8</v>
      </c>
      <c r="S2119">
        <v>8</v>
      </c>
      <c r="T2119">
        <f t="shared" si="101"/>
        <v>96</v>
      </c>
      <c r="U2119">
        <v>1</v>
      </c>
    </row>
    <row r="2120" spans="1:21" x14ac:dyDescent="0.3">
      <c r="A2120" t="str">
        <f t="shared" si="99"/>
        <v>WiganShort term domiciliary care (pathway 1)3</v>
      </c>
      <c r="B2120">
        <f>IF(C2120="","",COUNTIF($C$2:C2120,C2120))</f>
        <v>3</v>
      </c>
      <c r="C2120" t="str">
        <f t="shared" si="100"/>
        <v>WiganShort term domiciliary care (pathway 1)</v>
      </c>
      <c r="D2120" t="str">
        <f>VLOOKUP(G2120,PathwayLookup!A:B,2,0)</f>
        <v>Short term domiciliary care (pathway 1)</v>
      </c>
      <c r="E2120" t="s">
        <v>353</v>
      </c>
      <c r="F2120" t="s">
        <v>647</v>
      </c>
      <c r="G2120" t="s">
        <v>684</v>
      </c>
      <c r="H2120">
        <v>45</v>
      </c>
      <c r="I2120">
        <v>45</v>
      </c>
      <c r="J2120">
        <v>45</v>
      </c>
      <c r="K2120">
        <v>45</v>
      </c>
      <c r="L2120">
        <v>45</v>
      </c>
      <c r="M2120">
        <v>45</v>
      </c>
      <c r="N2120">
        <v>45</v>
      </c>
      <c r="O2120">
        <v>45</v>
      </c>
      <c r="P2120">
        <v>47</v>
      </c>
      <c r="Q2120">
        <v>47</v>
      </c>
      <c r="R2120">
        <v>47</v>
      </c>
      <c r="S2120">
        <v>45</v>
      </c>
      <c r="T2120">
        <f t="shared" si="101"/>
        <v>546</v>
      </c>
      <c r="U2120">
        <v>1</v>
      </c>
    </row>
    <row r="2121" spans="1:21" x14ac:dyDescent="0.3">
      <c r="A2121" t="str">
        <f t="shared" si="99"/>
        <v>WiganShort term domiciliary care (pathway 1)4</v>
      </c>
      <c r="B2121">
        <f>IF(C2121="","",COUNTIF($C$2:C2121,C2121))</f>
        <v>4</v>
      </c>
      <c r="C2121" t="str">
        <f t="shared" si="100"/>
        <v>WiganShort term domiciliary care (pathway 1)</v>
      </c>
      <c r="D2121" t="str">
        <f>VLOOKUP(G2121,PathwayLookup!A:B,2,0)</f>
        <v>Short term domiciliary care (pathway 1)</v>
      </c>
      <c r="E2121" t="s">
        <v>353</v>
      </c>
      <c r="F2121" t="s">
        <v>651</v>
      </c>
      <c r="G2121" t="s">
        <v>684</v>
      </c>
      <c r="H2121">
        <v>11</v>
      </c>
      <c r="I2121">
        <v>11</v>
      </c>
      <c r="J2121">
        <v>11</v>
      </c>
      <c r="K2121">
        <v>11</v>
      </c>
      <c r="L2121">
        <v>11</v>
      </c>
      <c r="M2121">
        <v>11</v>
      </c>
      <c r="N2121">
        <v>11</v>
      </c>
      <c r="O2121">
        <v>11</v>
      </c>
      <c r="P2121">
        <v>11</v>
      </c>
      <c r="Q2121">
        <v>11</v>
      </c>
      <c r="R2121">
        <v>11</v>
      </c>
      <c r="S2121">
        <v>11</v>
      </c>
      <c r="T2121">
        <f t="shared" si="101"/>
        <v>132</v>
      </c>
      <c r="U2121">
        <v>1</v>
      </c>
    </row>
    <row r="2122" spans="1:21" x14ac:dyDescent="0.3">
      <c r="A2122" t="str">
        <f t="shared" si="99"/>
        <v>WiganReablement &amp; Rehabilitation in a bedded setting (pathway 2)1</v>
      </c>
      <c r="B2122">
        <f>IF(C2122="","",COUNTIF($C$2:C2122,C2122))</f>
        <v>1</v>
      </c>
      <c r="C2122" t="str">
        <f t="shared" si="100"/>
        <v>WiganReablement in a bedded setting (pathway 2)</v>
      </c>
      <c r="D2122" t="str">
        <f>VLOOKUP(G2122,PathwayLookup!A:B,2,0)</f>
        <v>Reablement &amp; Rehabilitation in a bedded setting (pathway 2)</v>
      </c>
      <c r="E2122" t="s">
        <v>353</v>
      </c>
      <c r="F2122" t="s">
        <v>647</v>
      </c>
      <c r="G2122" t="s">
        <v>722</v>
      </c>
      <c r="H2122">
        <v>30</v>
      </c>
      <c r="I2122">
        <v>30</v>
      </c>
      <c r="J2122">
        <v>30</v>
      </c>
      <c r="K2122">
        <v>30</v>
      </c>
      <c r="L2122">
        <v>30</v>
      </c>
      <c r="M2122">
        <v>30</v>
      </c>
      <c r="N2122">
        <v>30</v>
      </c>
      <c r="O2122">
        <v>30</v>
      </c>
      <c r="P2122">
        <v>30</v>
      </c>
      <c r="Q2122">
        <v>30</v>
      </c>
      <c r="R2122">
        <v>30</v>
      </c>
      <c r="S2122">
        <v>30</v>
      </c>
      <c r="T2122">
        <f t="shared" si="101"/>
        <v>360</v>
      </c>
      <c r="U2122">
        <v>1</v>
      </c>
    </row>
    <row r="2123" spans="1:21" x14ac:dyDescent="0.3">
      <c r="A2123" t="str">
        <f t="shared" si="99"/>
        <v>WiganReablement &amp; Rehabilitation in a bedded setting (pathway 2)1</v>
      </c>
      <c r="B2123">
        <f>IF(C2123="","",COUNTIF($C$2:C2123,C2123))</f>
        <v>1</v>
      </c>
      <c r="C2123" t="str">
        <f t="shared" si="100"/>
        <v>WiganRehabilitation in a bedded setting (pathway 2)</v>
      </c>
      <c r="D2123" t="str">
        <f>VLOOKUP(G2123,PathwayLookup!A:B,2,0)</f>
        <v>Reablement &amp; Rehabilitation in a bedded setting (pathway 2)</v>
      </c>
      <c r="E2123" t="s">
        <v>353</v>
      </c>
      <c r="F2123" t="s">
        <v>464</v>
      </c>
      <c r="G2123" t="s">
        <v>724</v>
      </c>
      <c r="H2123">
        <v>8</v>
      </c>
      <c r="I2123">
        <v>8</v>
      </c>
      <c r="J2123">
        <v>8</v>
      </c>
      <c r="K2123">
        <v>8</v>
      </c>
      <c r="L2123">
        <v>8</v>
      </c>
      <c r="M2123">
        <v>8</v>
      </c>
      <c r="N2123">
        <v>8</v>
      </c>
      <c r="O2123">
        <v>8</v>
      </c>
      <c r="P2123">
        <v>8</v>
      </c>
      <c r="Q2123">
        <v>8</v>
      </c>
      <c r="R2123">
        <v>8</v>
      </c>
      <c r="S2123">
        <v>8</v>
      </c>
      <c r="T2123">
        <f t="shared" si="101"/>
        <v>96</v>
      </c>
      <c r="U2123">
        <v>1</v>
      </c>
    </row>
    <row r="2124" spans="1:21" x14ac:dyDescent="0.3">
      <c r="A2124" t="str">
        <f t="shared" si="99"/>
        <v>WiganReablement &amp; Rehabilitation in a bedded setting (pathway 2)2</v>
      </c>
      <c r="B2124">
        <f>IF(C2124="","",COUNTIF($C$2:C2124,C2124))</f>
        <v>2</v>
      </c>
      <c r="C2124" t="str">
        <f t="shared" si="100"/>
        <v>WiganRehabilitation in a bedded setting (pathway 2)</v>
      </c>
      <c r="D2124" t="str">
        <f>VLOOKUP(G2124,PathwayLookup!A:B,2,0)</f>
        <v>Reablement &amp; Rehabilitation in a bedded setting (pathway 2)</v>
      </c>
      <c r="E2124" t="s">
        <v>353</v>
      </c>
      <c r="F2124" t="s">
        <v>563</v>
      </c>
      <c r="G2124" t="s">
        <v>724</v>
      </c>
      <c r="H2124">
        <v>4</v>
      </c>
      <c r="I2124">
        <v>4</v>
      </c>
      <c r="J2124">
        <v>4</v>
      </c>
      <c r="K2124">
        <v>4</v>
      </c>
      <c r="L2124">
        <v>4</v>
      </c>
      <c r="M2124">
        <v>4</v>
      </c>
      <c r="N2124">
        <v>4</v>
      </c>
      <c r="O2124">
        <v>4</v>
      </c>
      <c r="P2124">
        <v>4</v>
      </c>
      <c r="Q2124">
        <v>4</v>
      </c>
      <c r="R2124">
        <v>4</v>
      </c>
      <c r="S2124">
        <v>4</v>
      </c>
      <c r="T2124">
        <f t="shared" si="101"/>
        <v>48</v>
      </c>
      <c r="U2124">
        <v>1</v>
      </c>
    </row>
    <row r="2125" spans="1:21" x14ac:dyDescent="0.3">
      <c r="A2125" t="str">
        <f t="shared" si="99"/>
        <v>WiganReablement &amp; Rehabilitation in a bedded setting (pathway 2)3</v>
      </c>
      <c r="B2125">
        <f>IF(C2125="","",COUNTIF($C$2:C2125,C2125))</f>
        <v>3</v>
      </c>
      <c r="C2125" t="str">
        <f t="shared" si="100"/>
        <v>WiganRehabilitation in a bedded setting (pathway 2)</v>
      </c>
      <c r="D2125" t="str">
        <f>VLOOKUP(G2125,PathwayLookup!A:B,2,0)</f>
        <v>Reablement &amp; Rehabilitation in a bedded setting (pathway 2)</v>
      </c>
      <c r="E2125" t="s">
        <v>353</v>
      </c>
      <c r="F2125" t="s">
        <v>647</v>
      </c>
      <c r="G2125" t="s">
        <v>724</v>
      </c>
      <c r="H2125">
        <v>45</v>
      </c>
      <c r="I2125">
        <v>45</v>
      </c>
      <c r="J2125">
        <v>45</v>
      </c>
      <c r="K2125">
        <v>45</v>
      </c>
      <c r="L2125">
        <v>45</v>
      </c>
      <c r="M2125">
        <v>45</v>
      </c>
      <c r="N2125">
        <v>30</v>
      </c>
      <c r="O2125">
        <v>30</v>
      </c>
      <c r="P2125">
        <v>32</v>
      </c>
      <c r="Q2125">
        <v>32</v>
      </c>
      <c r="R2125">
        <v>32</v>
      </c>
      <c r="S2125">
        <v>30</v>
      </c>
      <c r="T2125">
        <f t="shared" si="101"/>
        <v>456</v>
      </c>
      <c r="U2125">
        <v>1</v>
      </c>
    </row>
    <row r="2126" spans="1:21" x14ac:dyDescent="0.3">
      <c r="A2126" t="str">
        <f t="shared" si="99"/>
        <v>WiganReablement &amp; Rehabilitation in a bedded setting (pathway 2)4</v>
      </c>
      <c r="B2126">
        <f>IF(C2126="","",COUNTIF($C$2:C2126,C2126))</f>
        <v>4</v>
      </c>
      <c r="C2126" t="str">
        <f t="shared" si="100"/>
        <v>WiganRehabilitation in a bedded setting (pathway 2)</v>
      </c>
      <c r="D2126" t="str">
        <f>VLOOKUP(G2126,PathwayLookup!A:B,2,0)</f>
        <v>Reablement &amp; Rehabilitation in a bedded setting (pathway 2)</v>
      </c>
      <c r="E2126" t="s">
        <v>353</v>
      </c>
      <c r="F2126" t="s">
        <v>651</v>
      </c>
      <c r="G2126" t="s">
        <v>724</v>
      </c>
      <c r="H2126">
        <v>4</v>
      </c>
      <c r="I2126">
        <v>4</v>
      </c>
      <c r="J2126">
        <v>4</v>
      </c>
      <c r="K2126">
        <v>4</v>
      </c>
      <c r="L2126">
        <v>4</v>
      </c>
      <c r="M2126">
        <v>4</v>
      </c>
      <c r="N2126">
        <v>4</v>
      </c>
      <c r="O2126">
        <v>4</v>
      </c>
      <c r="P2126">
        <v>4</v>
      </c>
      <c r="Q2126">
        <v>4</v>
      </c>
      <c r="R2126">
        <v>4</v>
      </c>
      <c r="S2126">
        <v>4</v>
      </c>
      <c r="T2126">
        <f t="shared" si="101"/>
        <v>48</v>
      </c>
      <c r="U2126">
        <v>1</v>
      </c>
    </row>
    <row r="2127" spans="1:21" x14ac:dyDescent="0.3">
      <c r="A2127" t="str">
        <f t="shared" si="99"/>
        <v>WiganShort-term residential/nursing care for someone likely to require a longer-term care home placement (pathway 3)1</v>
      </c>
      <c r="B2127">
        <f>IF(C2127="","",COUNTIF($C$2:C2127,C2127))</f>
        <v>1</v>
      </c>
      <c r="C2127" t="str">
        <f t="shared" si="100"/>
        <v>WiganShort-term residential/nursing care for someone likely to require a longer-term care home placement (pathway 3)</v>
      </c>
      <c r="D2127" t="str">
        <f>VLOOKUP(G2127,PathwayLookup!A:B,2,0)</f>
        <v>Short-term residential/nursing care for someone likely to require a longer-term care home placement (pathway 3)</v>
      </c>
      <c r="E2127" t="s">
        <v>353</v>
      </c>
      <c r="F2127" t="s">
        <v>464</v>
      </c>
      <c r="G2127" t="s">
        <v>686</v>
      </c>
      <c r="H2127">
        <v>2</v>
      </c>
      <c r="I2127">
        <v>2</v>
      </c>
      <c r="J2127">
        <v>2</v>
      </c>
      <c r="K2127">
        <v>2</v>
      </c>
      <c r="L2127">
        <v>2</v>
      </c>
      <c r="M2127">
        <v>2</v>
      </c>
      <c r="N2127">
        <v>2</v>
      </c>
      <c r="O2127">
        <v>2</v>
      </c>
      <c r="P2127">
        <v>2</v>
      </c>
      <c r="Q2127">
        <v>2</v>
      </c>
      <c r="R2127">
        <v>2</v>
      </c>
      <c r="S2127">
        <v>2</v>
      </c>
      <c r="T2127">
        <f t="shared" si="101"/>
        <v>24</v>
      </c>
      <c r="U2127">
        <v>1</v>
      </c>
    </row>
    <row r="2128" spans="1:21" x14ac:dyDescent="0.3">
      <c r="A2128" t="str">
        <f t="shared" si="99"/>
        <v>WiganShort-term residential/nursing care for someone likely to require a longer-term care home placement (pathway 3)2</v>
      </c>
      <c r="B2128">
        <f>IF(C2128="","",COUNTIF($C$2:C2128,C2128))</f>
        <v>2</v>
      </c>
      <c r="C2128" t="str">
        <f t="shared" si="100"/>
        <v>WiganShort-term residential/nursing care for someone likely to require a longer-term care home placement (pathway 3)</v>
      </c>
      <c r="D2128" t="str">
        <f>VLOOKUP(G2128,PathwayLookup!A:B,2,0)</f>
        <v>Short-term residential/nursing care for someone likely to require a longer-term care home placement (pathway 3)</v>
      </c>
      <c r="E2128" t="s">
        <v>353</v>
      </c>
      <c r="F2128" t="s">
        <v>563</v>
      </c>
      <c r="G2128" t="s">
        <v>686</v>
      </c>
      <c r="H2128">
        <v>1</v>
      </c>
      <c r="I2128">
        <v>1</v>
      </c>
      <c r="J2128">
        <v>1</v>
      </c>
      <c r="K2128">
        <v>1</v>
      </c>
      <c r="L2128">
        <v>1</v>
      </c>
      <c r="M2128">
        <v>1</v>
      </c>
      <c r="N2128">
        <v>1</v>
      </c>
      <c r="O2128">
        <v>1</v>
      </c>
      <c r="P2128">
        <v>1</v>
      </c>
      <c r="Q2128">
        <v>1</v>
      </c>
      <c r="R2128">
        <v>1</v>
      </c>
      <c r="S2128">
        <v>1</v>
      </c>
      <c r="T2128">
        <f t="shared" si="101"/>
        <v>12</v>
      </c>
      <c r="U2128">
        <v>1</v>
      </c>
    </row>
    <row r="2129" spans="1:21" x14ac:dyDescent="0.3">
      <c r="A2129" t="str">
        <f t="shared" si="99"/>
        <v>WiganShort-term residential/nursing care for someone likely to require a longer-term care home placement (pathway 3)3</v>
      </c>
      <c r="B2129">
        <f>IF(C2129="","",COUNTIF($C$2:C2129,C2129))</f>
        <v>3</v>
      </c>
      <c r="C2129" t="str">
        <f t="shared" si="100"/>
        <v>WiganShort-term residential/nursing care for someone likely to require a longer-term care home placement (pathway 3)</v>
      </c>
      <c r="D2129" t="str">
        <f>VLOOKUP(G2129,PathwayLookup!A:B,2,0)</f>
        <v>Short-term residential/nursing care for someone likely to require a longer-term care home placement (pathway 3)</v>
      </c>
      <c r="E2129" t="s">
        <v>353</v>
      </c>
      <c r="F2129" t="s">
        <v>647</v>
      </c>
      <c r="G2129" t="s">
        <v>686</v>
      </c>
      <c r="H2129">
        <v>17</v>
      </c>
      <c r="I2129">
        <v>17</v>
      </c>
      <c r="J2129">
        <v>17</v>
      </c>
      <c r="K2129">
        <v>17</v>
      </c>
      <c r="L2129">
        <v>17</v>
      </c>
      <c r="M2129">
        <v>17</v>
      </c>
      <c r="N2129">
        <v>17</v>
      </c>
      <c r="O2129">
        <v>17</v>
      </c>
      <c r="P2129">
        <v>17</v>
      </c>
      <c r="Q2129">
        <v>17</v>
      </c>
      <c r="R2129">
        <v>17</v>
      </c>
      <c r="S2129">
        <v>17</v>
      </c>
      <c r="T2129">
        <f t="shared" si="101"/>
        <v>204</v>
      </c>
      <c r="U2129">
        <v>1</v>
      </c>
    </row>
    <row r="2130" spans="1:21" x14ac:dyDescent="0.3">
      <c r="A2130" t="str">
        <f t="shared" si="99"/>
        <v>WiganShort-term residential/nursing care for someone likely to require a longer-term care home placement (pathway 3)4</v>
      </c>
      <c r="B2130">
        <f>IF(C2130="","",COUNTIF($C$2:C2130,C2130))</f>
        <v>4</v>
      </c>
      <c r="C2130" t="str">
        <f t="shared" si="100"/>
        <v>WiganShort-term residential/nursing care for someone likely to require a longer-term care home placement (pathway 3)</v>
      </c>
      <c r="D2130" t="str">
        <f>VLOOKUP(G2130,PathwayLookup!A:B,2,0)</f>
        <v>Short-term residential/nursing care for someone likely to require a longer-term care home placement (pathway 3)</v>
      </c>
      <c r="E2130" t="s">
        <v>353</v>
      </c>
      <c r="F2130" t="s">
        <v>651</v>
      </c>
      <c r="G2130" t="s">
        <v>686</v>
      </c>
      <c r="H2130">
        <v>1</v>
      </c>
      <c r="I2130">
        <v>1</v>
      </c>
      <c r="J2130">
        <v>1</v>
      </c>
      <c r="K2130">
        <v>1</v>
      </c>
      <c r="L2130">
        <v>1</v>
      </c>
      <c r="M2130">
        <v>1</v>
      </c>
      <c r="N2130">
        <v>1</v>
      </c>
      <c r="O2130">
        <v>1</v>
      </c>
      <c r="P2130">
        <v>1</v>
      </c>
      <c r="Q2130">
        <v>1</v>
      </c>
      <c r="R2130">
        <v>1</v>
      </c>
      <c r="S2130">
        <v>1</v>
      </c>
      <c r="T2130">
        <f t="shared" si="101"/>
        <v>12</v>
      </c>
      <c r="U2130">
        <v>1</v>
      </c>
    </row>
    <row r="2131" spans="1:21" x14ac:dyDescent="0.3">
      <c r="A2131" t="str">
        <f t="shared" si="99"/>
        <v>WiltshireSocial support (including VCS) (pathway 0)1</v>
      </c>
      <c r="B2131">
        <f>IF(C2131="","",COUNTIF($C$2:C2131,C2131))</f>
        <v>1</v>
      </c>
      <c r="C2131" t="str">
        <f t="shared" si="100"/>
        <v>WiltshireSocial support (including VCS) (pathway 0)</v>
      </c>
      <c r="D2131" t="str">
        <f>VLOOKUP(G2131,PathwayLookup!A:B,2,0)</f>
        <v>Social support (including VCS) (pathway 0)</v>
      </c>
      <c r="E2131" t="s">
        <v>355</v>
      </c>
      <c r="F2131" t="s">
        <v>508</v>
      </c>
      <c r="G2131" t="s">
        <v>682</v>
      </c>
      <c r="H2131">
        <v>416</v>
      </c>
      <c r="I2131">
        <v>478</v>
      </c>
      <c r="J2131">
        <v>483</v>
      </c>
      <c r="K2131">
        <v>484</v>
      </c>
      <c r="L2131">
        <v>513</v>
      </c>
      <c r="M2131">
        <v>500</v>
      </c>
      <c r="N2131">
        <v>493</v>
      </c>
      <c r="O2131">
        <v>525</v>
      </c>
      <c r="P2131">
        <v>624</v>
      </c>
      <c r="Q2131">
        <v>575</v>
      </c>
      <c r="R2131">
        <v>456</v>
      </c>
      <c r="S2131">
        <v>471</v>
      </c>
      <c r="T2131">
        <f t="shared" si="101"/>
        <v>6018</v>
      </c>
      <c r="U2131">
        <v>1</v>
      </c>
    </row>
    <row r="2132" spans="1:21" x14ac:dyDescent="0.3">
      <c r="A2132" t="str">
        <f t="shared" si="99"/>
        <v>WiltshireSocial support (including VCS) (pathway 0)2</v>
      </c>
      <c r="B2132">
        <f>IF(C2132="","",COUNTIF($C$2:C2132,C2132))</f>
        <v>2</v>
      </c>
      <c r="C2132" t="str">
        <f t="shared" si="100"/>
        <v>WiltshireSocial support (including VCS) (pathway 0)</v>
      </c>
      <c r="D2132" t="str">
        <f>VLOOKUP(G2132,PathwayLookup!A:B,2,0)</f>
        <v>Social support (including VCS) (pathway 0)</v>
      </c>
      <c r="E2132" t="s">
        <v>355</v>
      </c>
      <c r="F2132" t="s">
        <v>582</v>
      </c>
      <c r="G2132" t="s">
        <v>682</v>
      </c>
      <c r="H2132">
        <v>710</v>
      </c>
      <c r="I2132">
        <v>856</v>
      </c>
      <c r="J2132">
        <v>764</v>
      </c>
      <c r="K2132">
        <v>787</v>
      </c>
      <c r="L2132">
        <v>831</v>
      </c>
      <c r="M2132">
        <v>796</v>
      </c>
      <c r="N2132">
        <v>842</v>
      </c>
      <c r="O2132">
        <v>821</v>
      </c>
      <c r="P2132">
        <v>616</v>
      </c>
      <c r="Q2132">
        <v>595</v>
      </c>
      <c r="R2132">
        <v>745</v>
      </c>
      <c r="S2132">
        <v>784</v>
      </c>
      <c r="T2132">
        <f t="shared" si="101"/>
        <v>9147</v>
      </c>
      <c r="U2132">
        <v>1</v>
      </c>
    </row>
    <row r="2133" spans="1:21" x14ac:dyDescent="0.3">
      <c r="A2133" t="str">
        <f t="shared" si="99"/>
        <v>WiltshireSocial support (including VCS) (pathway 0)3</v>
      </c>
      <c r="B2133">
        <f>IF(C2133="","",COUNTIF($C$2:C2133,C2133))</f>
        <v>3</v>
      </c>
      <c r="C2133" t="str">
        <f t="shared" si="100"/>
        <v>WiltshireSocial support (including VCS) (pathway 0)</v>
      </c>
      <c r="D2133" t="str">
        <f>VLOOKUP(G2133,PathwayLookup!A:B,2,0)</f>
        <v>Social support (including VCS) (pathway 0)</v>
      </c>
      <c r="E2133" t="s">
        <v>355</v>
      </c>
      <c r="F2133" t="s">
        <v>583</v>
      </c>
      <c r="G2133" t="s">
        <v>682</v>
      </c>
      <c r="H2133">
        <v>712</v>
      </c>
      <c r="I2133">
        <v>786</v>
      </c>
      <c r="J2133">
        <v>825</v>
      </c>
      <c r="K2133">
        <v>784</v>
      </c>
      <c r="L2133">
        <v>768</v>
      </c>
      <c r="M2133">
        <v>744</v>
      </c>
      <c r="N2133">
        <v>794</v>
      </c>
      <c r="O2133">
        <v>890</v>
      </c>
      <c r="P2133">
        <v>450</v>
      </c>
      <c r="Q2133">
        <v>762</v>
      </c>
      <c r="R2133">
        <v>757</v>
      </c>
      <c r="S2133">
        <v>715</v>
      </c>
      <c r="T2133">
        <f t="shared" si="101"/>
        <v>8987</v>
      </c>
      <c r="U2133">
        <v>1</v>
      </c>
    </row>
    <row r="2134" spans="1:21" x14ac:dyDescent="0.3">
      <c r="A2134" t="str">
        <f t="shared" si="99"/>
        <v>WiltshireReablement &amp; Rehabilitation at home  (pathway 1)1</v>
      </c>
      <c r="B2134">
        <f>IF(C2134="","",COUNTIF($C$2:C2134,C2134))</f>
        <v>1</v>
      </c>
      <c r="C2134" t="str">
        <f t="shared" si="100"/>
        <v>WiltshireReablement at home  (pathway 1)</v>
      </c>
      <c r="D2134" t="str">
        <f>VLOOKUP(G2134,PathwayLookup!A:B,2,0)</f>
        <v>Reablement &amp; Rehabilitation at home  (pathway 1)</v>
      </c>
      <c r="E2134" t="s">
        <v>355</v>
      </c>
      <c r="F2134" t="s">
        <v>508</v>
      </c>
      <c r="G2134" t="s">
        <v>718</v>
      </c>
      <c r="H2134">
        <v>37</v>
      </c>
      <c r="I2134">
        <v>39</v>
      </c>
      <c r="J2134">
        <v>58</v>
      </c>
      <c r="K2134">
        <v>42</v>
      </c>
      <c r="L2134">
        <v>45</v>
      </c>
      <c r="M2134">
        <v>39</v>
      </c>
      <c r="N2134">
        <v>51</v>
      </c>
      <c r="O2134">
        <v>48</v>
      </c>
      <c r="P2134">
        <v>22</v>
      </c>
      <c r="Q2134">
        <v>30</v>
      </c>
      <c r="R2134">
        <v>39</v>
      </c>
      <c r="S2134">
        <v>35</v>
      </c>
      <c r="T2134">
        <f t="shared" si="101"/>
        <v>485</v>
      </c>
      <c r="U2134">
        <v>1</v>
      </c>
    </row>
    <row r="2135" spans="1:21" x14ac:dyDescent="0.3">
      <c r="A2135" t="str">
        <f t="shared" si="99"/>
        <v>WiltshireReablement &amp; Rehabilitation at home  (pathway 1)2</v>
      </c>
      <c r="B2135">
        <f>IF(C2135="","",COUNTIF($C$2:C2135,C2135))</f>
        <v>2</v>
      </c>
      <c r="C2135" t="str">
        <f t="shared" si="100"/>
        <v>WiltshireReablement at home  (pathway 1)</v>
      </c>
      <c r="D2135" t="str">
        <f>VLOOKUP(G2135,PathwayLookup!A:B,2,0)</f>
        <v>Reablement &amp; Rehabilitation at home  (pathway 1)</v>
      </c>
      <c r="E2135" t="s">
        <v>355</v>
      </c>
      <c r="F2135" t="s">
        <v>582</v>
      </c>
      <c r="G2135" t="s">
        <v>718</v>
      </c>
      <c r="H2135">
        <v>61</v>
      </c>
      <c r="I2135">
        <v>87</v>
      </c>
      <c r="J2135">
        <v>64</v>
      </c>
      <c r="K2135">
        <v>68</v>
      </c>
      <c r="L2135">
        <v>83</v>
      </c>
      <c r="M2135">
        <v>85</v>
      </c>
      <c r="N2135">
        <v>54</v>
      </c>
      <c r="O2135">
        <v>51</v>
      </c>
      <c r="P2135">
        <v>50</v>
      </c>
      <c r="Q2135">
        <v>55</v>
      </c>
      <c r="R2135">
        <v>65</v>
      </c>
      <c r="S2135">
        <v>76</v>
      </c>
      <c r="T2135">
        <f t="shared" si="101"/>
        <v>799</v>
      </c>
      <c r="U2135">
        <v>1</v>
      </c>
    </row>
    <row r="2136" spans="1:21" x14ac:dyDescent="0.3">
      <c r="A2136" t="str">
        <f t="shared" si="99"/>
        <v>WiltshireReablement &amp; Rehabilitation at home  (pathway 1)3</v>
      </c>
      <c r="B2136">
        <f>IF(C2136="","",COUNTIF($C$2:C2136,C2136))</f>
        <v>3</v>
      </c>
      <c r="C2136" t="str">
        <f t="shared" si="100"/>
        <v>WiltshireReablement at home  (pathway 1)</v>
      </c>
      <c r="D2136" t="str">
        <f>VLOOKUP(G2136,PathwayLookup!A:B,2,0)</f>
        <v>Reablement &amp; Rehabilitation at home  (pathway 1)</v>
      </c>
      <c r="E2136" t="s">
        <v>355</v>
      </c>
      <c r="F2136" t="s">
        <v>583</v>
      </c>
      <c r="G2136" t="s">
        <v>718</v>
      </c>
      <c r="H2136">
        <v>56</v>
      </c>
      <c r="I2136">
        <v>71</v>
      </c>
      <c r="J2136">
        <v>49</v>
      </c>
      <c r="K2136">
        <v>52</v>
      </c>
      <c r="L2136">
        <v>69</v>
      </c>
      <c r="M2136">
        <v>53</v>
      </c>
      <c r="N2136">
        <v>46</v>
      </c>
      <c r="O2136">
        <v>57</v>
      </c>
      <c r="P2136">
        <v>42</v>
      </c>
      <c r="Q2136">
        <v>45</v>
      </c>
      <c r="R2136">
        <v>59</v>
      </c>
      <c r="S2136">
        <v>69</v>
      </c>
      <c r="T2136">
        <f t="shared" si="101"/>
        <v>668</v>
      </c>
      <c r="U2136">
        <v>1</v>
      </c>
    </row>
    <row r="2137" spans="1:21" x14ac:dyDescent="0.3">
      <c r="A2137" t="str">
        <f t="shared" si="99"/>
        <v>WiltshireReablement &amp; Rehabilitation in a bedded setting (pathway 2)1</v>
      </c>
      <c r="B2137">
        <f>IF(C2137="","",COUNTIF($C$2:C2137,C2137))</f>
        <v>1</v>
      </c>
      <c r="C2137" t="str">
        <f t="shared" si="100"/>
        <v>WiltshireReablement in a bedded setting (pathway 2)</v>
      </c>
      <c r="D2137" t="str">
        <f>VLOOKUP(G2137,PathwayLookup!A:B,2,0)</f>
        <v>Reablement &amp; Rehabilitation in a bedded setting (pathway 2)</v>
      </c>
      <c r="E2137" t="s">
        <v>355</v>
      </c>
      <c r="F2137" t="s">
        <v>508</v>
      </c>
      <c r="G2137" t="s">
        <v>722</v>
      </c>
      <c r="H2137">
        <v>38</v>
      </c>
      <c r="I2137">
        <v>34</v>
      </c>
      <c r="J2137">
        <v>51</v>
      </c>
      <c r="K2137">
        <v>38</v>
      </c>
      <c r="L2137">
        <v>52</v>
      </c>
      <c r="M2137">
        <v>42</v>
      </c>
      <c r="N2137">
        <v>43</v>
      </c>
      <c r="O2137">
        <v>57</v>
      </c>
      <c r="P2137">
        <v>22</v>
      </c>
      <c r="Q2137">
        <v>41</v>
      </c>
      <c r="R2137">
        <v>21</v>
      </c>
      <c r="S2137">
        <v>26</v>
      </c>
      <c r="T2137">
        <f t="shared" si="101"/>
        <v>465</v>
      </c>
      <c r="U2137">
        <v>1</v>
      </c>
    </row>
    <row r="2138" spans="1:21" x14ac:dyDescent="0.3">
      <c r="A2138" t="str">
        <f t="shared" si="99"/>
        <v>WiltshireReablement &amp; Rehabilitation in a bedded setting (pathway 2)2</v>
      </c>
      <c r="B2138">
        <f>IF(C2138="","",COUNTIF($C$2:C2138,C2138))</f>
        <v>2</v>
      </c>
      <c r="C2138" t="str">
        <f t="shared" si="100"/>
        <v>WiltshireReablement in a bedded setting (pathway 2)</v>
      </c>
      <c r="D2138" t="str">
        <f>VLOOKUP(G2138,PathwayLookup!A:B,2,0)</f>
        <v>Reablement &amp; Rehabilitation in a bedded setting (pathway 2)</v>
      </c>
      <c r="E2138" t="s">
        <v>355</v>
      </c>
      <c r="F2138" t="s">
        <v>582</v>
      </c>
      <c r="G2138" t="s">
        <v>722</v>
      </c>
      <c r="H2138">
        <v>62</v>
      </c>
      <c r="I2138">
        <v>60</v>
      </c>
      <c r="J2138">
        <v>60</v>
      </c>
      <c r="K2138">
        <v>45</v>
      </c>
      <c r="L2138">
        <v>52</v>
      </c>
      <c r="M2138">
        <v>58</v>
      </c>
      <c r="N2138">
        <v>43</v>
      </c>
      <c r="O2138">
        <v>49</v>
      </c>
      <c r="P2138">
        <v>44</v>
      </c>
      <c r="Q2138">
        <v>61</v>
      </c>
      <c r="R2138">
        <v>56</v>
      </c>
      <c r="S2138">
        <v>50</v>
      </c>
      <c r="T2138">
        <f t="shared" si="101"/>
        <v>640</v>
      </c>
      <c r="U2138">
        <v>1</v>
      </c>
    </row>
    <row r="2139" spans="1:21" x14ac:dyDescent="0.3">
      <c r="A2139" t="str">
        <f t="shared" si="99"/>
        <v>WiltshireReablement &amp; Rehabilitation in a bedded setting (pathway 2)3</v>
      </c>
      <c r="B2139">
        <f>IF(C2139="","",COUNTIF($C$2:C2139,C2139))</f>
        <v>3</v>
      </c>
      <c r="C2139" t="str">
        <f t="shared" si="100"/>
        <v>WiltshireReablement in a bedded setting (pathway 2)</v>
      </c>
      <c r="D2139" t="str">
        <f>VLOOKUP(G2139,PathwayLookup!A:B,2,0)</f>
        <v>Reablement &amp; Rehabilitation in a bedded setting (pathway 2)</v>
      </c>
      <c r="E2139" t="s">
        <v>355</v>
      </c>
      <c r="F2139" t="s">
        <v>583</v>
      </c>
      <c r="G2139" t="s">
        <v>722</v>
      </c>
      <c r="H2139">
        <v>54</v>
      </c>
      <c r="I2139">
        <v>67</v>
      </c>
      <c r="J2139">
        <v>40</v>
      </c>
      <c r="K2139">
        <v>42</v>
      </c>
      <c r="L2139">
        <v>35</v>
      </c>
      <c r="M2139">
        <v>44</v>
      </c>
      <c r="N2139">
        <v>38</v>
      </c>
      <c r="O2139">
        <v>51</v>
      </c>
      <c r="P2139">
        <v>47</v>
      </c>
      <c r="Q2139">
        <v>27</v>
      </c>
      <c r="R2139">
        <v>53</v>
      </c>
      <c r="S2139">
        <v>38</v>
      </c>
      <c r="T2139">
        <f t="shared" si="101"/>
        <v>536</v>
      </c>
      <c r="U2139">
        <v>1</v>
      </c>
    </row>
    <row r="2140" spans="1:21" x14ac:dyDescent="0.3">
      <c r="A2140" t="str">
        <f t="shared" si="99"/>
        <v>WiltshireShort-term residential/nursing care for someone likely to require a longer-term care home placement (pathway 3)1</v>
      </c>
      <c r="B2140">
        <f>IF(C2140="","",COUNTIF($C$2:C2140,C2140))</f>
        <v>1</v>
      </c>
      <c r="C2140" t="str">
        <f t="shared" si="100"/>
        <v>WiltshireShort-term residential/nursing care for someone likely to require a longer-term care home placement (pathway 3)</v>
      </c>
      <c r="D2140" t="str">
        <f>VLOOKUP(G2140,PathwayLookup!A:B,2,0)</f>
        <v>Short-term residential/nursing care for someone likely to require a longer-term care home placement (pathway 3)</v>
      </c>
      <c r="E2140" t="s">
        <v>355</v>
      </c>
      <c r="F2140" t="s">
        <v>508</v>
      </c>
      <c r="G2140" t="s">
        <v>686</v>
      </c>
      <c r="H2140">
        <v>4</v>
      </c>
      <c r="I2140">
        <v>6</v>
      </c>
      <c r="J2140">
        <v>8</v>
      </c>
      <c r="K2140">
        <v>6</v>
      </c>
      <c r="L2140">
        <v>4</v>
      </c>
      <c r="M2140">
        <v>11</v>
      </c>
      <c r="N2140">
        <v>3</v>
      </c>
      <c r="O2140">
        <v>4</v>
      </c>
      <c r="P2140">
        <v>2</v>
      </c>
      <c r="Q2140">
        <v>5</v>
      </c>
      <c r="R2140">
        <v>2</v>
      </c>
      <c r="S2140">
        <v>6</v>
      </c>
      <c r="T2140">
        <f t="shared" si="101"/>
        <v>61</v>
      </c>
      <c r="U2140">
        <v>1</v>
      </c>
    </row>
    <row r="2141" spans="1:21" x14ac:dyDescent="0.3">
      <c r="A2141" t="str">
        <f t="shared" si="99"/>
        <v>WiltshireShort-term residential/nursing care for someone likely to require a longer-term care home placement (pathway 3)2</v>
      </c>
      <c r="B2141">
        <f>IF(C2141="","",COUNTIF($C$2:C2141,C2141))</f>
        <v>2</v>
      </c>
      <c r="C2141" t="str">
        <f t="shared" si="100"/>
        <v>WiltshireShort-term residential/nursing care for someone likely to require a longer-term care home placement (pathway 3)</v>
      </c>
      <c r="D2141" t="str">
        <f>VLOOKUP(G2141,PathwayLookup!A:B,2,0)</f>
        <v>Short-term residential/nursing care for someone likely to require a longer-term care home placement (pathway 3)</v>
      </c>
      <c r="E2141" t="s">
        <v>355</v>
      </c>
      <c r="F2141" t="s">
        <v>582</v>
      </c>
      <c r="G2141" t="s">
        <v>686</v>
      </c>
      <c r="H2141">
        <v>13</v>
      </c>
      <c r="I2141">
        <v>15</v>
      </c>
      <c r="J2141">
        <v>20</v>
      </c>
      <c r="K2141">
        <v>15</v>
      </c>
      <c r="L2141">
        <v>14</v>
      </c>
      <c r="M2141">
        <v>14</v>
      </c>
      <c r="N2141">
        <v>12</v>
      </c>
      <c r="O2141">
        <v>13</v>
      </c>
      <c r="P2141">
        <v>14</v>
      </c>
      <c r="Q2141">
        <v>11</v>
      </c>
      <c r="R2141">
        <v>11</v>
      </c>
      <c r="S2141">
        <v>14</v>
      </c>
      <c r="T2141">
        <f t="shared" si="101"/>
        <v>166</v>
      </c>
      <c r="U2141">
        <v>1</v>
      </c>
    </row>
    <row r="2142" spans="1:21" x14ac:dyDescent="0.3">
      <c r="A2142" t="str">
        <f t="shared" si="99"/>
        <v>WiltshireShort-term residential/nursing care for someone likely to require a longer-term care home placement (pathway 3)3</v>
      </c>
      <c r="B2142">
        <f>IF(C2142="","",COUNTIF($C$2:C2142,C2142))</f>
        <v>3</v>
      </c>
      <c r="C2142" t="str">
        <f t="shared" si="100"/>
        <v>WiltshireShort-term residential/nursing care for someone likely to require a longer-term care home placement (pathway 3)</v>
      </c>
      <c r="D2142" t="str">
        <f>VLOOKUP(G2142,PathwayLookup!A:B,2,0)</f>
        <v>Short-term residential/nursing care for someone likely to require a longer-term care home placement (pathway 3)</v>
      </c>
      <c r="E2142" t="s">
        <v>355</v>
      </c>
      <c r="F2142" t="s">
        <v>583</v>
      </c>
      <c r="G2142" t="s">
        <v>686</v>
      </c>
      <c r="H2142">
        <v>11</v>
      </c>
      <c r="I2142">
        <v>9</v>
      </c>
      <c r="J2142">
        <v>9</v>
      </c>
      <c r="K2142">
        <v>12</v>
      </c>
      <c r="L2142">
        <v>5</v>
      </c>
      <c r="M2142">
        <v>5</v>
      </c>
      <c r="N2142">
        <v>12</v>
      </c>
      <c r="O2142">
        <v>8</v>
      </c>
      <c r="P2142">
        <v>8</v>
      </c>
      <c r="Q2142">
        <v>9</v>
      </c>
      <c r="R2142">
        <v>7</v>
      </c>
      <c r="S2142">
        <v>5</v>
      </c>
      <c r="T2142">
        <f t="shared" si="101"/>
        <v>100</v>
      </c>
      <c r="U2142">
        <v>1</v>
      </c>
    </row>
    <row r="2143" spans="1:21" x14ac:dyDescent="0.3">
      <c r="A2143" t="str">
        <f t="shared" si="99"/>
        <v>Windsor and MaidenheadSocial support (including VCS) (pathway 0)1</v>
      </c>
      <c r="B2143">
        <f>IF(C2143="","",COUNTIF($C$2:C2143,C2143))</f>
        <v>1</v>
      </c>
      <c r="C2143" t="str">
        <f t="shared" si="100"/>
        <v>Windsor and MaidenheadSocial support (including VCS) (pathway 0)</v>
      </c>
      <c r="D2143" t="str">
        <f>VLOOKUP(G2143,PathwayLookup!A:B,2,0)</f>
        <v>Social support (including VCS) (pathway 0)</v>
      </c>
      <c r="E2143" t="s">
        <v>357</v>
      </c>
      <c r="F2143" t="s">
        <v>448</v>
      </c>
      <c r="G2143" t="s">
        <v>682</v>
      </c>
      <c r="H2143">
        <v>918</v>
      </c>
      <c r="I2143">
        <v>918</v>
      </c>
      <c r="J2143">
        <v>918</v>
      </c>
      <c r="K2143">
        <v>918</v>
      </c>
      <c r="L2143">
        <v>918</v>
      </c>
      <c r="M2143">
        <v>918</v>
      </c>
      <c r="N2143">
        <v>918</v>
      </c>
      <c r="O2143">
        <v>918</v>
      </c>
      <c r="P2143">
        <v>918</v>
      </c>
      <c r="Q2143">
        <v>918</v>
      </c>
      <c r="R2143">
        <v>918</v>
      </c>
      <c r="S2143">
        <v>918</v>
      </c>
      <c r="T2143">
        <f t="shared" si="101"/>
        <v>11016</v>
      </c>
      <c r="U2143">
        <v>1</v>
      </c>
    </row>
    <row r="2144" spans="1:21" x14ac:dyDescent="0.3">
      <c r="A2144" t="str">
        <f t="shared" si="99"/>
        <v>Windsor and MaidenheadReablement &amp; Rehabilitation at home  (pathway 1)1</v>
      </c>
      <c r="B2144">
        <f>IF(C2144="","",COUNTIF($C$2:C2144,C2144))</f>
        <v>1</v>
      </c>
      <c r="C2144" t="str">
        <f t="shared" si="100"/>
        <v>Windsor and MaidenheadReablement at home  (pathway 1)</v>
      </c>
      <c r="D2144" t="str">
        <f>VLOOKUP(G2144,PathwayLookup!A:B,2,0)</f>
        <v>Reablement &amp; Rehabilitation at home  (pathway 1)</v>
      </c>
      <c r="E2144" t="s">
        <v>357</v>
      </c>
      <c r="F2144" t="s">
        <v>448</v>
      </c>
      <c r="G2144" t="s">
        <v>718</v>
      </c>
      <c r="H2144">
        <v>84</v>
      </c>
      <c r="I2144">
        <v>84</v>
      </c>
      <c r="J2144">
        <v>84</v>
      </c>
      <c r="K2144">
        <v>84</v>
      </c>
      <c r="L2144">
        <v>84</v>
      </c>
      <c r="M2144">
        <v>84</v>
      </c>
      <c r="N2144">
        <v>84</v>
      </c>
      <c r="O2144">
        <v>84</v>
      </c>
      <c r="P2144">
        <v>84</v>
      </c>
      <c r="Q2144">
        <v>84</v>
      </c>
      <c r="R2144">
        <v>84</v>
      </c>
      <c r="S2144">
        <v>84</v>
      </c>
      <c r="T2144">
        <f t="shared" si="101"/>
        <v>1008</v>
      </c>
      <c r="U2144">
        <v>1</v>
      </c>
    </row>
    <row r="2145" spans="1:21" x14ac:dyDescent="0.3">
      <c r="A2145" t="str">
        <f t="shared" si="99"/>
        <v>Windsor and MaidenheadShort term domiciliary care (pathway 1)1</v>
      </c>
      <c r="B2145">
        <f>IF(C2145="","",COUNTIF($C$2:C2145,C2145))</f>
        <v>1</v>
      </c>
      <c r="C2145" t="str">
        <f t="shared" si="100"/>
        <v>Windsor and MaidenheadShort term domiciliary care (pathway 1)</v>
      </c>
      <c r="D2145" t="str">
        <f>VLOOKUP(G2145,PathwayLookup!A:B,2,0)</f>
        <v>Short term domiciliary care (pathway 1)</v>
      </c>
      <c r="E2145" t="s">
        <v>357</v>
      </c>
      <c r="F2145" t="s">
        <v>448</v>
      </c>
      <c r="G2145" t="s">
        <v>684</v>
      </c>
      <c r="H2145">
        <v>13</v>
      </c>
      <c r="I2145">
        <v>13</v>
      </c>
      <c r="J2145">
        <v>13</v>
      </c>
      <c r="K2145">
        <v>13</v>
      </c>
      <c r="L2145">
        <v>13</v>
      </c>
      <c r="M2145">
        <v>13</v>
      </c>
      <c r="N2145">
        <v>13</v>
      </c>
      <c r="O2145">
        <v>13</v>
      </c>
      <c r="P2145">
        <v>13</v>
      </c>
      <c r="Q2145">
        <v>13</v>
      </c>
      <c r="R2145">
        <v>13</v>
      </c>
      <c r="S2145">
        <v>13</v>
      </c>
      <c r="T2145">
        <f t="shared" si="101"/>
        <v>156</v>
      </c>
      <c r="U2145">
        <v>1</v>
      </c>
    </row>
    <row r="2146" spans="1:21" x14ac:dyDescent="0.3">
      <c r="A2146" t="str">
        <f t="shared" si="99"/>
        <v>Windsor and MaidenheadReablement &amp; Rehabilitation in a bedded setting (pathway 2)1</v>
      </c>
      <c r="B2146">
        <f>IF(C2146="","",COUNTIF($C$2:C2146,C2146))</f>
        <v>1</v>
      </c>
      <c r="C2146" t="str">
        <f t="shared" si="100"/>
        <v>Windsor and MaidenheadReablement in a bedded setting (pathway 2)</v>
      </c>
      <c r="D2146" t="str">
        <f>VLOOKUP(G2146,PathwayLookup!A:B,2,0)</f>
        <v>Reablement &amp; Rehabilitation in a bedded setting (pathway 2)</v>
      </c>
      <c r="E2146" t="s">
        <v>357</v>
      </c>
      <c r="F2146" t="s">
        <v>448</v>
      </c>
      <c r="G2146" t="s">
        <v>722</v>
      </c>
      <c r="H2146">
        <v>55</v>
      </c>
      <c r="I2146">
        <v>55</v>
      </c>
      <c r="J2146">
        <v>55</v>
      </c>
      <c r="K2146">
        <v>55</v>
      </c>
      <c r="L2146">
        <v>55</v>
      </c>
      <c r="M2146">
        <v>55</v>
      </c>
      <c r="N2146">
        <v>55</v>
      </c>
      <c r="O2146">
        <v>55</v>
      </c>
      <c r="P2146">
        <v>55</v>
      </c>
      <c r="Q2146">
        <v>55</v>
      </c>
      <c r="R2146">
        <v>55</v>
      </c>
      <c r="S2146">
        <v>55</v>
      </c>
      <c r="T2146">
        <f t="shared" si="101"/>
        <v>660</v>
      </c>
      <c r="U2146">
        <v>1</v>
      </c>
    </row>
    <row r="2147" spans="1:21" x14ac:dyDescent="0.3">
      <c r="A2147" t="str">
        <f t="shared" si="99"/>
        <v>Windsor and MaidenheadShort-term residential/nursing care for someone likely to require a longer-term care home placement (pathway 3)1</v>
      </c>
      <c r="B2147">
        <f>IF(C2147="","",COUNTIF($C$2:C2147,C2147))</f>
        <v>1</v>
      </c>
      <c r="C2147" t="str">
        <f t="shared" si="100"/>
        <v>Windsor and MaidenheadShort-term residential/nursing care for someone likely to require a longer-term care home placement (pathway 3)</v>
      </c>
      <c r="D2147" t="str">
        <f>VLOOKUP(G2147,PathwayLookup!A:B,2,0)</f>
        <v>Short-term residential/nursing care for someone likely to require a longer-term care home placement (pathway 3)</v>
      </c>
      <c r="E2147" t="s">
        <v>357</v>
      </c>
      <c r="F2147" t="s">
        <v>448</v>
      </c>
      <c r="G2147" t="s">
        <v>686</v>
      </c>
      <c r="H2147">
        <v>16</v>
      </c>
      <c r="I2147">
        <v>16</v>
      </c>
      <c r="J2147">
        <v>16</v>
      </c>
      <c r="K2147">
        <v>16</v>
      </c>
      <c r="L2147">
        <v>16</v>
      </c>
      <c r="M2147">
        <v>16</v>
      </c>
      <c r="N2147">
        <v>16</v>
      </c>
      <c r="O2147">
        <v>16</v>
      </c>
      <c r="P2147">
        <v>16</v>
      </c>
      <c r="Q2147">
        <v>16</v>
      </c>
      <c r="R2147">
        <v>16</v>
      </c>
      <c r="S2147">
        <v>16</v>
      </c>
      <c r="T2147">
        <f t="shared" si="101"/>
        <v>192</v>
      </c>
      <c r="U2147">
        <v>1</v>
      </c>
    </row>
    <row r="2148" spans="1:21" x14ac:dyDescent="0.3">
      <c r="A2148" t="str">
        <f t="shared" si="99"/>
        <v/>
      </c>
      <c r="B2148" t="str">
        <f>IF(C2148="","",COUNTIF($C$2:C2148,C2148))</f>
        <v/>
      </c>
      <c r="C2148" t="str">
        <f t="shared" si="100"/>
        <v/>
      </c>
      <c r="D2148" t="str">
        <f>VLOOKUP(G2148,PathwayLookup!A:B,2,0)</f>
        <v>Social support (including VCS) (pathway 0)</v>
      </c>
      <c r="E2148" t="s">
        <v>359</v>
      </c>
      <c r="F2148" t="s">
        <v>645</v>
      </c>
      <c r="G2148" t="s">
        <v>682</v>
      </c>
      <c r="H2148">
        <v>0</v>
      </c>
      <c r="I2148">
        <v>0</v>
      </c>
      <c r="J2148">
        <v>0</v>
      </c>
      <c r="K2148">
        <v>0</v>
      </c>
      <c r="L2148">
        <v>0</v>
      </c>
      <c r="M2148">
        <v>0</v>
      </c>
      <c r="N2148">
        <v>0</v>
      </c>
      <c r="O2148">
        <v>0</v>
      </c>
      <c r="P2148">
        <v>0</v>
      </c>
      <c r="Q2148">
        <v>0</v>
      </c>
      <c r="R2148">
        <v>0</v>
      </c>
      <c r="S2148">
        <v>0</v>
      </c>
      <c r="T2148">
        <f t="shared" si="101"/>
        <v>0</v>
      </c>
      <c r="U2148">
        <v>1</v>
      </c>
    </row>
    <row r="2149" spans="1:21" x14ac:dyDescent="0.3">
      <c r="A2149" t="str">
        <f t="shared" si="99"/>
        <v>WirralReablement &amp; Rehabilitation at home  (pathway 1)1</v>
      </c>
      <c r="B2149">
        <f>IF(C2149="","",COUNTIF($C$2:C2149,C2149))</f>
        <v>1</v>
      </c>
      <c r="C2149" t="str">
        <f t="shared" si="100"/>
        <v>WirralReablement at home  (pathway 1)</v>
      </c>
      <c r="D2149" t="str">
        <f>VLOOKUP(G2149,PathwayLookup!A:B,2,0)</f>
        <v>Reablement &amp; Rehabilitation at home  (pathway 1)</v>
      </c>
      <c r="E2149" t="s">
        <v>359</v>
      </c>
      <c r="F2149" t="s">
        <v>645</v>
      </c>
      <c r="G2149" t="s">
        <v>718</v>
      </c>
      <c r="H2149">
        <v>34</v>
      </c>
      <c r="I2149">
        <v>36</v>
      </c>
      <c r="J2149">
        <v>37</v>
      </c>
      <c r="K2149">
        <v>37</v>
      </c>
      <c r="L2149">
        <v>38</v>
      </c>
      <c r="M2149">
        <v>36</v>
      </c>
      <c r="N2149">
        <v>40</v>
      </c>
      <c r="O2149">
        <v>41</v>
      </c>
      <c r="P2149">
        <v>41</v>
      </c>
      <c r="Q2149">
        <v>37</v>
      </c>
      <c r="R2149">
        <v>34</v>
      </c>
      <c r="S2149">
        <v>34</v>
      </c>
      <c r="T2149">
        <f t="shared" si="101"/>
        <v>445</v>
      </c>
      <c r="U2149">
        <v>1</v>
      </c>
    </row>
    <row r="2150" spans="1:21" x14ac:dyDescent="0.3">
      <c r="A2150" t="str">
        <f t="shared" si="99"/>
        <v/>
      </c>
      <c r="B2150" t="str">
        <f>IF(C2150="","",COUNTIF($C$2:C2150,C2150))</f>
        <v/>
      </c>
      <c r="C2150" t="str">
        <f t="shared" si="100"/>
        <v/>
      </c>
      <c r="D2150" t="str">
        <f>VLOOKUP(G2150,PathwayLookup!A:B,2,0)</f>
        <v>Reablement &amp; Rehabilitation at home  (pathway 1)</v>
      </c>
      <c r="E2150" t="s">
        <v>359</v>
      </c>
      <c r="F2150" t="s">
        <v>645</v>
      </c>
      <c r="G2150" t="s">
        <v>719</v>
      </c>
      <c r="H2150">
        <v>0</v>
      </c>
      <c r="I2150">
        <v>0</v>
      </c>
      <c r="J2150">
        <v>0</v>
      </c>
      <c r="K2150">
        <v>0</v>
      </c>
      <c r="L2150">
        <v>0</v>
      </c>
      <c r="M2150">
        <v>0</v>
      </c>
      <c r="N2150">
        <v>0</v>
      </c>
      <c r="O2150">
        <v>0</v>
      </c>
      <c r="P2150">
        <v>0</v>
      </c>
      <c r="Q2150">
        <v>0</v>
      </c>
      <c r="R2150">
        <v>0</v>
      </c>
      <c r="S2150">
        <v>0</v>
      </c>
      <c r="T2150">
        <f t="shared" si="101"/>
        <v>0</v>
      </c>
      <c r="U2150">
        <v>1</v>
      </c>
    </row>
    <row r="2151" spans="1:21" x14ac:dyDescent="0.3">
      <c r="A2151" t="str">
        <f t="shared" si="99"/>
        <v/>
      </c>
      <c r="B2151" t="str">
        <f>IF(C2151="","",COUNTIF($C$2:C2151,C2151))</f>
        <v/>
      </c>
      <c r="C2151" t="str">
        <f t="shared" si="100"/>
        <v/>
      </c>
      <c r="D2151" t="str">
        <f>VLOOKUP(G2151,PathwayLookup!A:B,2,0)</f>
        <v>Short term domiciliary care (pathway 1)</v>
      </c>
      <c r="E2151" t="s">
        <v>359</v>
      </c>
      <c r="F2151" t="s">
        <v>645</v>
      </c>
      <c r="G2151" t="s">
        <v>684</v>
      </c>
      <c r="H2151">
        <v>0</v>
      </c>
      <c r="I2151">
        <v>0</v>
      </c>
      <c r="J2151">
        <v>0</v>
      </c>
      <c r="K2151">
        <v>0</v>
      </c>
      <c r="L2151">
        <v>0</v>
      </c>
      <c r="M2151">
        <v>0</v>
      </c>
      <c r="N2151">
        <v>0</v>
      </c>
      <c r="O2151">
        <v>0</v>
      </c>
      <c r="P2151">
        <v>0</v>
      </c>
      <c r="Q2151">
        <v>0</v>
      </c>
      <c r="R2151">
        <v>0</v>
      </c>
      <c r="S2151">
        <v>0</v>
      </c>
      <c r="T2151">
        <f t="shared" si="101"/>
        <v>0</v>
      </c>
      <c r="U2151">
        <v>1</v>
      </c>
    </row>
    <row r="2152" spans="1:21" x14ac:dyDescent="0.3">
      <c r="A2152" t="str">
        <f t="shared" si="99"/>
        <v/>
      </c>
      <c r="B2152" t="str">
        <f>IF(C2152="","",COUNTIF($C$2:C2152,C2152))</f>
        <v/>
      </c>
      <c r="C2152" t="str">
        <f t="shared" si="100"/>
        <v/>
      </c>
      <c r="D2152" t="str">
        <f>VLOOKUP(G2152,PathwayLookup!A:B,2,0)</f>
        <v>Reablement &amp; Rehabilitation in a bedded setting (pathway 2)</v>
      </c>
      <c r="E2152" t="s">
        <v>359</v>
      </c>
      <c r="F2152" t="s">
        <v>645</v>
      </c>
      <c r="G2152" t="s">
        <v>722</v>
      </c>
      <c r="H2152">
        <v>0</v>
      </c>
      <c r="I2152">
        <v>0</v>
      </c>
      <c r="J2152">
        <v>0</v>
      </c>
      <c r="K2152">
        <v>0</v>
      </c>
      <c r="L2152">
        <v>0</v>
      </c>
      <c r="M2152">
        <v>0</v>
      </c>
      <c r="N2152">
        <v>0</v>
      </c>
      <c r="O2152">
        <v>0</v>
      </c>
      <c r="P2152">
        <v>0</v>
      </c>
      <c r="Q2152">
        <v>0</v>
      </c>
      <c r="R2152">
        <v>0</v>
      </c>
      <c r="S2152">
        <v>0</v>
      </c>
      <c r="T2152">
        <f t="shared" si="101"/>
        <v>0</v>
      </c>
      <c r="U2152">
        <v>1</v>
      </c>
    </row>
    <row r="2153" spans="1:21" x14ac:dyDescent="0.3">
      <c r="A2153" t="str">
        <f t="shared" si="99"/>
        <v>WirralReablement &amp; Rehabilitation in a bedded setting (pathway 2)1</v>
      </c>
      <c r="B2153">
        <f>IF(C2153="","",COUNTIF($C$2:C2153,C2153))</f>
        <v>1</v>
      </c>
      <c r="C2153" t="str">
        <f t="shared" si="100"/>
        <v>WirralRehabilitation in a bedded setting (pathway 2)</v>
      </c>
      <c r="D2153" t="str">
        <f>VLOOKUP(G2153,PathwayLookup!A:B,2,0)</f>
        <v>Reablement &amp; Rehabilitation in a bedded setting (pathway 2)</v>
      </c>
      <c r="E2153" t="s">
        <v>359</v>
      </c>
      <c r="F2153" t="s">
        <v>645</v>
      </c>
      <c r="G2153" t="s">
        <v>724</v>
      </c>
      <c r="H2153">
        <v>54</v>
      </c>
      <c r="I2153">
        <v>75</v>
      </c>
      <c r="J2153">
        <v>78</v>
      </c>
      <c r="K2153">
        <v>79</v>
      </c>
      <c r="L2153">
        <v>79</v>
      </c>
      <c r="M2153">
        <v>78</v>
      </c>
      <c r="N2153">
        <v>82</v>
      </c>
      <c r="O2153">
        <v>86</v>
      </c>
      <c r="P2153">
        <v>87</v>
      </c>
      <c r="Q2153">
        <v>79</v>
      </c>
      <c r="R2153">
        <v>74</v>
      </c>
      <c r="S2153">
        <v>74</v>
      </c>
      <c r="T2153">
        <f t="shared" si="101"/>
        <v>925</v>
      </c>
      <c r="U2153">
        <v>1</v>
      </c>
    </row>
    <row r="2154" spans="1:21" x14ac:dyDescent="0.3">
      <c r="A2154" t="str">
        <f t="shared" si="99"/>
        <v>WirralShort-term residential/nursing care for someone likely to require a longer-term care home placement (pathway 3)1</v>
      </c>
      <c r="B2154">
        <f>IF(C2154="","",COUNTIF($C$2:C2154,C2154))</f>
        <v>1</v>
      </c>
      <c r="C2154" t="str">
        <f t="shared" si="100"/>
        <v>WirralShort-term residential/nursing care for someone likely to require a longer-term care home placement (pathway 3)</v>
      </c>
      <c r="D2154" t="str">
        <f>VLOOKUP(G2154,PathwayLookup!A:B,2,0)</f>
        <v>Short-term residential/nursing care for someone likely to require a longer-term care home placement (pathway 3)</v>
      </c>
      <c r="E2154" t="s">
        <v>359</v>
      </c>
      <c r="F2154" t="s">
        <v>645</v>
      </c>
      <c r="G2154" t="s">
        <v>686</v>
      </c>
      <c r="H2154">
        <v>11</v>
      </c>
      <c r="I2154">
        <v>16</v>
      </c>
      <c r="J2154">
        <v>20</v>
      </c>
      <c r="K2154">
        <v>25</v>
      </c>
      <c r="L2154">
        <v>30</v>
      </c>
      <c r="M2154">
        <v>32</v>
      </c>
      <c r="N2154">
        <v>33</v>
      </c>
      <c r="O2154">
        <v>33</v>
      </c>
      <c r="P2154">
        <v>34</v>
      </c>
      <c r="Q2154">
        <v>34</v>
      </c>
      <c r="R2154">
        <v>33</v>
      </c>
      <c r="S2154">
        <v>33</v>
      </c>
      <c r="T2154">
        <f t="shared" si="101"/>
        <v>334</v>
      </c>
      <c r="U2154">
        <v>1</v>
      </c>
    </row>
    <row r="2155" spans="1:21" x14ac:dyDescent="0.3">
      <c r="A2155" t="str">
        <f t="shared" si="99"/>
        <v>WokinghamSocial support (including VCS) (pathway 0)1</v>
      </c>
      <c r="B2155">
        <f>IF(C2155="","",COUNTIF($C$2:C2155,C2155))</f>
        <v>1</v>
      </c>
      <c r="C2155" t="str">
        <f t="shared" si="100"/>
        <v>WokinghamSocial support (including VCS) (pathway 0)</v>
      </c>
      <c r="D2155" t="str">
        <f>VLOOKUP(G2155,PathwayLookup!A:B,2,0)</f>
        <v>Social support (including VCS) (pathway 0)</v>
      </c>
      <c r="E2155" t="s">
        <v>361</v>
      </c>
      <c r="F2155" t="s">
        <v>575</v>
      </c>
      <c r="G2155" t="s">
        <v>682</v>
      </c>
      <c r="H2155">
        <v>12</v>
      </c>
      <c r="I2155">
        <v>12</v>
      </c>
      <c r="J2155">
        <v>12</v>
      </c>
      <c r="K2155">
        <v>12</v>
      </c>
      <c r="L2155">
        <v>12</v>
      </c>
      <c r="M2155">
        <v>12</v>
      </c>
      <c r="N2155">
        <v>20</v>
      </c>
      <c r="O2155">
        <v>20</v>
      </c>
      <c r="P2155">
        <v>20</v>
      </c>
      <c r="Q2155">
        <v>20</v>
      </c>
      <c r="R2155">
        <v>20</v>
      </c>
      <c r="S2155">
        <v>20</v>
      </c>
      <c r="T2155">
        <f t="shared" si="101"/>
        <v>192</v>
      </c>
      <c r="U2155">
        <v>1</v>
      </c>
    </row>
    <row r="2156" spans="1:21" x14ac:dyDescent="0.3">
      <c r="A2156" t="str">
        <f t="shared" si="99"/>
        <v/>
      </c>
      <c r="B2156" t="str">
        <f>IF(C2156="","",COUNTIF($C$2:C2156,C2156))</f>
        <v/>
      </c>
      <c r="C2156" t="str">
        <f t="shared" si="100"/>
        <v/>
      </c>
      <c r="D2156" t="str">
        <f>VLOOKUP(G2156,PathwayLookup!A:B,2,0)</f>
        <v>Reablement &amp; Rehabilitation at home  (pathway 1)</v>
      </c>
      <c r="E2156" t="s">
        <v>361</v>
      </c>
      <c r="F2156" t="s">
        <v>575</v>
      </c>
      <c r="G2156" t="s">
        <v>718</v>
      </c>
      <c r="H2156">
        <v>0</v>
      </c>
      <c r="I2156">
        <v>0</v>
      </c>
      <c r="J2156">
        <v>0</v>
      </c>
      <c r="K2156">
        <v>0</v>
      </c>
      <c r="L2156">
        <v>0</v>
      </c>
      <c r="M2156">
        <v>0</v>
      </c>
      <c r="N2156">
        <v>0</v>
      </c>
      <c r="O2156">
        <v>0</v>
      </c>
      <c r="P2156">
        <v>0</v>
      </c>
      <c r="Q2156">
        <v>0</v>
      </c>
      <c r="R2156">
        <v>0</v>
      </c>
      <c r="S2156">
        <v>0</v>
      </c>
      <c r="T2156">
        <f t="shared" si="101"/>
        <v>0</v>
      </c>
      <c r="U2156">
        <v>1</v>
      </c>
    </row>
    <row r="2157" spans="1:21" x14ac:dyDescent="0.3">
      <c r="A2157" t="str">
        <f t="shared" si="99"/>
        <v>WokinghamReablement &amp; Rehabilitation at home  (pathway 1)1</v>
      </c>
      <c r="B2157">
        <f>IF(C2157="","",COUNTIF($C$2:C2157,C2157))</f>
        <v>1</v>
      </c>
      <c r="C2157" t="str">
        <f t="shared" si="100"/>
        <v>WokinghamRehabilitation at home (pathway 1)</v>
      </c>
      <c r="D2157" t="str">
        <f>VLOOKUP(G2157,PathwayLookup!A:B,2,0)</f>
        <v>Reablement &amp; Rehabilitation at home  (pathway 1)</v>
      </c>
      <c r="E2157" t="s">
        <v>361</v>
      </c>
      <c r="F2157" t="s">
        <v>575</v>
      </c>
      <c r="G2157" t="s">
        <v>719</v>
      </c>
      <c r="H2157">
        <v>21</v>
      </c>
      <c r="I2157">
        <v>26</v>
      </c>
      <c r="J2157">
        <v>29</v>
      </c>
      <c r="K2157">
        <v>20</v>
      </c>
      <c r="L2157">
        <v>18</v>
      </c>
      <c r="M2157">
        <v>21</v>
      </c>
      <c r="N2157">
        <v>19</v>
      </c>
      <c r="O2157">
        <v>27</v>
      </c>
      <c r="P2157">
        <v>24</v>
      </c>
      <c r="Q2157">
        <v>14</v>
      </c>
      <c r="R2157">
        <v>17</v>
      </c>
      <c r="S2157">
        <v>22</v>
      </c>
      <c r="T2157">
        <f t="shared" si="101"/>
        <v>258</v>
      </c>
      <c r="U2157">
        <v>1</v>
      </c>
    </row>
    <row r="2158" spans="1:21" x14ac:dyDescent="0.3">
      <c r="A2158" t="str">
        <f t="shared" si="99"/>
        <v>WokinghamReablement &amp; Rehabilitation in a bedded setting (pathway 2)1</v>
      </c>
      <c r="B2158">
        <f>IF(C2158="","",COUNTIF($C$2:C2158,C2158))</f>
        <v>1</v>
      </c>
      <c r="C2158" t="str">
        <f t="shared" si="100"/>
        <v>WokinghamReablement in a bedded setting (pathway 2)</v>
      </c>
      <c r="D2158" t="str">
        <f>VLOOKUP(G2158,PathwayLookup!A:B,2,0)</f>
        <v>Reablement &amp; Rehabilitation in a bedded setting (pathway 2)</v>
      </c>
      <c r="E2158" t="s">
        <v>361</v>
      </c>
      <c r="F2158" t="s">
        <v>575</v>
      </c>
      <c r="G2158" t="s">
        <v>722</v>
      </c>
      <c r="H2158">
        <v>115</v>
      </c>
      <c r="I2158">
        <v>115</v>
      </c>
      <c r="J2158">
        <v>115</v>
      </c>
      <c r="K2158">
        <v>115</v>
      </c>
      <c r="L2158">
        <v>115</v>
      </c>
      <c r="M2158">
        <v>115</v>
      </c>
      <c r="N2158">
        <v>115</v>
      </c>
      <c r="O2158">
        <v>115</v>
      </c>
      <c r="P2158">
        <v>115</v>
      </c>
      <c r="Q2158">
        <v>115</v>
      </c>
      <c r="R2158">
        <v>115</v>
      </c>
      <c r="S2158">
        <v>115</v>
      </c>
      <c r="T2158">
        <f t="shared" si="101"/>
        <v>1380</v>
      </c>
      <c r="U2158">
        <v>1</v>
      </c>
    </row>
    <row r="2159" spans="1:21" x14ac:dyDescent="0.3">
      <c r="A2159" t="str">
        <f t="shared" si="99"/>
        <v>WokinghamReablement &amp; Rehabilitation in a bedded setting (pathway 2)1</v>
      </c>
      <c r="B2159">
        <f>IF(C2159="","",COUNTIF($C$2:C2159,C2159))</f>
        <v>1</v>
      </c>
      <c r="C2159" t="str">
        <f t="shared" si="100"/>
        <v>WokinghamRehabilitation in a bedded setting (pathway 2)</v>
      </c>
      <c r="D2159" t="str">
        <f>VLOOKUP(G2159,PathwayLookup!A:B,2,0)</f>
        <v>Reablement &amp; Rehabilitation in a bedded setting (pathway 2)</v>
      </c>
      <c r="E2159" t="s">
        <v>361</v>
      </c>
      <c r="F2159" t="s">
        <v>575</v>
      </c>
      <c r="G2159" t="s">
        <v>724</v>
      </c>
      <c r="H2159">
        <v>4</v>
      </c>
      <c r="I2159">
        <v>4</v>
      </c>
      <c r="J2159">
        <v>4</v>
      </c>
      <c r="K2159">
        <v>4</v>
      </c>
      <c r="L2159">
        <v>4</v>
      </c>
      <c r="M2159">
        <v>4</v>
      </c>
      <c r="N2159">
        <v>4</v>
      </c>
      <c r="O2159">
        <v>4</v>
      </c>
      <c r="P2159">
        <v>4</v>
      </c>
      <c r="Q2159">
        <v>4</v>
      </c>
      <c r="R2159">
        <v>4</v>
      </c>
      <c r="S2159">
        <v>4</v>
      </c>
      <c r="T2159">
        <f t="shared" si="101"/>
        <v>48</v>
      </c>
      <c r="U2159">
        <v>1</v>
      </c>
    </row>
    <row r="2160" spans="1:21" x14ac:dyDescent="0.3">
      <c r="A2160" t="str">
        <f t="shared" si="99"/>
        <v>WokinghamShort term domiciliary care (pathway 1)1</v>
      </c>
      <c r="B2160">
        <f>IF(C2160="","",COUNTIF($C$2:C2160,C2160))</f>
        <v>1</v>
      </c>
      <c r="C2160" t="str">
        <f t="shared" si="100"/>
        <v>WokinghamShort term domiciliary care (pathway 1)</v>
      </c>
      <c r="D2160" t="str">
        <f>VLOOKUP(G2160,PathwayLookup!A:B,2,0)</f>
        <v>Short term domiciliary care (pathway 1)</v>
      </c>
      <c r="E2160" t="s">
        <v>361</v>
      </c>
      <c r="F2160" t="s">
        <v>575</v>
      </c>
      <c r="G2160" t="s">
        <v>684</v>
      </c>
      <c r="H2160">
        <v>5</v>
      </c>
      <c r="I2160">
        <v>5</v>
      </c>
      <c r="J2160">
        <v>5</v>
      </c>
      <c r="K2160">
        <v>5</v>
      </c>
      <c r="L2160">
        <v>5</v>
      </c>
      <c r="M2160">
        <v>5</v>
      </c>
      <c r="N2160">
        <v>5</v>
      </c>
      <c r="O2160">
        <v>5</v>
      </c>
      <c r="P2160">
        <v>5</v>
      </c>
      <c r="Q2160">
        <v>5</v>
      </c>
      <c r="R2160">
        <v>5</v>
      </c>
      <c r="S2160">
        <v>5</v>
      </c>
      <c r="T2160">
        <f t="shared" si="101"/>
        <v>60</v>
      </c>
      <c r="U2160">
        <v>1</v>
      </c>
    </row>
    <row r="2161" spans="1:21" x14ac:dyDescent="0.3">
      <c r="A2161" t="str">
        <f t="shared" si="99"/>
        <v>WokinghamShort-term residential/nursing care for someone likely to require a longer-term care home placement (pathway 3)1</v>
      </c>
      <c r="B2161">
        <f>IF(C2161="","",COUNTIF($C$2:C2161,C2161))</f>
        <v>1</v>
      </c>
      <c r="C2161" t="str">
        <f t="shared" si="100"/>
        <v>WokinghamShort-term residential/nursing care for someone likely to require a longer-term care home placement (pathway 3)</v>
      </c>
      <c r="D2161" t="str">
        <f>VLOOKUP(G2161,PathwayLookup!A:B,2,0)</f>
        <v>Short-term residential/nursing care for someone likely to require a longer-term care home placement (pathway 3)</v>
      </c>
      <c r="E2161" t="s">
        <v>361</v>
      </c>
      <c r="F2161" t="s">
        <v>575</v>
      </c>
      <c r="G2161" t="s">
        <v>686</v>
      </c>
      <c r="H2161">
        <v>5</v>
      </c>
      <c r="I2161">
        <v>5</v>
      </c>
      <c r="J2161">
        <v>5</v>
      </c>
      <c r="K2161">
        <v>5</v>
      </c>
      <c r="L2161">
        <v>5</v>
      </c>
      <c r="M2161">
        <v>5</v>
      </c>
      <c r="N2161">
        <v>5</v>
      </c>
      <c r="O2161">
        <v>5</v>
      </c>
      <c r="P2161">
        <v>5</v>
      </c>
      <c r="Q2161">
        <v>5</v>
      </c>
      <c r="R2161">
        <v>5</v>
      </c>
      <c r="S2161">
        <v>5</v>
      </c>
      <c r="T2161">
        <f t="shared" si="101"/>
        <v>60</v>
      </c>
      <c r="U2161">
        <v>1</v>
      </c>
    </row>
    <row r="2162" spans="1:21" x14ac:dyDescent="0.3">
      <c r="A2162" t="str">
        <f t="shared" si="99"/>
        <v>WolverhamptonSocial support (including VCS) (pathway 0)1</v>
      </c>
      <c r="B2162">
        <f>IF(C2162="","",COUNTIF($C$2:C2162,C2162))</f>
        <v>1</v>
      </c>
      <c r="C2162" t="str">
        <f t="shared" si="100"/>
        <v>WolverhamptonSocial support (including VCS) (pathway 0)</v>
      </c>
      <c r="D2162" t="str">
        <f>VLOOKUP(G2162,PathwayLookup!A:B,2,0)</f>
        <v>Social support (including VCS) (pathway 0)</v>
      </c>
      <c r="E2162" t="s">
        <v>363</v>
      </c>
      <c r="F2162" t="s">
        <v>621</v>
      </c>
      <c r="G2162" t="s">
        <v>682</v>
      </c>
      <c r="H2162">
        <v>60</v>
      </c>
      <c r="I2162">
        <v>60</v>
      </c>
      <c r="J2162">
        <v>60</v>
      </c>
      <c r="K2162">
        <v>60</v>
      </c>
      <c r="L2162">
        <v>60</v>
      </c>
      <c r="M2162">
        <v>60</v>
      </c>
      <c r="N2162">
        <v>60</v>
      </c>
      <c r="O2162">
        <v>60</v>
      </c>
      <c r="P2162">
        <v>60</v>
      </c>
      <c r="Q2162">
        <v>60</v>
      </c>
      <c r="R2162">
        <v>60</v>
      </c>
      <c r="S2162">
        <v>60</v>
      </c>
      <c r="T2162">
        <f t="shared" si="101"/>
        <v>720</v>
      </c>
      <c r="U2162">
        <v>1</v>
      </c>
    </row>
    <row r="2163" spans="1:21" x14ac:dyDescent="0.3">
      <c r="A2163" t="str">
        <f t="shared" si="99"/>
        <v>WolverhamptonReablement &amp; Rehabilitation at home  (pathway 1)1</v>
      </c>
      <c r="B2163">
        <f>IF(C2163="","",COUNTIF($C$2:C2163,C2163))</f>
        <v>1</v>
      </c>
      <c r="C2163" t="str">
        <f t="shared" si="100"/>
        <v>WolverhamptonReablement at home  (pathway 1)</v>
      </c>
      <c r="D2163" t="str">
        <f>VLOOKUP(G2163,PathwayLookup!A:B,2,0)</f>
        <v>Reablement &amp; Rehabilitation at home  (pathway 1)</v>
      </c>
      <c r="E2163" t="s">
        <v>363</v>
      </c>
      <c r="F2163" t="s">
        <v>621</v>
      </c>
      <c r="G2163" t="s">
        <v>718</v>
      </c>
      <c r="H2163">
        <v>169</v>
      </c>
      <c r="I2163">
        <v>115</v>
      </c>
      <c r="J2163">
        <v>156</v>
      </c>
      <c r="K2163">
        <v>135</v>
      </c>
      <c r="L2163">
        <v>128</v>
      </c>
      <c r="M2163">
        <v>151</v>
      </c>
      <c r="N2163">
        <v>170</v>
      </c>
      <c r="O2163">
        <v>118</v>
      </c>
      <c r="P2163">
        <v>133</v>
      </c>
      <c r="Q2163">
        <v>141</v>
      </c>
      <c r="R2163">
        <v>128</v>
      </c>
      <c r="S2163">
        <v>157</v>
      </c>
      <c r="T2163">
        <f t="shared" si="101"/>
        <v>1701</v>
      </c>
      <c r="U2163">
        <v>1</v>
      </c>
    </row>
    <row r="2164" spans="1:21" x14ac:dyDescent="0.3">
      <c r="A2164" t="str">
        <f t="shared" si="99"/>
        <v>WolverhamptonReablement &amp; Rehabilitation at home  (pathway 1)2</v>
      </c>
      <c r="B2164">
        <f>IF(C2164="","",COUNTIF($C$2:C2164,C2164))</f>
        <v>2</v>
      </c>
      <c r="C2164" t="str">
        <f t="shared" si="100"/>
        <v>WolverhamptonReablement at home  (pathway 1)</v>
      </c>
      <c r="D2164" t="str">
        <f>VLOOKUP(G2164,PathwayLookup!A:B,2,0)</f>
        <v>Reablement &amp; Rehabilitation at home  (pathway 1)</v>
      </c>
      <c r="E2164" t="s">
        <v>363</v>
      </c>
      <c r="F2164" t="s">
        <v>651</v>
      </c>
      <c r="G2164" t="s">
        <v>718</v>
      </c>
      <c r="H2164">
        <v>8.2603596640157271</v>
      </c>
      <c r="I2164">
        <v>5.6230991831971995</v>
      </c>
      <c r="J2164">
        <v>7.6376234020794271</v>
      </c>
      <c r="K2164">
        <v>6.6208517501715862</v>
      </c>
      <c r="L2164">
        <v>6.2828460485802253</v>
      </c>
      <c r="M2164">
        <v>7.382140101174655</v>
      </c>
      <c r="N2164">
        <v>8.3482711864406784</v>
      </c>
      <c r="O2164">
        <v>5.7690926829268294</v>
      </c>
      <c r="P2164">
        <v>6.5129690499686017</v>
      </c>
      <c r="Q2164">
        <v>6.9235627822944892</v>
      </c>
      <c r="R2164">
        <v>6.272225796503454</v>
      </c>
      <c r="S2164">
        <v>7.6871778755095228</v>
      </c>
      <c r="T2164">
        <f t="shared" si="101"/>
        <v>83.320219522862402</v>
      </c>
      <c r="U2164">
        <v>1</v>
      </c>
    </row>
    <row r="2165" spans="1:21" x14ac:dyDescent="0.3">
      <c r="A2165" t="str">
        <f t="shared" si="99"/>
        <v>WolverhamptonShort term domiciliary care (pathway 1)1</v>
      </c>
      <c r="B2165">
        <f>IF(C2165="","",COUNTIF($C$2:C2165,C2165))</f>
        <v>1</v>
      </c>
      <c r="C2165" t="str">
        <f t="shared" si="100"/>
        <v>WolverhamptonShort term domiciliary care (pathway 1)</v>
      </c>
      <c r="D2165" t="str">
        <f>VLOOKUP(G2165,PathwayLookup!A:B,2,0)</f>
        <v>Short term domiciliary care (pathway 1)</v>
      </c>
      <c r="E2165" t="s">
        <v>363</v>
      </c>
      <c r="F2165" t="s">
        <v>462</v>
      </c>
      <c r="G2165" t="s">
        <v>684</v>
      </c>
      <c r="H2165">
        <v>151</v>
      </c>
      <c r="I2165">
        <v>151</v>
      </c>
      <c r="J2165">
        <v>151</v>
      </c>
      <c r="K2165">
        <v>151</v>
      </c>
      <c r="L2165">
        <v>151</v>
      </c>
      <c r="M2165">
        <v>151</v>
      </c>
      <c r="N2165">
        <v>151</v>
      </c>
      <c r="O2165">
        <v>151</v>
      </c>
      <c r="P2165">
        <v>151</v>
      </c>
      <c r="Q2165">
        <v>151</v>
      </c>
      <c r="R2165">
        <v>151</v>
      </c>
      <c r="S2165">
        <v>151</v>
      </c>
      <c r="T2165">
        <f t="shared" si="101"/>
        <v>1812</v>
      </c>
      <c r="U2165">
        <v>1</v>
      </c>
    </row>
    <row r="2166" spans="1:21" x14ac:dyDescent="0.3">
      <c r="A2166" t="str">
        <f t="shared" si="99"/>
        <v>WolverhamptonReablement &amp; Rehabilitation in a bedded setting (pathway 2)1</v>
      </c>
      <c r="B2166">
        <f>IF(C2166="","",COUNTIF($C$2:C2166,C2166))</f>
        <v>1</v>
      </c>
      <c r="C2166" t="str">
        <f t="shared" si="100"/>
        <v>WolverhamptonRehabilitation in a bedded setting (pathway 2)</v>
      </c>
      <c r="D2166" t="str">
        <f>VLOOKUP(G2166,PathwayLookup!A:B,2,0)</f>
        <v>Reablement &amp; Rehabilitation in a bedded setting (pathway 2)</v>
      </c>
      <c r="E2166" t="s">
        <v>363</v>
      </c>
      <c r="F2166" t="s">
        <v>621</v>
      </c>
      <c r="G2166" t="s">
        <v>724</v>
      </c>
      <c r="H2166">
        <v>72</v>
      </c>
      <c r="I2166">
        <v>95</v>
      </c>
      <c r="J2166">
        <v>84</v>
      </c>
      <c r="K2166">
        <v>102</v>
      </c>
      <c r="L2166">
        <v>94</v>
      </c>
      <c r="M2166">
        <v>125</v>
      </c>
      <c r="N2166">
        <v>105</v>
      </c>
      <c r="O2166">
        <v>99</v>
      </c>
      <c r="P2166">
        <v>139</v>
      </c>
      <c r="Q2166">
        <v>150</v>
      </c>
      <c r="R2166">
        <v>106</v>
      </c>
      <c r="S2166">
        <v>100</v>
      </c>
      <c r="T2166">
        <f t="shared" si="101"/>
        <v>1271</v>
      </c>
      <c r="U2166">
        <v>1</v>
      </c>
    </row>
    <row r="2167" spans="1:21" x14ac:dyDescent="0.3">
      <c r="A2167" t="str">
        <f t="shared" si="99"/>
        <v>WolverhamptonReablement &amp; Rehabilitation in a bedded setting (pathway 2)2</v>
      </c>
      <c r="B2167">
        <f>IF(C2167="","",COUNTIF($C$2:C2167,C2167))</f>
        <v>2</v>
      </c>
      <c r="C2167" t="str">
        <f t="shared" si="100"/>
        <v>WolverhamptonRehabilitation in a bedded setting (pathway 2)</v>
      </c>
      <c r="D2167" t="str">
        <f>VLOOKUP(G2167,PathwayLookup!A:B,2,0)</f>
        <v>Reablement &amp; Rehabilitation in a bedded setting (pathway 2)</v>
      </c>
      <c r="E2167" t="s">
        <v>363</v>
      </c>
      <c r="F2167" t="s">
        <v>651</v>
      </c>
      <c r="G2167" t="s">
        <v>724</v>
      </c>
      <c r="H2167">
        <v>2.6738736484675187</v>
      </c>
      <c r="I2167">
        <v>3.9890361726954486</v>
      </c>
      <c r="J2167">
        <v>3.4105110789159712</v>
      </c>
      <c r="K2167">
        <v>4.1561551132463972</v>
      </c>
      <c r="L2167">
        <v>3.836852548751283</v>
      </c>
      <c r="M2167">
        <v>5.3643551401869161</v>
      </c>
      <c r="N2167">
        <v>4.3729039548022612</v>
      </c>
      <c r="O2167">
        <v>3.908095043273013</v>
      </c>
      <c r="P2167">
        <v>6.0477569749708442</v>
      </c>
      <c r="Q2167">
        <v>6.4393975527634071</v>
      </c>
      <c r="R2167">
        <v>4.543659632112738</v>
      </c>
      <c r="S2167">
        <v>4.1392496252743589</v>
      </c>
      <c r="T2167">
        <f t="shared" si="101"/>
        <v>52.881846485460159</v>
      </c>
      <c r="U2167">
        <v>1</v>
      </c>
    </row>
    <row r="2168" spans="1:21" x14ac:dyDescent="0.3">
      <c r="A2168" t="str">
        <f t="shared" si="99"/>
        <v>WolverhamptonShort-term residential/nursing care for someone likely to require a longer-term care home placement (pathway 3)1</v>
      </c>
      <c r="B2168">
        <f>IF(C2168="","",COUNTIF($C$2:C2168,C2168))</f>
        <v>1</v>
      </c>
      <c r="C2168" t="str">
        <f t="shared" si="100"/>
        <v>WolverhamptonShort-term residential/nursing care for someone likely to require a longer-term care home placement (pathway 3)</v>
      </c>
      <c r="D2168" t="str">
        <f>VLOOKUP(G2168,PathwayLookup!A:B,2,0)</f>
        <v>Short-term residential/nursing care for someone likely to require a longer-term care home placement (pathway 3)</v>
      </c>
      <c r="E2168" t="s">
        <v>363</v>
      </c>
      <c r="F2168" t="s">
        <v>621</v>
      </c>
      <c r="G2168" t="s">
        <v>686</v>
      </c>
      <c r="H2168">
        <v>37</v>
      </c>
      <c r="I2168">
        <v>28</v>
      </c>
      <c r="J2168">
        <v>16</v>
      </c>
      <c r="K2168">
        <v>24</v>
      </c>
      <c r="L2168">
        <v>32</v>
      </c>
      <c r="M2168">
        <v>26</v>
      </c>
      <c r="N2168">
        <v>31</v>
      </c>
      <c r="O2168">
        <v>34</v>
      </c>
      <c r="P2168">
        <v>28</v>
      </c>
      <c r="Q2168">
        <v>46</v>
      </c>
      <c r="R2168">
        <v>34</v>
      </c>
      <c r="S2168">
        <v>22</v>
      </c>
      <c r="T2168">
        <f t="shared" si="101"/>
        <v>358</v>
      </c>
      <c r="U2168">
        <v>1</v>
      </c>
    </row>
    <row r="2169" spans="1:21" x14ac:dyDescent="0.3">
      <c r="A2169" t="str">
        <f t="shared" si="99"/>
        <v>WolverhamptonShort-term residential/nursing care for someone likely to require a longer-term care home placement (pathway 3)2</v>
      </c>
      <c r="B2169">
        <f>IF(C2169="","",COUNTIF($C$2:C2169,C2169))</f>
        <v>2</v>
      </c>
      <c r="C2169" t="str">
        <f t="shared" si="100"/>
        <v>WolverhamptonShort-term residential/nursing care for someone likely to require a longer-term care home placement (pathway 3)</v>
      </c>
      <c r="D2169" t="str">
        <f>VLOOKUP(G2169,PathwayLookup!A:B,2,0)</f>
        <v>Short-term residential/nursing care for someone likely to require a longer-term care home placement (pathway 3)</v>
      </c>
      <c r="E2169" t="s">
        <v>363</v>
      </c>
      <c r="F2169" t="s">
        <v>651</v>
      </c>
      <c r="G2169" t="s">
        <v>686</v>
      </c>
      <c r="H2169">
        <v>3.2945943168617644</v>
      </c>
      <c r="I2169">
        <v>3.1990988294164953</v>
      </c>
      <c r="J2169">
        <v>2.4828826735769818</v>
      </c>
      <c r="K2169">
        <v>2.769369135912787</v>
      </c>
      <c r="L2169">
        <v>3.103603341971227</v>
      </c>
      <c r="M2169">
        <v>2.5306304172996157</v>
      </c>
      <c r="N2169">
        <v>3.3423420605843988</v>
      </c>
      <c r="O2169">
        <v>3.3900898043070322</v>
      </c>
      <c r="P2169">
        <v>3.3423420605843988</v>
      </c>
      <c r="Q2169">
        <v>3.5333330354749353</v>
      </c>
      <c r="R2169">
        <v>3.1513510856938618</v>
      </c>
      <c r="S2169">
        <v>2.8648646233580557</v>
      </c>
      <c r="T2169">
        <f t="shared" si="101"/>
        <v>37.00450138504155</v>
      </c>
      <c r="U2169">
        <v>1</v>
      </c>
    </row>
    <row r="2170" spans="1:21" x14ac:dyDescent="0.3">
      <c r="A2170" t="str">
        <f t="shared" si="99"/>
        <v>WorcestershireSocial support (including VCS) (pathway 0)1</v>
      </c>
      <c r="B2170">
        <f>IF(C2170="","",COUNTIF($C$2:C2170,C2170))</f>
        <v>1</v>
      </c>
      <c r="C2170" t="str">
        <f t="shared" si="100"/>
        <v>WorcestershireSocial support (including VCS) (pathway 0)</v>
      </c>
      <c r="D2170" t="str">
        <f>VLOOKUP(G2170,PathwayLookup!A:B,2,0)</f>
        <v>Social support (including VCS) (pathway 0)</v>
      </c>
      <c r="E2170" t="s">
        <v>365</v>
      </c>
      <c r="F2170" t="s">
        <v>646</v>
      </c>
      <c r="G2170" t="s">
        <v>682</v>
      </c>
      <c r="H2170">
        <v>2104</v>
      </c>
      <c r="I2170">
        <v>2213</v>
      </c>
      <c r="J2170">
        <v>2179</v>
      </c>
      <c r="K2170">
        <v>2180</v>
      </c>
      <c r="L2170">
        <v>2239</v>
      </c>
      <c r="M2170">
        <v>2322</v>
      </c>
      <c r="N2170">
        <v>2355</v>
      </c>
      <c r="O2170">
        <v>2266</v>
      </c>
      <c r="P2170">
        <v>2242</v>
      </c>
      <c r="Q2170">
        <v>2198</v>
      </c>
      <c r="R2170">
        <v>2077</v>
      </c>
      <c r="S2170">
        <v>2199</v>
      </c>
      <c r="T2170">
        <f t="shared" si="101"/>
        <v>26574</v>
      </c>
      <c r="U2170">
        <v>1</v>
      </c>
    </row>
    <row r="2171" spans="1:21" x14ac:dyDescent="0.3">
      <c r="A2171" t="str">
        <f t="shared" si="99"/>
        <v>WorcestershireSocial support (including VCS) (pathway 0)2</v>
      </c>
      <c r="B2171">
        <f>IF(C2171="","",COUNTIF($C$2:C2171,C2171))</f>
        <v>2</v>
      </c>
      <c r="C2171" t="str">
        <f t="shared" si="100"/>
        <v>WorcestershireSocial support (including VCS) (pathway 0)</v>
      </c>
      <c r="D2171" t="str">
        <f>VLOOKUP(G2171,PathwayLookup!A:B,2,0)</f>
        <v>Social support (including VCS) (pathway 0)</v>
      </c>
      <c r="E2171" t="s">
        <v>365</v>
      </c>
      <c r="F2171" t="s">
        <v>651</v>
      </c>
      <c r="G2171" t="s">
        <v>682</v>
      </c>
      <c r="H2171">
        <v>733</v>
      </c>
      <c r="I2171">
        <v>780</v>
      </c>
      <c r="J2171">
        <v>808</v>
      </c>
      <c r="K2171">
        <v>808</v>
      </c>
      <c r="L2171">
        <v>750</v>
      </c>
      <c r="M2171">
        <v>782</v>
      </c>
      <c r="N2171">
        <v>957</v>
      </c>
      <c r="O2171">
        <v>882</v>
      </c>
      <c r="P2171">
        <v>790</v>
      </c>
      <c r="Q2171">
        <v>796</v>
      </c>
      <c r="R2171">
        <v>762</v>
      </c>
      <c r="S2171">
        <v>790</v>
      </c>
      <c r="T2171">
        <f t="shared" si="101"/>
        <v>9638</v>
      </c>
      <c r="U2171">
        <v>1</v>
      </c>
    </row>
    <row r="2172" spans="1:21" x14ac:dyDescent="0.3">
      <c r="A2172" t="str">
        <f t="shared" si="99"/>
        <v/>
      </c>
      <c r="B2172" t="str">
        <f>IF(C2172="","",COUNTIF($C$2:C2172,C2172))</f>
        <v/>
      </c>
      <c r="C2172" t="str">
        <f t="shared" si="100"/>
        <v/>
      </c>
      <c r="D2172" t="str">
        <f>VLOOKUP(G2172,PathwayLookup!A:B,2,0)</f>
        <v>Reablement &amp; Rehabilitation at home  (pathway 1)</v>
      </c>
      <c r="E2172" t="s">
        <v>365</v>
      </c>
      <c r="F2172" t="s">
        <v>646</v>
      </c>
      <c r="G2172" t="s">
        <v>718</v>
      </c>
      <c r="H2172">
        <v>0</v>
      </c>
      <c r="I2172">
        <v>0</v>
      </c>
      <c r="J2172">
        <v>0</v>
      </c>
      <c r="K2172">
        <v>0</v>
      </c>
      <c r="L2172">
        <v>0</v>
      </c>
      <c r="M2172">
        <v>0</v>
      </c>
      <c r="N2172">
        <v>0</v>
      </c>
      <c r="O2172">
        <v>0</v>
      </c>
      <c r="P2172">
        <v>0</v>
      </c>
      <c r="Q2172">
        <v>0</v>
      </c>
      <c r="R2172">
        <v>0</v>
      </c>
      <c r="S2172">
        <v>0</v>
      </c>
      <c r="T2172">
        <f t="shared" si="101"/>
        <v>0</v>
      </c>
      <c r="U2172">
        <v>1</v>
      </c>
    </row>
    <row r="2173" spans="1:21" x14ac:dyDescent="0.3">
      <c r="A2173" t="str">
        <f t="shared" si="99"/>
        <v/>
      </c>
      <c r="B2173" t="str">
        <f>IF(C2173="","",COUNTIF($C$2:C2173,C2173))</f>
        <v/>
      </c>
      <c r="C2173" t="str">
        <f t="shared" si="100"/>
        <v/>
      </c>
      <c r="D2173" t="str">
        <f>VLOOKUP(G2173,PathwayLookup!A:B,2,0)</f>
        <v>Reablement &amp; Rehabilitation at home  (pathway 1)</v>
      </c>
      <c r="E2173" t="s">
        <v>365</v>
      </c>
      <c r="F2173" t="s">
        <v>651</v>
      </c>
      <c r="G2173" t="s">
        <v>718</v>
      </c>
      <c r="H2173">
        <v>0</v>
      </c>
      <c r="I2173">
        <v>0</v>
      </c>
      <c r="J2173">
        <v>0</v>
      </c>
      <c r="K2173">
        <v>0</v>
      </c>
      <c r="L2173">
        <v>0</v>
      </c>
      <c r="M2173">
        <v>0</v>
      </c>
      <c r="N2173">
        <v>0</v>
      </c>
      <c r="O2173">
        <v>0</v>
      </c>
      <c r="P2173">
        <v>0</v>
      </c>
      <c r="Q2173">
        <v>0</v>
      </c>
      <c r="R2173">
        <v>0</v>
      </c>
      <c r="S2173">
        <v>0</v>
      </c>
      <c r="T2173">
        <f t="shared" si="101"/>
        <v>0</v>
      </c>
      <c r="U2173">
        <v>1</v>
      </c>
    </row>
    <row r="2174" spans="1:21" x14ac:dyDescent="0.3">
      <c r="A2174" t="str">
        <f t="shared" si="99"/>
        <v/>
      </c>
      <c r="B2174" t="str">
        <f>IF(C2174="","",COUNTIF($C$2:C2174,C2174))</f>
        <v/>
      </c>
      <c r="C2174" t="str">
        <f t="shared" si="100"/>
        <v/>
      </c>
      <c r="D2174" t="str">
        <f>VLOOKUP(G2174,PathwayLookup!A:B,2,0)</f>
        <v>Reablement &amp; Rehabilitation at home  (pathway 1)</v>
      </c>
      <c r="E2174" t="s">
        <v>365</v>
      </c>
      <c r="F2174" t="s">
        <v>646</v>
      </c>
      <c r="G2174" t="s">
        <v>719</v>
      </c>
      <c r="H2174">
        <v>0</v>
      </c>
      <c r="I2174">
        <v>0</v>
      </c>
      <c r="J2174">
        <v>0</v>
      </c>
      <c r="K2174">
        <v>0</v>
      </c>
      <c r="L2174">
        <v>0</v>
      </c>
      <c r="M2174">
        <v>0</v>
      </c>
      <c r="N2174">
        <v>0</v>
      </c>
      <c r="O2174">
        <v>0</v>
      </c>
      <c r="P2174">
        <v>0</v>
      </c>
      <c r="Q2174">
        <v>0</v>
      </c>
      <c r="R2174">
        <v>0</v>
      </c>
      <c r="S2174">
        <v>0</v>
      </c>
      <c r="T2174">
        <f t="shared" si="101"/>
        <v>0</v>
      </c>
      <c r="U2174">
        <v>1</v>
      </c>
    </row>
    <row r="2175" spans="1:21" x14ac:dyDescent="0.3">
      <c r="A2175" t="str">
        <f t="shared" si="99"/>
        <v/>
      </c>
      <c r="B2175" t="str">
        <f>IF(C2175="","",COUNTIF($C$2:C2175,C2175))</f>
        <v/>
      </c>
      <c r="C2175" t="str">
        <f t="shared" si="100"/>
        <v/>
      </c>
      <c r="D2175" t="str">
        <f>VLOOKUP(G2175,PathwayLookup!A:B,2,0)</f>
        <v>Reablement &amp; Rehabilitation at home  (pathway 1)</v>
      </c>
      <c r="E2175" t="s">
        <v>365</v>
      </c>
      <c r="F2175" t="s">
        <v>651</v>
      </c>
      <c r="G2175" t="s">
        <v>719</v>
      </c>
      <c r="H2175">
        <v>0</v>
      </c>
      <c r="I2175">
        <v>0</v>
      </c>
      <c r="J2175">
        <v>0</v>
      </c>
      <c r="K2175">
        <v>0</v>
      </c>
      <c r="L2175">
        <v>0</v>
      </c>
      <c r="M2175">
        <v>0</v>
      </c>
      <c r="N2175">
        <v>0</v>
      </c>
      <c r="O2175">
        <v>0</v>
      </c>
      <c r="P2175">
        <v>0</v>
      </c>
      <c r="Q2175">
        <v>0</v>
      </c>
      <c r="R2175">
        <v>0</v>
      </c>
      <c r="S2175">
        <v>0</v>
      </c>
      <c r="T2175">
        <f t="shared" si="101"/>
        <v>0</v>
      </c>
      <c r="U2175">
        <v>1</v>
      </c>
    </row>
    <row r="2176" spans="1:21" x14ac:dyDescent="0.3">
      <c r="A2176" t="str">
        <f t="shared" si="99"/>
        <v>WorcestershireShort term domiciliary care (pathway 1)1</v>
      </c>
      <c r="B2176">
        <f>IF(C2176="","",COUNTIF($C$2:C2176,C2176))</f>
        <v>1</v>
      </c>
      <c r="C2176" t="str">
        <f t="shared" si="100"/>
        <v>WorcestershireShort term domiciliary care (pathway 1)</v>
      </c>
      <c r="D2176" t="str">
        <f>VLOOKUP(G2176,PathwayLookup!A:B,2,0)</f>
        <v>Short term domiciliary care (pathway 1)</v>
      </c>
      <c r="E2176" t="s">
        <v>365</v>
      </c>
      <c r="F2176" t="s">
        <v>646</v>
      </c>
      <c r="G2176" t="s">
        <v>684</v>
      </c>
      <c r="H2176">
        <v>214</v>
      </c>
      <c r="I2176">
        <v>242</v>
      </c>
      <c r="J2176">
        <v>252</v>
      </c>
      <c r="K2176">
        <v>244</v>
      </c>
      <c r="L2176">
        <v>255</v>
      </c>
      <c r="M2176">
        <v>251</v>
      </c>
      <c r="N2176">
        <v>325</v>
      </c>
      <c r="O2176">
        <v>289</v>
      </c>
      <c r="P2176">
        <v>287</v>
      </c>
      <c r="Q2176">
        <v>316</v>
      </c>
      <c r="R2176">
        <v>269</v>
      </c>
      <c r="S2176">
        <v>312</v>
      </c>
      <c r="T2176">
        <f t="shared" si="101"/>
        <v>3256</v>
      </c>
      <c r="U2176">
        <v>1</v>
      </c>
    </row>
    <row r="2177" spans="1:21" x14ac:dyDescent="0.3">
      <c r="A2177" t="str">
        <f t="shared" si="99"/>
        <v>WorcestershireShort term domiciliary care (pathway 1)2</v>
      </c>
      <c r="B2177">
        <f>IF(C2177="","",COUNTIF($C$2:C2177,C2177))</f>
        <v>2</v>
      </c>
      <c r="C2177" t="str">
        <f t="shared" si="100"/>
        <v>WorcestershireShort term domiciliary care (pathway 1)</v>
      </c>
      <c r="D2177" t="str">
        <f>VLOOKUP(G2177,PathwayLookup!A:B,2,0)</f>
        <v>Short term domiciliary care (pathway 1)</v>
      </c>
      <c r="E2177" t="s">
        <v>365</v>
      </c>
      <c r="F2177" t="s">
        <v>651</v>
      </c>
      <c r="G2177" t="s">
        <v>684</v>
      </c>
      <c r="H2177">
        <v>138</v>
      </c>
      <c r="I2177">
        <v>166</v>
      </c>
      <c r="J2177">
        <v>169</v>
      </c>
      <c r="K2177">
        <v>142</v>
      </c>
      <c r="L2177">
        <v>196</v>
      </c>
      <c r="M2177">
        <v>138</v>
      </c>
      <c r="N2177">
        <v>100</v>
      </c>
      <c r="O2177">
        <v>153</v>
      </c>
      <c r="P2177">
        <v>138</v>
      </c>
      <c r="Q2177">
        <v>142</v>
      </c>
      <c r="R2177">
        <v>141</v>
      </c>
      <c r="S2177">
        <v>143</v>
      </c>
      <c r="T2177">
        <f t="shared" si="101"/>
        <v>1766</v>
      </c>
      <c r="U2177">
        <v>1</v>
      </c>
    </row>
    <row r="2178" spans="1:21" x14ac:dyDescent="0.3">
      <c r="A2178" t="str">
        <f t="shared" ref="A2178:A2241" si="102">IF(B2178="","",E2178&amp;D2178&amp;B2178)</f>
        <v/>
      </c>
      <c r="B2178" t="str">
        <f>IF(C2178="","",COUNTIF($C$2:C2178,C2178))</f>
        <v/>
      </c>
      <c r="C2178" t="str">
        <f t="shared" ref="C2178:C2241" si="103">IF(T2178=0,"",E2178&amp;G2178)</f>
        <v/>
      </c>
      <c r="D2178" t="str">
        <f>VLOOKUP(G2178,PathwayLookup!A:B,2,0)</f>
        <v>Reablement &amp; Rehabilitation in a bedded setting (pathway 2)</v>
      </c>
      <c r="E2178" t="s">
        <v>365</v>
      </c>
      <c r="F2178" t="s">
        <v>646</v>
      </c>
      <c r="G2178" t="s">
        <v>722</v>
      </c>
      <c r="H2178">
        <v>0</v>
      </c>
      <c r="I2178">
        <v>0</v>
      </c>
      <c r="J2178">
        <v>0</v>
      </c>
      <c r="K2178">
        <v>0</v>
      </c>
      <c r="L2178">
        <v>0</v>
      </c>
      <c r="M2178">
        <v>0</v>
      </c>
      <c r="N2178">
        <v>0</v>
      </c>
      <c r="O2178">
        <v>0</v>
      </c>
      <c r="P2178">
        <v>0</v>
      </c>
      <c r="Q2178">
        <v>0</v>
      </c>
      <c r="R2178">
        <v>0</v>
      </c>
      <c r="S2178">
        <v>0</v>
      </c>
      <c r="T2178">
        <f t="shared" ref="T2178:T2241" si="104">SUM(H2178:S2178)</f>
        <v>0</v>
      </c>
      <c r="U2178">
        <v>1</v>
      </c>
    </row>
    <row r="2179" spans="1:21" x14ac:dyDescent="0.3">
      <c r="A2179" t="str">
        <f t="shared" si="102"/>
        <v/>
      </c>
      <c r="B2179" t="str">
        <f>IF(C2179="","",COUNTIF($C$2:C2179,C2179))</f>
        <v/>
      </c>
      <c r="C2179" t="str">
        <f t="shared" si="103"/>
        <v/>
      </c>
      <c r="D2179" t="str">
        <f>VLOOKUP(G2179,PathwayLookup!A:B,2,0)</f>
        <v>Reablement &amp; Rehabilitation in a bedded setting (pathway 2)</v>
      </c>
      <c r="E2179" t="s">
        <v>365</v>
      </c>
      <c r="F2179" t="s">
        <v>651</v>
      </c>
      <c r="G2179" t="s">
        <v>722</v>
      </c>
      <c r="H2179">
        <v>0</v>
      </c>
      <c r="I2179">
        <v>0</v>
      </c>
      <c r="J2179">
        <v>0</v>
      </c>
      <c r="K2179">
        <v>0</v>
      </c>
      <c r="L2179">
        <v>0</v>
      </c>
      <c r="M2179">
        <v>0</v>
      </c>
      <c r="N2179">
        <v>0</v>
      </c>
      <c r="O2179">
        <v>0</v>
      </c>
      <c r="P2179">
        <v>0</v>
      </c>
      <c r="Q2179">
        <v>0</v>
      </c>
      <c r="R2179">
        <v>0</v>
      </c>
      <c r="S2179">
        <v>0</v>
      </c>
      <c r="T2179">
        <f t="shared" si="104"/>
        <v>0</v>
      </c>
      <c r="U2179">
        <v>1</v>
      </c>
    </row>
    <row r="2180" spans="1:21" x14ac:dyDescent="0.3">
      <c r="A2180" t="str">
        <f t="shared" si="102"/>
        <v>WorcestershireReablement &amp; Rehabilitation in a bedded setting (pathway 2)1</v>
      </c>
      <c r="B2180">
        <f>IF(C2180="","",COUNTIF($C$2:C2180,C2180))</f>
        <v>1</v>
      </c>
      <c r="C2180" t="str">
        <f t="shared" si="103"/>
        <v>WorcestershireRehabilitation in a bedded setting (pathway 2)</v>
      </c>
      <c r="D2180" t="str">
        <f>VLOOKUP(G2180,PathwayLookup!A:B,2,0)</f>
        <v>Reablement &amp; Rehabilitation in a bedded setting (pathway 2)</v>
      </c>
      <c r="E2180" t="s">
        <v>365</v>
      </c>
      <c r="F2180" t="s">
        <v>646</v>
      </c>
      <c r="G2180" t="s">
        <v>724</v>
      </c>
      <c r="H2180">
        <v>204</v>
      </c>
      <c r="I2180">
        <v>216</v>
      </c>
      <c r="J2180">
        <v>198</v>
      </c>
      <c r="K2180">
        <v>218</v>
      </c>
      <c r="L2180">
        <v>217</v>
      </c>
      <c r="M2180">
        <v>186</v>
      </c>
      <c r="N2180">
        <v>175</v>
      </c>
      <c r="O2180">
        <v>205</v>
      </c>
      <c r="P2180">
        <v>179</v>
      </c>
      <c r="Q2180">
        <v>196</v>
      </c>
      <c r="R2180">
        <v>183</v>
      </c>
      <c r="S2180">
        <v>209</v>
      </c>
      <c r="T2180">
        <f t="shared" si="104"/>
        <v>2386</v>
      </c>
      <c r="U2180">
        <v>1</v>
      </c>
    </row>
    <row r="2181" spans="1:21" x14ac:dyDescent="0.3">
      <c r="A2181" t="str">
        <f t="shared" si="102"/>
        <v>WorcestershireReablement &amp; Rehabilitation in a bedded setting (pathway 2)2</v>
      </c>
      <c r="B2181">
        <f>IF(C2181="","",COUNTIF($C$2:C2181,C2181))</f>
        <v>2</v>
      </c>
      <c r="C2181" t="str">
        <f t="shared" si="103"/>
        <v>WorcestershireRehabilitation in a bedded setting (pathway 2)</v>
      </c>
      <c r="D2181" t="str">
        <f>VLOOKUP(G2181,PathwayLookup!A:B,2,0)</f>
        <v>Reablement &amp; Rehabilitation in a bedded setting (pathway 2)</v>
      </c>
      <c r="E2181" t="s">
        <v>365</v>
      </c>
      <c r="F2181" t="s">
        <v>651</v>
      </c>
      <c r="G2181" t="s">
        <v>724</v>
      </c>
      <c r="H2181">
        <v>31</v>
      </c>
      <c r="I2181">
        <v>36</v>
      </c>
      <c r="J2181">
        <v>40</v>
      </c>
      <c r="K2181">
        <v>38</v>
      </c>
      <c r="L2181">
        <v>29</v>
      </c>
      <c r="M2181">
        <v>33</v>
      </c>
      <c r="N2181">
        <v>24</v>
      </c>
      <c r="O2181">
        <v>30</v>
      </c>
      <c r="P2181">
        <v>38</v>
      </c>
      <c r="Q2181">
        <v>30</v>
      </c>
      <c r="R2181">
        <v>21</v>
      </c>
      <c r="S2181">
        <v>31</v>
      </c>
      <c r="T2181">
        <f t="shared" si="104"/>
        <v>381</v>
      </c>
      <c r="U2181">
        <v>1</v>
      </c>
    </row>
    <row r="2182" spans="1:21" x14ac:dyDescent="0.3">
      <c r="A2182" t="str">
        <f t="shared" si="102"/>
        <v>WorcestershireShort-term residential/nursing care for someone likely to require a longer-term care home placement (pathway 3)1</v>
      </c>
      <c r="B2182">
        <f>IF(C2182="","",COUNTIF($C$2:C2182,C2182))</f>
        <v>1</v>
      </c>
      <c r="C2182" t="str">
        <f t="shared" si="103"/>
        <v>WorcestershireShort-term residential/nursing care for someone likely to require a longer-term care home placement (pathway 3)</v>
      </c>
      <c r="D2182" t="str">
        <f>VLOOKUP(G2182,PathwayLookup!A:B,2,0)</f>
        <v>Short-term residential/nursing care for someone likely to require a longer-term care home placement (pathway 3)</v>
      </c>
      <c r="E2182" t="s">
        <v>365</v>
      </c>
      <c r="F2182" t="s">
        <v>646</v>
      </c>
      <c r="G2182" t="s">
        <v>686</v>
      </c>
      <c r="H2182">
        <v>2</v>
      </c>
      <c r="I2182">
        <v>10</v>
      </c>
      <c r="J2182">
        <v>6</v>
      </c>
      <c r="K2182">
        <v>1</v>
      </c>
      <c r="L2182">
        <v>7</v>
      </c>
      <c r="M2182">
        <v>10</v>
      </c>
      <c r="N2182">
        <v>4</v>
      </c>
      <c r="O2182">
        <v>13</v>
      </c>
      <c r="P2182">
        <v>7</v>
      </c>
      <c r="Q2182">
        <v>15</v>
      </c>
      <c r="R2182">
        <v>12</v>
      </c>
      <c r="S2182">
        <v>11</v>
      </c>
      <c r="T2182">
        <f t="shared" si="104"/>
        <v>98</v>
      </c>
      <c r="U2182">
        <v>1</v>
      </c>
    </row>
    <row r="2183" spans="1:21" x14ac:dyDescent="0.3">
      <c r="A2183" t="str">
        <f t="shared" si="102"/>
        <v>WorcestershireShort-term residential/nursing care for someone likely to require a longer-term care home placement (pathway 3)2</v>
      </c>
      <c r="B2183">
        <f>IF(C2183="","",COUNTIF($C$2:C2183,C2183))</f>
        <v>2</v>
      </c>
      <c r="C2183" t="str">
        <f t="shared" si="103"/>
        <v>WorcestershireShort-term residential/nursing care for someone likely to require a longer-term care home placement (pathway 3)</v>
      </c>
      <c r="D2183" t="str">
        <f>VLOOKUP(G2183,PathwayLookup!A:B,2,0)</f>
        <v>Short-term residential/nursing care for someone likely to require a longer-term care home placement (pathway 3)</v>
      </c>
      <c r="E2183" t="s">
        <v>365</v>
      </c>
      <c r="F2183" t="s">
        <v>651</v>
      </c>
      <c r="G2183" t="s">
        <v>686</v>
      </c>
      <c r="H2183">
        <v>15</v>
      </c>
      <c r="I2183">
        <v>17</v>
      </c>
      <c r="J2183">
        <v>17</v>
      </c>
      <c r="K2183">
        <v>12</v>
      </c>
      <c r="L2183">
        <v>4</v>
      </c>
      <c r="M2183">
        <v>1</v>
      </c>
      <c r="N2183">
        <v>1</v>
      </c>
      <c r="O2183">
        <v>2</v>
      </c>
      <c r="P2183">
        <v>5</v>
      </c>
      <c r="Q2183">
        <v>20</v>
      </c>
      <c r="R2183">
        <v>15</v>
      </c>
      <c r="S2183">
        <v>9</v>
      </c>
      <c r="T2183">
        <f t="shared" si="104"/>
        <v>118</v>
      </c>
      <c r="U2183">
        <v>1</v>
      </c>
    </row>
    <row r="2184" spans="1:21" x14ac:dyDescent="0.3">
      <c r="A2184" t="str">
        <f t="shared" si="102"/>
        <v>YorkSocial support (including VCS) (pathway 0)1</v>
      </c>
      <c r="B2184">
        <f>IF(C2184="","",COUNTIF($C$2:C2184,C2184))</f>
        <v>1</v>
      </c>
      <c r="C2184" t="str">
        <f t="shared" si="103"/>
        <v>YorkSocial support (including VCS) (pathway 0)</v>
      </c>
      <c r="D2184" t="str">
        <f>VLOOKUP(G2184,PathwayLookup!A:B,2,0)</f>
        <v>Social support (including VCS) (pathway 0)</v>
      </c>
      <c r="E2184" t="s">
        <v>368</v>
      </c>
      <c r="F2184" t="s">
        <v>650</v>
      </c>
      <c r="G2184" t="s">
        <v>682</v>
      </c>
      <c r="H2184">
        <v>814</v>
      </c>
      <c r="I2184">
        <v>870</v>
      </c>
      <c r="J2184">
        <v>850</v>
      </c>
      <c r="K2184">
        <v>834</v>
      </c>
      <c r="L2184">
        <v>832</v>
      </c>
      <c r="M2184">
        <v>912</v>
      </c>
      <c r="N2184">
        <v>908</v>
      </c>
      <c r="O2184">
        <v>894</v>
      </c>
      <c r="P2184">
        <v>810</v>
      </c>
      <c r="Q2184">
        <v>894</v>
      </c>
      <c r="R2184">
        <v>847</v>
      </c>
      <c r="S2184">
        <v>902</v>
      </c>
      <c r="T2184">
        <f t="shared" si="104"/>
        <v>10367</v>
      </c>
      <c r="U2184">
        <v>1</v>
      </c>
    </row>
    <row r="2185" spans="1:21" x14ac:dyDescent="0.3">
      <c r="A2185" t="str">
        <f t="shared" si="102"/>
        <v>YorkSocial support (including VCS) (pathway 0)2</v>
      </c>
      <c r="B2185">
        <f>IF(C2185="","",COUNTIF($C$2:C2185,C2185))</f>
        <v>2</v>
      </c>
      <c r="C2185" t="str">
        <f t="shared" si="103"/>
        <v>YorkSocial support (including VCS) (pathway 0)</v>
      </c>
      <c r="D2185" t="str">
        <f>VLOOKUP(G2185,PathwayLookup!A:B,2,0)</f>
        <v>Social support (including VCS) (pathway 0)</v>
      </c>
      <c r="E2185" t="s">
        <v>368</v>
      </c>
      <c r="F2185" t="s">
        <v>651</v>
      </c>
      <c r="G2185" t="s">
        <v>682</v>
      </c>
      <c r="H2185">
        <v>31</v>
      </c>
      <c r="I2185">
        <v>37</v>
      </c>
      <c r="J2185">
        <v>30</v>
      </c>
      <c r="K2185">
        <v>41</v>
      </c>
      <c r="L2185">
        <v>26</v>
      </c>
      <c r="M2185">
        <v>30</v>
      </c>
      <c r="N2185">
        <v>27</v>
      </c>
      <c r="O2185">
        <v>31</v>
      </c>
      <c r="P2185">
        <v>35</v>
      </c>
      <c r="Q2185">
        <v>39</v>
      </c>
      <c r="R2185">
        <v>28</v>
      </c>
      <c r="S2185">
        <v>40</v>
      </c>
      <c r="T2185">
        <f t="shared" si="104"/>
        <v>395</v>
      </c>
      <c r="U2185">
        <v>1</v>
      </c>
    </row>
    <row r="2186" spans="1:21" x14ac:dyDescent="0.3">
      <c r="A2186" t="str">
        <f t="shared" si="102"/>
        <v>YorkReablement &amp; Rehabilitation at home  (pathway 1)1</v>
      </c>
      <c r="B2186">
        <f>IF(C2186="","",COUNTIF($C$2:C2186,C2186))</f>
        <v>1</v>
      </c>
      <c r="C2186" t="str">
        <f t="shared" si="103"/>
        <v>YorkReablement at home  (pathway 1)</v>
      </c>
      <c r="D2186" t="str">
        <f>VLOOKUP(G2186,PathwayLookup!A:B,2,0)</f>
        <v>Reablement &amp; Rehabilitation at home  (pathway 1)</v>
      </c>
      <c r="E2186" t="s">
        <v>368</v>
      </c>
      <c r="F2186" t="s">
        <v>650</v>
      </c>
      <c r="G2186" t="s">
        <v>718</v>
      </c>
      <c r="H2186">
        <v>57</v>
      </c>
      <c r="I2186">
        <v>61</v>
      </c>
      <c r="J2186">
        <v>59</v>
      </c>
      <c r="K2186">
        <v>58</v>
      </c>
      <c r="L2186">
        <v>58</v>
      </c>
      <c r="M2186">
        <v>64</v>
      </c>
      <c r="N2186">
        <v>63</v>
      </c>
      <c r="O2186">
        <v>62</v>
      </c>
      <c r="P2186">
        <v>57</v>
      </c>
      <c r="Q2186">
        <v>62</v>
      </c>
      <c r="R2186">
        <v>59</v>
      </c>
      <c r="S2186">
        <v>63</v>
      </c>
      <c r="T2186">
        <f t="shared" si="104"/>
        <v>723</v>
      </c>
      <c r="U2186">
        <v>1</v>
      </c>
    </row>
    <row r="2187" spans="1:21" x14ac:dyDescent="0.3">
      <c r="A2187" t="str">
        <f t="shared" si="102"/>
        <v>YorkReablement &amp; Rehabilitation at home  (pathway 1)2</v>
      </c>
      <c r="B2187">
        <f>IF(C2187="","",COUNTIF($C$2:C2187,C2187))</f>
        <v>2</v>
      </c>
      <c r="C2187" t="str">
        <f t="shared" si="103"/>
        <v>YorkReablement at home  (pathway 1)</v>
      </c>
      <c r="D2187" t="str">
        <f>VLOOKUP(G2187,PathwayLookup!A:B,2,0)</f>
        <v>Reablement &amp; Rehabilitation at home  (pathway 1)</v>
      </c>
      <c r="E2187" t="s">
        <v>368</v>
      </c>
      <c r="F2187" t="s">
        <v>651</v>
      </c>
      <c r="G2187" t="s">
        <v>718</v>
      </c>
      <c r="H2187">
        <v>2</v>
      </c>
      <c r="I2187">
        <v>3</v>
      </c>
      <c r="J2187">
        <v>2</v>
      </c>
      <c r="K2187">
        <v>3</v>
      </c>
      <c r="L2187">
        <v>2</v>
      </c>
      <c r="M2187">
        <v>2</v>
      </c>
      <c r="N2187">
        <v>2</v>
      </c>
      <c r="O2187">
        <v>2</v>
      </c>
      <c r="P2187">
        <v>2</v>
      </c>
      <c r="Q2187">
        <v>3</v>
      </c>
      <c r="R2187">
        <v>2</v>
      </c>
      <c r="S2187">
        <v>3</v>
      </c>
      <c r="T2187">
        <f t="shared" si="104"/>
        <v>28</v>
      </c>
      <c r="U2187">
        <v>1</v>
      </c>
    </row>
    <row r="2188" spans="1:21" x14ac:dyDescent="0.3">
      <c r="A2188" t="str">
        <f t="shared" si="102"/>
        <v/>
      </c>
      <c r="B2188" t="str">
        <f>IF(C2188="","",COUNTIF($C$2:C2188,C2188))</f>
        <v/>
      </c>
      <c r="C2188" t="str">
        <f t="shared" si="103"/>
        <v/>
      </c>
      <c r="D2188" t="str">
        <f>VLOOKUP(G2188,PathwayLookup!A:B,2,0)</f>
        <v>Reablement &amp; Rehabilitation at home  (pathway 1)</v>
      </c>
      <c r="E2188" t="s">
        <v>368</v>
      </c>
      <c r="F2188" t="s">
        <v>650</v>
      </c>
      <c r="G2188" t="s">
        <v>719</v>
      </c>
      <c r="H2188">
        <v>0</v>
      </c>
      <c r="I2188">
        <v>0</v>
      </c>
      <c r="J2188">
        <v>0</v>
      </c>
      <c r="K2188">
        <v>0</v>
      </c>
      <c r="L2188">
        <v>0</v>
      </c>
      <c r="M2188">
        <v>0</v>
      </c>
      <c r="N2188">
        <v>0</v>
      </c>
      <c r="O2188">
        <v>0</v>
      </c>
      <c r="P2188">
        <v>0</v>
      </c>
      <c r="Q2188">
        <v>0</v>
      </c>
      <c r="R2188">
        <v>0</v>
      </c>
      <c r="S2188">
        <v>0</v>
      </c>
      <c r="T2188">
        <f t="shared" si="104"/>
        <v>0</v>
      </c>
      <c r="U2188">
        <v>1</v>
      </c>
    </row>
    <row r="2189" spans="1:21" x14ac:dyDescent="0.3">
      <c r="A2189" t="str">
        <f t="shared" si="102"/>
        <v/>
      </c>
      <c r="B2189" t="str">
        <f>IF(C2189="","",COUNTIF($C$2:C2189,C2189))</f>
        <v/>
      </c>
      <c r="C2189" t="str">
        <f t="shared" si="103"/>
        <v/>
      </c>
      <c r="D2189" t="str">
        <f>VLOOKUP(G2189,PathwayLookup!A:B,2,0)</f>
        <v>Reablement &amp; Rehabilitation at home  (pathway 1)</v>
      </c>
      <c r="E2189" t="s">
        <v>368</v>
      </c>
      <c r="F2189" t="s">
        <v>651</v>
      </c>
      <c r="G2189" t="s">
        <v>719</v>
      </c>
      <c r="H2189">
        <v>0</v>
      </c>
      <c r="I2189">
        <v>0</v>
      </c>
      <c r="J2189">
        <v>0</v>
      </c>
      <c r="K2189">
        <v>0</v>
      </c>
      <c r="L2189">
        <v>0</v>
      </c>
      <c r="M2189">
        <v>0</v>
      </c>
      <c r="N2189">
        <v>0</v>
      </c>
      <c r="O2189">
        <v>0</v>
      </c>
      <c r="P2189">
        <v>0</v>
      </c>
      <c r="Q2189">
        <v>0</v>
      </c>
      <c r="R2189">
        <v>0</v>
      </c>
      <c r="S2189">
        <v>0</v>
      </c>
      <c r="T2189">
        <f t="shared" si="104"/>
        <v>0</v>
      </c>
      <c r="U2189">
        <v>1</v>
      </c>
    </row>
    <row r="2190" spans="1:21" x14ac:dyDescent="0.3">
      <c r="A2190" t="str">
        <f t="shared" si="102"/>
        <v/>
      </c>
      <c r="B2190" t="str">
        <f>IF(C2190="","",COUNTIF($C$2:C2190,C2190))</f>
        <v/>
      </c>
      <c r="C2190" t="str">
        <f t="shared" si="103"/>
        <v/>
      </c>
      <c r="D2190" t="str">
        <f>VLOOKUP(G2190,PathwayLookup!A:B,2,0)</f>
        <v>Short term domiciliary care (pathway 1)</v>
      </c>
      <c r="E2190" t="s">
        <v>368</v>
      </c>
      <c r="F2190" t="s">
        <v>650</v>
      </c>
      <c r="G2190" t="s">
        <v>684</v>
      </c>
      <c r="H2190">
        <v>0</v>
      </c>
      <c r="I2190">
        <v>0</v>
      </c>
      <c r="J2190">
        <v>0</v>
      </c>
      <c r="K2190">
        <v>0</v>
      </c>
      <c r="L2190">
        <v>0</v>
      </c>
      <c r="M2190">
        <v>0</v>
      </c>
      <c r="N2190">
        <v>0</v>
      </c>
      <c r="O2190">
        <v>0</v>
      </c>
      <c r="P2190">
        <v>0</v>
      </c>
      <c r="Q2190">
        <v>0</v>
      </c>
      <c r="R2190">
        <v>0</v>
      </c>
      <c r="S2190">
        <v>0</v>
      </c>
      <c r="T2190">
        <f t="shared" si="104"/>
        <v>0</v>
      </c>
      <c r="U2190">
        <v>1</v>
      </c>
    </row>
    <row r="2191" spans="1:21" x14ac:dyDescent="0.3">
      <c r="A2191" t="str">
        <f t="shared" si="102"/>
        <v/>
      </c>
      <c r="B2191" t="str">
        <f>IF(C2191="","",COUNTIF($C$2:C2191,C2191))</f>
        <v/>
      </c>
      <c r="C2191" t="str">
        <f t="shared" si="103"/>
        <v/>
      </c>
      <c r="D2191" t="str">
        <f>VLOOKUP(G2191,PathwayLookup!A:B,2,0)</f>
        <v>Short term domiciliary care (pathway 1)</v>
      </c>
      <c r="E2191" t="s">
        <v>368</v>
      </c>
      <c r="F2191" t="s">
        <v>651</v>
      </c>
      <c r="G2191" t="s">
        <v>684</v>
      </c>
      <c r="H2191">
        <v>0</v>
      </c>
      <c r="I2191">
        <v>0</v>
      </c>
      <c r="J2191">
        <v>0</v>
      </c>
      <c r="K2191">
        <v>0</v>
      </c>
      <c r="L2191">
        <v>0</v>
      </c>
      <c r="M2191">
        <v>0</v>
      </c>
      <c r="N2191">
        <v>0</v>
      </c>
      <c r="O2191">
        <v>0</v>
      </c>
      <c r="P2191">
        <v>0</v>
      </c>
      <c r="Q2191">
        <v>0</v>
      </c>
      <c r="R2191">
        <v>0</v>
      </c>
      <c r="S2191">
        <v>0</v>
      </c>
      <c r="T2191">
        <f t="shared" si="104"/>
        <v>0</v>
      </c>
      <c r="U2191">
        <v>1</v>
      </c>
    </row>
    <row r="2192" spans="1:21" x14ac:dyDescent="0.3">
      <c r="A2192" t="str">
        <f t="shared" si="102"/>
        <v>YorkReablement &amp; Rehabilitation in a bedded setting (pathway 2)1</v>
      </c>
      <c r="B2192">
        <f>IF(C2192="","",COUNTIF($C$2:C2192,C2192))</f>
        <v>1</v>
      </c>
      <c r="C2192" t="str">
        <f t="shared" si="103"/>
        <v>YorkReablement in a bedded setting (pathway 2)</v>
      </c>
      <c r="D2192" t="str">
        <f>VLOOKUP(G2192,PathwayLookup!A:B,2,0)</f>
        <v>Reablement &amp; Rehabilitation in a bedded setting (pathway 2)</v>
      </c>
      <c r="E2192" t="s">
        <v>368</v>
      </c>
      <c r="F2192" t="s">
        <v>650</v>
      </c>
      <c r="G2192" t="s">
        <v>722</v>
      </c>
      <c r="H2192">
        <v>57</v>
      </c>
      <c r="I2192">
        <v>61</v>
      </c>
      <c r="J2192">
        <v>59</v>
      </c>
      <c r="K2192">
        <v>58</v>
      </c>
      <c r="L2192">
        <v>58</v>
      </c>
      <c r="M2192">
        <v>64</v>
      </c>
      <c r="N2192">
        <v>63</v>
      </c>
      <c r="O2192">
        <v>62</v>
      </c>
      <c r="P2192">
        <v>57</v>
      </c>
      <c r="Q2192">
        <v>62</v>
      </c>
      <c r="R2192">
        <v>59</v>
      </c>
      <c r="S2192">
        <v>63</v>
      </c>
      <c r="T2192">
        <f t="shared" si="104"/>
        <v>723</v>
      </c>
      <c r="U2192">
        <v>1</v>
      </c>
    </row>
    <row r="2193" spans="1:21" x14ac:dyDescent="0.3">
      <c r="A2193" t="str">
        <f t="shared" si="102"/>
        <v>YorkReablement &amp; Rehabilitation in a bedded setting (pathway 2)2</v>
      </c>
      <c r="B2193">
        <f>IF(C2193="","",COUNTIF($C$2:C2193,C2193))</f>
        <v>2</v>
      </c>
      <c r="C2193" t="str">
        <f t="shared" si="103"/>
        <v>YorkReablement in a bedded setting (pathway 2)</v>
      </c>
      <c r="D2193" t="str">
        <f>VLOOKUP(G2193,PathwayLookup!A:B,2,0)</f>
        <v>Reablement &amp; Rehabilitation in a bedded setting (pathway 2)</v>
      </c>
      <c r="E2193" t="s">
        <v>368</v>
      </c>
      <c r="F2193" t="s">
        <v>651</v>
      </c>
      <c r="G2193" t="s">
        <v>722</v>
      </c>
      <c r="H2193">
        <v>2</v>
      </c>
      <c r="I2193">
        <v>3</v>
      </c>
      <c r="J2193">
        <v>2</v>
      </c>
      <c r="K2193">
        <v>3</v>
      </c>
      <c r="L2193">
        <v>2</v>
      </c>
      <c r="M2193">
        <v>2</v>
      </c>
      <c r="N2193">
        <v>2</v>
      </c>
      <c r="O2193">
        <v>2</v>
      </c>
      <c r="P2193">
        <v>2</v>
      </c>
      <c r="Q2193">
        <v>3</v>
      </c>
      <c r="R2193">
        <v>2</v>
      </c>
      <c r="S2193">
        <v>3</v>
      </c>
      <c r="T2193">
        <f t="shared" si="104"/>
        <v>28</v>
      </c>
      <c r="U2193">
        <v>1</v>
      </c>
    </row>
    <row r="2194" spans="1:21" x14ac:dyDescent="0.3">
      <c r="A2194" t="str">
        <f t="shared" si="102"/>
        <v/>
      </c>
      <c r="B2194" t="str">
        <f>IF(C2194="","",COUNTIF($C$2:C2194,C2194))</f>
        <v/>
      </c>
      <c r="C2194" t="str">
        <f t="shared" si="103"/>
        <v/>
      </c>
      <c r="D2194" t="str">
        <f>VLOOKUP(G2194,PathwayLookup!A:B,2,0)</f>
        <v>Reablement &amp; Rehabilitation in a bedded setting (pathway 2)</v>
      </c>
      <c r="E2194" t="s">
        <v>368</v>
      </c>
      <c r="F2194" t="s">
        <v>650</v>
      </c>
      <c r="G2194" t="s">
        <v>724</v>
      </c>
      <c r="H2194">
        <v>0</v>
      </c>
      <c r="I2194">
        <v>0</v>
      </c>
      <c r="J2194">
        <v>0</v>
      </c>
      <c r="K2194">
        <v>0</v>
      </c>
      <c r="L2194">
        <v>0</v>
      </c>
      <c r="M2194">
        <v>0</v>
      </c>
      <c r="N2194">
        <v>0</v>
      </c>
      <c r="O2194">
        <v>0</v>
      </c>
      <c r="P2194">
        <v>0</v>
      </c>
      <c r="Q2194">
        <v>0</v>
      </c>
      <c r="R2194">
        <v>0</v>
      </c>
      <c r="S2194">
        <v>0</v>
      </c>
      <c r="T2194">
        <f t="shared" si="104"/>
        <v>0</v>
      </c>
      <c r="U2194">
        <v>1</v>
      </c>
    </row>
    <row r="2195" spans="1:21" x14ac:dyDescent="0.3">
      <c r="A2195" t="str">
        <f t="shared" si="102"/>
        <v/>
      </c>
      <c r="B2195" t="str">
        <f>IF(C2195="","",COUNTIF($C$2:C2195,C2195))</f>
        <v/>
      </c>
      <c r="C2195" t="str">
        <f t="shared" si="103"/>
        <v/>
      </c>
      <c r="D2195" t="str">
        <f>VLOOKUP(G2195,PathwayLookup!A:B,2,0)</f>
        <v>Reablement &amp; Rehabilitation in a bedded setting (pathway 2)</v>
      </c>
      <c r="E2195" t="s">
        <v>368</v>
      </c>
      <c r="F2195" t="s">
        <v>651</v>
      </c>
      <c r="G2195" t="s">
        <v>724</v>
      </c>
      <c r="H2195">
        <v>0</v>
      </c>
      <c r="I2195">
        <v>0</v>
      </c>
      <c r="J2195">
        <v>0</v>
      </c>
      <c r="K2195">
        <v>0</v>
      </c>
      <c r="L2195">
        <v>0</v>
      </c>
      <c r="M2195">
        <v>0</v>
      </c>
      <c r="N2195">
        <v>0</v>
      </c>
      <c r="O2195">
        <v>0</v>
      </c>
      <c r="P2195">
        <v>0</v>
      </c>
      <c r="Q2195">
        <v>0</v>
      </c>
      <c r="R2195">
        <v>0</v>
      </c>
      <c r="S2195">
        <v>0</v>
      </c>
      <c r="T2195">
        <f t="shared" si="104"/>
        <v>0</v>
      </c>
      <c r="U2195">
        <v>1</v>
      </c>
    </row>
    <row r="2196" spans="1:21" x14ac:dyDescent="0.3">
      <c r="A2196" t="str">
        <f t="shared" si="102"/>
        <v>YorkShort-term residential/nursing care for someone likely to require a longer-term care home placement (pathway 3)1</v>
      </c>
      <c r="B2196">
        <f>IF(C2196="","",COUNTIF($C$2:C2196,C2196))</f>
        <v>1</v>
      </c>
      <c r="C2196" t="str">
        <f t="shared" si="103"/>
        <v>YorkShort-term residential/nursing care for someone likely to require a longer-term care home placement (pathway 3)</v>
      </c>
      <c r="D2196" t="str">
        <f>VLOOKUP(G2196,PathwayLookup!A:B,2,0)</f>
        <v>Short-term residential/nursing care for someone likely to require a longer-term care home placement (pathway 3)</v>
      </c>
      <c r="E2196" t="s">
        <v>368</v>
      </c>
      <c r="F2196" t="s">
        <v>650</v>
      </c>
      <c r="G2196" t="s">
        <v>686</v>
      </c>
      <c r="H2196">
        <v>19</v>
      </c>
      <c r="I2196">
        <v>20</v>
      </c>
      <c r="J2196">
        <v>20</v>
      </c>
      <c r="K2196">
        <v>19</v>
      </c>
      <c r="L2196">
        <v>19</v>
      </c>
      <c r="M2196">
        <v>21</v>
      </c>
      <c r="N2196">
        <v>21</v>
      </c>
      <c r="O2196">
        <v>21</v>
      </c>
      <c r="P2196">
        <v>19</v>
      </c>
      <c r="Q2196">
        <v>21</v>
      </c>
      <c r="R2196">
        <v>20</v>
      </c>
      <c r="S2196">
        <v>21</v>
      </c>
      <c r="T2196">
        <f t="shared" si="104"/>
        <v>241</v>
      </c>
      <c r="U2196">
        <v>1</v>
      </c>
    </row>
    <row r="2197" spans="1:21" x14ac:dyDescent="0.3">
      <c r="A2197" t="str">
        <f t="shared" si="102"/>
        <v>YorkShort-term residential/nursing care for someone likely to require a longer-term care home placement (pathway 3)2</v>
      </c>
      <c r="B2197">
        <f>IF(C2197="","",COUNTIF($C$2:C2197,C2197))</f>
        <v>2</v>
      </c>
      <c r="C2197" t="str">
        <f t="shared" si="103"/>
        <v>YorkShort-term residential/nursing care for someone likely to require a longer-term care home placement (pathway 3)</v>
      </c>
      <c r="D2197" t="str">
        <f>VLOOKUP(G2197,PathwayLookup!A:B,2,0)</f>
        <v>Short-term residential/nursing care for someone likely to require a longer-term care home placement (pathway 3)</v>
      </c>
      <c r="E2197" t="s">
        <v>368</v>
      </c>
      <c r="F2197" t="s">
        <v>651</v>
      </c>
      <c r="G2197" t="s">
        <v>686</v>
      </c>
      <c r="H2197">
        <v>1</v>
      </c>
      <c r="I2197">
        <v>1</v>
      </c>
      <c r="J2197">
        <v>1</v>
      </c>
      <c r="K2197">
        <v>1</v>
      </c>
      <c r="L2197">
        <v>1</v>
      </c>
      <c r="M2197">
        <v>1</v>
      </c>
      <c r="N2197">
        <v>1</v>
      </c>
      <c r="O2197">
        <v>1</v>
      </c>
      <c r="P2197">
        <v>1</v>
      </c>
      <c r="Q2197">
        <v>1</v>
      </c>
      <c r="R2197">
        <v>1</v>
      </c>
      <c r="S2197">
        <v>1</v>
      </c>
      <c r="T2197">
        <f t="shared" si="104"/>
        <v>12</v>
      </c>
      <c r="U2197">
        <v>1</v>
      </c>
    </row>
    <row r="2198" spans="1:21" x14ac:dyDescent="0.3">
      <c r="A2198" t="str">
        <f t="shared" si="102"/>
        <v/>
      </c>
      <c r="B2198" t="str">
        <f>IF(C2198="","",COUNTIF($C$2:C2198,C2198))</f>
        <v/>
      </c>
      <c r="C2198" t="str">
        <f t="shared" si="103"/>
        <v/>
      </c>
      <c r="D2198" t="e">
        <f>VLOOKUP(G2198,PathwayLookup!A:B,2,0)</f>
        <v>#N/A</v>
      </c>
      <c r="E2198"/>
      <c r="T2198">
        <f t="shared" si="104"/>
        <v>0</v>
      </c>
    </row>
    <row r="2199" spans="1:21" x14ac:dyDescent="0.3">
      <c r="A2199" t="str">
        <f t="shared" si="102"/>
        <v/>
      </c>
      <c r="B2199" t="str">
        <f>IF(C2199="","",COUNTIF($C$2:C2199,C2199))</f>
        <v/>
      </c>
      <c r="C2199" t="str">
        <f t="shared" si="103"/>
        <v/>
      </c>
      <c r="D2199" t="e">
        <f>VLOOKUP(G2199,PathwayLookup!A:B,2,0)</f>
        <v>#N/A</v>
      </c>
      <c r="E2199"/>
      <c r="T2199">
        <f t="shared" si="104"/>
        <v>0</v>
      </c>
    </row>
    <row r="2200" spans="1:21" x14ac:dyDescent="0.3">
      <c r="A2200" t="str">
        <f t="shared" si="102"/>
        <v/>
      </c>
      <c r="B2200" t="str">
        <f>IF(C2200="","",COUNTIF($C$2:C2200,C2200))</f>
        <v/>
      </c>
      <c r="C2200" t="str">
        <f t="shared" si="103"/>
        <v/>
      </c>
      <c r="D2200" t="e">
        <f>VLOOKUP(G2200,PathwayLookup!A:B,2,0)</f>
        <v>#N/A</v>
      </c>
      <c r="E2200"/>
      <c r="T2200">
        <f t="shared" si="104"/>
        <v>0</v>
      </c>
    </row>
    <row r="2201" spans="1:21" x14ac:dyDescent="0.3">
      <c r="A2201" t="str">
        <f t="shared" si="102"/>
        <v/>
      </c>
      <c r="B2201" t="str">
        <f>IF(C2201="","",COUNTIF($C$2:C2201,C2201))</f>
        <v/>
      </c>
      <c r="C2201" t="str">
        <f t="shared" si="103"/>
        <v/>
      </c>
      <c r="D2201" t="e">
        <f>VLOOKUP(G2201,PathwayLookup!A:B,2,0)</f>
        <v>#N/A</v>
      </c>
      <c r="E2201"/>
      <c r="T2201">
        <f t="shared" si="104"/>
        <v>0</v>
      </c>
    </row>
    <row r="2202" spans="1:21" x14ac:dyDescent="0.3">
      <c r="A2202" t="str">
        <f t="shared" si="102"/>
        <v/>
      </c>
      <c r="B2202" t="str">
        <f>IF(C2202="","",COUNTIF($C$2:C2202,C2202))</f>
        <v/>
      </c>
      <c r="C2202" t="str">
        <f t="shared" si="103"/>
        <v/>
      </c>
      <c r="D2202" t="e">
        <f>VLOOKUP(G2202,PathwayLookup!A:B,2,0)</f>
        <v>#N/A</v>
      </c>
      <c r="E2202"/>
      <c r="T2202">
        <f t="shared" si="104"/>
        <v>0</v>
      </c>
    </row>
    <row r="2203" spans="1:21" x14ac:dyDescent="0.3">
      <c r="A2203" t="str">
        <f t="shared" si="102"/>
        <v/>
      </c>
      <c r="B2203" t="str">
        <f>IF(C2203="","",COUNTIF($C$2:C2203,C2203))</f>
        <v/>
      </c>
      <c r="C2203" t="str">
        <f t="shared" si="103"/>
        <v/>
      </c>
      <c r="D2203" t="e">
        <f>VLOOKUP(G2203,PathwayLookup!A:B,2,0)</f>
        <v>#N/A</v>
      </c>
      <c r="E2203"/>
      <c r="T2203">
        <f t="shared" si="104"/>
        <v>0</v>
      </c>
    </row>
    <row r="2204" spans="1:21" x14ac:dyDescent="0.3">
      <c r="A2204" t="str">
        <f t="shared" si="102"/>
        <v/>
      </c>
      <c r="B2204" t="str">
        <f>IF(C2204="","",COUNTIF($C$2:C2204,C2204))</f>
        <v/>
      </c>
      <c r="C2204" t="str">
        <f t="shared" si="103"/>
        <v/>
      </c>
      <c r="D2204" t="e">
        <f>VLOOKUP(G2204,PathwayLookup!A:B,2,0)</f>
        <v>#N/A</v>
      </c>
      <c r="E2204"/>
      <c r="T2204">
        <f t="shared" si="104"/>
        <v>0</v>
      </c>
    </row>
    <row r="2205" spans="1:21" x14ac:dyDescent="0.3">
      <c r="A2205" t="str">
        <f t="shared" si="102"/>
        <v/>
      </c>
      <c r="B2205" t="str">
        <f>IF(C2205="","",COUNTIF($C$2:C2205,C2205))</f>
        <v/>
      </c>
      <c r="C2205" t="str">
        <f t="shared" si="103"/>
        <v/>
      </c>
      <c r="D2205" t="e">
        <f>VLOOKUP(G2205,PathwayLookup!A:B,2,0)</f>
        <v>#N/A</v>
      </c>
      <c r="E2205"/>
      <c r="T2205">
        <f t="shared" si="104"/>
        <v>0</v>
      </c>
    </row>
    <row r="2206" spans="1:21" x14ac:dyDescent="0.3">
      <c r="A2206" t="str">
        <f t="shared" si="102"/>
        <v/>
      </c>
      <c r="B2206" t="str">
        <f>IF(C2206="","",COUNTIF($C$2:C2206,C2206))</f>
        <v/>
      </c>
      <c r="C2206" t="str">
        <f t="shared" si="103"/>
        <v/>
      </c>
      <c r="D2206" t="e">
        <f>VLOOKUP(G2206,PathwayLookup!A:B,2,0)</f>
        <v>#N/A</v>
      </c>
      <c r="E2206"/>
      <c r="T2206">
        <f t="shared" si="104"/>
        <v>0</v>
      </c>
    </row>
    <row r="2207" spans="1:21" x14ac:dyDescent="0.3">
      <c r="A2207" t="str">
        <f t="shared" si="102"/>
        <v/>
      </c>
      <c r="B2207" t="str">
        <f>IF(C2207="","",COUNTIF($C$2:C2207,C2207))</f>
        <v/>
      </c>
      <c r="C2207" t="str">
        <f t="shared" si="103"/>
        <v/>
      </c>
      <c r="D2207" t="e">
        <f>VLOOKUP(G2207,PathwayLookup!A:B,2,0)</f>
        <v>#N/A</v>
      </c>
      <c r="E2207"/>
      <c r="T2207">
        <f t="shared" si="104"/>
        <v>0</v>
      </c>
    </row>
    <row r="2208" spans="1:21" x14ac:dyDescent="0.3">
      <c r="A2208" t="str">
        <f t="shared" si="102"/>
        <v/>
      </c>
      <c r="B2208" t="str">
        <f>IF(C2208="","",COUNTIF($C$2:C2208,C2208))</f>
        <v/>
      </c>
      <c r="C2208" t="str">
        <f t="shared" si="103"/>
        <v/>
      </c>
      <c r="D2208" t="e">
        <f>VLOOKUP(G2208,PathwayLookup!A:B,2,0)</f>
        <v>#N/A</v>
      </c>
      <c r="E2208"/>
      <c r="T2208">
        <f t="shared" si="104"/>
        <v>0</v>
      </c>
    </row>
    <row r="2209" spans="1:20" x14ac:dyDescent="0.3">
      <c r="A2209" t="str">
        <f t="shared" si="102"/>
        <v/>
      </c>
      <c r="B2209" t="str">
        <f>IF(C2209="","",COUNTIF($C$2:C2209,C2209))</f>
        <v/>
      </c>
      <c r="C2209" t="str">
        <f t="shared" si="103"/>
        <v/>
      </c>
      <c r="D2209" t="e">
        <f>VLOOKUP(G2209,PathwayLookup!A:B,2,0)</f>
        <v>#N/A</v>
      </c>
      <c r="E2209"/>
      <c r="T2209">
        <f t="shared" si="104"/>
        <v>0</v>
      </c>
    </row>
    <row r="2210" spans="1:20" x14ac:dyDescent="0.3">
      <c r="A2210" t="str">
        <f t="shared" si="102"/>
        <v/>
      </c>
      <c r="B2210" t="str">
        <f>IF(C2210="","",COUNTIF($C$2:C2210,C2210))</f>
        <v/>
      </c>
      <c r="C2210" t="str">
        <f t="shared" si="103"/>
        <v/>
      </c>
      <c r="D2210" t="e">
        <f>VLOOKUP(G2210,PathwayLookup!A:B,2,0)</f>
        <v>#N/A</v>
      </c>
      <c r="E2210"/>
      <c r="T2210">
        <f t="shared" si="104"/>
        <v>0</v>
      </c>
    </row>
    <row r="2211" spans="1:20" x14ac:dyDescent="0.3">
      <c r="A2211" t="str">
        <f t="shared" si="102"/>
        <v/>
      </c>
      <c r="B2211" t="str">
        <f>IF(C2211="","",COUNTIF($C$2:C2211,C2211))</f>
        <v/>
      </c>
      <c r="C2211" t="str">
        <f t="shared" si="103"/>
        <v/>
      </c>
      <c r="D2211" t="e">
        <f>VLOOKUP(G2211,PathwayLookup!A:B,2,0)</f>
        <v>#N/A</v>
      </c>
      <c r="E2211"/>
      <c r="T2211">
        <f t="shared" si="104"/>
        <v>0</v>
      </c>
    </row>
    <row r="2212" spans="1:20" x14ac:dyDescent="0.3">
      <c r="A2212" t="str">
        <f t="shared" si="102"/>
        <v/>
      </c>
      <c r="B2212" t="str">
        <f>IF(C2212="","",COUNTIF($C$2:C2212,C2212))</f>
        <v/>
      </c>
      <c r="C2212" t="str">
        <f t="shared" si="103"/>
        <v/>
      </c>
      <c r="D2212" t="e">
        <f>VLOOKUP(G2212,PathwayLookup!A:B,2,0)</f>
        <v>#N/A</v>
      </c>
      <c r="E2212"/>
      <c r="T2212">
        <f t="shared" si="104"/>
        <v>0</v>
      </c>
    </row>
    <row r="2213" spans="1:20" x14ac:dyDescent="0.3">
      <c r="A2213" t="str">
        <f t="shared" si="102"/>
        <v/>
      </c>
      <c r="B2213" t="str">
        <f>IF(C2213="","",COUNTIF($C$2:C2213,C2213))</f>
        <v/>
      </c>
      <c r="C2213" t="str">
        <f t="shared" si="103"/>
        <v/>
      </c>
      <c r="D2213" t="e">
        <f>VLOOKUP(G2213,PathwayLookup!A:B,2,0)</f>
        <v>#N/A</v>
      </c>
      <c r="E2213"/>
      <c r="T2213">
        <f t="shared" si="104"/>
        <v>0</v>
      </c>
    </row>
    <row r="2214" spans="1:20" x14ac:dyDescent="0.3">
      <c r="A2214" t="str">
        <f t="shared" si="102"/>
        <v/>
      </c>
      <c r="B2214" t="str">
        <f>IF(C2214="","",COUNTIF($C$2:C2214,C2214))</f>
        <v/>
      </c>
      <c r="C2214" t="str">
        <f t="shared" si="103"/>
        <v/>
      </c>
      <c r="D2214" t="e">
        <f>VLOOKUP(G2214,PathwayLookup!A:B,2,0)</f>
        <v>#N/A</v>
      </c>
      <c r="E2214"/>
      <c r="T2214">
        <f t="shared" si="104"/>
        <v>0</v>
      </c>
    </row>
    <row r="2215" spans="1:20" x14ac:dyDescent="0.3">
      <c r="A2215" t="str">
        <f t="shared" si="102"/>
        <v/>
      </c>
      <c r="B2215" t="str">
        <f>IF(C2215="","",COUNTIF($C$2:C2215,C2215))</f>
        <v/>
      </c>
      <c r="C2215" t="str">
        <f t="shared" si="103"/>
        <v/>
      </c>
      <c r="D2215" t="e">
        <f>VLOOKUP(G2215,PathwayLookup!A:B,2,0)</f>
        <v>#N/A</v>
      </c>
      <c r="E2215"/>
      <c r="T2215">
        <f t="shared" si="104"/>
        <v>0</v>
      </c>
    </row>
    <row r="2216" spans="1:20" x14ac:dyDescent="0.3">
      <c r="A2216" t="str">
        <f t="shared" si="102"/>
        <v/>
      </c>
      <c r="B2216" t="str">
        <f>IF(C2216="","",COUNTIF($C$2:C2216,C2216))</f>
        <v/>
      </c>
      <c r="C2216" t="str">
        <f t="shared" si="103"/>
        <v/>
      </c>
      <c r="D2216" t="e">
        <f>VLOOKUP(G2216,PathwayLookup!A:B,2,0)</f>
        <v>#N/A</v>
      </c>
      <c r="E2216"/>
      <c r="T2216">
        <f t="shared" si="104"/>
        <v>0</v>
      </c>
    </row>
    <row r="2217" spans="1:20" x14ac:dyDescent="0.3">
      <c r="A2217" t="str">
        <f t="shared" si="102"/>
        <v/>
      </c>
      <c r="B2217" t="str">
        <f>IF(C2217="","",COUNTIF($C$2:C2217,C2217))</f>
        <v/>
      </c>
      <c r="C2217" t="str">
        <f t="shared" si="103"/>
        <v/>
      </c>
      <c r="D2217" t="e">
        <f>VLOOKUP(G2217,PathwayLookup!A:B,2,0)</f>
        <v>#N/A</v>
      </c>
      <c r="E2217"/>
      <c r="T2217">
        <f t="shared" si="104"/>
        <v>0</v>
      </c>
    </row>
    <row r="2218" spans="1:20" x14ac:dyDescent="0.3">
      <c r="A2218" t="str">
        <f t="shared" si="102"/>
        <v/>
      </c>
      <c r="B2218" t="str">
        <f>IF(C2218="","",COUNTIF($C$2:C2218,C2218))</f>
        <v/>
      </c>
      <c r="C2218" t="str">
        <f t="shared" si="103"/>
        <v/>
      </c>
      <c r="D2218" t="e">
        <f>VLOOKUP(G2218,PathwayLookup!A:B,2,0)</f>
        <v>#N/A</v>
      </c>
      <c r="E2218"/>
      <c r="T2218">
        <f t="shared" si="104"/>
        <v>0</v>
      </c>
    </row>
    <row r="2219" spans="1:20" x14ac:dyDescent="0.3">
      <c r="A2219" t="str">
        <f t="shared" si="102"/>
        <v/>
      </c>
      <c r="B2219" t="str">
        <f>IF(C2219="","",COUNTIF($C$2:C2219,C2219))</f>
        <v/>
      </c>
      <c r="C2219" t="str">
        <f t="shared" si="103"/>
        <v/>
      </c>
      <c r="D2219" t="e">
        <f>VLOOKUP(G2219,PathwayLookup!A:B,2,0)</f>
        <v>#N/A</v>
      </c>
      <c r="E2219"/>
      <c r="T2219">
        <f t="shared" si="104"/>
        <v>0</v>
      </c>
    </row>
    <row r="2220" spans="1:20" x14ac:dyDescent="0.3">
      <c r="A2220" t="str">
        <f t="shared" si="102"/>
        <v/>
      </c>
      <c r="B2220" t="str">
        <f>IF(C2220="","",COUNTIF($C$2:C2220,C2220))</f>
        <v/>
      </c>
      <c r="C2220" t="str">
        <f t="shared" si="103"/>
        <v/>
      </c>
      <c r="D2220" t="e">
        <f>VLOOKUP(G2220,PathwayLookup!A:B,2,0)</f>
        <v>#N/A</v>
      </c>
      <c r="E2220"/>
      <c r="T2220">
        <f t="shared" si="104"/>
        <v>0</v>
      </c>
    </row>
    <row r="2221" spans="1:20" x14ac:dyDescent="0.3">
      <c r="A2221" t="str">
        <f t="shared" si="102"/>
        <v/>
      </c>
      <c r="B2221" t="str">
        <f>IF(C2221="","",COUNTIF($C$2:C2221,C2221))</f>
        <v/>
      </c>
      <c r="C2221" t="str">
        <f t="shared" si="103"/>
        <v/>
      </c>
      <c r="D2221" t="e">
        <f>VLOOKUP(G2221,PathwayLookup!A:B,2,0)</f>
        <v>#N/A</v>
      </c>
      <c r="E2221"/>
      <c r="T2221">
        <f t="shared" si="104"/>
        <v>0</v>
      </c>
    </row>
    <row r="2222" spans="1:20" x14ac:dyDescent="0.3">
      <c r="A2222" t="str">
        <f t="shared" si="102"/>
        <v/>
      </c>
      <c r="B2222" t="str">
        <f>IF(C2222="","",COUNTIF($C$2:C2222,C2222))</f>
        <v/>
      </c>
      <c r="C2222" t="str">
        <f t="shared" si="103"/>
        <v/>
      </c>
      <c r="D2222" t="e">
        <f>VLOOKUP(G2222,PathwayLookup!A:B,2,0)</f>
        <v>#N/A</v>
      </c>
      <c r="E2222"/>
      <c r="T2222">
        <f t="shared" si="104"/>
        <v>0</v>
      </c>
    </row>
    <row r="2223" spans="1:20" x14ac:dyDescent="0.3">
      <c r="A2223" t="str">
        <f t="shared" si="102"/>
        <v/>
      </c>
      <c r="B2223" t="str">
        <f>IF(C2223="","",COUNTIF($C$2:C2223,C2223))</f>
        <v/>
      </c>
      <c r="C2223" t="str">
        <f t="shared" si="103"/>
        <v/>
      </c>
      <c r="D2223" t="e">
        <f>VLOOKUP(G2223,PathwayLookup!A:B,2,0)</f>
        <v>#N/A</v>
      </c>
      <c r="E2223"/>
      <c r="T2223">
        <f t="shared" si="104"/>
        <v>0</v>
      </c>
    </row>
    <row r="2224" spans="1:20" x14ac:dyDescent="0.3">
      <c r="A2224" t="str">
        <f t="shared" si="102"/>
        <v/>
      </c>
      <c r="B2224" t="str">
        <f>IF(C2224="","",COUNTIF($C$2:C2224,C2224))</f>
        <v/>
      </c>
      <c r="C2224" t="str">
        <f t="shared" si="103"/>
        <v/>
      </c>
      <c r="D2224" t="e">
        <f>VLOOKUP(G2224,PathwayLookup!A:B,2,0)</f>
        <v>#N/A</v>
      </c>
      <c r="E2224"/>
      <c r="T2224">
        <f t="shared" si="104"/>
        <v>0</v>
      </c>
    </row>
    <row r="2225" spans="1:20" x14ac:dyDescent="0.3">
      <c r="A2225" t="str">
        <f t="shared" si="102"/>
        <v/>
      </c>
      <c r="B2225" t="str">
        <f>IF(C2225="","",COUNTIF($C$2:C2225,C2225))</f>
        <v/>
      </c>
      <c r="C2225" t="str">
        <f t="shared" si="103"/>
        <v/>
      </c>
      <c r="D2225" t="e">
        <f>VLOOKUP(G2225,PathwayLookup!A:B,2,0)</f>
        <v>#N/A</v>
      </c>
      <c r="E2225"/>
      <c r="T2225">
        <f t="shared" si="104"/>
        <v>0</v>
      </c>
    </row>
    <row r="2226" spans="1:20" x14ac:dyDescent="0.3">
      <c r="A2226" t="str">
        <f t="shared" si="102"/>
        <v/>
      </c>
      <c r="B2226" t="str">
        <f>IF(C2226="","",COUNTIF($C$2:C2226,C2226))</f>
        <v/>
      </c>
      <c r="C2226" t="str">
        <f t="shared" si="103"/>
        <v/>
      </c>
      <c r="D2226" t="e">
        <f>VLOOKUP(G2226,PathwayLookup!A:B,2,0)</f>
        <v>#N/A</v>
      </c>
      <c r="E2226"/>
      <c r="T2226">
        <f t="shared" si="104"/>
        <v>0</v>
      </c>
    </row>
    <row r="2227" spans="1:20" x14ac:dyDescent="0.3">
      <c r="A2227" t="str">
        <f t="shared" si="102"/>
        <v/>
      </c>
      <c r="B2227" t="str">
        <f>IF(C2227="","",COUNTIF($C$2:C2227,C2227))</f>
        <v/>
      </c>
      <c r="C2227" t="str">
        <f t="shared" si="103"/>
        <v/>
      </c>
      <c r="D2227" t="e">
        <f>VLOOKUP(G2227,PathwayLookup!A:B,2,0)</f>
        <v>#N/A</v>
      </c>
      <c r="E2227"/>
      <c r="T2227">
        <f t="shared" si="104"/>
        <v>0</v>
      </c>
    </row>
    <row r="2228" spans="1:20" x14ac:dyDescent="0.3">
      <c r="A2228" t="str">
        <f t="shared" si="102"/>
        <v/>
      </c>
      <c r="B2228" t="str">
        <f>IF(C2228="","",COUNTIF($C$2:C2228,C2228))</f>
        <v/>
      </c>
      <c r="C2228" t="str">
        <f t="shared" si="103"/>
        <v/>
      </c>
      <c r="D2228" t="e">
        <f>VLOOKUP(G2228,PathwayLookup!A:B,2,0)</f>
        <v>#N/A</v>
      </c>
      <c r="E2228"/>
      <c r="T2228">
        <f t="shared" si="104"/>
        <v>0</v>
      </c>
    </row>
    <row r="2229" spans="1:20" x14ac:dyDescent="0.3">
      <c r="A2229" t="str">
        <f t="shared" si="102"/>
        <v/>
      </c>
      <c r="B2229" t="str">
        <f>IF(C2229="","",COUNTIF($C$2:C2229,C2229))</f>
        <v/>
      </c>
      <c r="C2229" t="str">
        <f t="shared" si="103"/>
        <v/>
      </c>
      <c r="D2229" t="e">
        <f>VLOOKUP(G2229,PathwayLookup!A:B,2,0)</f>
        <v>#N/A</v>
      </c>
      <c r="E2229"/>
      <c r="T2229">
        <f t="shared" si="104"/>
        <v>0</v>
      </c>
    </row>
    <row r="2230" spans="1:20" x14ac:dyDescent="0.3">
      <c r="A2230" t="str">
        <f t="shared" si="102"/>
        <v/>
      </c>
      <c r="B2230" t="str">
        <f>IF(C2230="","",COUNTIF($C$2:C2230,C2230))</f>
        <v/>
      </c>
      <c r="C2230" t="str">
        <f t="shared" si="103"/>
        <v/>
      </c>
      <c r="D2230" t="e">
        <f>VLOOKUP(G2230,PathwayLookup!A:B,2,0)</f>
        <v>#N/A</v>
      </c>
      <c r="E2230"/>
      <c r="T2230">
        <f t="shared" si="104"/>
        <v>0</v>
      </c>
    </row>
    <row r="2231" spans="1:20" x14ac:dyDescent="0.3">
      <c r="A2231" t="str">
        <f t="shared" si="102"/>
        <v/>
      </c>
      <c r="B2231" t="str">
        <f>IF(C2231="","",COUNTIF($C$2:C2231,C2231))</f>
        <v/>
      </c>
      <c r="C2231" t="str">
        <f t="shared" si="103"/>
        <v/>
      </c>
      <c r="D2231" t="e">
        <f>VLOOKUP(G2231,PathwayLookup!A:B,2,0)</f>
        <v>#N/A</v>
      </c>
      <c r="E2231"/>
      <c r="T2231">
        <f t="shared" si="104"/>
        <v>0</v>
      </c>
    </row>
    <row r="2232" spans="1:20" x14ac:dyDescent="0.3">
      <c r="A2232" t="str">
        <f t="shared" si="102"/>
        <v/>
      </c>
      <c r="B2232" t="str">
        <f>IF(C2232="","",COUNTIF($C$2:C2232,C2232))</f>
        <v/>
      </c>
      <c r="C2232" t="str">
        <f t="shared" si="103"/>
        <v/>
      </c>
      <c r="D2232" t="e">
        <f>VLOOKUP(G2232,PathwayLookup!A:B,2,0)</f>
        <v>#N/A</v>
      </c>
      <c r="E2232"/>
      <c r="T2232">
        <f t="shared" si="104"/>
        <v>0</v>
      </c>
    </row>
    <row r="2233" spans="1:20" x14ac:dyDescent="0.3">
      <c r="A2233" t="str">
        <f t="shared" si="102"/>
        <v/>
      </c>
      <c r="B2233" t="str">
        <f>IF(C2233="","",COUNTIF($C$2:C2233,C2233))</f>
        <v/>
      </c>
      <c r="C2233" t="str">
        <f t="shared" si="103"/>
        <v/>
      </c>
      <c r="D2233" t="e">
        <f>VLOOKUP(G2233,PathwayLookup!A:B,2,0)</f>
        <v>#N/A</v>
      </c>
      <c r="E2233"/>
      <c r="T2233">
        <f t="shared" si="104"/>
        <v>0</v>
      </c>
    </row>
    <row r="2234" spans="1:20" x14ac:dyDescent="0.3">
      <c r="A2234" t="str">
        <f t="shared" si="102"/>
        <v/>
      </c>
      <c r="B2234" t="str">
        <f>IF(C2234="","",COUNTIF($C$2:C2234,C2234))</f>
        <v/>
      </c>
      <c r="C2234" t="str">
        <f t="shared" si="103"/>
        <v/>
      </c>
      <c r="D2234" t="e">
        <f>VLOOKUP(G2234,PathwayLookup!A:B,2,0)</f>
        <v>#N/A</v>
      </c>
      <c r="E2234"/>
      <c r="T2234">
        <f t="shared" si="104"/>
        <v>0</v>
      </c>
    </row>
    <row r="2235" spans="1:20" x14ac:dyDescent="0.3">
      <c r="A2235" t="str">
        <f t="shared" si="102"/>
        <v/>
      </c>
      <c r="B2235" t="str">
        <f>IF(C2235="","",COUNTIF($C$2:C2235,C2235))</f>
        <v/>
      </c>
      <c r="C2235" t="str">
        <f t="shared" si="103"/>
        <v/>
      </c>
      <c r="D2235" t="e">
        <f>VLOOKUP(G2235,PathwayLookup!A:B,2,0)</f>
        <v>#N/A</v>
      </c>
      <c r="E2235"/>
      <c r="T2235">
        <f t="shared" si="104"/>
        <v>0</v>
      </c>
    </row>
    <row r="2236" spans="1:20" x14ac:dyDescent="0.3">
      <c r="A2236" t="str">
        <f t="shared" si="102"/>
        <v/>
      </c>
      <c r="B2236" t="str">
        <f>IF(C2236="","",COUNTIF($C$2:C2236,C2236))</f>
        <v/>
      </c>
      <c r="C2236" t="str">
        <f t="shared" si="103"/>
        <v/>
      </c>
      <c r="D2236" t="e">
        <f>VLOOKUP(G2236,PathwayLookup!A:B,2,0)</f>
        <v>#N/A</v>
      </c>
      <c r="E2236"/>
      <c r="T2236">
        <f t="shared" si="104"/>
        <v>0</v>
      </c>
    </row>
    <row r="2237" spans="1:20" x14ac:dyDescent="0.3">
      <c r="A2237" t="str">
        <f t="shared" si="102"/>
        <v/>
      </c>
      <c r="B2237" t="str">
        <f>IF(C2237="","",COUNTIF($C$2:C2237,C2237))</f>
        <v/>
      </c>
      <c r="C2237" t="str">
        <f t="shared" si="103"/>
        <v/>
      </c>
      <c r="D2237" t="e">
        <f>VLOOKUP(G2237,PathwayLookup!A:B,2,0)</f>
        <v>#N/A</v>
      </c>
      <c r="E2237"/>
      <c r="T2237">
        <f t="shared" si="104"/>
        <v>0</v>
      </c>
    </row>
    <row r="2238" spans="1:20" x14ac:dyDescent="0.3">
      <c r="A2238" t="str">
        <f t="shared" si="102"/>
        <v/>
      </c>
      <c r="B2238" t="str">
        <f>IF(C2238="","",COUNTIF($C$2:C2238,C2238))</f>
        <v/>
      </c>
      <c r="C2238" t="str">
        <f t="shared" si="103"/>
        <v/>
      </c>
      <c r="D2238" t="e">
        <f>VLOOKUP(G2238,PathwayLookup!A:B,2,0)</f>
        <v>#N/A</v>
      </c>
      <c r="E2238"/>
      <c r="T2238">
        <f t="shared" si="104"/>
        <v>0</v>
      </c>
    </row>
    <row r="2239" spans="1:20" x14ac:dyDescent="0.3">
      <c r="A2239" t="str">
        <f t="shared" si="102"/>
        <v/>
      </c>
      <c r="B2239" t="str">
        <f>IF(C2239="","",COUNTIF($C$2:C2239,C2239))</f>
        <v/>
      </c>
      <c r="C2239" t="str">
        <f t="shared" si="103"/>
        <v/>
      </c>
      <c r="D2239" t="e">
        <f>VLOOKUP(G2239,PathwayLookup!A:B,2,0)</f>
        <v>#N/A</v>
      </c>
      <c r="E2239"/>
      <c r="T2239">
        <f t="shared" si="104"/>
        <v>0</v>
      </c>
    </row>
    <row r="2240" spans="1:20" x14ac:dyDescent="0.3">
      <c r="A2240" t="str">
        <f t="shared" si="102"/>
        <v/>
      </c>
      <c r="B2240" t="str">
        <f>IF(C2240="","",COUNTIF($C$2:C2240,C2240))</f>
        <v/>
      </c>
      <c r="C2240" t="str">
        <f t="shared" si="103"/>
        <v/>
      </c>
      <c r="D2240" t="e">
        <f>VLOOKUP(G2240,PathwayLookup!A:B,2,0)</f>
        <v>#N/A</v>
      </c>
      <c r="E2240"/>
      <c r="T2240">
        <f t="shared" si="104"/>
        <v>0</v>
      </c>
    </row>
    <row r="2241" spans="1:20" x14ac:dyDescent="0.3">
      <c r="A2241" t="str">
        <f t="shared" si="102"/>
        <v/>
      </c>
      <c r="B2241" t="str">
        <f>IF(C2241="","",COUNTIF($C$2:C2241,C2241))</f>
        <v/>
      </c>
      <c r="C2241" t="str">
        <f t="shared" si="103"/>
        <v/>
      </c>
      <c r="D2241" t="e">
        <f>VLOOKUP(G2241,PathwayLookup!A:B,2,0)</f>
        <v>#N/A</v>
      </c>
      <c r="E2241"/>
      <c r="T2241">
        <f t="shared" si="104"/>
        <v>0</v>
      </c>
    </row>
    <row r="2242" spans="1:20" x14ac:dyDescent="0.3">
      <c r="A2242" t="str">
        <f t="shared" ref="A2242:A2305" si="105">IF(B2242="","",E2242&amp;D2242&amp;B2242)</f>
        <v/>
      </c>
      <c r="B2242" t="str">
        <f>IF(C2242="","",COUNTIF($C$2:C2242,C2242))</f>
        <v/>
      </c>
      <c r="C2242" t="str">
        <f t="shared" ref="C2242:C2305" si="106">IF(T2242=0,"",E2242&amp;G2242)</f>
        <v/>
      </c>
      <c r="D2242" t="e">
        <f>VLOOKUP(G2242,PathwayLookup!A:B,2,0)</f>
        <v>#N/A</v>
      </c>
      <c r="E2242"/>
      <c r="T2242">
        <f t="shared" ref="T2242:T2305" si="107">SUM(H2242:S2242)</f>
        <v>0</v>
      </c>
    </row>
    <row r="2243" spans="1:20" x14ac:dyDescent="0.3">
      <c r="A2243" t="str">
        <f t="shared" si="105"/>
        <v/>
      </c>
      <c r="B2243" t="str">
        <f>IF(C2243="","",COUNTIF($C$2:C2243,C2243))</f>
        <v/>
      </c>
      <c r="C2243" t="str">
        <f t="shared" si="106"/>
        <v/>
      </c>
      <c r="D2243" t="e">
        <f>VLOOKUP(G2243,PathwayLookup!A:B,2,0)</f>
        <v>#N/A</v>
      </c>
      <c r="E2243"/>
      <c r="T2243">
        <f t="shared" si="107"/>
        <v>0</v>
      </c>
    </row>
    <row r="2244" spans="1:20" x14ac:dyDescent="0.3">
      <c r="A2244" t="str">
        <f t="shared" si="105"/>
        <v/>
      </c>
      <c r="B2244" t="str">
        <f>IF(C2244="","",COUNTIF($C$2:C2244,C2244))</f>
        <v/>
      </c>
      <c r="C2244" t="str">
        <f t="shared" si="106"/>
        <v/>
      </c>
      <c r="D2244" t="e">
        <f>VLOOKUP(G2244,PathwayLookup!A:B,2,0)</f>
        <v>#N/A</v>
      </c>
      <c r="E2244"/>
      <c r="T2244">
        <f t="shared" si="107"/>
        <v>0</v>
      </c>
    </row>
    <row r="2245" spans="1:20" x14ac:dyDescent="0.3">
      <c r="A2245" t="str">
        <f t="shared" si="105"/>
        <v/>
      </c>
      <c r="B2245" t="str">
        <f>IF(C2245="","",COUNTIF($C$2:C2245,C2245))</f>
        <v/>
      </c>
      <c r="C2245" t="str">
        <f t="shared" si="106"/>
        <v/>
      </c>
      <c r="D2245" t="e">
        <f>VLOOKUP(G2245,PathwayLookup!A:B,2,0)</f>
        <v>#N/A</v>
      </c>
      <c r="E2245"/>
      <c r="T2245">
        <f t="shared" si="107"/>
        <v>0</v>
      </c>
    </row>
    <row r="2246" spans="1:20" x14ac:dyDescent="0.3">
      <c r="A2246" t="str">
        <f t="shared" si="105"/>
        <v/>
      </c>
      <c r="B2246" t="str">
        <f>IF(C2246="","",COUNTIF($C$2:C2246,C2246))</f>
        <v/>
      </c>
      <c r="C2246" t="str">
        <f t="shared" si="106"/>
        <v/>
      </c>
      <c r="D2246" t="e">
        <f>VLOOKUP(G2246,PathwayLookup!A:B,2,0)</f>
        <v>#N/A</v>
      </c>
      <c r="E2246"/>
      <c r="T2246">
        <f t="shared" si="107"/>
        <v>0</v>
      </c>
    </row>
    <row r="2247" spans="1:20" x14ac:dyDescent="0.3">
      <c r="A2247" t="str">
        <f t="shared" si="105"/>
        <v/>
      </c>
      <c r="B2247" t="str">
        <f>IF(C2247="","",COUNTIF($C$2:C2247,C2247))</f>
        <v/>
      </c>
      <c r="C2247" t="str">
        <f t="shared" si="106"/>
        <v/>
      </c>
      <c r="D2247" t="e">
        <f>VLOOKUP(G2247,PathwayLookup!A:B,2,0)</f>
        <v>#N/A</v>
      </c>
      <c r="E2247"/>
      <c r="T2247">
        <f t="shared" si="107"/>
        <v>0</v>
      </c>
    </row>
    <row r="2248" spans="1:20" x14ac:dyDescent="0.3">
      <c r="A2248" t="str">
        <f t="shared" si="105"/>
        <v/>
      </c>
      <c r="B2248" t="str">
        <f>IF(C2248="","",COUNTIF($C$2:C2248,C2248))</f>
        <v/>
      </c>
      <c r="C2248" t="str">
        <f t="shared" si="106"/>
        <v/>
      </c>
      <c r="D2248" t="e">
        <f>VLOOKUP(G2248,PathwayLookup!A:B,2,0)</f>
        <v>#N/A</v>
      </c>
      <c r="E2248"/>
      <c r="T2248">
        <f t="shared" si="107"/>
        <v>0</v>
      </c>
    </row>
    <row r="2249" spans="1:20" x14ac:dyDescent="0.3">
      <c r="A2249" t="str">
        <f t="shared" si="105"/>
        <v/>
      </c>
      <c r="B2249" t="str">
        <f>IF(C2249="","",COUNTIF($C$2:C2249,C2249))</f>
        <v/>
      </c>
      <c r="C2249" t="str">
        <f t="shared" si="106"/>
        <v/>
      </c>
      <c r="D2249" t="e">
        <f>VLOOKUP(G2249,PathwayLookup!A:B,2,0)</f>
        <v>#N/A</v>
      </c>
      <c r="E2249"/>
      <c r="T2249">
        <f t="shared" si="107"/>
        <v>0</v>
      </c>
    </row>
    <row r="2250" spans="1:20" x14ac:dyDescent="0.3">
      <c r="A2250" t="str">
        <f t="shared" si="105"/>
        <v/>
      </c>
      <c r="B2250" t="str">
        <f>IF(C2250="","",COUNTIF($C$2:C2250,C2250))</f>
        <v/>
      </c>
      <c r="C2250" t="str">
        <f t="shared" si="106"/>
        <v/>
      </c>
      <c r="D2250" t="e">
        <f>VLOOKUP(G2250,PathwayLookup!A:B,2,0)</f>
        <v>#N/A</v>
      </c>
      <c r="E2250"/>
      <c r="T2250">
        <f t="shared" si="107"/>
        <v>0</v>
      </c>
    </row>
    <row r="2251" spans="1:20" x14ac:dyDescent="0.3">
      <c r="A2251" t="str">
        <f t="shared" si="105"/>
        <v/>
      </c>
      <c r="B2251" t="str">
        <f>IF(C2251="","",COUNTIF($C$2:C2251,C2251))</f>
        <v/>
      </c>
      <c r="C2251" t="str">
        <f t="shared" si="106"/>
        <v/>
      </c>
      <c r="D2251" t="e">
        <f>VLOOKUP(G2251,PathwayLookup!A:B,2,0)</f>
        <v>#N/A</v>
      </c>
      <c r="E2251"/>
      <c r="T2251">
        <f t="shared" si="107"/>
        <v>0</v>
      </c>
    </row>
    <row r="2252" spans="1:20" x14ac:dyDescent="0.3">
      <c r="A2252" t="str">
        <f t="shared" si="105"/>
        <v/>
      </c>
      <c r="B2252" t="str">
        <f>IF(C2252="","",COUNTIF($C$2:C2252,C2252))</f>
        <v/>
      </c>
      <c r="C2252" t="str">
        <f t="shared" si="106"/>
        <v/>
      </c>
      <c r="D2252" t="e">
        <f>VLOOKUP(G2252,PathwayLookup!A:B,2,0)</f>
        <v>#N/A</v>
      </c>
      <c r="E2252"/>
      <c r="T2252">
        <f t="shared" si="107"/>
        <v>0</v>
      </c>
    </row>
    <row r="2253" spans="1:20" x14ac:dyDescent="0.3">
      <c r="A2253" t="str">
        <f t="shared" si="105"/>
        <v/>
      </c>
      <c r="B2253" t="str">
        <f>IF(C2253="","",COUNTIF($C$2:C2253,C2253))</f>
        <v/>
      </c>
      <c r="C2253" t="str">
        <f t="shared" si="106"/>
        <v/>
      </c>
      <c r="D2253" t="e">
        <f>VLOOKUP(G2253,PathwayLookup!A:B,2,0)</f>
        <v>#N/A</v>
      </c>
      <c r="E2253"/>
      <c r="T2253">
        <f t="shared" si="107"/>
        <v>0</v>
      </c>
    </row>
    <row r="2254" spans="1:20" x14ac:dyDescent="0.3">
      <c r="A2254" t="str">
        <f t="shared" si="105"/>
        <v/>
      </c>
      <c r="B2254" t="str">
        <f>IF(C2254="","",COUNTIF($C$2:C2254,C2254))</f>
        <v/>
      </c>
      <c r="C2254" t="str">
        <f t="shared" si="106"/>
        <v/>
      </c>
      <c r="D2254" t="e">
        <f>VLOOKUP(G2254,PathwayLookup!A:B,2,0)</f>
        <v>#N/A</v>
      </c>
      <c r="E2254"/>
      <c r="T2254">
        <f t="shared" si="107"/>
        <v>0</v>
      </c>
    </row>
    <row r="2255" spans="1:20" x14ac:dyDescent="0.3">
      <c r="A2255" t="str">
        <f t="shared" si="105"/>
        <v/>
      </c>
      <c r="B2255" t="str">
        <f>IF(C2255="","",COUNTIF($C$2:C2255,C2255))</f>
        <v/>
      </c>
      <c r="C2255" t="str">
        <f t="shared" si="106"/>
        <v/>
      </c>
      <c r="D2255" t="e">
        <f>VLOOKUP(G2255,PathwayLookup!A:B,2,0)</f>
        <v>#N/A</v>
      </c>
      <c r="E2255"/>
      <c r="T2255">
        <f t="shared" si="107"/>
        <v>0</v>
      </c>
    </row>
    <row r="2256" spans="1:20" x14ac:dyDescent="0.3">
      <c r="A2256" t="str">
        <f t="shared" si="105"/>
        <v/>
      </c>
      <c r="B2256" t="str">
        <f>IF(C2256="","",COUNTIF($C$2:C2256,C2256))</f>
        <v/>
      </c>
      <c r="C2256" t="str">
        <f t="shared" si="106"/>
        <v/>
      </c>
      <c r="D2256" t="e">
        <f>VLOOKUP(G2256,PathwayLookup!A:B,2,0)</f>
        <v>#N/A</v>
      </c>
      <c r="E2256"/>
      <c r="T2256">
        <f t="shared" si="107"/>
        <v>0</v>
      </c>
    </row>
    <row r="2257" spans="1:20" x14ac:dyDescent="0.3">
      <c r="A2257" t="str">
        <f t="shared" si="105"/>
        <v/>
      </c>
      <c r="B2257" t="str">
        <f>IF(C2257="","",COUNTIF($C$2:C2257,C2257))</f>
        <v/>
      </c>
      <c r="C2257" t="str">
        <f t="shared" si="106"/>
        <v/>
      </c>
      <c r="D2257" t="e">
        <f>VLOOKUP(G2257,PathwayLookup!A:B,2,0)</f>
        <v>#N/A</v>
      </c>
      <c r="E2257"/>
      <c r="T2257">
        <f t="shared" si="107"/>
        <v>0</v>
      </c>
    </row>
    <row r="2258" spans="1:20" x14ac:dyDescent="0.3">
      <c r="A2258" t="str">
        <f t="shared" si="105"/>
        <v/>
      </c>
      <c r="B2258" t="str">
        <f>IF(C2258="","",COUNTIF($C$2:C2258,C2258))</f>
        <v/>
      </c>
      <c r="C2258" t="str">
        <f t="shared" si="106"/>
        <v/>
      </c>
      <c r="D2258" t="e">
        <f>VLOOKUP(G2258,PathwayLookup!A:B,2,0)</f>
        <v>#N/A</v>
      </c>
      <c r="E2258"/>
      <c r="T2258">
        <f t="shared" si="107"/>
        <v>0</v>
      </c>
    </row>
    <row r="2259" spans="1:20" x14ac:dyDescent="0.3">
      <c r="A2259" t="str">
        <f t="shared" si="105"/>
        <v/>
      </c>
      <c r="B2259" t="str">
        <f>IF(C2259="","",COUNTIF($C$2:C2259,C2259))</f>
        <v/>
      </c>
      <c r="C2259" t="str">
        <f t="shared" si="106"/>
        <v/>
      </c>
      <c r="D2259" t="e">
        <f>VLOOKUP(G2259,PathwayLookup!A:B,2,0)</f>
        <v>#N/A</v>
      </c>
      <c r="E2259"/>
      <c r="T2259">
        <f t="shared" si="107"/>
        <v>0</v>
      </c>
    </row>
    <row r="2260" spans="1:20" x14ac:dyDescent="0.3">
      <c r="A2260" t="str">
        <f t="shared" si="105"/>
        <v/>
      </c>
      <c r="B2260" t="str">
        <f>IF(C2260="","",COUNTIF($C$2:C2260,C2260))</f>
        <v/>
      </c>
      <c r="C2260" t="str">
        <f t="shared" si="106"/>
        <v/>
      </c>
      <c r="D2260" t="e">
        <f>VLOOKUP(G2260,PathwayLookup!A:B,2,0)</f>
        <v>#N/A</v>
      </c>
      <c r="E2260"/>
      <c r="T2260">
        <f t="shared" si="107"/>
        <v>0</v>
      </c>
    </row>
    <row r="2261" spans="1:20" x14ac:dyDescent="0.3">
      <c r="A2261" t="str">
        <f t="shared" si="105"/>
        <v/>
      </c>
      <c r="B2261" t="str">
        <f>IF(C2261="","",COUNTIF($C$2:C2261,C2261))</f>
        <v/>
      </c>
      <c r="C2261" t="str">
        <f t="shared" si="106"/>
        <v/>
      </c>
      <c r="D2261" t="e">
        <f>VLOOKUP(G2261,PathwayLookup!A:B,2,0)</f>
        <v>#N/A</v>
      </c>
      <c r="E2261"/>
      <c r="T2261">
        <f t="shared" si="107"/>
        <v>0</v>
      </c>
    </row>
    <row r="2262" spans="1:20" x14ac:dyDescent="0.3">
      <c r="A2262" t="str">
        <f t="shared" si="105"/>
        <v/>
      </c>
      <c r="B2262" t="str">
        <f>IF(C2262="","",COUNTIF($C$2:C2262,C2262))</f>
        <v/>
      </c>
      <c r="C2262" t="str">
        <f t="shared" si="106"/>
        <v/>
      </c>
      <c r="D2262" t="e">
        <f>VLOOKUP(G2262,PathwayLookup!A:B,2,0)</f>
        <v>#N/A</v>
      </c>
      <c r="E2262"/>
      <c r="T2262">
        <f t="shared" si="107"/>
        <v>0</v>
      </c>
    </row>
    <row r="2263" spans="1:20" x14ac:dyDescent="0.3">
      <c r="A2263" t="str">
        <f t="shared" si="105"/>
        <v/>
      </c>
      <c r="B2263" t="str">
        <f>IF(C2263="","",COUNTIF($C$2:C2263,C2263))</f>
        <v/>
      </c>
      <c r="C2263" t="str">
        <f t="shared" si="106"/>
        <v/>
      </c>
      <c r="D2263" t="e">
        <f>VLOOKUP(G2263,PathwayLookup!A:B,2,0)</f>
        <v>#N/A</v>
      </c>
      <c r="E2263"/>
      <c r="T2263">
        <f t="shared" si="107"/>
        <v>0</v>
      </c>
    </row>
    <row r="2264" spans="1:20" x14ac:dyDescent="0.3">
      <c r="A2264" t="str">
        <f t="shared" si="105"/>
        <v/>
      </c>
      <c r="B2264" t="str">
        <f>IF(C2264="","",COUNTIF($C$2:C2264,C2264))</f>
        <v/>
      </c>
      <c r="C2264" t="str">
        <f t="shared" si="106"/>
        <v/>
      </c>
      <c r="D2264" t="e">
        <f>VLOOKUP(G2264,PathwayLookup!A:B,2,0)</f>
        <v>#N/A</v>
      </c>
      <c r="E2264"/>
      <c r="T2264">
        <f t="shared" si="107"/>
        <v>0</v>
      </c>
    </row>
    <row r="2265" spans="1:20" x14ac:dyDescent="0.3">
      <c r="A2265" t="str">
        <f t="shared" si="105"/>
        <v/>
      </c>
      <c r="B2265" t="str">
        <f>IF(C2265="","",COUNTIF($C$2:C2265,C2265))</f>
        <v/>
      </c>
      <c r="C2265" t="str">
        <f t="shared" si="106"/>
        <v/>
      </c>
      <c r="D2265" t="e">
        <f>VLOOKUP(G2265,PathwayLookup!A:B,2,0)</f>
        <v>#N/A</v>
      </c>
      <c r="E2265"/>
      <c r="T2265">
        <f t="shared" si="107"/>
        <v>0</v>
      </c>
    </row>
    <row r="2266" spans="1:20" x14ac:dyDescent="0.3">
      <c r="A2266" t="str">
        <f t="shared" si="105"/>
        <v/>
      </c>
      <c r="B2266" t="str">
        <f>IF(C2266="","",COUNTIF($C$2:C2266,C2266))</f>
        <v/>
      </c>
      <c r="C2266" t="str">
        <f t="shared" si="106"/>
        <v/>
      </c>
      <c r="D2266" t="e">
        <f>VLOOKUP(G2266,PathwayLookup!A:B,2,0)</f>
        <v>#N/A</v>
      </c>
      <c r="E2266"/>
      <c r="T2266">
        <f t="shared" si="107"/>
        <v>0</v>
      </c>
    </row>
    <row r="2267" spans="1:20" x14ac:dyDescent="0.3">
      <c r="A2267" t="str">
        <f t="shared" si="105"/>
        <v/>
      </c>
      <c r="B2267" t="str">
        <f>IF(C2267="","",COUNTIF($C$2:C2267,C2267))</f>
        <v/>
      </c>
      <c r="C2267" t="str">
        <f t="shared" si="106"/>
        <v/>
      </c>
      <c r="D2267" t="e">
        <f>VLOOKUP(G2267,PathwayLookup!A:B,2,0)</f>
        <v>#N/A</v>
      </c>
      <c r="E2267"/>
      <c r="T2267">
        <f t="shared" si="107"/>
        <v>0</v>
      </c>
    </row>
    <row r="2268" spans="1:20" x14ac:dyDescent="0.3">
      <c r="A2268" t="str">
        <f t="shared" si="105"/>
        <v/>
      </c>
      <c r="B2268" t="str">
        <f>IF(C2268="","",COUNTIF($C$2:C2268,C2268))</f>
        <v/>
      </c>
      <c r="C2268" t="str">
        <f t="shared" si="106"/>
        <v/>
      </c>
      <c r="D2268" t="e">
        <f>VLOOKUP(G2268,PathwayLookup!A:B,2,0)</f>
        <v>#N/A</v>
      </c>
      <c r="E2268"/>
      <c r="T2268">
        <f t="shared" si="107"/>
        <v>0</v>
      </c>
    </row>
    <row r="2269" spans="1:20" x14ac:dyDescent="0.3">
      <c r="A2269" t="str">
        <f t="shared" si="105"/>
        <v/>
      </c>
      <c r="B2269" t="str">
        <f>IF(C2269="","",COUNTIF($C$2:C2269,C2269))</f>
        <v/>
      </c>
      <c r="C2269" t="str">
        <f t="shared" si="106"/>
        <v/>
      </c>
      <c r="D2269" t="e">
        <f>VLOOKUP(G2269,PathwayLookup!A:B,2,0)</f>
        <v>#N/A</v>
      </c>
      <c r="E2269"/>
      <c r="T2269">
        <f t="shared" si="107"/>
        <v>0</v>
      </c>
    </row>
    <row r="2270" spans="1:20" x14ac:dyDescent="0.3">
      <c r="A2270" t="str">
        <f t="shared" si="105"/>
        <v/>
      </c>
      <c r="B2270" t="str">
        <f>IF(C2270="","",COUNTIF($C$2:C2270,C2270))</f>
        <v/>
      </c>
      <c r="C2270" t="str">
        <f t="shared" si="106"/>
        <v/>
      </c>
      <c r="D2270" t="e">
        <f>VLOOKUP(G2270,PathwayLookup!A:B,2,0)</f>
        <v>#N/A</v>
      </c>
      <c r="E2270"/>
      <c r="T2270">
        <f t="shared" si="107"/>
        <v>0</v>
      </c>
    </row>
    <row r="2271" spans="1:20" x14ac:dyDescent="0.3">
      <c r="A2271" t="str">
        <f t="shared" si="105"/>
        <v/>
      </c>
      <c r="B2271" t="str">
        <f>IF(C2271="","",COUNTIF($C$2:C2271,C2271))</f>
        <v/>
      </c>
      <c r="C2271" t="str">
        <f t="shared" si="106"/>
        <v/>
      </c>
      <c r="D2271" t="e">
        <f>VLOOKUP(G2271,PathwayLookup!A:B,2,0)</f>
        <v>#N/A</v>
      </c>
      <c r="E2271"/>
      <c r="T2271">
        <f t="shared" si="107"/>
        <v>0</v>
      </c>
    </row>
    <row r="2272" spans="1:20" x14ac:dyDescent="0.3">
      <c r="A2272" t="str">
        <f t="shared" si="105"/>
        <v/>
      </c>
      <c r="B2272" t="str">
        <f>IF(C2272="","",COUNTIF($C$2:C2272,C2272))</f>
        <v/>
      </c>
      <c r="C2272" t="str">
        <f t="shared" si="106"/>
        <v/>
      </c>
      <c r="D2272" t="e">
        <f>VLOOKUP(G2272,PathwayLookup!A:B,2,0)</f>
        <v>#N/A</v>
      </c>
      <c r="E2272"/>
      <c r="T2272">
        <f t="shared" si="107"/>
        <v>0</v>
      </c>
    </row>
    <row r="2273" spans="1:20" x14ac:dyDescent="0.3">
      <c r="A2273" t="str">
        <f t="shared" si="105"/>
        <v/>
      </c>
      <c r="B2273" t="str">
        <f>IF(C2273="","",COUNTIF($C$2:C2273,C2273))</f>
        <v/>
      </c>
      <c r="C2273" t="str">
        <f t="shared" si="106"/>
        <v/>
      </c>
      <c r="D2273" t="e">
        <f>VLOOKUP(G2273,PathwayLookup!A:B,2,0)</f>
        <v>#N/A</v>
      </c>
      <c r="E2273"/>
      <c r="T2273">
        <f t="shared" si="107"/>
        <v>0</v>
      </c>
    </row>
    <row r="2274" spans="1:20" x14ac:dyDescent="0.3">
      <c r="A2274" t="str">
        <f t="shared" si="105"/>
        <v/>
      </c>
      <c r="B2274" t="str">
        <f>IF(C2274="","",COUNTIF($C$2:C2274,C2274))</f>
        <v/>
      </c>
      <c r="C2274" t="str">
        <f t="shared" si="106"/>
        <v/>
      </c>
      <c r="D2274" t="e">
        <f>VLOOKUP(G2274,PathwayLookup!A:B,2,0)</f>
        <v>#N/A</v>
      </c>
      <c r="E2274"/>
      <c r="T2274">
        <f t="shared" si="107"/>
        <v>0</v>
      </c>
    </row>
    <row r="2275" spans="1:20" x14ac:dyDescent="0.3">
      <c r="A2275" t="str">
        <f t="shared" si="105"/>
        <v/>
      </c>
      <c r="B2275" t="str">
        <f>IF(C2275="","",COUNTIF($C$2:C2275,C2275))</f>
        <v/>
      </c>
      <c r="C2275" t="str">
        <f t="shared" si="106"/>
        <v/>
      </c>
      <c r="D2275" t="e">
        <f>VLOOKUP(G2275,PathwayLookup!A:B,2,0)</f>
        <v>#N/A</v>
      </c>
      <c r="E2275"/>
      <c r="T2275">
        <f t="shared" si="107"/>
        <v>0</v>
      </c>
    </row>
    <row r="2276" spans="1:20" x14ac:dyDescent="0.3">
      <c r="A2276" t="str">
        <f t="shared" si="105"/>
        <v/>
      </c>
      <c r="B2276" t="str">
        <f>IF(C2276="","",COUNTIF($C$2:C2276,C2276))</f>
        <v/>
      </c>
      <c r="C2276" t="str">
        <f t="shared" si="106"/>
        <v/>
      </c>
      <c r="D2276" t="e">
        <f>VLOOKUP(G2276,PathwayLookup!A:B,2,0)</f>
        <v>#N/A</v>
      </c>
      <c r="E2276"/>
      <c r="T2276">
        <f t="shared" si="107"/>
        <v>0</v>
      </c>
    </row>
    <row r="2277" spans="1:20" x14ac:dyDescent="0.3">
      <c r="A2277" t="str">
        <f t="shared" si="105"/>
        <v/>
      </c>
      <c r="B2277" t="str">
        <f>IF(C2277="","",COUNTIF($C$2:C2277,C2277))</f>
        <v/>
      </c>
      <c r="C2277" t="str">
        <f t="shared" si="106"/>
        <v/>
      </c>
      <c r="D2277" t="e">
        <f>VLOOKUP(G2277,PathwayLookup!A:B,2,0)</f>
        <v>#N/A</v>
      </c>
      <c r="E2277"/>
      <c r="T2277">
        <f t="shared" si="107"/>
        <v>0</v>
      </c>
    </row>
    <row r="2278" spans="1:20" x14ac:dyDescent="0.3">
      <c r="A2278" t="str">
        <f t="shared" si="105"/>
        <v/>
      </c>
      <c r="B2278" t="str">
        <f>IF(C2278="","",COUNTIF($C$2:C2278,C2278))</f>
        <v/>
      </c>
      <c r="C2278" t="str">
        <f t="shared" si="106"/>
        <v/>
      </c>
      <c r="D2278" t="e">
        <f>VLOOKUP(G2278,PathwayLookup!A:B,2,0)</f>
        <v>#N/A</v>
      </c>
      <c r="E2278"/>
      <c r="T2278">
        <f t="shared" si="107"/>
        <v>0</v>
      </c>
    </row>
    <row r="2279" spans="1:20" x14ac:dyDescent="0.3">
      <c r="A2279" t="str">
        <f t="shared" si="105"/>
        <v/>
      </c>
      <c r="B2279" t="str">
        <f>IF(C2279="","",COUNTIF($C$2:C2279,C2279))</f>
        <v/>
      </c>
      <c r="C2279" t="str">
        <f t="shared" si="106"/>
        <v/>
      </c>
      <c r="D2279" t="e">
        <f>VLOOKUP(G2279,PathwayLookup!A:B,2,0)</f>
        <v>#N/A</v>
      </c>
      <c r="E2279"/>
      <c r="T2279">
        <f t="shared" si="107"/>
        <v>0</v>
      </c>
    </row>
    <row r="2280" spans="1:20" x14ac:dyDescent="0.3">
      <c r="A2280" t="str">
        <f t="shared" si="105"/>
        <v/>
      </c>
      <c r="B2280" t="str">
        <f>IF(C2280="","",COUNTIF($C$2:C2280,C2280))</f>
        <v/>
      </c>
      <c r="C2280" t="str">
        <f t="shared" si="106"/>
        <v/>
      </c>
      <c r="D2280" t="e">
        <f>VLOOKUP(G2280,PathwayLookup!A:B,2,0)</f>
        <v>#N/A</v>
      </c>
      <c r="E2280"/>
      <c r="T2280">
        <f t="shared" si="107"/>
        <v>0</v>
      </c>
    </row>
    <row r="2281" spans="1:20" x14ac:dyDescent="0.3">
      <c r="A2281" t="str">
        <f t="shared" si="105"/>
        <v/>
      </c>
      <c r="B2281" t="str">
        <f>IF(C2281="","",COUNTIF($C$2:C2281,C2281))</f>
        <v/>
      </c>
      <c r="C2281" t="str">
        <f t="shared" si="106"/>
        <v/>
      </c>
      <c r="D2281" t="e">
        <f>VLOOKUP(G2281,PathwayLookup!A:B,2,0)</f>
        <v>#N/A</v>
      </c>
      <c r="E2281"/>
      <c r="T2281">
        <f t="shared" si="107"/>
        <v>0</v>
      </c>
    </row>
    <row r="2282" spans="1:20" x14ac:dyDescent="0.3">
      <c r="A2282" t="str">
        <f t="shared" si="105"/>
        <v/>
      </c>
      <c r="B2282" t="str">
        <f>IF(C2282="","",COUNTIF($C$2:C2282,C2282))</f>
        <v/>
      </c>
      <c r="C2282" t="str">
        <f t="shared" si="106"/>
        <v/>
      </c>
      <c r="D2282" t="e">
        <f>VLOOKUP(G2282,PathwayLookup!A:B,2,0)</f>
        <v>#N/A</v>
      </c>
      <c r="E2282"/>
      <c r="T2282">
        <f t="shared" si="107"/>
        <v>0</v>
      </c>
    </row>
    <row r="2283" spans="1:20" x14ac:dyDescent="0.3">
      <c r="A2283" t="str">
        <f t="shared" si="105"/>
        <v/>
      </c>
      <c r="B2283" t="str">
        <f>IF(C2283="","",COUNTIF($C$2:C2283,C2283))</f>
        <v/>
      </c>
      <c r="C2283" t="str">
        <f t="shared" si="106"/>
        <v/>
      </c>
      <c r="D2283" t="e">
        <f>VLOOKUP(G2283,PathwayLookup!A:B,2,0)</f>
        <v>#N/A</v>
      </c>
      <c r="E2283"/>
      <c r="T2283">
        <f t="shared" si="107"/>
        <v>0</v>
      </c>
    </row>
    <row r="2284" spans="1:20" x14ac:dyDescent="0.3">
      <c r="A2284" t="str">
        <f t="shared" si="105"/>
        <v/>
      </c>
      <c r="B2284" t="str">
        <f>IF(C2284="","",COUNTIF($C$2:C2284,C2284))</f>
        <v/>
      </c>
      <c r="C2284" t="str">
        <f t="shared" si="106"/>
        <v/>
      </c>
      <c r="D2284" t="e">
        <f>VLOOKUP(G2284,PathwayLookup!A:B,2,0)</f>
        <v>#N/A</v>
      </c>
      <c r="E2284"/>
      <c r="T2284">
        <f t="shared" si="107"/>
        <v>0</v>
      </c>
    </row>
    <row r="2285" spans="1:20" x14ac:dyDescent="0.3">
      <c r="A2285" t="str">
        <f t="shared" si="105"/>
        <v/>
      </c>
      <c r="B2285" t="str">
        <f>IF(C2285="","",COUNTIF($C$2:C2285,C2285))</f>
        <v/>
      </c>
      <c r="C2285" t="str">
        <f t="shared" si="106"/>
        <v/>
      </c>
      <c r="D2285" t="e">
        <f>VLOOKUP(G2285,PathwayLookup!A:B,2,0)</f>
        <v>#N/A</v>
      </c>
      <c r="E2285"/>
      <c r="T2285">
        <f t="shared" si="107"/>
        <v>0</v>
      </c>
    </row>
    <row r="2286" spans="1:20" x14ac:dyDescent="0.3">
      <c r="A2286" t="str">
        <f t="shared" si="105"/>
        <v/>
      </c>
      <c r="B2286" t="str">
        <f>IF(C2286="","",COUNTIF($C$2:C2286,C2286))</f>
        <v/>
      </c>
      <c r="C2286" t="str">
        <f t="shared" si="106"/>
        <v/>
      </c>
      <c r="D2286" t="e">
        <f>VLOOKUP(G2286,PathwayLookup!A:B,2,0)</f>
        <v>#N/A</v>
      </c>
      <c r="E2286"/>
      <c r="T2286">
        <f t="shared" si="107"/>
        <v>0</v>
      </c>
    </row>
    <row r="2287" spans="1:20" x14ac:dyDescent="0.3">
      <c r="A2287" t="str">
        <f t="shared" si="105"/>
        <v/>
      </c>
      <c r="B2287" t="str">
        <f>IF(C2287="","",COUNTIF($C$2:C2287,C2287))</f>
        <v/>
      </c>
      <c r="C2287" t="str">
        <f t="shared" si="106"/>
        <v/>
      </c>
      <c r="D2287" t="e">
        <f>VLOOKUP(G2287,PathwayLookup!A:B,2,0)</f>
        <v>#N/A</v>
      </c>
      <c r="E2287"/>
      <c r="T2287">
        <f t="shared" si="107"/>
        <v>0</v>
      </c>
    </row>
    <row r="2288" spans="1:20" x14ac:dyDescent="0.3">
      <c r="A2288" t="str">
        <f t="shared" si="105"/>
        <v/>
      </c>
      <c r="B2288" t="str">
        <f>IF(C2288="","",COUNTIF($C$2:C2288,C2288))</f>
        <v/>
      </c>
      <c r="C2288" t="str">
        <f t="shared" si="106"/>
        <v/>
      </c>
      <c r="D2288" t="e">
        <f>VLOOKUP(G2288,PathwayLookup!A:B,2,0)</f>
        <v>#N/A</v>
      </c>
      <c r="E2288"/>
      <c r="T2288">
        <f t="shared" si="107"/>
        <v>0</v>
      </c>
    </row>
    <row r="2289" spans="1:20" x14ac:dyDescent="0.3">
      <c r="A2289" t="str">
        <f t="shared" si="105"/>
        <v/>
      </c>
      <c r="B2289" t="str">
        <f>IF(C2289="","",COUNTIF($C$2:C2289,C2289))</f>
        <v/>
      </c>
      <c r="C2289" t="str">
        <f t="shared" si="106"/>
        <v/>
      </c>
      <c r="D2289" t="e">
        <f>VLOOKUP(G2289,PathwayLookup!A:B,2,0)</f>
        <v>#N/A</v>
      </c>
      <c r="E2289"/>
      <c r="T2289">
        <f t="shared" si="107"/>
        <v>0</v>
      </c>
    </row>
    <row r="2290" spans="1:20" x14ac:dyDescent="0.3">
      <c r="A2290" t="str">
        <f t="shared" si="105"/>
        <v/>
      </c>
      <c r="B2290" t="str">
        <f>IF(C2290="","",COUNTIF($C$2:C2290,C2290))</f>
        <v/>
      </c>
      <c r="C2290" t="str">
        <f t="shared" si="106"/>
        <v/>
      </c>
      <c r="D2290" t="e">
        <f>VLOOKUP(G2290,PathwayLookup!A:B,2,0)</f>
        <v>#N/A</v>
      </c>
      <c r="E2290"/>
      <c r="T2290">
        <f t="shared" si="107"/>
        <v>0</v>
      </c>
    </row>
    <row r="2291" spans="1:20" x14ac:dyDescent="0.3">
      <c r="A2291" t="str">
        <f t="shared" si="105"/>
        <v/>
      </c>
      <c r="B2291" t="str">
        <f>IF(C2291="","",COUNTIF($C$2:C2291,C2291))</f>
        <v/>
      </c>
      <c r="C2291" t="str">
        <f t="shared" si="106"/>
        <v/>
      </c>
      <c r="D2291" t="e">
        <f>VLOOKUP(G2291,PathwayLookup!A:B,2,0)</f>
        <v>#N/A</v>
      </c>
      <c r="E2291"/>
      <c r="T2291">
        <f t="shared" si="107"/>
        <v>0</v>
      </c>
    </row>
    <row r="2292" spans="1:20" x14ac:dyDescent="0.3">
      <c r="A2292" t="str">
        <f t="shared" si="105"/>
        <v/>
      </c>
      <c r="B2292" t="str">
        <f>IF(C2292="","",COUNTIF($C$2:C2292,C2292))</f>
        <v/>
      </c>
      <c r="C2292" t="str">
        <f t="shared" si="106"/>
        <v/>
      </c>
      <c r="D2292" t="e">
        <f>VLOOKUP(G2292,PathwayLookup!A:B,2,0)</f>
        <v>#N/A</v>
      </c>
      <c r="E2292"/>
      <c r="T2292">
        <f t="shared" si="107"/>
        <v>0</v>
      </c>
    </row>
    <row r="2293" spans="1:20" x14ac:dyDescent="0.3">
      <c r="A2293" t="str">
        <f t="shared" si="105"/>
        <v/>
      </c>
      <c r="B2293" t="str">
        <f>IF(C2293="","",COUNTIF($C$2:C2293,C2293))</f>
        <v/>
      </c>
      <c r="C2293" t="str">
        <f t="shared" si="106"/>
        <v/>
      </c>
      <c r="D2293" t="e">
        <f>VLOOKUP(G2293,PathwayLookup!A:B,2,0)</f>
        <v>#N/A</v>
      </c>
      <c r="E2293"/>
      <c r="T2293">
        <f t="shared" si="107"/>
        <v>0</v>
      </c>
    </row>
    <row r="2294" spans="1:20" x14ac:dyDescent="0.3">
      <c r="A2294" t="str">
        <f t="shared" si="105"/>
        <v/>
      </c>
      <c r="B2294" t="str">
        <f>IF(C2294="","",COUNTIF($C$2:C2294,C2294))</f>
        <v/>
      </c>
      <c r="C2294" t="str">
        <f t="shared" si="106"/>
        <v/>
      </c>
      <c r="D2294" t="e">
        <f>VLOOKUP(G2294,PathwayLookup!A:B,2,0)</f>
        <v>#N/A</v>
      </c>
      <c r="E2294"/>
      <c r="T2294">
        <f t="shared" si="107"/>
        <v>0</v>
      </c>
    </row>
    <row r="2295" spans="1:20" x14ac:dyDescent="0.3">
      <c r="A2295" t="str">
        <f t="shared" si="105"/>
        <v/>
      </c>
      <c r="B2295" t="str">
        <f>IF(C2295="","",COUNTIF($C$2:C2295,C2295))</f>
        <v/>
      </c>
      <c r="C2295" t="str">
        <f t="shared" si="106"/>
        <v/>
      </c>
      <c r="D2295" t="e">
        <f>VLOOKUP(G2295,PathwayLookup!A:B,2,0)</f>
        <v>#N/A</v>
      </c>
      <c r="E2295"/>
      <c r="T2295">
        <f t="shared" si="107"/>
        <v>0</v>
      </c>
    </row>
    <row r="2296" spans="1:20" x14ac:dyDescent="0.3">
      <c r="A2296" t="str">
        <f t="shared" si="105"/>
        <v/>
      </c>
      <c r="B2296" t="str">
        <f>IF(C2296="","",COUNTIF($C$2:C2296,C2296))</f>
        <v/>
      </c>
      <c r="C2296" t="str">
        <f t="shared" si="106"/>
        <v/>
      </c>
      <c r="D2296" t="e">
        <f>VLOOKUP(G2296,PathwayLookup!A:B,2,0)</f>
        <v>#N/A</v>
      </c>
      <c r="E2296"/>
      <c r="T2296">
        <f t="shared" si="107"/>
        <v>0</v>
      </c>
    </row>
    <row r="2297" spans="1:20" x14ac:dyDescent="0.3">
      <c r="A2297" t="str">
        <f t="shared" si="105"/>
        <v/>
      </c>
      <c r="B2297" t="str">
        <f>IF(C2297="","",COUNTIF($C$2:C2297,C2297))</f>
        <v/>
      </c>
      <c r="C2297" t="str">
        <f t="shared" si="106"/>
        <v/>
      </c>
      <c r="D2297" t="e">
        <f>VLOOKUP(G2297,PathwayLookup!A:B,2,0)</f>
        <v>#N/A</v>
      </c>
      <c r="E2297"/>
      <c r="T2297">
        <f t="shared" si="107"/>
        <v>0</v>
      </c>
    </row>
    <row r="2298" spans="1:20" x14ac:dyDescent="0.3">
      <c r="A2298" t="str">
        <f t="shared" si="105"/>
        <v/>
      </c>
      <c r="B2298" t="str">
        <f>IF(C2298="","",COUNTIF($C$2:C2298,C2298))</f>
        <v/>
      </c>
      <c r="C2298" t="str">
        <f t="shared" si="106"/>
        <v/>
      </c>
      <c r="D2298" t="e">
        <f>VLOOKUP(G2298,PathwayLookup!A:B,2,0)</f>
        <v>#N/A</v>
      </c>
      <c r="E2298"/>
      <c r="T2298">
        <f t="shared" si="107"/>
        <v>0</v>
      </c>
    </row>
    <row r="2299" spans="1:20" x14ac:dyDescent="0.3">
      <c r="A2299" t="str">
        <f t="shared" si="105"/>
        <v/>
      </c>
      <c r="B2299" t="str">
        <f>IF(C2299="","",COUNTIF($C$2:C2299,C2299))</f>
        <v/>
      </c>
      <c r="C2299" t="str">
        <f t="shared" si="106"/>
        <v/>
      </c>
      <c r="D2299" t="e">
        <f>VLOOKUP(G2299,PathwayLookup!A:B,2,0)</f>
        <v>#N/A</v>
      </c>
      <c r="E2299"/>
      <c r="T2299">
        <f t="shared" si="107"/>
        <v>0</v>
      </c>
    </row>
    <row r="2300" spans="1:20" x14ac:dyDescent="0.3">
      <c r="A2300" t="str">
        <f t="shared" si="105"/>
        <v/>
      </c>
      <c r="B2300" t="str">
        <f>IF(C2300="","",COUNTIF($C$2:C2300,C2300))</f>
        <v/>
      </c>
      <c r="C2300" t="str">
        <f t="shared" si="106"/>
        <v/>
      </c>
      <c r="D2300" t="e">
        <f>VLOOKUP(G2300,PathwayLookup!A:B,2,0)</f>
        <v>#N/A</v>
      </c>
      <c r="E2300"/>
      <c r="T2300">
        <f t="shared" si="107"/>
        <v>0</v>
      </c>
    </row>
    <row r="2301" spans="1:20" x14ac:dyDescent="0.3">
      <c r="A2301" t="str">
        <f t="shared" si="105"/>
        <v/>
      </c>
      <c r="B2301" t="str">
        <f>IF(C2301="","",COUNTIF($C$2:C2301,C2301))</f>
        <v/>
      </c>
      <c r="C2301" t="str">
        <f t="shared" si="106"/>
        <v/>
      </c>
      <c r="D2301" t="e">
        <f>VLOOKUP(G2301,PathwayLookup!A:B,2,0)</f>
        <v>#N/A</v>
      </c>
      <c r="E2301"/>
      <c r="T2301">
        <f t="shared" si="107"/>
        <v>0</v>
      </c>
    </row>
    <row r="2302" spans="1:20" x14ac:dyDescent="0.3">
      <c r="A2302" t="str">
        <f t="shared" si="105"/>
        <v/>
      </c>
      <c r="B2302" t="str">
        <f>IF(C2302="","",COUNTIF($C$2:C2302,C2302))</f>
        <v/>
      </c>
      <c r="C2302" t="str">
        <f t="shared" si="106"/>
        <v/>
      </c>
      <c r="D2302" t="e">
        <f>VLOOKUP(G2302,PathwayLookup!A:B,2,0)</f>
        <v>#N/A</v>
      </c>
      <c r="E2302"/>
      <c r="T2302">
        <f t="shared" si="107"/>
        <v>0</v>
      </c>
    </row>
    <row r="2303" spans="1:20" x14ac:dyDescent="0.3">
      <c r="A2303" t="str">
        <f t="shared" si="105"/>
        <v/>
      </c>
      <c r="B2303" t="str">
        <f>IF(C2303="","",COUNTIF($C$2:C2303,C2303))</f>
        <v/>
      </c>
      <c r="C2303" t="str">
        <f t="shared" si="106"/>
        <v/>
      </c>
      <c r="D2303" t="e">
        <f>VLOOKUP(G2303,PathwayLookup!A:B,2,0)</f>
        <v>#N/A</v>
      </c>
      <c r="E2303"/>
      <c r="T2303">
        <f t="shared" si="107"/>
        <v>0</v>
      </c>
    </row>
    <row r="2304" spans="1:20" x14ac:dyDescent="0.3">
      <c r="A2304" t="str">
        <f t="shared" si="105"/>
        <v/>
      </c>
      <c r="B2304" t="str">
        <f>IF(C2304="","",COUNTIF($C$2:C2304,C2304))</f>
        <v/>
      </c>
      <c r="C2304" t="str">
        <f t="shared" si="106"/>
        <v/>
      </c>
      <c r="D2304" t="e">
        <f>VLOOKUP(G2304,PathwayLookup!A:B,2,0)</f>
        <v>#N/A</v>
      </c>
      <c r="E2304"/>
      <c r="T2304">
        <f t="shared" si="107"/>
        <v>0</v>
      </c>
    </row>
    <row r="2305" spans="1:20" x14ac:dyDescent="0.3">
      <c r="A2305" t="str">
        <f t="shared" si="105"/>
        <v/>
      </c>
      <c r="B2305" t="str">
        <f>IF(C2305="","",COUNTIF($C$2:C2305,C2305))</f>
        <v/>
      </c>
      <c r="C2305" t="str">
        <f t="shared" si="106"/>
        <v/>
      </c>
      <c r="D2305" t="e">
        <f>VLOOKUP(G2305,PathwayLookup!A:B,2,0)</f>
        <v>#N/A</v>
      </c>
      <c r="E2305"/>
      <c r="T2305">
        <f t="shared" si="107"/>
        <v>0</v>
      </c>
    </row>
    <row r="2306" spans="1:20" x14ac:dyDescent="0.3">
      <c r="A2306" t="str">
        <f t="shared" ref="A2306:A2369" si="108">IF(B2306="","",E2306&amp;D2306&amp;B2306)</f>
        <v/>
      </c>
      <c r="B2306" t="str">
        <f>IF(C2306="","",COUNTIF($C$2:C2306,C2306))</f>
        <v/>
      </c>
      <c r="C2306" t="str">
        <f t="shared" ref="C2306:C2369" si="109">IF(T2306=0,"",E2306&amp;G2306)</f>
        <v/>
      </c>
      <c r="D2306" t="e">
        <f>VLOOKUP(G2306,PathwayLookup!A:B,2,0)</f>
        <v>#N/A</v>
      </c>
      <c r="E2306"/>
      <c r="T2306">
        <f t="shared" ref="T2306:T2369" si="110">SUM(H2306:S2306)</f>
        <v>0</v>
      </c>
    </row>
    <row r="2307" spans="1:20" x14ac:dyDescent="0.3">
      <c r="A2307" t="str">
        <f t="shared" si="108"/>
        <v/>
      </c>
      <c r="B2307" t="str">
        <f>IF(C2307="","",COUNTIF($C$2:C2307,C2307))</f>
        <v/>
      </c>
      <c r="C2307" t="str">
        <f t="shared" si="109"/>
        <v/>
      </c>
      <c r="D2307" t="e">
        <f>VLOOKUP(G2307,PathwayLookup!A:B,2,0)</f>
        <v>#N/A</v>
      </c>
      <c r="E2307"/>
      <c r="T2307">
        <f t="shared" si="110"/>
        <v>0</v>
      </c>
    </row>
    <row r="2308" spans="1:20" x14ac:dyDescent="0.3">
      <c r="A2308" t="str">
        <f t="shared" si="108"/>
        <v/>
      </c>
      <c r="B2308" t="str">
        <f>IF(C2308="","",COUNTIF($C$2:C2308,C2308))</f>
        <v/>
      </c>
      <c r="C2308" t="str">
        <f t="shared" si="109"/>
        <v/>
      </c>
      <c r="D2308" t="e">
        <f>VLOOKUP(G2308,PathwayLookup!A:B,2,0)</f>
        <v>#N/A</v>
      </c>
      <c r="E2308"/>
      <c r="T2308">
        <f t="shared" si="110"/>
        <v>0</v>
      </c>
    </row>
    <row r="2309" spans="1:20" x14ac:dyDescent="0.3">
      <c r="A2309" t="str">
        <f t="shared" si="108"/>
        <v/>
      </c>
      <c r="B2309" t="str">
        <f>IF(C2309="","",COUNTIF($C$2:C2309,C2309))</f>
        <v/>
      </c>
      <c r="C2309" t="str">
        <f t="shared" si="109"/>
        <v/>
      </c>
      <c r="D2309" t="e">
        <f>VLOOKUP(G2309,PathwayLookup!A:B,2,0)</f>
        <v>#N/A</v>
      </c>
      <c r="E2309"/>
      <c r="T2309">
        <f t="shared" si="110"/>
        <v>0</v>
      </c>
    </row>
    <row r="2310" spans="1:20" x14ac:dyDescent="0.3">
      <c r="A2310" t="str">
        <f t="shared" si="108"/>
        <v/>
      </c>
      <c r="B2310" t="str">
        <f>IF(C2310="","",COUNTIF($C$2:C2310,C2310))</f>
        <v/>
      </c>
      <c r="C2310" t="str">
        <f t="shared" si="109"/>
        <v/>
      </c>
      <c r="D2310" t="e">
        <f>VLOOKUP(G2310,PathwayLookup!A:B,2,0)</f>
        <v>#N/A</v>
      </c>
      <c r="E2310"/>
      <c r="T2310">
        <f t="shared" si="110"/>
        <v>0</v>
      </c>
    </row>
    <row r="2311" spans="1:20" x14ac:dyDescent="0.3">
      <c r="A2311" t="str">
        <f t="shared" si="108"/>
        <v/>
      </c>
      <c r="B2311" t="str">
        <f>IF(C2311="","",COUNTIF($C$2:C2311,C2311))</f>
        <v/>
      </c>
      <c r="C2311" t="str">
        <f t="shared" si="109"/>
        <v/>
      </c>
      <c r="D2311" t="e">
        <f>VLOOKUP(G2311,PathwayLookup!A:B,2,0)</f>
        <v>#N/A</v>
      </c>
      <c r="E2311"/>
      <c r="T2311">
        <f t="shared" si="110"/>
        <v>0</v>
      </c>
    </row>
    <row r="2312" spans="1:20" x14ac:dyDescent="0.3">
      <c r="A2312" t="str">
        <f t="shared" si="108"/>
        <v/>
      </c>
      <c r="B2312" t="str">
        <f>IF(C2312="","",COUNTIF($C$2:C2312,C2312))</f>
        <v/>
      </c>
      <c r="C2312" t="str">
        <f t="shared" si="109"/>
        <v/>
      </c>
      <c r="D2312" t="e">
        <f>VLOOKUP(G2312,PathwayLookup!A:B,2,0)</f>
        <v>#N/A</v>
      </c>
      <c r="E2312"/>
      <c r="T2312">
        <f t="shared" si="110"/>
        <v>0</v>
      </c>
    </row>
    <row r="2313" spans="1:20" x14ac:dyDescent="0.3">
      <c r="A2313" t="str">
        <f t="shared" si="108"/>
        <v/>
      </c>
      <c r="B2313" t="str">
        <f>IF(C2313="","",COUNTIF($C$2:C2313,C2313))</f>
        <v/>
      </c>
      <c r="C2313" t="str">
        <f t="shared" si="109"/>
        <v/>
      </c>
      <c r="D2313" t="e">
        <f>VLOOKUP(G2313,PathwayLookup!A:B,2,0)</f>
        <v>#N/A</v>
      </c>
      <c r="E2313"/>
      <c r="T2313">
        <f t="shared" si="110"/>
        <v>0</v>
      </c>
    </row>
    <row r="2314" spans="1:20" x14ac:dyDescent="0.3">
      <c r="A2314" t="str">
        <f t="shared" si="108"/>
        <v/>
      </c>
      <c r="B2314" t="str">
        <f>IF(C2314="","",COUNTIF($C$2:C2314,C2314))</f>
        <v/>
      </c>
      <c r="C2314" t="str">
        <f t="shared" si="109"/>
        <v/>
      </c>
      <c r="D2314" t="e">
        <f>VLOOKUP(G2314,PathwayLookup!A:B,2,0)</f>
        <v>#N/A</v>
      </c>
      <c r="E2314"/>
      <c r="T2314">
        <f t="shared" si="110"/>
        <v>0</v>
      </c>
    </row>
    <row r="2315" spans="1:20" x14ac:dyDescent="0.3">
      <c r="A2315" t="str">
        <f t="shared" si="108"/>
        <v/>
      </c>
      <c r="B2315" t="str">
        <f>IF(C2315="","",COUNTIF($C$2:C2315,C2315))</f>
        <v/>
      </c>
      <c r="C2315" t="str">
        <f t="shared" si="109"/>
        <v/>
      </c>
      <c r="D2315" t="e">
        <f>VLOOKUP(G2315,PathwayLookup!A:B,2,0)</f>
        <v>#N/A</v>
      </c>
      <c r="E2315"/>
      <c r="T2315">
        <f t="shared" si="110"/>
        <v>0</v>
      </c>
    </row>
    <row r="2316" spans="1:20" x14ac:dyDescent="0.3">
      <c r="A2316" t="str">
        <f t="shared" si="108"/>
        <v/>
      </c>
      <c r="B2316" t="str">
        <f>IF(C2316="","",COUNTIF($C$2:C2316,C2316))</f>
        <v/>
      </c>
      <c r="C2316" t="str">
        <f t="shared" si="109"/>
        <v/>
      </c>
      <c r="D2316" t="e">
        <f>VLOOKUP(G2316,PathwayLookup!A:B,2,0)</f>
        <v>#N/A</v>
      </c>
      <c r="E2316"/>
      <c r="T2316">
        <f t="shared" si="110"/>
        <v>0</v>
      </c>
    </row>
    <row r="2317" spans="1:20" x14ac:dyDescent="0.3">
      <c r="A2317" t="str">
        <f t="shared" si="108"/>
        <v/>
      </c>
      <c r="B2317" t="str">
        <f>IF(C2317="","",COUNTIF($C$2:C2317,C2317))</f>
        <v/>
      </c>
      <c r="C2317" t="str">
        <f t="shared" si="109"/>
        <v/>
      </c>
      <c r="D2317" t="e">
        <f>VLOOKUP(G2317,PathwayLookup!A:B,2,0)</f>
        <v>#N/A</v>
      </c>
      <c r="E2317"/>
      <c r="T2317">
        <f t="shared" si="110"/>
        <v>0</v>
      </c>
    </row>
    <row r="2318" spans="1:20" x14ac:dyDescent="0.3">
      <c r="A2318" t="str">
        <f t="shared" si="108"/>
        <v/>
      </c>
      <c r="B2318" t="str">
        <f>IF(C2318="","",COUNTIF($C$2:C2318,C2318))</f>
        <v/>
      </c>
      <c r="C2318" t="str">
        <f t="shared" si="109"/>
        <v/>
      </c>
      <c r="D2318" t="e">
        <f>VLOOKUP(G2318,PathwayLookup!A:B,2,0)</f>
        <v>#N/A</v>
      </c>
      <c r="E2318"/>
      <c r="T2318">
        <f t="shared" si="110"/>
        <v>0</v>
      </c>
    </row>
    <row r="2319" spans="1:20" x14ac:dyDescent="0.3">
      <c r="A2319" t="str">
        <f t="shared" si="108"/>
        <v/>
      </c>
      <c r="B2319" t="str">
        <f>IF(C2319="","",COUNTIF($C$2:C2319,C2319))</f>
        <v/>
      </c>
      <c r="C2319" t="str">
        <f t="shared" si="109"/>
        <v/>
      </c>
      <c r="D2319" t="e">
        <f>VLOOKUP(G2319,PathwayLookup!A:B,2,0)</f>
        <v>#N/A</v>
      </c>
      <c r="E2319"/>
      <c r="T2319">
        <f t="shared" si="110"/>
        <v>0</v>
      </c>
    </row>
    <row r="2320" spans="1:20" x14ac:dyDescent="0.3">
      <c r="A2320" t="str">
        <f t="shared" si="108"/>
        <v/>
      </c>
      <c r="B2320" t="str">
        <f>IF(C2320="","",COUNTIF($C$2:C2320,C2320))</f>
        <v/>
      </c>
      <c r="C2320" t="str">
        <f t="shared" si="109"/>
        <v/>
      </c>
      <c r="D2320" t="e">
        <f>VLOOKUP(G2320,PathwayLookup!A:B,2,0)</f>
        <v>#N/A</v>
      </c>
      <c r="E2320"/>
      <c r="T2320">
        <f t="shared" si="110"/>
        <v>0</v>
      </c>
    </row>
    <row r="2321" spans="1:20" x14ac:dyDescent="0.3">
      <c r="A2321" t="str">
        <f t="shared" si="108"/>
        <v/>
      </c>
      <c r="B2321" t="str">
        <f>IF(C2321="","",COUNTIF($C$2:C2321,C2321))</f>
        <v/>
      </c>
      <c r="C2321" t="str">
        <f t="shared" si="109"/>
        <v/>
      </c>
      <c r="D2321" t="e">
        <f>VLOOKUP(G2321,PathwayLookup!A:B,2,0)</f>
        <v>#N/A</v>
      </c>
      <c r="E2321"/>
      <c r="T2321">
        <f t="shared" si="110"/>
        <v>0</v>
      </c>
    </row>
    <row r="2322" spans="1:20" x14ac:dyDescent="0.3">
      <c r="A2322" t="str">
        <f t="shared" si="108"/>
        <v/>
      </c>
      <c r="B2322" t="str">
        <f>IF(C2322="","",COUNTIF($C$2:C2322,C2322))</f>
        <v/>
      </c>
      <c r="C2322" t="str">
        <f t="shared" si="109"/>
        <v/>
      </c>
      <c r="D2322" t="e">
        <f>VLOOKUP(G2322,PathwayLookup!A:B,2,0)</f>
        <v>#N/A</v>
      </c>
      <c r="E2322"/>
      <c r="T2322">
        <f t="shared" si="110"/>
        <v>0</v>
      </c>
    </row>
    <row r="2323" spans="1:20" x14ac:dyDescent="0.3">
      <c r="A2323" t="str">
        <f t="shared" si="108"/>
        <v/>
      </c>
      <c r="B2323" t="str">
        <f>IF(C2323="","",COUNTIF($C$2:C2323,C2323))</f>
        <v/>
      </c>
      <c r="C2323" t="str">
        <f t="shared" si="109"/>
        <v/>
      </c>
      <c r="D2323" t="e">
        <f>VLOOKUP(G2323,PathwayLookup!A:B,2,0)</f>
        <v>#N/A</v>
      </c>
      <c r="E2323"/>
      <c r="T2323">
        <f t="shared" si="110"/>
        <v>0</v>
      </c>
    </row>
    <row r="2324" spans="1:20" x14ac:dyDescent="0.3">
      <c r="A2324" t="str">
        <f t="shared" si="108"/>
        <v/>
      </c>
      <c r="B2324" t="str">
        <f>IF(C2324="","",COUNTIF($C$2:C2324,C2324))</f>
        <v/>
      </c>
      <c r="C2324" t="str">
        <f t="shared" si="109"/>
        <v/>
      </c>
      <c r="D2324" t="e">
        <f>VLOOKUP(G2324,PathwayLookup!A:B,2,0)</f>
        <v>#N/A</v>
      </c>
      <c r="E2324"/>
      <c r="T2324">
        <f t="shared" si="110"/>
        <v>0</v>
      </c>
    </row>
    <row r="2325" spans="1:20" x14ac:dyDescent="0.3">
      <c r="A2325" t="str">
        <f t="shared" si="108"/>
        <v/>
      </c>
      <c r="B2325" t="str">
        <f>IF(C2325="","",COUNTIF($C$2:C2325,C2325))</f>
        <v/>
      </c>
      <c r="C2325" t="str">
        <f t="shared" si="109"/>
        <v/>
      </c>
      <c r="D2325" t="e">
        <f>VLOOKUP(G2325,PathwayLookup!A:B,2,0)</f>
        <v>#N/A</v>
      </c>
      <c r="E2325"/>
      <c r="T2325">
        <f t="shared" si="110"/>
        <v>0</v>
      </c>
    </row>
    <row r="2326" spans="1:20" x14ac:dyDescent="0.3">
      <c r="A2326" t="str">
        <f t="shared" si="108"/>
        <v/>
      </c>
      <c r="B2326" t="str">
        <f>IF(C2326="","",COUNTIF($C$2:C2326,C2326))</f>
        <v/>
      </c>
      <c r="C2326" t="str">
        <f t="shared" si="109"/>
        <v/>
      </c>
      <c r="D2326" t="e">
        <f>VLOOKUP(G2326,PathwayLookup!A:B,2,0)</f>
        <v>#N/A</v>
      </c>
      <c r="E2326"/>
      <c r="T2326">
        <f t="shared" si="110"/>
        <v>0</v>
      </c>
    </row>
    <row r="2327" spans="1:20" x14ac:dyDescent="0.3">
      <c r="A2327" t="str">
        <f t="shared" si="108"/>
        <v/>
      </c>
      <c r="B2327" t="str">
        <f>IF(C2327="","",COUNTIF($C$2:C2327,C2327))</f>
        <v/>
      </c>
      <c r="C2327" t="str">
        <f t="shared" si="109"/>
        <v/>
      </c>
      <c r="D2327" t="e">
        <f>VLOOKUP(G2327,PathwayLookup!A:B,2,0)</f>
        <v>#N/A</v>
      </c>
      <c r="E2327"/>
      <c r="T2327">
        <f t="shared" si="110"/>
        <v>0</v>
      </c>
    </row>
    <row r="2328" spans="1:20" x14ac:dyDescent="0.3">
      <c r="A2328" t="str">
        <f t="shared" si="108"/>
        <v/>
      </c>
      <c r="B2328" t="str">
        <f>IF(C2328="","",COUNTIF($C$2:C2328,C2328))</f>
        <v/>
      </c>
      <c r="C2328" t="str">
        <f t="shared" si="109"/>
        <v/>
      </c>
      <c r="D2328" t="e">
        <f>VLOOKUP(G2328,PathwayLookup!A:B,2,0)</f>
        <v>#N/A</v>
      </c>
      <c r="E2328"/>
      <c r="T2328">
        <f t="shared" si="110"/>
        <v>0</v>
      </c>
    </row>
    <row r="2329" spans="1:20" x14ac:dyDescent="0.3">
      <c r="A2329" t="str">
        <f t="shared" si="108"/>
        <v/>
      </c>
      <c r="B2329" t="str">
        <f>IF(C2329="","",COUNTIF($C$2:C2329,C2329))</f>
        <v/>
      </c>
      <c r="C2329" t="str">
        <f t="shared" si="109"/>
        <v/>
      </c>
      <c r="D2329" t="e">
        <f>VLOOKUP(G2329,PathwayLookup!A:B,2,0)</f>
        <v>#N/A</v>
      </c>
      <c r="E2329"/>
      <c r="T2329">
        <f t="shared" si="110"/>
        <v>0</v>
      </c>
    </row>
    <row r="2330" spans="1:20" x14ac:dyDescent="0.3">
      <c r="A2330" t="str">
        <f t="shared" si="108"/>
        <v/>
      </c>
      <c r="B2330" t="str">
        <f>IF(C2330="","",COUNTIF($C$2:C2330,C2330))</f>
        <v/>
      </c>
      <c r="C2330" t="str">
        <f t="shared" si="109"/>
        <v/>
      </c>
      <c r="D2330" t="e">
        <f>VLOOKUP(G2330,PathwayLookup!A:B,2,0)</f>
        <v>#N/A</v>
      </c>
      <c r="E2330"/>
      <c r="T2330">
        <f t="shared" si="110"/>
        <v>0</v>
      </c>
    </row>
    <row r="2331" spans="1:20" x14ac:dyDescent="0.3">
      <c r="A2331" t="str">
        <f t="shared" si="108"/>
        <v/>
      </c>
      <c r="B2331" t="str">
        <f>IF(C2331="","",COUNTIF($C$2:C2331,C2331))</f>
        <v/>
      </c>
      <c r="C2331" t="str">
        <f t="shared" si="109"/>
        <v/>
      </c>
      <c r="D2331" t="e">
        <f>VLOOKUP(G2331,PathwayLookup!A:B,2,0)</f>
        <v>#N/A</v>
      </c>
      <c r="E2331"/>
      <c r="T2331">
        <f t="shared" si="110"/>
        <v>0</v>
      </c>
    </row>
    <row r="2332" spans="1:20" x14ac:dyDescent="0.3">
      <c r="A2332" t="str">
        <f t="shared" si="108"/>
        <v/>
      </c>
      <c r="B2332" t="str">
        <f>IF(C2332="","",COUNTIF($C$2:C2332,C2332))</f>
        <v/>
      </c>
      <c r="C2332" t="str">
        <f t="shared" si="109"/>
        <v/>
      </c>
      <c r="D2332" t="e">
        <f>VLOOKUP(G2332,PathwayLookup!A:B,2,0)</f>
        <v>#N/A</v>
      </c>
      <c r="E2332"/>
      <c r="T2332">
        <f t="shared" si="110"/>
        <v>0</v>
      </c>
    </row>
    <row r="2333" spans="1:20" x14ac:dyDescent="0.3">
      <c r="A2333" t="str">
        <f t="shared" si="108"/>
        <v/>
      </c>
      <c r="B2333" t="str">
        <f>IF(C2333="","",COUNTIF($C$2:C2333,C2333))</f>
        <v/>
      </c>
      <c r="C2333" t="str">
        <f t="shared" si="109"/>
        <v/>
      </c>
      <c r="D2333" t="e">
        <f>VLOOKUP(G2333,PathwayLookup!A:B,2,0)</f>
        <v>#N/A</v>
      </c>
      <c r="E2333"/>
      <c r="T2333">
        <f t="shared" si="110"/>
        <v>0</v>
      </c>
    </row>
    <row r="2334" spans="1:20" x14ac:dyDescent="0.3">
      <c r="A2334" t="str">
        <f t="shared" si="108"/>
        <v/>
      </c>
      <c r="B2334" t="str">
        <f>IF(C2334="","",COUNTIF($C$2:C2334,C2334))</f>
        <v/>
      </c>
      <c r="C2334" t="str">
        <f t="shared" si="109"/>
        <v/>
      </c>
      <c r="D2334" t="e">
        <f>VLOOKUP(G2334,PathwayLookup!A:B,2,0)</f>
        <v>#N/A</v>
      </c>
      <c r="E2334"/>
      <c r="T2334">
        <f t="shared" si="110"/>
        <v>0</v>
      </c>
    </row>
    <row r="2335" spans="1:20" x14ac:dyDescent="0.3">
      <c r="A2335" t="str">
        <f t="shared" si="108"/>
        <v/>
      </c>
      <c r="B2335" t="str">
        <f>IF(C2335="","",COUNTIF($C$2:C2335,C2335))</f>
        <v/>
      </c>
      <c r="C2335" t="str">
        <f t="shared" si="109"/>
        <v/>
      </c>
      <c r="D2335" t="e">
        <f>VLOOKUP(G2335,PathwayLookup!A:B,2,0)</f>
        <v>#N/A</v>
      </c>
      <c r="E2335"/>
      <c r="T2335">
        <f t="shared" si="110"/>
        <v>0</v>
      </c>
    </row>
    <row r="2336" spans="1:20" x14ac:dyDescent="0.3">
      <c r="A2336" t="str">
        <f t="shared" si="108"/>
        <v/>
      </c>
      <c r="B2336" t="str">
        <f>IF(C2336="","",COUNTIF($C$2:C2336,C2336))</f>
        <v/>
      </c>
      <c r="C2336" t="str">
        <f t="shared" si="109"/>
        <v/>
      </c>
      <c r="D2336" t="e">
        <f>VLOOKUP(G2336,PathwayLookup!A:B,2,0)</f>
        <v>#N/A</v>
      </c>
      <c r="E2336"/>
      <c r="T2336">
        <f t="shared" si="110"/>
        <v>0</v>
      </c>
    </row>
    <row r="2337" spans="1:20" x14ac:dyDescent="0.3">
      <c r="A2337" t="str">
        <f t="shared" si="108"/>
        <v/>
      </c>
      <c r="B2337" t="str">
        <f>IF(C2337="","",COUNTIF($C$2:C2337,C2337))</f>
        <v/>
      </c>
      <c r="C2337" t="str">
        <f t="shared" si="109"/>
        <v/>
      </c>
      <c r="D2337" t="e">
        <f>VLOOKUP(G2337,PathwayLookup!A:B,2,0)</f>
        <v>#N/A</v>
      </c>
      <c r="E2337"/>
      <c r="T2337">
        <f t="shared" si="110"/>
        <v>0</v>
      </c>
    </row>
    <row r="2338" spans="1:20" x14ac:dyDescent="0.3">
      <c r="A2338" t="str">
        <f t="shared" si="108"/>
        <v/>
      </c>
      <c r="B2338" t="str">
        <f>IF(C2338="","",COUNTIF($C$2:C2338,C2338))</f>
        <v/>
      </c>
      <c r="C2338" t="str">
        <f t="shared" si="109"/>
        <v/>
      </c>
      <c r="D2338" t="e">
        <f>VLOOKUP(G2338,PathwayLookup!A:B,2,0)</f>
        <v>#N/A</v>
      </c>
      <c r="E2338"/>
      <c r="T2338">
        <f t="shared" si="110"/>
        <v>0</v>
      </c>
    </row>
    <row r="2339" spans="1:20" x14ac:dyDescent="0.3">
      <c r="A2339" t="str">
        <f t="shared" si="108"/>
        <v/>
      </c>
      <c r="B2339" t="str">
        <f>IF(C2339="","",COUNTIF($C$2:C2339,C2339))</f>
        <v/>
      </c>
      <c r="C2339" t="str">
        <f t="shared" si="109"/>
        <v/>
      </c>
      <c r="D2339" t="e">
        <f>VLOOKUP(G2339,PathwayLookup!A:B,2,0)</f>
        <v>#N/A</v>
      </c>
      <c r="E2339"/>
      <c r="T2339">
        <f t="shared" si="110"/>
        <v>0</v>
      </c>
    </row>
    <row r="2340" spans="1:20" x14ac:dyDescent="0.3">
      <c r="A2340" t="str">
        <f t="shared" si="108"/>
        <v/>
      </c>
      <c r="B2340" t="str">
        <f>IF(C2340="","",COUNTIF($C$2:C2340,C2340))</f>
        <v/>
      </c>
      <c r="C2340" t="str">
        <f t="shared" si="109"/>
        <v/>
      </c>
      <c r="D2340" t="e">
        <f>VLOOKUP(G2340,PathwayLookup!A:B,2,0)</f>
        <v>#N/A</v>
      </c>
      <c r="E2340"/>
      <c r="T2340">
        <f t="shared" si="110"/>
        <v>0</v>
      </c>
    </row>
    <row r="2341" spans="1:20" x14ac:dyDescent="0.3">
      <c r="A2341" t="str">
        <f t="shared" si="108"/>
        <v/>
      </c>
      <c r="B2341" t="str">
        <f>IF(C2341="","",COUNTIF($C$2:C2341,C2341))</f>
        <v/>
      </c>
      <c r="C2341" t="str">
        <f t="shared" si="109"/>
        <v/>
      </c>
      <c r="D2341" t="e">
        <f>VLOOKUP(G2341,PathwayLookup!A:B,2,0)</f>
        <v>#N/A</v>
      </c>
      <c r="E2341"/>
      <c r="T2341">
        <f t="shared" si="110"/>
        <v>0</v>
      </c>
    </row>
    <row r="2342" spans="1:20" x14ac:dyDescent="0.3">
      <c r="A2342" t="str">
        <f t="shared" si="108"/>
        <v/>
      </c>
      <c r="B2342" t="str">
        <f>IF(C2342="","",COUNTIF($C$2:C2342,C2342))</f>
        <v/>
      </c>
      <c r="C2342" t="str">
        <f t="shared" si="109"/>
        <v/>
      </c>
      <c r="D2342" t="e">
        <f>VLOOKUP(G2342,PathwayLookup!A:B,2,0)</f>
        <v>#N/A</v>
      </c>
      <c r="E2342"/>
      <c r="T2342">
        <f t="shared" si="110"/>
        <v>0</v>
      </c>
    </row>
    <row r="2343" spans="1:20" x14ac:dyDescent="0.3">
      <c r="A2343" t="str">
        <f t="shared" si="108"/>
        <v/>
      </c>
      <c r="B2343" t="str">
        <f>IF(C2343="","",COUNTIF($C$2:C2343,C2343))</f>
        <v/>
      </c>
      <c r="C2343" t="str">
        <f t="shared" si="109"/>
        <v/>
      </c>
      <c r="D2343" t="e">
        <f>VLOOKUP(G2343,PathwayLookup!A:B,2,0)</f>
        <v>#N/A</v>
      </c>
      <c r="E2343"/>
      <c r="T2343">
        <f t="shared" si="110"/>
        <v>0</v>
      </c>
    </row>
    <row r="2344" spans="1:20" x14ac:dyDescent="0.3">
      <c r="A2344" t="str">
        <f t="shared" si="108"/>
        <v/>
      </c>
      <c r="B2344" t="str">
        <f>IF(C2344="","",COUNTIF($C$2:C2344,C2344))</f>
        <v/>
      </c>
      <c r="C2344" t="str">
        <f t="shared" si="109"/>
        <v/>
      </c>
      <c r="D2344" t="e">
        <f>VLOOKUP(G2344,PathwayLookup!A:B,2,0)</f>
        <v>#N/A</v>
      </c>
      <c r="E2344"/>
      <c r="T2344">
        <f t="shared" si="110"/>
        <v>0</v>
      </c>
    </row>
    <row r="2345" spans="1:20" x14ac:dyDescent="0.3">
      <c r="A2345" t="str">
        <f t="shared" si="108"/>
        <v/>
      </c>
      <c r="B2345" t="str">
        <f>IF(C2345="","",COUNTIF($C$2:C2345,C2345))</f>
        <v/>
      </c>
      <c r="C2345" t="str">
        <f t="shared" si="109"/>
        <v/>
      </c>
      <c r="D2345" t="e">
        <f>VLOOKUP(G2345,PathwayLookup!A:B,2,0)</f>
        <v>#N/A</v>
      </c>
      <c r="E2345"/>
      <c r="T2345">
        <f t="shared" si="110"/>
        <v>0</v>
      </c>
    </row>
    <row r="2346" spans="1:20" x14ac:dyDescent="0.3">
      <c r="A2346" t="str">
        <f t="shared" si="108"/>
        <v/>
      </c>
      <c r="B2346" t="str">
        <f>IF(C2346="","",COUNTIF($C$2:C2346,C2346))</f>
        <v/>
      </c>
      <c r="C2346" t="str">
        <f t="shared" si="109"/>
        <v/>
      </c>
      <c r="D2346" t="e">
        <f>VLOOKUP(G2346,PathwayLookup!A:B,2,0)</f>
        <v>#N/A</v>
      </c>
      <c r="E2346"/>
      <c r="T2346">
        <f t="shared" si="110"/>
        <v>0</v>
      </c>
    </row>
    <row r="2347" spans="1:20" x14ac:dyDescent="0.3">
      <c r="A2347" t="str">
        <f t="shared" si="108"/>
        <v/>
      </c>
      <c r="B2347" t="str">
        <f>IF(C2347="","",COUNTIF($C$2:C2347,C2347))</f>
        <v/>
      </c>
      <c r="C2347" t="str">
        <f t="shared" si="109"/>
        <v/>
      </c>
      <c r="D2347" t="e">
        <f>VLOOKUP(G2347,PathwayLookup!A:B,2,0)</f>
        <v>#N/A</v>
      </c>
      <c r="E2347"/>
      <c r="T2347">
        <f t="shared" si="110"/>
        <v>0</v>
      </c>
    </row>
    <row r="2348" spans="1:20" x14ac:dyDescent="0.3">
      <c r="A2348" t="str">
        <f t="shared" si="108"/>
        <v/>
      </c>
      <c r="B2348" t="str">
        <f>IF(C2348="","",COUNTIF($C$2:C2348,C2348))</f>
        <v/>
      </c>
      <c r="C2348" t="str">
        <f t="shared" si="109"/>
        <v/>
      </c>
      <c r="D2348" t="e">
        <f>VLOOKUP(G2348,PathwayLookup!A:B,2,0)</f>
        <v>#N/A</v>
      </c>
      <c r="E2348"/>
      <c r="T2348">
        <f t="shared" si="110"/>
        <v>0</v>
      </c>
    </row>
    <row r="2349" spans="1:20" x14ac:dyDescent="0.3">
      <c r="A2349" t="str">
        <f t="shared" si="108"/>
        <v/>
      </c>
      <c r="B2349" t="str">
        <f>IF(C2349="","",COUNTIF($C$2:C2349,C2349))</f>
        <v/>
      </c>
      <c r="C2349" t="str">
        <f t="shared" si="109"/>
        <v/>
      </c>
      <c r="D2349" t="e">
        <f>VLOOKUP(G2349,PathwayLookup!A:B,2,0)</f>
        <v>#N/A</v>
      </c>
      <c r="E2349"/>
      <c r="T2349">
        <f t="shared" si="110"/>
        <v>0</v>
      </c>
    </row>
    <row r="2350" spans="1:20" x14ac:dyDescent="0.3">
      <c r="A2350" t="str">
        <f t="shared" si="108"/>
        <v/>
      </c>
      <c r="B2350" t="str">
        <f>IF(C2350="","",COUNTIF($C$2:C2350,C2350))</f>
        <v/>
      </c>
      <c r="C2350" t="str">
        <f t="shared" si="109"/>
        <v/>
      </c>
      <c r="D2350" t="e">
        <f>VLOOKUP(G2350,PathwayLookup!A:B,2,0)</f>
        <v>#N/A</v>
      </c>
      <c r="E2350"/>
      <c r="T2350">
        <f t="shared" si="110"/>
        <v>0</v>
      </c>
    </row>
    <row r="2351" spans="1:20" x14ac:dyDescent="0.3">
      <c r="A2351" t="str">
        <f t="shared" si="108"/>
        <v/>
      </c>
      <c r="B2351" t="str">
        <f>IF(C2351="","",COUNTIF($C$2:C2351,C2351))</f>
        <v/>
      </c>
      <c r="C2351" t="str">
        <f t="shared" si="109"/>
        <v/>
      </c>
      <c r="D2351" t="e">
        <f>VLOOKUP(G2351,PathwayLookup!A:B,2,0)</f>
        <v>#N/A</v>
      </c>
      <c r="E2351"/>
      <c r="T2351">
        <f t="shared" si="110"/>
        <v>0</v>
      </c>
    </row>
    <row r="2352" spans="1:20" x14ac:dyDescent="0.3">
      <c r="A2352" t="str">
        <f t="shared" si="108"/>
        <v/>
      </c>
      <c r="B2352" t="str">
        <f>IF(C2352="","",COUNTIF($C$2:C2352,C2352))</f>
        <v/>
      </c>
      <c r="C2352" t="str">
        <f t="shared" si="109"/>
        <v/>
      </c>
      <c r="D2352" t="e">
        <f>VLOOKUP(G2352,PathwayLookup!A:B,2,0)</f>
        <v>#N/A</v>
      </c>
      <c r="E2352"/>
      <c r="T2352">
        <f t="shared" si="110"/>
        <v>0</v>
      </c>
    </row>
    <row r="2353" spans="1:20" x14ac:dyDescent="0.3">
      <c r="A2353" t="str">
        <f t="shared" si="108"/>
        <v/>
      </c>
      <c r="B2353" t="str">
        <f>IF(C2353="","",COUNTIF($C$2:C2353,C2353))</f>
        <v/>
      </c>
      <c r="C2353" t="str">
        <f t="shared" si="109"/>
        <v/>
      </c>
      <c r="D2353" t="e">
        <f>VLOOKUP(G2353,PathwayLookup!A:B,2,0)</f>
        <v>#N/A</v>
      </c>
      <c r="E2353"/>
      <c r="T2353">
        <f t="shared" si="110"/>
        <v>0</v>
      </c>
    </row>
    <row r="2354" spans="1:20" x14ac:dyDescent="0.3">
      <c r="A2354" t="str">
        <f t="shared" si="108"/>
        <v/>
      </c>
      <c r="B2354" t="str">
        <f>IF(C2354="","",COUNTIF($C$2:C2354,C2354))</f>
        <v/>
      </c>
      <c r="C2354" t="str">
        <f t="shared" si="109"/>
        <v/>
      </c>
      <c r="D2354" t="e">
        <f>VLOOKUP(G2354,PathwayLookup!A:B,2,0)</f>
        <v>#N/A</v>
      </c>
      <c r="E2354"/>
      <c r="T2354">
        <f t="shared" si="110"/>
        <v>0</v>
      </c>
    </row>
    <row r="2355" spans="1:20" x14ac:dyDescent="0.3">
      <c r="A2355" t="str">
        <f t="shared" si="108"/>
        <v/>
      </c>
      <c r="B2355" t="str">
        <f>IF(C2355="","",COUNTIF($C$2:C2355,C2355))</f>
        <v/>
      </c>
      <c r="C2355" t="str">
        <f t="shared" si="109"/>
        <v/>
      </c>
      <c r="D2355" t="e">
        <f>VLOOKUP(G2355,PathwayLookup!A:B,2,0)</f>
        <v>#N/A</v>
      </c>
      <c r="E2355"/>
      <c r="T2355">
        <f t="shared" si="110"/>
        <v>0</v>
      </c>
    </row>
    <row r="2356" spans="1:20" x14ac:dyDescent="0.3">
      <c r="A2356" t="str">
        <f t="shared" si="108"/>
        <v/>
      </c>
      <c r="B2356" t="str">
        <f>IF(C2356="","",COUNTIF($C$2:C2356,C2356))</f>
        <v/>
      </c>
      <c r="C2356" t="str">
        <f t="shared" si="109"/>
        <v/>
      </c>
      <c r="D2356" t="e">
        <f>VLOOKUP(G2356,PathwayLookup!A:B,2,0)</f>
        <v>#N/A</v>
      </c>
      <c r="E2356"/>
      <c r="T2356">
        <f t="shared" si="110"/>
        <v>0</v>
      </c>
    </row>
    <row r="2357" spans="1:20" x14ac:dyDescent="0.3">
      <c r="A2357" t="str">
        <f t="shared" si="108"/>
        <v/>
      </c>
      <c r="B2357" t="str">
        <f>IF(C2357="","",COUNTIF($C$2:C2357,C2357))</f>
        <v/>
      </c>
      <c r="C2357" t="str">
        <f t="shared" si="109"/>
        <v/>
      </c>
      <c r="D2357" t="e">
        <f>VLOOKUP(G2357,PathwayLookup!A:B,2,0)</f>
        <v>#N/A</v>
      </c>
      <c r="E2357"/>
      <c r="T2357">
        <f t="shared" si="110"/>
        <v>0</v>
      </c>
    </row>
    <row r="2358" spans="1:20" x14ac:dyDescent="0.3">
      <c r="A2358" t="str">
        <f t="shared" si="108"/>
        <v/>
      </c>
      <c r="B2358" t="str">
        <f>IF(C2358="","",COUNTIF($C$2:C2358,C2358))</f>
        <v/>
      </c>
      <c r="C2358" t="str">
        <f t="shared" si="109"/>
        <v/>
      </c>
      <c r="D2358" t="e">
        <f>VLOOKUP(G2358,PathwayLookup!A:B,2,0)</f>
        <v>#N/A</v>
      </c>
      <c r="E2358"/>
      <c r="T2358">
        <f t="shared" si="110"/>
        <v>0</v>
      </c>
    </row>
    <row r="2359" spans="1:20" x14ac:dyDescent="0.3">
      <c r="A2359" t="str">
        <f t="shared" si="108"/>
        <v/>
      </c>
      <c r="B2359" t="str">
        <f>IF(C2359="","",COUNTIF($C$2:C2359,C2359))</f>
        <v/>
      </c>
      <c r="C2359" t="str">
        <f t="shared" si="109"/>
        <v/>
      </c>
      <c r="D2359" t="e">
        <f>VLOOKUP(G2359,PathwayLookup!A:B,2,0)</f>
        <v>#N/A</v>
      </c>
      <c r="E2359"/>
      <c r="T2359">
        <f t="shared" si="110"/>
        <v>0</v>
      </c>
    </row>
    <row r="2360" spans="1:20" x14ac:dyDescent="0.3">
      <c r="A2360" t="str">
        <f t="shared" si="108"/>
        <v/>
      </c>
      <c r="B2360" t="str">
        <f>IF(C2360="","",COUNTIF($C$2:C2360,C2360))</f>
        <v/>
      </c>
      <c r="C2360" t="str">
        <f t="shared" si="109"/>
        <v/>
      </c>
      <c r="D2360" t="e">
        <f>VLOOKUP(G2360,PathwayLookup!A:B,2,0)</f>
        <v>#N/A</v>
      </c>
      <c r="E2360"/>
      <c r="T2360">
        <f t="shared" si="110"/>
        <v>0</v>
      </c>
    </row>
    <row r="2361" spans="1:20" x14ac:dyDescent="0.3">
      <c r="A2361" t="str">
        <f t="shared" si="108"/>
        <v/>
      </c>
      <c r="B2361" t="str">
        <f>IF(C2361="","",COUNTIF($C$2:C2361,C2361))</f>
        <v/>
      </c>
      <c r="C2361" t="str">
        <f t="shared" si="109"/>
        <v/>
      </c>
      <c r="D2361" t="e">
        <f>VLOOKUP(G2361,PathwayLookup!A:B,2,0)</f>
        <v>#N/A</v>
      </c>
      <c r="E2361"/>
      <c r="T2361">
        <f t="shared" si="110"/>
        <v>0</v>
      </c>
    </row>
    <row r="2362" spans="1:20" x14ac:dyDescent="0.3">
      <c r="A2362" t="str">
        <f t="shared" si="108"/>
        <v/>
      </c>
      <c r="B2362" t="str">
        <f>IF(C2362="","",COUNTIF($C$2:C2362,C2362))</f>
        <v/>
      </c>
      <c r="C2362" t="str">
        <f t="shared" si="109"/>
        <v/>
      </c>
      <c r="D2362" t="e">
        <f>VLOOKUP(G2362,PathwayLookup!A:B,2,0)</f>
        <v>#N/A</v>
      </c>
      <c r="E2362"/>
      <c r="T2362">
        <f t="shared" si="110"/>
        <v>0</v>
      </c>
    </row>
    <row r="2363" spans="1:20" x14ac:dyDescent="0.3">
      <c r="A2363" t="str">
        <f t="shared" si="108"/>
        <v/>
      </c>
      <c r="B2363" t="str">
        <f>IF(C2363="","",COUNTIF($C$2:C2363,C2363))</f>
        <v/>
      </c>
      <c r="C2363" t="str">
        <f t="shared" si="109"/>
        <v/>
      </c>
      <c r="D2363" t="e">
        <f>VLOOKUP(G2363,PathwayLookup!A:B,2,0)</f>
        <v>#N/A</v>
      </c>
      <c r="E2363"/>
      <c r="T2363">
        <f t="shared" si="110"/>
        <v>0</v>
      </c>
    </row>
    <row r="2364" spans="1:20" x14ac:dyDescent="0.3">
      <c r="A2364" t="str">
        <f t="shared" si="108"/>
        <v/>
      </c>
      <c r="B2364" t="str">
        <f>IF(C2364="","",COUNTIF($C$2:C2364,C2364))</f>
        <v/>
      </c>
      <c r="C2364" t="str">
        <f t="shared" si="109"/>
        <v/>
      </c>
      <c r="D2364" t="e">
        <f>VLOOKUP(G2364,PathwayLookup!A:B,2,0)</f>
        <v>#N/A</v>
      </c>
      <c r="E2364"/>
      <c r="T2364">
        <f t="shared" si="110"/>
        <v>0</v>
      </c>
    </row>
    <row r="2365" spans="1:20" x14ac:dyDescent="0.3">
      <c r="A2365" t="str">
        <f t="shared" si="108"/>
        <v/>
      </c>
      <c r="B2365" t="str">
        <f>IF(C2365="","",COUNTIF($C$2:C2365,C2365))</f>
        <v/>
      </c>
      <c r="C2365" t="str">
        <f t="shared" si="109"/>
        <v/>
      </c>
      <c r="D2365" t="e">
        <f>VLOOKUP(G2365,PathwayLookup!A:B,2,0)</f>
        <v>#N/A</v>
      </c>
      <c r="E2365"/>
      <c r="T2365">
        <f t="shared" si="110"/>
        <v>0</v>
      </c>
    </row>
    <row r="2366" spans="1:20" x14ac:dyDescent="0.3">
      <c r="A2366" t="str">
        <f t="shared" si="108"/>
        <v/>
      </c>
      <c r="B2366" t="str">
        <f>IF(C2366="","",COUNTIF($C$2:C2366,C2366))</f>
        <v/>
      </c>
      <c r="C2366" t="str">
        <f t="shared" si="109"/>
        <v/>
      </c>
      <c r="D2366" t="e">
        <f>VLOOKUP(G2366,PathwayLookup!A:B,2,0)</f>
        <v>#N/A</v>
      </c>
      <c r="E2366"/>
      <c r="T2366">
        <f t="shared" si="110"/>
        <v>0</v>
      </c>
    </row>
    <row r="2367" spans="1:20" x14ac:dyDescent="0.3">
      <c r="A2367" t="str">
        <f t="shared" si="108"/>
        <v/>
      </c>
      <c r="B2367" t="str">
        <f>IF(C2367="","",COUNTIF($C$2:C2367,C2367))</f>
        <v/>
      </c>
      <c r="C2367" t="str">
        <f t="shared" si="109"/>
        <v/>
      </c>
      <c r="D2367" t="e">
        <f>VLOOKUP(G2367,PathwayLookup!A:B,2,0)</f>
        <v>#N/A</v>
      </c>
      <c r="E2367"/>
      <c r="T2367">
        <f t="shared" si="110"/>
        <v>0</v>
      </c>
    </row>
    <row r="2368" spans="1:20" x14ac:dyDescent="0.3">
      <c r="A2368" t="str">
        <f t="shared" si="108"/>
        <v/>
      </c>
      <c r="B2368" t="str">
        <f>IF(C2368="","",COUNTIF($C$2:C2368,C2368))</f>
        <v/>
      </c>
      <c r="C2368" t="str">
        <f t="shared" si="109"/>
        <v/>
      </c>
      <c r="D2368" t="e">
        <f>VLOOKUP(G2368,PathwayLookup!A:B,2,0)</f>
        <v>#N/A</v>
      </c>
      <c r="E2368"/>
      <c r="T2368">
        <f t="shared" si="110"/>
        <v>0</v>
      </c>
    </row>
    <row r="2369" spans="1:20" x14ac:dyDescent="0.3">
      <c r="A2369" t="str">
        <f t="shared" si="108"/>
        <v/>
      </c>
      <c r="B2369" t="str">
        <f>IF(C2369="","",COUNTIF($C$2:C2369,C2369))</f>
        <v/>
      </c>
      <c r="C2369" t="str">
        <f t="shared" si="109"/>
        <v/>
      </c>
      <c r="D2369" t="e">
        <f>VLOOKUP(G2369,PathwayLookup!A:B,2,0)</f>
        <v>#N/A</v>
      </c>
      <c r="E2369"/>
      <c r="T2369">
        <f t="shared" si="110"/>
        <v>0</v>
      </c>
    </row>
    <row r="2370" spans="1:20" x14ac:dyDescent="0.3">
      <c r="A2370" t="str">
        <f t="shared" ref="A2370:A2433" si="111">IF(B2370="","",E2370&amp;D2370&amp;B2370)</f>
        <v/>
      </c>
      <c r="B2370" t="str">
        <f>IF(C2370="","",COUNTIF($C$2:C2370,C2370))</f>
        <v/>
      </c>
      <c r="C2370" t="str">
        <f t="shared" ref="C2370:C2437" si="112">IF(T2370=0,"",E2370&amp;G2370)</f>
        <v/>
      </c>
      <c r="D2370" t="e">
        <f>VLOOKUP(G2370,PathwayLookup!A:B,2,0)</f>
        <v>#N/A</v>
      </c>
      <c r="E2370"/>
      <c r="T2370">
        <f t="shared" ref="T2370:T2433" si="113">SUM(H2370:S2370)</f>
        <v>0</v>
      </c>
    </row>
    <row r="2371" spans="1:20" x14ac:dyDescent="0.3">
      <c r="A2371" t="str">
        <f t="shared" si="111"/>
        <v/>
      </c>
      <c r="B2371" t="str">
        <f>IF(C2371="","",COUNTIF($C$2:C2371,C2371))</f>
        <v/>
      </c>
      <c r="C2371" t="str">
        <f t="shared" si="112"/>
        <v/>
      </c>
      <c r="D2371" t="e">
        <f>VLOOKUP(G2371,PathwayLookup!A:B,2,0)</f>
        <v>#N/A</v>
      </c>
      <c r="E2371"/>
      <c r="T2371">
        <f t="shared" si="113"/>
        <v>0</v>
      </c>
    </row>
    <row r="2372" spans="1:20" x14ac:dyDescent="0.3">
      <c r="A2372" t="str">
        <f t="shared" si="111"/>
        <v/>
      </c>
      <c r="B2372" t="str">
        <f>IF(C2372="","",COUNTIF($C$2:C2372,C2372))</f>
        <v/>
      </c>
      <c r="C2372" t="str">
        <f t="shared" si="112"/>
        <v/>
      </c>
      <c r="D2372" t="e">
        <f>VLOOKUP(G2372,PathwayLookup!A:B,2,0)</f>
        <v>#N/A</v>
      </c>
      <c r="E2372"/>
      <c r="T2372">
        <f t="shared" si="113"/>
        <v>0</v>
      </c>
    </row>
    <row r="2373" spans="1:20" x14ac:dyDescent="0.3">
      <c r="A2373" t="str">
        <f t="shared" si="111"/>
        <v/>
      </c>
      <c r="B2373" t="str">
        <f>IF(C2373="","",COUNTIF($C$2:C2373,C2373))</f>
        <v/>
      </c>
      <c r="C2373" t="str">
        <f t="shared" si="112"/>
        <v/>
      </c>
      <c r="D2373" t="e">
        <f>VLOOKUP(G2373,PathwayLookup!A:B,2,0)</f>
        <v>#N/A</v>
      </c>
      <c r="E2373"/>
      <c r="T2373">
        <f t="shared" si="113"/>
        <v>0</v>
      </c>
    </row>
    <row r="2374" spans="1:20" x14ac:dyDescent="0.3">
      <c r="A2374" t="str">
        <f t="shared" si="111"/>
        <v/>
      </c>
      <c r="B2374" t="str">
        <f>IF(C2374="","",COUNTIF($C$2:C2374,C2374))</f>
        <v/>
      </c>
      <c r="C2374" t="str">
        <f t="shared" si="112"/>
        <v/>
      </c>
      <c r="D2374" t="e">
        <f>VLOOKUP(G2374,PathwayLookup!A:B,2,0)</f>
        <v>#N/A</v>
      </c>
      <c r="E2374"/>
      <c r="T2374">
        <f t="shared" si="113"/>
        <v>0</v>
      </c>
    </row>
    <row r="2375" spans="1:20" x14ac:dyDescent="0.3">
      <c r="A2375" t="str">
        <f t="shared" si="111"/>
        <v/>
      </c>
      <c r="B2375" t="str">
        <f>IF(C2375="","",COUNTIF($C$2:C2375,C2375))</f>
        <v/>
      </c>
      <c r="C2375" t="str">
        <f t="shared" si="112"/>
        <v/>
      </c>
      <c r="D2375" t="e">
        <f>VLOOKUP(G2375,PathwayLookup!A:B,2,0)</f>
        <v>#N/A</v>
      </c>
      <c r="E2375"/>
      <c r="T2375">
        <f t="shared" si="113"/>
        <v>0</v>
      </c>
    </row>
    <row r="2376" spans="1:20" x14ac:dyDescent="0.3">
      <c r="A2376" t="str">
        <f t="shared" si="111"/>
        <v/>
      </c>
      <c r="B2376" t="str">
        <f>IF(C2376="","",COUNTIF($C$2:C2376,C2376))</f>
        <v/>
      </c>
      <c r="C2376" t="str">
        <f t="shared" si="112"/>
        <v/>
      </c>
      <c r="D2376" t="e">
        <f>VLOOKUP(G2376,PathwayLookup!A:B,2,0)</f>
        <v>#N/A</v>
      </c>
      <c r="E2376"/>
      <c r="T2376">
        <f t="shared" si="113"/>
        <v>0</v>
      </c>
    </row>
    <row r="2377" spans="1:20" x14ac:dyDescent="0.3">
      <c r="A2377" t="str">
        <f t="shared" si="111"/>
        <v/>
      </c>
      <c r="B2377" t="str">
        <f>IF(C2377="","",COUNTIF($C$2:C2377,C2377))</f>
        <v/>
      </c>
      <c r="C2377" t="str">
        <f t="shared" si="112"/>
        <v/>
      </c>
      <c r="D2377" t="e">
        <f>VLOOKUP(G2377,PathwayLookup!A:B,2,0)</f>
        <v>#N/A</v>
      </c>
      <c r="E2377"/>
      <c r="T2377">
        <f t="shared" si="113"/>
        <v>0</v>
      </c>
    </row>
    <row r="2378" spans="1:20" x14ac:dyDescent="0.3">
      <c r="A2378" t="str">
        <f t="shared" si="111"/>
        <v/>
      </c>
      <c r="B2378" t="str">
        <f>IF(C2378="","",COUNTIF($C$2:C2378,C2378))</f>
        <v/>
      </c>
      <c r="C2378" t="str">
        <f t="shared" si="112"/>
        <v/>
      </c>
      <c r="D2378" t="e">
        <f>VLOOKUP(G2378,PathwayLookup!A:B,2,0)</f>
        <v>#N/A</v>
      </c>
      <c r="E2378"/>
      <c r="T2378">
        <f t="shared" si="113"/>
        <v>0</v>
      </c>
    </row>
    <row r="2379" spans="1:20" x14ac:dyDescent="0.3">
      <c r="A2379" t="str">
        <f t="shared" si="111"/>
        <v/>
      </c>
      <c r="B2379" t="str">
        <f>IF(C2379="","",COUNTIF($C$2:C2379,C2379))</f>
        <v/>
      </c>
      <c r="C2379" t="str">
        <f t="shared" si="112"/>
        <v/>
      </c>
      <c r="D2379" t="e">
        <f>VLOOKUP(G2379,PathwayLookup!A:B,2,0)</f>
        <v>#N/A</v>
      </c>
      <c r="E2379"/>
      <c r="T2379">
        <f t="shared" si="113"/>
        <v>0</v>
      </c>
    </row>
    <row r="2380" spans="1:20" x14ac:dyDescent="0.3">
      <c r="A2380" t="str">
        <f t="shared" si="111"/>
        <v/>
      </c>
      <c r="B2380" t="str">
        <f>IF(C2380="","",COUNTIF($C$2:C2380,C2380))</f>
        <v/>
      </c>
      <c r="C2380" t="str">
        <f t="shared" si="112"/>
        <v/>
      </c>
      <c r="D2380" t="e">
        <f>VLOOKUP(G2380,PathwayLookup!A:B,2,0)</f>
        <v>#N/A</v>
      </c>
      <c r="E2380"/>
      <c r="T2380">
        <f t="shared" si="113"/>
        <v>0</v>
      </c>
    </row>
    <row r="2381" spans="1:20" x14ac:dyDescent="0.3">
      <c r="A2381" t="str">
        <f t="shared" si="111"/>
        <v/>
      </c>
      <c r="B2381" t="str">
        <f>IF(C2381="","",COUNTIF($C$2:C2381,C2381))</f>
        <v/>
      </c>
      <c r="C2381" t="str">
        <f t="shared" si="112"/>
        <v/>
      </c>
      <c r="D2381" t="e">
        <f>VLOOKUP(G2381,PathwayLookup!A:B,2,0)</f>
        <v>#N/A</v>
      </c>
      <c r="E2381"/>
      <c r="T2381">
        <f t="shared" si="113"/>
        <v>0</v>
      </c>
    </row>
    <row r="2382" spans="1:20" x14ac:dyDescent="0.3">
      <c r="A2382" t="str">
        <f t="shared" si="111"/>
        <v/>
      </c>
      <c r="B2382" t="str">
        <f>IF(C2382="","",COUNTIF($C$2:C2382,C2382))</f>
        <v/>
      </c>
      <c r="C2382" t="str">
        <f t="shared" si="112"/>
        <v/>
      </c>
      <c r="D2382" t="e">
        <f>VLOOKUP(G2382,PathwayLookup!A:B,2,0)</f>
        <v>#N/A</v>
      </c>
      <c r="E2382"/>
      <c r="T2382">
        <f t="shared" si="113"/>
        <v>0</v>
      </c>
    </row>
    <row r="2383" spans="1:20" x14ac:dyDescent="0.3">
      <c r="A2383" t="str">
        <f t="shared" si="111"/>
        <v/>
      </c>
      <c r="B2383" t="str">
        <f>IF(C2383="","",COUNTIF($C$2:C2383,C2383))</f>
        <v/>
      </c>
      <c r="C2383" t="str">
        <f t="shared" si="112"/>
        <v/>
      </c>
      <c r="D2383" t="e">
        <f>VLOOKUP(G2383,PathwayLookup!A:B,2,0)</f>
        <v>#N/A</v>
      </c>
      <c r="E2383"/>
      <c r="T2383">
        <f t="shared" si="113"/>
        <v>0</v>
      </c>
    </row>
    <row r="2384" spans="1:20" x14ac:dyDescent="0.3">
      <c r="A2384" t="str">
        <f t="shared" si="111"/>
        <v/>
      </c>
      <c r="B2384" t="str">
        <f>IF(C2384="","",COUNTIF($C$2:C2384,C2384))</f>
        <v/>
      </c>
      <c r="C2384" t="str">
        <f t="shared" si="112"/>
        <v/>
      </c>
      <c r="D2384" t="e">
        <f>VLOOKUP(G2384,PathwayLookup!A:B,2,0)</f>
        <v>#N/A</v>
      </c>
      <c r="E2384"/>
      <c r="T2384">
        <f t="shared" si="113"/>
        <v>0</v>
      </c>
    </row>
    <row r="2385" spans="1:20" x14ac:dyDescent="0.3">
      <c r="A2385" t="str">
        <f t="shared" si="111"/>
        <v/>
      </c>
      <c r="B2385" t="str">
        <f>IF(C2385="","",COUNTIF($C$2:C2385,C2385))</f>
        <v/>
      </c>
      <c r="C2385" t="str">
        <f t="shared" si="112"/>
        <v/>
      </c>
      <c r="D2385" t="e">
        <f>VLOOKUP(G2385,PathwayLookup!A:B,2,0)</f>
        <v>#N/A</v>
      </c>
      <c r="E2385"/>
      <c r="T2385">
        <f t="shared" si="113"/>
        <v>0</v>
      </c>
    </row>
    <row r="2386" spans="1:20" x14ac:dyDescent="0.3">
      <c r="A2386" t="str">
        <f t="shared" si="111"/>
        <v/>
      </c>
      <c r="B2386" t="str">
        <f>IF(C2386="","",COUNTIF($C$2:C2386,C2386))</f>
        <v/>
      </c>
      <c r="C2386" t="str">
        <f t="shared" si="112"/>
        <v/>
      </c>
      <c r="D2386" t="e">
        <f>VLOOKUP(G2386,PathwayLookup!A:B,2,0)</f>
        <v>#N/A</v>
      </c>
      <c r="E2386"/>
      <c r="T2386">
        <f t="shared" si="113"/>
        <v>0</v>
      </c>
    </row>
    <row r="2387" spans="1:20" x14ac:dyDescent="0.3">
      <c r="A2387" t="str">
        <f t="shared" si="111"/>
        <v/>
      </c>
      <c r="B2387" t="str">
        <f>IF(C2387="","",COUNTIF($C$2:C2387,C2387))</f>
        <v/>
      </c>
      <c r="C2387" t="str">
        <f t="shared" si="112"/>
        <v/>
      </c>
      <c r="D2387" t="e">
        <f>VLOOKUP(G2387,PathwayLookup!A:B,2,0)</f>
        <v>#N/A</v>
      </c>
      <c r="E2387"/>
      <c r="T2387">
        <f t="shared" si="113"/>
        <v>0</v>
      </c>
    </row>
    <row r="2388" spans="1:20" x14ac:dyDescent="0.3">
      <c r="A2388" t="str">
        <f t="shared" si="111"/>
        <v/>
      </c>
      <c r="B2388" t="str">
        <f>IF(C2388="","",COUNTIF($C$2:C2388,C2388))</f>
        <v/>
      </c>
      <c r="C2388" t="str">
        <f t="shared" si="112"/>
        <v/>
      </c>
      <c r="D2388" t="e">
        <f>VLOOKUP(G2388,PathwayLookup!A:B,2,0)</f>
        <v>#N/A</v>
      </c>
      <c r="E2388"/>
      <c r="T2388">
        <f t="shared" si="113"/>
        <v>0</v>
      </c>
    </row>
    <row r="2389" spans="1:20" x14ac:dyDescent="0.3">
      <c r="A2389" t="str">
        <f t="shared" si="111"/>
        <v/>
      </c>
      <c r="B2389" t="str">
        <f>IF(C2389="","",COUNTIF($C$2:C2389,C2389))</f>
        <v/>
      </c>
      <c r="C2389" t="str">
        <f t="shared" si="112"/>
        <v/>
      </c>
      <c r="D2389" t="e">
        <f>VLOOKUP(G2389,PathwayLookup!A:B,2,0)</f>
        <v>#N/A</v>
      </c>
      <c r="E2389"/>
      <c r="T2389">
        <f t="shared" si="113"/>
        <v>0</v>
      </c>
    </row>
    <row r="2390" spans="1:20" x14ac:dyDescent="0.3">
      <c r="A2390" t="str">
        <f t="shared" si="111"/>
        <v/>
      </c>
      <c r="B2390" t="str">
        <f>IF(C2390="","",COUNTIF($C$2:C2390,C2390))</f>
        <v/>
      </c>
      <c r="C2390" t="str">
        <f t="shared" si="112"/>
        <v/>
      </c>
      <c r="D2390" t="e">
        <f>VLOOKUP(G2390,PathwayLookup!A:B,2,0)</f>
        <v>#N/A</v>
      </c>
      <c r="E2390"/>
      <c r="T2390">
        <f t="shared" si="113"/>
        <v>0</v>
      </c>
    </row>
    <row r="2391" spans="1:20" x14ac:dyDescent="0.3">
      <c r="A2391" t="str">
        <f t="shared" si="111"/>
        <v/>
      </c>
      <c r="B2391" t="str">
        <f>IF(C2391="","",COUNTIF($C$2:C2391,C2391))</f>
        <v/>
      </c>
      <c r="C2391" t="str">
        <f t="shared" si="112"/>
        <v/>
      </c>
      <c r="D2391" t="e">
        <f>VLOOKUP(G2391,PathwayLookup!A:B,2,0)</f>
        <v>#N/A</v>
      </c>
      <c r="E2391"/>
      <c r="T2391">
        <f t="shared" si="113"/>
        <v>0</v>
      </c>
    </row>
    <row r="2392" spans="1:20" x14ac:dyDescent="0.3">
      <c r="A2392" t="str">
        <f t="shared" si="111"/>
        <v/>
      </c>
      <c r="B2392" t="str">
        <f>IF(C2392="","",COUNTIF($C$2:C2392,C2392))</f>
        <v/>
      </c>
      <c r="C2392" t="str">
        <f t="shared" si="112"/>
        <v/>
      </c>
      <c r="D2392" t="e">
        <f>VLOOKUP(G2392,PathwayLookup!A:B,2,0)</f>
        <v>#N/A</v>
      </c>
      <c r="E2392"/>
      <c r="T2392">
        <f t="shared" si="113"/>
        <v>0</v>
      </c>
    </row>
    <row r="2393" spans="1:20" x14ac:dyDescent="0.3">
      <c r="A2393" t="str">
        <f t="shared" si="111"/>
        <v/>
      </c>
      <c r="B2393" t="str">
        <f>IF(C2393="","",COUNTIF($C$2:C2393,C2393))</f>
        <v/>
      </c>
      <c r="C2393" t="str">
        <f t="shared" si="112"/>
        <v/>
      </c>
      <c r="D2393" t="e">
        <f>VLOOKUP(G2393,PathwayLookup!A:B,2,0)</f>
        <v>#N/A</v>
      </c>
      <c r="E2393"/>
      <c r="T2393">
        <f t="shared" si="113"/>
        <v>0</v>
      </c>
    </row>
    <row r="2394" spans="1:20" x14ac:dyDescent="0.3">
      <c r="A2394" t="str">
        <f t="shared" si="111"/>
        <v/>
      </c>
      <c r="B2394" t="str">
        <f>IF(C2394="","",COUNTIF($C$2:C2394,C2394))</f>
        <v/>
      </c>
      <c r="C2394" t="str">
        <f t="shared" si="112"/>
        <v/>
      </c>
      <c r="D2394" t="e">
        <f>VLOOKUP(G2394,PathwayLookup!A:B,2,0)</f>
        <v>#N/A</v>
      </c>
      <c r="E2394"/>
      <c r="T2394">
        <f t="shared" si="113"/>
        <v>0</v>
      </c>
    </row>
    <row r="2395" spans="1:20" x14ac:dyDescent="0.3">
      <c r="A2395" t="str">
        <f t="shared" si="111"/>
        <v/>
      </c>
      <c r="B2395" t="str">
        <f>IF(C2395="","",COUNTIF($C$2:C2395,C2395))</f>
        <v/>
      </c>
      <c r="C2395" t="str">
        <f t="shared" si="112"/>
        <v/>
      </c>
      <c r="D2395" t="e">
        <f>VLOOKUP(G2395,PathwayLookup!A:B,2,0)</f>
        <v>#N/A</v>
      </c>
      <c r="E2395"/>
      <c r="T2395">
        <f t="shared" si="113"/>
        <v>0</v>
      </c>
    </row>
    <row r="2396" spans="1:20" x14ac:dyDescent="0.3">
      <c r="A2396" t="str">
        <f t="shared" si="111"/>
        <v/>
      </c>
      <c r="B2396" t="str">
        <f>IF(C2396="","",COUNTIF($C$2:C2396,C2396))</f>
        <v/>
      </c>
      <c r="C2396" t="str">
        <f t="shared" si="112"/>
        <v/>
      </c>
      <c r="D2396" t="e">
        <f>VLOOKUP(G2396,PathwayLookup!A:B,2,0)</f>
        <v>#N/A</v>
      </c>
      <c r="E2396"/>
      <c r="T2396">
        <f t="shared" si="113"/>
        <v>0</v>
      </c>
    </row>
    <row r="2397" spans="1:20" x14ac:dyDescent="0.3">
      <c r="A2397" t="str">
        <f t="shared" si="111"/>
        <v/>
      </c>
      <c r="B2397" t="str">
        <f>IF(C2397="","",COUNTIF($C$2:C2397,C2397))</f>
        <v/>
      </c>
      <c r="C2397" t="str">
        <f t="shared" si="112"/>
        <v/>
      </c>
      <c r="D2397" t="e">
        <f>VLOOKUP(G2397,PathwayLookup!A:B,2,0)</f>
        <v>#N/A</v>
      </c>
      <c r="E2397"/>
      <c r="T2397">
        <f t="shared" si="113"/>
        <v>0</v>
      </c>
    </row>
    <row r="2398" spans="1:20" x14ac:dyDescent="0.3">
      <c r="A2398" t="str">
        <f t="shared" si="111"/>
        <v/>
      </c>
      <c r="B2398" t="str">
        <f>IF(C2398="","",COUNTIF($C$2:C2398,C2398))</f>
        <v/>
      </c>
      <c r="C2398" t="str">
        <f t="shared" si="112"/>
        <v/>
      </c>
      <c r="D2398" t="e">
        <f>VLOOKUP(G2398,PathwayLookup!A:B,2,0)</f>
        <v>#N/A</v>
      </c>
      <c r="E2398"/>
      <c r="T2398">
        <f t="shared" si="113"/>
        <v>0</v>
      </c>
    </row>
    <row r="2399" spans="1:20" x14ac:dyDescent="0.3">
      <c r="A2399" t="str">
        <f t="shared" si="111"/>
        <v/>
      </c>
      <c r="B2399" t="str">
        <f>IF(C2399="","",COUNTIF($C$2:C2399,C2399))</f>
        <v/>
      </c>
      <c r="C2399" t="str">
        <f t="shared" si="112"/>
        <v/>
      </c>
      <c r="D2399" t="e">
        <f>VLOOKUP(G2399,PathwayLookup!A:B,2,0)</f>
        <v>#N/A</v>
      </c>
      <c r="E2399"/>
      <c r="T2399">
        <f t="shared" si="113"/>
        <v>0</v>
      </c>
    </row>
    <row r="2400" spans="1:20" x14ac:dyDescent="0.3">
      <c r="A2400" t="str">
        <f t="shared" si="111"/>
        <v/>
      </c>
      <c r="B2400" t="str">
        <f>IF(C2400="","",COUNTIF($C$2:C2400,C2400))</f>
        <v/>
      </c>
      <c r="C2400" t="str">
        <f t="shared" si="112"/>
        <v/>
      </c>
      <c r="D2400" t="e">
        <f>VLOOKUP(G2400,PathwayLookup!A:B,2,0)</f>
        <v>#N/A</v>
      </c>
      <c r="E2400"/>
      <c r="T2400">
        <f t="shared" si="113"/>
        <v>0</v>
      </c>
    </row>
    <row r="2401" spans="1:20" x14ac:dyDescent="0.3">
      <c r="A2401" t="str">
        <f t="shared" si="111"/>
        <v/>
      </c>
      <c r="B2401" t="str">
        <f>IF(C2401="","",COUNTIF($C$2:C2401,C2401))</f>
        <v/>
      </c>
      <c r="C2401" t="str">
        <f t="shared" si="112"/>
        <v/>
      </c>
      <c r="D2401" t="e">
        <f>VLOOKUP(G2401,PathwayLookup!A:B,2,0)</f>
        <v>#N/A</v>
      </c>
      <c r="E2401"/>
      <c r="T2401">
        <f t="shared" si="113"/>
        <v>0</v>
      </c>
    </row>
    <row r="2402" spans="1:20" x14ac:dyDescent="0.3">
      <c r="A2402" t="str">
        <f t="shared" si="111"/>
        <v/>
      </c>
      <c r="B2402" t="str">
        <f>IF(C2402="","",COUNTIF($C$2:C2402,C2402))</f>
        <v/>
      </c>
      <c r="C2402" t="str">
        <f t="shared" si="112"/>
        <v/>
      </c>
      <c r="D2402" t="e">
        <f>VLOOKUP(G2402,PathwayLookup!A:B,2,0)</f>
        <v>#N/A</v>
      </c>
      <c r="E2402"/>
      <c r="T2402">
        <f t="shared" si="113"/>
        <v>0</v>
      </c>
    </row>
    <row r="2403" spans="1:20" x14ac:dyDescent="0.3">
      <c r="A2403" t="str">
        <f t="shared" si="111"/>
        <v/>
      </c>
      <c r="B2403" t="str">
        <f>IF(C2403="","",COUNTIF($C$2:C2403,C2403))</f>
        <v/>
      </c>
      <c r="C2403" t="str">
        <f t="shared" si="112"/>
        <v/>
      </c>
      <c r="D2403" t="e">
        <f>VLOOKUP(G2403,PathwayLookup!A:B,2,0)</f>
        <v>#N/A</v>
      </c>
      <c r="E2403"/>
      <c r="T2403">
        <f t="shared" si="113"/>
        <v>0</v>
      </c>
    </row>
    <row r="2404" spans="1:20" x14ac:dyDescent="0.3">
      <c r="A2404" t="str">
        <f t="shared" si="111"/>
        <v/>
      </c>
      <c r="B2404" t="str">
        <f>IF(C2404="","",COUNTIF($C$2:C2404,C2404))</f>
        <v/>
      </c>
      <c r="C2404" t="str">
        <f t="shared" si="112"/>
        <v/>
      </c>
      <c r="D2404" t="e">
        <f>VLOOKUP(G2404,PathwayLookup!A:B,2,0)</f>
        <v>#N/A</v>
      </c>
      <c r="E2404"/>
      <c r="T2404">
        <f t="shared" si="113"/>
        <v>0</v>
      </c>
    </row>
    <row r="2405" spans="1:20" x14ac:dyDescent="0.3">
      <c r="A2405" t="str">
        <f t="shared" si="111"/>
        <v/>
      </c>
      <c r="B2405" t="str">
        <f>IF(C2405="","",COUNTIF($C$2:C2405,C2405))</f>
        <v/>
      </c>
      <c r="C2405" t="str">
        <f t="shared" si="112"/>
        <v/>
      </c>
      <c r="D2405" t="e">
        <f>VLOOKUP(G2405,PathwayLookup!A:B,2,0)</f>
        <v>#N/A</v>
      </c>
      <c r="E2405"/>
      <c r="T2405">
        <f t="shared" si="113"/>
        <v>0</v>
      </c>
    </row>
    <row r="2406" spans="1:20" x14ac:dyDescent="0.3">
      <c r="A2406" t="str">
        <f t="shared" si="111"/>
        <v/>
      </c>
      <c r="B2406" t="str">
        <f>IF(C2406="","",COUNTIF($C$2:C2406,C2406))</f>
        <v/>
      </c>
      <c r="C2406" t="str">
        <f t="shared" si="112"/>
        <v/>
      </c>
      <c r="D2406" t="e">
        <f>VLOOKUP(G2406,PathwayLookup!A:B,2,0)</f>
        <v>#N/A</v>
      </c>
      <c r="E2406"/>
      <c r="T2406">
        <f t="shared" si="113"/>
        <v>0</v>
      </c>
    </row>
    <row r="2407" spans="1:20" x14ac:dyDescent="0.3">
      <c r="A2407" t="str">
        <f t="shared" si="111"/>
        <v/>
      </c>
      <c r="B2407" t="str">
        <f>IF(C2407="","",COUNTIF($C$2:C2407,C2407))</f>
        <v/>
      </c>
      <c r="C2407" t="str">
        <f t="shared" si="112"/>
        <v/>
      </c>
      <c r="D2407" t="e">
        <f>VLOOKUP(G2407,PathwayLookup!A:B,2,0)</f>
        <v>#N/A</v>
      </c>
      <c r="E2407"/>
      <c r="T2407">
        <f t="shared" si="113"/>
        <v>0</v>
      </c>
    </row>
    <row r="2408" spans="1:20" x14ac:dyDescent="0.3">
      <c r="A2408" t="str">
        <f t="shared" si="111"/>
        <v/>
      </c>
      <c r="B2408" t="str">
        <f>IF(C2408="","",COUNTIF($C$2:C2408,C2408))</f>
        <v/>
      </c>
      <c r="C2408" t="str">
        <f t="shared" si="112"/>
        <v/>
      </c>
      <c r="D2408" t="e">
        <f>VLOOKUP(G2408,PathwayLookup!A:B,2,0)</f>
        <v>#N/A</v>
      </c>
      <c r="E2408"/>
      <c r="T2408">
        <f t="shared" si="113"/>
        <v>0</v>
      </c>
    </row>
    <row r="2409" spans="1:20" x14ac:dyDescent="0.3">
      <c r="A2409" t="str">
        <f t="shared" si="111"/>
        <v/>
      </c>
      <c r="B2409" t="str">
        <f>IF(C2409="","",COUNTIF($C$2:C2409,C2409))</f>
        <v/>
      </c>
      <c r="C2409" t="str">
        <f t="shared" si="112"/>
        <v/>
      </c>
      <c r="D2409" t="e">
        <f>VLOOKUP(G2409,PathwayLookup!A:B,2,0)</f>
        <v>#N/A</v>
      </c>
      <c r="E2409"/>
      <c r="T2409">
        <f t="shared" si="113"/>
        <v>0</v>
      </c>
    </row>
    <row r="2410" spans="1:20" x14ac:dyDescent="0.3">
      <c r="A2410" t="str">
        <f t="shared" si="111"/>
        <v/>
      </c>
      <c r="B2410" t="str">
        <f>IF(C2410="","",COUNTIF($C$2:C2410,C2410))</f>
        <v/>
      </c>
      <c r="C2410" t="str">
        <f t="shared" si="112"/>
        <v/>
      </c>
      <c r="D2410" t="e">
        <f>VLOOKUP(G2410,PathwayLookup!A:B,2,0)</f>
        <v>#N/A</v>
      </c>
      <c r="E2410"/>
      <c r="T2410">
        <f t="shared" si="113"/>
        <v>0</v>
      </c>
    </row>
    <row r="2411" spans="1:20" x14ac:dyDescent="0.3">
      <c r="A2411" t="str">
        <f t="shared" si="111"/>
        <v/>
      </c>
      <c r="B2411" t="str">
        <f>IF(C2411="","",COUNTIF($C$2:C2411,C2411))</f>
        <v/>
      </c>
      <c r="C2411" t="str">
        <f t="shared" si="112"/>
        <v/>
      </c>
      <c r="D2411" t="e">
        <f>VLOOKUP(G2411,PathwayLookup!A:B,2,0)</f>
        <v>#N/A</v>
      </c>
      <c r="E2411"/>
      <c r="T2411">
        <f t="shared" si="113"/>
        <v>0</v>
      </c>
    </row>
    <row r="2412" spans="1:20" x14ac:dyDescent="0.3">
      <c r="A2412" t="str">
        <f t="shared" si="111"/>
        <v/>
      </c>
      <c r="B2412" t="str">
        <f>IF(C2412="","",COUNTIF($C$2:C2412,C2412))</f>
        <v/>
      </c>
      <c r="C2412" t="str">
        <f t="shared" si="112"/>
        <v/>
      </c>
      <c r="D2412" t="e">
        <f>VLOOKUP(G2412,PathwayLookup!A:B,2,0)</f>
        <v>#N/A</v>
      </c>
      <c r="E2412"/>
      <c r="T2412">
        <f t="shared" si="113"/>
        <v>0</v>
      </c>
    </row>
    <row r="2413" spans="1:20" x14ac:dyDescent="0.3">
      <c r="A2413" t="str">
        <f t="shared" si="111"/>
        <v/>
      </c>
      <c r="B2413" t="str">
        <f>IF(C2413="","",COUNTIF($C$2:C2413,C2413))</f>
        <v/>
      </c>
      <c r="C2413" t="str">
        <f t="shared" si="112"/>
        <v/>
      </c>
      <c r="D2413" t="e">
        <f>VLOOKUP(G2413,PathwayLookup!A:B,2,0)</f>
        <v>#N/A</v>
      </c>
      <c r="E2413"/>
      <c r="T2413">
        <f t="shared" si="113"/>
        <v>0</v>
      </c>
    </row>
    <row r="2414" spans="1:20" x14ac:dyDescent="0.3">
      <c r="A2414" t="str">
        <f t="shared" si="111"/>
        <v/>
      </c>
      <c r="B2414" t="str">
        <f>IF(C2414="","",COUNTIF($C$2:C2414,C2414))</f>
        <v/>
      </c>
      <c r="C2414" t="str">
        <f t="shared" si="112"/>
        <v/>
      </c>
      <c r="D2414" t="e">
        <f>VLOOKUP(G2414,PathwayLookup!A:B,2,0)</f>
        <v>#N/A</v>
      </c>
      <c r="E2414"/>
      <c r="T2414">
        <f t="shared" si="113"/>
        <v>0</v>
      </c>
    </row>
    <row r="2415" spans="1:20" x14ac:dyDescent="0.3">
      <c r="A2415" t="str">
        <f t="shared" si="111"/>
        <v/>
      </c>
      <c r="B2415" t="str">
        <f>IF(C2415="","",COUNTIF($C$2:C2415,C2415))</f>
        <v/>
      </c>
      <c r="C2415" t="str">
        <f t="shared" si="112"/>
        <v/>
      </c>
      <c r="D2415" t="e">
        <f>VLOOKUP(G2415,PathwayLookup!A:B,2,0)</f>
        <v>#N/A</v>
      </c>
      <c r="E2415"/>
      <c r="T2415">
        <f t="shared" si="113"/>
        <v>0</v>
      </c>
    </row>
    <row r="2416" spans="1:20" x14ac:dyDescent="0.3">
      <c r="A2416" t="str">
        <f t="shared" si="111"/>
        <v/>
      </c>
      <c r="B2416" t="str">
        <f>IF(C2416="","",COUNTIF($C$2:C2416,C2416))</f>
        <v/>
      </c>
      <c r="C2416" t="str">
        <f t="shared" si="112"/>
        <v/>
      </c>
      <c r="D2416" t="e">
        <f>VLOOKUP(G2416,PathwayLookup!A:B,2,0)</f>
        <v>#N/A</v>
      </c>
      <c r="E2416"/>
      <c r="T2416">
        <f t="shared" si="113"/>
        <v>0</v>
      </c>
    </row>
    <row r="2417" spans="1:20" x14ac:dyDescent="0.3">
      <c r="A2417" t="str">
        <f t="shared" si="111"/>
        <v/>
      </c>
      <c r="B2417" t="str">
        <f>IF(C2417="","",COUNTIF($C$2:C2417,C2417))</f>
        <v/>
      </c>
      <c r="C2417" t="str">
        <f t="shared" si="112"/>
        <v/>
      </c>
      <c r="D2417" t="e">
        <f>VLOOKUP(G2417,PathwayLookup!A:B,2,0)</f>
        <v>#N/A</v>
      </c>
      <c r="E2417"/>
      <c r="T2417">
        <f t="shared" si="113"/>
        <v>0</v>
      </c>
    </row>
    <row r="2418" spans="1:20" x14ac:dyDescent="0.3">
      <c r="A2418" t="str">
        <f t="shared" si="111"/>
        <v/>
      </c>
      <c r="B2418" t="str">
        <f>IF(C2418="","",COUNTIF($C$2:C2418,C2418))</f>
        <v/>
      </c>
      <c r="C2418" t="str">
        <f t="shared" si="112"/>
        <v/>
      </c>
      <c r="D2418" t="e">
        <f>VLOOKUP(G2418,PathwayLookup!A:B,2,0)</f>
        <v>#N/A</v>
      </c>
      <c r="E2418"/>
      <c r="T2418">
        <f t="shared" si="113"/>
        <v>0</v>
      </c>
    </row>
    <row r="2419" spans="1:20" x14ac:dyDescent="0.3">
      <c r="A2419" t="str">
        <f t="shared" si="111"/>
        <v/>
      </c>
      <c r="B2419" t="str">
        <f>IF(C2419="","",COUNTIF($C$2:C2419,C2419))</f>
        <v/>
      </c>
      <c r="C2419" t="str">
        <f t="shared" si="112"/>
        <v/>
      </c>
      <c r="D2419" t="e">
        <f>VLOOKUP(G2419,PathwayLookup!A:B,2,0)</f>
        <v>#N/A</v>
      </c>
      <c r="E2419"/>
      <c r="T2419">
        <f t="shared" si="113"/>
        <v>0</v>
      </c>
    </row>
    <row r="2420" spans="1:20" x14ac:dyDescent="0.3">
      <c r="A2420" t="str">
        <f t="shared" si="111"/>
        <v/>
      </c>
      <c r="B2420" t="str">
        <f>IF(C2420="","",COUNTIF($C$2:C2420,C2420))</f>
        <v/>
      </c>
      <c r="C2420" t="str">
        <f t="shared" si="112"/>
        <v/>
      </c>
      <c r="D2420" t="e">
        <f>VLOOKUP(G2420,PathwayLookup!A:B,2,0)</f>
        <v>#N/A</v>
      </c>
      <c r="E2420"/>
      <c r="T2420">
        <f t="shared" si="113"/>
        <v>0</v>
      </c>
    </row>
    <row r="2421" spans="1:20" x14ac:dyDescent="0.3">
      <c r="A2421" t="str">
        <f t="shared" si="111"/>
        <v/>
      </c>
      <c r="B2421" t="str">
        <f>IF(C2421="","",COUNTIF($C$2:C2421,C2421))</f>
        <v/>
      </c>
      <c r="C2421" t="str">
        <f t="shared" si="112"/>
        <v/>
      </c>
      <c r="D2421" t="e">
        <f>VLOOKUP(G2421,PathwayLookup!A:B,2,0)</f>
        <v>#N/A</v>
      </c>
      <c r="E2421"/>
      <c r="T2421">
        <f t="shared" si="113"/>
        <v>0</v>
      </c>
    </row>
    <row r="2422" spans="1:20" x14ac:dyDescent="0.3">
      <c r="A2422" t="str">
        <f t="shared" si="111"/>
        <v/>
      </c>
      <c r="B2422" t="str">
        <f>IF(C2422="","",COUNTIF($C$2:C2422,C2422))</f>
        <v/>
      </c>
      <c r="C2422" t="str">
        <f t="shared" si="112"/>
        <v/>
      </c>
      <c r="D2422" t="e">
        <f>VLOOKUP(G2422,PathwayLookup!A:B,2,0)</f>
        <v>#N/A</v>
      </c>
      <c r="E2422"/>
      <c r="T2422">
        <f t="shared" si="113"/>
        <v>0</v>
      </c>
    </row>
    <row r="2423" spans="1:20" x14ac:dyDescent="0.3">
      <c r="A2423" t="str">
        <f t="shared" si="111"/>
        <v/>
      </c>
      <c r="B2423" t="str">
        <f>IF(C2423="","",COUNTIF($C$2:C2423,C2423))</f>
        <v/>
      </c>
      <c r="C2423" t="str">
        <f t="shared" si="112"/>
        <v/>
      </c>
      <c r="D2423" t="e">
        <f>VLOOKUP(G2423,PathwayLookup!A:B,2,0)</f>
        <v>#N/A</v>
      </c>
      <c r="E2423"/>
      <c r="T2423">
        <f t="shared" si="113"/>
        <v>0</v>
      </c>
    </row>
    <row r="2424" spans="1:20" x14ac:dyDescent="0.3">
      <c r="A2424" t="str">
        <f t="shared" si="111"/>
        <v/>
      </c>
      <c r="B2424" t="str">
        <f>IF(C2424="","",COUNTIF($C$2:C2424,C2424))</f>
        <v/>
      </c>
      <c r="C2424" t="str">
        <f t="shared" si="112"/>
        <v/>
      </c>
      <c r="D2424" t="e">
        <f>VLOOKUP(G2424,PathwayLookup!A:B,2,0)</f>
        <v>#N/A</v>
      </c>
      <c r="E2424"/>
      <c r="T2424">
        <f t="shared" si="113"/>
        <v>0</v>
      </c>
    </row>
    <row r="2425" spans="1:20" x14ac:dyDescent="0.3">
      <c r="A2425" t="str">
        <f t="shared" si="111"/>
        <v/>
      </c>
      <c r="B2425" t="str">
        <f>IF(C2425="","",COUNTIF($C$2:C2425,C2425))</f>
        <v/>
      </c>
      <c r="C2425" t="str">
        <f t="shared" si="112"/>
        <v/>
      </c>
      <c r="D2425" t="e">
        <f>VLOOKUP(G2425,PathwayLookup!A:B,2,0)</f>
        <v>#N/A</v>
      </c>
      <c r="E2425"/>
      <c r="T2425">
        <f t="shared" si="113"/>
        <v>0</v>
      </c>
    </row>
    <row r="2426" spans="1:20" x14ac:dyDescent="0.3">
      <c r="A2426" t="str">
        <f t="shared" si="111"/>
        <v/>
      </c>
      <c r="B2426" t="str">
        <f>IF(C2426="","",COUNTIF($C$2:C2426,C2426))</f>
        <v/>
      </c>
      <c r="C2426" t="str">
        <f t="shared" si="112"/>
        <v/>
      </c>
      <c r="D2426" t="e">
        <f>VLOOKUP(G2426,PathwayLookup!A:B,2,0)</f>
        <v>#N/A</v>
      </c>
      <c r="E2426"/>
      <c r="T2426">
        <f t="shared" si="113"/>
        <v>0</v>
      </c>
    </row>
    <row r="2427" spans="1:20" x14ac:dyDescent="0.3">
      <c r="A2427" t="str">
        <f t="shared" si="111"/>
        <v/>
      </c>
      <c r="B2427" t="str">
        <f>IF(C2427="","",COUNTIF($C$2:C2427,C2427))</f>
        <v/>
      </c>
      <c r="C2427" t="str">
        <f t="shared" si="112"/>
        <v/>
      </c>
      <c r="D2427" t="e">
        <f>VLOOKUP(G2427,PathwayLookup!A:B,2,0)</f>
        <v>#N/A</v>
      </c>
      <c r="E2427"/>
      <c r="T2427">
        <f t="shared" si="113"/>
        <v>0</v>
      </c>
    </row>
    <row r="2428" spans="1:20" x14ac:dyDescent="0.3">
      <c r="A2428" t="str">
        <f t="shared" si="111"/>
        <v/>
      </c>
      <c r="B2428" t="str">
        <f>IF(C2428="","",COUNTIF($C$2:C2428,C2428))</f>
        <v/>
      </c>
      <c r="C2428" t="str">
        <f t="shared" si="112"/>
        <v/>
      </c>
      <c r="D2428" t="e">
        <f>VLOOKUP(G2428,PathwayLookup!A:B,2,0)</f>
        <v>#N/A</v>
      </c>
      <c r="E2428"/>
      <c r="T2428">
        <f t="shared" si="113"/>
        <v>0</v>
      </c>
    </row>
    <row r="2429" spans="1:20" x14ac:dyDescent="0.3">
      <c r="A2429" t="str">
        <f t="shared" si="111"/>
        <v/>
      </c>
      <c r="B2429" t="str">
        <f>IF(C2429="","",COUNTIF($C$2:C2429,C2429))</f>
        <v/>
      </c>
      <c r="C2429" t="str">
        <f t="shared" si="112"/>
        <v/>
      </c>
      <c r="D2429" t="e">
        <f>VLOOKUP(G2429,PathwayLookup!A:B,2,0)</f>
        <v>#N/A</v>
      </c>
      <c r="E2429"/>
      <c r="T2429">
        <f t="shared" si="113"/>
        <v>0</v>
      </c>
    </row>
    <row r="2430" spans="1:20" x14ac:dyDescent="0.3">
      <c r="A2430" t="str">
        <f t="shared" si="111"/>
        <v/>
      </c>
      <c r="B2430" t="str">
        <f>IF(C2430="","",COUNTIF($C$2:C2430,C2430))</f>
        <v/>
      </c>
      <c r="C2430" t="str">
        <f t="shared" si="112"/>
        <v/>
      </c>
      <c r="D2430" t="e">
        <f>VLOOKUP(G2430,PathwayLookup!A:B,2,0)</f>
        <v>#N/A</v>
      </c>
      <c r="E2430"/>
      <c r="T2430">
        <f t="shared" si="113"/>
        <v>0</v>
      </c>
    </row>
    <row r="2431" spans="1:20" x14ac:dyDescent="0.3">
      <c r="A2431" t="str">
        <f t="shared" si="111"/>
        <v/>
      </c>
      <c r="B2431" t="str">
        <f>IF(C2431="","",COUNTIF($C$2:C2431,C2431))</f>
        <v/>
      </c>
      <c r="C2431" t="str">
        <f t="shared" si="112"/>
        <v/>
      </c>
      <c r="D2431" t="e">
        <f>VLOOKUP(G2431,PathwayLookup!A:B,2,0)</f>
        <v>#N/A</v>
      </c>
      <c r="E2431"/>
      <c r="T2431">
        <f t="shared" si="113"/>
        <v>0</v>
      </c>
    </row>
    <row r="2432" spans="1:20" x14ac:dyDescent="0.3">
      <c r="A2432" t="str">
        <f t="shared" si="111"/>
        <v/>
      </c>
      <c r="B2432" t="str">
        <f>IF(C2432="","",COUNTIF($C$2:C2432,C2432))</f>
        <v/>
      </c>
      <c r="C2432" t="str">
        <f t="shared" si="112"/>
        <v/>
      </c>
      <c r="D2432" t="e">
        <f>VLOOKUP(G2432,PathwayLookup!A:B,2,0)</f>
        <v>#N/A</v>
      </c>
      <c r="E2432"/>
      <c r="T2432">
        <f t="shared" si="113"/>
        <v>0</v>
      </c>
    </row>
    <row r="2433" spans="1:20" x14ac:dyDescent="0.3">
      <c r="A2433" t="str">
        <f t="shared" si="111"/>
        <v/>
      </c>
      <c r="B2433" t="str">
        <f>IF(C2433="","",COUNTIF($C$2:C2433,C2433))</f>
        <v/>
      </c>
      <c r="C2433" t="str">
        <f t="shared" si="112"/>
        <v/>
      </c>
      <c r="D2433" t="e">
        <f>VLOOKUP(G2433,PathwayLookup!A:B,2,0)</f>
        <v>#N/A</v>
      </c>
      <c r="E2433"/>
      <c r="T2433">
        <f t="shared" si="113"/>
        <v>0</v>
      </c>
    </row>
    <row r="2434" spans="1:20" x14ac:dyDescent="0.3">
      <c r="A2434" t="str">
        <f t="shared" ref="A2434:A2437" si="114">IF(B2434="","",E2434&amp;D2434&amp;B2434)</f>
        <v/>
      </c>
      <c r="B2434" t="str">
        <f>IF(C2434="","",COUNTIF($C$2:C2434,C2434))</f>
        <v/>
      </c>
      <c r="C2434" t="str">
        <f t="shared" si="112"/>
        <v/>
      </c>
      <c r="D2434" t="e">
        <f>VLOOKUP(G2434,PathwayLookup!A:B,2,0)</f>
        <v>#N/A</v>
      </c>
      <c r="E2434"/>
      <c r="T2434">
        <f t="shared" ref="T2434:T2437" si="115">SUM(H2434:S2434)</f>
        <v>0</v>
      </c>
    </row>
    <row r="2435" spans="1:20" x14ac:dyDescent="0.3">
      <c r="A2435" t="str">
        <f t="shared" si="114"/>
        <v/>
      </c>
      <c r="B2435" t="str">
        <f>IF(C2435="","",COUNTIF($C$2:C2435,C2435))</f>
        <v/>
      </c>
      <c r="C2435" t="str">
        <f t="shared" si="112"/>
        <v/>
      </c>
      <c r="D2435" t="e">
        <f>VLOOKUP(G2435,PathwayLookup!A:B,2,0)</f>
        <v>#N/A</v>
      </c>
      <c r="E2435"/>
      <c r="T2435">
        <f t="shared" si="115"/>
        <v>0</v>
      </c>
    </row>
    <row r="2436" spans="1:20" x14ac:dyDescent="0.3">
      <c r="A2436" t="str">
        <f t="shared" si="114"/>
        <v/>
      </c>
      <c r="B2436" t="str">
        <f>IF(C2436="","",COUNTIF($C$2:C2436,C2436))</f>
        <v/>
      </c>
      <c r="C2436" t="str">
        <f t="shared" si="112"/>
        <v/>
      </c>
      <c r="D2436" t="e">
        <f>VLOOKUP(G2436,PathwayLookup!A:B,2,0)</f>
        <v>#N/A</v>
      </c>
      <c r="E2436"/>
      <c r="T2436">
        <f t="shared" si="115"/>
        <v>0</v>
      </c>
    </row>
    <row r="2437" spans="1:20" x14ac:dyDescent="0.3">
      <c r="A2437" t="str">
        <f t="shared" si="114"/>
        <v/>
      </c>
      <c r="B2437" t="str">
        <f>IF(C2437="","",COUNTIF($C$2:C2437,C2437))</f>
        <v/>
      </c>
      <c r="C2437" t="str">
        <f t="shared" si="112"/>
        <v/>
      </c>
      <c r="D2437" t="e">
        <f>VLOOKUP(G2437,PathwayLookup!A:B,2,0)</f>
        <v>#N/A</v>
      </c>
      <c r="E2437"/>
      <c r="T2437">
        <f t="shared" si="115"/>
        <v>0</v>
      </c>
    </row>
  </sheetData>
  <autoFilter ref="A1:U2437" xr:uid="{B55992A5-284E-4BAE-823D-DE7C0353ED94}">
    <sortState xmlns:xlrd2="http://schemas.microsoft.com/office/spreadsheetml/2017/richdata2" ref="A2:U2437">
      <sortCondition ref="F1:F2437"/>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EAA45-5895-4997-B695-8992D6372373}">
  <dimension ref="A1:O121"/>
  <sheetViews>
    <sheetView showGridLines="0" topLeftCell="A2" zoomScale="80" zoomScaleNormal="80" workbookViewId="0">
      <selection activeCell="J11" sqref="J11"/>
    </sheetView>
  </sheetViews>
  <sheetFormatPr defaultColWidth="4.6640625" defaultRowHeight="0" customHeight="1" zeroHeight="1" x14ac:dyDescent="0.3"/>
  <cols>
    <col min="1" max="1" width="4.5546875" customWidth="1"/>
    <col min="2" max="2" width="2.109375" hidden="1" customWidth="1"/>
    <col min="3" max="4" width="6.5546875" hidden="1" customWidth="1"/>
    <col min="5" max="5" width="8.44140625" customWidth="1"/>
    <col min="6" max="6" width="46.88671875" customWidth="1"/>
    <col min="7" max="7" width="42.5546875" customWidth="1"/>
    <col min="8" max="8" width="29" customWidth="1"/>
    <col min="9" max="11" width="12.6640625" customWidth="1"/>
    <col min="12" max="12" width="16.6640625" customWidth="1"/>
    <col min="13" max="13" width="17.33203125" customWidth="1"/>
    <col min="14" max="14" width="21.6640625" customWidth="1"/>
    <col min="15" max="15" width="43.33203125" customWidth="1"/>
    <col min="16" max="16" width="10.109375" customWidth="1"/>
    <col min="17" max="17" width="11.33203125" customWidth="1"/>
    <col min="18" max="18" width="0.5546875" customWidth="1"/>
    <col min="19" max="19" width="13.109375" customWidth="1"/>
    <col min="20" max="20" width="0.5546875" customWidth="1"/>
    <col min="21" max="21" width="11.33203125" customWidth="1"/>
    <col min="22" max="22" width="8.109375" customWidth="1"/>
  </cols>
  <sheetData>
    <row r="1" spans="1:15" ht="15" thickBot="1" x14ac:dyDescent="0.35">
      <c r="A1" s="120" t="s">
        <v>62</v>
      </c>
      <c r="B1" s="120"/>
      <c r="C1" s="120"/>
      <c r="D1" s="120"/>
    </row>
    <row r="2" spans="1:15" ht="19.5" customHeight="1" thickBot="1" x14ac:dyDescent="0.4">
      <c r="E2" s="323" t="str">
        <f>'[8]2. Cover'!B154</f>
        <v>Better Care Fund 2023-25 Quarterly Reporting Template</v>
      </c>
      <c r="F2" s="324"/>
      <c r="G2" s="324"/>
      <c r="H2" s="325"/>
    </row>
    <row r="3" spans="1:15" ht="14.4" x14ac:dyDescent="0.3">
      <c r="E3" s="9" t="s">
        <v>752</v>
      </c>
    </row>
    <row r="4" spans="1:15" ht="14.4" x14ac:dyDescent="0.3"/>
    <row r="5" spans="1:15" ht="14.4" x14ac:dyDescent="0.3">
      <c r="E5" t="s">
        <v>396</v>
      </c>
      <c r="G5" s="77" t="str" cm="1">
        <f t="array" ref="G5:I5">IF('2. Cover'!D165:F165="&lt;Please select a Health and Wellbeing Board&gt;","Please select in '2. Cover' sheet",'2. Cover'!D165:F165)</f>
        <v>Hillingdon</v>
      </c>
      <c r="H5" s="191">
        <v>0</v>
      </c>
      <c r="I5" s="192">
        <v>0</v>
      </c>
    </row>
    <row r="6" spans="1:15" ht="14.4" x14ac:dyDescent="0.3"/>
    <row r="7" spans="1:15" ht="14.4" x14ac:dyDescent="0.3"/>
    <row r="8" spans="1:15" ht="14.4" x14ac:dyDescent="0.3"/>
    <row r="9" spans="1:15" ht="14.4" x14ac:dyDescent="0.3"/>
    <row r="10" spans="1:15" ht="43.2" x14ac:dyDescent="0.3">
      <c r="B10">
        <v>0</v>
      </c>
      <c r="E10" s="185" t="s">
        <v>753</v>
      </c>
      <c r="F10" s="185" t="s">
        <v>754</v>
      </c>
      <c r="G10" s="185" t="s">
        <v>755</v>
      </c>
      <c r="H10" s="185" t="s">
        <v>756</v>
      </c>
      <c r="I10" s="185" t="s">
        <v>757</v>
      </c>
      <c r="J10" s="185" t="s">
        <v>758</v>
      </c>
      <c r="K10" s="185" t="s">
        <v>759</v>
      </c>
      <c r="L10" s="185" t="s">
        <v>760</v>
      </c>
      <c r="M10" s="185" t="s">
        <v>761</v>
      </c>
      <c r="N10" s="185" t="s">
        <v>762</v>
      </c>
      <c r="O10" s="185" t="s">
        <v>763</v>
      </c>
    </row>
    <row r="11" spans="1:15" ht="31.5" customHeight="1" x14ac:dyDescent="0.3">
      <c r="B11">
        <f>1+B10</f>
        <v>1</v>
      </c>
      <c r="C11" t="str">
        <f>B11&amp;$G$5</f>
        <v>1Hillingdon</v>
      </c>
      <c r="D11" t="str">
        <f>$G$5&amp;E11&amp;F11&amp;G11&amp;H11</f>
        <v>Hillingdon1Neighbourhood developmentHome-based intermediate care servicesReablement at home (to prevent admission to hospital or residential care)</v>
      </c>
      <c r="E11" s="186">
        <f>IFERROR(VLOOKUP($C11,SpendActivityBS!$B:$K,4,0),"")</f>
        <v>1</v>
      </c>
      <c r="F11" s="186" t="str">
        <f>IFERROR(VLOOKUP($C11,SpendActivityBS!$B:$K,5,0),"")</f>
        <v>Neighbourhood development</v>
      </c>
      <c r="G11" s="186" t="str">
        <f>IFERROR(VLOOKUP($C11,SpendActivityBS!$B:$K,6,0),"")</f>
        <v>Home-based intermediate care services</v>
      </c>
      <c r="H11" s="186" t="str">
        <f>IFERROR(VLOOKUP($C11,SpendActivityBS!$B:$K,7,0),"")</f>
        <v>Reablement at home (to prevent admission to hospital or residential care)</v>
      </c>
      <c r="I11" s="187">
        <f ca="1">IF(E11="","",SUMIF(SpendActivityBS!$C:$K,'6. Spend &amp; Activity'!$D11,SpendActivityBS!J:J))</f>
        <v>169534</v>
      </c>
      <c r="J11" s="204"/>
      <c r="K11" s="189">
        <f ca="1">IF(E11="","",SUMIF(SpendActivityBS!$C:$K,'6. Spend &amp; Activity'!$D11,SpendActivityBS!K:K))</f>
        <v>901</v>
      </c>
      <c r="L11" s="205"/>
      <c r="M11" s="188" t="str">
        <f>IFERROR(VLOOKUP($C11,SpendActivityBS!$B:$K,8,0),"")</f>
        <v>Packages</v>
      </c>
      <c r="N11" s="205"/>
      <c r="O11" s="205"/>
    </row>
    <row r="12" spans="1:15" ht="31.5" customHeight="1" x14ac:dyDescent="0.3">
      <c r="B12">
        <f>1+B11</f>
        <v>2</v>
      </c>
      <c r="C12" t="str">
        <f t="shared" ref="C12:C75" si="0">B12&amp;$G$5</f>
        <v>2Hillingdon</v>
      </c>
      <c r="D12" t="str">
        <f t="shared" ref="D12:D75" si="1">$G$5&amp;E12&amp;F12&amp;G12&amp;H12</f>
        <v>Hillingdon1Neighbourhood developmentAssistive Technologies and EquipmentAssistive technologies including telecare</v>
      </c>
      <c r="E12" s="186">
        <f>IFERROR(VLOOKUP($C12,SpendActivityBS!$B:$K,4,0),"")</f>
        <v>1</v>
      </c>
      <c r="F12" s="186" t="str">
        <f>IFERROR(VLOOKUP($C12,SpendActivityBS!$B:$K,5,0),"")</f>
        <v>Neighbourhood development</v>
      </c>
      <c r="G12" s="186" t="str">
        <f>IFERROR(VLOOKUP($C12,SpendActivityBS!$B:$K,6,0),"")</f>
        <v>Assistive Technologies and Equipment</v>
      </c>
      <c r="H12" s="186" t="str">
        <f>IFERROR(VLOOKUP($C12,SpendActivityBS!$B:$K,7,0),"")</f>
        <v>Assistive technologies including telecare</v>
      </c>
      <c r="I12" s="187">
        <f ca="1">IF(E12="","",SUMIF(SpendActivityBS!$C:$K,'6. Spend &amp; Activity'!$D12,SpendActivityBS!J:J))</f>
        <v>360000</v>
      </c>
      <c r="J12" s="204"/>
      <c r="K12" s="189">
        <f ca="1">IF(E12="","",SUMIF(SpendActivityBS!$C:$K,'6. Spend &amp; Activity'!$D12,SpendActivityBS!K:K))</f>
        <v>7470</v>
      </c>
      <c r="L12" s="205"/>
      <c r="M12" s="188" t="str">
        <f>IFERROR(VLOOKUP($C12,SpendActivityBS!$B:$K,8,0),"")</f>
        <v xml:space="preserve">Number of beneficiaries </v>
      </c>
      <c r="N12" s="205"/>
      <c r="O12" s="205"/>
    </row>
    <row r="13" spans="1:15" ht="31.5" customHeight="1" x14ac:dyDescent="0.3">
      <c r="B13">
        <f t="shared" ref="B13:B76" si="2">1+B12</f>
        <v>3</v>
      </c>
      <c r="C13" t="str">
        <f t="shared" si="0"/>
        <v>3Hillingdon</v>
      </c>
      <c r="D13" t="str">
        <f t="shared" si="1"/>
        <v>Hillingdon1Neighbourhood developmentDFG Related SchemesAdaptations, including statutory DFG grants</v>
      </c>
      <c r="E13" s="186">
        <f>IFERROR(VLOOKUP($C13,SpendActivityBS!$B:$K,4,0),"")</f>
        <v>1</v>
      </c>
      <c r="F13" s="186" t="str">
        <f>IFERROR(VLOOKUP($C13,SpendActivityBS!$B:$K,5,0),"")</f>
        <v>Neighbourhood development</v>
      </c>
      <c r="G13" s="186" t="str">
        <f>IFERROR(VLOOKUP($C13,SpendActivityBS!$B:$K,6,0),"")</f>
        <v>DFG Related Schemes</v>
      </c>
      <c r="H13" s="186" t="str">
        <f>IFERROR(VLOOKUP($C13,SpendActivityBS!$B:$K,7,0),"")</f>
        <v>Adaptations, including statutory DFG grants</v>
      </c>
      <c r="I13" s="187">
        <f ca="1">IF(E13="","",SUMIF(SpendActivityBS!$C:$K,'6. Spend &amp; Activity'!$D13,SpendActivityBS!J:J))</f>
        <v>2692273</v>
      </c>
      <c r="J13" s="204"/>
      <c r="K13" s="189">
        <f ca="1">IF(E13="","",SUMIF(SpendActivityBS!$C:$K,'6. Spend &amp; Activity'!$D13,SpendActivityBS!K:K))</f>
        <v>350</v>
      </c>
      <c r="L13" s="205"/>
      <c r="M13" s="188" t="str">
        <f>IFERROR(VLOOKUP($C13,SpendActivityBS!$B:$K,8,0),"")</f>
        <v>Number of adaptations funded/people supported</v>
      </c>
      <c r="N13" s="205"/>
      <c r="O13" s="205"/>
    </row>
    <row r="14" spans="1:15" ht="31.5" customHeight="1" x14ac:dyDescent="0.3">
      <c r="B14">
        <f t="shared" si="2"/>
        <v>4</v>
      </c>
      <c r="C14" t="str">
        <f t="shared" si="0"/>
        <v>4Hillingdon</v>
      </c>
      <c r="D14" t="str">
        <f t="shared" si="1"/>
        <v>Hillingdon1Neighbourhood developmentResidential PlacementsNursing home</v>
      </c>
      <c r="E14" s="186">
        <f>IFERROR(VLOOKUP($C14,SpendActivityBS!$B:$K,4,0),"")</f>
        <v>1</v>
      </c>
      <c r="F14" s="186" t="str">
        <f>IFERROR(VLOOKUP($C14,SpendActivityBS!$B:$K,5,0),"")</f>
        <v>Neighbourhood development</v>
      </c>
      <c r="G14" s="186" t="str">
        <f>IFERROR(VLOOKUP($C14,SpendActivityBS!$B:$K,6,0),"")</f>
        <v>Residential Placements</v>
      </c>
      <c r="H14" s="186" t="str">
        <f>IFERROR(VLOOKUP($C14,SpendActivityBS!$B:$K,7,0),"")</f>
        <v>Nursing home</v>
      </c>
      <c r="I14" s="187">
        <f ca="1">IF(E14="","",SUMIF(SpendActivityBS!$C:$K,'6. Spend &amp; Activity'!$D14,SpendActivityBS!J:J))</f>
        <v>18795</v>
      </c>
      <c r="J14" s="204"/>
      <c r="K14" s="189">
        <f ca="1">IF(E14="","",SUMIF(SpendActivityBS!$C:$K,'6. Spend &amp; Activity'!$D14,SpendActivityBS!K:K))</f>
        <v>10</v>
      </c>
      <c r="L14" s="205"/>
      <c r="M14" s="188" t="str">
        <f>IFERROR(VLOOKUP($C14,SpendActivityBS!$B:$K,8,0),"")</f>
        <v>Number of beds/Placements</v>
      </c>
      <c r="N14" s="205"/>
      <c r="O14" s="205"/>
    </row>
    <row r="15" spans="1:15" ht="31.5" customHeight="1" x14ac:dyDescent="0.3">
      <c r="B15">
        <f t="shared" si="2"/>
        <v>5</v>
      </c>
      <c r="C15" t="str">
        <f t="shared" si="0"/>
        <v>5Hillingdon</v>
      </c>
      <c r="D15" t="str">
        <f t="shared" si="1"/>
        <v>Hillingdon2Supporting carersCarers ServicesCarer advice and support related to Care Act duties</v>
      </c>
      <c r="E15" s="186">
        <f>IFERROR(VLOOKUP($C15,SpendActivityBS!$B:$K,4,0),"")</f>
        <v>2</v>
      </c>
      <c r="F15" s="186" t="str">
        <f>IFERROR(VLOOKUP($C15,SpendActivityBS!$B:$K,5,0),"")</f>
        <v>Supporting carers</v>
      </c>
      <c r="G15" s="186" t="str">
        <f>IFERROR(VLOOKUP($C15,SpendActivityBS!$B:$K,6,0),"")</f>
        <v>Carers Services</v>
      </c>
      <c r="H15" s="186" t="str">
        <f>IFERROR(VLOOKUP($C15,SpendActivityBS!$B:$K,7,0),"")</f>
        <v>Carer advice and support related to Care Act duties</v>
      </c>
      <c r="I15" s="187">
        <f ca="1">IF(E15="","",SUMIF(SpendActivityBS!$C:$K,'6. Spend &amp; Activity'!$D15,SpendActivityBS!J:J))</f>
        <v>690000</v>
      </c>
      <c r="J15" s="204"/>
      <c r="K15" s="189">
        <f ca="1">IF(E15="","",SUMIF(SpendActivityBS!$C:$K,'6. Spend &amp; Activity'!$D15,SpendActivityBS!K:K))</f>
        <v>6077</v>
      </c>
      <c r="L15" s="205"/>
      <c r="M15" s="188" t="str">
        <f>IFERROR(VLOOKUP($C15,SpendActivityBS!$B:$K,8,0),"")</f>
        <v>Beneficiaries</v>
      </c>
      <c r="N15" s="205"/>
      <c r="O15" s="205"/>
    </row>
    <row r="16" spans="1:15" ht="31.5" customHeight="1" x14ac:dyDescent="0.3">
      <c r="B16">
        <f t="shared" si="2"/>
        <v>6</v>
      </c>
      <c r="C16" t="str">
        <f t="shared" si="0"/>
        <v>6Hillingdon</v>
      </c>
      <c r="D16" t="str">
        <f t="shared" si="1"/>
        <v>Hillingdon2Supporting carersCarers ServicesRespite services</v>
      </c>
      <c r="E16" s="186">
        <f>IFERROR(VLOOKUP($C16,SpendActivityBS!$B:$K,4,0),"")</f>
        <v>2</v>
      </c>
      <c r="F16" s="186" t="str">
        <f>IFERROR(VLOOKUP($C16,SpendActivityBS!$B:$K,5,0),"")</f>
        <v>Supporting carers</v>
      </c>
      <c r="G16" s="186" t="str">
        <f>IFERROR(VLOOKUP($C16,SpendActivityBS!$B:$K,6,0),"")</f>
        <v>Carers Services</v>
      </c>
      <c r="H16" s="186" t="str">
        <f>IFERROR(VLOOKUP($C16,SpendActivityBS!$B:$K,7,0),"")</f>
        <v>Respite services</v>
      </c>
      <c r="I16" s="187">
        <f ca="1">IF(E16="","",SUMIF(SpendActivityBS!$C:$K,'6. Spend &amp; Activity'!$D16,SpendActivityBS!J:J))</f>
        <v>470187</v>
      </c>
      <c r="J16" s="204"/>
      <c r="K16" s="189">
        <f ca="1">IF(E16="","",SUMIF(SpendActivityBS!$C:$K,'6. Spend &amp; Activity'!$D16,SpendActivityBS!K:K))</f>
        <v>60</v>
      </c>
      <c r="L16" s="205"/>
      <c r="M16" s="188" t="str">
        <f>IFERROR(VLOOKUP($C16,SpendActivityBS!$B:$K,8,0),"")</f>
        <v>Beneficiaries</v>
      </c>
      <c r="N16" s="205"/>
      <c r="O16" s="205"/>
    </row>
    <row r="17" spans="2:15" ht="28.8" x14ac:dyDescent="0.3">
      <c r="B17">
        <f t="shared" si="2"/>
        <v>7</v>
      </c>
      <c r="C17" t="str">
        <f t="shared" si="0"/>
        <v>7Hillingdon</v>
      </c>
      <c r="D17" t="str">
        <f t="shared" si="1"/>
        <v>Hillingdon3Reactive careHome-based intermediate care servicesRehabilitation at home (to support discharge)</v>
      </c>
      <c r="E17" s="186">
        <f>IFERROR(VLOOKUP($C17,SpendActivityBS!$B:$K,4,0),"")</f>
        <v>3</v>
      </c>
      <c r="F17" s="186" t="str">
        <f>IFERROR(VLOOKUP($C17,SpendActivityBS!$B:$K,5,0),"")</f>
        <v>Reactive care</v>
      </c>
      <c r="G17" s="186" t="str">
        <f>IFERROR(VLOOKUP($C17,SpendActivityBS!$B:$K,6,0),"")</f>
        <v>Home-based intermediate care services</v>
      </c>
      <c r="H17" s="186" t="str">
        <f>IFERROR(VLOOKUP($C17,SpendActivityBS!$B:$K,7,0),"")</f>
        <v>Rehabilitation at home (to support discharge)</v>
      </c>
      <c r="I17" s="187">
        <f ca="1">IF(E17="","",SUMIF(SpendActivityBS!$C:$K,'6. Spend &amp; Activity'!$D17,SpendActivityBS!J:J))</f>
        <v>2676813</v>
      </c>
      <c r="J17" s="204"/>
      <c r="K17" s="189">
        <f ca="1">IF(E17="","",SUMIF(SpendActivityBS!$C:$K,'6. Spend &amp; Activity'!$D17,SpendActivityBS!K:K))</f>
        <v>67816</v>
      </c>
      <c r="L17" s="205"/>
      <c r="M17" s="188" t="str">
        <f>IFERROR(VLOOKUP($C17,SpendActivityBS!$B:$K,8,0),"")</f>
        <v>Packages</v>
      </c>
      <c r="N17" s="205"/>
      <c r="O17" s="205"/>
    </row>
    <row r="18" spans="2:15" ht="43.2" x14ac:dyDescent="0.3">
      <c r="B18">
        <f t="shared" si="2"/>
        <v>8</v>
      </c>
      <c r="C18" t="str">
        <f t="shared" si="0"/>
        <v>8Hillingdon</v>
      </c>
      <c r="D18" t="str">
        <f t="shared" si="1"/>
        <v>Hillingdon3Reactive careBed based intermediate Care Services (Reablement, rehabilitation, wider short-term services supporting recovery)Bed-based intermediate care with rehabilitation (to support discharge)</v>
      </c>
      <c r="E18" s="186">
        <f>IFERROR(VLOOKUP($C18,SpendActivityBS!$B:$K,4,0),"")</f>
        <v>3</v>
      </c>
      <c r="F18" s="186" t="str">
        <f>IFERROR(VLOOKUP($C18,SpendActivityBS!$B:$K,5,0),"")</f>
        <v>Reactive care</v>
      </c>
      <c r="G18" s="186" t="str">
        <f>IFERROR(VLOOKUP($C18,SpendActivityBS!$B:$K,6,0),"")</f>
        <v>Bed based intermediate Care Services (Reablement, rehabilitation, wider short-term services supporting recovery)</v>
      </c>
      <c r="H18" s="186" t="str">
        <f>IFERROR(VLOOKUP($C18,SpendActivityBS!$B:$K,7,0),"")</f>
        <v>Bed-based intermediate care with rehabilitation (to support discharge)</v>
      </c>
      <c r="I18" s="187">
        <f ca="1">IF(E18="","",SUMIF(SpendActivityBS!$C:$K,'6. Spend &amp; Activity'!$D18,SpendActivityBS!J:J))</f>
        <v>2052248</v>
      </c>
      <c r="J18" s="204"/>
      <c r="K18" s="189">
        <f ca="1">IF(E18="","",SUMIF(SpendActivityBS!$C:$K,'6. Spend &amp; Activity'!$D18,SpendActivityBS!K:K))</f>
        <v>7016</v>
      </c>
      <c r="L18" s="205"/>
      <c r="M18" s="188" t="str">
        <f>IFERROR(VLOOKUP($C18,SpendActivityBS!$B:$K,8,0),"")</f>
        <v>Number of Placements</v>
      </c>
      <c r="N18" s="205"/>
      <c r="O18" s="205"/>
    </row>
    <row r="19" spans="2:15" ht="28.8" x14ac:dyDescent="0.3">
      <c r="B19">
        <f t="shared" si="2"/>
        <v>9</v>
      </c>
      <c r="C19" t="str">
        <f t="shared" si="0"/>
        <v>9Hillingdon</v>
      </c>
      <c r="D19" t="str">
        <f t="shared" si="1"/>
        <v>Hillingdon3Reactive careHome Care or Domiciliary CareShort term domiciliary care (without reablement input)</v>
      </c>
      <c r="E19" s="186">
        <f>IFERROR(VLOOKUP($C19,SpendActivityBS!$B:$K,4,0),"")</f>
        <v>3</v>
      </c>
      <c r="F19" s="186" t="str">
        <f>IFERROR(VLOOKUP($C19,SpendActivityBS!$B:$K,5,0),"")</f>
        <v>Reactive care</v>
      </c>
      <c r="G19" s="186" t="str">
        <f>IFERROR(VLOOKUP($C19,SpendActivityBS!$B:$K,6,0),"")</f>
        <v>Home Care or Domiciliary Care</v>
      </c>
      <c r="H19" s="186" t="str">
        <f>IFERROR(VLOOKUP($C19,SpendActivityBS!$B:$K,7,0),"")</f>
        <v>Short term domiciliary care (without reablement input)</v>
      </c>
      <c r="I19" s="187">
        <f ca="1">IF(E19="","",SUMIF(SpendActivityBS!$C:$K,'6. Spend &amp; Activity'!$D19,SpendActivityBS!J:J))</f>
        <v>641000</v>
      </c>
      <c r="J19" s="204"/>
      <c r="K19" s="189">
        <f ca="1">IF(E19="","",SUMIF(SpendActivityBS!$C:$K,'6. Spend &amp; Activity'!$D19,SpendActivityBS!K:K))</f>
        <v>1630</v>
      </c>
      <c r="L19" s="205"/>
      <c r="M19" s="188" t="str">
        <f>IFERROR(VLOOKUP($C19,SpendActivityBS!$B:$K,8,0),"")</f>
        <v>Packages</v>
      </c>
      <c r="N19" s="205"/>
      <c r="O19" s="205"/>
    </row>
    <row r="20" spans="2:15" ht="28.8" x14ac:dyDescent="0.3">
      <c r="B20">
        <f t="shared" si="2"/>
        <v>10</v>
      </c>
      <c r="C20" t="str">
        <f t="shared" si="0"/>
        <v>10Hillingdon</v>
      </c>
      <c r="D20" t="str">
        <f t="shared" si="1"/>
        <v xml:space="preserve">Hillingdon3Reactive careHome-based intermediate care servicesReablement at home (to support discharge) </v>
      </c>
      <c r="E20" s="186">
        <f>IFERROR(VLOOKUP($C20,SpendActivityBS!$B:$K,4,0),"")</f>
        <v>3</v>
      </c>
      <c r="F20" s="186" t="str">
        <f>IFERROR(VLOOKUP($C20,SpendActivityBS!$B:$K,5,0),"")</f>
        <v>Reactive care</v>
      </c>
      <c r="G20" s="186" t="str">
        <f>IFERROR(VLOOKUP($C20,SpendActivityBS!$B:$K,6,0),"")</f>
        <v>Home-based intermediate care services</v>
      </c>
      <c r="H20" s="186" t="str">
        <f>IFERROR(VLOOKUP($C20,SpendActivityBS!$B:$K,7,0),"")</f>
        <v xml:space="preserve">Reablement at home (to support discharge) </v>
      </c>
      <c r="I20" s="187">
        <f ca="1">IF(E20="","",SUMIF(SpendActivityBS!$C:$K,'6. Spend &amp; Activity'!$D20,SpendActivityBS!J:J))</f>
        <v>1354999</v>
      </c>
      <c r="J20" s="204"/>
      <c r="K20" s="189">
        <f ca="1">IF(E20="","",SUMIF(SpendActivityBS!$C:$K,'6. Spend &amp; Activity'!$D20,SpendActivityBS!K:K))</f>
        <v>871</v>
      </c>
      <c r="L20" s="205"/>
      <c r="M20" s="188" t="str">
        <f>IFERROR(VLOOKUP($C20,SpendActivityBS!$B:$K,8,0),"")</f>
        <v>Packages</v>
      </c>
      <c r="N20" s="205"/>
      <c r="O20" s="205"/>
    </row>
    <row r="21" spans="2:15" ht="28.8" x14ac:dyDescent="0.3">
      <c r="B21">
        <f t="shared" si="2"/>
        <v>11</v>
      </c>
      <c r="C21" t="str">
        <f t="shared" si="0"/>
        <v>11Hillingdon</v>
      </c>
      <c r="D21" t="str">
        <f t="shared" si="1"/>
        <v>Hillingdon3Reactive careAssistive Technologies and EquipmentCommunity based equipment</v>
      </c>
      <c r="E21" s="186">
        <f>IFERROR(VLOOKUP($C21,SpendActivityBS!$B:$K,4,0),"")</f>
        <v>3</v>
      </c>
      <c r="F21" s="186" t="str">
        <f>IFERROR(VLOOKUP($C21,SpendActivityBS!$B:$K,5,0),"")</f>
        <v>Reactive care</v>
      </c>
      <c r="G21" s="186" t="str">
        <f>IFERROR(VLOOKUP($C21,SpendActivityBS!$B:$K,6,0),"")</f>
        <v>Assistive Technologies and Equipment</v>
      </c>
      <c r="H21" s="186" t="str">
        <f>IFERROR(VLOOKUP($C21,SpendActivityBS!$B:$K,7,0),"")</f>
        <v>Community based equipment</v>
      </c>
      <c r="I21" s="187">
        <f ca="1">IF(E21="","",SUMIF(SpendActivityBS!$C:$K,'6. Spend &amp; Activity'!$D21,SpendActivityBS!J:J))</f>
        <v>2048785</v>
      </c>
      <c r="J21" s="204"/>
      <c r="K21" s="189">
        <f ca="1">IF(E21="","",SUMIF(SpendActivityBS!$C:$K,'6. Spend &amp; Activity'!$D21,SpendActivityBS!K:K))</f>
        <v>17000</v>
      </c>
      <c r="L21" s="205"/>
      <c r="M21" s="188" t="str">
        <f>IFERROR(VLOOKUP($C21,SpendActivityBS!$B:$K,8,0),"")</f>
        <v xml:space="preserve">Number of beneficiaries </v>
      </c>
      <c r="N21" s="205"/>
      <c r="O21" s="205"/>
    </row>
    <row r="22" spans="2:15" ht="57.6" x14ac:dyDescent="0.3">
      <c r="B22">
        <f t="shared" si="2"/>
        <v>12</v>
      </c>
      <c r="C22" t="str">
        <f t="shared" si="0"/>
        <v>12Hillingdon</v>
      </c>
      <c r="D22" t="str">
        <f t="shared" si="1"/>
        <v>Hillingdon3Reactive careDFG Related SchemesDiscretionary use of DFG</v>
      </c>
      <c r="E22" s="186">
        <f>IFERROR(VLOOKUP($C22,SpendActivityBS!$B:$K,4,0),"")</f>
        <v>3</v>
      </c>
      <c r="F22" s="186" t="str">
        <f>IFERROR(VLOOKUP($C22,SpendActivityBS!$B:$K,5,0),"")</f>
        <v>Reactive care</v>
      </c>
      <c r="G22" s="186" t="str">
        <f>IFERROR(VLOOKUP($C22,SpendActivityBS!$B:$K,6,0),"")</f>
        <v>DFG Related Schemes</v>
      </c>
      <c r="H22" s="186" t="str">
        <f>IFERROR(VLOOKUP($C22,SpendActivityBS!$B:$K,7,0),"")</f>
        <v>Discretionary use of DFG</v>
      </c>
      <c r="I22" s="187">
        <f ca="1">IF(E22="","",SUMIF(SpendActivityBS!$C:$K,'6. Spend &amp; Activity'!$D22,SpendActivityBS!J:J))</f>
        <v>10000</v>
      </c>
      <c r="J22" s="204"/>
      <c r="K22" s="189">
        <f ca="1">IF(E22="","",SUMIF(SpendActivityBS!$C:$K,'6. Spend &amp; Activity'!$D22,SpendActivityBS!K:K))</f>
        <v>20</v>
      </c>
      <c r="L22" s="205"/>
      <c r="M22" s="188" t="str">
        <f>IFERROR(VLOOKUP($C22,SpendActivityBS!$B:$K,8,0),"")</f>
        <v>Number of adaptations funded/people supported</v>
      </c>
      <c r="N22" s="205"/>
      <c r="O22" s="205"/>
    </row>
    <row r="23" spans="2:15" ht="43.2" x14ac:dyDescent="0.3">
      <c r="B23">
        <f t="shared" si="2"/>
        <v>13</v>
      </c>
      <c r="C23" t="str">
        <f t="shared" si="0"/>
        <v>13Hillingdon</v>
      </c>
      <c r="D23" t="str">
        <f t="shared" si="1"/>
        <v>Hillingdon3Reactive careHome Care or Domiciliary CareDomiciliary care to support hospital discharge (Discharge to Assess pathway 1)</v>
      </c>
      <c r="E23" s="186">
        <f>IFERROR(VLOOKUP($C23,SpendActivityBS!$B:$K,4,0),"")</f>
        <v>3</v>
      </c>
      <c r="F23" s="186" t="str">
        <f>IFERROR(VLOOKUP($C23,SpendActivityBS!$B:$K,5,0),"")</f>
        <v>Reactive care</v>
      </c>
      <c r="G23" s="186" t="str">
        <f>IFERROR(VLOOKUP($C23,SpendActivityBS!$B:$K,6,0),"")</f>
        <v>Home Care or Domiciliary Care</v>
      </c>
      <c r="H23" s="186" t="str">
        <f>IFERROR(VLOOKUP($C23,SpendActivityBS!$B:$K,7,0),"")</f>
        <v>Domiciliary care to support hospital discharge (Discharge to Assess pathway 1)</v>
      </c>
      <c r="I23" s="187">
        <f ca="1">IF(E23="","",SUMIF(SpendActivityBS!$C:$K,'6. Spend &amp; Activity'!$D23,SpendActivityBS!J:J))</f>
        <v>1431677</v>
      </c>
      <c r="J23" s="204"/>
      <c r="K23" s="189">
        <f ca="1">IF(E23="","",SUMIF(SpendActivityBS!$C:$K,'6. Spend &amp; Activity'!$D23,SpendActivityBS!K:K))</f>
        <v>92301</v>
      </c>
      <c r="L23" s="205"/>
      <c r="M23" s="188" t="str">
        <f>IFERROR(VLOOKUP($C23,SpendActivityBS!$B:$K,8,0),"")</f>
        <v>Hours of care</v>
      </c>
      <c r="N23" s="205"/>
      <c r="O23" s="205"/>
    </row>
    <row r="24" spans="2:15" ht="28.8" x14ac:dyDescent="0.3">
      <c r="B24">
        <f t="shared" si="2"/>
        <v>14</v>
      </c>
      <c r="C24" t="str">
        <f t="shared" si="0"/>
        <v>14Hillingdon</v>
      </c>
      <c r="D24" t="str">
        <f t="shared" si="1"/>
        <v>Hillingdon4Improved market management and developmentResidential PlacementsCare home</v>
      </c>
      <c r="E24" s="186">
        <f>IFERROR(VLOOKUP($C24,SpendActivityBS!$B:$K,4,0),"")</f>
        <v>4</v>
      </c>
      <c r="F24" s="186" t="str">
        <f>IFERROR(VLOOKUP($C24,SpendActivityBS!$B:$K,5,0),"")</f>
        <v>Improved market management and development</v>
      </c>
      <c r="G24" s="186" t="str">
        <f>IFERROR(VLOOKUP($C24,SpendActivityBS!$B:$K,6,0),"")</f>
        <v>Residential Placements</v>
      </c>
      <c r="H24" s="186" t="str">
        <f>IFERROR(VLOOKUP($C24,SpendActivityBS!$B:$K,7,0),"")</f>
        <v>Care home</v>
      </c>
      <c r="I24" s="187">
        <f ca="1">IF(E24="","",SUMIF(SpendActivityBS!$C:$K,'6. Spend &amp; Activity'!$D24,SpendActivityBS!J:J))</f>
        <v>6687700</v>
      </c>
      <c r="J24" s="204"/>
      <c r="K24" s="189">
        <f ca="1">IF(E24="","",SUMIF(SpendActivityBS!$C:$K,'6. Spend &amp; Activity'!$D24,SpendActivityBS!K:K))</f>
        <v>202</v>
      </c>
      <c r="L24" s="205"/>
      <c r="M24" s="188" t="str">
        <f>IFERROR(VLOOKUP($C24,SpendActivityBS!$B:$K,8,0),"")</f>
        <v>Number of beds/Placements</v>
      </c>
      <c r="N24" s="205"/>
      <c r="O24" s="205"/>
    </row>
    <row r="25" spans="2:15" ht="28.8" x14ac:dyDescent="0.3">
      <c r="B25">
        <f t="shared" si="2"/>
        <v>15</v>
      </c>
      <c r="C25" t="str">
        <f t="shared" si="0"/>
        <v>15Hillingdon</v>
      </c>
      <c r="D25" t="str">
        <f t="shared" si="1"/>
        <v>Hillingdon4Improved market management and developmentResidential PlacementsNursing home</v>
      </c>
      <c r="E25" s="186">
        <f>IFERROR(VLOOKUP($C25,SpendActivityBS!$B:$K,4,0),"")</f>
        <v>4</v>
      </c>
      <c r="F25" s="186" t="str">
        <f>IFERROR(VLOOKUP($C25,SpendActivityBS!$B:$K,5,0),"")</f>
        <v>Improved market management and development</v>
      </c>
      <c r="G25" s="186" t="str">
        <f>IFERROR(VLOOKUP($C25,SpendActivityBS!$B:$K,6,0),"")</f>
        <v>Residential Placements</v>
      </c>
      <c r="H25" s="186" t="str">
        <f>IFERROR(VLOOKUP($C25,SpendActivityBS!$B:$K,7,0),"")</f>
        <v>Nursing home</v>
      </c>
      <c r="I25" s="187">
        <f ca="1">IF(E25="","",SUMIF(SpendActivityBS!$C:$K,'6. Spend &amp; Activity'!$D25,SpendActivityBS!J:J))</f>
        <v>11642800</v>
      </c>
      <c r="J25" s="204"/>
      <c r="K25" s="189">
        <f ca="1">IF(E25="","",SUMIF(SpendActivityBS!$C:$K,'6. Spend &amp; Activity'!$D25,SpendActivityBS!K:K))</f>
        <v>230</v>
      </c>
      <c r="L25" s="205"/>
      <c r="M25" s="188" t="str">
        <f>IFERROR(VLOOKUP($C25,SpendActivityBS!$B:$K,8,0),"")</f>
        <v>Number of beds/Placements</v>
      </c>
      <c r="N25" s="205"/>
      <c r="O25" s="205"/>
    </row>
    <row r="26" spans="2:15" ht="14.4" x14ac:dyDescent="0.3">
      <c r="B26">
        <f t="shared" si="2"/>
        <v>16</v>
      </c>
      <c r="C26" t="str">
        <f t="shared" si="0"/>
        <v>16Hillingdon</v>
      </c>
      <c r="D26" t="str">
        <f t="shared" si="1"/>
        <v>Hillingdon4Improved market management and developmentHome Care or Domiciliary CareDomiciliary care packages</v>
      </c>
      <c r="E26" s="186">
        <f>IFERROR(VLOOKUP($C26,SpendActivityBS!$B:$K,4,0),"")</f>
        <v>4</v>
      </c>
      <c r="F26" s="186" t="str">
        <f>IFERROR(VLOOKUP($C26,SpendActivityBS!$B:$K,5,0),"")</f>
        <v>Improved market management and development</v>
      </c>
      <c r="G26" s="186" t="str">
        <f>IFERROR(VLOOKUP($C26,SpendActivityBS!$B:$K,6,0),"")</f>
        <v>Home Care or Domiciliary Care</v>
      </c>
      <c r="H26" s="186" t="str">
        <f>IFERROR(VLOOKUP($C26,SpendActivityBS!$B:$K,7,0),"")</f>
        <v>Domiciliary care packages</v>
      </c>
      <c r="I26" s="187">
        <f ca="1">IF(E26="","",SUMIF(SpendActivityBS!$C:$K,'6. Spend &amp; Activity'!$D26,SpendActivityBS!J:J))</f>
        <v>11682800</v>
      </c>
      <c r="J26" s="204"/>
      <c r="K26" s="189">
        <f ca="1">IF(E26="","",SUMIF(SpendActivityBS!$C:$K,'6. Spend &amp; Activity'!$D26,SpendActivityBS!K:K))</f>
        <v>683022</v>
      </c>
      <c r="L26" s="205"/>
      <c r="M26" s="188" t="str">
        <f>IFERROR(VLOOKUP($C26,SpendActivityBS!$B:$K,8,0),"")</f>
        <v>Hours of care</v>
      </c>
      <c r="N26" s="205"/>
      <c r="O26" s="205"/>
    </row>
    <row r="27" spans="2:15" ht="28.8" x14ac:dyDescent="0.3">
      <c r="B27">
        <f t="shared" si="2"/>
        <v>17</v>
      </c>
      <c r="C27" t="str">
        <f t="shared" si="0"/>
        <v>17Hillingdon</v>
      </c>
      <c r="D27" t="str">
        <f t="shared" si="1"/>
        <v>Hillingdon5Integrated care and support for people with learning disabilities/autismHome Care or Domiciliary CareDomiciliary care packages</v>
      </c>
      <c r="E27" s="186">
        <f>IFERROR(VLOOKUP($C27,SpendActivityBS!$B:$K,4,0),"")</f>
        <v>5</v>
      </c>
      <c r="F27" s="186" t="str">
        <f>IFERROR(VLOOKUP($C27,SpendActivityBS!$B:$K,5,0),"")</f>
        <v>Integrated care and support for people with learning disabilities/autism</v>
      </c>
      <c r="G27" s="186" t="str">
        <f>IFERROR(VLOOKUP($C27,SpendActivityBS!$B:$K,6,0),"")</f>
        <v>Home Care or Domiciliary Care</v>
      </c>
      <c r="H27" s="186" t="str">
        <f>IFERROR(VLOOKUP($C27,SpendActivityBS!$B:$K,7,0),"")</f>
        <v>Domiciliary care packages</v>
      </c>
      <c r="I27" s="187">
        <f ca="1">IF(E27="","",SUMIF(SpendActivityBS!$C:$K,'6. Spend &amp; Activity'!$D27,SpendActivityBS!J:J))</f>
        <v>1051299</v>
      </c>
      <c r="J27" s="204"/>
      <c r="K27" s="189">
        <f ca="1">IF(E27="","",SUMIF(SpendActivityBS!$C:$K,'6. Spend &amp; Activity'!$D27,SpendActivityBS!K:K))</f>
        <v>107359</v>
      </c>
      <c r="L27" s="205"/>
      <c r="M27" s="188" t="str">
        <f>IFERROR(VLOOKUP($C27,SpendActivityBS!$B:$K,8,0),"")</f>
        <v>Hours of care</v>
      </c>
      <c r="N27" s="205"/>
      <c r="O27" s="205"/>
    </row>
    <row r="28" spans="2:15" ht="28.8" x14ac:dyDescent="0.3">
      <c r="B28">
        <f t="shared" si="2"/>
        <v>18</v>
      </c>
      <c r="C28" t="str">
        <f t="shared" si="0"/>
        <v>18Hillingdon</v>
      </c>
      <c r="D28" t="str">
        <f t="shared" si="1"/>
        <v>Hillingdon5Integrated care and support for people with learning disabilities/autismResidential PlacementsLearning disability</v>
      </c>
      <c r="E28" s="186">
        <f>IFERROR(VLOOKUP($C28,SpendActivityBS!$B:$K,4,0),"")</f>
        <v>5</v>
      </c>
      <c r="F28" s="186" t="str">
        <f>IFERROR(VLOOKUP($C28,SpendActivityBS!$B:$K,5,0),"")</f>
        <v>Integrated care and support for people with learning disabilities/autism</v>
      </c>
      <c r="G28" s="186" t="str">
        <f>IFERROR(VLOOKUP($C28,SpendActivityBS!$B:$K,6,0),"")</f>
        <v>Residential Placements</v>
      </c>
      <c r="H28" s="186" t="str">
        <f>IFERROR(VLOOKUP($C28,SpendActivityBS!$B:$K,7,0),"")</f>
        <v>Learning disability</v>
      </c>
      <c r="I28" s="187">
        <f ca="1">IF(E28="","",SUMIF(SpendActivityBS!$C:$K,'6. Spend &amp; Activity'!$D28,SpendActivityBS!J:J))</f>
        <v>21868900</v>
      </c>
      <c r="J28" s="204"/>
      <c r="K28" s="189">
        <f ca="1">IF(E28="","",SUMIF(SpendActivityBS!$C:$K,'6. Spend &amp; Activity'!$D28,SpendActivityBS!K:K))</f>
        <v>350</v>
      </c>
      <c r="L28" s="205"/>
      <c r="M28" s="188" t="str">
        <f>IFERROR(VLOOKUP($C28,SpendActivityBS!$B:$K,8,0),"")</f>
        <v>Number of beds/Placements</v>
      </c>
      <c r="N28" s="205"/>
      <c r="O28" s="205"/>
    </row>
    <row r="29" spans="2:15" ht="28.8" x14ac:dyDescent="0.3">
      <c r="B29">
        <f t="shared" si="2"/>
        <v>19</v>
      </c>
      <c r="C29" t="str">
        <f t="shared" si="0"/>
        <v>19Hillingdon</v>
      </c>
      <c r="D29" t="str">
        <f t="shared" si="1"/>
        <v>Hillingdon5Integrated care and support for people with learning disabilities/autismCarers ServicesRespite services</v>
      </c>
      <c r="E29" s="186">
        <f>IFERROR(VLOOKUP($C29,SpendActivityBS!$B:$K,4,0),"")</f>
        <v>5</v>
      </c>
      <c r="F29" s="186" t="str">
        <f>IFERROR(VLOOKUP($C29,SpendActivityBS!$B:$K,5,0),"")</f>
        <v>Integrated care and support for people with learning disabilities/autism</v>
      </c>
      <c r="G29" s="186" t="str">
        <f>IFERROR(VLOOKUP($C29,SpendActivityBS!$B:$K,6,0),"")</f>
        <v>Carers Services</v>
      </c>
      <c r="H29" s="186" t="str">
        <f>IFERROR(VLOOKUP($C29,SpendActivityBS!$B:$K,7,0),"")</f>
        <v>Respite services</v>
      </c>
      <c r="I29" s="187">
        <f ca="1">IF(E29="","",SUMIF(SpendActivityBS!$C:$K,'6. Spend &amp; Activity'!$D29,SpendActivityBS!J:J))</f>
        <v>174339</v>
      </c>
      <c r="J29" s="204"/>
      <c r="K29" s="189">
        <f ca="1">IF(E29="","",SUMIF(SpendActivityBS!$C:$K,'6. Spend &amp; Activity'!$D29,SpendActivityBS!K:K))</f>
        <v>30</v>
      </c>
      <c r="L29" s="205"/>
      <c r="M29" s="188" t="str">
        <f>IFERROR(VLOOKUP($C29,SpendActivityBS!$B:$K,8,0),"")</f>
        <v>Beneficiaries</v>
      </c>
      <c r="N29" s="205"/>
      <c r="O29" s="205"/>
    </row>
    <row r="30" spans="2:15" ht="14.4" x14ac:dyDescent="0.3">
      <c r="B30">
        <f t="shared" si="2"/>
        <v>20</v>
      </c>
      <c r="C30" t="str">
        <f t="shared" si="0"/>
        <v>20Hillingdon</v>
      </c>
      <c r="D30" t="str">
        <f t="shared" si="1"/>
        <v>Hillingdon</v>
      </c>
      <c r="E30" s="186" t="str">
        <f>IFERROR(VLOOKUP($C30,SpendActivityBS!$B:$K,4,0),"")</f>
        <v/>
      </c>
      <c r="F30" s="186" t="str">
        <f>IFERROR(VLOOKUP($C30,SpendActivityBS!$B:$K,5,0),"")</f>
        <v/>
      </c>
      <c r="G30" s="186" t="str">
        <f>IFERROR(VLOOKUP($C30,SpendActivityBS!$B:$K,6,0),"")</f>
        <v/>
      </c>
      <c r="H30" s="186" t="str">
        <f>IFERROR(VLOOKUP($C30,SpendActivityBS!$B:$K,7,0),"")</f>
        <v/>
      </c>
      <c r="I30" s="187" t="str">
        <f>IF(E30="","",SUMIF(SpendActivityBS!$C:$K,'6. Spend &amp; Activity'!$D30,SpendActivityBS!J:J))</f>
        <v/>
      </c>
      <c r="J30" s="204"/>
      <c r="K30" s="189" t="str">
        <f>IF(E30="","",SUMIF(SpendActivityBS!$C:$K,'6. Spend &amp; Activity'!$D30,SpendActivityBS!K:K))</f>
        <v/>
      </c>
      <c r="L30" s="205"/>
      <c r="M30" s="188" t="str">
        <f>IFERROR(VLOOKUP($C30,SpendActivityBS!$B:$K,8,0),"")</f>
        <v/>
      </c>
      <c r="N30" s="205"/>
      <c r="O30" s="205"/>
    </row>
    <row r="31" spans="2:15" ht="14.4" x14ac:dyDescent="0.3">
      <c r="B31">
        <f t="shared" si="2"/>
        <v>21</v>
      </c>
      <c r="C31" t="str">
        <f t="shared" si="0"/>
        <v>21Hillingdon</v>
      </c>
      <c r="D31" t="str">
        <f t="shared" si="1"/>
        <v>Hillingdon</v>
      </c>
      <c r="E31" s="186" t="str">
        <f>IFERROR(VLOOKUP($C31,SpendActivityBS!$B:$K,4,0),"")</f>
        <v/>
      </c>
      <c r="F31" s="186" t="str">
        <f>IFERROR(VLOOKUP($C31,SpendActivityBS!$B:$K,5,0),"")</f>
        <v/>
      </c>
      <c r="G31" s="186" t="str">
        <f>IFERROR(VLOOKUP($C31,SpendActivityBS!$B:$K,6,0),"")</f>
        <v/>
      </c>
      <c r="H31" s="186" t="str">
        <f>IFERROR(VLOOKUP($C31,SpendActivityBS!$B:$K,7,0),"")</f>
        <v/>
      </c>
      <c r="I31" s="187" t="str">
        <f>IF(E31="","",SUMIF(SpendActivityBS!$C:$K,'6. Spend &amp; Activity'!$D31,SpendActivityBS!J:J))</f>
        <v/>
      </c>
      <c r="J31" s="204"/>
      <c r="K31" s="189" t="str">
        <f>IF(E31="","",SUMIF(SpendActivityBS!$C:$K,'6. Spend &amp; Activity'!$D31,SpendActivityBS!K:K))</f>
        <v/>
      </c>
      <c r="L31" s="205"/>
      <c r="M31" s="188" t="str">
        <f>IFERROR(VLOOKUP($C31,SpendActivityBS!$B:$K,8,0),"")</f>
        <v/>
      </c>
      <c r="N31" s="205"/>
      <c r="O31" s="205"/>
    </row>
    <row r="32" spans="2:15" ht="14.4" x14ac:dyDescent="0.3">
      <c r="B32">
        <f t="shared" si="2"/>
        <v>22</v>
      </c>
      <c r="C32" t="str">
        <f t="shared" si="0"/>
        <v>22Hillingdon</v>
      </c>
      <c r="D32" t="str">
        <f t="shared" si="1"/>
        <v>Hillingdon</v>
      </c>
      <c r="E32" s="186" t="str">
        <f>IFERROR(VLOOKUP($C32,SpendActivityBS!$B:$K,4,0),"")</f>
        <v/>
      </c>
      <c r="F32" s="186" t="str">
        <f>IFERROR(VLOOKUP($C32,SpendActivityBS!$B:$K,5,0),"")</f>
        <v/>
      </c>
      <c r="G32" s="186" t="str">
        <f>IFERROR(VLOOKUP($C32,SpendActivityBS!$B:$K,6,0),"")</f>
        <v/>
      </c>
      <c r="H32" s="186" t="str">
        <f>IFERROR(VLOOKUP($C32,SpendActivityBS!$B:$K,7,0),"")</f>
        <v/>
      </c>
      <c r="I32" s="187" t="str">
        <f>IF(E32="","",SUMIF(SpendActivityBS!$C:$K,'6. Spend &amp; Activity'!$D32,SpendActivityBS!J:J))</f>
        <v/>
      </c>
      <c r="J32" s="204"/>
      <c r="K32" s="189" t="str">
        <f>IF(E32="","",SUMIF(SpendActivityBS!$C:$K,'6. Spend &amp; Activity'!$D32,SpendActivityBS!K:K))</f>
        <v/>
      </c>
      <c r="L32" s="205"/>
      <c r="M32" s="188" t="str">
        <f>IFERROR(VLOOKUP($C32,SpendActivityBS!$B:$K,8,0),"")</f>
        <v/>
      </c>
      <c r="N32" s="205"/>
      <c r="O32" s="205"/>
    </row>
    <row r="33" spans="2:15" ht="14.4" x14ac:dyDescent="0.3">
      <c r="B33">
        <f t="shared" si="2"/>
        <v>23</v>
      </c>
      <c r="C33" t="str">
        <f t="shared" si="0"/>
        <v>23Hillingdon</v>
      </c>
      <c r="D33" t="str">
        <f t="shared" si="1"/>
        <v>Hillingdon</v>
      </c>
      <c r="E33" s="186" t="str">
        <f>IFERROR(VLOOKUP($C33,SpendActivityBS!$B:$K,4,0),"")</f>
        <v/>
      </c>
      <c r="F33" s="186" t="str">
        <f>IFERROR(VLOOKUP($C33,SpendActivityBS!$B:$K,5,0),"")</f>
        <v/>
      </c>
      <c r="G33" s="186" t="str">
        <f>IFERROR(VLOOKUP($C33,SpendActivityBS!$B:$K,6,0),"")</f>
        <v/>
      </c>
      <c r="H33" s="186" t="str">
        <f>IFERROR(VLOOKUP($C33,SpendActivityBS!$B:$K,7,0),"")</f>
        <v/>
      </c>
      <c r="I33" s="187" t="str">
        <f>IF(E33="","",SUMIF(SpendActivityBS!$C:$K,'6. Spend &amp; Activity'!$D33,SpendActivityBS!J:J))</f>
        <v/>
      </c>
      <c r="J33" s="204"/>
      <c r="K33" s="189" t="str">
        <f>IF(E33="","",SUMIF(SpendActivityBS!$C:$K,'6. Spend &amp; Activity'!$D33,SpendActivityBS!K:K))</f>
        <v/>
      </c>
      <c r="L33" s="205"/>
      <c r="M33" s="188" t="str">
        <f>IFERROR(VLOOKUP($C33,SpendActivityBS!$B:$K,8,0),"")</f>
        <v/>
      </c>
      <c r="N33" s="205"/>
      <c r="O33" s="205"/>
    </row>
    <row r="34" spans="2:15" ht="14.4" x14ac:dyDescent="0.3">
      <c r="B34">
        <f t="shared" si="2"/>
        <v>24</v>
      </c>
      <c r="C34" t="str">
        <f t="shared" si="0"/>
        <v>24Hillingdon</v>
      </c>
      <c r="D34" t="str">
        <f t="shared" si="1"/>
        <v>Hillingdon</v>
      </c>
      <c r="E34" s="186" t="str">
        <f>IFERROR(VLOOKUP($C34,SpendActivityBS!$B:$K,4,0),"")</f>
        <v/>
      </c>
      <c r="F34" s="186" t="str">
        <f>IFERROR(VLOOKUP($C34,SpendActivityBS!$B:$K,5,0),"")</f>
        <v/>
      </c>
      <c r="G34" s="186" t="str">
        <f>IFERROR(VLOOKUP($C34,SpendActivityBS!$B:$K,6,0),"")</f>
        <v/>
      </c>
      <c r="H34" s="186" t="str">
        <f>IFERROR(VLOOKUP($C34,SpendActivityBS!$B:$K,7,0),"")</f>
        <v/>
      </c>
      <c r="I34" s="187" t="str">
        <f>IF(E34="","",SUMIF(SpendActivityBS!$C:$K,'6. Spend &amp; Activity'!$D34,SpendActivityBS!J:J))</f>
        <v/>
      </c>
      <c r="J34" s="204"/>
      <c r="K34" s="189" t="str">
        <f>IF(E34="","",SUMIF(SpendActivityBS!$C:$K,'6. Spend &amp; Activity'!$D34,SpendActivityBS!K:K))</f>
        <v/>
      </c>
      <c r="L34" s="205"/>
      <c r="M34" s="188" t="str">
        <f>IFERROR(VLOOKUP($C34,SpendActivityBS!$B:$K,8,0),"")</f>
        <v/>
      </c>
      <c r="N34" s="205"/>
      <c r="O34" s="205"/>
    </row>
    <row r="35" spans="2:15" ht="14.4" x14ac:dyDescent="0.3">
      <c r="B35">
        <f t="shared" si="2"/>
        <v>25</v>
      </c>
      <c r="C35" t="str">
        <f t="shared" si="0"/>
        <v>25Hillingdon</v>
      </c>
      <c r="D35" t="str">
        <f t="shared" si="1"/>
        <v>Hillingdon</v>
      </c>
      <c r="E35" s="186" t="str">
        <f>IFERROR(VLOOKUP($C35,SpendActivityBS!$B:$K,4,0),"")</f>
        <v/>
      </c>
      <c r="F35" s="186" t="str">
        <f>IFERROR(VLOOKUP($C35,SpendActivityBS!$B:$K,5,0),"")</f>
        <v/>
      </c>
      <c r="G35" s="186" t="str">
        <f>IFERROR(VLOOKUP($C35,SpendActivityBS!$B:$K,6,0),"")</f>
        <v/>
      </c>
      <c r="H35" s="186" t="str">
        <f>IFERROR(VLOOKUP($C35,SpendActivityBS!$B:$K,7,0),"")</f>
        <v/>
      </c>
      <c r="I35" s="187" t="str">
        <f>IF(E35="","",SUMIF(SpendActivityBS!$C:$K,'6. Spend &amp; Activity'!$D35,SpendActivityBS!J:J))</f>
        <v/>
      </c>
      <c r="J35" s="204"/>
      <c r="K35" s="189" t="str">
        <f>IF(E35="","",SUMIF(SpendActivityBS!$C:$K,'6. Spend &amp; Activity'!$D35,SpendActivityBS!K:K))</f>
        <v/>
      </c>
      <c r="L35" s="205"/>
      <c r="M35" s="188" t="str">
        <f>IFERROR(VLOOKUP($C35,SpendActivityBS!$B:$K,8,0),"")</f>
        <v/>
      </c>
      <c r="N35" s="205"/>
      <c r="O35" s="205"/>
    </row>
    <row r="36" spans="2:15" ht="14.4" x14ac:dyDescent="0.3">
      <c r="B36">
        <f t="shared" si="2"/>
        <v>26</v>
      </c>
      <c r="C36" t="str">
        <f t="shared" si="0"/>
        <v>26Hillingdon</v>
      </c>
      <c r="D36" t="str">
        <f t="shared" si="1"/>
        <v>Hillingdon</v>
      </c>
      <c r="E36" s="186" t="str">
        <f>IFERROR(VLOOKUP($C36,SpendActivityBS!$B:$K,4,0),"")</f>
        <v/>
      </c>
      <c r="F36" s="186" t="str">
        <f>IFERROR(VLOOKUP($C36,SpendActivityBS!$B:$K,5,0),"")</f>
        <v/>
      </c>
      <c r="G36" s="186" t="str">
        <f>IFERROR(VLOOKUP($C36,SpendActivityBS!$B:$K,6,0),"")</f>
        <v/>
      </c>
      <c r="H36" s="186" t="str">
        <f>IFERROR(VLOOKUP($C36,SpendActivityBS!$B:$K,7,0),"")</f>
        <v/>
      </c>
      <c r="I36" s="187" t="str">
        <f>IF(E36="","",SUMIF(SpendActivityBS!$C:$K,'6. Spend &amp; Activity'!$D36,SpendActivityBS!J:J))</f>
        <v/>
      </c>
      <c r="J36" s="204"/>
      <c r="K36" s="189" t="str">
        <f>IF(E36="","",SUMIF(SpendActivityBS!$C:$K,'6. Spend &amp; Activity'!$D36,SpendActivityBS!K:K))</f>
        <v/>
      </c>
      <c r="L36" s="205"/>
      <c r="M36" s="188" t="str">
        <f>IFERROR(VLOOKUP($C36,SpendActivityBS!$B:$K,8,0),"")</f>
        <v/>
      </c>
      <c r="N36" s="205"/>
      <c r="O36" s="205"/>
    </row>
    <row r="37" spans="2:15" ht="14.4" x14ac:dyDescent="0.3">
      <c r="B37">
        <f t="shared" si="2"/>
        <v>27</v>
      </c>
      <c r="C37" t="str">
        <f t="shared" si="0"/>
        <v>27Hillingdon</v>
      </c>
      <c r="D37" t="str">
        <f t="shared" si="1"/>
        <v>Hillingdon</v>
      </c>
      <c r="E37" s="186" t="str">
        <f>IFERROR(VLOOKUP($C37,SpendActivityBS!$B:$K,4,0),"")</f>
        <v/>
      </c>
      <c r="F37" s="186" t="str">
        <f>IFERROR(VLOOKUP($C37,SpendActivityBS!$B:$K,5,0),"")</f>
        <v/>
      </c>
      <c r="G37" s="186" t="str">
        <f>IFERROR(VLOOKUP($C37,SpendActivityBS!$B:$K,6,0),"")</f>
        <v/>
      </c>
      <c r="H37" s="186" t="str">
        <f>IFERROR(VLOOKUP($C37,SpendActivityBS!$B:$K,7,0),"")</f>
        <v/>
      </c>
      <c r="I37" s="187" t="str">
        <f>IF(E37="","",SUMIF(SpendActivityBS!$C:$K,'6. Spend &amp; Activity'!$D37,SpendActivityBS!J:J))</f>
        <v/>
      </c>
      <c r="J37" s="204"/>
      <c r="K37" s="189" t="str">
        <f>IF(E37="","",SUMIF(SpendActivityBS!$C:$K,'6. Spend &amp; Activity'!$D37,SpendActivityBS!K:K))</f>
        <v/>
      </c>
      <c r="L37" s="205"/>
      <c r="M37" s="188" t="str">
        <f>IFERROR(VLOOKUP($C37,SpendActivityBS!$B:$K,8,0),"")</f>
        <v/>
      </c>
      <c r="N37" s="205"/>
      <c r="O37" s="205"/>
    </row>
    <row r="38" spans="2:15" ht="14.4" x14ac:dyDescent="0.3">
      <c r="B38">
        <f t="shared" si="2"/>
        <v>28</v>
      </c>
      <c r="C38" t="str">
        <f t="shared" si="0"/>
        <v>28Hillingdon</v>
      </c>
      <c r="D38" t="str">
        <f t="shared" si="1"/>
        <v>Hillingdon</v>
      </c>
      <c r="E38" s="186" t="str">
        <f>IFERROR(VLOOKUP($C38,SpendActivityBS!$B:$K,4,0),"")</f>
        <v/>
      </c>
      <c r="F38" s="186" t="str">
        <f>IFERROR(VLOOKUP($C38,SpendActivityBS!$B:$K,5,0),"")</f>
        <v/>
      </c>
      <c r="G38" s="186" t="str">
        <f>IFERROR(VLOOKUP($C38,SpendActivityBS!$B:$K,6,0),"")</f>
        <v/>
      </c>
      <c r="H38" s="186" t="str">
        <f>IFERROR(VLOOKUP($C38,SpendActivityBS!$B:$K,7,0),"")</f>
        <v/>
      </c>
      <c r="I38" s="187" t="str">
        <f>IF(E38="","",SUMIF(SpendActivityBS!$C:$K,'6. Spend &amp; Activity'!$D38,SpendActivityBS!J:J))</f>
        <v/>
      </c>
      <c r="J38" s="204"/>
      <c r="K38" s="189" t="str">
        <f>IF(E38="","",SUMIF(SpendActivityBS!$C:$K,'6. Spend &amp; Activity'!$D38,SpendActivityBS!K:K))</f>
        <v/>
      </c>
      <c r="L38" s="205"/>
      <c r="M38" s="188" t="str">
        <f>IFERROR(VLOOKUP($C38,SpendActivityBS!$B:$K,8,0),"")</f>
        <v/>
      </c>
      <c r="N38" s="205"/>
      <c r="O38" s="205"/>
    </row>
    <row r="39" spans="2:15" ht="14.4" x14ac:dyDescent="0.3">
      <c r="B39">
        <f t="shared" si="2"/>
        <v>29</v>
      </c>
      <c r="C39" t="str">
        <f t="shared" si="0"/>
        <v>29Hillingdon</v>
      </c>
      <c r="D39" t="str">
        <f t="shared" si="1"/>
        <v>Hillingdon</v>
      </c>
      <c r="E39" s="186" t="str">
        <f>IFERROR(VLOOKUP($C39,SpendActivityBS!$B:$K,4,0),"")</f>
        <v/>
      </c>
      <c r="F39" s="186" t="str">
        <f>IFERROR(VLOOKUP($C39,SpendActivityBS!$B:$K,5,0),"")</f>
        <v/>
      </c>
      <c r="G39" s="186" t="str">
        <f>IFERROR(VLOOKUP($C39,SpendActivityBS!$B:$K,6,0),"")</f>
        <v/>
      </c>
      <c r="H39" s="186" t="str">
        <f>IFERROR(VLOOKUP($C39,SpendActivityBS!$B:$K,7,0),"")</f>
        <v/>
      </c>
      <c r="I39" s="187" t="str">
        <f>IF(E39="","",SUMIF(SpendActivityBS!$C:$K,'6. Spend &amp; Activity'!$D39,SpendActivityBS!J:J))</f>
        <v/>
      </c>
      <c r="J39" s="204"/>
      <c r="K39" s="189" t="str">
        <f>IF(E39="","",SUMIF(SpendActivityBS!$C:$K,'6. Spend &amp; Activity'!$D39,SpendActivityBS!K:K))</f>
        <v/>
      </c>
      <c r="L39" s="205"/>
      <c r="M39" s="188" t="str">
        <f>IFERROR(VLOOKUP($C39,SpendActivityBS!$B:$K,8,0),"")</f>
        <v/>
      </c>
      <c r="N39" s="205"/>
      <c r="O39" s="205"/>
    </row>
    <row r="40" spans="2:15" ht="14.4" x14ac:dyDescent="0.3">
      <c r="B40">
        <f t="shared" si="2"/>
        <v>30</v>
      </c>
      <c r="C40" t="str">
        <f t="shared" si="0"/>
        <v>30Hillingdon</v>
      </c>
      <c r="D40" t="str">
        <f t="shared" si="1"/>
        <v>Hillingdon</v>
      </c>
      <c r="E40" s="186" t="str">
        <f>IFERROR(VLOOKUP($C40,SpendActivityBS!$B:$K,4,0),"")</f>
        <v/>
      </c>
      <c r="F40" s="186" t="str">
        <f>IFERROR(VLOOKUP($C40,SpendActivityBS!$B:$K,5,0),"")</f>
        <v/>
      </c>
      <c r="G40" s="186" t="str">
        <f>IFERROR(VLOOKUP($C40,SpendActivityBS!$B:$K,6,0),"")</f>
        <v/>
      </c>
      <c r="H40" s="186" t="str">
        <f>IFERROR(VLOOKUP($C40,SpendActivityBS!$B:$K,7,0),"")</f>
        <v/>
      </c>
      <c r="I40" s="187" t="str">
        <f>IF(E40="","",SUMIF(SpendActivityBS!$C:$K,'6. Spend &amp; Activity'!$D40,SpendActivityBS!J:J))</f>
        <v/>
      </c>
      <c r="J40" s="204"/>
      <c r="K40" s="189" t="str">
        <f>IF(E40="","",SUMIF(SpendActivityBS!$C:$K,'6. Spend &amp; Activity'!$D40,SpendActivityBS!K:K))</f>
        <v/>
      </c>
      <c r="L40" s="205"/>
      <c r="M40" s="188" t="str">
        <f>IFERROR(VLOOKUP($C40,SpendActivityBS!$B:$K,8,0),"")</f>
        <v/>
      </c>
      <c r="N40" s="205"/>
      <c r="O40" s="205"/>
    </row>
    <row r="41" spans="2:15" ht="14.4" x14ac:dyDescent="0.3">
      <c r="B41">
        <f t="shared" si="2"/>
        <v>31</v>
      </c>
      <c r="C41" t="str">
        <f t="shared" si="0"/>
        <v>31Hillingdon</v>
      </c>
      <c r="D41" t="str">
        <f t="shared" si="1"/>
        <v>Hillingdon</v>
      </c>
      <c r="E41" s="186" t="str">
        <f>IFERROR(VLOOKUP($C41,SpendActivityBS!$B:$K,4,0),"")</f>
        <v/>
      </c>
      <c r="F41" s="186" t="str">
        <f>IFERROR(VLOOKUP($C41,SpendActivityBS!$B:$K,5,0),"")</f>
        <v/>
      </c>
      <c r="G41" s="186" t="str">
        <f>IFERROR(VLOOKUP($C41,SpendActivityBS!$B:$K,6,0),"")</f>
        <v/>
      </c>
      <c r="H41" s="186" t="str">
        <f>IFERROR(VLOOKUP($C41,SpendActivityBS!$B:$K,7,0),"")</f>
        <v/>
      </c>
      <c r="I41" s="187" t="str">
        <f>IF(E41="","",SUMIF(SpendActivityBS!$C:$K,'6. Spend &amp; Activity'!$D41,SpendActivityBS!J:J))</f>
        <v/>
      </c>
      <c r="J41" s="204"/>
      <c r="K41" s="189" t="str">
        <f>IF(E41="","",SUMIF(SpendActivityBS!$C:$K,'6. Spend &amp; Activity'!$D41,SpendActivityBS!K:K))</f>
        <v/>
      </c>
      <c r="L41" s="205"/>
      <c r="M41" s="188" t="str">
        <f>IFERROR(VLOOKUP($C41,SpendActivityBS!$B:$K,8,0),"")</f>
        <v/>
      </c>
      <c r="N41" s="205"/>
      <c r="O41" s="205"/>
    </row>
    <row r="42" spans="2:15" ht="14.4" x14ac:dyDescent="0.3">
      <c r="B42">
        <f t="shared" si="2"/>
        <v>32</v>
      </c>
      <c r="C42" t="str">
        <f t="shared" si="0"/>
        <v>32Hillingdon</v>
      </c>
      <c r="D42" t="str">
        <f t="shared" si="1"/>
        <v>Hillingdon</v>
      </c>
      <c r="E42" s="186" t="str">
        <f>IFERROR(VLOOKUP($C42,SpendActivityBS!$B:$K,4,0),"")</f>
        <v/>
      </c>
      <c r="F42" s="186" t="str">
        <f>IFERROR(VLOOKUP($C42,SpendActivityBS!$B:$K,5,0),"")</f>
        <v/>
      </c>
      <c r="G42" s="186" t="str">
        <f>IFERROR(VLOOKUP($C42,SpendActivityBS!$B:$K,6,0),"")</f>
        <v/>
      </c>
      <c r="H42" s="186" t="str">
        <f>IFERROR(VLOOKUP($C42,SpendActivityBS!$B:$K,7,0),"")</f>
        <v/>
      </c>
      <c r="I42" s="187" t="str">
        <f>IF(E42="","",SUMIF(SpendActivityBS!$C:$K,'6. Spend &amp; Activity'!$D42,SpendActivityBS!J:J))</f>
        <v/>
      </c>
      <c r="J42" s="204"/>
      <c r="K42" s="189" t="str">
        <f>IF(E42="","",SUMIF(SpendActivityBS!$C:$K,'6. Spend &amp; Activity'!$D42,SpendActivityBS!K:K))</f>
        <v/>
      </c>
      <c r="L42" s="205"/>
      <c r="M42" s="188" t="str">
        <f>IFERROR(VLOOKUP($C42,SpendActivityBS!$B:$K,8,0),"")</f>
        <v/>
      </c>
      <c r="N42" s="205"/>
      <c r="O42" s="205"/>
    </row>
    <row r="43" spans="2:15" ht="14.4" x14ac:dyDescent="0.3">
      <c r="B43">
        <f t="shared" si="2"/>
        <v>33</v>
      </c>
      <c r="C43" t="str">
        <f t="shared" si="0"/>
        <v>33Hillingdon</v>
      </c>
      <c r="D43" t="str">
        <f t="shared" si="1"/>
        <v>Hillingdon</v>
      </c>
      <c r="E43" s="186" t="str">
        <f>IFERROR(VLOOKUP($C43,SpendActivityBS!$B:$K,4,0),"")</f>
        <v/>
      </c>
      <c r="F43" s="186" t="str">
        <f>IFERROR(VLOOKUP($C43,SpendActivityBS!$B:$K,5,0),"")</f>
        <v/>
      </c>
      <c r="G43" s="186" t="str">
        <f>IFERROR(VLOOKUP($C43,SpendActivityBS!$B:$K,6,0),"")</f>
        <v/>
      </c>
      <c r="H43" s="186" t="str">
        <f>IFERROR(VLOOKUP($C43,SpendActivityBS!$B:$K,7,0),"")</f>
        <v/>
      </c>
      <c r="I43" s="187" t="str">
        <f>IF(E43="","",SUMIF(SpendActivityBS!$C:$K,'6. Spend &amp; Activity'!$D43,SpendActivityBS!J:J))</f>
        <v/>
      </c>
      <c r="J43" s="204"/>
      <c r="K43" s="189" t="str">
        <f>IF(E43="","",SUMIF(SpendActivityBS!$C:$K,'6. Spend &amp; Activity'!$D43,SpendActivityBS!K:K))</f>
        <v/>
      </c>
      <c r="L43" s="205"/>
      <c r="M43" s="188" t="str">
        <f>IFERROR(VLOOKUP($C43,SpendActivityBS!$B:$K,8,0),"")</f>
        <v/>
      </c>
      <c r="N43" s="205"/>
      <c r="O43" s="205"/>
    </row>
    <row r="44" spans="2:15" ht="14.4" x14ac:dyDescent="0.3">
      <c r="B44">
        <f t="shared" si="2"/>
        <v>34</v>
      </c>
      <c r="C44" t="str">
        <f t="shared" si="0"/>
        <v>34Hillingdon</v>
      </c>
      <c r="D44" t="str">
        <f t="shared" si="1"/>
        <v>Hillingdon</v>
      </c>
      <c r="E44" s="186" t="str">
        <f>IFERROR(VLOOKUP($C44,SpendActivityBS!$B:$K,4,0),"")</f>
        <v/>
      </c>
      <c r="F44" s="186" t="str">
        <f>IFERROR(VLOOKUP($C44,SpendActivityBS!$B:$K,5,0),"")</f>
        <v/>
      </c>
      <c r="G44" s="186" t="str">
        <f>IFERROR(VLOOKUP($C44,SpendActivityBS!$B:$K,6,0),"")</f>
        <v/>
      </c>
      <c r="H44" s="186" t="str">
        <f>IFERROR(VLOOKUP($C44,SpendActivityBS!$B:$K,7,0),"")</f>
        <v/>
      </c>
      <c r="I44" s="187" t="str">
        <f>IF(E44="","",SUMIF(SpendActivityBS!$C:$K,'6. Spend &amp; Activity'!$D44,SpendActivityBS!J:J))</f>
        <v/>
      </c>
      <c r="J44" s="204"/>
      <c r="K44" s="189" t="str">
        <f>IF(E44="","",SUMIF(SpendActivityBS!$C:$K,'6. Spend &amp; Activity'!$D44,SpendActivityBS!K:K))</f>
        <v/>
      </c>
      <c r="L44" s="205"/>
      <c r="M44" s="188" t="str">
        <f>IFERROR(VLOOKUP($C44,SpendActivityBS!$B:$K,8,0),"")</f>
        <v/>
      </c>
      <c r="N44" s="205"/>
      <c r="O44" s="205"/>
    </row>
    <row r="45" spans="2:15" ht="14.4" x14ac:dyDescent="0.3">
      <c r="B45">
        <f t="shared" si="2"/>
        <v>35</v>
      </c>
      <c r="C45" t="str">
        <f t="shared" si="0"/>
        <v>35Hillingdon</v>
      </c>
      <c r="D45" t="str">
        <f t="shared" si="1"/>
        <v>Hillingdon</v>
      </c>
      <c r="E45" s="186" t="str">
        <f>IFERROR(VLOOKUP($C45,SpendActivityBS!$B:$K,4,0),"")</f>
        <v/>
      </c>
      <c r="F45" s="186" t="str">
        <f>IFERROR(VLOOKUP($C45,SpendActivityBS!$B:$K,5,0),"")</f>
        <v/>
      </c>
      <c r="G45" s="186" t="str">
        <f>IFERROR(VLOOKUP($C45,SpendActivityBS!$B:$K,6,0),"")</f>
        <v/>
      </c>
      <c r="H45" s="186" t="str">
        <f>IFERROR(VLOOKUP($C45,SpendActivityBS!$B:$K,7,0),"")</f>
        <v/>
      </c>
      <c r="I45" s="187" t="str">
        <f>IF(E45="","",SUMIF(SpendActivityBS!$C:$K,'6. Spend &amp; Activity'!$D45,SpendActivityBS!J:J))</f>
        <v/>
      </c>
      <c r="J45" s="204"/>
      <c r="K45" s="189" t="str">
        <f>IF(E45="","",SUMIF(SpendActivityBS!$C:$K,'6. Spend &amp; Activity'!$D45,SpendActivityBS!K:K))</f>
        <v/>
      </c>
      <c r="L45" s="205"/>
      <c r="M45" s="188" t="str">
        <f>IFERROR(VLOOKUP($C45,SpendActivityBS!$B:$K,8,0),"")</f>
        <v/>
      </c>
      <c r="N45" s="205"/>
      <c r="O45" s="205"/>
    </row>
    <row r="46" spans="2:15" ht="14.4" x14ac:dyDescent="0.3">
      <c r="B46">
        <f t="shared" si="2"/>
        <v>36</v>
      </c>
      <c r="C46" t="str">
        <f t="shared" si="0"/>
        <v>36Hillingdon</v>
      </c>
      <c r="D46" t="str">
        <f t="shared" si="1"/>
        <v>Hillingdon</v>
      </c>
      <c r="E46" s="186" t="str">
        <f>IFERROR(VLOOKUP($C46,SpendActivityBS!$B:$K,4,0),"")</f>
        <v/>
      </c>
      <c r="F46" s="186" t="str">
        <f>IFERROR(VLOOKUP($C46,SpendActivityBS!$B:$K,5,0),"")</f>
        <v/>
      </c>
      <c r="G46" s="186" t="str">
        <f>IFERROR(VLOOKUP($C46,SpendActivityBS!$B:$K,6,0),"")</f>
        <v/>
      </c>
      <c r="H46" s="186" t="str">
        <f>IFERROR(VLOOKUP($C46,SpendActivityBS!$B:$K,7,0),"")</f>
        <v/>
      </c>
      <c r="I46" s="187" t="str">
        <f>IF(E46="","",SUMIF(SpendActivityBS!$C:$K,'6. Spend &amp; Activity'!$D46,SpendActivityBS!J:J))</f>
        <v/>
      </c>
      <c r="J46" s="204"/>
      <c r="K46" s="189" t="str">
        <f>IF(E46="","",SUMIF(SpendActivityBS!$C:$K,'6. Spend &amp; Activity'!$D46,SpendActivityBS!K:K))</f>
        <v/>
      </c>
      <c r="L46" s="205"/>
      <c r="M46" s="188" t="str">
        <f>IFERROR(VLOOKUP($C46,SpendActivityBS!$B:$K,8,0),"")</f>
        <v/>
      </c>
      <c r="N46" s="205"/>
      <c r="O46" s="205"/>
    </row>
    <row r="47" spans="2:15" ht="14.4" x14ac:dyDescent="0.3">
      <c r="B47">
        <f t="shared" si="2"/>
        <v>37</v>
      </c>
      <c r="C47" t="str">
        <f t="shared" si="0"/>
        <v>37Hillingdon</v>
      </c>
      <c r="D47" t="str">
        <f t="shared" si="1"/>
        <v>Hillingdon</v>
      </c>
      <c r="E47" s="186" t="str">
        <f>IFERROR(VLOOKUP($C47,SpendActivityBS!$B:$K,4,0),"")</f>
        <v/>
      </c>
      <c r="F47" s="186" t="str">
        <f>IFERROR(VLOOKUP($C47,SpendActivityBS!$B:$K,5,0),"")</f>
        <v/>
      </c>
      <c r="G47" s="186" t="str">
        <f>IFERROR(VLOOKUP($C47,SpendActivityBS!$B:$K,6,0),"")</f>
        <v/>
      </c>
      <c r="H47" s="186" t="str">
        <f>IFERROR(VLOOKUP($C47,SpendActivityBS!$B:$K,7,0),"")</f>
        <v/>
      </c>
      <c r="I47" s="187" t="str">
        <f>IF(E47="","",SUMIF(SpendActivityBS!$C:$K,'6. Spend &amp; Activity'!$D47,SpendActivityBS!J:J))</f>
        <v/>
      </c>
      <c r="J47" s="204"/>
      <c r="K47" s="189" t="str">
        <f>IF(E47="","",SUMIF(SpendActivityBS!$C:$K,'6. Spend &amp; Activity'!$D47,SpendActivityBS!K:K))</f>
        <v/>
      </c>
      <c r="L47" s="205"/>
      <c r="M47" s="188" t="str">
        <f>IFERROR(VLOOKUP($C47,SpendActivityBS!$B:$K,8,0),"")</f>
        <v/>
      </c>
      <c r="N47" s="205"/>
      <c r="O47" s="205"/>
    </row>
    <row r="48" spans="2:15" ht="14.4" x14ac:dyDescent="0.3">
      <c r="B48">
        <f t="shared" si="2"/>
        <v>38</v>
      </c>
      <c r="C48" t="str">
        <f t="shared" si="0"/>
        <v>38Hillingdon</v>
      </c>
      <c r="D48" t="str">
        <f t="shared" si="1"/>
        <v>Hillingdon</v>
      </c>
      <c r="E48" s="186" t="str">
        <f>IFERROR(VLOOKUP($C48,SpendActivityBS!$B:$K,4,0),"")</f>
        <v/>
      </c>
      <c r="F48" s="186" t="str">
        <f>IFERROR(VLOOKUP($C48,SpendActivityBS!$B:$K,5,0),"")</f>
        <v/>
      </c>
      <c r="G48" s="186" t="str">
        <f>IFERROR(VLOOKUP($C48,SpendActivityBS!$B:$K,6,0),"")</f>
        <v/>
      </c>
      <c r="H48" s="186" t="str">
        <f>IFERROR(VLOOKUP($C48,SpendActivityBS!$B:$K,7,0),"")</f>
        <v/>
      </c>
      <c r="I48" s="187" t="str">
        <f>IF(E48="","",SUMIF(SpendActivityBS!$C:$K,'6. Spend &amp; Activity'!$D48,SpendActivityBS!J:J))</f>
        <v/>
      </c>
      <c r="J48" s="204"/>
      <c r="K48" s="189" t="str">
        <f>IF(E48="","",SUMIF(SpendActivityBS!$C:$K,'6. Spend &amp; Activity'!$D48,SpendActivityBS!K:K))</f>
        <v/>
      </c>
      <c r="L48" s="205"/>
      <c r="M48" s="188" t="str">
        <f>IFERROR(VLOOKUP($C48,SpendActivityBS!$B:$K,8,0),"")</f>
        <v/>
      </c>
      <c r="N48" s="205"/>
      <c r="O48" s="205"/>
    </row>
    <row r="49" spans="2:15" ht="14.4" x14ac:dyDescent="0.3">
      <c r="B49">
        <f t="shared" si="2"/>
        <v>39</v>
      </c>
      <c r="C49" t="str">
        <f t="shared" si="0"/>
        <v>39Hillingdon</v>
      </c>
      <c r="D49" t="str">
        <f t="shared" si="1"/>
        <v>Hillingdon</v>
      </c>
      <c r="E49" s="186" t="str">
        <f>IFERROR(VLOOKUP($C49,SpendActivityBS!$B:$K,4,0),"")</f>
        <v/>
      </c>
      <c r="F49" s="186" t="str">
        <f>IFERROR(VLOOKUP($C49,SpendActivityBS!$B:$K,5,0),"")</f>
        <v/>
      </c>
      <c r="G49" s="186" t="str">
        <f>IFERROR(VLOOKUP($C49,SpendActivityBS!$B:$K,6,0),"")</f>
        <v/>
      </c>
      <c r="H49" s="186" t="str">
        <f>IFERROR(VLOOKUP($C49,SpendActivityBS!$B:$K,7,0),"")</f>
        <v/>
      </c>
      <c r="I49" s="187" t="str">
        <f>IF(E49="","",SUMIF(SpendActivityBS!$C:$K,'6. Spend &amp; Activity'!$D49,SpendActivityBS!J:J))</f>
        <v/>
      </c>
      <c r="J49" s="204"/>
      <c r="K49" s="189" t="str">
        <f>IF(E49="","",SUMIF(SpendActivityBS!$C:$K,'6. Spend &amp; Activity'!$D49,SpendActivityBS!K:K))</f>
        <v/>
      </c>
      <c r="L49" s="205"/>
      <c r="M49" s="188" t="str">
        <f>IFERROR(VLOOKUP($C49,SpendActivityBS!$B:$K,8,0),"")</f>
        <v/>
      </c>
      <c r="N49" s="205"/>
      <c r="O49" s="205"/>
    </row>
    <row r="50" spans="2:15" ht="14.4" x14ac:dyDescent="0.3">
      <c r="B50">
        <f t="shared" si="2"/>
        <v>40</v>
      </c>
      <c r="C50" t="str">
        <f t="shared" si="0"/>
        <v>40Hillingdon</v>
      </c>
      <c r="D50" t="str">
        <f t="shared" si="1"/>
        <v>Hillingdon</v>
      </c>
      <c r="E50" s="186" t="str">
        <f>IFERROR(VLOOKUP($C50,SpendActivityBS!$B:$K,4,0),"")</f>
        <v/>
      </c>
      <c r="F50" s="186" t="str">
        <f>IFERROR(VLOOKUP($C50,SpendActivityBS!$B:$K,5,0),"")</f>
        <v/>
      </c>
      <c r="G50" s="186" t="str">
        <f>IFERROR(VLOOKUP($C50,SpendActivityBS!$B:$K,6,0),"")</f>
        <v/>
      </c>
      <c r="H50" s="186" t="str">
        <f>IFERROR(VLOOKUP($C50,SpendActivityBS!$B:$K,7,0),"")</f>
        <v/>
      </c>
      <c r="I50" s="187" t="str">
        <f>IF(E50="","",SUMIF(SpendActivityBS!$C:$K,'6. Spend &amp; Activity'!$D50,SpendActivityBS!J:J))</f>
        <v/>
      </c>
      <c r="J50" s="204"/>
      <c r="K50" s="189" t="str">
        <f>IF(E50="","",SUMIF(SpendActivityBS!$C:$K,'6. Spend &amp; Activity'!$D50,SpendActivityBS!K:K))</f>
        <v/>
      </c>
      <c r="L50" s="205"/>
      <c r="M50" s="188" t="str">
        <f>IFERROR(VLOOKUP($C50,SpendActivityBS!$B:$K,8,0),"")</f>
        <v/>
      </c>
      <c r="N50" s="205"/>
      <c r="O50" s="205"/>
    </row>
    <row r="51" spans="2:15" ht="14.4" x14ac:dyDescent="0.3">
      <c r="B51">
        <f t="shared" si="2"/>
        <v>41</v>
      </c>
      <c r="C51" t="str">
        <f t="shared" si="0"/>
        <v>41Hillingdon</v>
      </c>
      <c r="D51" t="str">
        <f t="shared" si="1"/>
        <v>Hillingdon</v>
      </c>
      <c r="E51" s="186" t="str">
        <f>IFERROR(VLOOKUP($C51,SpendActivityBS!$B:$K,4,0),"")</f>
        <v/>
      </c>
      <c r="F51" s="186" t="str">
        <f>IFERROR(VLOOKUP($C51,SpendActivityBS!$B:$K,5,0),"")</f>
        <v/>
      </c>
      <c r="G51" s="186" t="str">
        <f>IFERROR(VLOOKUP($C51,SpendActivityBS!$B:$K,6,0),"")</f>
        <v/>
      </c>
      <c r="H51" s="186" t="str">
        <f>IFERROR(VLOOKUP($C51,SpendActivityBS!$B:$K,7,0),"")</f>
        <v/>
      </c>
      <c r="I51" s="187" t="str">
        <f>IF(E51="","",SUMIF(SpendActivityBS!$C:$K,'6. Spend &amp; Activity'!$D51,SpendActivityBS!J:J))</f>
        <v/>
      </c>
      <c r="J51" s="204"/>
      <c r="K51" s="189" t="str">
        <f>IF(E51="","",SUMIF(SpendActivityBS!$C:$K,'6. Spend &amp; Activity'!$D51,SpendActivityBS!K:K))</f>
        <v/>
      </c>
      <c r="L51" s="205"/>
      <c r="M51" s="188" t="str">
        <f>IFERROR(VLOOKUP($C51,SpendActivityBS!$B:$K,8,0),"")</f>
        <v/>
      </c>
      <c r="N51" s="205"/>
      <c r="O51" s="205"/>
    </row>
    <row r="52" spans="2:15" ht="14.4" x14ac:dyDescent="0.3">
      <c r="B52">
        <f t="shared" si="2"/>
        <v>42</v>
      </c>
      <c r="C52" t="str">
        <f t="shared" si="0"/>
        <v>42Hillingdon</v>
      </c>
      <c r="D52" t="str">
        <f t="shared" si="1"/>
        <v>Hillingdon</v>
      </c>
      <c r="E52" s="186" t="str">
        <f>IFERROR(VLOOKUP($C52,SpendActivityBS!$B:$K,4,0),"")</f>
        <v/>
      </c>
      <c r="F52" s="186" t="str">
        <f>IFERROR(VLOOKUP($C52,SpendActivityBS!$B:$K,5,0),"")</f>
        <v/>
      </c>
      <c r="G52" s="186" t="str">
        <f>IFERROR(VLOOKUP($C52,SpendActivityBS!$B:$K,6,0),"")</f>
        <v/>
      </c>
      <c r="H52" s="186" t="str">
        <f>IFERROR(VLOOKUP($C52,SpendActivityBS!$B:$K,7,0),"")</f>
        <v/>
      </c>
      <c r="I52" s="187" t="str">
        <f>IF(E52="","",SUMIF(SpendActivityBS!$C:$K,'6. Spend &amp; Activity'!$D52,SpendActivityBS!J:J))</f>
        <v/>
      </c>
      <c r="J52" s="204"/>
      <c r="K52" s="189" t="str">
        <f>IF(E52="","",SUMIF(SpendActivityBS!$C:$K,'6. Spend &amp; Activity'!$D52,SpendActivityBS!K:K))</f>
        <v/>
      </c>
      <c r="L52" s="205"/>
      <c r="M52" s="188" t="str">
        <f>IFERROR(VLOOKUP($C52,SpendActivityBS!$B:$K,8,0),"")</f>
        <v/>
      </c>
      <c r="N52" s="205"/>
      <c r="O52" s="205"/>
    </row>
    <row r="53" spans="2:15" ht="14.4" x14ac:dyDescent="0.3">
      <c r="B53">
        <f t="shared" si="2"/>
        <v>43</v>
      </c>
      <c r="C53" t="str">
        <f t="shared" si="0"/>
        <v>43Hillingdon</v>
      </c>
      <c r="D53" t="str">
        <f t="shared" si="1"/>
        <v>Hillingdon</v>
      </c>
      <c r="E53" s="186" t="str">
        <f>IFERROR(VLOOKUP($C53,SpendActivityBS!$B:$K,4,0),"")</f>
        <v/>
      </c>
      <c r="F53" s="186" t="str">
        <f>IFERROR(VLOOKUP($C53,SpendActivityBS!$B:$K,5,0),"")</f>
        <v/>
      </c>
      <c r="G53" s="186" t="str">
        <f>IFERROR(VLOOKUP($C53,SpendActivityBS!$B:$K,6,0),"")</f>
        <v/>
      </c>
      <c r="H53" s="186" t="str">
        <f>IFERROR(VLOOKUP($C53,SpendActivityBS!$B:$K,7,0),"")</f>
        <v/>
      </c>
      <c r="I53" s="187" t="str">
        <f>IF(E53="","",SUMIF(SpendActivityBS!$C:$K,'6. Spend &amp; Activity'!$D53,SpendActivityBS!J:J))</f>
        <v/>
      </c>
      <c r="J53" s="204"/>
      <c r="K53" s="189" t="str">
        <f>IF(E53="","",SUMIF(SpendActivityBS!$C:$K,'6. Spend &amp; Activity'!$D53,SpendActivityBS!K:K))</f>
        <v/>
      </c>
      <c r="L53" s="205"/>
      <c r="M53" s="188" t="str">
        <f>IFERROR(VLOOKUP($C53,SpendActivityBS!$B:$K,8,0),"")</f>
        <v/>
      </c>
      <c r="N53" s="205"/>
      <c r="O53" s="205"/>
    </row>
    <row r="54" spans="2:15" ht="14.4" x14ac:dyDescent="0.3">
      <c r="B54">
        <f t="shared" si="2"/>
        <v>44</v>
      </c>
      <c r="C54" t="str">
        <f t="shared" si="0"/>
        <v>44Hillingdon</v>
      </c>
      <c r="D54" t="str">
        <f t="shared" si="1"/>
        <v>Hillingdon</v>
      </c>
      <c r="E54" s="186" t="str">
        <f>IFERROR(VLOOKUP($C54,SpendActivityBS!$B:$K,4,0),"")</f>
        <v/>
      </c>
      <c r="F54" s="186" t="str">
        <f>IFERROR(VLOOKUP($C54,SpendActivityBS!$B:$K,5,0),"")</f>
        <v/>
      </c>
      <c r="G54" s="186" t="str">
        <f>IFERROR(VLOOKUP($C54,SpendActivityBS!$B:$K,6,0),"")</f>
        <v/>
      </c>
      <c r="H54" s="186" t="str">
        <f>IFERROR(VLOOKUP($C54,SpendActivityBS!$B:$K,7,0),"")</f>
        <v/>
      </c>
      <c r="I54" s="187" t="str">
        <f>IF(E54="","",SUMIF(SpendActivityBS!$C:$K,'6. Spend &amp; Activity'!$D54,SpendActivityBS!J:J))</f>
        <v/>
      </c>
      <c r="J54" s="204"/>
      <c r="K54" s="189" t="str">
        <f>IF(E54="","",SUMIF(SpendActivityBS!$C:$K,'6. Spend &amp; Activity'!$D54,SpendActivityBS!K:K))</f>
        <v/>
      </c>
      <c r="L54" s="205"/>
      <c r="M54" s="188" t="str">
        <f>IFERROR(VLOOKUP($C54,SpendActivityBS!$B:$K,8,0),"")</f>
        <v/>
      </c>
      <c r="N54" s="205"/>
      <c r="O54" s="205"/>
    </row>
    <row r="55" spans="2:15" ht="14.4" x14ac:dyDescent="0.3">
      <c r="B55">
        <f t="shared" si="2"/>
        <v>45</v>
      </c>
      <c r="C55" t="str">
        <f t="shared" si="0"/>
        <v>45Hillingdon</v>
      </c>
      <c r="D55" t="str">
        <f t="shared" si="1"/>
        <v>Hillingdon</v>
      </c>
      <c r="E55" s="186" t="str">
        <f>IFERROR(VLOOKUP($C55,SpendActivityBS!$B:$K,4,0),"")</f>
        <v/>
      </c>
      <c r="F55" s="186" t="str">
        <f>IFERROR(VLOOKUP($C55,SpendActivityBS!$B:$K,5,0),"")</f>
        <v/>
      </c>
      <c r="G55" s="186" t="str">
        <f>IFERROR(VLOOKUP($C55,SpendActivityBS!$B:$K,6,0),"")</f>
        <v/>
      </c>
      <c r="H55" s="186" t="str">
        <f>IFERROR(VLOOKUP($C55,SpendActivityBS!$B:$K,7,0),"")</f>
        <v/>
      </c>
      <c r="I55" s="187" t="str">
        <f>IF(E55="","",SUMIF(SpendActivityBS!$C:$K,'6. Spend &amp; Activity'!$D55,SpendActivityBS!J:J))</f>
        <v/>
      </c>
      <c r="J55" s="204"/>
      <c r="K55" s="189" t="str">
        <f>IF(E55="","",SUMIF(SpendActivityBS!$C:$K,'6. Spend &amp; Activity'!$D55,SpendActivityBS!K:K))</f>
        <v/>
      </c>
      <c r="L55" s="205"/>
      <c r="M55" s="188" t="str">
        <f>IFERROR(VLOOKUP($C55,SpendActivityBS!$B:$K,8,0),"")</f>
        <v/>
      </c>
      <c r="N55" s="205"/>
      <c r="O55" s="205"/>
    </row>
    <row r="56" spans="2:15" ht="14.4" x14ac:dyDescent="0.3">
      <c r="B56">
        <f t="shared" si="2"/>
        <v>46</v>
      </c>
      <c r="C56" t="str">
        <f t="shared" si="0"/>
        <v>46Hillingdon</v>
      </c>
      <c r="D56" t="str">
        <f t="shared" si="1"/>
        <v>Hillingdon</v>
      </c>
      <c r="E56" s="186" t="str">
        <f>IFERROR(VLOOKUP($C56,SpendActivityBS!$B:$K,4,0),"")</f>
        <v/>
      </c>
      <c r="F56" s="186" t="str">
        <f>IFERROR(VLOOKUP($C56,SpendActivityBS!$B:$K,5,0),"")</f>
        <v/>
      </c>
      <c r="G56" s="186" t="str">
        <f>IFERROR(VLOOKUP($C56,SpendActivityBS!$B:$K,6,0),"")</f>
        <v/>
      </c>
      <c r="H56" s="186" t="str">
        <f>IFERROR(VLOOKUP($C56,SpendActivityBS!$B:$K,7,0),"")</f>
        <v/>
      </c>
      <c r="I56" s="187" t="str">
        <f>IF(E56="","",SUMIF(SpendActivityBS!$C:$K,'6. Spend &amp; Activity'!$D56,SpendActivityBS!J:J))</f>
        <v/>
      </c>
      <c r="J56" s="204"/>
      <c r="K56" s="189" t="str">
        <f>IF(E56="","",SUMIF(SpendActivityBS!$C:$K,'6. Spend &amp; Activity'!$D56,SpendActivityBS!K:K))</f>
        <v/>
      </c>
      <c r="L56" s="205"/>
      <c r="M56" s="188" t="str">
        <f>IFERROR(VLOOKUP($C56,SpendActivityBS!$B:$K,8,0),"")</f>
        <v/>
      </c>
      <c r="N56" s="205"/>
      <c r="O56" s="205"/>
    </row>
    <row r="57" spans="2:15" ht="14.4" x14ac:dyDescent="0.3">
      <c r="B57">
        <f t="shared" si="2"/>
        <v>47</v>
      </c>
      <c r="C57" t="str">
        <f t="shared" si="0"/>
        <v>47Hillingdon</v>
      </c>
      <c r="D57" t="str">
        <f t="shared" si="1"/>
        <v>Hillingdon</v>
      </c>
      <c r="E57" s="186" t="str">
        <f>IFERROR(VLOOKUP($C57,SpendActivityBS!$B:$K,4,0),"")</f>
        <v/>
      </c>
      <c r="F57" s="186" t="str">
        <f>IFERROR(VLOOKUP($C57,SpendActivityBS!$B:$K,5,0),"")</f>
        <v/>
      </c>
      <c r="G57" s="186" t="str">
        <f>IFERROR(VLOOKUP($C57,SpendActivityBS!$B:$K,6,0),"")</f>
        <v/>
      </c>
      <c r="H57" s="186" t="str">
        <f>IFERROR(VLOOKUP($C57,SpendActivityBS!$B:$K,7,0),"")</f>
        <v/>
      </c>
      <c r="I57" s="187" t="str">
        <f>IF(E57="","",SUMIF(SpendActivityBS!$C:$K,'6. Spend &amp; Activity'!$D57,SpendActivityBS!J:J))</f>
        <v/>
      </c>
      <c r="J57" s="204"/>
      <c r="K57" s="189" t="str">
        <f>IF(E57="","",SUMIF(SpendActivityBS!$C:$K,'6. Spend &amp; Activity'!$D57,SpendActivityBS!K:K))</f>
        <v/>
      </c>
      <c r="L57" s="205"/>
      <c r="M57" s="188" t="str">
        <f>IFERROR(VLOOKUP($C57,SpendActivityBS!$B:$K,8,0),"")</f>
        <v/>
      </c>
      <c r="N57" s="205"/>
      <c r="O57" s="205"/>
    </row>
    <row r="58" spans="2:15" ht="14.4" x14ac:dyDescent="0.3">
      <c r="B58">
        <f t="shared" si="2"/>
        <v>48</v>
      </c>
      <c r="C58" t="str">
        <f t="shared" si="0"/>
        <v>48Hillingdon</v>
      </c>
      <c r="D58" t="str">
        <f t="shared" si="1"/>
        <v>Hillingdon</v>
      </c>
      <c r="E58" s="186" t="str">
        <f>IFERROR(VLOOKUP($C58,SpendActivityBS!$B:$K,4,0),"")</f>
        <v/>
      </c>
      <c r="F58" s="186" t="str">
        <f>IFERROR(VLOOKUP($C58,SpendActivityBS!$B:$K,5,0),"")</f>
        <v/>
      </c>
      <c r="G58" s="186" t="str">
        <f>IFERROR(VLOOKUP($C58,SpendActivityBS!$B:$K,6,0),"")</f>
        <v/>
      </c>
      <c r="H58" s="186" t="str">
        <f>IFERROR(VLOOKUP($C58,SpendActivityBS!$B:$K,7,0),"")</f>
        <v/>
      </c>
      <c r="I58" s="187" t="str">
        <f>IF(E58="","",SUMIF(SpendActivityBS!$C:$K,'6. Spend &amp; Activity'!$D58,SpendActivityBS!J:J))</f>
        <v/>
      </c>
      <c r="J58" s="204"/>
      <c r="K58" s="189" t="str">
        <f>IF(E58="","",SUMIF(SpendActivityBS!$C:$K,'6. Spend &amp; Activity'!$D58,SpendActivityBS!K:K))</f>
        <v/>
      </c>
      <c r="L58" s="205"/>
      <c r="M58" s="188" t="str">
        <f>IFERROR(VLOOKUP($C58,SpendActivityBS!$B:$K,8,0),"")</f>
        <v/>
      </c>
      <c r="N58" s="205"/>
      <c r="O58" s="205"/>
    </row>
    <row r="59" spans="2:15" ht="14.4" x14ac:dyDescent="0.3">
      <c r="B59">
        <f t="shared" si="2"/>
        <v>49</v>
      </c>
      <c r="C59" t="str">
        <f t="shared" si="0"/>
        <v>49Hillingdon</v>
      </c>
      <c r="D59" t="str">
        <f t="shared" si="1"/>
        <v>Hillingdon</v>
      </c>
      <c r="E59" s="186" t="str">
        <f>IFERROR(VLOOKUP($C59,SpendActivityBS!$B:$K,4,0),"")</f>
        <v/>
      </c>
      <c r="F59" s="186" t="str">
        <f>IFERROR(VLOOKUP($C59,SpendActivityBS!$B:$K,5,0),"")</f>
        <v/>
      </c>
      <c r="G59" s="186" t="str">
        <f>IFERROR(VLOOKUP($C59,SpendActivityBS!$B:$K,6,0),"")</f>
        <v/>
      </c>
      <c r="H59" s="186" t="str">
        <f>IFERROR(VLOOKUP($C59,SpendActivityBS!$B:$K,7,0),"")</f>
        <v/>
      </c>
      <c r="I59" s="187" t="str">
        <f>IF(E59="","",SUMIF(SpendActivityBS!$C:$K,'6. Spend &amp; Activity'!$D59,SpendActivityBS!J:J))</f>
        <v/>
      </c>
      <c r="J59" s="204"/>
      <c r="K59" s="189" t="str">
        <f>IF(E59="","",SUMIF(SpendActivityBS!$C:$K,'6. Spend &amp; Activity'!$D59,SpendActivityBS!K:K))</f>
        <v/>
      </c>
      <c r="L59" s="205"/>
      <c r="M59" s="188" t="str">
        <f>IFERROR(VLOOKUP($C59,SpendActivityBS!$B:$K,8,0),"")</f>
        <v/>
      </c>
      <c r="N59" s="205"/>
      <c r="O59" s="205"/>
    </row>
    <row r="60" spans="2:15" ht="14.4" x14ac:dyDescent="0.3">
      <c r="B60">
        <f t="shared" si="2"/>
        <v>50</v>
      </c>
      <c r="C60" t="str">
        <f t="shared" si="0"/>
        <v>50Hillingdon</v>
      </c>
      <c r="D60" t="str">
        <f t="shared" si="1"/>
        <v>Hillingdon</v>
      </c>
      <c r="E60" s="186" t="str">
        <f>IFERROR(VLOOKUP($C60,SpendActivityBS!$B:$K,4,0),"")</f>
        <v/>
      </c>
      <c r="F60" s="186" t="str">
        <f>IFERROR(VLOOKUP($C60,SpendActivityBS!$B:$K,5,0),"")</f>
        <v/>
      </c>
      <c r="G60" s="186" t="str">
        <f>IFERROR(VLOOKUP($C60,SpendActivityBS!$B:$K,6,0),"")</f>
        <v/>
      </c>
      <c r="H60" s="186" t="str">
        <f>IFERROR(VLOOKUP($C60,SpendActivityBS!$B:$K,7,0),"")</f>
        <v/>
      </c>
      <c r="I60" s="187" t="str">
        <f>IF(E60="","",SUMIF(SpendActivityBS!$C:$K,'6. Spend &amp; Activity'!$D60,SpendActivityBS!J:J))</f>
        <v/>
      </c>
      <c r="J60" s="204"/>
      <c r="K60" s="189" t="str">
        <f>IF(E60="","",SUMIF(SpendActivityBS!$C:$K,'6. Spend &amp; Activity'!$D60,SpendActivityBS!K:K))</f>
        <v/>
      </c>
      <c r="L60" s="205"/>
      <c r="M60" s="188" t="str">
        <f>IFERROR(VLOOKUP($C60,SpendActivityBS!$B:$K,8,0),"")</f>
        <v/>
      </c>
      <c r="N60" s="205"/>
      <c r="O60" s="205"/>
    </row>
    <row r="61" spans="2:15" ht="14.4" x14ac:dyDescent="0.3">
      <c r="B61">
        <f t="shared" si="2"/>
        <v>51</v>
      </c>
      <c r="C61" t="str">
        <f t="shared" si="0"/>
        <v>51Hillingdon</v>
      </c>
      <c r="D61" t="str">
        <f t="shared" si="1"/>
        <v>Hillingdon</v>
      </c>
      <c r="E61" s="186" t="str">
        <f>IFERROR(VLOOKUP($C61,SpendActivityBS!$B:$K,4,0),"")</f>
        <v/>
      </c>
      <c r="F61" s="186" t="str">
        <f>IFERROR(VLOOKUP($C61,SpendActivityBS!$B:$K,5,0),"")</f>
        <v/>
      </c>
      <c r="G61" s="186" t="str">
        <f>IFERROR(VLOOKUP($C61,SpendActivityBS!$B:$K,6,0),"")</f>
        <v/>
      </c>
      <c r="H61" s="186" t="str">
        <f>IFERROR(VLOOKUP($C61,SpendActivityBS!$B:$K,7,0),"")</f>
        <v/>
      </c>
      <c r="I61" s="187" t="str">
        <f>IF(E61="","",SUMIF(SpendActivityBS!$C:$K,'6. Spend &amp; Activity'!$D61,SpendActivityBS!J:J))</f>
        <v/>
      </c>
      <c r="J61" s="204"/>
      <c r="K61" s="189" t="str">
        <f>IF(E61="","",SUMIF(SpendActivityBS!$C:$K,'6. Spend &amp; Activity'!$D61,SpendActivityBS!K:K))</f>
        <v/>
      </c>
      <c r="L61" s="205"/>
      <c r="M61" s="188" t="str">
        <f>IFERROR(VLOOKUP($C61,SpendActivityBS!$B:$K,8,0),"")</f>
        <v/>
      </c>
      <c r="N61" s="205"/>
      <c r="O61" s="205"/>
    </row>
    <row r="62" spans="2:15" ht="14.4" x14ac:dyDescent="0.3">
      <c r="B62">
        <f t="shared" si="2"/>
        <v>52</v>
      </c>
      <c r="C62" t="str">
        <f t="shared" si="0"/>
        <v>52Hillingdon</v>
      </c>
      <c r="D62" t="str">
        <f t="shared" si="1"/>
        <v>Hillingdon</v>
      </c>
      <c r="E62" s="186" t="str">
        <f>IFERROR(VLOOKUP($C62,SpendActivityBS!$B:$K,4,0),"")</f>
        <v/>
      </c>
      <c r="F62" s="186" t="str">
        <f>IFERROR(VLOOKUP($C62,SpendActivityBS!$B:$K,5,0),"")</f>
        <v/>
      </c>
      <c r="G62" s="186" t="str">
        <f>IFERROR(VLOOKUP($C62,SpendActivityBS!$B:$K,6,0),"")</f>
        <v/>
      </c>
      <c r="H62" s="186" t="str">
        <f>IFERROR(VLOOKUP($C62,SpendActivityBS!$B:$K,7,0),"")</f>
        <v/>
      </c>
      <c r="I62" s="187" t="str">
        <f>IF(E62="","",SUMIF(SpendActivityBS!$C:$K,'6. Spend &amp; Activity'!$D62,SpendActivityBS!J:J))</f>
        <v/>
      </c>
      <c r="J62" s="204"/>
      <c r="K62" s="189" t="str">
        <f>IF(E62="","",SUMIF(SpendActivityBS!$C:$K,'6. Spend &amp; Activity'!$D62,SpendActivityBS!K:K))</f>
        <v/>
      </c>
      <c r="L62" s="205"/>
      <c r="M62" s="188" t="str">
        <f>IFERROR(VLOOKUP($C62,SpendActivityBS!$B:$K,8,0),"")</f>
        <v/>
      </c>
      <c r="N62" s="205"/>
      <c r="O62" s="205"/>
    </row>
    <row r="63" spans="2:15" ht="14.4" x14ac:dyDescent="0.3">
      <c r="B63">
        <f t="shared" si="2"/>
        <v>53</v>
      </c>
      <c r="C63" t="str">
        <f t="shared" si="0"/>
        <v>53Hillingdon</v>
      </c>
      <c r="D63" t="str">
        <f t="shared" si="1"/>
        <v>Hillingdon</v>
      </c>
      <c r="E63" s="186" t="str">
        <f>IFERROR(VLOOKUP($C63,SpendActivityBS!$B:$K,4,0),"")</f>
        <v/>
      </c>
      <c r="F63" s="186" t="str">
        <f>IFERROR(VLOOKUP($C63,SpendActivityBS!$B:$K,5,0),"")</f>
        <v/>
      </c>
      <c r="G63" s="186" t="str">
        <f>IFERROR(VLOOKUP($C63,SpendActivityBS!$B:$K,6,0),"")</f>
        <v/>
      </c>
      <c r="H63" s="186" t="str">
        <f>IFERROR(VLOOKUP($C63,SpendActivityBS!$B:$K,7,0),"")</f>
        <v/>
      </c>
      <c r="I63" s="187" t="str">
        <f>IF(E63="","",SUMIF(SpendActivityBS!$C:$K,'6. Spend &amp; Activity'!$D63,SpendActivityBS!J:J))</f>
        <v/>
      </c>
      <c r="J63" s="204"/>
      <c r="K63" s="189" t="str">
        <f>IF(E63="","",SUMIF(SpendActivityBS!$C:$K,'6. Spend &amp; Activity'!$D63,SpendActivityBS!K:K))</f>
        <v/>
      </c>
      <c r="L63" s="205"/>
      <c r="M63" s="188" t="str">
        <f>IFERROR(VLOOKUP($C63,SpendActivityBS!$B:$K,8,0),"")</f>
        <v/>
      </c>
      <c r="N63" s="205"/>
      <c r="O63" s="205"/>
    </row>
    <row r="64" spans="2:15" ht="14.4" x14ac:dyDescent="0.3">
      <c r="B64">
        <f t="shared" si="2"/>
        <v>54</v>
      </c>
      <c r="C64" t="str">
        <f t="shared" si="0"/>
        <v>54Hillingdon</v>
      </c>
      <c r="D64" t="str">
        <f t="shared" si="1"/>
        <v>Hillingdon</v>
      </c>
      <c r="E64" s="186" t="str">
        <f>IFERROR(VLOOKUP($C64,SpendActivityBS!$B:$K,4,0),"")</f>
        <v/>
      </c>
      <c r="F64" s="186" t="str">
        <f>IFERROR(VLOOKUP($C64,SpendActivityBS!$B:$K,5,0),"")</f>
        <v/>
      </c>
      <c r="G64" s="186" t="str">
        <f>IFERROR(VLOOKUP($C64,SpendActivityBS!$B:$K,6,0),"")</f>
        <v/>
      </c>
      <c r="H64" s="186" t="str">
        <f>IFERROR(VLOOKUP($C64,SpendActivityBS!$B:$K,7,0),"")</f>
        <v/>
      </c>
      <c r="I64" s="187" t="str">
        <f>IF(E64="","",SUMIF(SpendActivityBS!$C:$K,'6. Spend &amp; Activity'!$D64,SpendActivityBS!J:J))</f>
        <v/>
      </c>
      <c r="J64" s="204"/>
      <c r="K64" s="189" t="str">
        <f>IF(E64="","",SUMIF(SpendActivityBS!$C:$K,'6. Spend &amp; Activity'!$D64,SpendActivityBS!K:K))</f>
        <v/>
      </c>
      <c r="L64" s="205"/>
      <c r="M64" s="188" t="str">
        <f>IFERROR(VLOOKUP($C64,SpendActivityBS!$B:$K,8,0),"")</f>
        <v/>
      </c>
      <c r="N64" s="205"/>
      <c r="O64" s="205"/>
    </row>
    <row r="65" spans="2:15" ht="14.4" x14ac:dyDescent="0.3">
      <c r="B65">
        <f t="shared" si="2"/>
        <v>55</v>
      </c>
      <c r="C65" t="str">
        <f t="shared" si="0"/>
        <v>55Hillingdon</v>
      </c>
      <c r="D65" t="str">
        <f t="shared" si="1"/>
        <v>Hillingdon</v>
      </c>
      <c r="E65" s="186" t="str">
        <f>IFERROR(VLOOKUP($C65,SpendActivityBS!$B:$K,4,0),"")</f>
        <v/>
      </c>
      <c r="F65" s="186" t="str">
        <f>IFERROR(VLOOKUP($C65,SpendActivityBS!$B:$K,5,0),"")</f>
        <v/>
      </c>
      <c r="G65" s="186" t="str">
        <f>IFERROR(VLOOKUP($C65,SpendActivityBS!$B:$K,6,0),"")</f>
        <v/>
      </c>
      <c r="H65" s="186" t="str">
        <f>IFERROR(VLOOKUP($C65,SpendActivityBS!$B:$K,7,0),"")</f>
        <v/>
      </c>
      <c r="I65" s="187" t="str">
        <f>IF(E65="","",SUMIF(SpendActivityBS!$C:$K,'6. Spend &amp; Activity'!$D65,SpendActivityBS!J:J))</f>
        <v/>
      </c>
      <c r="J65" s="204"/>
      <c r="K65" s="189" t="str">
        <f>IF(E65="","",SUMIF(SpendActivityBS!$C:$K,'6. Spend &amp; Activity'!$D65,SpendActivityBS!K:K))</f>
        <v/>
      </c>
      <c r="L65" s="205"/>
      <c r="M65" s="188" t="str">
        <f>IFERROR(VLOOKUP($C65,SpendActivityBS!$B:$K,8,0),"")</f>
        <v/>
      </c>
      <c r="N65" s="205"/>
      <c r="O65" s="205"/>
    </row>
    <row r="66" spans="2:15" ht="14.4" x14ac:dyDescent="0.3">
      <c r="B66">
        <f t="shared" si="2"/>
        <v>56</v>
      </c>
      <c r="C66" t="str">
        <f t="shared" si="0"/>
        <v>56Hillingdon</v>
      </c>
      <c r="D66" t="str">
        <f t="shared" si="1"/>
        <v>Hillingdon</v>
      </c>
      <c r="E66" s="186" t="str">
        <f>IFERROR(VLOOKUP($C66,SpendActivityBS!$B:$K,4,0),"")</f>
        <v/>
      </c>
      <c r="F66" s="186" t="str">
        <f>IFERROR(VLOOKUP($C66,SpendActivityBS!$B:$K,5,0),"")</f>
        <v/>
      </c>
      <c r="G66" s="186" t="str">
        <f>IFERROR(VLOOKUP($C66,SpendActivityBS!$B:$K,6,0),"")</f>
        <v/>
      </c>
      <c r="H66" s="186" t="str">
        <f>IFERROR(VLOOKUP($C66,SpendActivityBS!$B:$K,7,0),"")</f>
        <v/>
      </c>
      <c r="I66" s="187" t="str">
        <f>IF(E66="","",SUMIF(SpendActivityBS!$C:$K,'6. Spend &amp; Activity'!$D66,SpendActivityBS!J:J))</f>
        <v/>
      </c>
      <c r="J66" s="204"/>
      <c r="K66" s="189" t="str">
        <f>IF(E66="","",SUMIF(SpendActivityBS!$C:$K,'6. Spend &amp; Activity'!$D66,SpendActivityBS!K:K))</f>
        <v/>
      </c>
      <c r="L66" s="205"/>
      <c r="M66" s="188" t="str">
        <f>IFERROR(VLOOKUP($C66,SpendActivityBS!$B:$K,8,0),"")</f>
        <v/>
      </c>
      <c r="N66" s="205"/>
      <c r="O66" s="205"/>
    </row>
    <row r="67" spans="2:15" ht="14.4" x14ac:dyDescent="0.3">
      <c r="B67">
        <f t="shared" si="2"/>
        <v>57</v>
      </c>
      <c r="C67" t="str">
        <f t="shared" si="0"/>
        <v>57Hillingdon</v>
      </c>
      <c r="D67" t="str">
        <f t="shared" si="1"/>
        <v>Hillingdon</v>
      </c>
      <c r="E67" s="186" t="str">
        <f>IFERROR(VLOOKUP($C67,SpendActivityBS!$B:$K,4,0),"")</f>
        <v/>
      </c>
      <c r="F67" s="186" t="str">
        <f>IFERROR(VLOOKUP($C67,SpendActivityBS!$B:$K,5,0),"")</f>
        <v/>
      </c>
      <c r="G67" s="186" t="str">
        <f>IFERROR(VLOOKUP($C67,SpendActivityBS!$B:$K,6,0),"")</f>
        <v/>
      </c>
      <c r="H67" s="186" t="str">
        <f>IFERROR(VLOOKUP($C67,SpendActivityBS!$B:$K,7,0),"")</f>
        <v/>
      </c>
      <c r="I67" s="187" t="str">
        <f>IF(E67="","",SUMIF(SpendActivityBS!$C:$K,'6. Spend &amp; Activity'!$D67,SpendActivityBS!J:J))</f>
        <v/>
      </c>
      <c r="J67" s="204"/>
      <c r="K67" s="189" t="str">
        <f>IF(E67="","",SUMIF(SpendActivityBS!$C:$K,'6. Spend &amp; Activity'!$D67,SpendActivityBS!K:K))</f>
        <v/>
      </c>
      <c r="L67" s="205"/>
      <c r="M67" s="188" t="str">
        <f>IFERROR(VLOOKUP($C67,SpendActivityBS!$B:$K,8,0),"")</f>
        <v/>
      </c>
      <c r="N67" s="205"/>
      <c r="O67" s="205"/>
    </row>
    <row r="68" spans="2:15" ht="14.4" x14ac:dyDescent="0.3">
      <c r="B68">
        <f t="shared" si="2"/>
        <v>58</v>
      </c>
      <c r="C68" t="str">
        <f t="shared" si="0"/>
        <v>58Hillingdon</v>
      </c>
      <c r="D68" t="str">
        <f t="shared" si="1"/>
        <v>Hillingdon</v>
      </c>
      <c r="E68" s="186" t="str">
        <f>IFERROR(VLOOKUP($C68,SpendActivityBS!$B:$K,4,0),"")</f>
        <v/>
      </c>
      <c r="F68" s="186" t="str">
        <f>IFERROR(VLOOKUP($C68,SpendActivityBS!$B:$K,5,0),"")</f>
        <v/>
      </c>
      <c r="G68" s="186" t="str">
        <f>IFERROR(VLOOKUP($C68,SpendActivityBS!$B:$K,6,0),"")</f>
        <v/>
      </c>
      <c r="H68" s="186" t="str">
        <f>IFERROR(VLOOKUP($C68,SpendActivityBS!$B:$K,7,0),"")</f>
        <v/>
      </c>
      <c r="I68" s="187" t="str">
        <f>IF(E68="","",SUMIF(SpendActivityBS!$C:$K,'6. Spend &amp; Activity'!$D68,SpendActivityBS!J:J))</f>
        <v/>
      </c>
      <c r="J68" s="204"/>
      <c r="K68" s="189" t="str">
        <f>IF(E68="","",SUMIF(SpendActivityBS!$C:$K,'6. Spend &amp; Activity'!$D68,SpendActivityBS!K:K))</f>
        <v/>
      </c>
      <c r="L68" s="205"/>
      <c r="M68" s="188" t="str">
        <f>IFERROR(VLOOKUP($C68,SpendActivityBS!$B:$K,8,0),"")</f>
        <v/>
      </c>
      <c r="N68" s="205"/>
      <c r="O68" s="205"/>
    </row>
    <row r="69" spans="2:15" ht="14.4" x14ac:dyDescent="0.3">
      <c r="B69">
        <f t="shared" si="2"/>
        <v>59</v>
      </c>
      <c r="C69" t="str">
        <f t="shared" si="0"/>
        <v>59Hillingdon</v>
      </c>
      <c r="D69" t="str">
        <f t="shared" si="1"/>
        <v>Hillingdon</v>
      </c>
      <c r="E69" s="186" t="str">
        <f>IFERROR(VLOOKUP($C69,SpendActivityBS!$B:$K,4,0),"")</f>
        <v/>
      </c>
      <c r="F69" s="186" t="str">
        <f>IFERROR(VLOOKUP($C69,SpendActivityBS!$B:$K,5,0),"")</f>
        <v/>
      </c>
      <c r="G69" s="186" t="str">
        <f>IFERROR(VLOOKUP($C69,SpendActivityBS!$B:$K,6,0),"")</f>
        <v/>
      </c>
      <c r="H69" s="186" t="str">
        <f>IFERROR(VLOOKUP($C69,SpendActivityBS!$B:$K,7,0),"")</f>
        <v/>
      </c>
      <c r="I69" s="187" t="str">
        <f>IF(E69="","",SUMIF(SpendActivityBS!$C:$K,'6. Spend &amp; Activity'!$D69,SpendActivityBS!J:J))</f>
        <v/>
      </c>
      <c r="J69" s="204"/>
      <c r="K69" s="189" t="str">
        <f>IF(E69="","",SUMIF(SpendActivityBS!$C:$K,'6. Spend &amp; Activity'!$D69,SpendActivityBS!K:K))</f>
        <v/>
      </c>
      <c r="L69" s="205"/>
      <c r="M69" s="188" t="str">
        <f>IFERROR(VLOOKUP($C69,SpendActivityBS!$B:$K,8,0),"")</f>
        <v/>
      </c>
      <c r="N69" s="205"/>
      <c r="O69" s="205"/>
    </row>
    <row r="70" spans="2:15" ht="14.4" x14ac:dyDescent="0.3">
      <c r="B70">
        <f t="shared" si="2"/>
        <v>60</v>
      </c>
      <c r="C70" t="str">
        <f t="shared" si="0"/>
        <v>60Hillingdon</v>
      </c>
      <c r="D70" t="str">
        <f t="shared" si="1"/>
        <v>Hillingdon</v>
      </c>
      <c r="E70" s="186" t="str">
        <f>IFERROR(VLOOKUP($C70,SpendActivityBS!$B:$K,4,0),"")</f>
        <v/>
      </c>
      <c r="F70" s="186" t="str">
        <f>IFERROR(VLOOKUP($C70,SpendActivityBS!$B:$K,5,0),"")</f>
        <v/>
      </c>
      <c r="G70" s="186" t="str">
        <f>IFERROR(VLOOKUP($C70,SpendActivityBS!$B:$K,6,0),"")</f>
        <v/>
      </c>
      <c r="H70" s="186" t="str">
        <f>IFERROR(VLOOKUP($C70,SpendActivityBS!$B:$K,7,0),"")</f>
        <v/>
      </c>
      <c r="I70" s="187" t="str">
        <f>IF(E70="","",SUMIF(SpendActivityBS!$C:$K,'6. Spend &amp; Activity'!$D70,SpendActivityBS!J:J))</f>
        <v/>
      </c>
      <c r="J70" s="204"/>
      <c r="K70" s="189" t="str">
        <f>IF(E70="","",SUMIF(SpendActivityBS!$C:$K,'6. Spend &amp; Activity'!$D70,SpendActivityBS!K:K))</f>
        <v/>
      </c>
      <c r="L70" s="205"/>
      <c r="M70" s="188" t="str">
        <f>IFERROR(VLOOKUP($C70,SpendActivityBS!$B:$K,8,0),"")</f>
        <v/>
      </c>
      <c r="N70" s="205"/>
      <c r="O70" s="205"/>
    </row>
    <row r="71" spans="2:15" ht="14.4" x14ac:dyDescent="0.3">
      <c r="B71">
        <f t="shared" si="2"/>
        <v>61</v>
      </c>
      <c r="C71" t="str">
        <f t="shared" si="0"/>
        <v>61Hillingdon</v>
      </c>
      <c r="D71" t="str">
        <f t="shared" si="1"/>
        <v>Hillingdon</v>
      </c>
      <c r="E71" s="186" t="str">
        <f>IFERROR(VLOOKUP($C71,SpendActivityBS!$B:$K,4,0),"")</f>
        <v/>
      </c>
      <c r="F71" s="186" t="str">
        <f>IFERROR(VLOOKUP($C71,SpendActivityBS!$B:$K,5,0),"")</f>
        <v/>
      </c>
      <c r="G71" s="186" t="str">
        <f>IFERROR(VLOOKUP($C71,SpendActivityBS!$B:$K,6,0),"")</f>
        <v/>
      </c>
      <c r="H71" s="186" t="str">
        <f>IFERROR(VLOOKUP($C71,SpendActivityBS!$B:$K,7,0),"")</f>
        <v/>
      </c>
      <c r="I71" s="187" t="str">
        <f>IF(E71="","",SUMIF(SpendActivityBS!$C:$K,'6. Spend &amp; Activity'!$D71,SpendActivityBS!J:J))</f>
        <v/>
      </c>
      <c r="J71" s="204"/>
      <c r="K71" s="189" t="str">
        <f>IF(E71="","",SUMIF(SpendActivityBS!$C:$K,'6. Spend &amp; Activity'!$D71,SpendActivityBS!K:K))</f>
        <v/>
      </c>
      <c r="L71" s="205"/>
      <c r="M71" s="188" t="str">
        <f>IFERROR(VLOOKUP($C71,SpendActivityBS!$B:$K,8,0),"")</f>
        <v/>
      </c>
      <c r="N71" s="205"/>
      <c r="O71" s="205"/>
    </row>
    <row r="72" spans="2:15" ht="14.4" x14ac:dyDescent="0.3">
      <c r="B72">
        <f t="shared" si="2"/>
        <v>62</v>
      </c>
      <c r="C72" t="str">
        <f t="shared" si="0"/>
        <v>62Hillingdon</v>
      </c>
      <c r="D72" t="str">
        <f t="shared" si="1"/>
        <v>Hillingdon</v>
      </c>
      <c r="E72" s="186" t="str">
        <f>IFERROR(VLOOKUP($C72,SpendActivityBS!$B:$K,4,0),"")</f>
        <v/>
      </c>
      <c r="F72" s="186" t="str">
        <f>IFERROR(VLOOKUP($C72,SpendActivityBS!$B:$K,5,0),"")</f>
        <v/>
      </c>
      <c r="G72" s="186" t="str">
        <f>IFERROR(VLOOKUP($C72,SpendActivityBS!$B:$K,6,0),"")</f>
        <v/>
      </c>
      <c r="H72" s="186" t="str">
        <f>IFERROR(VLOOKUP($C72,SpendActivityBS!$B:$K,7,0),"")</f>
        <v/>
      </c>
      <c r="I72" s="187" t="str">
        <f>IF(E72="","",SUMIF(SpendActivityBS!$C:$K,'6. Spend &amp; Activity'!$D72,SpendActivityBS!J:J))</f>
        <v/>
      </c>
      <c r="J72" s="204"/>
      <c r="K72" s="189" t="str">
        <f>IF(E72="","",SUMIF(SpendActivityBS!$C:$K,'6. Spend &amp; Activity'!$D72,SpendActivityBS!K:K))</f>
        <v/>
      </c>
      <c r="L72" s="205"/>
      <c r="M72" s="188" t="str">
        <f>IFERROR(VLOOKUP($C72,SpendActivityBS!$B:$K,8,0),"")</f>
        <v/>
      </c>
      <c r="N72" s="205"/>
      <c r="O72" s="205"/>
    </row>
    <row r="73" spans="2:15" ht="14.4" x14ac:dyDescent="0.3">
      <c r="B73">
        <f t="shared" si="2"/>
        <v>63</v>
      </c>
      <c r="C73" t="str">
        <f t="shared" si="0"/>
        <v>63Hillingdon</v>
      </c>
      <c r="D73" t="str">
        <f t="shared" si="1"/>
        <v>Hillingdon</v>
      </c>
      <c r="E73" s="186" t="str">
        <f>IFERROR(VLOOKUP($C73,SpendActivityBS!$B:$K,4,0),"")</f>
        <v/>
      </c>
      <c r="F73" s="186" t="str">
        <f>IFERROR(VLOOKUP($C73,SpendActivityBS!$B:$K,5,0),"")</f>
        <v/>
      </c>
      <c r="G73" s="186" t="str">
        <f>IFERROR(VLOOKUP($C73,SpendActivityBS!$B:$K,6,0),"")</f>
        <v/>
      </c>
      <c r="H73" s="186" t="str">
        <f>IFERROR(VLOOKUP($C73,SpendActivityBS!$B:$K,7,0),"")</f>
        <v/>
      </c>
      <c r="I73" s="187" t="str">
        <f>IF(E73="","",SUMIF(SpendActivityBS!$C:$K,'6. Spend &amp; Activity'!$D73,SpendActivityBS!J:J))</f>
        <v/>
      </c>
      <c r="J73" s="204"/>
      <c r="K73" s="189" t="str">
        <f>IF(E73="","",SUMIF(SpendActivityBS!$C:$K,'6. Spend &amp; Activity'!$D73,SpendActivityBS!K:K))</f>
        <v/>
      </c>
      <c r="L73" s="205"/>
      <c r="M73" s="188" t="str">
        <f>IFERROR(VLOOKUP($C73,SpendActivityBS!$B:$K,8,0),"")</f>
        <v/>
      </c>
      <c r="N73" s="205"/>
      <c r="O73" s="205"/>
    </row>
    <row r="74" spans="2:15" ht="14.4" x14ac:dyDescent="0.3">
      <c r="B74">
        <f t="shared" si="2"/>
        <v>64</v>
      </c>
      <c r="C74" t="str">
        <f t="shared" si="0"/>
        <v>64Hillingdon</v>
      </c>
      <c r="D74" t="str">
        <f t="shared" si="1"/>
        <v>Hillingdon</v>
      </c>
      <c r="E74" s="186" t="str">
        <f>IFERROR(VLOOKUP($C74,SpendActivityBS!$B:$K,4,0),"")</f>
        <v/>
      </c>
      <c r="F74" s="186" t="str">
        <f>IFERROR(VLOOKUP($C74,SpendActivityBS!$B:$K,5,0),"")</f>
        <v/>
      </c>
      <c r="G74" s="186" t="str">
        <f>IFERROR(VLOOKUP($C74,SpendActivityBS!$B:$K,6,0),"")</f>
        <v/>
      </c>
      <c r="H74" s="186" t="str">
        <f>IFERROR(VLOOKUP($C74,SpendActivityBS!$B:$K,7,0),"")</f>
        <v/>
      </c>
      <c r="I74" s="187" t="str">
        <f>IF(E74="","",SUMIF(SpendActivityBS!$C:$K,'6. Spend &amp; Activity'!$D74,SpendActivityBS!J:J))</f>
        <v/>
      </c>
      <c r="J74" s="204"/>
      <c r="K74" s="189" t="str">
        <f>IF(E74="","",SUMIF(SpendActivityBS!$C:$K,'6. Spend &amp; Activity'!$D74,SpendActivityBS!K:K))</f>
        <v/>
      </c>
      <c r="L74" s="205"/>
      <c r="M74" s="188" t="str">
        <f>IFERROR(VLOOKUP($C74,SpendActivityBS!$B:$K,8,0),"")</f>
        <v/>
      </c>
      <c r="N74" s="205"/>
      <c r="O74" s="205"/>
    </row>
    <row r="75" spans="2:15" ht="14.4" x14ac:dyDescent="0.3">
      <c r="B75">
        <f t="shared" si="2"/>
        <v>65</v>
      </c>
      <c r="C75" t="str">
        <f t="shared" si="0"/>
        <v>65Hillingdon</v>
      </c>
      <c r="D75" t="str">
        <f t="shared" si="1"/>
        <v>Hillingdon</v>
      </c>
      <c r="E75" s="186" t="str">
        <f>IFERROR(VLOOKUP($C75,SpendActivityBS!$B:$K,4,0),"")</f>
        <v/>
      </c>
      <c r="F75" s="186" t="str">
        <f>IFERROR(VLOOKUP($C75,SpendActivityBS!$B:$K,5,0),"")</f>
        <v/>
      </c>
      <c r="G75" s="186" t="str">
        <f>IFERROR(VLOOKUP($C75,SpendActivityBS!$B:$K,6,0),"")</f>
        <v/>
      </c>
      <c r="H75" s="186" t="str">
        <f>IFERROR(VLOOKUP($C75,SpendActivityBS!$B:$K,7,0),"")</f>
        <v/>
      </c>
      <c r="I75" s="187" t="str">
        <f>IF(E75="","",SUMIF(SpendActivityBS!$C:$K,'6. Spend &amp; Activity'!$D75,SpendActivityBS!J:J))</f>
        <v/>
      </c>
      <c r="J75" s="204"/>
      <c r="K75" s="189" t="str">
        <f>IF(E75="","",SUMIF(SpendActivityBS!$C:$K,'6. Spend &amp; Activity'!$D75,SpendActivityBS!K:K))</f>
        <v/>
      </c>
      <c r="L75" s="205"/>
      <c r="M75" s="188" t="str">
        <f>IFERROR(VLOOKUP($C75,SpendActivityBS!$B:$K,8,0),"")</f>
        <v/>
      </c>
      <c r="N75" s="205"/>
      <c r="O75" s="205"/>
    </row>
    <row r="76" spans="2:15" ht="14.4" x14ac:dyDescent="0.3">
      <c r="B76">
        <f t="shared" si="2"/>
        <v>66</v>
      </c>
      <c r="C76" t="str">
        <f t="shared" ref="C76:C109" si="3">B76&amp;$G$5</f>
        <v>66Hillingdon</v>
      </c>
      <c r="D76" t="str">
        <f t="shared" ref="D76:D109" si="4">$G$5&amp;E76&amp;F76&amp;G76&amp;H76</f>
        <v>Hillingdon</v>
      </c>
      <c r="E76" s="186" t="str">
        <f>IFERROR(VLOOKUP($C76,SpendActivityBS!$B:$K,4,0),"")</f>
        <v/>
      </c>
      <c r="F76" s="186" t="str">
        <f>IFERROR(VLOOKUP($C76,SpendActivityBS!$B:$K,5,0),"")</f>
        <v/>
      </c>
      <c r="G76" s="186" t="str">
        <f>IFERROR(VLOOKUP($C76,SpendActivityBS!$B:$K,6,0),"")</f>
        <v/>
      </c>
      <c r="H76" s="186" t="str">
        <f>IFERROR(VLOOKUP($C76,SpendActivityBS!$B:$K,7,0),"")</f>
        <v/>
      </c>
      <c r="I76" s="187" t="str">
        <f>IF(E76="","",SUMIF(SpendActivityBS!$C:$K,'6. Spend &amp; Activity'!$D76,SpendActivityBS!J:J))</f>
        <v/>
      </c>
      <c r="J76" s="204"/>
      <c r="K76" s="189" t="str">
        <f>IF(E76="","",SUMIF(SpendActivityBS!$C:$K,'6. Spend &amp; Activity'!$D76,SpendActivityBS!K:K))</f>
        <v/>
      </c>
      <c r="L76" s="205"/>
      <c r="M76" s="188" t="str">
        <f>IFERROR(VLOOKUP($C76,SpendActivityBS!$B:$K,8,0),"")</f>
        <v/>
      </c>
      <c r="N76" s="205"/>
      <c r="O76" s="205"/>
    </row>
    <row r="77" spans="2:15" ht="14.4" x14ac:dyDescent="0.3">
      <c r="B77">
        <f t="shared" ref="B77:B109" si="5">1+B76</f>
        <v>67</v>
      </c>
      <c r="C77" t="str">
        <f t="shared" si="3"/>
        <v>67Hillingdon</v>
      </c>
      <c r="D77" t="str">
        <f t="shared" si="4"/>
        <v>Hillingdon</v>
      </c>
      <c r="E77" s="186" t="str">
        <f>IFERROR(VLOOKUP($C77,SpendActivityBS!$B:$K,4,0),"")</f>
        <v/>
      </c>
      <c r="F77" s="186" t="str">
        <f>IFERROR(VLOOKUP($C77,SpendActivityBS!$B:$K,5,0),"")</f>
        <v/>
      </c>
      <c r="G77" s="186" t="str">
        <f>IFERROR(VLOOKUP($C77,SpendActivityBS!$B:$K,6,0),"")</f>
        <v/>
      </c>
      <c r="H77" s="186" t="str">
        <f>IFERROR(VLOOKUP($C77,SpendActivityBS!$B:$K,7,0),"")</f>
        <v/>
      </c>
      <c r="I77" s="187" t="str">
        <f>IF(E77="","",SUMIF(SpendActivityBS!$C:$K,'6. Spend &amp; Activity'!$D77,SpendActivityBS!J:J))</f>
        <v/>
      </c>
      <c r="J77" s="204"/>
      <c r="K77" s="189" t="str">
        <f>IF(E77="","",SUMIF(SpendActivityBS!$C:$K,'6. Spend &amp; Activity'!$D77,SpendActivityBS!K:K))</f>
        <v/>
      </c>
      <c r="L77" s="205"/>
      <c r="M77" s="188" t="str">
        <f>IFERROR(VLOOKUP($C77,SpendActivityBS!$B:$K,8,0),"")</f>
        <v/>
      </c>
      <c r="N77" s="205"/>
      <c r="O77" s="205"/>
    </row>
    <row r="78" spans="2:15" ht="14.4" x14ac:dyDescent="0.3">
      <c r="B78">
        <f t="shared" si="5"/>
        <v>68</v>
      </c>
      <c r="C78" t="str">
        <f t="shared" si="3"/>
        <v>68Hillingdon</v>
      </c>
      <c r="D78" t="str">
        <f t="shared" si="4"/>
        <v>Hillingdon</v>
      </c>
      <c r="E78" s="186" t="str">
        <f>IFERROR(VLOOKUP($C78,SpendActivityBS!$B:$K,4,0),"")</f>
        <v/>
      </c>
      <c r="F78" s="186" t="str">
        <f>IFERROR(VLOOKUP($C78,SpendActivityBS!$B:$K,5,0),"")</f>
        <v/>
      </c>
      <c r="G78" s="186" t="str">
        <f>IFERROR(VLOOKUP($C78,SpendActivityBS!$B:$K,6,0),"")</f>
        <v/>
      </c>
      <c r="H78" s="186" t="str">
        <f>IFERROR(VLOOKUP($C78,SpendActivityBS!$B:$K,7,0),"")</f>
        <v/>
      </c>
      <c r="I78" s="187" t="str">
        <f>IF(E78="","",SUMIF(SpendActivityBS!$C:$K,'6. Spend &amp; Activity'!$D78,SpendActivityBS!J:J))</f>
        <v/>
      </c>
      <c r="J78" s="204"/>
      <c r="K78" s="189" t="str">
        <f>IF(E78="","",SUMIF(SpendActivityBS!$C:$K,'6. Spend &amp; Activity'!$D78,SpendActivityBS!K:K))</f>
        <v/>
      </c>
      <c r="L78" s="205"/>
      <c r="M78" s="188" t="str">
        <f>IFERROR(VLOOKUP($C78,SpendActivityBS!$B:$K,8,0),"")</f>
        <v/>
      </c>
      <c r="N78" s="205"/>
      <c r="O78" s="205"/>
    </row>
    <row r="79" spans="2:15" ht="14.4" x14ac:dyDescent="0.3">
      <c r="B79">
        <f t="shared" si="5"/>
        <v>69</v>
      </c>
      <c r="C79" t="str">
        <f t="shared" si="3"/>
        <v>69Hillingdon</v>
      </c>
      <c r="D79" t="str">
        <f t="shared" si="4"/>
        <v>Hillingdon</v>
      </c>
      <c r="E79" s="186" t="str">
        <f>IFERROR(VLOOKUP($C79,SpendActivityBS!$B:$K,4,0),"")</f>
        <v/>
      </c>
      <c r="F79" s="186" t="str">
        <f>IFERROR(VLOOKUP($C79,SpendActivityBS!$B:$K,5,0),"")</f>
        <v/>
      </c>
      <c r="G79" s="186" t="str">
        <f>IFERROR(VLOOKUP($C79,SpendActivityBS!$B:$K,6,0),"")</f>
        <v/>
      </c>
      <c r="H79" s="186" t="str">
        <f>IFERROR(VLOOKUP($C79,SpendActivityBS!$B:$K,7,0),"")</f>
        <v/>
      </c>
      <c r="I79" s="187" t="str">
        <f>IF(E79="","",SUMIF(SpendActivityBS!$C:$K,'6. Spend &amp; Activity'!$D79,SpendActivityBS!J:J))</f>
        <v/>
      </c>
      <c r="J79" s="204"/>
      <c r="K79" s="189" t="str">
        <f>IF(E79="","",SUMIF(SpendActivityBS!$C:$K,'6. Spend &amp; Activity'!$D79,SpendActivityBS!K:K))</f>
        <v/>
      </c>
      <c r="L79" s="205"/>
      <c r="M79" s="188" t="str">
        <f>IFERROR(VLOOKUP($C79,SpendActivityBS!$B:$K,8,0),"")</f>
        <v/>
      </c>
      <c r="N79" s="205"/>
      <c r="O79" s="205"/>
    </row>
    <row r="80" spans="2:15" ht="14.4" x14ac:dyDescent="0.3">
      <c r="B80">
        <f t="shared" si="5"/>
        <v>70</v>
      </c>
      <c r="C80" t="str">
        <f t="shared" si="3"/>
        <v>70Hillingdon</v>
      </c>
      <c r="D80" t="str">
        <f t="shared" si="4"/>
        <v>Hillingdon</v>
      </c>
      <c r="E80" s="186" t="str">
        <f>IFERROR(VLOOKUP($C80,SpendActivityBS!$B:$K,4,0),"")</f>
        <v/>
      </c>
      <c r="F80" s="186" t="str">
        <f>IFERROR(VLOOKUP($C80,SpendActivityBS!$B:$K,5,0),"")</f>
        <v/>
      </c>
      <c r="G80" s="186" t="str">
        <f>IFERROR(VLOOKUP($C80,SpendActivityBS!$B:$K,6,0),"")</f>
        <v/>
      </c>
      <c r="H80" s="186" t="str">
        <f>IFERROR(VLOOKUP($C80,SpendActivityBS!$B:$K,7,0),"")</f>
        <v/>
      </c>
      <c r="I80" s="187" t="str">
        <f>IF(E80="","",SUMIF(SpendActivityBS!$C:$K,'6. Spend &amp; Activity'!$D80,SpendActivityBS!J:J))</f>
        <v/>
      </c>
      <c r="J80" s="204"/>
      <c r="K80" s="189" t="str">
        <f>IF(E80="","",SUMIF(SpendActivityBS!$C:$K,'6. Spend &amp; Activity'!$D80,SpendActivityBS!K:K))</f>
        <v/>
      </c>
      <c r="L80" s="205"/>
      <c r="M80" s="188" t="str">
        <f>IFERROR(VLOOKUP($C80,SpendActivityBS!$B:$K,8,0),"")</f>
        <v/>
      </c>
      <c r="N80" s="205"/>
      <c r="O80" s="205"/>
    </row>
    <row r="81" spans="2:15" ht="14.4" x14ac:dyDescent="0.3">
      <c r="B81">
        <f t="shared" si="5"/>
        <v>71</v>
      </c>
      <c r="C81" t="str">
        <f t="shared" si="3"/>
        <v>71Hillingdon</v>
      </c>
      <c r="D81" t="str">
        <f t="shared" si="4"/>
        <v>Hillingdon</v>
      </c>
      <c r="E81" s="186" t="str">
        <f>IFERROR(VLOOKUP($C81,SpendActivityBS!$B:$K,4,0),"")</f>
        <v/>
      </c>
      <c r="F81" s="186" t="str">
        <f>IFERROR(VLOOKUP($C81,SpendActivityBS!$B:$K,5,0),"")</f>
        <v/>
      </c>
      <c r="G81" s="186" t="str">
        <f>IFERROR(VLOOKUP($C81,SpendActivityBS!$B:$K,6,0),"")</f>
        <v/>
      </c>
      <c r="H81" s="186" t="str">
        <f>IFERROR(VLOOKUP($C81,SpendActivityBS!$B:$K,7,0),"")</f>
        <v/>
      </c>
      <c r="I81" s="187" t="str">
        <f>IF(E81="","",SUMIF(SpendActivityBS!$C:$K,'6. Spend &amp; Activity'!$D81,SpendActivityBS!J:J))</f>
        <v/>
      </c>
      <c r="J81" s="204"/>
      <c r="K81" s="189" t="str">
        <f>IF(E81="","",SUMIF(SpendActivityBS!$C:$K,'6. Spend &amp; Activity'!$D81,SpendActivityBS!K:K))</f>
        <v/>
      </c>
      <c r="L81" s="205"/>
      <c r="M81" s="188" t="str">
        <f>IFERROR(VLOOKUP($C81,SpendActivityBS!$B:$K,8,0),"")</f>
        <v/>
      </c>
      <c r="N81" s="205"/>
      <c r="O81" s="205"/>
    </row>
    <row r="82" spans="2:15" ht="14.4" x14ac:dyDescent="0.3">
      <c r="B82">
        <f t="shared" si="5"/>
        <v>72</v>
      </c>
      <c r="C82" t="str">
        <f t="shared" si="3"/>
        <v>72Hillingdon</v>
      </c>
      <c r="D82" t="str">
        <f t="shared" si="4"/>
        <v>Hillingdon</v>
      </c>
      <c r="E82" s="186" t="str">
        <f>IFERROR(VLOOKUP($C82,SpendActivityBS!$B:$K,4,0),"")</f>
        <v/>
      </c>
      <c r="F82" s="186" t="str">
        <f>IFERROR(VLOOKUP($C82,SpendActivityBS!$B:$K,5,0),"")</f>
        <v/>
      </c>
      <c r="G82" s="186" t="str">
        <f>IFERROR(VLOOKUP($C82,SpendActivityBS!$B:$K,6,0),"")</f>
        <v/>
      </c>
      <c r="H82" s="186" t="str">
        <f>IFERROR(VLOOKUP($C82,SpendActivityBS!$B:$K,7,0),"")</f>
        <v/>
      </c>
      <c r="I82" s="187" t="str">
        <f>IF(E82="","",SUMIF(SpendActivityBS!$C:$K,'6. Spend &amp; Activity'!$D82,SpendActivityBS!J:J))</f>
        <v/>
      </c>
      <c r="J82" s="204"/>
      <c r="K82" s="189" t="str">
        <f>IF(E82="","",SUMIF(SpendActivityBS!$C:$K,'6. Spend &amp; Activity'!$D82,SpendActivityBS!K:K))</f>
        <v/>
      </c>
      <c r="L82" s="205"/>
      <c r="M82" s="188" t="str">
        <f>IFERROR(VLOOKUP($C82,SpendActivityBS!$B:$K,8,0),"")</f>
        <v/>
      </c>
      <c r="N82" s="205"/>
      <c r="O82" s="205"/>
    </row>
    <row r="83" spans="2:15" ht="14.4" x14ac:dyDescent="0.3">
      <c r="B83">
        <f t="shared" si="5"/>
        <v>73</v>
      </c>
      <c r="C83" t="str">
        <f t="shared" si="3"/>
        <v>73Hillingdon</v>
      </c>
      <c r="D83" t="str">
        <f t="shared" si="4"/>
        <v>Hillingdon</v>
      </c>
      <c r="E83" s="186" t="str">
        <f>IFERROR(VLOOKUP($C83,SpendActivityBS!$B:$K,4,0),"")</f>
        <v/>
      </c>
      <c r="F83" s="186" t="str">
        <f>IFERROR(VLOOKUP($C83,SpendActivityBS!$B:$K,5,0),"")</f>
        <v/>
      </c>
      <c r="G83" s="186" t="str">
        <f>IFERROR(VLOOKUP($C83,SpendActivityBS!$B:$K,6,0),"")</f>
        <v/>
      </c>
      <c r="H83" s="186" t="str">
        <f>IFERROR(VLOOKUP($C83,SpendActivityBS!$B:$K,7,0),"")</f>
        <v/>
      </c>
      <c r="I83" s="187" t="str">
        <f>IF(E83="","",SUMIF(SpendActivityBS!$C:$K,'6. Spend &amp; Activity'!$D83,SpendActivityBS!J:J))</f>
        <v/>
      </c>
      <c r="J83" s="204"/>
      <c r="K83" s="189" t="str">
        <f>IF(E83="","",SUMIF(SpendActivityBS!$C:$K,'6. Spend &amp; Activity'!$D83,SpendActivityBS!K:K))</f>
        <v/>
      </c>
      <c r="L83" s="205"/>
      <c r="M83" s="188" t="str">
        <f>IFERROR(VLOOKUP($C83,SpendActivityBS!$B:$K,8,0),"")</f>
        <v/>
      </c>
      <c r="N83" s="205"/>
      <c r="O83" s="205"/>
    </row>
    <row r="84" spans="2:15" ht="14.4" x14ac:dyDescent="0.3">
      <c r="B84">
        <f t="shared" si="5"/>
        <v>74</v>
      </c>
      <c r="C84" t="str">
        <f t="shared" si="3"/>
        <v>74Hillingdon</v>
      </c>
      <c r="D84" t="str">
        <f t="shared" si="4"/>
        <v>Hillingdon</v>
      </c>
      <c r="E84" s="186" t="str">
        <f>IFERROR(VLOOKUP($C84,SpendActivityBS!$B:$K,4,0),"")</f>
        <v/>
      </c>
      <c r="F84" s="186" t="str">
        <f>IFERROR(VLOOKUP($C84,SpendActivityBS!$B:$K,5,0),"")</f>
        <v/>
      </c>
      <c r="G84" s="186" t="str">
        <f>IFERROR(VLOOKUP($C84,SpendActivityBS!$B:$K,6,0),"")</f>
        <v/>
      </c>
      <c r="H84" s="186" t="str">
        <f>IFERROR(VLOOKUP($C84,SpendActivityBS!$B:$K,7,0),"")</f>
        <v/>
      </c>
      <c r="I84" s="187" t="str">
        <f>IF(E84="","",SUMIF(SpendActivityBS!$C:$K,'6. Spend &amp; Activity'!$D84,SpendActivityBS!J:J))</f>
        <v/>
      </c>
      <c r="J84" s="204"/>
      <c r="K84" s="189" t="str">
        <f>IF(E84="","",SUMIF(SpendActivityBS!$C:$K,'6. Spend &amp; Activity'!$D84,SpendActivityBS!K:K))</f>
        <v/>
      </c>
      <c r="L84" s="205"/>
      <c r="M84" s="188" t="str">
        <f>IFERROR(VLOOKUP($C84,SpendActivityBS!$B:$K,8,0),"")</f>
        <v/>
      </c>
      <c r="N84" s="205"/>
      <c r="O84" s="205"/>
    </row>
    <row r="85" spans="2:15" ht="14.4" x14ac:dyDescent="0.3">
      <c r="B85">
        <f t="shared" si="5"/>
        <v>75</v>
      </c>
      <c r="C85" t="str">
        <f t="shared" si="3"/>
        <v>75Hillingdon</v>
      </c>
      <c r="D85" t="str">
        <f t="shared" si="4"/>
        <v>Hillingdon</v>
      </c>
      <c r="E85" s="186" t="str">
        <f>IFERROR(VLOOKUP($C85,SpendActivityBS!$B:$K,4,0),"")</f>
        <v/>
      </c>
      <c r="F85" s="186" t="str">
        <f>IFERROR(VLOOKUP($C85,SpendActivityBS!$B:$K,5,0),"")</f>
        <v/>
      </c>
      <c r="G85" s="186" t="str">
        <f>IFERROR(VLOOKUP($C85,SpendActivityBS!$B:$K,6,0),"")</f>
        <v/>
      </c>
      <c r="H85" s="186" t="str">
        <f>IFERROR(VLOOKUP($C85,SpendActivityBS!$B:$K,7,0),"")</f>
        <v/>
      </c>
      <c r="I85" s="187" t="str">
        <f>IF(E85="","",SUMIF(SpendActivityBS!$C:$K,'6. Spend &amp; Activity'!$D85,SpendActivityBS!J:J))</f>
        <v/>
      </c>
      <c r="J85" s="204"/>
      <c r="K85" s="189" t="str">
        <f>IF(E85="","",SUMIF(SpendActivityBS!$C:$K,'6. Spend &amp; Activity'!$D85,SpendActivityBS!K:K))</f>
        <v/>
      </c>
      <c r="L85" s="205"/>
      <c r="M85" s="188" t="str">
        <f>IFERROR(VLOOKUP($C85,SpendActivityBS!$B:$K,8,0),"")</f>
        <v/>
      </c>
      <c r="N85" s="205"/>
      <c r="O85" s="205"/>
    </row>
    <row r="86" spans="2:15" ht="14.4" x14ac:dyDescent="0.3">
      <c r="B86">
        <f t="shared" si="5"/>
        <v>76</v>
      </c>
      <c r="C86" t="str">
        <f t="shared" si="3"/>
        <v>76Hillingdon</v>
      </c>
      <c r="D86" t="str">
        <f t="shared" si="4"/>
        <v>Hillingdon</v>
      </c>
      <c r="E86" s="186" t="str">
        <f>IFERROR(VLOOKUP($C86,SpendActivityBS!$B:$K,4,0),"")</f>
        <v/>
      </c>
      <c r="F86" s="186" t="str">
        <f>IFERROR(VLOOKUP($C86,SpendActivityBS!$B:$K,5,0),"")</f>
        <v/>
      </c>
      <c r="G86" s="186" t="str">
        <f>IFERROR(VLOOKUP($C86,SpendActivityBS!$B:$K,6,0),"")</f>
        <v/>
      </c>
      <c r="H86" s="186" t="str">
        <f>IFERROR(VLOOKUP($C86,SpendActivityBS!$B:$K,7,0),"")</f>
        <v/>
      </c>
      <c r="I86" s="187" t="str">
        <f>IF(E86="","",SUMIF(SpendActivityBS!$C:$K,'6. Spend &amp; Activity'!$D86,SpendActivityBS!J:J))</f>
        <v/>
      </c>
      <c r="J86" s="204"/>
      <c r="K86" s="189" t="str">
        <f>IF(E86="","",SUMIF(SpendActivityBS!$C:$K,'6. Spend &amp; Activity'!$D86,SpendActivityBS!K:K))</f>
        <v/>
      </c>
      <c r="L86" s="205"/>
      <c r="M86" s="188" t="str">
        <f>IFERROR(VLOOKUP($C86,SpendActivityBS!$B:$K,8,0),"")</f>
        <v/>
      </c>
      <c r="N86" s="205"/>
      <c r="O86" s="205"/>
    </row>
    <row r="87" spans="2:15" ht="14.4" x14ac:dyDescent="0.3">
      <c r="B87">
        <f t="shared" si="5"/>
        <v>77</v>
      </c>
      <c r="C87" t="str">
        <f t="shared" si="3"/>
        <v>77Hillingdon</v>
      </c>
      <c r="D87" t="str">
        <f t="shared" si="4"/>
        <v>Hillingdon</v>
      </c>
      <c r="E87" s="186" t="str">
        <f>IFERROR(VLOOKUP($C87,SpendActivityBS!$B:$K,4,0),"")</f>
        <v/>
      </c>
      <c r="F87" s="186" t="str">
        <f>IFERROR(VLOOKUP($C87,SpendActivityBS!$B:$K,5,0),"")</f>
        <v/>
      </c>
      <c r="G87" s="186" t="str">
        <f>IFERROR(VLOOKUP($C87,SpendActivityBS!$B:$K,6,0),"")</f>
        <v/>
      </c>
      <c r="H87" s="186" t="str">
        <f>IFERROR(VLOOKUP($C87,SpendActivityBS!$B:$K,7,0),"")</f>
        <v/>
      </c>
      <c r="I87" s="187" t="str">
        <f>IF(E87="","",SUMIF(SpendActivityBS!$C:$K,'6. Spend &amp; Activity'!$D87,SpendActivityBS!J:J))</f>
        <v/>
      </c>
      <c r="J87" s="204"/>
      <c r="K87" s="189" t="str">
        <f>IF(E87="","",SUMIF(SpendActivityBS!$C:$K,'6. Spend &amp; Activity'!$D87,SpendActivityBS!K:K))</f>
        <v/>
      </c>
      <c r="L87" s="205"/>
      <c r="M87" s="188" t="str">
        <f>IFERROR(VLOOKUP($C87,SpendActivityBS!$B:$K,8,0),"")</f>
        <v/>
      </c>
      <c r="N87" s="205"/>
      <c r="O87" s="205"/>
    </row>
    <row r="88" spans="2:15" ht="14.4" x14ac:dyDescent="0.3">
      <c r="B88">
        <f t="shared" si="5"/>
        <v>78</v>
      </c>
      <c r="C88" t="str">
        <f t="shared" si="3"/>
        <v>78Hillingdon</v>
      </c>
      <c r="D88" t="str">
        <f t="shared" si="4"/>
        <v>Hillingdon</v>
      </c>
      <c r="E88" s="186" t="str">
        <f>IFERROR(VLOOKUP($C88,SpendActivityBS!$B:$K,4,0),"")</f>
        <v/>
      </c>
      <c r="F88" s="186" t="str">
        <f>IFERROR(VLOOKUP($C88,SpendActivityBS!$B:$K,5,0),"")</f>
        <v/>
      </c>
      <c r="G88" s="186" t="str">
        <f>IFERROR(VLOOKUP($C88,SpendActivityBS!$B:$K,6,0),"")</f>
        <v/>
      </c>
      <c r="H88" s="186" t="str">
        <f>IFERROR(VLOOKUP($C88,SpendActivityBS!$B:$K,7,0),"")</f>
        <v/>
      </c>
      <c r="I88" s="187" t="str">
        <f>IF(E88="","",SUMIF(SpendActivityBS!$C:$K,'6. Spend &amp; Activity'!$D88,SpendActivityBS!J:J))</f>
        <v/>
      </c>
      <c r="J88" s="204"/>
      <c r="K88" s="189" t="str">
        <f>IF(E88="","",SUMIF(SpendActivityBS!$C:$K,'6. Spend &amp; Activity'!$D88,SpendActivityBS!K:K))</f>
        <v/>
      </c>
      <c r="L88" s="205"/>
      <c r="M88" s="188" t="str">
        <f>IFERROR(VLOOKUP($C88,SpendActivityBS!$B:$K,8,0),"")</f>
        <v/>
      </c>
      <c r="N88" s="205"/>
      <c r="O88" s="205"/>
    </row>
    <row r="89" spans="2:15" ht="14.4" x14ac:dyDescent="0.3">
      <c r="B89">
        <f t="shared" si="5"/>
        <v>79</v>
      </c>
      <c r="C89" t="str">
        <f t="shared" si="3"/>
        <v>79Hillingdon</v>
      </c>
      <c r="D89" t="str">
        <f t="shared" si="4"/>
        <v>Hillingdon</v>
      </c>
      <c r="E89" s="186" t="str">
        <f>IFERROR(VLOOKUP($C89,SpendActivityBS!$B:$K,4,0),"")</f>
        <v/>
      </c>
      <c r="F89" s="186" t="str">
        <f>IFERROR(VLOOKUP($C89,SpendActivityBS!$B:$K,5,0),"")</f>
        <v/>
      </c>
      <c r="G89" s="186" t="str">
        <f>IFERROR(VLOOKUP($C89,SpendActivityBS!$B:$K,6,0),"")</f>
        <v/>
      </c>
      <c r="H89" s="186" t="str">
        <f>IFERROR(VLOOKUP($C89,SpendActivityBS!$B:$K,7,0),"")</f>
        <v/>
      </c>
      <c r="I89" s="187" t="str">
        <f>IF(E89="","",SUMIF(SpendActivityBS!$C:$K,'6. Spend &amp; Activity'!$D89,SpendActivityBS!J:J))</f>
        <v/>
      </c>
      <c r="J89" s="204"/>
      <c r="K89" s="189" t="str">
        <f>IF(E89="","",SUMIF(SpendActivityBS!$C:$K,'6. Spend &amp; Activity'!$D89,SpendActivityBS!K:K))</f>
        <v/>
      </c>
      <c r="L89" s="205"/>
      <c r="M89" s="188" t="str">
        <f>IFERROR(VLOOKUP($C89,SpendActivityBS!$B:$K,8,0),"")</f>
        <v/>
      </c>
      <c r="N89" s="205"/>
      <c r="O89" s="205"/>
    </row>
    <row r="90" spans="2:15" ht="14.4" x14ac:dyDescent="0.3">
      <c r="B90">
        <f t="shared" si="5"/>
        <v>80</v>
      </c>
      <c r="C90" t="str">
        <f t="shared" si="3"/>
        <v>80Hillingdon</v>
      </c>
      <c r="D90" t="str">
        <f t="shared" si="4"/>
        <v>Hillingdon</v>
      </c>
      <c r="E90" s="186" t="str">
        <f>IFERROR(VLOOKUP($C90,SpendActivityBS!$B:$K,4,0),"")</f>
        <v/>
      </c>
      <c r="F90" s="186" t="str">
        <f>IFERROR(VLOOKUP($C90,SpendActivityBS!$B:$K,5,0),"")</f>
        <v/>
      </c>
      <c r="G90" s="186" t="str">
        <f>IFERROR(VLOOKUP($C90,SpendActivityBS!$B:$K,6,0),"")</f>
        <v/>
      </c>
      <c r="H90" s="186" t="str">
        <f>IFERROR(VLOOKUP($C90,SpendActivityBS!$B:$K,7,0),"")</f>
        <v/>
      </c>
      <c r="I90" s="187" t="str">
        <f>IF(E90="","",SUMIF(SpendActivityBS!$C:$K,'6. Spend &amp; Activity'!$D90,SpendActivityBS!J:J))</f>
        <v/>
      </c>
      <c r="J90" s="204"/>
      <c r="K90" s="189" t="str">
        <f>IF(E90="","",SUMIF(SpendActivityBS!$C:$K,'6. Spend &amp; Activity'!$D90,SpendActivityBS!K:K))</f>
        <v/>
      </c>
      <c r="L90" s="205"/>
      <c r="M90" s="188" t="str">
        <f>IFERROR(VLOOKUP($C90,SpendActivityBS!$B:$K,8,0),"")</f>
        <v/>
      </c>
      <c r="N90" s="205"/>
      <c r="O90" s="205"/>
    </row>
    <row r="91" spans="2:15" ht="14.4" x14ac:dyDescent="0.3">
      <c r="B91">
        <f t="shared" si="5"/>
        <v>81</v>
      </c>
      <c r="C91" t="str">
        <f t="shared" si="3"/>
        <v>81Hillingdon</v>
      </c>
      <c r="D91" t="str">
        <f t="shared" si="4"/>
        <v>Hillingdon</v>
      </c>
      <c r="E91" s="186" t="str">
        <f>IFERROR(VLOOKUP($C91,SpendActivityBS!$B:$K,4,0),"")</f>
        <v/>
      </c>
      <c r="F91" s="186" t="str">
        <f>IFERROR(VLOOKUP($C91,SpendActivityBS!$B:$K,5,0),"")</f>
        <v/>
      </c>
      <c r="G91" s="186" t="str">
        <f>IFERROR(VLOOKUP($C91,SpendActivityBS!$B:$K,6,0),"")</f>
        <v/>
      </c>
      <c r="H91" s="186" t="str">
        <f>IFERROR(VLOOKUP($C91,SpendActivityBS!$B:$K,7,0),"")</f>
        <v/>
      </c>
      <c r="I91" s="187" t="str">
        <f>IF(E91="","",SUMIF(SpendActivityBS!$C:$K,'6. Spend &amp; Activity'!$D91,SpendActivityBS!J:J))</f>
        <v/>
      </c>
      <c r="J91" s="204"/>
      <c r="K91" s="189" t="str">
        <f>IF(E91="","",SUMIF(SpendActivityBS!$C:$K,'6. Spend &amp; Activity'!$D91,SpendActivityBS!K:K))</f>
        <v/>
      </c>
      <c r="L91" s="205"/>
      <c r="M91" s="188" t="str">
        <f>IFERROR(VLOOKUP($C91,SpendActivityBS!$B:$K,8,0),"")</f>
        <v/>
      </c>
      <c r="N91" s="205"/>
      <c r="O91" s="205"/>
    </row>
    <row r="92" spans="2:15" ht="14.4" x14ac:dyDescent="0.3">
      <c r="B92">
        <f t="shared" si="5"/>
        <v>82</v>
      </c>
      <c r="C92" t="str">
        <f t="shared" si="3"/>
        <v>82Hillingdon</v>
      </c>
      <c r="D92" t="str">
        <f t="shared" si="4"/>
        <v>Hillingdon</v>
      </c>
      <c r="E92" s="186" t="str">
        <f>IFERROR(VLOOKUP($C92,SpendActivityBS!$B:$K,4,0),"")</f>
        <v/>
      </c>
      <c r="F92" s="186" t="str">
        <f>IFERROR(VLOOKUP($C92,SpendActivityBS!$B:$K,5,0),"")</f>
        <v/>
      </c>
      <c r="G92" s="186" t="str">
        <f>IFERROR(VLOOKUP($C92,SpendActivityBS!$B:$K,6,0),"")</f>
        <v/>
      </c>
      <c r="H92" s="186" t="str">
        <f>IFERROR(VLOOKUP($C92,SpendActivityBS!$B:$K,7,0),"")</f>
        <v/>
      </c>
      <c r="I92" s="187" t="str">
        <f>IF(E92="","",SUMIF(SpendActivityBS!$C:$K,'6. Spend &amp; Activity'!$D92,SpendActivityBS!J:J))</f>
        <v/>
      </c>
      <c r="J92" s="204"/>
      <c r="K92" s="189" t="str">
        <f>IF(E92="","",SUMIF(SpendActivityBS!$C:$K,'6. Spend &amp; Activity'!$D92,SpendActivityBS!K:K))</f>
        <v/>
      </c>
      <c r="L92" s="205"/>
      <c r="M92" s="188" t="str">
        <f>IFERROR(VLOOKUP($C92,SpendActivityBS!$B:$K,8,0),"")</f>
        <v/>
      </c>
      <c r="N92" s="205"/>
      <c r="O92" s="205"/>
    </row>
    <row r="93" spans="2:15" ht="14.4" x14ac:dyDescent="0.3">
      <c r="B93">
        <f t="shared" si="5"/>
        <v>83</v>
      </c>
      <c r="C93" t="str">
        <f t="shared" si="3"/>
        <v>83Hillingdon</v>
      </c>
      <c r="D93" t="str">
        <f t="shared" si="4"/>
        <v>Hillingdon</v>
      </c>
      <c r="E93" s="186" t="str">
        <f>IFERROR(VLOOKUP($C93,SpendActivityBS!$B:$K,4,0),"")</f>
        <v/>
      </c>
      <c r="F93" s="186" t="str">
        <f>IFERROR(VLOOKUP($C93,SpendActivityBS!$B:$K,5,0),"")</f>
        <v/>
      </c>
      <c r="G93" s="186" t="str">
        <f>IFERROR(VLOOKUP($C93,SpendActivityBS!$B:$K,6,0),"")</f>
        <v/>
      </c>
      <c r="H93" s="186" t="str">
        <f>IFERROR(VLOOKUP($C93,SpendActivityBS!$B:$K,7,0),"")</f>
        <v/>
      </c>
      <c r="I93" s="187" t="str">
        <f>IF(E93="","",SUMIF(SpendActivityBS!$C:$K,'6. Spend &amp; Activity'!$D93,SpendActivityBS!J:J))</f>
        <v/>
      </c>
      <c r="J93" s="204"/>
      <c r="K93" s="189" t="str">
        <f>IF(E93="","",SUMIF(SpendActivityBS!$C:$K,'6. Spend &amp; Activity'!$D93,SpendActivityBS!K:K))</f>
        <v/>
      </c>
      <c r="L93" s="205"/>
      <c r="M93" s="188" t="str">
        <f>IFERROR(VLOOKUP($C93,SpendActivityBS!$B:$K,8,0),"")</f>
        <v/>
      </c>
      <c r="N93" s="205"/>
      <c r="O93" s="205"/>
    </row>
    <row r="94" spans="2:15" ht="14.4" x14ac:dyDescent="0.3">
      <c r="B94">
        <f t="shared" si="5"/>
        <v>84</v>
      </c>
      <c r="C94" t="str">
        <f t="shared" si="3"/>
        <v>84Hillingdon</v>
      </c>
      <c r="D94" t="str">
        <f t="shared" si="4"/>
        <v>Hillingdon</v>
      </c>
      <c r="E94" s="186" t="str">
        <f>IFERROR(VLOOKUP($C94,SpendActivityBS!$B:$K,4,0),"")</f>
        <v/>
      </c>
      <c r="F94" s="186" t="str">
        <f>IFERROR(VLOOKUP($C94,SpendActivityBS!$B:$K,5,0),"")</f>
        <v/>
      </c>
      <c r="G94" s="186" t="str">
        <f>IFERROR(VLOOKUP($C94,SpendActivityBS!$B:$K,6,0),"")</f>
        <v/>
      </c>
      <c r="H94" s="186" t="str">
        <f>IFERROR(VLOOKUP($C94,SpendActivityBS!$B:$K,7,0),"")</f>
        <v/>
      </c>
      <c r="I94" s="187" t="str">
        <f>IF(E94="","",SUMIF(SpendActivityBS!$C:$K,'6. Spend &amp; Activity'!$D94,SpendActivityBS!J:J))</f>
        <v/>
      </c>
      <c r="J94" s="204"/>
      <c r="K94" s="189" t="str">
        <f>IF(E94="","",SUMIF(SpendActivityBS!$C:$K,'6. Spend &amp; Activity'!$D94,SpendActivityBS!K:K))</f>
        <v/>
      </c>
      <c r="L94" s="205"/>
      <c r="M94" s="188" t="str">
        <f>IFERROR(VLOOKUP($C94,SpendActivityBS!$B:$K,8,0),"")</f>
        <v/>
      </c>
      <c r="N94" s="205"/>
      <c r="O94" s="205"/>
    </row>
    <row r="95" spans="2:15" ht="14.4" x14ac:dyDescent="0.3">
      <c r="B95">
        <f t="shared" si="5"/>
        <v>85</v>
      </c>
      <c r="C95" t="str">
        <f t="shared" si="3"/>
        <v>85Hillingdon</v>
      </c>
      <c r="D95" t="str">
        <f t="shared" si="4"/>
        <v>Hillingdon</v>
      </c>
      <c r="E95" s="186" t="str">
        <f>IFERROR(VLOOKUP($C95,SpendActivityBS!$B:$K,4,0),"")</f>
        <v/>
      </c>
      <c r="F95" s="186" t="str">
        <f>IFERROR(VLOOKUP($C95,SpendActivityBS!$B:$K,5,0),"")</f>
        <v/>
      </c>
      <c r="G95" s="186" t="str">
        <f>IFERROR(VLOOKUP($C95,SpendActivityBS!$B:$K,6,0),"")</f>
        <v/>
      </c>
      <c r="H95" s="186" t="str">
        <f>IFERROR(VLOOKUP($C95,SpendActivityBS!$B:$K,7,0),"")</f>
        <v/>
      </c>
      <c r="I95" s="187" t="str">
        <f>IF(E95="","",SUMIF(SpendActivityBS!$C:$K,'6. Spend &amp; Activity'!$D95,SpendActivityBS!J:J))</f>
        <v/>
      </c>
      <c r="J95" s="204"/>
      <c r="K95" s="189" t="str">
        <f>IF(E95="","",SUMIF(SpendActivityBS!$C:$K,'6. Spend &amp; Activity'!$D95,SpendActivityBS!K:K))</f>
        <v/>
      </c>
      <c r="L95" s="205"/>
      <c r="M95" s="188" t="str">
        <f>IFERROR(VLOOKUP($C95,SpendActivityBS!$B:$K,8,0),"")</f>
        <v/>
      </c>
      <c r="N95" s="205"/>
      <c r="O95" s="205"/>
    </row>
    <row r="96" spans="2:15" ht="14.4" x14ac:dyDescent="0.3">
      <c r="B96">
        <f t="shared" si="5"/>
        <v>86</v>
      </c>
      <c r="C96" t="str">
        <f t="shared" si="3"/>
        <v>86Hillingdon</v>
      </c>
      <c r="D96" t="str">
        <f t="shared" si="4"/>
        <v>Hillingdon</v>
      </c>
      <c r="E96" s="186" t="str">
        <f>IFERROR(VLOOKUP($C96,SpendActivityBS!$B:$K,4,0),"")</f>
        <v/>
      </c>
      <c r="F96" s="186" t="str">
        <f>IFERROR(VLOOKUP($C96,SpendActivityBS!$B:$K,5,0),"")</f>
        <v/>
      </c>
      <c r="G96" s="186" t="str">
        <f>IFERROR(VLOOKUP($C96,SpendActivityBS!$B:$K,6,0),"")</f>
        <v/>
      </c>
      <c r="H96" s="186" t="str">
        <f>IFERROR(VLOOKUP($C96,SpendActivityBS!$B:$K,7,0),"")</f>
        <v/>
      </c>
      <c r="I96" s="187" t="str">
        <f>IF(E96="","",SUMIF(SpendActivityBS!$C:$K,'6. Spend &amp; Activity'!$D96,SpendActivityBS!J:J))</f>
        <v/>
      </c>
      <c r="J96" s="204"/>
      <c r="K96" s="189" t="str">
        <f>IF(E96="","",SUMIF(SpendActivityBS!$C:$K,'6. Spend &amp; Activity'!$D96,SpendActivityBS!K:K))</f>
        <v/>
      </c>
      <c r="L96" s="205"/>
      <c r="M96" s="188" t="str">
        <f>IFERROR(VLOOKUP($C96,SpendActivityBS!$B:$K,8,0),"")</f>
        <v/>
      </c>
      <c r="N96" s="205"/>
      <c r="O96" s="205"/>
    </row>
    <row r="97" spans="2:15" ht="14.4" x14ac:dyDescent="0.3">
      <c r="B97">
        <f t="shared" si="5"/>
        <v>87</v>
      </c>
      <c r="C97" t="str">
        <f t="shared" si="3"/>
        <v>87Hillingdon</v>
      </c>
      <c r="D97" t="str">
        <f t="shared" si="4"/>
        <v>Hillingdon</v>
      </c>
      <c r="E97" s="186" t="str">
        <f>IFERROR(VLOOKUP($C97,SpendActivityBS!$B:$K,4,0),"")</f>
        <v/>
      </c>
      <c r="F97" s="186" t="str">
        <f>IFERROR(VLOOKUP($C97,SpendActivityBS!$B:$K,5,0),"")</f>
        <v/>
      </c>
      <c r="G97" s="186" t="str">
        <f>IFERROR(VLOOKUP($C97,SpendActivityBS!$B:$K,6,0),"")</f>
        <v/>
      </c>
      <c r="H97" s="186" t="str">
        <f>IFERROR(VLOOKUP($C97,SpendActivityBS!$B:$K,7,0),"")</f>
        <v/>
      </c>
      <c r="I97" s="187" t="str">
        <f>IF(E97="","",SUMIF(SpendActivityBS!$C:$K,'6. Spend &amp; Activity'!$D97,SpendActivityBS!J:J))</f>
        <v/>
      </c>
      <c r="J97" s="204"/>
      <c r="K97" s="189" t="str">
        <f>IF(E97="","",SUMIF(SpendActivityBS!$C:$K,'6. Spend &amp; Activity'!$D97,SpendActivityBS!K:K))</f>
        <v/>
      </c>
      <c r="L97" s="205"/>
      <c r="M97" s="188" t="str">
        <f>IFERROR(VLOOKUP($C97,SpendActivityBS!$B:$K,8,0),"")</f>
        <v/>
      </c>
      <c r="N97" s="205"/>
      <c r="O97" s="205"/>
    </row>
    <row r="98" spans="2:15" ht="14.4" x14ac:dyDescent="0.3">
      <c r="B98">
        <f t="shared" si="5"/>
        <v>88</v>
      </c>
      <c r="C98" t="str">
        <f t="shared" si="3"/>
        <v>88Hillingdon</v>
      </c>
      <c r="D98" t="str">
        <f t="shared" si="4"/>
        <v>Hillingdon</v>
      </c>
      <c r="E98" s="186" t="str">
        <f>IFERROR(VLOOKUP($C98,SpendActivityBS!$B:$K,4,0),"")</f>
        <v/>
      </c>
      <c r="F98" s="186" t="str">
        <f>IFERROR(VLOOKUP($C98,SpendActivityBS!$B:$K,5,0),"")</f>
        <v/>
      </c>
      <c r="G98" s="186" t="str">
        <f>IFERROR(VLOOKUP($C98,SpendActivityBS!$B:$K,6,0),"")</f>
        <v/>
      </c>
      <c r="H98" s="186" t="str">
        <f>IFERROR(VLOOKUP($C98,SpendActivityBS!$B:$K,7,0),"")</f>
        <v/>
      </c>
      <c r="I98" s="187" t="str">
        <f>IF(E98="","",SUMIF(SpendActivityBS!$C:$K,'6. Spend &amp; Activity'!$D98,SpendActivityBS!J:J))</f>
        <v/>
      </c>
      <c r="J98" s="204"/>
      <c r="K98" s="189" t="str">
        <f>IF(E98="","",SUMIF(SpendActivityBS!$C:$K,'6. Spend &amp; Activity'!$D98,SpendActivityBS!K:K))</f>
        <v/>
      </c>
      <c r="L98" s="205"/>
      <c r="M98" s="188" t="str">
        <f>IFERROR(VLOOKUP($C98,SpendActivityBS!$B:$K,8,0),"")</f>
        <v/>
      </c>
      <c r="N98" s="205"/>
      <c r="O98" s="205"/>
    </row>
    <row r="99" spans="2:15" ht="14.4" x14ac:dyDescent="0.3">
      <c r="B99">
        <f t="shared" si="5"/>
        <v>89</v>
      </c>
      <c r="C99" t="str">
        <f t="shared" si="3"/>
        <v>89Hillingdon</v>
      </c>
      <c r="D99" t="str">
        <f t="shared" si="4"/>
        <v>Hillingdon</v>
      </c>
      <c r="E99" s="186" t="str">
        <f>IFERROR(VLOOKUP($C99,SpendActivityBS!$B:$K,4,0),"")</f>
        <v/>
      </c>
      <c r="F99" s="186" t="str">
        <f>IFERROR(VLOOKUP($C99,SpendActivityBS!$B:$K,5,0),"")</f>
        <v/>
      </c>
      <c r="G99" s="186" t="str">
        <f>IFERROR(VLOOKUP($C99,SpendActivityBS!$B:$K,6,0),"")</f>
        <v/>
      </c>
      <c r="H99" s="186" t="str">
        <f>IFERROR(VLOOKUP($C99,SpendActivityBS!$B:$K,7,0),"")</f>
        <v/>
      </c>
      <c r="I99" s="187" t="str">
        <f>IF(E99="","",SUMIF(SpendActivityBS!$C:$K,'6. Spend &amp; Activity'!$D99,SpendActivityBS!J:J))</f>
        <v/>
      </c>
      <c r="J99" s="204"/>
      <c r="K99" s="189" t="str">
        <f>IF(E99="","",SUMIF(SpendActivityBS!$C:$K,'6. Spend &amp; Activity'!$D99,SpendActivityBS!K:K))</f>
        <v/>
      </c>
      <c r="L99" s="205"/>
      <c r="M99" s="188" t="str">
        <f>IFERROR(VLOOKUP($C99,SpendActivityBS!$B:$K,8,0),"")</f>
        <v/>
      </c>
      <c r="N99" s="205"/>
      <c r="O99" s="205"/>
    </row>
    <row r="100" spans="2:15" ht="14.4" x14ac:dyDescent="0.3">
      <c r="B100">
        <f t="shared" si="5"/>
        <v>90</v>
      </c>
      <c r="C100" t="str">
        <f t="shared" si="3"/>
        <v>90Hillingdon</v>
      </c>
      <c r="D100" t="str">
        <f t="shared" si="4"/>
        <v>Hillingdon</v>
      </c>
      <c r="E100" s="186" t="str">
        <f>IFERROR(VLOOKUP($C100,SpendActivityBS!$B:$K,4,0),"")</f>
        <v/>
      </c>
      <c r="F100" s="186" t="str">
        <f>IFERROR(VLOOKUP($C100,SpendActivityBS!$B:$K,5,0),"")</f>
        <v/>
      </c>
      <c r="G100" s="186" t="str">
        <f>IFERROR(VLOOKUP($C100,SpendActivityBS!$B:$K,6,0),"")</f>
        <v/>
      </c>
      <c r="H100" s="186" t="str">
        <f>IFERROR(VLOOKUP($C100,SpendActivityBS!$B:$K,7,0),"")</f>
        <v/>
      </c>
      <c r="I100" s="187" t="str">
        <f>IF(E100="","",SUMIF(SpendActivityBS!$C:$K,'6. Spend &amp; Activity'!$D100,SpendActivityBS!J:J))</f>
        <v/>
      </c>
      <c r="J100" s="204"/>
      <c r="K100" s="189" t="str">
        <f>IF(E100="","",SUMIF(SpendActivityBS!$C:$K,'6. Spend &amp; Activity'!$D100,SpendActivityBS!K:K))</f>
        <v/>
      </c>
      <c r="L100" s="205"/>
      <c r="M100" s="188" t="str">
        <f>IFERROR(VLOOKUP($C100,SpendActivityBS!$B:$K,8,0),"")</f>
        <v/>
      </c>
      <c r="N100" s="205"/>
      <c r="O100" s="205"/>
    </row>
    <row r="101" spans="2:15" ht="14.4" x14ac:dyDescent="0.3">
      <c r="B101">
        <f t="shared" si="5"/>
        <v>91</v>
      </c>
      <c r="C101" t="str">
        <f t="shared" si="3"/>
        <v>91Hillingdon</v>
      </c>
      <c r="D101" t="str">
        <f t="shared" si="4"/>
        <v>Hillingdon</v>
      </c>
      <c r="E101" s="186" t="str">
        <f>IFERROR(VLOOKUP($C101,SpendActivityBS!$B:$K,4,0),"")</f>
        <v/>
      </c>
      <c r="F101" s="186" t="str">
        <f>IFERROR(VLOOKUP($C101,SpendActivityBS!$B:$K,5,0),"")</f>
        <v/>
      </c>
      <c r="G101" s="186" t="str">
        <f>IFERROR(VLOOKUP($C101,SpendActivityBS!$B:$K,6,0),"")</f>
        <v/>
      </c>
      <c r="H101" s="186" t="str">
        <f>IFERROR(VLOOKUP($C101,SpendActivityBS!$B:$K,7,0),"")</f>
        <v/>
      </c>
      <c r="I101" s="187" t="str">
        <f>IF(E101="","",SUMIF(SpendActivityBS!$C:$K,'6. Spend &amp; Activity'!$D101,SpendActivityBS!J:J))</f>
        <v/>
      </c>
      <c r="J101" s="204"/>
      <c r="K101" s="189" t="str">
        <f>IF(E101="","",SUMIF(SpendActivityBS!$C:$K,'6. Spend &amp; Activity'!$D101,SpendActivityBS!K:K))</f>
        <v/>
      </c>
      <c r="L101" s="205"/>
      <c r="M101" s="188" t="str">
        <f>IFERROR(VLOOKUP($C101,SpendActivityBS!$B:$K,8,0),"")</f>
        <v/>
      </c>
      <c r="N101" s="205"/>
      <c r="O101" s="205"/>
    </row>
    <row r="102" spans="2:15" ht="14.4" x14ac:dyDescent="0.3">
      <c r="B102">
        <f t="shared" si="5"/>
        <v>92</v>
      </c>
      <c r="C102" t="str">
        <f t="shared" si="3"/>
        <v>92Hillingdon</v>
      </c>
      <c r="D102" t="str">
        <f t="shared" si="4"/>
        <v>Hillingdon</v>
      </c>
      <c r="E102" s="186" t="str">
        <f>IFERROR(VLOOKUP($C102,SpendActivityBS!$B:$K,4,0),"")</f>
        <v/>
      </c>
      <c r="F102" s="186" t="str">
        <f>IFERROR(VLOOKUP($C102,SpendActivityBS!$B:$K,5,0),"")</f>
        <v/>
      </c>
      <c r="G102" s="186" t="str">
        <f>IFERROR(VLOOKUP($C102,SpendActivityBS!$B:$K,6,0),"")</f>
        <v/>
      </c>
      <c r="H102" s="186" t="str">
        <f>IFERROR(VLOOKUP($C102,SpendActivityBS!$B:$K,7,0),"")</f>
        <v/>
      </c>
      <c r="I102" s="187" t="str">
        <f>IF(E102="","",SUMIF(SpendActivityBS!$C:$K,'6. Spend &amp; Activity'!$D102,SpendActivityBS!J:J))</f>
        <v/>
      </c>
      <c r="J102" s="204"/>
      <c r="K102" s="189" t="str">
        <f>IF(E102="","",SUMIF(SpendActivityBS!$C:$K,'6. Spend &amp; Activity'!$D102,SpendActivityBS!K:K))</f>
        <v/>
      </c>
      <c r="L102" s="205"/>
      <c r="M102" s="188" t="str">
        <f>IFERROR(VLOOKUP($C102,SpendActivityBS!$B:$K,8,0),"")</f>
        <v/>
      </c>
      <c r="N102" s="205"/>
      <c r="O102" s="205"/>
    </row>
    <row r="103" spans="2:15" ht="14.4" x14ac:dyDescent="0.3">
      <c r="B103">
        <f t="shared" si="5"/>
        <v>93</v>
      </c>
      <c r="C103" t="str">
        <f t="shared" si="3"/>
        <v>93Hillingdon</v>
      </c>
      <c r="D103" t="str">
        <f t="shared" si="4"/>
        <v>Hillingdon</v>
      </c>
      <c r="E103" s="186" t="str">
        <f>IFERROR(VLOOKUP($C103,SpendActivityBS!$B:$K,4,0),"")</f>
        <v/>
      </c>
      <c r="F103" s="186" t="str">
        <f>IFERROR(VLOOKUP($C103,SpendActivityBS!$B:$K,5,0),"")</f>
        <v/>
      </c>
      <c r="G103" s="186" t="str">
        <f>IFERROR(VLOOKUP($C103,SpendActivityBS!$B:$K,6,0),"")</f>
        <v/>
      </c>
      <c r="H103" s="186" t="str">
        <f>IFERROR(VLOOKUP($C103,SpendActivityBS!$B:$K,7,0),"")</f>
        <v/>
      </c>
      <c r="I103" s="187" t="str">
        <f>IF(E103="","",SUMIF(SpendActivityBS!$C:$K,'6. Spend &amp; Activity'!$D103,SpendActivityBS!J:J))</f>
        <v/>
      </c>
      <c r="J103" s="204"/>
      <c r="K103" s="189" t="str">
        <f>IF(E103="","",SUMIF(SpendActivityBS!$C:$K,'6. Spend &amp; Activity'!$D103,SpendActivityBS!K:K))</f>
        <v/>
      </c>
      <c r="L103" s="205"/>
      <c r="M103" s="188" t="str">
        <f>IFERROR(VLOOKUP($C103,SpendActivityBS!$B:$K,8,0),"")</f>
        <v/>
      </c>
      <c r="N103" s="205"/>
      <c r="O103" s="205"/>
    </row>
    <row r="104" spans="2:15" ht="14.4" x14ac:dyDescent="0.3">
      <c r="B104">
        <f t="shared" si="5"/>
        <v>94</v>
      </c>
      <c r="C104" t="str">
        <f t="shared" si="3"/>
        <v>94Hillingdon</v>
      </c>
      <c r="D104" t="str">
        <f t="shared" si="4"/>
        <v>Hillingdon</v>
      </c>
      <c r="E104" s="186" t="str">
        <f>IFERROR(VLOOKUP($C104,SpendActivityBS!$B:$K,4,0),"")</f>
        <v/>
      </c>
      <c r="F104" s="186" t="str">
        <f>IFERROR(VLOOKUP($C104,SpendActivityBS!$B:$K,5,0),"")</f>
        <v/>
      </c>
      <c r="G104" s="186" t="str">
        <f>IFERROR(VLOOKUP($C104,SpendActivityBS!$B:$K,6,0),"")</f>
        <v/>
      </c>
      <c r="H104" s="186" t="str">
        <f>IFERROR(VLOOKUP($C104,SpendActivityBS!$B:$K,7,0),"")</f>
        <v/>
      </c>
      <c r="I104" s="187" t="str">
        <f>IF(E104="","",SUMIF(SpendActivityBS!$C:$K,'6. Spend &amp; Activity'!$D104,SpendActivityBS!J:J))</f>
        <v/>
      </c>
      <c r="J104" s="204"/>
      <c r="K104" s="189" t="str">
        <f>IF(E104="","",SUMIF(SpendActivityBS!$C:$K,'6. Spend &amp; Activity'!$D104,SpendActivityBS!K:K))</f>
        <v/>
      </c>
      <c r="L104" s="205"/>
      <c r="M104" s="188" t="str">
        <f>IFERROR(VLOOKUP($C104,SpendActivityBS!$B:$K,8,0),"")</f>
        <v/>
      </c>
      <c r="N104" s="205"/>
      <c r="O104" s="205"/>
    </row>
    <row r="105" spans="2:15" ht="14.4" x14ac:dyDescent="0.3">
      <c r="B105">
        <f t="shared" si="5"/>
        <v>95</v>
      </c>
      <c r="C105" t="str">
        <f t="shared" si="3"/>
        <v>95Hillingdon</v>
      </c>
      <c r="D105" t="str">
        <f t="shared" si="4"/>
        <v>Hillingdon</v>
      </c>
      <c r="E105" s="186" t="str">
        <f>IFERROR(VLOOKUP($C105,SpendActivityBS!$B:$K,4,0),"")</f>
        <v/>
      </c>
      <c r="F105" s="186" t="str">
        <f>IFERROR(VLOOKUP($C105,SpendActivityBS!$B:$K,5,0),"")</f>
        <v/>
      </c>
      <c r="G105" s="186" t="str">
        <f>IFERROR(VLOOKUP($C105,SpendActivityBS!$B:$K,6,0),"")</f>
        <v/>
      </c>
      <c r="H105" s="186" t="str">
        <f>IFERROR(VLOOKUP($C105,SpendActivityBS!$B:$K,7,0),"")</f>
        <v/>
      </c>
      <c r="I105" s="187" t="str">
        <f>IF(E105="","",SUMIF(SpendActivityBS!$C:$K,'6. Spend &amp; Activity'!$D105,SpendActivityBS!J:J))</f>
        <v/>
      </c>
      <c r="J105" s="204"/>
      <c r="K105" s="189" t="str">
        <f>IF(E105="","",SUMIF(SpendActivityBS!$C:$K,'6. Spend &amp; Activity'!$D105,SpendActivityBS!K:K))</f>
        <v/>
      </c>
      <c r="L105" s="205"/>
      <c r="M105" s="188" t="str">
        <f>IFERROR(VLOOKUP($C105,SpendActivityBS!$B:$K,8,0),"")</f>
        <v/>
      </c>
      <c r="N105" s="205"/>
      <c r="O105" s="205"/>
    </row>
    <row r="106" spans="2:15" ht="14.4" x14ac:dyDescent="0.3">
      <c r="B106">
        <f t="shared" si="5"/>
        <v>96</v>
      </c>
      <c r="C106" t="str">
        <f t="shared" si="3"/>
        <v>96Hillingdon</v>
      </c>
      <c r="D106" t="str">
        <f t="shared" si="4"/>
        <v>Hillingdon</v>
      </c>
      <c r="E106" s="186" t="str">
        <f>IFERROR(VLOOKUP($C106,SpendActivityBS!$B:$K,4,0),"")</f>
        <v/>
      </c>
      <c r="F106" s="186" t="str">
        <f>IFERROR(VLOOKUP($C106,SpendActivityBS!$B:$K,5,0),"")</f>
        <v/>
      </c>
      <c r="G106" s="186" t="str">
        <f>IFERROR(VLOOKUP($C106,SpendActivityBS!$B:$K,6,0),"")</f>
        <v/>
      </c>
      <c r="H106" s="186" t="str">
        <f>IFERROR(VLOOKUP($C106,SpendActivityBS!$B:$K,7,0),"")</f>
        <v/>
      </c>
      <c r="I106" s="187" t="str">
        <f>IF(E106="","",SUMIF(SpendActivityBS!$C:$K,'6. Spend &amp; Activity'!$D106,SpendActivityBS!J:J))</f>
        <v/>
      </c>
      <c r="J106" s="204"/>
      <c r="K106" s="189" t="str">
        <f>IF(E106="","",SUMIF(SpendActivityBS!$C:$K,'6. Spend &amp; Activity'!$D106,SpendActivityBS!K:K))</f>
        <v/>
      </c>
      <c r="L106" s="205"/>
      <c r="M106" s="188" t="str">
        <f>IFERROR(VLOOKUP($C106,SpendActivityBS!$B:$K,8,0),"")</f>
        <v/>
      </c>
      <c r="N106" s="205"/>
      <c r="O106" s="205"/>
    </row>
    <row r="107" spans="2:15" ht="14.4" x14ac:dyDescent="0.3">
      <c r="B107">
        <f t="shared" si="5"/>
        <v>97</v>
      </c>
      <c r="C107" t="str">
        <f t="shared" si="3"/>
        <v>97Hillingdon</v>
      </c>
      <c r="D107" t="str">
        <f t="shared" si="4"/>
        <v>Hillingdon</v>
      </c>
      <c r="E107" s="186" t="str">
        <f>IFERROR(VLOOKUP($C107,SpendActivityBS!$B:$K,4,0),"")</f>
        <v/>
      </c>
      <c r="F107" s="186" t="str">
        <f>IFERROR(VLOOKUP($C107,SpendActivityBS!$B:$K,5,0),"")</f>
        <v/>
      </c>
      <c r="G107" s="186" t="str">
        <f>IFERROR(VLOOKUP($C107,SpendActivityBS!$B:$K,6,0),"")</f>
        <v/>
      </c>
      <c r="H107" s="186" t="str">
        <f>IFERROR(VLOOKUP($C107,SpendActivityBS!$B:$K,7,0),"")</f>
        <v/>
      </c>
      <c r="I107" s="187" t="str">
        <f>IF(E107="","",SUMIF(SpendActivityBS!$C:$K,'6. Spend &amp; Activity'!$D107,SpendActivityBS!J:J))</f>
        <v/>
      </c>
      <c r="J107" s="204"/>
      <c r="K107" s="189" t="str">
        <f>IF(E107="","",SUMIF(SpendActivityBS!$C:$K,'6. Spend &amp; Activity'!$D107,SpendActivityBS!K:K))</f>
        <v/>
      </c>
      <c r="L107" s="205"/>
      <c r="M107" s="188" t="str">
        <f>IFERROR(VLOOKUP($C107,SpendActivityBS!$B:$K,8,0),"")</f>
        <v/>
      </c>
      <c r="N107" s="205"/>
      <c r="O107" s="205"/>
    </row>
    <row r="108" spans="2:15" ht="14.4" x14ac:dyDescent="0.3">
      <c r="B108">
        <f t="shared" si="5"/>
        <v>98</v>
      </c>
      <c r="C108" t="str">
        <f t="shared" si="3"/>
        <v>98Hillingdon</v>
      </c>
      <c r="D108" t="str">
        <f t="shared" si="4"/>
        <v>Hillingdon</v>
      </c>
      <c r="E108" s="186" t="str">
        <f>IFERROR(VLOOKUP($C108,SpendActivityBS!$B:$K,4,0),"")</f>
        <v/>
      </c>
      <c r="F108" s="186" t="str">
        <f>IFERROR(VLOOKUP($C108,SpendActivityBS!$B:$K,5,0),"")</f>
        <v/>
      </c>
      <c r="G108" s="186" t="str">
        <f>IFERROR(VLOOKUP($C108,SpendActivityBS!$B:$K,6,0),"")</f>
        <v/>
      </c>
      <c r="H108" s="186" t="str">
        <f>IFERROR(VLOOKUP($C108,SpendActivityBS!$B:$K,7,0),"")</f>
        <v/>
      </c>
      <c r="I108" s="187" t="str">
        <f>IF(E108="","",SUMIF(SpendActivityBS!$C:$K,'6. Spend &amp; Activity'!$D108,SpendActivityBS!J:J))</f>
        <v/>
      </c>
      <c r="J108" s="204"/>
      <c r="K108" s="189" t="str">
        <f>IF(E108="","",SUMIF(SpendActivityBS!$C:$K,'6. Spend &amp; Activity'!$D108,SpendActivityBS!K:K))</f>
        <v/>
      </c>
      <c r="L108" s="205"/>
      <c r="M108" s="188" t="str">
        <f>IFERROR(VLOOKUP($C108,SpendActivityBS!$B:$K,8,0),"")</f>
        <v/>
      </c>
      <c r="N108" s="205"/>
      <c r="O108" s="205"/>
    </row>
    <row r="109" spans="2:15" ht="14.4" x14ac:dyDescent="0.3">
      <c r="B109">
        <f t="shared" si="5"/>
        <v>99</v>
      </c>
      <c r="C109" t="str">
        <f t="shared" si="3"/>
        <v>99Hillingdon</v>
      </c>
      <c r="D109" t="str">
        <f t="shared" si="4"/>
        <v>Hillingdon</v>
      </c>
      <c r="E109" s="186" t="str">
        <f>IFERROR(VLOOKUP($C109,SpendActivityBS!$B:$K,4,0),"")</f>
        <v/>
      </c>
      <c r="F109" s="186" t="str">
        <f>IFERROR(VLOOKUP($C109,SpendActivityBS!$B:$K,5,0),"")</f>
        <v/>
      </c>
      <c r="G109" s="186" t="str">
        <f>IFERROR(VLOOKUP($C109,SpendActivityBS!$B:$K,6,0),"")</f>
        <v/>
      </c>
      <c r="H109" s="186" t="str">
        <f>IFERROR(VLOOKUP($C109,SpendActivityBS!$B:$K,7,0),"")</f>
        <v/>
      </c>
      <c r="I109" s="187" t="str">
        <f>IF(E109="","",SUMIF(SpendActivityBS!$C:$K,'6. Spend &amp; Activity'!$D109,SpendActivityBS!J:J))</f>
        <v/>
      </c>
      <c r="J109" s="204"/>
      <c r="K109" s="189" t="str">
        <f>IF(E109="","",SUMIF(SpendActivityBS!$C:$K,'6. Spend &amp; Activity'!$D109,SpendActivityBS!K:K))</f>
        <v/>
      </c>
      <c r="L109" s="205"/>
      <c r="M109" s="188" t="str">
        <f>IFERROR(VLOOKUP($C109,SpendActivityBS!$B:$K,8,0),"")</f>
        <v/>
      </c>
      <c r="N109" s="205"/>
      <c r="O109" s="205"/>
    </row>
    <row r="110" spans="2:15" ht="14.4" x14ac:dyDescent="0.3"/>
    <row r="111" spans="2:15" ht="14.4" x14ac:dyDescent="0.3"/>
    <row r="112" spans="2:15" ht="14.4" x14ac:dyDescent="0.3"/>
    <row r="113" ht="14.4" x14ac:dyDescent="0.3"/>
    <row r="114" ht="14.4" x14ac:dyDescent="0.3"/>
    <row r="115" ht="14.4" x14ac:dyDescent="0.3"/>
    <row r="116" ht="14.4" x14ac:dyDescent="0.3"/>
    <row r="117" ht="14.4" x14ac:dyDescent="0.3"/>
    <row r="118" ht="14.4" x14ac:dyDescent="0.3"/>
    <row r="119" ht="14.4" x14ac:dyDescent="0.3"/>
    <row r="120" ht="14.4" x14ac:dyDescent="0.3"/>
    <row r="121" ht="14.4" x14ac:dyDescent="0.3"/>
  </sheetData>
  <sheetProtection formatColumns="0" formatRows="0" selectLockedCells="1" autoFilter="0"/>
  <mergeCells count="1">
    <mergeCell ref="E2:H2"/>
  </mergeCells>
  <dataValidations count="2">
    <dataValidation type="list" allowBlank="1" showInputMessage="1" showErrorMessage="1" sqref="N11:N109" xr:uid="{A649993D-2648-4900-BF18-2251EA22C5D2}">
      <formula1>"Yes, No"</formula1>
    </dataValidation>
    <dataValidation type="decimal" operator="greaterThanOrEqual" allowBlank="1" showInputMessage="1" showErrorMessage="1" sqref="J11:J109 L11:L109" xr:uid="{FD26B217-DD41-4D73-97AE-7137EB47B2E0}">
      <formula1>0</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EEE6-CEB5-429E-BAC4-67496EA9C0B3}">
  <dimension ref="A1:AJ3030"/>
  <sheetViews>
    <sheetView zoomScale="80" zoomScaleNormal="80" workbookViewId="0">
      <selection activeCell="P16" sqref="P16"/>
    </sheetView>
  </sheetViews>
  <sheetFormatPr defaultRowHeight="14.4" x14ac:dyDescent="0.3"/>
  <cols>
    <col min="3" max="9" width="9.109375" customWidth="1"/>
    <col min="14" max="14" width="13.109375" customWidth="1"/>
  </cols>
  <sheetData>
    <row r="1" spans="1:36" x14ac:dyDescent="0.3">
      <c r="A1" t="s">
        <v>764</v>
      </c>
      <c r="B1" t="s">
        <v>765</v>
      </c>
      <c r="C1" t="s">
        <v>766</v>
      </c>
      <c r="D1" t="s">
        <v>767</v>
      </c>
      <c r="E1" t="s">
        <v>753</v>
      </c>
      <c r="F1" t="s">
        <v>754</v>
      </c>
      <c r="G1" t="s">
        <v>755</v>
      </c>
      <c r="H1" t="s">
        <v>756</v>
      </c>
      <c r="I1" t="s">
        <v>768</v>
      </c>
      <c r="J1" t="s">
        <v>769</v>
      </c>
      <c r="K1" t="s">
        <v>770</v>
      </c>
      <c r="N1" t="s">
        <v>766</v>
      </c>
      <c r="O1" t="s">
        <v>767</v>
      </c>
      <c r="P1" t="s">
        <v>771</v>
      </c>
      <c r="Q1" t="s">
        <v>753</v>
      </c>
      <c r="R1" t="s">
        <v>754</v>
      </c>
      <c r="S1" t="s">
        <v>772</v>
      </c>
      <c r="T1" t="s">
        <v>755</v>
      </c>
      <c r="U1" t="s">
        <v>756</v>
      </c>
      <c r="V1" t="s">
        <v>773</v>
      </c>
      <c r="W1" t="s">
        <v>769</v>
      </c>
      <c r="X1" t="s">
        <v>770</v>
      </c>
      <c r="Y1" t="s">
        <v>768</v>
      </c>
      <c r="Z1" t="s">
        <v>774</v>
      </c>
      <c r="AA1" t="s">
        <v>775</v>
      </c>
      <c r="AB1" t="s">
        <v>776</v>
      </c>
      <c r="AC1" t="s">
        <v>777</v>
      </c>
      <c r="AD1" t="s">
        <v>778</v>
      </c>
      <c r="AE1" t="s">
        <v>779</v>
      </c>
      <c r="AF1" t="s">
        <v>780</v>
      </c>
      <c r="AG1" t="s">
        <v>781</v>
      </c>
      <c r="AH1" t="s">
        <v>782</v>
      </c>
      <c r="AI1" t="s">
        <v>783</v>
      </c>
      <c r="AJ1" t="s">
        <v>784</v>
      </c>
    </row>
    <row r="2" spans="1:36" x14ac:dyDescent="0.3">
      <c r="A2">
        <f>COUNTIF($D$2:D2,D2)</f>
        <v>1</v>
      </c>
      <c r="B2" t="str">
        <f>A2&amp;D2</f>
        <v>1Barking and Dagenham</v>
      </c>
      <c r="C2" t="s">
        <v>785</v>
      </c>
      <c r="D2" t="s">
        <v>65</v>
      </c>
      <c r="E2">
        <v>3</v>
      </c>
      <c r="F2" t="s">
        <v>786</v>
      </c>
      <c r="G2" t="s">
        <v>787</v>
      </c>
      <c r="H2" t="s">
        <v>788</v>
      </c>
      <c r="I2" t="s">
        <v>789</v>
      </c>
      <c r="J2">
        <f ca="1">SUMIF($N:$AI,C2,AH:AH)</f>
        <v>1332133</v>
      </c>
      <c r="K2">
        <f ca="1">SUMIF($N:$AI,C2,W:W)</f>
        <v>200</v>
      </c>
      <c r="N2" t="str">
        <f t="shared" ref="N2:N65" si="0">O2&amp;Q2&amp;R2&amp;T2&amp;U2</f>
        <v xml:space="preserve">Barking and Dagenham3Targeted out of hospital careHome-based intermediate care servicesReablement at home (to support discharge) </v>
      </c>
      <c r="O2" t="s">
        <v>65</v>
      </c>
      <c r="P2" t="s">
        <v>790</v>
      </c>
      <c r="Q2">
        <v>3</v>
      </c>
      <c r="R2" t="s">
        <v>786</v>
      </c>
      <c r="S2" t="s">
        <v>791</v>
      </c>
      <c r="T2" t="s">
        <v>787</v>
      </c>
      <c r="U2" t="s">
        <v>788</v>
      </c>
      <c r="W2">
        <v>200</v>
      </c>
      <c r="X2">
        <v>200</v>
      </c>
      <c r="Y2" t="s">
        <v>789</v>
      </c>
      <c r="Z2" t="s">
        <v>792</v>
      </c>
      <c r="AB2" t="s">
        <v>793</v>
      </c>
      <c r="AD2" t="s">
        <v>794</v>
      </c>
      <c r="AE2" t="s">
        <v>795</v>
      </c>
      <c r="AF2" t="s">
        <v>796</v>
      </c>
      <c r="AG2" t="s">
        <v>797</v>
      </c>
      <c r="AH2">
        <v>1332133</v>
      </c>
      <c r="AI2">
        <v>1332133</v>
      </c>
      <c r="AJ2">
        <v>0.5</v>
      </c>
    </row>
    <row r="3" spans="1:36" x14ac:dyDescent="0.3">
      <c r="A3">
        <f>COUNTIF($D$2:D3,D3)</f>
        <v>2</v>
      </c>
      <c r="B3" t="str">
        <f t="shared" ref="B3:B66" si="1">A3&amp;D3</f>
        <v>2Barking and Dagenham</v>
      </c>
      <c r="C3" t="s">
        <v>798</v>
      </c>
      <c r="D3" t="s">
        <v>65</v>
      </c>
      <c r="E3">
        <v>11</v>
      </c>
      <c r="F3" t="s">
        <v>799</v>
      </c>
      <c r="G3" t="s">
        <v>800</v>
      </c>
      <c r="H3" t="s">
        <v>801</v>
      </c>
      <c r="I3" t="s">
        <v>802</v>
      </c>
      <c r="J3">
        <f t="shared" ref="J3:J66" ca="1" si="2">SUMIF($N:$AI,C3,AH:AH)</f>
        <v>80000</v>
      </c>
      <c r="K3">
        <f t="shared" ref="K3:K66" ca="1" si="3">SUMIF($N:$AI,C3,W:W)</f>
        <v>250</v>
      </c>
      <c r="N3" t="str">
        <f t="shared" si="0"/>
        <v>Barking and Dagenham11Community support and independenceAssistive Technologies and EquipmentCommunity Based Equipment</v>
      </c>
      <c r="O3" t="s">
        <v>65</v>
      </c>
      <c r="P3" t="s">
        <v>790</v>
      </c>
      <c r="Q3">
        <v>11</v>
      </c>
      <c r="R3" t="s">
        <v>799</v>
      </c>
      <c r="S3" t="s">
        <v>803</v>
      </c>
      <c r="T3" t="s">
        <v>800</v>
      </c>
      <c r="U3" t="s">
        <v>801</v>
      </c>
      <c r="W3">
        <v>250</v>
      </c>
      <c r="X3">
        <v>250</v>
      </c>
      <c r="Y3" t="s">
        <v>802</v>
      </c>
      <c r="Z3" t="s">
        <v>792</v>
      </c>
      <c r="AB3" t="s">
        <v>793</v>
      </c>
      <c r="AD3" t="s">
        <v>794</v>
      </c>
      <c r="AE3" t="s">
        <v>804</v>
      </c>
      <c r="AF3" t="s">
        <v>796</v>
      </c>
      <c r="AG3" t="s">
        <v>797</v>
      </c>
      <c r="AH3">
        <v>80000</v>
      </c>
      <c r="AI3">
        <v>80000</v>
      </c>
      <c r="AJ3">
        <v>9.8000000000000004E-2</v>
      </c>
    </row>
    <row r="4" spans="1:36" x14ac:dyDescent="0.3">
      <c r="A4">
        <f>COUNTIF($D$2:D4,D4)</f>
        <v>3</v>
      </c>
      <c r="B4" t="str">
        <f t="shared" si="1"/>
        <v>3Barking and Dagenham</v>
      </c>
      <c r="C4" t="s">
        <v>805</v>
      </c>
      <c r="D4" t="s">
        <v>65</v>
      </c>
      <c r="E4">
        <v>13</v>
      </c>
      <c r="F4" t="s">
        <v>786</v>
      </c>
      <c r="G4" t="s">
        <v>806</v>
      </c>
      <c r="H4" t="s">
        <v>807</v>
      </c>
      <c r="I4" t="s">
        <v>808</v>
      </c>
      <c r="J4">
        <f t="shared" ca="1" si="2"/>
        <v>947610</v>
      </c>
      <c r="K4">
        <f t="shared" ca="1" si="3"/>
        <v>20</v>
      </c>
      <c r="N4" t="str">
        <f t="shared" si="0"/>
        <v>Barking and Dagenham13Targeted out of hospital careResidential PlacementsCare home</v>
      </c>
      <c r="O4" t="s">
        <v>65</v>
      </c>
      <c r="P4" t="s">
        <v>790</v>
      </c>
      <c r="Q4">
        <v>13</v>
      </c>
      <c r="R4" t="s">
        <v>786</v>
      </c>
      <c r="S4" t="s">
        <v>809</v>
      </c>
      <c r="T4" t="s">
        <v>806</v>
      </c>
      <c r="U4" t="s">
        <v>807</v>
      </c>
      <c r="W4">
        <v>20</v>
      </c>
      <c r="X4">
        <v>20</v>
      </c>
      <c r="Y4" t="s">
        <v>808</v>
      </c>
      <c r="Z4" t="s">
        <v>792</v>
      </c>
      <c r="AB4" t="s">
        <v>793</v>
      </c>
      <c r="AD4" t="s">
        <v>794</v>
      </c>
      <c r="AE4" t="s">
        <v>795</v>
      </c>
      <c r="AF4" t="s">
        <v>796</v>
      </c>
      <c r="AG4" t="s">
        <v>797</v>
      </c>
      <c r="AH4">
        <v>947610</v>
      </c>
      <c r="AI4">
        <v>947610</v>
      </c>
      <c r="AJ4">
        <v>0.16</v>
      </c>
    </row>
    <row r="5" spans="1:36" x14ac:dyDescent="0.3">
      <c r="A5">
        <f>COUNTIF($D$2:D5,D5)</f>
        <v>4</v>
      </c>
      <c r="B5" t="str">
        <f t="shared" si="1"/>
        <v>4Barking and Dagenham</v>
      </c>
      <c r="C5" t="s">
        <v>810</v>
      </c>
      <c r="D5" t="s">
        <v>65</v>
      </c>
      <c r="E5">
        <v>16</v>
      </c>
      <c r="F5" t="s">
        <v>799</v>
      </c>
      <c r="G5" t="s">
        <v>811</v>
      </c>
      <c r="H5" t="s">
        <v>812</v>
      </c>
      <c r="I5" t="s">
        <v>813</v>
      </c>
      <c r="J5">
        <f t="shared" ca="1" si="2"/>
        <v>75000</v>
      </c>
      <c r="K5">
        <f t="shared" ca="1" si="3"/>
        <v>950</v>
      </c>
      <c r="N5" t="str">
        <f t="shared" si="0"/>
        <v>Barking and Dagenham16Community support and independenceCarers ServicesOther</v>
      </c>
      <c r="O5" t="s">
        <v>65</v>
      </c>
      <c r="P5" t="s">
        <v>790</v>
      </c>
      <c r="Q5">
        <v>16</v>
      </c>
      <c r="R5" t="s">
        <v>799</v>
      </c>
      <c r="S5" t="s">
        <v>814</v>
      </c>
      <c r="T5" t="s">
        <v>811</v>
      </c>
      <c r="U5" t="s">
        <v>812</v>
      </c>
      <c r="V5" t="s">
        <v>814</v>
      </c>
      <c r="W5">
        <v>950</v>
      </c>
      <c r="X5">
        <v>950</v>
      </c>
      <c r="Y5" t="s">
        <v>813</v>
      </c>
      <c r="Z5" t="s">
        <v>792</v>
      </c>
      <c r="AB5" t="s">
        <v>793</v>
      </c>
      <c r="AD5" t="s">
        <v>794</v>
      </c>
      <c r="AE5" t="s">
        <v>795</v>
      </c>
      <c r="AF5" t="s">
        <v>796</v>
      </c>
      <c r="AG5" t="s">
        <v>797</v>
      </c>
      <c r="AH5">
        <v>75000</v>
      </c>
      <c r="AI5">
        <v>75000</v>
      </c>
      <c r="AJ5">
        <v>0.22</v>
      </c>
    </row>
    <row r="6" spans="1:36" x14ac:dyDescent="0.3">
      <c r="A6">
        <f>COUNTIF($D$2:D6,D6)</f>
        <v>5</v>
      </c>
      <c r="B6" t="str">
        <f t="shared" si="1"/>
        <v>5Barking and Dagenham</v>
      </c>
      <c r="C6" t="s">
        <v>815</v>
      </c>
      <c r="D6" t="s">
        <v>65</v>
      </c>
      <c r="E6">
        <v>17</v>
      </c>
      <c r="F6" t="s">
        <v>799</v>
      </c>
      <c r="G6" t="s">
        <v>811</v>
      </c>
      <c r="H6" t="s">
        <v>812</v>
      </c>
      <c r="I6" t="s">
        <v>813</v>
      </c>
      <c r="J6">
        <f t="shared" ca="1" si="2"/>
        <v>62500</v>
      </c>
      <c r="K6">
        <f t="shared" ca="1" si="3"/>
        <v>950</v>
      </c>
      <c r="N6" t="str">
        <f t="shared" si="0"/>
        <v>Barking and Dagenham17Community support and independenceCarers ServicesOther</v>
      </c>
      <c r="O6" t="s">
        <v>65</v>
      </c>
      <c r="P6" t="s">
        <v>790</v>
      </c>
      <c r="Q6">
        <v>17</v>
      </c>
      <c r="R6" t="s">
        <v>799</v>
      </c>
      <c r="S6" t="s">
        <v>816</v>
      </c>
      <c r="T6" t="s">
        <v>811</v>
      </c>
      <c r="U6" t="s">
        <v>812</v>
      </c>
      <c r="V6" t="s">
        <v>816</v>
      </c>
      <c r="W6">
        <v>950</v>
      </c>
      <c r="X6">
        <v>950</v>
      </c>
      <c r="Y6" t="s">
        <v>813</v>
      </c>
      <c r="Z6" t="s">
        <v>792</v>
      </c>
      <c r="AB6" t="s">
        <v>793</v>
      </c>
      <c r="AD6" t="s">
        <v>794</v>
      </c>
      <c r="AE6" t="s">
        <v>795</v>
      </c>
      <c r="AF6" t="s">
        <v>796</v>
      </c>
      <c r="AG6" t="s">
        <v>797</v>
      </c>
      <c r="AH6">
        <v>62500</v>
      </c>
      <c r="AI6">
        <v>62500</v>
      </c>
      <c r="AJ6">
        <v>0.18</v>
      </c>
    </row>
    <row r="7" spans="1:36" x14ac:dyDescent="0.3">
      <c r="A7">
        <f>COUNTIF($D$2:D7,D7)</f>
        <v>6</v>
      </c>
      <c r="B7" t="str">
        <f t="shared" si="1"/>
        <v>6Barking and Dagenham</v>
      </c>
      <c r="C7" t="s">
        <v>817</v>
      </c>
      <c r="D7" t="s">
        <v>65</v>
      </c>
      <c r="E7">
        <v>19</v>
      </c>
      <c r="F7" t="s">
        <v>799</v>
      </c>
      <c r="G7" t="s">
        <v>800</v>
      </c>
      <c r="H7" t="s">
        <v>812</v>
      </c>
      <c r="I7" t="s">
        <v>802</v>
      </c>
      <c r="J7">
        <f t="shared" ca="1" si="2"/>
        <v>50000</v>
      </c>
      <c r="K7">
        <f t="shared" ca="1" si="3"/>
        <v>156</v>
      </c>
      <c r="N7" t="str">
        <f t="shared" si="0"/>
        <v>Barking and Dagenham19Community support and independenceAssistive Technologies and EquipmentOther</v>
      </c>
      <c r="O7" t="s">
        <v>65</v>
      </c>
      <c r="P7" t="s">
        <v>790</v>
      </c>
      <c r="Q7">
        <v>19</v>
      </c>
      <c r="R7" t="s">
        <v>799</v>
      </c>
      <c r="S7" t="s">
        <v>803</v>
      </c>
      <c r="T7" t="s">
        <v>800</v>
      </c>
      <c r="U7" t="s">
        <v>812</v>
      </c>
      <c r="V7" t="s">
        <v>818</v>
      </c>
      <c r="W7">
        <v>156</v>
      </c>
      <c r="X7">
        <v>156</v>
      </c>
      <c r="Y7" t="s">
        <v>802</v>
      </c>
      <c r="Z7" t="s">
        <v>792</v>
      </c>
      <c r="AB7" t="s">
        <v>793</v>
      </c>
      <c r="AD7" t="s">
        <v>794</v>
      </c>
      <c r="AE7" t="s">
        <v>795</v>
      </c>
      <c r="AF7" t="s">
        <v>796</v>
      </c>
      <c r="AG7" t="s">
        <v>797</v>
      </c>
      <c r="AH7">
        <v>50000</v>
      </c>
      <c r="AI7">
        <v>50000</v>
      </c>
      <c r="AJ7">
        <v>0.06</v>
      </c>
    </row>
    <row r="8" spans="1:36" x14ac:dyDescent="0.3">
      <c r="A8">
        <f>COUNTIF($D$2:D8,D8)</f>
        <v>7</v>
      </c>
      <c r="B8" t="str">
        <f t="shared" si="1"/>
        <v>7Barking and Dagenham</v>
      </c>
      <c r="C8" t="s">
        <v>819</v>
      </c>
      <c r="D8" t="s">
        <v>65</v>
      </c>
      <c r="E8">
        <v>3</v>
      </c>
      <c r="F8" t="s">
        <v>820</v>
      </c>
      <c r="G8" t="s">
        <v>811</v>
      </c>
      <c r="H8" t="s">
        <v>812</v>
      </c>
      <c r="I8" t="s">
        <v>813</v>
      </c>
      <c r="J8">
        <f t="shared" ca="1" si="2"/>
        <v>27724.031999999999</v>
      </c>
      <c r="K8">
        <f t="shared" ca="1" si="3"/>
        <v>1900</v>
      </c>
      <c r="N8" t="str">
        <f t="shared" si="0"/>
        <v>Barking and Dagenham3Enable people to stay well, safe and independent at home for longerCarers ServicesOther</v>
      </c>
      <c r="O8" t="s">
        <v>65</v>
      </c>
      <c r="P8" t="s">
        <v>790</v>
      </c>
      <c r="Q8">
        <v>3</v>
      </c>
      <c r="R8" t="s">
        <v>820</v>
      </c>
      <c r="S8" t="s">
        <v>821</v>
      </c>
      <c r="T8" t="s">
        <v>811</v>
      </c>
      <c r="U8" t="s">
        <v>812</v>
      </c>
      <c r="V8" t="s">
        <v>822</v>
      </c>
      <c r="W8">
        <v>950</v>
      </c>
      <c r="X8">
        <v>950</v>
      </c>
      <c r="Y8" t="s">
        <v>813</v>
      </c>
      <c r="Z8" t="s">
        <v>823</v>
      </c>
      <c r="AB8" t="s">
        <v>824</v>
      </c>
      <c r="AD8" t="s">
        <v>794</v>
      </c>
      <c r="AE8" t="s">
        <v>825</v>
      </c>
      <c r="AF8" t="s">
        <v>796</v>
      </c>
      <c r="AG8" t="s">
        <v>797</v>
      </c>
      <c r="AH8">
        <v>12253.031999999999</v>
      </c>
      <c r="AI8">
        <v>12637.777204800001</v>
      </c>
      <c r="AJ8">
        <v>0.04</v>
      </c>
    </row>
    <row r="9" spans="1:36" x14ac:dyDescent="0.3">
      <c r="A9">
        <f>COUNTIF($D$2:D9,D9)</f>
        <v>8</v>
      </c>
      <c r="B9" t="str">
        <f t="shared" si="1"/>
        <v>8Barking and Dagenham</v>
      </c>
      <c r="C9" t="s">
        <v>826</v>
      </c>
      <c r="D9" t="s">
        <v>65</v>
      </c>
      <c r="E9">
        <v>12</v>
      </c>
      <c r="F9" t="s">
        <v>827</v>
      </c>
      <c r="G9" t="s">
        <v>787</v>
      </c>
      <c r="H9" t="s">
        <v>788</v>
      </c>
      <c r="I9" t="s">
        <v>789</v>
      </c>
      <c r="J9">
        <f t="shared" ca="1" si="2"/>
        <v>114657.59759999999</v>
      </c>
      <c r="K9">
        <f t="shared" ca="1" si="3"/>
        <v>520</v>
      </c>
      <c r="N9" t="str">
        <f t="shared" si="0"/>
        <v>Barking and Dagenham3Enable people to stay well, safe and independent at home for longerCarers ServicesOther</v>
      </c>
      <c r="O9" t="s">
        <v>65</v>
      </c>
      <c r="P9" t="s">
        <v>790</v>
      </c>
      <c r="Q9">
        <v>3</v>
      </c>
      <c r="R9" t="s">
        <v>820</v>
      </c>
      <c r="S9" t="s">
        <v>821</v>
      </c>
      <c r="T9" t="s">
        <v>811</v>
      </c>
      <c r="U9" t="s">
        <v>812</v>
      </c>
      <c r="V9" t="s">
        <v>822</v>
      </c>
      <c r="W9">
        <v>950</v>
      </c>
      <c r="X9">
        <v>950</v>
      </c>
      <c r="Y9" t="s">
        <v>813</v>
      </c>
      <c r="Z9" t="s">
        <v>823</v>
      </c>
      <c r="AB9" t="s">
        <v>824</v>
      </c>
      <c r="AD9" t="s">
        <v>794</v>
      </c>
      <c r="AE9" t="s">
        <v>825</v>
      </c>
      <c r="AF9" t="s">
        <v>796</v>
      </c>
      <c r="AG9" t="s">
        <v>797</v>
      </c>
      <c r="AH9">
        <v>15471</v>
      </c>
      <c r="AI9">
        <v>15956.7894</v>
      </c>
      <c r="AJ9">
        <v>0.05</v>
      </c>
    </row>
    <row r="10" spans="1:36" x14ac:dyDescent="0.3">
      <c r="A10">
        <f>COUNTIF($D$2:D10,D10)</f>
        <v>9</v>
      </c>
      <c r="B10" t="str">
        <f t="shared" si="1"/>
        <v>9Barking and Dagenham</v>
      </c>
      <c r="C10" t="s">
        <v>828</v>
      </c>
      <c r="D10" t="s">
        <v>65</v>
      </c>
      <c r="E10">
        <v>3</v>
      </c>
      <c r="F10" t="s">
        <v>829</v>
      </c>
      <c r="G10" t="s">
        <v>811</v>
      </c>
      <c r="H10" t="s">
        <v>830</v>
      </c>
      <c r="I10" t="s">
        <v>813</v>
      </c>
      <c r="J10">
        <f t="shared" ca="1" si="2"/>
        <v>173681.64144196361</v>
      </c>
      <c r="K10">
        <f t="shared" ca="1" si="3"/>
        <v>11</v>
      </c>
      <c r="N10" t="str">
        <f t="shared" si="0"/>
        <v xml:space="preserve">Barking and Dagenham12Provide the right care in the right place at the right timeHome-based intermediate care servicesReablement at home (to support discharge) </v>
      </c>
      <c r="O10" t="s">
        <v>65</v>
      </c>
      <c r="P10" t="s">
        <v>790</v>
      </c>
      <c r="Q10">
        <v>12</v>
      </c>
      <c r="R10" t="s">
        <v>827</v>
      </c>
      <c r="S10" t="s">
        <v>831</v>
      </c>
      <c r="T10" t="s">
        <v>787</v>
      </c>
      <c r="U10" t="s">
        <v>788</v>
      </c>
      <c r="W10">
        <v>520</v>
      </c>
      <c r="X10">
        <v>520</v>
      </c>
      <c r="Y10" t="s">
        <v>789</v>
      </c>
      <c r="Z10" t="s">
        <v>823</v>
      </c>
      <c r="AB10" t="s">
        <v>824</v>
      </c>
      <c r="AD10" t="s">
        <v>794</v>
      </c>
      <c r="AE10" t="s">
        <v>832</v>
      </c>
      <c r="AF10" t="s">
        <v>796</v>
      </c>
      <c r="AG10" t="s">
        <v>797</v>
      </c>
      <c r="AH10">
        <v>114657.59759999999</v>
      </c>
      <c r="AI10">
        <v>118945.79175023999</v>
      </c>
      <c r="AJ10">
        <v>0.05</v>
      </c>
    </row>
    <row r="11" spans="1:36" x14ac:dyDescent="0.3">
      <c r="A11">
        <f>COUNTIF($D$2:D11,D11)</f>
        <v>10</v>
      </c>
      <c r="B11" t="str">
        <f t="shared" si="1"/>
        <v>10Barking and Dagenham</v>
      </c>
      <c r="C11" t="s">
        <v>833</v>
      </c>
      <c r="D11" t="s">
        <v>65</v>
      </c>
      <c r="E11">
        <v>33</v>
      </c>
      <c r="F11" t="s">
        <v>799</v>
      </c>
      <c r="G11" t="s">
        <v>834</v>
      </c>
      <c r="H11" t="s">
        <v>835</v>
      </c>
      <c r="I11" t="s">
        <v>836</v>
      </c>
      <c r="J11">
        <f t="shared" ca="1" si="2"/>
        <v>1856901</v>
      </c>
      <c r="K11">
        <f t="shared" ca="1" si="3"/>
        <v>150</v>
      </c>
      <c r="N11" t="str">
        <f t="shared" si="0"/>
        <v>Barking and Dagenham3Enable people to stay well, safe and independent at home for longer - Targeted Out-of-Hospital CareCarers ServicesRespite services</v>
      </c>
      <c r="O11" t="s">
        <v>65</v>
      </c>
      <c r="P11" t="s">
        <v>790</v>
      </c>
      <c r="Q11">
        <v>3</v>
      </c>
      <c r="R11" t="s">
        <v>829</v>
      </c>
      <c r="S11" t="s">
        <v>837</v>
      </c>
      <c r="T11" t="s">
        <v>811</v>
      </c>
      <c r="U11" t="s">
        <v>830</v>
      </c>
      <c r="W11">
        <v>11</v>
      </c>
      <c r="X11">
        <v>11</v>
      </c>
      <c r="Y11" t="s">
        <v>813</v>
      </c>
      <c r="Z11" t="s">
        <v>823</v>
      </c>
      <c r="AB11" t="s">
        <v>824</v>
      </c>
      <c r="AD11" t="s">
        <v>794</v>
      </c>
      <c r="AE11" t="s">
        <v>825</v>
      </c>
      <c r="AF11" t="s">
        <v>796</v>
      </c>
      <c r="AG11" t="s">
        <v>797</v>
      </c>
      <c r="AH11">
        <v>173681.64144196361</v>
      </c>
      <c r="AI11">
        <v>180177.33483189307</v>
      </c>
      <c r="AJ11">
        <v>0.51</v>
      </c>
    </row>
    <row r="12" spans="1:36" x14ac:dyDescent="0.3">
      <c r="A12">
        <f>COUNTIF($D$2:D12,D12)</f>
        <v>11</v>
      </c>
      <c r="B12" t="str">
        <f t="shared" si="1"/>
        <v>11Barking and Dagenham</v>
      </c>
      <c r="C12" t="s">
        <v>838</v>
      </c>
      <c r="D12" t="s">
        <v>65</v>
      </c>
      <c r="E12">
        <v>34</v>
      </c>
      <c r="F12" t="s">
        <v>786</v>
      </c>
      <c r="G12" t="s">
        <v>787</v>
      </c>
      <c r="H12" t="s">
        <v>788</v>
      </c>
      <c r="I12" t="s">
        <v>789</v>
      </c>
      <c r="J12">
        <f t="shared" ca="1" si="2"/>
        <v>500000</v>
      </c>
      <c r="K12">
        <f t="shared" ca="1" si="3"/>
        <v>100</v>
      </c>
      <c r="N12" t="str">
        <f t="shared" si="0"/>
        <v>Barking and Dagenham33Community support and independenceDFG Related SchemesAdaptations, including statutory DFG grants</v>
      </c>
      <c r="O12" t="s">
        <v>65</v>
      </c>
      <c r="P12" t="s">
        <v>790</v>
      </c>
      <c r="Q12">
        <v>33</v>
      </c>
      <c r="R12" t="s">
        <v>799</v>
      </c>
      <c r="S12" t="s">
        <v>839</v>
      </c>
      <c r="T12" t="s">
        <v>834</v>
      </c>
      <c r="U12" t="s">
        <v>835</v>
      </c>
      <c r="W12">
        <v>150</v>
      </c>
      <c r="X12">
        <v>150</v>
      </c>
      <c r="Y12" t="s">
        <v>836</v>
      </c>
      <c r="Z12" t="s">
        <v>792</v>
      </c>
      <c r="AB12" t="s">
        <v>793</v>
      </c>
      <c r="AD12" t="s">
        <v>794</v>
      </c>
      <c r="AE12" t="s">
        <v>795</v>
      </c>
      <c r="AF12" t="s">
        <v>840</v>
      </c>
      <c r="AG12" t="s">
        <v>797</v>
      </c>
      <c r="AH12">
        <v>1856901</v>
      </c>
      <c r="AI12">
        <v>1856901</v>
      </c>
      <c r="AJ12">
        <v>1</v>
      </c>
    </row>
    <row r="13" spans="1:36" x14ac:dyDescent="0.3">
      <c r="A13">
        <f>COUNTIF($D$2:D13,D13)</f>
        <v>12</v>
      </c>
      <c r="B13" t="str">
        <f t="shared" si="1"/>
        <v>12Barking and Dagenham</v>
      </c>
      <c r="C13" t="s">
        <v>841</v>
      </c>
      <c r="D13" t="s">
        <v>65</v>
      </c>
      <c r="E13">
        <v>35</v>
      </c>
      <c r="F13" t="s">
        <v>786</v>
      </c>
      <c r="G13" t="s">
        <v>842</v>
      </c>
      <c r="H13" t="s">
        <v>843</v>
      </c>
      <c r="I13" t="s">
        <v>844</v>
      </c>
      <c r="J13">
        <f t="shared" ca="1" si="2"/>
        <v>913062</v>
      </c>
      <c r="K13">
        <f t="shared" ca="1" si="3"/>
        <v>45000</v>
      </c>
      <c r="N13" t="str">
        <f t="shared" si="0"/>
        <v xml:space="preserve">Barking and Dagenham34Targeted out of hospital careHome-based intermediate care servicesReablement at home (to support discharge) </v>
      </c>
      <c r="O13" t="s">
        <v>65</v>
      </c>
      <c r="P13" t="s">
        <v>790</v>
      </c>
      <c r="Q13">
        <v>34</v>
      </c>
      <c r="R13" t="s">
        <v>786</v>
      </c>
      <c r="S13" t="s">
        <v>791</v>
      </c>
      <c r="T13" t="s">
        <v>787</v>
      </c>
      <c r="U13" t="s">
        <v>788</v>
      </c>
      <c r="W13">
        <v>100</v>
      </c>
      <c r="X13">
        <v>100</v>
      </c>
      <c r="Y13" t="s">
        <v>789</v>
      </c>
      <c r="Z13" t="s">
        <v>792</v>
      </c>
      <c r="AB13" t="s">
        <v>793</v>
      </c>
      <c r="AD13" t="s">
        <v>794</v>
      </c>
      <c r="AE13" t="s">
        <v>804</v>
      </c>
      <c r="AF13" t="s">
        <v>845</v>
      </c>
      <c r="AG13" t="s">
        <v>797</v>
      </c>
      <c r="AH13">
        <v>500000</v>
      </c>
      <c r="AI13">
        <v>500000</v>
      </c>
      <c r="AJ13">
        <v>0.19</v>
      </c>
    </row>
    <row r="14" spans="1:36" x14ac:dyDescent="0.3">
      <c r="A14">
        <f>COUNTIF($D$2:D14,D14)</f>
        <v>13</v>
      </c>
      <c r="B14" t="str">
        <f t="shared" si="1"/>
        <v>13Barking and Dagenham</v>
      </c>
      <c r="C14" t="s">
        <v>846</v>
      </c>
      <c r="D14" t="s">
        <v>65</v>
      </c>
      <c r="E14">
        <v>37</v>
      </c>
      <c r="F14" t="s">
        <v>847</v>
      </c>
      <c r="G14" t="s">
        <v>806</v>
      </c>
      <c r="H14" t="s">
        <v>812</v>
      </c>
      <c r="I14" t="s">
        <v>808</v>
      </c>
      <c r="J14">
        <f t="shared" ca="1" si="2"/>
        <v>1600000</v>
      </c>
      <c r="K14">
        <f t="shared" ca="1" si="3"/>
        <v>500</v>
      </c>
      <c r="N14" t="str">
        <f t="shared" si="0"/>
        <v>Barking and Dagenham35Targeted out of hospital careHome Care or Domiciliary CareDomiciliary care packages</v>
      </c>
      <c r="O14" t="s">
        <v>65</v>
      </c>
      <c r="P14" t="s">
        <v>790</v>
      </c>
      <c r="Q14">
        <v>35</v>
      </c>
      <c r="R14" t="s">
        <v>786</v>
      </c>
      <c r="S14" t="s">
        <v>848</v>
      </c>
      <c r="T14" t="s">
        <v>842</v>
      </c>
      <c r="U14" t="s">
        <v>843</v>
      </c>
      <c r="W14">
        <v>45000</v>
      </c>
      <c r="X14">
        <v>45000</v>
      </c>
      <c r="Y14" t="s">
        <v>844</v>
      </c>
      <c r="Z14" t="s">
        <v>792</v>
      </c>
      <c r="AB14" t="s">
        <v>793</v>
      </c>
      <c r="AD14" t="s">
        <v>794</v>
      </c>
      <c r="AE14" t="s">
        <v>804</v>
      </c>
      <c r="AF14" t="s">
        <v>845</v>
      </c>
      <c r="AG14" t="s">
        <v>797</v>
      </c>
      <c r="AH14">
        <v>913062</v>
      </c>
      <c r="AI14">
        <v>913062</v>
      </c>
      <c r="AJ14">
        <v>0.56999999999999995</v>
      </c>
    </row>
    <row r="15" spans="1:36" x14ac:dyDescent="0.3">
      <c r="A15">
        <f>COUNTIF($D$2:D15,D15)</f>
        <v>14</v>
      </c>
      <c r="B15" t="str">
        <f t="shared" si="1"/>
        <v>14Barking and Dagenham</v>
      </c>
      <c r="C15" t="s">
        <v>849</v>
      </c>
      <c r="D15" t="s">
        <v>65</v>
      </c>
      <c r="E15">
        <v>38</v>
      </c>
      <c r="F15" t="s">
        <v>799</v>
      </c>
      <c r="G15" t="s">
        <v>800</v>
      </c>
      <c r="H15" t="s">
        <v>850</v>
      </c>
      <c r="I15" t="s">
        <v>802</v>
      </c>
      <c r="J15">
        <f t="shared" ca="1" si="2"/>
        <v>680000</v>
      </c>
      <c r="K15">
        <f t="shared" ca="1" si="3"/>
        <v>3000</v>
      </c>
      <c r="N15" t="str">
        <f t="shared" si="0"/>
        <v>Barking and Dagenham37Market Stabilisation &amp; COVID RecoveryResidential PlacementsOther</v>
      </c>
      <c r="O15" t="s">
        <v>65</v>
      </c>
      <c r="P15" t="s">
        <v>790</v>
      </c>
      <c r="Q15">
        <v>37</v>
      </c>
      <c r="R15" t="s">
        <v>847</v>
      </c>
      <c r="S15" t="s">
        <v>851</v>
      </c>
      <c r="T15" t="s">
        <v>806</v>
      </c>
      <c r="U15" t="s">
        <v>812</v>
      </c>
      <c r="V15" t="s">
        <v>852</v>
      </c>
      <c r="W15">
        <v>500</v>
      </c>
      <c r="X15">
        <v>500</v>
      </c>
      <c r="Y15" t="s">
        <v>808</v>
      </c>
      <c r="Z15" t="s">
        <v>792</v>
      </c>
      <c r="AB15" t="s">
        <v>793</v>
      </c>
      <c r="AD15" t="s">
        <v>794</v>
      </c>
      <c r="AE15" t="s">
        <v>804</v>
      </c>
      <c r="AF15" t="s">
        <v>845</v>
      </c>
      <c r="AG15" t="s">
        <v>797</v>
      </c>
      <c r="AH15">
        <v>1600000</v>
      </c>
      <c r="AI15">
        <v>1600000</v>
      </c>
      <c r="AJ15">
        <v>0.27</v>
      </c>
    </row>
    <row r="16" spans="1:36" x14ac:dyDescent="0.3">
      <c r="A16">
        <f>COUNTIF($D$2:D16,D16)</f>
        <v>15</v>
      </c>
      <c r="B16" t="str">
        <f t="shared" si="1"/>
        <v>15Barking and Dagenham</v>
      </c>
      <c r="C16" t="s">
        <v>853</v>
      </c>
      <c r="D16" t="s">
        <v>65</v>
      </c>
      <c r="E16">
        <v>44</v>
      </c>
      <c r="F16" t="s">
        <v>799</v>
      </c>
      <c r="G16" t="s">
        <v>806</v>
      </c>
      <c r="H16" t="s">
        <v>854</v>
      </c>
      <c r="I16" t="s">
        <v>808</v>
      </c>
      <c r="J16">
        <f t="shared" ca="1" si="2"/>
        <v>1484521</v>
      </c>
      <c r="K16">
        <f t="shared" ca="1" si="3"/>
        <v>6</v>
      </c>
      <c r="N16" t="str">
        <f t="shared" si="0"/>
        <v>Barking and Dagenham38Community support and independenceAssistive Technologies and EquipmentAssistive technologies including telecare</v>
      </c>
      <c r="O16" t="s">
        <v>65</v>
      </c>
      <c r="P16" t="s">
        <v>790</v>
      </c>
      <c r="Q16">
        <v>38</v>
      </c>
      <c r="R16" t="s">
        <v>799</v>
      </c>
      <c r="S16" t="s">
        <v>803</v>
      </c>
      <c r="T16" t="s">
        <v>800</v>
      </c>
      <c r="U16" t="s">
        <v>850</v>
      </c>
      <c r="W16">
        <v>3000</v>
      </c>
      <c r="X16">
        <v>3000</v>
      </c>
      <c r="Y16" t="s">
        <v>802</v>
      </c>
      <c r="Z16" t="s">
        <v>792</v>
      </c>
      <c r="AB16" t="s">
        <v>793</v>
      </c>
      <c r="AD16" t="s">
        <v>794</v>
      </c>
      <c r="AE16" t="s">
        <v>804</v>
      </c>
      <c r="AF16" t="s">
        <v>845</v>
      </c>
      <c r="AG16" t="s">
        <v>797</v>
      </c>
      <c r="AH16">
        <v>680000</v>
      </c>
      <c r="AI16">
        <v>680000</v>
      </c>
      <c r="AJ16">
        <v>0.84</v>
      </c>
    </row>
    <row r="17" spans="1:36" x14ac:dyDescent="0.3">
      <c r="A17">
        <f>COUNTIF($D$2:D17,D17)</f>
        <v>16</v>
      </c>
      <c r="B17" t="str">
        <f t="shared" si="1"/>
        <v>16Barking and Dagenham</v>
      </c>
      <c r="C17" t="s">
        <v>855</v>
      </c>
      <c r="D17" t="s">
        <v>65</v>
      </c>
      <c r="E17">
        <v>49</v>
      </c>
      <c r="F17" t="s">
        <v>786</v>
      </c>
      <c r="G17" t="s">
        <v>842</v>
      </c>
      <c r="H17" t="s">
        <v>856</v>
      </c>
      <c r="I17" t="s">
        <v>844</v>
      </c>
      <c r="J17">
        <f t="shared" ca="1" si="2"/>
        <v>665000</v>
      </c>
      <c r="K17">
        <f t="shared" ca="1" si="3"/>
        <v>35000</v>
      </c>
      <c r="N17" t="str">
        <f t="shared" si="0"/>
        <v>Barking and Dagenham44Community support and independenceResidential PlacementsLearning disability</v>
      </c>
      <c r="O17" t="s">
        <v>65</v>
      </c>
      <c r="P17" t="s">
        <v>790</v>
      </c>
      <c r="Q17">
        <v>44</v>
      </c>
      <c r="R17" t="s">
        <v>799</v>
      </c>
      <c r="S17" t="s">
        <v>857</v>
      </c>
      <c r="T17" t="s">
        <v>806</v>
      </c>
      <c r="U17" t="s">
        <v>854</v>
      </c>
      <c r="W17">
        <v>6</v>
      </c>
      <c r="X17">
        <v>6</v>
      </c>
      <c r="Y17" t="s">
        <v>808</v>
      </c>
      <c r="Z17" t="s">
        <v>792</v>
      </c>
      <c r="AB17" t="s">
        <v>793</v>
      </c>
      <c r="AD17" t="s">
        <v>794</v>
      </c>
      <c r="AE17" t="s">
        <v>804</v>
      </c>
      <c r="AF17" t="s">
        <v>845</v>
      </c>
      <c r="AG17" t="s">
        <v>797</v>
      </c>
      <c r="AH17">
        <v>1484521</v>
      </c>
      <c r="AI17">
        <v>1484521</v>
      </c>
      <c r="AJ17">
        <v>0.25</v>
      </c>
    </row>
    <row r="18" spans="1:36" x14ac:dyDescent="0.3">
      <c r="A18">
        <f>COUNTIF($D$2:D18,D18)</f>
        <v>17</v>
      </c>
      <c r="B18" t="str">
        <f t="shared" si="1"/>
        <v>17Barking and Dagenham</v>
      </c>
      <c r="C18" t="s">
        <v>858</v>
      </c>
      <c r="D18" t="s">
        <v>65</v>
      </c>
      <c r="E18">
        <v>50</v>
      </c>
      <c r="F18" t="s">
        <v>786</v>
      </c>
      <c r="G18" t="s">
        <v>806</v>
      </c>
      <c r="H18" t="s">
        <v>807</v>
      </c>
      <c r="I18" t="s">
        <v>808</v>
      </c>
      <c r="J18">
        <f t="shared" ca="1" si="2"/>
        <v>803105</v>
      </c>
      <c r="K18">
        <f t="shared" ca="1" si="3"/>
        <v>18</v>
      </c>
      <c r="N18" t="str">
        <f t="shared" si="0"/>
        <v>Barking and Dagenham49Targeted out of hospital careHome Care or Domiciliary CareDomiciliary care to support hospital discharge (Discharge to Assess pathway 1)</v>
      </c>
      <c r="O18" t="s">
        <v>65</v>
      </c>
      <c r="P18" t="s">
        <v>790</v>
      </c>
      <c r="Q18">
        <v>49</v>
      </c>
      <c r="R18" t="s">
        <v>786</v>
      </c>
      <c r="S18" t="s">
        <v>859</v>
      </c>
      <c r="T18" t="s">
        <v>842</v>
      </c>
      <c r="U18" t="s">
        <v>856</v>
      </c>
      <c r="W18">
        <v>35000</v>
      </c>
      <c r="X18">
        <v>35000</v>
      </c>
      <c r="Y18" t="s">
        <v>844</v>
      </c>
      <c r="Z18" t="s">
        <v>792</v>
      </c>
      <c r="AB18" t="s">
        <v>793</v>
      </c>
      <c r="AD18" t="s">
        <v>794</v>
      </c>
      <c r="AE18" t="s">
        <v>804</v>
      </c>
      <c r="AF18" t="s">
        <v>860</v>
      </c>
      <c r="AG18" t="s">
        <v>861</v>
      </c>
      <c r="AH18">
        <v>665000</v>
      </c>
      <c r="AI18">
        <v>665000</v>
      </c>
      <c r="AJ18">
        <v>0.43</v>
      </c>
    </row>
    <row r="19" spans="1:36" x14ac:dyDescent="0.3">
      <c r="A19">
        <f>COUNTIF($D$2:D19,D19)</f>
        <v>18</v>
      </c>
      <c r="B19" t="str">
        <f t="shared" si="1"/>
        <v>18Barking and Dagenham</v>
      </c>
      <c r="C19" t="s">
        <v>862</v>
      </c>
      <c r="D19" t="s">
        <v>65</v>
      </c>
      <c r="E19">
        <v>51</v>
      </c>
      <c r="F19" t="s">
        <v>786</v>
      </c>
      <c r="G19" t="s">
        <v>787</v>
      </c>
      <c r="H19" t="s">
        <v>788</v>
      </c>
      <c r="I19" t="s">
        <v>789</v>
      </c>
      <c r="J19">
        <f t="shared" ca="1" si="2"/>
        <v>618000</v>
      </c>
      <c r="K19">
        <f t="shared" ca="1" si="3"/>
        <v>100</v>
      </c>
      <c r="N19" t="str">
        <f t="shared" si="0"/>
        <v>Barking and Dagenham50Targeted out of hospital careResidential PlacementsCare home</v>
      </c>
      <c r="O19" t="s">
        <v>65</v>
      </c>
      <c r="P19" t="s">
        <v>790</v>
      </c>
      <c r="Q19">
        <v>50</v>
      </c>
      <c r="R19" t="s">
        <v>786</v>
      </c>
      <c r="S19" t="s">
        <v>863</v>
      </c>
      <c r="T19" t="s">
        <v>806</v>
      </c>
      <c r="U19" t="s">
        <v>807</v>
      </c>
      <c r="W19">
        <v>18</v>
      </c>
      <c r="X19">
        <v>18</v>
      </c>
      <c r="Y19" t="s">
        <v>808</v>
      </c>
      <c r="Z19" t="s">
        <v>792</v>
      </c>
      <c r="AB19" t="s">
        <v>793</v>
      </c>
      <c r="AD19" t="s">
        <v>794</v>
      </c>
      <c r="AE19" t="s">
        <v>804</v>
      </c>
      <c r="AF19" t="s">
        <v>864</v>
      </c>
      <c r="AG19" t="s">
        <v>861</v>
      </c>
      <c r="AH19">
        <v>803105</v>
      </c>
      <c r="AI19">
        <v>803105</v>
      </c>
      <c r="AJ19">
        <v>0.14000000000000001</v>
      </c>
    </row>
    <row r="20" spans="1:36" x14ac:dyDescent="0.3">
      <c r="A20">
        <f>COUNTIF($D$2:D20,D20)</f>
        <v>19</v>
      </c>
      <c r="B20" t="str">
        <f t="shared" si="1"/>
        <v>19Barking and Dagenham</v>
      </c>
      <c r="C20" t="s">
        <v>865</v>
      </c>
      <c r="D20" t="s">
        <v>65</v>
      </c>
      <c r="E20">
        <v>53</v>
      </c>
      <c r="F20" t="s">
        <v>786</v>
      </c>
      <c r="G20" t="s">
        <v>806</v>
      </c>
      <c r="H20" t="s">
        <v>807</v>
      </c>
      <c r="I20" t="s">
        <v>808</v>
      </c>
      <c r="J20">
        <f t="shared" ca="1" si="2"/>
        <v>0</v>
      </c>
      <c r="K20">
        <f t="shared" ca="1" si="3"/>
        <v>23</v>
      </c>
      <c r="N20" t="str">
        <f t="shared" si="0"/>
        <v xml:space="preserve">Barking and Dagenham51Targeted out of hospital careHome-based intermediate care servicesReablement at home (to support discharge) </v>
      </c>
      <c r="O20" t="s">
        <v>65</v>
      </c>
      <c r="P20" t="s">
        <v>790</v>
      </c>
      <c r="Q20">
        <v>51</v>
      </c>
      <c r="R20" t="s">
        <v>786</v>
      </c>
      <c r="S20" t="s">
        <v>866</v>
      </c>
      <c r="T20" t="s">
        <v>787</v>
      </c>
      <c r="U20" t="s">
        <v>788</v>
      </c>
      <c r="W20">
        <v>100</v>
      </c>
      <c r="X20">
        <v>100</v>
      </c>
      <c r="Y20" t="s">
        <v>789</v>
      </c>
      <c r="Z20" t="s">
        <v>792</v>
      </c>
      <c r="AB20" t="s">
        <v>793</v>
      </c>
      <c r="AD20" t="s">
        <v>794</v>
      </c>
      <c r="AE20" t="s">
        <v>832</v>
      </c>
      <c r="AF20" t="s">
        <v>864</v>
      </c>
      <c r="AG20" t="s">
        <v>861</v>
      </c>
      <c r="AH20">
        <v>618000</v>
      </c>
      <c r="AI20">
        <v>618000</v>
      </c>
      <c r="AJ20">
        <v>0.26</v>
      </c>
    </row>
    <row r="21" spans="1:36" x14ac:dyDescent="0.3">
      <c r="A21">
        <f>COUNTIF($D$2:D21,D21)</f>
        <v>20</v>
      </c>
      <c r="B21" t="str">
        <f t="shared" si="1"/>
        <v>20Barking and Dagenham</v>
      </c>
      <c r="C21" t="s">
        <v>867</v>
      </c>
      <c r="D21" t="s">
        <v>65</v>
      </c>
      <c r="E21">
        <v>54</v>
      </c>
      <c r="F21" t="s">
        <v>786</v>
      </c>
      <c r="G21" t="s">
        <v>806</v>
      </c>
      <c r="H21" t="s">
        <v>807</v>
      </c>
      <c r="I21" t="s">
        <v>808</v>
      </c>
      <c r="J21">
        <f t="shared" ca="1" si="2"/>
        <v>0</v>
      </c>
      <c r="K21">
        <f t="shared" ca="1" si="3"/>
        <v>23</v>
      </c>
      <c r="N21" t="str">
        <f t="shared" si="0"/>
        <v>Barking and Dagenham53Targeted out of hospital careResidential PlacementsCare home</v>
      </c>
      <c r="O21" t="s">
        <v>65</v>
      </c>
      <c r="P21" t="s">
        <v>790</v>
      </c>
      <c r="Q21">
        <v>53</v>
      </c>
      <c r="R21" t="s">
        <v>786</v>
      </c>
      <c r="S21" t="s">
        <v>868</v>
      </c>
      <c r="T21" t="s">
        <v>806</v>
      </c>
      <c r="U21" t="s">
        <v>807</v>
      </c>
      <c r="W21">
        <v>23</v>
      </c>
      <c r="X21">
        <v>23</v>
      </c>
      <c r="Y21" t="s">
        <v>808</v>
      </c>
      <c r="Z21" t="s">
        <v>792</v>
      </c>
      <c r="AB21" t="s">
        <v>793</v>
      </c>
      <c r="AD21" t="s">
        <v>794</v>
      </c>
      <c r="AE21" t="s">
        <v>795</v>
      </c>
      <c r="AF21" t="s">
        <v>864</v>
      </c>
      <c r="AG21" t="s">
        <v>861</v>
      </c>
      <c r="AH21">
        <v>0</v>
      </c>
      <c r="AI21">
        <v>990729</v>
      </c>
      <c r="AJ21">
        <v>0.08</v>
      </c>
    </row>
    <row r="22" spans="1:36" x14ac:dyDescent="0.3">
      <c r="A22">
        <f>COUNTIF($D$2:D22,D22)</f>
        <v>1</v>
      </c>
      <c r="B22" t="str">
        <f t="shared" si="1"/>
        <v>1Barnet</v>
      </c>
      <c r="C22" t="s">
        <v>869</v>
      </c>
      <c r="D22" t="s">
        <v>67</v>
      </c>
      <c r="E22">
        <v>15</v>
      </c>
      <c r="F22" t="s">
        <v>870</v>
      </c>
      <c r="G22" t="s">
        <v>806</v>
      </c>
      <c r="H22" t="s">
        <v>807</v>
      </c>
      <c r="I22" t="s">
        <v>808</v>
      </c>
      <c r="J22">
        <f t="shared" ca="1" si="2"/>
        <v>2366142.6771</v>
      </c>
      <c r="K22">
        <f t="shared" ca="1" si="3"/>
        <v>47.493678805929157</v>
      </c>
      <c r="N22" t="str">
        <f t="shared" si="0"/>
        <v>Barking and Dagenham54Targeted out of hospital careResidential PlacementsCare home</v>
      </c>
      <c r="O22" t="s">
        <v>65</v>
      </c>
      <c r="P22" t="s">
        <v>790</v>
      </c>
      <c r="Q22">
        <v>54</v>
      </c>
      <c r="R22" t="s">
        <v>786</v>
      </c>
      <c r="S22" t="s">
        <v>868</v>
      </c>
      <c r="T22" t="s">
        <v>806</v>
      </c>
      <c r="U22" t="s">
        <v>807</v>
      </c>
      <c r="W22">
        <v>23</v>
      </c>
      <c r="X22">
        <v>23</v>
      </c>
      <c r="Y22" t="s">
        <v>808</v>
      </c>
      <c r="Z22" t="s">
        <v>792</v>
      </c>
      <c r="AB22" t="s">
        <v>793</v>
      </c>
      <c r="AD22" t="s">
        <v>794</v>
      </c>
      <c r="AE22" t="s">
        <v>795</v>
      </c>
      <c r="AF22" t="s">
        <v>860</v>
      </c>
      <c r="AG22" t="s">
        <v>861</v>
      </c>
      <c r="AH22">
        <v>0</v>
      </c>
      <c r="AI22">
        <v>1061557</v>
      </c>
      <c r="AJ22">
        <v>0.1</v>
      </c>
    </row>
    <row r="23" spans="1:36" x14ac:dyDescent="0.3">
      <c r="A23">
        <f>COUNTIF($D$2:D23,D23)</f>
        <v>2</v>
      </c>
      <c r="B23" t="str">
        <f t="shared" si="1"/>
        <v>2Barnet</v>
      </c>
      <c r="C23" t="s">
        <v>871</v>
      </c>
      <c r="D23" t="s">
        <v>67</v>
      </c>
      <c r="E23">
        <v>16</v>
      </c>
      <c r="F23" t="s">
        <v>872</v>
      </c>
      <c r="G23" t="s">
        <v>806</v>
      </c>
      <c r="H23" t="s">
        <v>873</v>
      </c>
      <c r="I23" t="s">
        <v>808</v>
      </c>
      <c r="J23">
        <f t="shared" ca="1" si="2"/>
        <v>681463.08660000004</v>
      </c>
      <c r="K23">
        <f t="shared" ca="1" si="3"/>
        <v>12.208165360002738</v>
      </c>
      <c r="N23" t="str">
        <f t="shared" si="0"/>
        <v>Barnet15Care Home provisionResidential PlacementsCare home</v>
      </c>
      <c r="O23" t="s">
        <v>67</v>
      </c>
      <c r="P23" t="s">
        <v>790</v>
      </c>
      <c r="Q23">
        <v>15</v>
      </c>
      <c r="R23" t="s">
        <v>870</v>
      </c>
      <c r="S23" t="s">
        <v>874</v>
      </c>
      <c r="T23" t="s">
        <v>806</v>
      </c>
      <c r="U23" t="s">
        <v>807</v>
      </c>
      <c r="W23">
        <v>47.493678805929157</v>
      </c>
      <c r="X23">
        <v>47.493678805929157</v>
      </c>
      <c r="Y23" t="s">
        <v>808</v>
      </c>
      <c r="Z23" t="s">
        <v>792</v>
      </c>
      <c r="AB23" t="s">
        <v>793</v>
      </c>
      <c r="AD23" t="s">
        <v>794</v>
      </c>
      <c r="AE23" t="s">
        <v>795</v>
      </c>
      <c r="AF23" t="s">
        <v>845</v>
      </c>
      <c r="AG23" t="s">
        <v>797</v>
      </c>
      <c r="AH23">
        <v>2366142.6771</v>
      </c>
      <c r="AI23">
        <v>2366142.6771</v>
      </c>
      <c r="AJ23">
        <v>0.06</v>
      </c>
    </row>
    <row r="24" spans="1:36" x14ac:dyDescent="0.3">
      <c r="A24">
        <f>COUNTIF($D$2:D24,D24)</f>
        <v>3</v>
      </c>
      <c r="B24" t="str">
        <f t="shared" si="1"/>
        <v>3Barnet</v>
      </c>
      <c r="C24" t="s">
        <v>875</v>
      </c>
      <c r="D24" t="s">
        <v>67</v>
      </c>
      <c r="E24">
        <v>18</v>
      </c>
      <c r="F24" t="s">
        <v>876</v>
      </c>
      <c r="G24" t="s">
        <v>877</v>
      </c>
      <c r="H24" t="s">
        <v>878</v>
      </c>
      <c r="I24" t="s">
        <v>879</v>
      </c>
      <c r="J24">
        <f t="shared" ca="1" si="2"/>
        <v>1491254.9166999999</v>
      </c>
      <c r="K24">
        <f t="shared" ca="1" si="3"/>
        <v>23.139345442250601</v>
      </c>
      <c r="N24" t="str">
        <f t="shared" si="0"/>
        <v>Barnet16Supported LivingResidential PlacementsSupported housing</v>
      </c>
      <c r="O24" t="s">
        <v>67</v>
      </c>
      <c r="P24" t="s">
        <v>790</v>
      </c>
      <c r="Q24">
        <v>16</v>
      </c>
      <c r="R24" t="s">
        <v>872</v>
      </c>
      <c r="S24" t="s">
        <v>880</v>
      </c>
      <c r="T24" t="s">
        <v>806</v>
      </c>
      <c r="U24" t="s">
        <v>873</v>
      </c>
      <c r="W24">
        <v>12.208165360002738</v>
      </c>
      <c r="X24">
        <v>12.208165360002738</v>
      </c>
      <c r="Y24" t="s">
        <v>808</v>
      </c>
      <c r="Z24" t="s">
        <v>792</v>
      </c>
      <c r="AB24" t="s">
        <v>793</v>
      </c>
      <c r="AD24" t="s">
        <v>794</v>
      </c>
      <c r="AE24" t="s">
        <v>795</v>
      </c>
      <c r="AF24" t="s">
        <v>845</v>
      </c>
      <c r="AG24" t="s">
        <v>797</v>
      </c>
      <c r="AH24">
        <v>681463.08660000004</v>
      </c>
      <c r="AI24">
        <v>681463.08660000004</v>
      </c>
      <c r="AJ24">
        <v>0.02</v>
      </c>
    </row>
    <row r="25" spans="1:36" x14ac:dyDescent="0.3">
      <c r="A25">
        <f>COUNTIF($D$2:D25,D25)</f>
        <v>4</v>
      </c>
      <c r="B25" t="str">
        <f t="shared" si="1"/>
        <v>4Barnet</v>
      </c>
      <c r="C25" t="s">
        <v>881</v>
      </c>
      <c r="D25" t="s">
        <v>67</v>
      </c>
      <c r="E25">
        <v>19</v>
      </c>
      <c r="F25" t="s">
        <v>882</v>
      </c>
      <c r="G25" t="s">
        <v>842</v>
      </c>
      <c r="H25" t="s">
        <v>843</v>
      </c>
      <c r="I25" t="s">
        <v>844</v>
      </c>
      <c r="J25">
        <f t="shared" ca="1" si="2"/>
        <v>3688146.3646</v>
      </c>
      <c r="K25">
        <f t="shared" ca="1" si="3"/>
        <v>192995.62347462063</v>
      </c>
      <c r="N25" t="str">
        <f t="shared" si="0"/>
        <v>Barnet18Winter resilienceBed based intermediate Care Services (Reablement, rehabilitation, wider short-term services supporting recovery)Bed-based intermediate care with reablement (to support discharge)</v>
      </c>
      <c r="O25" t="s">
        <v>67</v>
      </c>
      <c r="P25" t="s">
        <v>790</v>
      </c>
      <c r="Q25">
        <v>18</v>
      </c>
      <c r="R25" t="s">
        <v>876</v>
      </c>
      <c r="S25" t="s">
        <v>883</v>
      </c>
      <c r="T25" t="s">
        <v>877</v>
      </c>
      <c r="U25" t="s">
        <v>878</v>
      </c>
      <c r="W25">
        <v>23.139345442250601</v>
      </c>
      <c r="X25">
        <v>23.13934544225059</v>
      </c>
      <c r="Y25" t="s">
        <v>879</v>
      </c>
      <c r="Z25" t="s">
        <v>792</v>
      </c>
      <c r="AB25" t="s">
        <v>793</v>
      </c>
      <c r="AD25" t="s">
        <v>794</v>
      </c>
      <c r="AE25" t="s">
        <v>795</v>
      </c>
      <c r="AF25" t="s">
        <v>845</v>
      </c>
      <c r="AG25" t="s">
        <v>797</v>
      </c>
      <c r="AH25">
        <v>1491254.9166999999</v>
      </c>
      <c r="AI25">
        <v>1491254.9166999999</v>
      </c>
      <c r="AJ25">
        <v>0.04</v>
      </c>
    </row>
    <row r="26" spans="1:36" x14ac:dyDescent="0.3">
      <c r="A26">
        <f>COUNTIF($D$2:D26,D26)</f>
        <v>5</v>
      </c>
      <c r="B26" t="str">
        <f t="shared" si="1"/>
        <v>5Barnet</v>
      </c>
      <c r="C26" t="s">
        <v>884</v>
      </c>
      <c r="D26" t="s">
        <v>67</v>
      </c>
      <c r="E26">
        <v>20</v>
      </c>
      <c r="F26" t="s">
        <v>885</v>
      </c>
      <c r="G26" t="s">
        <v>787</v>
      </c>
      <c r="H26" t="s">
        <v>886</v>
      </c>
      <c r="I26" t="s">
        <v>789</v>
      </c>
      <c r="J26">
        <f t="shared" ca="1" si="2"/>
        <v>206060</v>
      </c>
      <c r="K26">
        <f t="shared" ca="1" si="3"/>
        <v>215.4</v>
      </c>
      <c r="N26" t="str">
        <f t="shared" si="0"/>
        <v>Barnet19Home Care packages of supportHome Care or Domiciliary CareDomiciliary care packages</v>
      </c>
      <c r="O26" t="s">
        <v>67</v>
      </c>
      <c r="P26" t="s">
        <v>790</v>
      </c>
      <c r="Q26">
        <v>19</v>
      </c>
      <c r="R26" t="s">
        <v>882</v>
      </c>
      <c r="S26" t="s">
        <v>887</v>
      </c>
      <c r="T26" t="s">
        <v>842</v>
      </c>
      <c r="U26" t="s">
        <v>843</v>
      </c>
      <c r="W26">
        <v>192995.62347462063</v>
      </c>
      <c r="X26">
        <v>192995.62347462063</v>
      </c>
      <c r="Y26" t="s">
        <v>844</v>
      </c>
      <c r="Z26" t="s">
        <v>792</v>
      </c>
      <c r="AB26" t="s">
        <v>793</v>
      </c>
      <c r="AD26" t="s">
        <v>794</v>
      </c>
      <c r="AE26" t="s">
        <v>795</v>
      </c>
      <c r="AF26" t="s">
        <v>845</v>
      </c>
      <c r="AG26" t="s">
        <v>797</v>
      </c>
      <c r="AH26">
        <v>3688146.3646</v>
      </c>
      <c r="AI26">
        <v>3688146.3646</v>
      </c>
      <c r="AJ26">
        <v>0.18</v>
      </c>
    </row>
    <row r="27" spans="1:36" x14ac:dyDescent="0.3">
      <c r="A27">
        <f>COUNTIF($D$2:D27,D27)</f>
        <v>6</v>
      </c>
      <c r="B27" t="str">
        <f t="shared" si="1"/>
        <v>6Barnet</v>
      </c>
      <c r="C27" t="s">
        <v>888</v>
      </c>
      <c r="D27" t="s">
        <v>67</v>
      </c>
      <c r="E27">
        <v>21</v>
      </c>
      <c r="F27" t="s">
        <v>889</v>
      </c>
      <c r="G27" t="s">
        <v>787</v>
      </c>
      <c r="H27" t="s">
        <v>886</v>
      </c>
      <c r="I27" t="s">
        <v>789</v>
      </c>
      <c r="J27">
        <f t="shared" ca="1" si="2"/>
        <v>311622.88382520521</v>
      </c>
      <c r="K27">
        <f t="shared" ca="1" si="3"/>
        <v>325.7438810695711</v>
      </c>
      <c r="N27" t="str">
        <f t="shared" si="0"/>
        <v>Barnet20Reablement capacity Home-based intermediate care servicesReablement at home (to prevent admission to hospital or residential care)</v>
      </c>
      <c r="O27" t="s">
        <v>67</v>
      </c>
      <c r="P27" t="s">
        <v>790</v>
      </c>
      <c r="Q27">
        <v>20</v>
      </c>
      <c r="R27" t="s">
        <v>885</v>
      </c>
      <c r="S27" t="s">
        <v>883</v>
      </c>
      <c r="T27" t="s">
        <v>787</v>
      </c>
      <c r="U27" t="s">
        <v>886</v>
      </c>
      <c r="W27">
        <v>215.4</v>
      </c>
      <c r="X27">
        <v>215.4</v>
      </c>
      <c r="Y27" t="s">
        <v>789</v>
      </c>
      <c r="Z27" t="s">
        <v>792</v>
      </c>
      <c r="AB27" t="s">
        <v>793</v>
      </c>
      <c r="AD27" t="s">
        <v>794</v>
      </c>
      <c r="AE27" t="s">
        <v>795</v>
      </c>
      <c r="AF27" t="s">
        <v>845</v>
      </c>
      <c r="AG27" t="s">
        <v>797</v>
      </c>
      <c r="AH27">
        <v>206060</v>
      </c>
      <c r="AI27">
        <v>206060</v>
      </c>
      <c r="AJ27">
        <v>0.05</v>
      </c>
    </row>
    <row r="28" spans="1:36" x14ac:dyDescent="0.3">
      <c r="A28">
        <f>COUNTIF($D$2:D28,D28)</f>
        <v>7</v>
      </c>
      <c r="B28" t="str">
        <f t="shared" si="1"/>
        <v>7Barnet</v>
      </c>
      <c r="C28" t="s">
        <v>890</v>
      </c>
      <c r="D28" t="s">
        <v>67</v>
      </c>
      <c r="E28">
        <v>23</v>
      </c>
      <c r="F28" t="s">
        <v>891</v>
      </c>
      <c r="G28" t="s">
        <v>834</v>
      </c>
      <c r="H28" t="s">
        <v>835</v>
      </c>
      <c r="I28" t="s">
        <v>836</v>
      </c>
      <c r="J28">
        <f t="shared" ca="1" si="2"/>
        <v>2884527</v>
      </c>
      <c r="K28">
        <f t="shared" ca="1" si="3"/>
        <v>150</v>
      </c>
      <c r="N28" t="str">
        <f t="shared" si="0"/>
        <v>Barnet21Intermediate care /reablementHome-based intermediate care servicesReablement at home (to prevent admission to hospital or residential care)</v>
      </c>
      <c r="O28" t="s">
        <v>67</v>
      </c>
      <c r="P28" t="s">
        <v>790</v>
      </c>
      <c r="Q28">
        <v>21</v>
      </c>
      <c r="R28" t="s">
        <v>889</v>
      </c>
      <c r="S28" t="s">
        <v>892</v>
      </c>
      <c r="T28" t="s">
        <v>787</v>
      </c>
      <c r="U28" t="s">
        <v>886</v>
      </c>
      <c r="W28">
        <v>325.7438810695711</v>
      </c>
      <c r="X28">
        <v>344.18098473810886</v>
      </c>
      <c r="Y28" t="s">
        <v>789</v>
      </c>
      <c r="Z28" t="s">
        <v>792</v>
      </c>
      <c r="AB28" t="s">
        <v>793</v>
      </c>
      <c r="AD28" t="s">
        <v>794</v>
      </c>
      <c r="AE28" t="s">
        <v>795</v>
      </c>
      <c r="AF28" t="s">
        <v>796</v>
      </c>
      <c r="AG28" t="s">
        <v>797</v>
      </c>
      <c r="AH28">
        <v>311622.88382520521</v>
      </c>
      <c r="AI28">
        <v>329260.73904971185</v>
      </c>
      <c r="AJ28">
        <v>7.0000000000000007E-2</v>
      </c>
    </row>
    <row r="29" spans="1:36" x14ac:dyDescent="0.3">
      <c r="A29">
        <f>COUNTIF($D$2:D29,D29)</f>
        <v>8</v>
      </c>
      <c r="B29" t="str">
        <f t="shared" si="1"/>
        <v>8Barnet</v>
      </c>
      <c r="C29" t="s">
        <v>893</v>
      </c>
      <c r="D29" t="s">
        <v>67</v>
      </c>
      <c r="E29">
        <v>25</v>
      </c>
      <c r="F29" t="s">
        <v>894</v>
      </c>
      <c r="G29" t="s">
        <v>811</v>
      </c>
      <c r="H29" t="s">
        <v>895</v>
      </c>
      <c r="I29" t="s">
        <v>813</v>
      </c>
      <c r="J29">
        <f t="shared" ca="1" si="2"/>
        <v>393658.66073281865</v>
      </c>
      <c r="K29">
        <f t="shared" ca="1" si="3"/>
        <v>1800</v>
      </c>
      <c r="N29" t="str">
        <f t="shared" si="0"/>
        <v>Barnet23Disabled Facilities GrantDFG Related SchemesAdaptations, including statutory DFG grants</v>
      </c>
      <c r="O29" t="s">
        <v>67</v>
      </c>
      <c r="P29" t="s">
        <v>790</v>
      </c>
      <c r="Q29">
        <v>23</v>
      </c>
      <c r="R29" t="s">
        <v>891</v>
      </c>
      <c r="S29" t="s">
        <v>896</v>
      </c>
      <c r="T29" t="s">
        <v>834</v>
      </c>
      <c r="U29" t="s">
        <v>835</v>
      </c>
      <c r="W29">
        <v>150</v>
      </c>
      <c r="X29">
        <v>150</v>
      </c>
      <c r="Y29" t="s">
        <v>836</v>
      </c>
      <c r="Z29" t="s">
        <v>792</v>
      </c>
      <c r="AB29" t="s">
        <v>793</v>
      </c>
      <c r="AD29" t="s">
        <v>794</v>
      </c>
      <c r="AE29" t="s">
        <v>804</v>
      </c>
      <c r="AF29" t="s">
        <v>840</v>
      </c>
      <c r="AG29" t="s">
        <v>797</v>
      </c>
      <c r="AH29">
        <v>2884527</v>
      </c>
      <c r="AI29">
        <v>2884527</v>
      </c>
      <c r="AJ29">
        <v>1</v>
      </c>
    </row>
    <row r="30" spans="1:36" x14ac:dyDescent="0.3">
      <c r="A30">
        <f>COUNTIF($D$2:D30,D30)</f>
        <v>9</v>
      </c>
      <c r="B30" t="str">
        <f t="shared" si="1"/>
        <v>9Barnet</v>
      </c>
      <c r="C30" t="s">
        <v>897</v>
      </c>
      <c r="D30" t="s">
        <v>67</v>
      </c>
      <c r="E30">
        <v>29</v>
      </c>
      <c r="F30" t="s">
        <v>898</v>
      </c>
      <c r="G30" t="s">
        <v>787</v>
      </c>
      <c r="H30" t="s">
        <v>899</v>
      </c>
      <c r="I30" t="s">
        <v>789</v>
      </c>
      <c r="J30">
        <f t="shared" ca="1" si="2"/>
        <v>307347.36776842317</v>
      </c>
      <c r="K30">
        <f t="shared" ca="1" si="3"/>
        <v>321.27462266076736</v>
      </c>
      <c r="N30" t="str">
        <f t="shared" si="0"/>
        <v>Barnet25Carers Support -Asessment &amp; AdviceCarers ServicesCarer advice and support related to Care Act duties</v>
      </c>
      <c r="O30" t="s">
        <v>67</v>
      </c>
      <c r="P30" t="s">
        <v>790</v>
      </c>
      <c r="Q30">
        <v>25</v>
      </c>
      <c r="R30" t="s">
        <v>894</v>
      </c>
      <c r="S30" t="s">
        <v>900</v>
      </c>
      <c r="T30" t="s">
        <v>811</v>
      </c>
      <c r="U30" t="s">
        <v>895</v>
      </c>
      <c r="W30">
        <v>1800</v>
      </c>
      <c r="X30">
        <v>1800</v>
      </c>
      <c r="Y30" t="s">
        <v>813</v>
      </c>
      <c r="Z30" t="s">
        <v>792</v>
      </c>
      <c r="AB30" t="s">
        <v>793</v>
      </c>
      <c r="AD30" t="s">
        <v>794</v>
      </c>
      <c r="AE30" t="s">
        <v>795</v>
      </c>
      <c r="AF30" t="s">
        <v>796</v>
      </c>
      <c r="AG30" t="s">
        <v>797</v>
      </c>
      <c r="AH30">
        <v>393658.66073281865</v>
      </c>
      <c r="AI30">
        <v>415939.74093029613</v>
      </c>
      <c r="AJ30">
        <v>1</v>
      </c>
    </row>
    <row r="31" spans="1:36" x14ac:dyDescent="0.3">
      <c r="A31">
        <f>COUNTIF($D$2:D31,D31)</f>
        <v>10</v>
      </c>
      <c r="B31" t="str">
        <f t="shared" si="1"/>
        <v>10Barnet</v>
      </c>
      <c r="C31" t="s">
        <v>901</v>
      </c>
      <c r="D31" t="s">
        <v>67</v>
      </c>
      <c r="E31">
        <v>31</v>
      </c>
      <c r="F31" t="s">
        <v>902</v>
      </c>
      <c r="G31" t="s">
        <v>800</v>
      </c>
      <c r="H31" t="s">
        <v>903</v>
      </c>
      <c r="I31" t="s">
        <v>802</v>
      </c>
      <c r="J31">
        <f t="shared" ca="1" si="2"/>
        <v>2286655.8977539241</v>
      </c>
      <c r="K31">
        <f t="shared" ca="1" si="3"/>
        <v>13868.606851976736</v>
      </c>
      <c r="N31" t="str">
        <f t="shared" si="0"/>
        <v>Barnet29Admissions avoidance Home-based intermediate care servicesJoint reablement and rehabilitation service (to prevent admission to hospital or residential care)</v>
      </c>
      <c r="O31" t="s">
        <v>67</v>
      </c>
      <c r="P31" t="s">
        <v>790</v>
      </c>
      <c r="Q31">
        <v>29</v>
      </c>
      <c r="R31" t="s">
        <v>898</v>
      </c>
      <c r="S31" t="s">
        <v>904</v>
      </c>
      <c r="T31" t="s">
        <v>787</v>
      </c>
      <c r="U31" t="s">
        <v>899</v>
      </c>
      <c r="W31">
        <v>321.27462266076736</v>
      </c>
      <c r="X31">
        <v>339.45876630336687</v>
      </c>
      <c r="Y31" t="s">
        <v>789</v>
      </c>
      <c r="Z31" t="s">
        <v>792</v>
      </c>
      <c r="AB31" t="s">
        <v>793</v>
      </c>
      <c r="AD31" t="s">
        <v>794</v>
      </c>
      <c r="AE31" t="s">
        <v>795</v>
      </c>
      <c r="AF31" t="s">
        <v>796</v>
      </c>
      <c r="AG31" t="s">
        <v>797</v>
      </c>
      <c r="AH31">
        <v>307347.36776842317</v>
      </c>
      <c r="AI31">
        <v>324743.22878411593</v>
      </c>
      <c r="AJ31">
        <v>7.0000000000000007E-2</v>
      </c>
    </row>
    <row r="32" spans="1:36" x14ac:dyDescent="0.3">
      <c r="A32">
        <f>COUNTIF($D$2:D32,D32)</f>
        <v>11</v>
      </c>
      <c r="B32" t="str">
        <f t="shared" si="1"/>
        <v>11Barnet</v>
      </c>
      <c r="C32" t="s">
        <v>905</v>
      </c>
      <c r="D32" t="s">
        <v>67</v>
      </c>
      <c r="E32">
        <v>32</v>
      </c>
      <c r="F32" t="s">
        <v>906</v>
      </c>
      <c r="G32" t="s">
        <v>800</v>
      </c>
      <c r="H32" t="s">
        <v>907</v>
      </c>
      <c r="I32" t="s">
        <v>802</v>
      </c>
      <c r="J32">
        <f t="shared" ca="1" si="2"/>
        <v>103030</v>
      </c>
      <c r="K32">
        <f t="shared" ca="1" si="3"/>
        <v>625</v>
      </c>
      <c r="N32" t="str">
        <f t="shared" si="0"/>
        <v>Barnet31Integrated Community EquipmentAssistive Technologies and EquipmentCommunity based equipment</v>
      </c>
      <c r="O32" t="s">
        <v>67</v>
      </c>
      <c r="P32" t="s">
        <v>790</v>
      </c>
      <c r="Q32">
        <v>31</v>
      </c>
      <c r="R32" t="s">
        <v>902</v>
      </c>
      <c r="S32" t="s">
        <v>908</v>
      </c>
      <c r="T32" t="s">
        <v>800</v>
      </c>
      <c r="U32" t="s">
        <v>903</v>
      </c>
      <c r="W32">
        <v>13868.606851976736</v>
      </c>
      <c r="X32">
        <v>14653.569999798619</v>
      </c>
      <c r="Y32" t="s">
        <v>802</v>
      </c>
      <c r="Z32" t="s">
        <v>823</v>
      </c>
      <c r="AB32" t="s">
        <v>793</v>
      </c>
      <c r="AD32" t="s">
        <v>794</v>
      </c>
      <c r="AE32" t="s">
        <v>795</v>
      </c>
      <c r="AF32" t="s">
        <v>796</v>
      </c>
      <c r="AG32" t="s">
        <v>797</v>
      </c>
      <c r="AH32">
        <v>2286655.8977539241</v>
      </c>
      <c r="AI32">
        <v>2416080.6215667962</v>
      </c>
      <c r="AJ32">
        <v>0.66</v>
      </c>
    </row>
    <row r="33" spans="1:36" x14ac:dyDescent="0.3">
      <c r="A33">
        <f>COUNTIF($D$2:D33,D33)</f>
        <v>12</v>
      </c>
      <c r="B33" t="str">
        <f t="shared" si="1"/>
        <v>12Barnet</v>
      </c>
      <c r="C33" t="s">
        <v>909</v>
      </c>
      <c r="D33" t="s">
        <v>67</v>
      </c>
      <c r="E33">
        <v>35</v>
      </c>
      <c r="F33" t="s">
        <v>910</v>
      </c>
      <c r="G33" t="s">
        <v>800</v>
      </c>
      <c r="H33" t="s">
        <v>903</v>
      </c>
      <c r="I33" t="s">
        <v>802</v>
      </c>
      <c r="J33">
        <f t="shared" ca="1" si="2"/>
        <v>348922</v>
      </c>
      <c r="K33">
        <f t="shared" ca="1" si="3"/>
        <v>350</v>
      </c>
      <c r="N33" t="str">
        <f t="shared" si="0"/>
        <v>Barnet32Digital inclusion- Assistive TechnologiesAssistive Technologies and EquipmentDigital participation services</v>
      </c>
      <c r="O33" t="s">
        <v>67</v>
      </c>
      <c r="P33" t="s">
        <v>790</v>
      </c>
      <c r="Q33">
        <v>32</v>
      </c>
      <c r="R33" t="s">
        <v>906</v>
      </c>
      <c r="S33" t="s">
        <v>911</v>
      </c>
      <c r="T33" t="s">
        <v>800</v>
      </c>
      <c r="U33" t="s">
        <v>907</v>
      </c>
      <c r="W33">
        <v>625</v>
      </c>
      <c r="X33">
        <v>625</v>
      </c>
      <c r="Y33" t="s">
        <v>802</v>
      </c>
      <c r="Z33" t="s">
        <v>823</v>
      </c>
      <c r="AB33" t="s">
        <v>824</v>
      </c>
      <c r="AD33" t="s">
        <v>794</v>
      </c>
      <c r="AE33" t="s">
        <v>824</v>
      </c>
      <c r="AF33" t="s">
        <v>845</v>
      </c>
      <c r="AG33" t="s">
        <v>797</v>
      </c>
      <c r="AH33">
        <v>103030</v>
      </c>
      <c r="AI33">
        <v>103030</v>
      </c>
      <c r="AJ33">
        <v>0.06</v>
      </c>
    </row>
    <row r="34" spans="1:36" x14ac:dyDescent="0.3">
      <c r="A34">
        <f>COUNTIF($D$2:D34,D34)</f>
        <v>13</v>
      </c>
      <c r="B34" t="str">
        <f t="shared" si="1"/>
        <v>13Barnet</v>
      </c>
      <c r="C34" t="s">
        <v>912</v>
      </c>
      <c r="D34" t="s">
        <v>67</v>
      </c>
      <c r="E34">
        <v>36</v>
      </c>
      <c r="F34" t="s">
        <v>913</v>
      </c>
      <c r="G34" t="s">
        <v>787</v>
      </c>
      <c r="H34" t="s">
        <v>788</v>
      </c>
      <c r="I34" t="s">
        <v>789</v>
      </c>
      <c r="J34">
        <f t="shared" ca="1" si="2"/>
        <v>500000</v>
      </c>
      <c r="K34">
        <f t="shared" ca="1" si="3"/>
        <v>522.65718914963668</v>
      </c>
      <c r="N34" t="str">
        <f t="shared" si="0"/>
        <v>Barnet35Community equipment (P1)Assistive Technologies and EquipmentCommunity based equipment</v>
      </c>
      <c r="O34" t="s">
        <v>67</v>
      </c>
      <c r="P34" t="s">
        <v>790</v>
      </c>
      <c r="Q34">
        <v>35</v>
      </c>
      <c r="R34" t="s">
        <v>910</v>
      </c>
      <c r="S34" t="s">
        <v>914</v>
      </c>
      <c r="T34" t="s">
        <v>800</v>
      </c>
      <c r="U34" t="s">
        <v>903</v>
      </c>
      <c r="W34">
        <v>350</v>
      </c>
      <c r="X34">
        <v>450</v>
      </c>
      <c r="Y34" t="s">
        <v>802</v>
      </c>
      <c r="Z34" t="s">
        <v>792</v>
      </c>
      <c r="AB34" t="s">
        <v>793</v>
      </c>
      <c r="AD34" t="s">
        <v>794</v>
      </c>
      <c r="AE34" t="s">
        <v>804</v>
      </c>
      <c r="AF34" t="s">
        <v>864</v>
      </c>
      <c r="AG34" t="s">
        <v>861</v>
      </c>
      <c r="AH34">
        <v>348922</v>
      </c>
      <c r="AI34">
        <v>439210</v>
      </c>
      <c r="AJ34">
        <v>0.1</v>
      </c>
    </row>
    <row r="35" spans="1:36" x14ac:dyDescent="0.3">
      <c r="A35">
        <f>COUNTIF($D$2:D35,D35)</f>
        <v>14</v>
      </c>
      <c r="B35" t="str">
        <f t="shared" si="1"/>
        <v>14Barnet</v>
      </c>
      <c r="C35" t="s">
        <v>915</v>
      </c>
      <c r="D35" t="s">
        <v>67</v>
      </c>
      <c r="E35">
        <v>37</v>
      </c>
      <c r="F35" t="s">
        <v>916</v>
      </c>
      <c r="G35" t="s">
        <v>806</v>
      </c>
      <c r="H35" t="s">
        <v>917</v>
      </c>
      <c r="I35" t="s">
        <v>808</v>
      </c>
      <c r="J35">
        <f t="shared" ca="1" si="2"/>
        <v>500000</v>
      </c>
      <c r="K35">
        <f t="shared" ca="1" si="3"/>
        <v>10</v>
      </c>
      <c r="N35" t="str">
        <f t="shared" si="0"/>
        <v xml:space="preserve">Barnet36Reablement capacity  (P1)Home-based intermediate care servicesReablement at home (to support discharge) </v>
      </c>
      <c r="O35" t="s">
        <v>67</v>
      </c>
      <c r="P35" t="s">
        <v>790</v>
      </c>
      <c r="Q35">
        <v>36</v>
      </c>
      <c r="R35" t="s">
        <v>913</v>
      </c>
      <c r="S35" t="s">
        <v>914</v>
      </c>
      <c r="T35" t="s">
        <v>787</v>
      </c>
      <c r="U35" t="s">
        <v>788</v>
      </c>
      <c r="W35">
        <v>522.65718914963668</v>
      </c>
      <c r="X35">
        <v>940.78294046934627</v>
      </c>
      <c r="Y35" t="s">
        <v>789</v>
      </c>
      <c r="Z35" t="s">
        <v>792</v>
      </c>
      <c r="AB35" t="s">
        <v>793</v>
      </c>
      <c r="AD35" t="s">
        <v>794</v>
      </c>
      <c r="AE35" t="s">
        <v>804</v>
      </c>
      <c r="AF35" t="s">
        <v>864</v>
      </c>
      <c r="AG35" t="s">
        <v>861</v>
      </c>
      <c r="AH35">
        <v>500000</v>
      </c>
      <c r="AI35">
        <v>900000</v>
      </c>
      <c r="AJ35">
        <v>0.11</v>
      </c>
    </row>
    <row r="36" spans="1:36" x14ac:dyDescent="0.3">
      <c r="A36">
        <f>COUNTIF($D$2:D36,D36)</f>
        <v>1</v>
      </c>
      <c r="B36" t="str">
        <f t="shared" si="1"/>
        <v>1Barnsley</v>
      </c>
      <c r="C36" t="s">
        <v>918</v>
      </c>
      <c r="D36" t="s">
        <v>69</v>
      </c>
      <c r="E36">
        <v>1</v>
      </c>
      <c r="F36" t="s">
        <v>919</v>
      </c>
      <c r="G36" t="s">
        <v>806</v>
      </c>
      <c r="H36" t="s">
        <v>807</v>
      </c>
      <c r="I36" t="s">
        <v>808</v>
      </c>
      <c r="J36">
        <f t="shared" ca="1" si="2"/>
        <v>6535317</v>
      </c>
      <c r="K36">
        <f t="shared" ca="1" si="3"/>
        <v>80</v>
      </c>
      <c r="N36" t="str">
        <f t="shared" si="0"/>
        <v>Barnet37Residential and nursing care (P3)Residential PlacementsNursing home</v>
      </c>
      <c r="O36" t="s">
        <v>67</v>
      </c>
      <c r="P36" t="s">
        <v>790</v>
      </c>
      <c r="Q36">
        <v>37</v>
      </c>
      <c r="R36" t="s">
        <v>916</v>
      </c>
      <c r="S36" t="s">
        <v>914</v>
      </c>
      <c r="T36" t="s">
        <v>806</v>
      </c>
      <c r="U36" t="s">
        <v>917</v>
      </c>
      <c r="W36">
        <v>10</v>
      </c>
      <c r="X36">
        <v>18</v>
      </c>
      <c r="Y36" t="s">
        <v>808</v>
      </c>
      <c r="Z36" t="s">
        <v>792</v>
      </c>
      <c r="AB36" t="s">
        <v>793</v>
      </c>
      <c r="AD36" t="s">
        <v>794</v>
      </c>
      <c r="AE36" t="s">
        <v>804</v>
      </c>
      <c r="AF36" t="s">
        <v>864</v>
      </c>
      <c r="AG36" t="s">
        <v>861</v>
      </c>
      <c r="AH36">
        <v>500000</v>
      </c>
      <c r="AI36">
        <v>900000</v>
      </c>
      <c r="AJ36">
        <v>0.01</v>
      </c>
    </row>
    <row r="37" spans="1:36" x14ac:dyDescent="0.3">
      <c r="A37">
        <f>COUNTIF($D$2:D37,D37)</f>
        <v>2</v>
      </c>
      <c r="B37" t="str">
        <f t="shared" si="1"/>
        <v>2Barnsley</v>
      </c>
      <c r="C37" t="s">
        <v>920</v>
      </c>
      <c r="D37" t="s">
        <v>69</v>
      </c>
      <c r="E37">
        <v>2</v>
      </c>
      <c r="F37" t="s">
        <v>921</v>
      </c>
      <c r="G37" t="s">
        <v>811</v>
      </c>
      <c r="H37" t="s">
        <v>830</v>
      </c>
      <c r="I37" t="s">
        <v>813</v>
      </c>
      <c r="J37">
        <f t="shared" ca="1" si="2"/>
        <v>810000</v>
      </c>
      <c r="K37">
        <f t="shared" ca="1" si="3"/>
        <v>409</v>
      </c>
      <c r="N37" t="str">
        <f t="shared" si="0"/>
        <v>Barnsley1Long Term Care ProvisionResidential PlacementsCare home</v>
      </c>
      <c r="O37" t="s">
        <v>69</v>
      </c>
      <c r="P37" t="s">
        <v>922</v>
      </c>
      <c r="Q37">
        <v>1</v>
      </c>
      <c r="R37" t="s">
        <v>919</v>
      </c>
      <c r="S37" t="s">
        <v>923</v>
      </c>
      <c r="T37" t="s">
        <v>806</v>
      </c>
      <c r="U37" t="s">
        <v>807</v>
      </c>
      <c r="V37" t="s">
        <v>924</v>
      </c>
      <c r="W37">
        <v>80</v>
      </c>
      <c r="X37">
        <v>80</v>
      </c>
      <c r="Y37" t="s">
        <v>808</v>
      </c>
      <c r="Z37" t="s">
        <v>792</v>
      </c>
      <c r="AA37" t="s">
        <v>924</v>
      </c>
      <c r="AB37" t="s">
        <v>793</v>
      </c>
      <c r="AD37" t="s">
        <v>794</v>
      </c>
      <c r="AE37" t="s">
        <v>804</v>
      </c>
      <c r="AF37" t="s">
        <v>796</v>
      </c>
      <c r="AG37" t="s">
        <v>797</v>
      </c>
      <c r="AH37">
        <v>6535317</v>
      </c>
      <c r="AI37">
        <v>6535317</v>
      </c>
      <c r="AJ37">
        <v>7.0000000000000007E-2</v>
      </c>
    </row>
    <row r="38" spans="1:36" x14ac:dyDescent="0.3">
      <c r="A38">
        <f>COUNTIF($D$2:D38,D38)</f>
        <v>3</v>
      </c>
      <c r="B38" t="str">
        <f t="shared" si="1"/>
        <v>3Barnsley</v>
      </c>
      <c r="C38" t="s">
        <v>925</v>
      </c>
      <c r="D38" t="s">
        <v>69</v>
      </c>
      <c r="E38">
        <v>5</v>
      </c>
      <c r="F38" t="s">
        <v>926</v>
      </c>
      <c r="G38" t="s">
        <v>800</v>
      </c>
      <c r="H38" t="s">
        <v>903</v>
      </c>
      <c r="I38" t="s">
        <v>802</v>
      </c>
      <c r="J38">
        <f t="shared" ca="1" si="2"/>
        <v>1141366</v>
      </c>
      <c r="K38">
        <f t="shared" ca="1" si="3"/>
        <v>150</v>
      </c>
      <c r="N38" t="str">
        <f t="shared" si="0"/>
        <v>Barnsley2Short term and respite provisionCarers ServicesRespite services</v>
      </c>
      <c r="O38" t="s">
        <v>69</v>
      </c>
      <c r="P38" t="s">
        <v>922</v>
      </c>
      <c r="Q38">
        <v>2</v>
      </c>
      <c r="R38" t="s">
        <v>921</v>
      </c>
      <c r="S38" t="s">
        <v>927</v>
      </c>
      <c r="T38" t="s">
        <v>811</v>
      </c>
      <c r="U38" t="s">
        <v>830</v>
      </c>
      <c r="V38" t="s">
        <v>924</v>
      </c>
      <c r="W38">
        <v>409</v>
      </c>
      <c r="X38">
        <v>409</v>
      </c>
      <c r="Y38" t="s">
        <v>813</v>
      </c>
      <c r="Z38" t="s">
        <v>792</v>
      </c>
      <c r="AA38" t="s">
        <v>924</v>
      </c>
      <c r="AB38" t="s">
        <v>793</v>
      </c>
      <c r="AD38" t="s">
        <v>794</v>
      </c>
      <c r="AE38" t="s">
        <v>804</v>
      </c>
      <c r="AF38" t="s">
        <v>796</v>
      </c>
      <c r="AG38" t="s">
        <v>797</v>
      </c>
      <c r="AH38">
        <v>810000</v>
      </c>
      <c r="AI38">
        <v>810000</v>
      </c>
      <c r="AJ38">
        <v>1</v>
      </c>
    </row>
    <row r="39" spans="1:36" x14ac:dyDescent="0.3">
      <c r="A39">
        <f>COUNTIF($D$2:D39,D39)</f>
        <v>4</v>
      </c>
      <c r="B39" t="str">
        <f t="shared" si="1"/>
        <v>4Barnsley</v>
      </c>
      <c r="C39" t="s">
        <v>928</v>
      </c>
      <c r="D39" t="s">
        <v>69</v>
      </c>
      <c r="E39">
        <v>6</v>
      </c>
      <c r="F39" t="s">
        <v>929</v>
      </c>
      <c r="G39" t="s">
        <v>787</v>
      </c>
      <c r="H39" t="s">
        <v>930</v>
      </c>
      <c r="I39" t="s">
        <v>789</v>
      </c>
      <c r="J39">
        <f t="shared" ca="1" si="2"/>
        <v>1294000</v>
      </c>
      <c r="K39">
        <f t="shared" ca="1" si="3"/>
        <v>2023</v>
      </c>
      <c r="N39" t="str">
        <f t="shared" si="0"/>
        <v>Barnsley5Commissioned contracts Assistive Technologies and EquipmentCommunity based equipment</v>
      </c>
      <c r="O39" t="s">
        <v>69</v>
      </c>
      <c r="P39" t="s">
        <v>922</v>
      </c>
      <c r="Q39">
        <v>5</v>
      </c>
      <c r="R39" t="s">
        <v>926</v>
      </c>
      <c r="S39" t="s">
        <v>931</v>
      </c>
      <c r="T39" t="s">
        <v>800</v>
      </c>
      <c r="U39" t="s">
        <v>903</v>
      </c>
      <c r="V39" t="s">
        <v>924</v>
      </c>
      <c r="W39">
        <v>150</v>
      </c>
      <c r="X39">
        <v>150</v>
      </c>
      <c r="Y39" t="s">
        <v>802</v>
      </c>
      <c r="Z39" t="s">
        <v>792</v>
      </c>
      <c r="AA39" t="s">
        <v>924</v>
      </c>
      <c r="AB39" t="s">
        <v>793</v>
      </c>
      <c r="AD39" t="s">
        <v>794</v>
      </c>
      <c r="AE39" t="s">
        <v>832</v>
      </c>
      <c r="AF39" t="s">
        <v>796</v>
      </c>
      <c r="AG39" t="s">
        <v>797</v>
      </c>
      <c r="AH39">
        <v>1141366</v>
      </c>
      <c r="AI39">
        <v>1141366</v>
      </c>
      <c r="AJ39">
        <v>1</v>
      </c>
    </row>
    <row r="40" spans="1:36" x14ac:dyDescent="0.3">
      <c r="A40">
        <f>COUNTIF($D$2:D40,D40)</f>
        <v>5</v>
      </c>
      <c r="B40" t="str">
        <f t="shared" si="1"/>
        <v>5Barnsley</v>
      </c>
      <c r="C40" t="s">
        <v>932</v>
      </c>
      <c r="D40" t="s">
        <v>69</v>
      </c>
      <c r="E40">
        <v>7</v>
      </c>
      <c r="F40" t="s">
        <v>933</v>
      </c>
      <c r="G40" t="s">
        <v>806</v>
      </c>
      <c r="H40" t="s">
        <v>934</v>
      </c>
      <c r="I40" t="s">
        <v>808</v>
      </c>
      <c r="J40">
        <f t="shared" ca="1" si="2"/>
        <v>570000</v>
      </c>
      <c r="K40">
        <f t="shared" ca="1" si="3"/>
        <v>48</v>
      </c>
      <c r="N40" t="str">
        <f t="shared" si="0"/>
        <v>Barnsley6Reablement provisionHome-based intermediate care servicesReablement at home (accepting step up and step down users)</v>
      </c>
      <c r="O40" t="s">
        <v>69</v>
      </c>
      <c r="P40" t="s">
        <v>922</v>
      </c>
      <c r="Q40">
        <v>6</v>
      </c>
      <c r="R40" t="s">
        <v>929</v>
      </c>
      <c r="S40" t="s">
        <v>935</v>
      </c>
      <c r="T40" t="s">
        <v>787</v>
      </c>
      <c r="U40" t="s">
        <v>930</v>
      </c>
      <c r="V40" t="s">
        <v>924</v>
      </c>
      <c r="W40">
        <v>2023</v>
      </c>
      <c r="X40">
        <v>2023</v>
      </c>
      <c r="Y40" t="s">
        <v>789</v>
      </c>
      <c r="Z40" t="s">
        <v>792</v>
      </c>
      <c r="AA40" t="s">
        <v>924</v>
      </c>
      <c r="AB40" t="s">
        <v>793</v>
      </c>
      <c r="AD40" t="s">
        <v>794</v>
      </c>
      <c r="AE40" t="s">
        <v>795</v>
      </c>
      <c r="AF40" t="s">
        <v>796</v>
      </c>
      <c r="AG40" t="s">
        <v>797</v>
      </c>
      <c r="AH40">
        <v>1294000</v>
      </c>
      <c r="AI40">
        <v>1294000</v>
      </c>
      <c r="AJ40">
        <v>0.77</v>
      </c>
    </row>
    <row r="41" spans="1:36" x14ac:dyDescent="0.3">
      <c r="A41">
        <f>COUNTIF($D$2:D41,D41)</f>
        <v>6</v>
      </c>
      <c r="B41" t="str">
        <f t="shared" si="1"/>
        <v>6Barnsley</v>
      </c>
      <c r="C41" t="s">
        <v>936</v>
      </c>
      <c r="D41" t="s">
        <v>69</v>
      </c>
      <c r="E41">
        <v>8</v>
      </c>
      <c r="F41" t="s">
        <v>937</v>
      </c>
      <c r="G41" t="s">
        <v>787</v>
      </c>
      <c r="H41" t="s">
        <v>930</v>
      </c>
      <c r="I41" t="s">
        <v>789</v>
      </c>
      <c r="J41">
        <f t="shared" ca="1" si="2"/>
        <v>378130</v>
      </c>
      <c r="K41">
        <f t="shared" ca="1" si="3"/>
        <v>604</v>
      </c>
      <c r="N41" t="str">
        <f t="shared" si="0"/>
        <v>Barnsley7Extra Care Housing scheme provisionResidential PlacementsExtra care</v>
      </c>
      <c r="O41" t="s">
        <v>69</v>
      </c>
      <c r="P41" t="s">
        <v>922</v>
      </c>
      <c r="Q41">
        <v>7</v>
      </c>
      <c r="R41" t="s">
        <v>933</v>
      </c>
      <c r="S41" t="s">
        <v>938</v>
      </c>
      <c r="T41" t="s">
        <v>806</v>
      </c>
      <c r="U41" t="s">
        <v>934</v>
      </c>
      <c r="V41" t="s">
        <v>924</v>
      </c>
      <c r="W41">
        <v>48</v>
      </c>
      <c r="X41">
        <v>48</v>
      </c>
      <c r="Y41" t="s">
        <v>808</v>
      </c>
      <c r="Z41" t="s">
        <v>792</v>
      </c>
      <c r="AA41" t="s">
        <v>924</v>
      </c>
      <c r="AB41" t="s">
        <v>793</v>
      </c>
      <c r="AD41" t="s">
        <v>794</v>
      </c>
      <c r="AE41" t="s">
        <v>804</v>
      </c>
      <c r="AF41" t="s">
        <v>796</v>
      </c>
      <c r="AG41" t="s">
        <v>797</v>
      </c>
      <c r="AH41">
        <v>570000</v>
      </c>
      <c r="AI41">
        <v>570000</v>
      </c>
      <c r="AJ41">
        <v>1</v>
      </c>
    </row>
    <row r="42" spans="1:36" x14ac:dyDescent="0.3">
      <c r="A42">
        <f>COUNTIF($D$2:D42,D42)</f>
        <v>7</v>
      </c>
      <c r="B42" t="str">
        <f t="shared" si="1"/>
        <v>7Barnsley</v>
      </c>
      <c r="C42" t="s">
        <v>939</v>
      </c>
      <c r="D42" t="s">
        <v>69</v>
      </c>
      <c r="E42">
        <v>10</v>
      </c>
      <c r="F42" t="s">
        <v>940</v>
      </c>
      <c r="G42" t="s">
        <v>806</v>
      </c>
      <c r="H42" t="s">
        <v>807</v>
      </c>
      <c r="I42" t="s">
        <v>808</v>
      </c>
      <c r="J42">
        <f t="shared" ca="1" si="2"/>
        <v>6965188</v>
      </c>
      <c r="K42">
        <f t="shared" ca="1" si="3"/>
        <v>184</v>
      </c>
      <c r="N42" t="str">
        <f t="shared" si="0"/>
        <v>Barnsley8Community Reablement supportHome-based intermediate care servicesReablement at home (accepting step up and step down users)</v>
      </c>
      <c r="O42" t="s">
        <v>69</v>
      </c>
      <c r="P42" t="s">
        <v>922</v>
      </c>
      <c r="Q42">
        <v>8</v>
      </c>
      <c r="R42" t="s">
        <v>937</v>
      </c>
      <c r="S42" t="s">
        <v>941</v>
      </c>
      <c r="T42" t="s">
        <v>787</v>
      </c>
      <c r="U42" t="s">
        <v>930</v>
      </c>
      <c r="V42" t="s">
        <v>924</v>
      </c>
      <c r="W42">
        <v>604</v>
      </c>
      <c r="X42">
        <v>604</v>
      </c>
      <c r="Y42" t="s">
        <v>789</v>
      </c>
      <c r="Z42" t="s">
        <v>792</v>
      </c>
      <c r="AA42" t="s">
        <v>924</v>
      </c>
      <c r="AB42" t="s">
        <v>793</v>
      </c>
      <c r="AD42" t="s">
        <v>794</v>
      </c>
      <c r="AE42" t="s">
        <v>795</v>
      </c>
      <c r="AF42" t="s">
        <v>796</v>
      </c>
      <c r="AG42" t="s">
        <v>797</v>
      </c>
      <c r="AH42">
        <v>378130</v>
      </c>
      <c r="AI42">
        <v>378130</v>
      </c>
      <c r="AJ42">
        <v>0.23</v>
      </c>
    </row>
    <row r="43" spans="1:36" x14ac:dyDescent="0.3">
      <c r="A43">
        <f>COUNTIF($D$2:D43,D43)</f>
        <v>8</v>
      </c>
      <c r="B43" t="str">
        <f t="shared" si="1"/>
        <v>8Barnsley</v>
      </c>
      <c r="C43" t="s">
        <v>942</v>
      </c>
      <c r="D43" t="s">
        <v>69</v>
      </c>
      <c r="E43">
        <v>11</v>
      </c>
      <c r="F43" t="s">
        <v>943</v>
      </c>
      <c r="G43" t="s">
        <v>806</v>
      </c>
      <c r="H43" t="s">
        <v>807</v>
      </c>
      <c r="I43" t="s">
        <v>808</v>
      </c>
      <c r="J43">
        <f t="shared" ca="1" si="2"/>
        <v>2609000</v>
      </c>
      <c r="K43">
        <f t="shared" ca="1" si="3"/>
        <v>64</v>
      </c>
      <c r="N43" t="str">
        <f t="shared" si="0"/>
        <v>Barnsley10Long term care provision (Older People)Residential PlacementsCare home</v>
      </c>
      <c r="O43" t="s">
        <v>69</v>
      </c>
      <c r="P43" t="s">
        <v>922</v>
      </c>
      <c r="Q43">
        <v>10</v>
      </c>
      <c r="R43" t="s">
        <v>940</v>
      </c>
      <c r="S43" t="s">
        <v>944</v>
      </c>
      <c r="T43" t="s">
        <v>806</v>
      </c>
      <c r="U43" t="s">
        <v>807</v>
      </c>
      <c r="V43" t="s">
        <v>924</v>
      </c>
      <c r="W43">
        <v>184</v>
      </c>
      <c r="X43">
        <v>184</v>
      </c>
      <c r="Y43" t="s">
        <v>808</v>
      </c>
      <c r="Z43" t="s">
        <v>792</v>
      </c>
      <c r="AA43" t="s">
        <v>924</v>
      </c>
      <c r="AB43" t="s">
        <v>793</v>
      </c>
      <c r="AD43" t="s">
        <v>794</v>
      </c>
      <c r="AE43" t="s">
        <v>804</v>
      </c>
      <c r="AF43" t="s">
        <v>845</v>
      </c>
      <c r="AG43" t="s">
        <v>797</v>
      </c>
      <c r="AH43">
        <v>6965188</v>
      </c>
      <c r="AI43">
        <v>6965188</v>
      </c>
      <c r="AJ43">
        <v>0.08</v>
      </c>
    </row>
    <row r="44" spans="1:36" x14ac:dyDescent="0.3">
      <c r="A44">
        <f>COUNTIF($D$2:D44,D44)</f>
        <v>9</v>
      </c>
      <c r="B44" t="str">
        <f t="shared" si="1"/>
        <v>9Barnsley</v>
      </c>
      <c r="C44" t="s">
        <v>945</v>
      </c>
      <c r="D44" t="s">
        <v>69</v>
      </c>
      <c r="E44">
        <v>12</v>
      </c>
      <c r="F44" t="s">
        <v>946</v>
      </c>
      <c r="G44" t="s">
        <v>806</v>
      </c>
      <c r="H44" t="s">
        <v>807</v>
      </c>
      <c r="I44" t="s">
        <v>808</v>
      </c>
      <c r="J44">
        <f t="shared" ca="1" si="2"/>
        <v>1250000</v>
      </c>
      <c r="K44">
        <f t="shared" ca="1" si="3"/>
        <v>12</v>
      </c>
      <c r="N44" t="str">
        <f t="shared" si="0"/>
        <v>Barnsley11Long term care provision (Learning Disabilities) Residential PlacementsCare home</v>
      </c>
      <c r="O44" t="s">
        <v>69</v>
      </c>
      <c r="P44" t="s">
        <v>922</v>
      </c>
      <c r="Q44">
        <v>11</v>
      </c>
      <c r="R44" t="s">
        <v>943</v>
      </c>
      <c r="S44" t="s">
        <v>944</v>
      </c>
      <c r="T44" t="s">
        <v>806</v>
      </c>
      <c r="U44" t="s">
        <v>807</v>
      </c>
      <c r="V44" t="s">
        <v>924</v>
      </c>
      <c r="W44">
        <v>64</v>
      </c>
      <c r="X44">
        <v>64</v>
      </c>
      <c r="Y44" t="s">
        <v>808</v>
      </c>
      <c r="Z44" t="s">
        <v>792</v>
      </c>
      <c r="AA44" t="s">
        <v>924</v>
      </c>
      <c r="AB44" t="s">
        <v>793</v>
      </c>
      <c r="AD44" t="s">
        <v>794</v>
      </c>
      <c r="AE44" t="s">
        <v>804</v>
      </c>
      <c r="AF44" t="s">
        <v>845</v>
      </c>
      <c r="AG44" t="s">
        <v>797</v>
      </c>
      <c r="AH44">
        <v>2609000</v>
      </c>
      <c r="AI44">
        <v>2609000</v>
      </c>
      <c r="AJ44">
        <v>0.03</v>
      </c>
    </row>
    <row r="45" spans="1:36" x14ac:dyDescent="0.3">
      <c r="A45">
        <f>COUNTIF($D$2:D45,D45)</f>
        <v>10</v>
      </c>
      <c r="B45" t="str">
        <f t="shared" si="1"/>
        <v>10Barnsley</v>
      </c>
      <c r="C45" t="s">
        <v>947</v>
      </c>
      <c r="D45" t="s">
        <v>69</v>
      </c>
      <c r="E45">
        <v>18</v>
      </c>
      <c r="F45" t="s">
        <v>948</v>
      </c>
      <c r="G45" t="s">
        <v>811</v>
      </c>
      <c r="H45" t="s">
        <v>812</v>
      </c>
      <c r="I45" t="s">
        <v>813</v>
      </c>
      <c r="J45">
        <f t="shared" ca="1" si="2"/>
        <v>225000</v>
      </c>
      <c r="K45">
        <f t="shared" ca="1" si="3"/>
        <v>409</v>
      </c>
      <c r="N45" t="str">
        <f t="shared" si="0"/>
        <v>Barnsley12Long term care provision (Mental Health) Residential PlacementsCare home</v>
      </c>
      <c r="O45" t="s">
        <v>69</v>
      </c>
      <c r="P45" t="s">
        <v>922</v>
      </c>
      <c r="Q45">
        <v>12</v>
      </c>
      <c r="R45" t="s">
        <v>946</v>
      </c>
      <c r="S45" t="s">
        <v>944</v>
      </c>
      <c r="T45" t="s">
        <v>806</v>
      </c>
      <c r="U45" t="s">
        <v>807</v>
      </c>
      <c r="V45" t="s">
        <v>924</v>
      </c>
      <c r="W45">
        <v>12</v>
      </c>
      <c r="X45">
        <v>12</v>
      </c>
      <c r="Y45" t="s">
        <v>808</v>
      </c>
      <c r="Z45" t="s">
        <v>792</v>
      </c>
      <c r="AA45" t="s">
        <v>924</v>
      </c>
      <c r="AB45" t="s">
        <v>793</v>
      </c>
      <c r="AD45" t="s">
        <v>794</v>
      </c>
      <c r="AE45" t="s">
        <v>804</v>
      </c>
      <c r="AF45" t="s">
        <v>845</v>
      </c>
      <c r="AG45" t="s">
        <v>797</v>
      </c>
      <c r="AH45">
        <v>1250000</v>
      </c>
      <c r="AI45">
        <v>1250000</v>
      </c>
      <c r="AJ45">
        <v>0.01</v>
      </c>
    </row>
    <row r="46" spans="1:36" x14ac:dyDescent="0.3">
      <c r="A46">
        <f>COUNTIF($D$2:D46,D46)</f>
        <v>11</v>
      </c>
      <c r="B46" t="str">
        <f t="shared" si="1"/>
        <v>11Barnsley</v>
      </c>
      <c r="C46" t="s">
        <v>949</v>
      </c>
      <c r="D46" t="s">
        <v>69</v>
      </c>
      <c r="E46">
        <v>22</v>
      </c>
      <c r="F46" t="s">
        <v>950</v>
      </c>
      <c r="G46" t="s">
        <v>842</v>
      </c>
      <c r="H46" t="s">
        <v>843</v>
      </c>
      <c r="I46" t="s">
        <v>844</v>
      </c>
      <c r="J46">
        <f t="shared" ca="1" si="2"/>
        <v>69300</v>
      </c>
      <c r="K46">
        <f t="shared" ca="1" si="3"/>
        <v>5200</v>
      </c>
      <c r="N46" t="str">
        <f t="shared" si="0"/>
        <v>Barnsley18Support for carers (incl care centre model)Carers ServicesOther</v>
      </c>
      <c r="O46" t="s">
        <v>69</v>
      </c>
      <c r="P46" t="s">
        <v>922</v>
      </c>
      <c r="Q46">
        <v>18</v>
      </c>
      <c r="R46" t="s">
        <v>948</v>
      </c>
      <c r="S46" t="s">
        <v>951</v>
      </c>
      <c r="T46" t="s">
        <v>811</v>
      </c>
      <c r="U46" t="s">
        <v>812</v>
      </c>
      <c r="V46" t="s">
        <v>952</v>
      </c>
      <c r="W46">
        <v>409</v>
      </c>
      <c r="X46">
        <v>409</v>
      </c>
      <c r="Y46" t="s">
        <v>813</v>
      </c>
      <c r="Z46" t="s">
        <v>792</v>
      </c>
      <c r="AA46" t="s">
        <v>924</v>
      </c>
      <c r="AB46" t="s">
        <v>793</v>
      </c>
      <c r="AD46" t="s">
        <v>794</v>
      </c>
      <c r="AE46" t="s">
        <v>804</v>
      </c>
      <c r="AF46" t="s">
        <v>845</v>
      </c>
      <c r="AG46" t="s">
        <v>797</v>
      </c>
      <c r="AH46">
        <v>225000</v>
      </c>
      <c r="AI46">
        <v>225000</v>
      </c>
      <c r="AJ46">
        <v>1</v>
      </c>
    </row>
    <row r="47" spans="1:36" x14ac:dyDescent="0.3">
      <c r="A47">
        <f>COUNTIF($D$2:D47,D47)</f>
        <v>12</v>
      </c>
      <c r="B47" t="str">
        <f t="shared" si="1"/>
        <v>12Barnsley</v>
      </c>
      <c r="C47" t="s">
        <v>953</v>
      </c>
      <c r="D47" t="s">
        <v>69</v>
      </c>
      <c r="E47">
        <v>27</v>
      </c>
      <c r="F47" t="s">
        <v>954</v>
      </c>
      <c r="G47" t="s">
        <v>806</v>
      </c>
      <c r="H47" t="s">
        <v>955</v>
      </c>
      <c r="I47" t="s">
        <v>808</v>
      </c>
      <c r="J47">
        <f t="shared" ca="1" si="2"/>
        <v>600000</v>
      </c>
      <c r="K47">
        <f t="shared" ca="1" si="3"/>
        <v>824</v>
      </c>
      <c r="N47" t="str">
        <f t="shared" si="0"/>
        <v>Barnsley22Homecare Bridging contractHome Care or Domiciliary CareDomiciliary care packages</v>
      </c>
      <c r="O47" t="s">
        <v>69</v>
      </c>
      <c r="P47" t="s">
        <v>922</v>
      </c>
      <c r="Q47">
        <v>22</v>
      </c>
      <c r="R47" t="s">
        <v>950</v>
      </c>
      <c r="S47" t="s">
        <v>956</v>
      </c>
      <c r="T47" t="s">
        <v>842</v>
      </c>
      <c r="U47" t="s">
        <v>843</v>
      </c>
      <c r="V47" t="s">
        <v>924</v>
      </c>
      <c r="W47">
        <v>5200</v>
      </c>
      <c r="X47">
        <v>5200</v>
      </c>
      <c r="Y47" t="s">
        <v>844</v>
      </c>
      <c r="Z47" t="s">
        <v>792</v>
      </c>
      <c r="AA47" t="s">
        <v>924</v>
      </c>
      <c r="AB47" t="s">
        <v>793</v>
      </c>
      <c r="AD47" t="s">
        <v>794</v>
      </c>
      <c r="AE47" t="s">
        <v>804</v>
      </c>
      <c r="AF47" t="s">
        <v>845</v>
      </c>
      <c r="AG47" t="s">
        <v>797</v>
      </c>
      <c r="AH47">
        <v>69300</v>
      </c>
      <c r="AI47">
        <v>69300</v>
      </c>
      <c r="AJ47">
        <v>0</v>
      </c>
    </row>
    <row r="48" spans="1:36" x14ac:dyDescent="0.3">
      <c r="A48">
        <f>COUNTIF($D$2:D48,D48)</f>
        <v>13</v>
      </c>
      <c r="B48" t="str">
        <f t="shared" si="1"/>
        <v>13Barnsley</v>
      </c>
      <c r="C48" t="s">
        <v>957</v>
      </c>
      <c r="D48" t="s">
        <v>69</v>
      </c>
      <c r="E48">
        <v>28</v>
      </c>
      <c r="F48" t="s">
        <v>958</v>
      </c>
      <c r="G48" t="s">
        <v>842</v>
      </c>
      <c r="H48" t="s">
        <v>856</v>
      </c>
      <c r="I48" t="s">
        <v>844</v>
      </c>
      <c r="J48">
        <f t="shared" ca="1" si="2"/>
        <v>125424</v>
      </c>
      <c r="K48">
        <f t="shared" ca="1" si="3"/>
        <v>5200</v>
      </c>
      <c r="N48" t="str">
        <f t="shared" si="0"/>
        <v>Barnsley27Short stay placementsResidential PlacementsShort term residential care (without rehabilitation or reablement input)</v>
      </c>
      <c r="O48" t="s">
        <v>69</v>
      </c>
      <c r="P48" t="s">
        <v>922</v>
      </c>
      <c r="Q48">
        <v>27</v>
      </c>
      <c r="R48" t="s">
        <v>954</v>
      </c>
      <c r="S48" t="s">
        <v>959</v>
      </c>
      <c r="T48" t="s">
        <v>806</v>
      </c>
      <c r="U48" t="s">
        <v>955</v>
      </c>
      <c r="V48" t="s">
        <v>924</v>
      </c>
      <c r="W48">
        <v>824</v>
      </c>
      <c r="X48">
        <v>824</v>
      </c>
      <c r="Y48" t="s">
        <v>808</v>
      </c>
      <c r="Z48" t="s">
        <v>792</v>
      </c>
      <c r="AA48" t="s">
        <v>924</v>
      </c>
      <c r="AB48" t="s">
        <v>793</v>
      </c>
      <c r="AD48" t="s">
        <v>794</v>
      </c>
      <c r="AE48" t="s">
        <v>804</v>
      </c>
      <c r="AF48" t="s">
        <v>864</v>
      </c>
      <c r="AG48" t="s">
        <v>861</v>
      </c>
      <c r="AH48">
        <v>600000</v>
      </c>
      <c r="AI48">
        <v>996000</v>
      </c>
      <c r="AJ48">
        <v>0.75</v>
      </c>
    </row>
    <row r="49" spans="1:36" x14ac:dyDescent="0.3">
      <c r="A49">
        <f>COUNTIF($D$2:D49,D49)</f>
        <v>14</v>
      </c>
      <c r="B49" t="str">
        <f t="shared" si="1"/>
        <v>14Barnsley</v>
      </c>
      <c r="C49" t="s">
        <v>960</v>
      </c>
      <c r="D49" t="s">
        <v>69</v>
      </c>
      <c r="E49">
        <v>29</v>
      </c>
      <c r="F49" t="s">
        <v>961</v>
      </c>
      <c r="G49" t="s">
        <v>842</v>
      </c>
      <c r="H49" t="s">
        <v>843</v>
      </c>
      <c r="I49" t="s">
        <v>844</v>
      </c>
      <c r="J49">
        <f t="shared" ca="1" si="2"/>
        <v>860328</v>
      </c>
      <c r="K49">
        <f t="shared" ca="1" si="3"/>
        <v>37400</v>
      </c>
      <c r="N49" t="str">
        <f t="shared" si="0"/>
        <v>Barnsley28Additional Homecare supportHome Care or Domiciliary CareDomiciliary care to support hospital discharge (Discharge to Assess pathway 1)</v>
      </c>
      <c r="O49" t="s">
        <v>69</v>
      </c>
      <c r="P49" t="s">
        <v>922</v>
      </c>
      <c r="Q49">
        <v>28</v>
      </c>
      <c r="R49" t="s">
        <v>958</v>
      </c>
      <c r="S49" t="s">
        <v>962</v>
      </c>
      <c r="T49" t="s">
        <v>842</v>
      </c>
      <c r="U49" t="s">
        <v>856</v>
      </c>
      <c r="V49" t="s">
        <v>924</v>
      </c>
      <c r="W49">
        <v>5200</v>
      </c>
      <c r="X49">
        <v>5200</v>
      </c>
      <c r="Y49" t="s">
        <v>844</v>
      </c>
      <c r="Z49" t="s">
        <v>792</v>
      </c>
      <c r="AA49" t="s">
        <v>924</v>
      </c>
      <c r="AB49" t="s">
        <v>793</v>
      </c>
      <c r="AD49" t="s">
        <v>794</v>
      </c>
      <c r="AE49" t="s">
        <v>804</v>
      </c>
      <c r="AF49" t="s">
        <v>864</v>
      </c>
      <c r="AG49" t="s">
        <v>861</v>
      </c>
      <c r="AH49">
        <v>125424</v>
      </c>
      <c r="AI49">
        <v>208204</v>
      </c>
      <c r="AJ49">
        <v>0</v>
      </c>
    </row>
    <row r="50" spans="1:36" x14ac:dyDescent="0.3">
      <c r="A50">
        <f>COUNTIF($D$2:D50,D50)</f>
        <v>15</v>
      </c>
      <c r="B50" t="str">
        <f t="shared" si="1"/>
        <v>15Barnsley</v>
      </c>
      <c r="C50" t="s">
        <v>963</v>
      </c>
      <c r="D50" t="s">
        <v>69</v>
      </c>
      <c r="E50">
        <v>27</v>
      </c>
      <c r="F50" t="s">
        <v>964</v>
      </c>
      <c r="G50" t="s">
        <v>877</v>
      </c>
      <c r="H50" t="s">
        <v>878</v>
      </c>
      <c r="I50" t="s">
        <v>879</v>
      </c>
      <c r="J50">
        <f t="shared" ca="1" si="2"/>
        <v>750505</v>
      </c>
      <c r="K50">
        <f t="shared" ca="1" si="3"/>
        <v>720</v>
      </c>
      <c r="N50" t="str">
        <f t="shared" si="0"/>
        <v>Barnsley29Additional care packages and capacityHome Care or Domiciliary CareDomiciliary care packages</v>
      </c>
      <c r="O50" t="s">
        <v>69</v>
      </c>
      <c r="P50" t="s">
        <v>922</v>
      </c>
      <c r="Q50">
        <v>29</v>
      </c>
      <c r="R50" t="s">
        <v>961</v>
      </c>
      <c r="S50" t="s">
        <v>965</v>
      </c>
      <c r="T50" t="s">
        <v>842</v>
      </c>
      <c r="U50" t="s">
        <v>843</v>
      </c>
      <c r="V50" t="s">
        <v>924</v>
      </c>
      <c r="W50">
        <v>37400</v>
      </c>
      <c r="X50">
        <v>59840</v>
      </c>
      <c r="Y50" t="s">
        <v>844</v>
      </c>
      <c r="Z50" t="s">
        <v>792</v>
      </c>
      <c r="AA50" t="s">
        <v>924</v>
      </c>
      <c r="AB50" t="s">
        <v>793</v>
      </c>
      <c r="AD50" t="s">
        <v>794</v>
      </c>
      <c r="AE50" t="s">
        <v>804</v>
      </c>
      <c r="AF50" t="s">
        <v>864</v>
      </c>
      <c r="AG50" t="s">
        <v>861</v>
      </c>
      <c r="AH50">
        <v>860328</v>
      </c>
      <c r="AI50">
        <v>1428144</v>
      </c>
      <c r="AJ50">
        <v>0.04</v>
      </c>
    </row>
    <row r="51" spans="1:36" x14ac:dyDescent="0.3">
      <c r="A51">
        <f>COUNTIF($D$2:D51,D51)</f>
        <v>16</v>
      </c>
      <c r="B51" t="str">
        <f t="shared" si="1"/>
        <v>16Barnsley</v>
      </c>
      <c r="C51" t="s">
        <v>966</v>
      </c>
      <c r="D51" t="s">
        <v>69</v>
      </c>
      <c r="E51">
        <v>36</v>
      </c>
      <c r="F51" t="s">
        <v>967</v>
      </c>
      <c r="G51" t="s">
        <v>877</v>
      </c>
      <c r="H51" t="s">
        <v>968</v>
      </c>
      <c r="I51" t="s">
        <v>879</v>
      </c>
      <c r="J51">
        <f t="shared" ca="1" si="2"/>
        <v>180000</v>
      </c>
      <c r="K51">
        <f t="shared" ca="1" si="3"/>
        <v>90</v>
      </c>
      <c r="N51" t="str">
        <f t="shared" si="0"/>
        <v>Barnsley27Intermediate CareBed based intermediate Care Services (Reablement, rehabilitation, wider short-term services supporting recovery)Bed-based intermediate care with reablement (to support discharge)</v>
      </c>
      <c r="O51" t="s">
        <v>69</v>
      </c>
      <c r="P51" t="s">
        <v>922</v>
      </c>
      <c r="Q51">
        <v>27</v>
      </c>
      <c r="R51" t="s">
        <v>964</v>
      </c>
      <c r="S51" t="s">
        <v>969</v>
      </c>
      <c r="T51" t="s">
        <v>877</v>
      </c>
      <c r="U51" t="s">
        <v>878</v>
      </c>
      <c r="V51" t="s">
        <v>924</v>
      </c>
      <c r="W51">
        <v>720</v>
      </c>
      <c r="X51">
        <v>720</v>
      </c>
      <c r="Y51" t="s">
        <v>879</v>
      </c>
      <c r="Z51" t="s">
        <v>823</v>
      </c>
      <c r="AA51" t="s">
        <v>924</v>
      </c>
      <c r="AB51" t="s">
        <v>824</v>
      </c>
      <c r="AD51" t="s">
        <v>794</v>
      </c>
      <c r="AE51" t="s">
        <v>804</v>
      </c>
      <c r="AF51" t="s">
        <v>796</v>
      </c>
      <c r="AG51" t="s">
        <v>797</v>
      </c>
      <c r="AH51">
        <v>750505</v>
      </c>
      <c r="AI51">
        <v>792983.58299999998</v>
      </c>
      <c r="AJ51">
        <v>8.2144444981976497E-2</v>
      </c>
    </row>
    <row r="52" spans="1:36" x14ac:dyDescent="0.3">
      <c r="A52">
        <f>COUNTIF($D$2:D52,D52)</f>
        <v>17</v>
      </c>
      <c r="B52" t="str">
        <f t="shared" si="1"/>
        <v>17Barnsley</v>
      </c>
      <c r="C52" t="s">
        <v>970</v>
      </c>
      <c r="D52" t="s">
        <v>69</v>
      </c>
      <c r="E52">
        <v>38</v>
      </c>
      <c r="F52" t="s">
        <v>971</v>
      </c>
      <c r="G52" t="s">
        <v>806</v>
      </c>
      <c r="H52" t="s">
        <v>807</v>
      </c>
      <c r="I52" t="s">
        <v>808</v>
      </c>
      <c r="J52">
        <f t="shared" ca="1" si="2"/>
        <v>733825</v>
      </c>
      <c r="K52">
        <f t="shared" ca="1" si="3"/>
        <v>294</v>
      </c>
      <c r="N52" t="str">
        <f t="shared" si="0"/>
        <v>Barnsley36Step Down (spot purchase beds)Bed based intermediate Care Services (Reablement, rehabilitation, wider short-term services supporting recovery)Bed-based intermediate care with rehabilitation (to support discharge)</v>
      </c>
      <c r="O52" t="s">
        <v>69</v>
      </c>
      <c r="P52" t="s">
        <v>922</v>
      </c>
      <c r="Q52">
        <v>36</v>
      </c>
      <c r="R52" t="s">
        <v>967</v>
      </c>
      <c r="S52" t="s">
        <v>967</v>
      </c>
      <c r="T52" t="s">
        <v>877</v>
      </c>
      <c r="U52" t="s">
        <v>968</v>
      </c>
      <c r="V52" t="s">
        <v>924</v>
      </c>
      <c r="W52">
        <v>90</v>
      </c>
      <c r="X52">
        <v>90</v>
      </c>
      <c r="Y52" t="s">
        <v>879</v>
      </c>
      <c r="Z52" t="s">
        <v>823</v>
      </c>
      <c r="AA52" t="s">
        <v>924</v>
      </c>
      <c r="AB52" t="s">
        <v>824</v>
      </c>
      <c r="AD52" t="s">
        <v>794</v>
      </c>
      <c r="AE52" t="s">
        <v>804</v>
      </c>
      <c r="AF52" t="s">
        <v>860</v>
      </c>
      <c r="AG52" t="s">
        <v>797</v>
      </c>
      <c r="AH52">
        <v>180000</v>
      </c>
      <c r="AI52">
        <v>180000</v>
      </c>
      <c r="AJ52">
        <v>1</v>
      </c>
    </row>
    <row r="53" spans="1:36" x14ac:dyDescent="0.3">
      <c r="A53">
        <f>COUNTIF($D$2:D53,D53)</f>
        <v>1</v>
      </c>
      <c r="B53" t="str">
        <f t="shared" si="1"/>
        <v>1Bath and North East Somerset</v>
      </c>
      <c r="C53" t="s">
        <v>972</v>
      </c>
      <c r="D53" t="s">
        <v>71</v>
      </c>
      <c r="E53">
        <v>14</v>
      </c>
      <c r="F53" t="s">
        <v>973</v>
      </c>
      <c r="G53" t="s">
        <v>834</v>
      </c>
      <c r="H53" t="s">
        <v>835</v>
      </c>
      <c r="I53" t="s">
        <v>836</v>
      </c>
      <c r="J53">
        <f t="shared" ca="1" si="2"/>
        <v>1441905</v>
      </c>
      <c r="K53">
        <f t="shared" ca="1" si="3"/>
        <v>201</v>
      </c>
      <c r="N53" t="str">
        <f t="shared" si="0"/>
        <v>Barnsley38CHC/Complex Cases - funded beds and complex care packages with 1:1/2:1 supportResidential PlacementsCare home</v>
      </c>
      <c r="O53" t="s">
        <v>69</v>
      </c>
      <c r="P53" t="s">
        <v>922</v>
      </c>
      <c r="Q53">
        <v>38</v>
      </c>
      <c r="R53" t="s">
        <v>971</v>
      </c>
      <c r="S53" t="s">
        <v>971</v>
      </c>
      <c r="T53" t="s">
        <v>806</v>
      </c>
      <c r="U53" t="s">
        <v>807</v>
      </c>
      <c r="V53" t="s">
        <v>924</v>
      </c>
      <c r="W53">
        <v>294</v>
      </c>
      <c r="X53">
        <v>642</v>
      </c>
      <c r="Y53" t="s">
        <v>808</v>
      </c>
      <c r="Z53" t="s">
        <v>823</v>
      </c>
      <c r="AA53" t="s">
        <v>924</v>
      </c>
      <c r="AB53" t="s">
        <v>824</v>
      </c>
      <c r="AD53" t="s">
        <v>794</v>
      </c>
      <c r="AE53" t="s">
        <v>804</v>
      </c>
      <c r="AF53" t="s">
        <v>860</v>
      </c>
      <c r="AG53" t="s">
        <v>797</v>
      </c>
      <c r="AH53">
        <v>733825</v>
      </c>
      <c r="AI53">
        <v>1605825</v>
      </c>
      <c r="AJ53">
        <v>1</v>
      </c>
    </row>
    <row r="54" spans="1:36" x14ac:dyDescent="0.3">
      <c r="A54">
        <f>COUNTIF($D$2:D54,D54)</f>
        <v>2</v>
      </c>
      <c r="B54" t="str">
        <f t="shared" si="1"/>
        <v>2Bath and North East Somerset</v>
      </c>
      <c r="C54" t="s">
        <v>974</v>
      </c>
      <c r="D54" t="s">
        <v>71</v>
      </c>
      <c r="E54">
        <v>8</v>
      </c>
      <c r="F54" t="s">
        <v>975</v>
      </c>
      <c r="G54" t="s">
        <v>806</v>
      </c>
      <c r="H54" t="s">
        <v>812</v>
      </c>
      <c r="I54" t="s">
        <v>808</v>
      </c>
      <c r="J54">
        <f t="shared" ca="1" si="2"/>
        <v>12379</v>
      </c>
      <c r="K54">
        <f t="shared" ca="1" si="3"/>
        <v>1</v>
      </c>
      <c r="N54" t="str">
        <f t="shared" si="0"/>
        <v>Bath and North East Somerset14Disabled Facilities Grant inc Rails and Ceiling TracksDFG Related SchemesAdaptations, including statutory DFG grants</v>
      </c>
      <c r="O54" t="s">
        <v>71</v>
      </c>
      <c r="P54" t="s">
        <v>976</v>
      </c>
      <c r="Q54">
        <v>14</v>
      </c>
      <c r="R54" t="s">
        <v>973</v>
      </c>
      <c r="S54" t="s">
        <v>977</v>
      </c>
      <c r="T54" t="s">
        <v>834</v>
      </c>
      <c r="U54" t="s">
        <v>835</v>
      </c>
      <c r="W54">
        <v>201</v>
      </c>
      <c r="X54">
        <v>210</v>
      </c>
      <c r="Y54" t="s">
        <v>836</v>
      </c>
      <c r="Z54" t="s">
        <v>792</v>
      </c>
      <c r="AB54" t="s">
        <v>793</v>
      </c>
      <c r="AD54" t="s">
        <v>794</v>
      </c>
      <c r="AE54" t="s">
        <v>804</v>
      </c>
      <c r="AF54" t="s">
        <v>840</v>
      </c>
      <c r="AG54" t="s">
        <v>797</v>
      </c>
      <c r="AH54">
        <v>1441905</v>
      </c>
      <c r="AI54">
        <v>1441905</v>
      </c>
      <c r="AJ54">
        <v>1</v>
      </c>
    </row>
    <row r="55" spans="1:36" x14ac:dyDescent="0.3">
      <c r="A55">
        <f>COUNTIF($D$2:D55,D55)</f>
        <v>3</v>
      </c>
      <c r="B55" t="str">
        <f t="shared" si="1"/>
        <v>3Bath and North East Somerset</v>
      </c>
      <c r="C55" t="s">
        <v>978</v>
      </c>
      <c r="D55" t="s">
        <v>71</v>
      </c>
      <c r="E55">
        <v>8</v>
      </c>
      <c r="F55" t="s">
        <v>975</v>
      </c>
      <c r="G55" t="s">
        <v>806</v>
      </c>
      <c r="H55" t="s">
        <v>917</v>
      </c>
      <c r="I55" t="s">
        <v>808</v>
      </c>
      <c r="J55">
        <f t="shared" ca="1" si="2"/>
        <v>136167</v>
      </c>
      <c r="K55">
        <f t="shared" ca="1" si="3"/>
        <v>1</v>
      </c>
      <c r="N55" t="str">
        <f t="shared" si="0"/>
        <v>Bath and North East Somerset8Protection of Social CareResidential PlacementsOther</v>
      </c>
      <c r="O55" t="s">
        <v>71</v>
      </c>
      <c r="P55" t="s">
        <v>976</v>
      </c>
      <c r="Q55">
        <v>8</v>
      </c>
      <c r="R55" t="s">
        <v>975</v>
      </c>
      <c r="S55" t="s">
        <v>979</v>
      </c>
      <c r="T55" t="s">
        <v>806</v>
      </c>
      <c r="U55" t="s">
        <v>812</v>
      </c>
      <c r="V55" t="s">
        <v>872</v>
      </c>
      <c r="W55">
        <v>1</v>
      </c>
      <c r="X55">
        <v>1</v>
      </c>
      <c r="Y55" t="s">
        <v>808</v>
      </c>
      <c r="Z55" t="s">
        <v>792</v>
      </c>
      <c r="AB55" t="s">
        <v>793</v>
      </c>
      <c r="AD55" t="s">
        <v>794</v>
      </c>
      <c r="AE55" t="s">
        <v>804</v>
      </c>
      <c r="AF55" t="s">
        <v>796</v>
      </c>
      <c r="AG55" t="s">
        <v>797</v>
      </c>
      <c r="AH55">
        <v>12379</v>
      </c>
      <c r="AI55">
        <v>13079.651400000001</v>
      </c>
      <c r="AJ55">
        <v>0</v>
      </c>
    </row>
    <row r="56" spans="1:36" x14ac:dyDescent="0.3">
      <c r="A56">
        <f>COUNTIF($D$2:D56,D56)</f>
        <v>4</v>
      </c>
      <c r="B56" t="str">
        <f t="shared" si="1"/>
        <v>4Bath and North East Somerset</v>
      </c>
      <c r="C56" t="s">
        <v>980</v>
      </c>
      <c r="D56" t="s">
        <v>71</v>
      </c>
      <c r="E56">
        <v>8</v>
      </c>
      <c r="F56" t="s">
        <v>975</v>
      </c>
      <c r="G56" t="s">
        <v>806</v>
      </c>
      <c r="H56" t="s">
        <v>807</v>
      </c>
      <c r="I56" t="s">
        <v>808</v>
      </c>
      <c r="J56">
        <f t="shared" ca="1" si="2"/>
        <v>3929130</v>
      </c>
      <c r="K56">
        <f t="shared" ca="1" si="3"/>
        <v>50.5</v>
      </c>
      <c r="N56" t="str">
        <f t="shared" si="0"/>
        <v>Bath and North East Somerset8Protection of Social CareResidential PlacementsNursing home</v>
      </c>
      <c r="O56" t="s">
        <v>71</v>
      </c>
      <c r="P56" t="s">
        <v>976</v>
      </c>
      <c r="Q56">
        <v>8</v>
      </c>
      <c r="R56" t="s">
        <v>975</v>
      </c>
      <c r="S56" t="s">
        <v>981</v>
      </c>
      <c r="T56" t="s">
        <v>806</v>
      </c>
      <c r="U56" t="s">
        <v>917</v>
      </c>
      <c r="W56">
        <v>1</v>
      </c>
      <c r="X56">
        <v>1</v>
      </c>
      <c r="Y56" t="s">
        <v>808</v>
      </c>
      <c r="Z56" t="s">
        <v>792</v>
      </c>
      <c r="AB56" t="s">
        <v>793</v>
      </c>
      <c r="AD56" t="s">
        <v>794</v>
      </c>
      <c r="AE56" t="s">
        <v>804</v>
      </c>
      <c r="AF56" t="s">
        <v>796</v>
      </c>
      <c r="AG56" t="s">
        <v>797</v>
      </c>
      <c r="AH56">
        <v>136167</v>
      </c>
      <c r="AI56">
        <v>143874.05220000001</v>
      </c>
      <c r="AJ56">
        <v>0.01</v>
      </c>
    </row>
    <row r="57" spans="1:36" x14ac:dyDescent="0.3">
      <c r="A57">
        <f>COUNTIF($D$2:D57,D57)</f>
        <v>5</v>
      </c>
      <c r="B57" t="str">
        <f t="shared" si="1"/>
        <v>5Bath and North East Somerset</v>
      </c>
      <c r="C57" t="s">
        <v>982</v>
      </c>
      <c r="D57" t="s">
        <v>71</v>
      </c>
      <c r="E57">
        <v>8</v>
      </c>
      <c r="F57" t="s">
        <v>975</v>
      </c>
      <c r="G57" t="s">
        <v>806</v>
      </c>
      <c r="H57" t="s">
        <v>854</v>
      </c>
      <c r="I57" t="s">
        <v>808</v>
      </c>
      <c r="J57">
        <f t="shared" ca="1" si="2"/>
        <v>396121</v>
      </c>
      <c r="K57">
        <f t="shared" ca="1" si="3"/>
        <v>5</v>
      </c>
      <c r="N57" t="str">
        <f t="shared" si="0"/>
        <v>Bath and North East Somerset8Protection of Social CareResidential PlacementsCare home</v>
      </c>
      <c r="O57" t="s">
        <v>71</v>
      </c>
      <c r="P57" t="s">
        <v>976</v>
      </c>
      <c r="Q57">
        <v>8</v>
      </c>
      <c r="R57" t="s">
        <v>975</v>
      </c>
      <c r="S57" t="s">
        <v>983</v>
      </c>
      <c r="T57" t="s">
        <v>806</v>
      </c>
      <c r="U57" t="s">
        <v>807</v>
      </c>
      <c r="W57">
        <v>41.5</v>
      </c>
      <c r="X57">
        <v>41.5</v>
      </c>
      <c r="Y57" t="s">
        <v>808</v>
      </c>
      <c r="Z57" t="s">
        <v>792</v>
      </c>
      <c r="AB57" t="s">
        <v>793</v>
      </c>
      <c r="AD57" t="s">
        <v>794</v>
      </c>
      <c r="AE57" t="s">
        <v>804</v>
      </c>
      <c r="AF57" t="s">
        <v>796</v>
      </c>
      <c r="AG57" t="s">
        <v>797</v>
      </c>
      <c r="AH57">
        <v>3235918</v>
      </c>
      <c r="AI57">
        <v>3419071.9588000001</v>
      </c>
      <c r="AJ57">
        <v>0.22</v>
      </c>
    </row>
    <row r="58" spans="1:36" x14ac:dyDescent="0.3">
      <c r="A58">
        <f>COUNTIF($D$2:D58,D58)</f>
        <v>6</v>
      </c>
      <c r="B58" t="str">
        <f t="shared" si="1"/>
        <v>6Bath and North East Somerset</v>
      </c>
      <c r="C58" t="s">
        <v>984</v>
      </c>
      <c r="D58" t="s">
        <v>71</v>
      </c>
      <c r="E58">
        <v>22</v>
      </c>
      <c r="F58" t="s">
        <v>985</v>
      </c>
      <c r="G58" t="s">
        <v>806</v>
      </c>
      <c r="H58" t="s">
        <v>934</v>
      </c>
      <c r="I58" t="s">
        <v>808</v>
      </c>
      <c r="J58">
        <f t="shared" ca="1" si="2"/>
        <v>190640</v>
      </c>
      <c r="K58">
        <f t="shared" ca="1" si="3"/>
        <v>12</v>
      </c>
      <c r="N58" t="str">
        <f t="shared" si="0"/>
        <v>Bath and North East Somerset8Protection of Social CareResidential PlacementsCare home</v>
      </c>
      <c r="O58" t="s">
        <v>71</v>
      </c>
      <c r="P58" t="s">
        <v>976</v>
      </c>
      <c r="Q58">
        <v>8</v>
      </c>
      <c r="R58" t="s">
        <v>975</v>
      </c>
      <c r="S58" t="s">
        <v>986</v>
      </c>
      <c r="T58" t="s">
        <v>806</v>
      </c>
      <c r="U58" t="s">
        <v>807</v>
      </c>
      <c r="W58">
        <v>9</v>
      </c>
      <c r="X58">
        <v>9</v>
      </c>
      <c r="Y58" t="s">
        <v>808</v>
      </c>
      <c r="Z58" t="s">
        <v>792</v>
      </c>
      <c r="AB58" t="s">
        <v>793</v>
      </c>
      <c r="AD58" t="s">
        <v>794</v>
      </c>
      <c r="AE58" t="s">
        <v>804</v>
      </c>
      <c r="AF58" t="s">
        <v>796</v>
      </c>
      <c r="AG58" t="s">
        <v>797</v>
      </c>
      <c r="AH58">
        <v>693212</v>
      </c>
      <c r="AI58">
        <v>732447.79920000001</v>
      </c>
      <c r="AJ58">
        <v>0.05</v>
      </c>
    </row>
    <row r="59" spans="1:36" x14ac:dyDescent="0.3">
      <c r="A59">
        <f>COUNTIF($D$2:D59,D59)</f>
        <v>7</v>
      </c>
      <c r="B59" t="str">
        <f t="shared" si="1"/>
        <v>7Bath and North East Somerset</v>
      </c>
      <c r="C59" t="s">
        <v>987</v>
      </c>
      <c r="D59" t="s">
        <v>71</v>
      </c>
      <c r="E59">
        <v>15</v>
      </c>
      <c r="F59" t="s">
        <v>988</v>
      </c>
      <c r="G59" t="s">
        <v>787</v>
      </c>
      <c r="H59" t="s">
        <v>886</v>
      </c>
      <c r="I59" t="s">
        <v>789</v>
      </c>
      <c r="J59">
        <f t="shared" ca="1" si="2"/>
        <v>2034330</v>
      </c>
      <c r="K59">
        <f t="shared" ca="1" si="3"/>
        <v>227</v>
      </c>
      <c r="N59" t="str">
        <f t="shared" si="0"/>
        <v>Bath and North East Somerset8Protection of Social CareResidential PlacementsLearning disability</v>
      </c>
      <c r="O59" t="s">
        <v>71</v>
      </c>
      <c r="P59" t="s">
        <v>976</v>
      </c>
      <c r="Q59">
        <v>8</v>
      </c>
      <c r="R59" t="s">
        <v>975</v>
      </c>
      <c r="S59" t="s">
        <v>989</v>
      </c>
      <c r="T59" t="s">
        <v>806</v>
      </c>
      <c r="U59" t="s">
        <v>854</v>
      </c>
      <c r="W59">
        <v>5</v>
      </c>
      <c r="X59">
        <v>5</v>
      </c>
      <c r="Y59" t="s">
        <v>808</v>
      </c>
      <c r="Z59" t="s">
        <v>792</v>
      </c>
      <c r="AB59" t="s">
        <v>793</v>
      </c>
      <c r="AD59" t="s">
        <v>794</v>
      </c>
      <c r="AE59" t="s">
        <v>804</v>
      </c>
      <c r="AF59" t="s">
        <v>796</v>
      </c>
      <c r="AG59" t="s">
        <v>797</v>
      </c>
      <c r="AH59">
        <v>396121</v>
      </c>
      <c r="AI59">
        <v>418541.4486</v>
      </c>
      <c r="AJ59">
        <v>0.03</v>
      </c>
    </row>
    <row r="60" spans="1:36" x14ac:dyDescent="0.3">
      <c r="A60">
        <f>COUNTIF($D$2:D60,D60)</f>
        <v>8</v>
      </c>
      <c r="B60" t="str">
        <f t="shared" si="1"/>
        <v>8Bath and North East Somerset</v>
      </c>
      <c r="C60" t="s">
        <v>990</v>
      </c>
      <c r="D60" t="s">
        <v>71</v>
      </c>
      <c r="E60">
        <v>15</v>
      </c>
      <c r="F60" t="s">
        <v>988</v>
      </c>
      <c r="G60" t="s">
        <v>787</v>
      </c>
      <c r="H60" t="s">
        <v>788</v>
      </c>
      <c r="I60" t="s">
        <v>789</v>
      </c>
      <c r="J60">
        <f t="shared" ca="1" si="2"/>
        <v>15229239</v>
      </c>
      <c r="K60">
        <f t="shared" ca="1" si="3"/>
        <v>371</v>
      </c>
      <c r="N60" t="str">
        <f t="shared" si="0"/>
        <v>Bath and North East Somerset22Extra Care Housing ServiceResidential PlacementsExtra care</v>
      </c>
      <c r="O60" t="s">
        <v>71</v>
      </c>
      <c r="P60" t="s">
        <v>976</v>
      </c>
      <c r="Q60">
        <v>22</v>
      </c>
      <c r="R60" t="s">
        <v>985</v>
      </c>
      <c r="S60" t="s">
        <v>991</v>
      </c>
      <c r="T60" t="s">
        <v>806</v>
      </c>
      <c r="U60" t="s">
        <v>934</v>
      </c>
      <c r="W60">
        <v>12</v>
      </c>
      <c r="X60">
        <v>12</v>
      </c>
      <c r="Y60" t="s">
        <v>808</v>
      </c>
      <c r="Z60" t="s">
        <v>792</v>
      </c>
      <c r="AB60" t="s">
        <v>793</v>
      </c>
      <c r="AD60" t="s">
        <v>794</v>
      </c>
      <c r="AE60" t="s">
        <v>795</v>
      </c>
      <c r="AF60" t="s">
        <v>796</v>
      </c>
      <c r="AG60" t="s">
        <v>797</v>
      </c>
      <c r="AH60">
        <v>190640</v>
      </c>
      <c r="AI60">
        <v>201430.22399999999</v>
      </c>
      <c r="AJ60">
        <v>0.01</v>
      </c>
    </row>
    <row r="61" spans="1:36" x14ac:dyDescent="0.3">
      <c r="A61">
        <f>COUNTIF($D$2:D61,D61)</f>
        <v>9</v>
      </c>
      <c r="B61" t="str">
        <f t="shared" si="1"/>
        <v>9Bath and North East Somerset</v>
      </c>
      <c r="C61" t="s">
        <v>992</v>
      </c>
      <c r="D61" t="s">
        <v>71</v>
      </c>
      <c r="E61">
        <v>15</v>
      </c>
      <c r="F61" t="s">
        <v>988</v>
      </c>
      <c r="G61" t="s">
        <v>787</v>
      </c>
      <c r="H61" t="s">
        <v>930</v>
      </c>
      <c r="I61" t="s">
        <v>789</v>
      </c>
      <c r="J61">
        <f t="shared" ca="1" si="2"/>
        <v>1100776</v>
      </c>
      <c r="K61">
        <f t="shared" ca="1" si="3"/>
        <v>122</v>
      </c>
      <c r="N61" t="str">
        <f t="shared" si="0"/>
        <v>Bath and North East Somerset15Community ServicesHome-based intermediate care servicesReablement at home (to prevent admission to hospital or residential care)</v>
      </c>
      <c r="O61" t="s">
        <v>71</v>
      </c>
      <c r="P61" t="s">
        <v>976</v>
      </c>
      <c r="Q61">
        <v>15</v>
      </c>
      <c r="R61" t="s">
        <v>988</v>
      </c>
      <c r="S61" t="s">
        <v>993</v>
      </c>
      <c r="T61" t="s">
        <v>787</v>
      </c>
      <c r="U61" t="s">
        <v>886</v>
      </c>
      <c r="W61">
        <v>24</v>
      </c>
      <c r="X61">
        <v>26</v>
      </c>
      <c r="Y61" t="s">
        <v>789</v>
      </c>
      <c r="Z61" t="s">
        <v>792</v>
      </c>
      <c r="AB61" t="s">
        <v>793</v>
      </c>
      <c r="AD61" t="s">
        <v>794</v>
      </c>
      <c r="AE61" t="s">
        <v>804</v>
      </c>
      <c r="AF61" t="s">
        <v>796</v>
      </c>
      <c r="AG61" t="s">
        <v>797</v>
      </c>
      <c r="AH61">
        <v>217928</v>
      </c>
      <c r="AI61">
        <v>230262.7248</v>
      </c>
      <c r="AJ61">
        <v>0.01</v>
      </c>
    </row>
    <row r="62" spans="1:36" x14ac:dyDescent="0.3">
      <c r="A62">
        <f>COUNTIF($D$2:D62,D62)</f>
        <v>10</v>
      </c>
      <c r="B62" t="str">
        <f t="shared" si="1"/>
        <v>10Bath and North East Somerset</v>
      </c>
      <c r="C62" t="s">
        <v>994</v>
      </c>
      <c r="D62" t="s">
        <v>71</v>
      </c>
      <c r="E62">
        <v>15</v>
      </c>
      <c r="F62" t="s">
        <v>988</v>
      </c>
      <c r="G62" t="s">
        <v>877</v>
      </c>
      <c r="H62" t="s">
        <v>995</v>
      </c>
      <c r="I62" t="s">
        <v>879</v>
      </c>
      <c r="J62">
        <f t="shared" ca="1" si="2"/>
        <v>113471</v>
      </c>
      <c r="K62">
        <f t="shared" ca="1" si="3"/>
        <v>1</v>
      </c>
      <c r="N62" t="str">
        <f t="shared" si="0"/>
        <v>Bath and North East Somerset15Community ServicesHome-based intermediate care servicesReablement at home (to prevent admission to hospital or residential care)</v>
      </c>
      <c r="O62" t="s">
        <v>71</v>
      </c>
      <c r="P62" t="s">
        <v>976</v>
      </c>
      <c r="Q62">
        <v>15</v>
      </c>
      <c r="R62" t="s">
        <v>988</v>
      </c>
      <c r="S62" t="s">
        <v>996</v>
      </c>
      <c r="T62" t="s">
        <v>787</v>
      </c>
      <c r="U62" t="s">
        <v>886</v>
      </c>
      <c r="W62">
        <v>79</v>
      </c>
      <c r="X62">
        <v>83</v>
      </c>
      <c r="Y62" t="s">
        <v>789</v>
      </c>
      <c r="Z62" t="s">
        <v>823</v>
      </c>
      <c r="AB62" t="s">
        <v>793</v>
      </c>
      <c r="AD62" t="s">
        <v>794</v>
      </c>
      <c r="AE62" t="s">
        <v>804</v>
      </c>
      <c r="AF62" t="s">
        <v>796</v>
      </c>
      <c r="AG62" t="s">
        <v>797</v>
      </c>
      <c r="AH62">
        <v>713400</v>
      </c>
      <c r="AI62">
        <v>753778.44</v>
      </c>
      <c r="AJ62">
        <v>0.05</v>
      </c>
    </row>
    <row r="63" spans="1:36" x14ac:dyDescent="0.3">
      <c r="A63">
        <f>COUNTIF($D$2:D63,D63)</f>
        <v>11</v>
      </c>
      <c r="B63" t="str">
        <f t="shared" si="1"/>
        <v>11Bath and North East Somerset</v>
      </c>
      <c r="C63" t="s">
        <v>997</v>
      </c>
      <c r="D63" t="s">
        <v>71</v>
      </c>
      <c r="E63">
        <v>15</v>
      </c>
      <c r="F63" t="s">
        <v>988</v>
      </c>
      <c r="G63" t="s">
        <v>811</v>
      </c>
      <c r="H63" t="s">
        <v>895</v>
      </c>
      <c r="I63" t="s">
        <v>813</v>
      </c>
      <c r="J63">
        <f t="shared" ca="1" si="2"/>
        <v>525320</v>
      </c>
      <c r="K63">
        <f t="shared" ca="1" si="3"/>
        <v>130</v>
      </c>
      <c r="N63" t="str">
        <f t="shared" si="0"/>
        <v xml:space="preserve">Bath and North East Somerset15Community ServicesHome-based intermediate care servicesReablement at home (to support discharge) </v>
      </c>
      <c r="O63" t="s">
        <v>71</v>
      </c>
      <c r="P63" t="s">
        <v>976</v>
      </c>
      <c r="Q63">
        <v>15</v>
      </c>
      <c r="R63" t="s">
        <v>988</v>
      </c>
      <c r="S63" t="s">
        <v>998</v>
      </c>
      <c r="T63" t="s">
        <v>787</v>
      </c>
      <c r="U63" t="s">
        <v>788</v>
      </c>
      <c r="W63">
        <v>24</v>
      </c>
      <c r="X63">
        <v>25</v>
      </c>
      <c r="Y63" t="s">
        <v>789</v>
      </c>
      <c r="Z63" t="s">
        <v>823</v>
      </c>
      <c r="AB63" t="s">
        <v>793</v>
      </c>
      <c r="AD63" t="s">
        <v>794</v>
      </c>
      <c r="AE63" t="s">
        <v>804</v>
      </c>
      <c r="AF63" t="s">
        <v>796</v>
      </c>
      <c r="AG63" t="s">
        <v>797</v>
      </c>
      <c r="AH63">
        <v>221163</v>
      </c>
      <c r="AI63">
        <v>233680.82579999999</v>
      </c>
      <c r="AJ63">
        <v>0.01</v>
      </c>
    </row>
    <row r="64" spans="1:36" x14ac:dyDescent="0.3">
      <c r="A64">
        <f>COUNTIF($D$2:D64,D64)</f>
        <v>12</v>
      </c>
      <c r="B64" t="str">
        <f t="shared" si="1"/>
        <v>12Bath and North East Somerset</v>
      </c>
      <c r="C64" t="s">
        <v>999</v>
      </c>
      <c r="D64" t="s">
        <v>71</v>
      </c>
      <c r="E64">
        <v>17</v>
      </c>
      <c r="F64" t="s">
        <v>1000</v>
      </c>
      <c r="G64" t="s">
        <v>806</v>
      </c>
      <c r="H64" t="s">
        <v>854</v>
      </c>
      <c r="I64" t="s">
        <v>808</v>
      </c>
      <c r="J64">
        <f t="shared" ca="1" si="2"/>
        <v>1100000</v>
      </c>
      <c r="K64">
        <f t="shared" ca="1" si="3"/>
        <v>14</v>
      </c>
      <c r="N64" t="str">
        <f t="shared" si="0"/>
        <v xml:space="preserve">Bath and North East Somerset15Community ServicesHome-based intermediate care servicesReablement at home (to support discharge) </v>
      </c>
      <c r="O64" t="s">
        <v>71</v>
      </c>
      <c r="P64" t="s">
        <v>976</v>
      </c>
      <c r="Q64">
        <v>15</v>
      </c>
      <c r="R64" t="s">
        <v>988</v>
      </c>
      <c r="S64" t="s">
        <v>998</v>
      </c>
      <c r="T64" t="s">
        <v>787</v>
      </c>
      <c r="U64" t="s">
        <v>788</v>
      </c>
      <c r="W64">
        <v>24</v>
      </c>
      <c r="X64">
        <v>25</v>
      </c>
      <c r="Y64" t="s">
        <v>789</v>
      </c>
      <c r="Z64" t="s">
        <v>792</v>
      </c>
      <c r="AB64" t="s">
        <v>793</v>
      </c>
      <c r="AD64" t="s">
        <v>794</v>
      </c>
      <c r="AE64" t="s">
        <v>804</v>
      </c>
      <c r="AF64" t="s">
        <v>796</v>
      </c>
      <c r="AG64" t="s">
        <v>797</v>
      </c>
      <c r="AH64">
        <v>221163</v>
      </c>
      <c r="AI64">
        <v>233680.82579999999</v>
      </c>
      <c r="AJ64">
        <v>0.02</v>
      </c>
    </row>
    <row r="65" spans="1:36" x14ac:dyDescent="0.3">
      <c r="A65">
        <f>COUNTIF($D$2:D65,D65)</f>
        <v>13</v>
      </c>
      <c r="B65" t="str">
        <f t="shared" si="1"/>
        <v>13Bath and North East Somerset</v>
      </c>
      <c r="C65" t="s">
        <v>1001</v>
      </c>
      <c r="D65" t="s">
        <v>71</v>
      </c>
      <c r="E65">
        <v>17</v>
      </c>
      <c r="F65" t="s">
        <v>975</v>
      </c>
      <c r="G65" t="s">
        <v>806</v>
      </c>
      <c r="H65" t="s">
        <v>917</v>
      </c>
      <c r="I65" t="s">
        <v>808</v>
      </c>
      <c r="J65">
        <f t="shared" ca="1" si="2"/>
        <v>76000</v>
      </c>
      <c r="K65">
        <f t="shared" ca="1" si="3"/>
        <v>1</v>
      </c>
      <c r="N65" t="str">
        <f t="shared" si="0"/>
        <v>Bath and North East Somerset15Community ServicesHome-based intermediate care servicesReablement at home (accepting step up and step down users)</v>
      </c>
      <c r="O65" t="s">
        <v>71</v>
      </c>
      <c r="P65" t="s">
        <v>976</v>
      </c>
      <c r="Q65">
        <v>15</v>
      </c>
      <c r="R65" t="s">
        <v>988</v>
      </c>
      <c r="S65" t="s">
        <v>1002</v>
      </c>
      <c r="T65" t="s">
        <v>787</v>
      </c>
      <c r="U65" t="s">
        <v>930</v>
      </c>
      <c r="W65">
        <v>122</v>
      </c>
      <c r="X65">
        <v>129</v>
      </c>
      <c r="Y65" t="s">
        <v>789</v>
      </c>
      <c r="Z65" t="s">
        <v>792</v>
      </c>
      <c r="AB65" t="s">
        <v>793</v>
      </c>
      <c r="AD65" t="s">
        <v>794</v>
      </c>
      <c r="AE65" t="s">
        <v>804</v>
      </c>
      <c r="AF65" t="s">
        <v>796</v>
      </c>
      <c r="AG65" t="s">
        <v>797</v>
      </c>
      <c r="AH65">
        <v>1100776</v>
      </c>
      <c r="AI65">
        <v>1163079.9216</v>
      </c>
      <c r="AJ65">
        <v>0.08</v>
      </c>
    </row>
    <row r="66" spans="1:36" x14ac:dyDescent="0.3">
      <c r="A66">
        <f>COUNTIF($D$2:D66,D66)</f>
        <v>14</v>
      </c>
      <c r="B66" t="str">
        <f t="shared" si="1"/>
        <v>14Bath and North East Somerset</v>
      </c>
      <c r="C66" t="s">
        <v>1003</v>
      </c>
      <c r="D66" t="s">
        <v>71</v>
      </c>
      <c r="E66">
        <v>76</v>
      </c>
      <c r="F66" t="s">
        <v>1004</v>
      </c>
      <c r="G66" t="s">
        <v>806</v>
      </c>
      <c r="H66" t="s">
        <v>934</v>
      </c>
      <c r="I66" t="s">
        <v>808</v>
      </c>
      <c r="J66">
        <f t="shared" ca="1" si="2"/>
        <v>50000</v>
      </c>
      <c r="K66">
        <f t="shared" ca="1" si="3"/>
        <v>3</v>
      </c>
      <c r="N66" t="str">
        <f t="shared" ref="N66:N129" si="4">O66&amp;Q66&amp;R66&amp;T66&amp;U66</f>
        <v>Bath and North East Somerset15Community ServicesBed based intermediate Care Services (Reablement, rehabilitation, wider short-term services supporting recovery)Bed-based intermediate care with reablement (to support admissions avoidance)</v>
      </c>
      <c r="O66" t="s">
        <v>71</v>
      </c>
      <c r="P66" t="s">
        <v>976</v>
      </c>
      <c r="Q66">
        <v>15</v>
      </c>
      <c r="R66" t="s">
        <v>988</v>
      </c>
      <c r="S66" t="s">
        <v>1005</v>
      </c>
      <c r="T66" t="s">
        <v>877</v>
      </c>
      <c r="U66" t="s">
        <v>995</v>
      </c>
      <c r="W66">
        <v>1</v>
      </c>
      <c r="X66">
        <v>1</v>
      </c>
      <c r="Y66" t="s">
        <v>879</v>
      </c>
      <c r="Z66" t="s">
        <v>1006</v>
      </c>
      <c r="AB66" t="s">
        <v>793</v>
      </c>
      <c r="AD66" t="s">
        <v>794</v>
      </c>
      <c r="AE66" t="s">
        <v>804</v>
      </c>
      <c r="AF66" t="s">
        <v>796</v>
      </c>
      <c r="AG66" t="s">
        <v>797</v>
      </c>
      <c r="AH66">
        <v>113471</v>
      </c>
      <c r="AI66">
        <v>119893.4586</v>
      </c>
      <c r="AJ66">
        <v>0.01</v>
      </c>
    </row>
    <row r="67" spans="1:36" x14ac:dyDescent="0.3">
      <c r="A67">
        <f>COUNTIF($D$2:D67,D67)</f>
        <v>15</v>
      </c>
      <c r="B67" t="str">
        <f t="shared" ref="B67:B130" si="5">A67&amp;D67</f>
        <v>15Bath and North East Somerset</v>
      </c>
      <c r="C67" t="s">
        <v>1007</v>
      </c>
      <c r="D67" t="s">
        <v>71</v>
      </c>
      <c r="E67">
        <v>78</v>
      </c>
      <c r="F67" t="s">
        <v>1008</v>
      </c>
      <c r="G67" t="s">
        <v>800</v>
      </c>
      <c r="H67" t="s">
        <v>903</v>
      </c>
      <c r="I67" t="s">
        <v>802</v>
      </c>
      <c r="J67">
        <f t="shared" ref="J67:J130" ca="1" si="6">SUMIF($N:$AI,C67,AH:AH)</f>
        <v>50000</v>
      </c>
      <c r="K67">
        <f t="shared" ref="K67:K130" ca="1" si="7">SUMIF($N:$AI,C67,W:W)</f>
        <v>25</v>
      </c>
      <c r="N67" t="str">
        <f t="shared" si="4"/>
        <v>Bath and North East Somerset15Community ServicesCarers ServicesCarer advice and support related to Care Act duties</v>
      </c>
      <c r="O67" t="s">
        <v>71</v>
      </c>
      <c r="P67" t="s">
        <v>976</v>
      </c>
      <c r="Q67">
        <v>15</v>
      </c>
      <c r="R67" t="s">
        <v>988</v>
      </c>
      <c r="S67" t="s">
        <v>1009</v>
      </c>
      <c r="T67" t="s">
        <v>811</v>
      </c>
      <c r="U67" t="s">
        <v>895</v>
      </c>
      <c r="W67">
        <v>30</v>
      </c>
      <c r="X67">
        <v>30</v>
      </c>
      <c r="Y67" t="s">
        <v>813</v>
      </c>
      <c r="Z67" t="s">
        <v>792</v>
      </c>
      <c r="AB67" t="s">
        <v>793</v>
      </c>
      <c r="AD67" t="s">
        <v>794</v>
      </c>
      <c r="AE67" t="s">
        <v>825</v>
      </c>
      <c r="AF67" t="s">
        <v>796</v>
      </c>
      <c r="AG67" t="s">
        <v>797</v>
      </c>
      <c r="AH67">
        <v>329276</v>
      </c>
      <c r="AI67">
        <v>347913.02159999998</v>
      </c>
      <c r="AJ67">
        <v>0.03</v>
      </c>
    </row>
    <row r="68" spans="1:36" x14ac:dyDescent="0.3">
      <c r="A68">
        <f>COUNTIF($D$2:D68,D68)</f>
        <v>16</v>
      </c>
      <c r="B68" t="str">
        <f t="shared" si="5"/>
        <v>16Bath and North East Somerset</v>
      </c>
      <c r="C68" t="s">
        <v>1010</v>
      </c>
      <c r="D68" t="s">
        <v>71</v>
      </c>
      <c r="E68">
        <v>15</v>
      </c>
      <c r="F68" t="s">
        <v>988</v>
      </c>
      <c r="G68" t="s">
        <v>787</v>
      </c>
      <c r="H68" t="s">
        <v>1011</v>
      </c>
      <c r="I68" t="s">
        <v>789</v>
      </c>
      <c r="J68">
        <f t="shared" ca="1" si="6"/>
        <v>288064</v>
      </c>
      <c r="K68">
        <f t="shared" ca="1" si="7"/>
        <v>32</v>
      </c>
      <c r="N68" t="str">
        <f t="shared" si="4"/>
        <v>Bath and North East Somerset17Fair Price of CareResidential PlacementsLearning disability</v>
      </c>
      <c r="O68" t="s">
        <v>71</v>
      </c>
      <c r="P68" t="s">
        <v>976</v>
      </c>
      <c r="Q68">
        <v>17</v>
      </c>
      <c r="R68" t="s">
        <v>1000</v>
      </c>
      <c r="S68" t="s">
        <v>1012</v>
      </c>
      <c r="T68" t="s">
        <v>806</v>
      </c>
      <c r="U68" t="s">
        <v>854</v>
      </c>
      <c r="W68">
        <v>14</v>
      </c>
      <c r="X68">
        <v>14</v>
      </c>
      <c r="Y68" t="s">
        <v>808</v>
      </c>
      <c r="Z68" t="s">
        <v>792</v>
      </c>
      <c r="AB68" t="s">
        <v>793</v>
      </c>
      <c r="AD68" t="s">
        <v>794</v>
      </c>
      <c r="AE68" t="s">
        <v>804</v>
      </c>
      <c r="AF68" t="s">
        <v>845</v>
      </c>
      <c r="AG68" t="s">
        <v>797</v>
      </c>
      <c r="AH68">
        <v>1100000</v>
      </c>
      <c r="AI68">
        <v>1100000</v>
      </c>
      <c r="AJ68">
        <v>0.22</v>
      </c>
    </row>
    <row r="69" spans="1:36" x14ac:dyDescent="0.3">
      <c r="A69">
        <f>COUNTIF($D$2:D69,D69)</f>
        <v>17</v>
      </c>
      <c r="B69" t="str">
        <f t="shared" si="5"/>
        <v>17Bath and North East Somerset</v>
      </c>
      <c r="C69" t="s">
        <v>1013</v>
      </c>
      <c r="D69" t="s">
        <v>71</v>
      </c>
      <c r="E69">
        <v>15</v>
      </c>
      <c r="F69" t="s">
        <v>988</v>
      </c>
      <c r="G69" t="s">
        <v>800</v>
      </c>
      <c r="H69" t="s">
        <v>903</v>
      </c>
      <c r="I69" t="s">
        <v>802</v>
      </c>
      <c r="J69">
        <f t="shared" ca="1" si="6"/>
        <v>20004</v>
      </c>
      <c r="K69">
        <f t="shared" ca="1" si="7"/>
        <v>20</v>
      </c>
      <c r="N69" t="str">
        <f t="shared" si="4"/>
        <v>Bath and North East Somerset17Protection of Social CareResidential PlacementsNursing home</v>
      </c>
      <c r="O69" t="s">
        <v>71</v>
      </c>
      <c r="P69" t="s">
        <v>976</v>
      </c>
      <c r="Q69">
        <v>17</v>
      </c>
      <c r="R69" t="s">
        <v>975</v>
      </c>
      <c r="S69" t="s">
        <v>1012</v>
      </c>
      <c r="T69" t="s">
        <v>806</v>
      </c>
      <c r="U69" t="s">
        <v>917</v>
      </c>
      <c r="W69">
        <v>1</v>
      </c>
      <c r="X69">
        <v>1</v>
      </c>
      <c r="Y69" t="s">
        <v>808</v>
      </c>
      <c r="Z69" t="s">
        <v>792</v>
      </c>
      <c r="AB69" t="s">
        <v>793</v>
      </c>
      <c r="AD69" t="s">
        <v>794</v>
      </c>
      <c r="AE69" t="s">
        <v>804</v>
      </c>
      <c r="AF69" t="s">
        <v>845</v>
      </c>
      <c r="AG69" t="s">
        <v>797</v>
      </c>
      <c r="AH69">
        <v>76000</v>
      </c>
      <c r="AI69">
        <v>76000</v>
      </c>
      <c r="AJ69">
        <v>0.01</v>
      </c>
    </row>
    <row r="70" spans="1:36" x14ac:dyDescent="0.3">
      <c r="A70">
        <f>COUNTIF($D$2:D70,D70)</f>
        <v>18</v>
      </c>
      <c r="B70" t="str">
        <f t="shared" si="5"/>
        <v>18Bath and North East Somerset</v>
      </c>
      <c r="C70" t="s">
        <v>1014</v>
      </c>
      <c r="D70" t="s">
        <v>71</v>
      </c>
      <c r="E70">
        <v>15</v>
      </c>
      <c r="F70" t="s">
        <v>988</v>
      </c>
      <c r="G70" t="s">
        <v>877</v>
      </c>
      <c r="H70" t="s">
        <v>1015</v>
      </c>
      <c r="I70" t="s">
        <v>879</v>
      </c>
      <c r="J70">
        <f t="shared" ca="1" si="6"/>
        <v>4930314</v>
      </c>
      <c r="K70">
        <f t="shared" ca="1" si="7"/>
        <v>63</v>
      </c>
      <c r="N70" t="str">
        <f t="shared" si="4"/>
        <v>Bath and North East Somerset76Extra Care Housing Scheme - Pemberley PlaceResidential PlacementsExtra care</v>
      </c>
      <c r="O70" t="s">
        <v>71</v>
      </c>
      <c r="P70" t="s">
        <v>976</v>
      </c>
      <c r="Q70">
        <v>76</v>
      </c>
      <c r="R70" t="s">
        <v>1004</v>
      </c>
      <c r="S70" t="s">
        <v>1016</v>
      </c>
      <c r="T70" t="s">
        <v>806</v>
      </c>
      <c r="U70" t="s">
        <v>934</v>
      </c>
      <c r="W70">
        <v>3</v>
      </c>
      <c r="X70">
        <v>3</v>
      </c>
      <c r="Y70" t="s">
        <v>808</v>
      </c>
      <c r="Z70" t="s">
        <v>792</v>
      </c>
      <c r="AB70" t="s">
        <v>793</v>
      </c>
      <c r="AD70" t="s">
        <v>794</v>
      </c>
      <c r="AE70" t="s">
        <v>795</v>
      </c>
      <c r="AF70" t="s">
        <v>845</v>
      </c>
      <c r="AG70" t="s">
        <v>861</v>
      </c>
      <c r="AH70">
        <v>50000</v>
      </c>
      <c r="AI70">
        <v>50000</v>
      </c>
      <c r="AJ70">
        <v>0.01</v>
      </c>
    </row>
    <row r="71" spans="1:36" x14ac:dyDescent="0.3">
      <c r="A71">
        <f>COUNTIF($D$2:D71,D71)</f>
        <v>19</v>
      </c>
      <c r="B71" t="str">
        <f t="shared" si="5"/>
        <v>19Bath and North East Somerset</v>
      </c>
      <c r="C71" t="s">
        <v>1017</v>
      </c>
      <c r="D71" t="s">
        <v>71</v>
      </c>
      <c r="E71">
        <v>15</v>
      </c>
      <c r="F71" t="s">
        <v>988</v>
      </c>
      <c r="G71" t="s">
        <v>877</v>
      </c>
      <c r="H71" t="s">
        <v>1018</v>
      </c>
      <c r="I71" t="s">
        <v>879</v>
      </c>
      <c r="J71">
        <f t="shared" ca="1" si="6"/>
        <v>10317</v>
      </c>
      <c r="K71">
        <f t="shared" ca="1" si="7"/>
        <v>1</v>
      </c>
      <c r="N71" t="str">
        <f t="shared" si="4"/>
        <v>Bath and North East Somerset78Home from HospitalAssistive Technologies and EquipmentCommunity based equipment</v>
      </c>
      <c r="O71" t="s">
        <v>71</v>
      </c>
      <c r="P71" t="s">
        <v>976</v>
      </c>
      <c r="Q71">
        <v>78</v>
      </c>
      <c r="R71" t="s">
        <v>1008</v>
      </c>
      <c r="S71" t="s">
        <v>1019</v>
      </c>
      <c r="T71" t="s">
        <v>800</v>
      </c>
      <c r="U71" t="s">
        <v>903</v>
      </c>
      <c r="W71">
        <v>25</v>
      </c>
      <c r="X71">
        <v>25</v>
      </c>
      <c r="Y71" t="s">
        <v>802</v>
      </c>
      <c r="Z71" t="s">
        <v>792</v>
      </c>
      <c r="AB71" t="s">
        <v>793</v>
      </c>
      <c r="AD71" t="s">
        <v>794</v>
      </c>
      <c r="AE71" t="s">
        <v>795</v>
      </c>
      <c r="AF71" t="s">
        <v>845</v>
      </c>
      <c r="AG71" t="s">
        <v>861</v>
      </c>
      <c r="AH71">
        <v>50000</v>
      </c>
      <c r="AI71">
        <v>50000</v>
      </c>
      <c r="AJ71">
        <v>0.01</v>
      </c>
    </row>
    <row r="72" spans="1:36" x14ac:dyDescent="0.3">
      <c r="A72">
        <f>COUNTIF($D$2:D72,D72)</f>
        <v>1</v>
      </c>
      <c r="B72" t="str">
        <f t="shared" si="5"/>
        <v>1Bedford</v>
      </c>
      <c r="C72" t="s">
        <v>1020</v>
      </c>
      <c r="D72" t="s">
        <v>73</v>
      </c>
      <c r="E72">
        <v>1</v>
      </c>
      <c r="F72" t="s">
        <v>891</v>
      </c>
      <c r="G72" t="s">
        <v>834</v>
      </c>
      <c r="H72" t="s">
        <v>835</v>
      </c>
      <c r="I72" t="s">
        <v>836</v>
      </c>
      <c r="J72">
        <f t="shared" ca="1" si="6"/>
        <v>1248455</v>
      </c>
      <c r="K72">
        <f t="shared" ca="1" si="7"/>
        <v>100</v>
      </c>
      <c r="N72" t="str">
        <f t="shared" si="4"/>
        <v xml:space="preserve">Bath and North East Somerset15Community ServicesHome-based intermediate care servicesReablement at home (to support discharge) </v>
      </c>
      <c r="O72" t="s">
        <v>71</v>
      </c>
      <c r="P72" t="s">
        <v>976</v>
      </c>
      <c r="Q72">
        <v>15</v>
      </c>
      <c r="R72" t="s">
        <v>988</v>
      </c>
      <c r="S72" t="s">
        <v>1021</v>
      </c>
      <c r="T72" t="s">
        <v>787</v>
      </c>
      <c r="U72" t="s">
        <v>788</v>
      </c>
      <c r="W72">
        <v>47</v>
      </c>
      <c r="X72">
        <v>50</v>
      </c>
      <c r="Y72" t="s">
        <v>789</v>
      </c>
      <c r="Z72" t="s">
        <v>823</v>
      </c>
      <c r="AB72" t="s">
        <v>824</v>
      </c>
      <c r="AD72" t="s">
        <v>794</v>
      </c>
      <c r="AE72" t="s">
        <v>804</v>
      </c>
      <c r="AF72" t="s">
        <v>796</v>
      </c>
      <c r="AG72" t="s">
        <v>797</v>
      </c>
      <c r="AH72">
        <v>426341</v>
      </c>
      <c r="AI72">
        <v>450471.90059999999</v>
      </c>
      <c r="AJ72">
        <v>0.03</v>
      </c>
    </row>
    <row r="73" spans="1:36" x14ac:dyDescent="0.3">
      <c r="A73">
        <f>COUNTIF($D$2:D73,D73)</f>
        <v>2</v>
      </c>
      <c r="B73" t="str">
        <f t="shared" si="5"/>
        <v>2Bedford</v>
      </c>
      <c r="C73" t="s">
        <v>1022</v>
      </c>
      <c r="D73" t="s">
        <v>73</v>
      </c>
      <c r="E73">
        <v>3</v>
      </c>
      <c r="F73" t="s">
        <v>1023</v>
      </c>
      <c r="G73" t="s">
        <v>877</v>
      </c>
      <c r="H73" t="s">
        <v>878</v>
      </c>
      <c r="I73" t="s">
        <v>879</v>
      </c>
      <c r="J73">
        <f t="shared" ca="1" si="6"/>
        <v>100000</v>
      </c>
      <c r="K73">
        <f t="shared" ca="1" si="7"/>
        <v>18</v>
      </c>
      <c r="N73" t="str">
        <f t="shared" si="4"/>
        <v xml:space="preserve">Bath and North East Somerset15Community ServicesHome-based intermediate care servicesReablement at home (to support discharge) </v>
      </c>
      <c r="O73" t="s">
        <v>71</v>
      </c>
      <c r="P73" t="s">
        <v>976</v>
      </c>
      <c r="Q73">
        <v>15</v>
      </c>
      <c r="R73" t="s">
        <v>988</v>
      </c>
      <c r="S73" t="s">
        <v>1024</v>
      </c>
      <c r="T73" t="s">
        <v>787</v>
      </c>
      <c r="U73" t="s">
        <v>788</v>
      </c>
      <c r="W73">
        <v>70</v>
      </c>
      <c r="X73">
        <v>73</v>
      </c>
      <c r="Y73" t="s">
        <v>789</v>
      </c>
      <c r="Z73" t="s">
        <v>823</v>
      </c>
      <c r="AB73" t="s">
        <v>793</v>
      </c>
      <c r="AD73" t="s">
        <v>794</v>
      </c>
      <c r="AE73" t="s">
        <v>804</v>
      </c>
      <c r="AF73" t="s">
        <v>796</v>
      </c>
      <c r="AG73" t="s">
        <v>797</v>
      </c>
      <c r="AH73">
        <v>628145</v>
      </c>
      <c r="AI73">
        <v>663698.00699999998</v>
      </c>
      <c r="AJ73">
        <v>0.04</v>
      </c>
    </row>
    <row r="74" spans="1:36" x14ac:dyDescent="0.3">
      <c r="A74">
        <f>COUNTIF($D$2:D74,D74)</f>
        <v>3</v>
      </c>
      <c r="B74" t="str">
        <f t="shared" si="5"/>
        <v>3Bedford</v>
      </c>
      <c r="C74" t="s">
        <v>1025</v>
      </c>
      <c r="D74" t="s">
        <v>73</v>
      </c>
      <c r="E74">
        <v>7</v>
      </c>
      <c r="F74" t="s">
        <v>964</v>
      </c>
      <c r="G74" t="s">
        <v>877</v>
      </c>
      <c r="H74" t="s">
        <v>878</v>
      </c>
      <c r="I74" t="s">
        <v>879</v>
      </c>
      <c r="J74">
        <f t="shared" ca="1" si="6"/>
        <v>147250</v>
      </c>
      <c r="K74">
        <f t="shared" ca="1" si="7"/>
        <v>22</v>
      </c>
      <c r="N74" t="str">
        <f t="shared" si="4"/>
        <v xml:space="preserve">Bath and North East Somerset15Community ServicesHome-based intermediate care servicesReablement at home (to support discharge) </v>
      </c>
      <c r="O74" t="s">
        <v>71</v>
      </c>
      <c r="P74" t="s">
        <v>976</v>
      </c>
      <c r="Q74">
        <v>15</v>
      </c>
      <c r="R74" t="s">
        <v>988</v>
      </c>
      <c r="S74" t="s">
        <v>998</v>
      </c>
      <c r="T74" t="s">
        <v>787</v>
      </c>
      <c r="U74" t="s">
        <v>788</v>
      </c>
      <c r="W74">
        <v>24</v>
      </c>
      <c r="X74">
        <v>25</v>
      </c>
      <c r="Y74" t="s">
        <v>789</v>
      </c>
      <c r="Z74" t="s">
        <v>823</v>
      </c>
      <c r="AB74" t="s">
        <v>793</v>
      </c>
      <c r="AD74" t="s">
        <v>794</v>
      </c>
      <c r="AE74" t="s">
        <v>804</v>
      </c>
      <c r="AF74" t="s">
        <v>796</v>
      </c>
      <c r="AG74" t="s">
        <v>797</v>
      </c>
      <c r="AH74">
        <v>221162</v>
      </c>
      <c r="AI74">
        <v>233679.76920000001</v>
      </c>
      <c r="AJ74">
        <v>0.01</v>
      </c>
    </row>
    <row r="75" spans="1:36" x14ac:dyDescent="0.3">
      <c r="A75">
        <f>COUNTIF($D$2:D75,D75)</f>
        <v>4</v>
      </c>
      <c r="B75" t="str">
        <f t="shared" si="5"/>
        <v>4Bedford</v>
      </c>
      <c r="C75" t="s">
        <v>1026</v>
      </c>
      <c r="D75" t="s">
        <v>73</v>
      </c>
      <c r="E75">
        <v>24</v>
      </c>
      <c r="F75" t="s">
        <v>1027</v>
      </c>
      <c r="G75" t="s">
        <v>877</v>
      </c>
      <c r="H75" t="s">
        <v>878</v>
      </c>
      <c r="I75" t="s">
        <v>879</v>
      </c>
      <c r="J75">
        <f t="shared" ca="1" si="6"/>
        <v>639445</v>
      </c>
      <c r="K75">
        <f t="shared" ca="1" si="7"/>
        <v>11</v>
      </c>
      <c r="N75" t="str">
        <f t="shared" si="4"/>
        <v>Bath and North East Somerset15Community ServicesHome-based intermediate care servicesReablement at home (to prevent admission to hospital or residential care)</v>
      </c>
      <c r="O75" t="s">
        <v>71</v>
      </c>
      <c r="P75" t="s">
        <v>976</v>
      </c>
      <c r="Q75">
        <v>15</v>
      </c>
      <c r="R75" t="s">
        <v>988</v>
      </c>
      <c r="S75" t="s">
        <v>1028</v>
      </c>
      <c r="T75" t="s">
        <v>787</v>
      </c>
      <c r="U75" t="s">
        <v>886</v>
      </c>
      <c r="W75">
        <v>4</v>
      </c>
      <c r="X75">
        <v>4</v>
      </c>
      <c r="Y75" t="s">
        <v>789</v>
      </c>
      <c r="Z75" t="s">
        <v>823</v>
      </c>
      <c r="AB75" t="s">
        <v>793</v>
      </c>
      <c r="AD75" t="s">
        <v>794</v>
      </c>
      <c r="AE75" t="s">
        <v>804</v>
      </c>
      <c r="AF75" t="s">
        <v>1029</v>
      </c>
      <c r="AG75" t="s">
        <v>797</v>
      </c>
      <c r="AH75">
        <v>36511</v>
      </c>
      <c r="AI75">
        <v>36511</v>
      </c>
      <c r="AJ75">
        <v>1.6000000000000001E-3</v>
      </c>
    </row>
    <row r="76" spans="1:36" x14ac:dyDescent="0.3">
      <c r="A76">
        <f>COUNTIF($D$2:D76,D76)</f>
        <v>5</v>
      </c>
      <c r="B76" t="str">
        <f t="shared" si="5"/>
        <v>5Bedford</v>
      </c>
      <c r="C76" t="s">
        <v>1030</v>
      </c>
      <c r="D76" t="s">
        <v>73</v>
      </c>
      <c r="E76">
        <v>25</v>
      </c>
      <c r="F76" t="s">
        <v>1027</v>
      </c>
      <c r="G76" t="s">
        <v>877</v>
      </c>
      <c r="H76" t="s">
        <v>878</v>
      </c>
      <c r="I76" t="s">
        <v>879</v>
      </c>
      <c r="J76">
        <f t="shared" ca="1" si="6"/>
        <v>516803</v>
      </c>
      <c r="K76">
        <f t="shared" ca="1" si="7"/>
        <v>10</v>
      </c>
      <c r="N76" t="str">
        <f t="shared" si="4"/>
        <v>Bath and North East Somerset15Community ServicesHome-based intermediate care servicesRehabilitation at home (to prevent admission to hospital or residential care)</v>
      </c>
      <c r="O76" t="s">
        <v>71</v>
      </c>
      <c r="P76" t="s">
        <v>976</v>
      </c>
      <c r="Q76">
        <v>15</v>
      </c>
      <c r="R76" t="s">
        <v>988</v>
      </c>
      <c r="S76" t="s">
        <v>1031</v>
      </c>
      <c r="T76" t="s">
        <v>787</v>
      </c>
      <c r="U76" t="s">
        <v>1011</v>
      </c>
      <c r="W76">
        <v>32</v>
      </c>
      <c r="X76">
        <v>32</v>
      </c>
      <c r="Y76" t="s">
        <v>789</v>
      </c>
      <c r="Z76" t="s">
        <v>1006</v>
      </c>
      <c r="AB76" t="s">
        <v>793</v>
      </c>
      <c r="AD76" t="s">
        <v>794</v>
      </c>
      <c r="AE76" t="s">
        <v>804</v>
      </c>
      <c r="AF76" t="s">
        <v>1029</v>
      </c>
      <c r="AG76" t="s">
        <v>797</v>
      </c>
      <c r="AH76">
        <v>288064</v>
      </c>
      <c r="AI76">
        <v>288064</v>
      </c>
      <c r="AJ76">
        <v>1.29E-2</v>
      </c>
    </row>
    <row r="77" spans="1:36" x14ac:dyDescent="0.3">
      <c r="A77">
        <f>COUNTIF($D$2:D77,D77)</f>
        <v>6</v>
      </c>
      <c r="B77" t="str">
        <f t="shared" si="5"/>
        <v>6Bedford</v>
      </c>
      <c r="C77" t="s">
        <v>1032</v>
      </c>
      <c r="D77" t="s">
        <v>73</v>
      </c>
      <c r="E77">
        <v>30</v>
      </c>
      <c r="F77" t="s">
        <v>1033</v>
      </c>
      <c r="G77" t="s">
        <v>834</v>
      </c>
      <c r="H77" t="s">
        <v>835</v>
      </c>
      <c r="I77" t="s">
        <v>836</v>
      </c>
      <c r="J77">
        <f t="shared" ca="1" si="6"/>
        <v>350000</v>
      </c>
      <c r="K77">
        <f t="shared" ca="1" si="7"/>
        <v>30</v>
      </c>
      <c r="N77" t="str">
        <f t="shared" si="4"/>
        <v>Bath and North East Somerset15Community ServicesAssistive Technologies and EquipmentCommunity based equipment</v>
      </c>
      <c r="O77" t="s">
        <v>71</v>
      </c>
      <c r="P77" t="s">
        <v>976</v>
      </c>
      <c r="Q77">
        <v>15</v>
      </c>
      <c r="R77" t="s">
        <v>988</v>
      </c>
      <c r="S77" t="s">
        <v>1034</v>
      </c>
      <c r="T77" t="s">
        <v>800</v>
      </c>
      <c r="U77" t="s">
        <v>903</v>
      </c>
      <c r="W77">
        <v>20</v>
      </c>
      <c r="X77">
        <v>20</v>
      </c>
      <c r="Y77" t="s">
        <v>802</v>
      </c>
      <c r="Z77" t="s">
        <v>823</v>
      </c>
      <c r="AB77" t="s">
        <v>793</v>
      </c>
      <c r="AD77" t="s">
        <v>794</v>
      </c>
      <c r="AE77" t="s">
        <v>804</v>
      </c>
      <c r="AF77" t="s">
        <v>1029</v>
      </c>
      <c r="AG77" t="s">
        <v>797</v>
      </c>
      <c r="AH77">
        <v>20004</v>
      </c>
      <c r="AI77">
        <v>20004</v>
      </c>
      <c r="AJ77">
        <v>8.9999999999999998E-4</v>
      </c>
    </row>
    <row r="78" spans="1:36" x14ac:dyDescent="0.3">
      <c r="A78">
        <f>COUNTIF($D$2:D78,D78)</f>
        <v>7</v>
      </c>
      <c r="B78" t="str">
        <f t="shared" si="5"/>
        <v>7Bedford</v>
      </c>
      <c r="C78" t="s">
        <v>1035</v>
      </c>
      <c r="D78" t="s">
        <v>73</v>
      </c>
      <c r="E78">
        <v>31</v>
      </c>
      <c r="F78" t="s">
        <v>1036</v>
      </c>
      <c r="G78" t="s">
        <v>834</v>
      </c>
      <c r="H78" t="s">
        <v>835</v>
      </c>
      <c r="I78" t="s">
        <v>836</v>
      </c>
      <c r="J78">
        <f t="shared" ca="1" si="6"/>
        <v>40000</v>
      </c>
      <c r="K78">
        <f t="shared" ca="1" si="7"/>
        <v>3</v>
      </c>
      <c r="N78" t="str">
        <f t="shared" si="4"/>
        <v>Bath and North East Somerset15Community ServicesCarers ServicesCarer advice and support related to Care Act duties</v>
      </c>
      <c r="O78" t="s">
        <v>71</v>
      </c>
      <c r="P78" t="s">
        <v>976</v>
      </c>
      <c r="Q78">
        <v>15</v>
      </c>
      <c r="R78" t="s">
        <v>988</v>
      </c>
      <c r="S78" t="s">
        <v>1009</v>
      </c>
      <c r="T78" t="s">
        <v>811</v>
      </c>
      <c r="U78" t="s">
        <v>895</v>
      </c>
      <c r="W78">
        <v>100</v>
      </c>
      <c r="X78">
        <v>100</v>
      </c>
      <c r="Y78" t="s">
        <v>813</v>
      </c>
      <c r="Z78" t="s">
        <v>792</v>
      </c>
      <c r="AB78" t="s">
        <v>793</v>
      </c>
      <c r="AD78" t="s">
        <v>794</v>
      </c>
      <c r="AE78" t="s">
        <v>804</v>
      </c>
      <c r="AF78" t="s">
        <v>1029</v>
      </c>
      <c r="AG78" t="s">
        <v>797</v>
      </c>
      <c r="AH78">
        <v>196044</v>
      </c>
      <c r="AI78">
        <v>196044</v>
      </c>
      <c r="AJ78">
        <v>8.8000000000000005E-3</v>
      </c>
    </row>
    <row r="79" spans="1:36" x14ac:dyDescent="0.3">
      <c r="A79">
        <f>COUNTIF($D$2:D79,D79)</f>
        <v>8</v>
      </c>
      <c r="B79" t="str">
        <f t="shared" si="5"/>
        <v>8Bedford</v>
      </c>
      <c r="C79" t="s">
        <v>1037</v>
      </c>
      <c r="D79" t="s">
        <v>73</v>
      </c>
      <c r="E79">
        <v>32</v>
      </c>
      <c r="F79" t="s">
        <v>1038</v>
      </c>
      <c r="G79" t="s">
        <v>800</v>
      </c>
      <c r="H79" t="s">
        <v>850</v>
      </c>
      <c r="I79" t="s">
        <v>802</v>
      </c>
      <c r="J79">
        <f t="shared" ca="1" si="6"/>
        <v>163000</v>
      </c>
      <c r="K79">
        <f t="shared" ca="1" si="7"/>
        <v>56</v>
      </c>
      <c r="N79" t="str">
        <f t="shared" si="4"/>
        <v>Bath and North East Somerset15Community ServicesHome-based intermediate care servicesReablement at home (to prevent admission to hospital or residential care)</v>
      </c>
      <c r="O79" t="s">
        <v>71</v>
      </c>
      <c r="P79" t="s">
        <v>976</v>
      </c>
      <c r="Q79">
        <v>15</v>
      </c>
      <c r="R79" t="s">
        <v>988</v>
      </c>
      <c r="S79" t="s">
        <v>1039</v>
      </c>
      <c r="T79" t="s">
        <v>787</v>
      </c>
      <c r="U79" t="s">
        <v>886</v>
      </c>
      <c r="W79">
        <v>94</v>
      </c>
      <c r="X79">
        <v>8</v>
      </c>
      <c r="Y79" t="s">
        <v>789</v>
      </c>
      <c r="Z79" t="s">
        <v>792</v>
      </c>
      <c r="AB79" t="s">
        <v>793</v>
      </c>
      <c r="AD79" t="s">
        <v>794</v>
      </c>
      <c r="AE79" t="s">
        <v>804</v>
      </c>
      <c r="AF79" t="s">
        <v>1029</v>
      </c>
      <c r="AG79" t="s">
        <v>797</v>
      </c>
      <c r="AH79">
        <v>844658</v>
      </c>
      <c r="AI79">
        <v>72313</v>
      </c>
      <c r="AJ79">
        <v>3.7900000000000003E-2</v>
      </c>
    </row>
    <row r="80" spans="1:36" x14ac:dyDescent="0.3">
      <c r="A80">
        <f>COUNTIF($D$2:D80,D80)</f>
        <v>9</v>
      </c>
      <c r="B80" t="str">
        <f t="shared" si="5"/>
        <v>9Bedford</v>
      </c>
      <c r="C80" t="s">
        <v>1040</v>
      </c>
      <c r="D80" t="s">
        <v>73</v>
      </c>
      <c r="E80">
        <v>33</v>
      </c>
      <c r="F80" t="s">
        <v>1041</v>
      </c>
      <c r="G80" t="s">
        <v>800</v>
      </c>
      <c r="H80" t="s">
        <v>903</v>
      </c>
      <c r="I80" t="s">
        <v>802</v>
      </c>
      <c r="J80">
        <f t="shared" ca="1" si="6"/>
        <v>80000</v>
      </c>
      <c r="K80">
        <f t="shared" ca="1" si="7"/>
        <v>260</v>
      </c>
      <c r="N80" t="str">
        <f t="shared" si="4"/>
        <v>Bath and North East Somerset15Community ServicesBed based intermediate Care Services (Reablement, rehabilitation, wider short-term services supporting recovery)Bed-based intermediate care with rehabilitation accepting step up and step down users</v>
      </c>
      <c r="O80" t="s">
        <v>71</v>
      </c>
      <c r="P80" t="s">
        <v>976</v>
      </c>
      <c r="Q80">
        <v>15</v>
      </c>
      <c r="R80" t="s">
        <v>988</v>
      </c>
      <c r="S80" t="s">
        <v>964</v>
      </c>
      <c r="T80" t="s">
        <v>877</v>
      </c>
      <c r="U80" t="s">
        <v>1015</v>
      </c>
      <c r="W80">
        <v>63</v>
      </c>
      <c r="X80">
        <v>63</v>
      </c>
      <c r="Y80" t="s">
        <v>879</v>
      </c>
      <c r="Z80" t="s">
        <v>823</v>
      </c>
      <c r="AB80" t="s">
        <v>824</v>
      </c>
      <c r="AD80" t="s">
        <v>794</v>
      </c>
      <c r="AE80" t="s">
        <v>804</v>
      </c>
      <c r="AF80" t="s">
        <v>1042</v>
      </c>
      <c r="AG80" t="s">
        <v>797</v>
      </c>
      <c r="AH80">
        <v>4930314</v>
      </c>
      <c r="AI80">
        <v>4930314</v>
      </c>
      <c r="AJ80">
        <v>0.17069999999999999</v>
      </c>
    </row>
    <row r="81" spans="1:36" x14ac:dyDescent="0.3">
      <c r="A81">
        <f>COUNTIF($D$2:D81,D81)</f>
        <v>10</v>
      </c>
      <c r="B81" t="str">
        <f t="shared" si="5"/>
        <v>10Bedford</v>
      </c>
      <c r="C81" t="s">
        <v>1043</v>
      </c>
      <c r="D81" t="s">
        <v>73</v>
      </c>
      <c r="E81">
        <v>36</v>
      </c>
      <c r="F81" t="s">
        <v>811</v>
      </c>
      <c r="G81" t="s">
        <v>811</v>
      </c>
      <c r="H81" t="s">
        <v>830</v>
      </c>
      <c r="I81" t="s">
        <v>813</v>
      </c>
      <c r="J81">
        <f t="shared" ca="1" si="6"/>
        <v>68000</v>
      </c>
      <c r="K81">
        <f t="shared" ca="1" si="7"/>
        <v>120</v>
      </c>
      <c r="N81" t="str">
        <f t="shared" si="4"/>
        <v xml:space="preserve">Bath and North East Somerset15Community ServicesHome-based intermediate care servicesReablement at home (to support discharge) </v>
      </c>
      <c r="O81" t="s">
        <v>71</v>
      </c>
      <c r="P81" t="s">
        <v>976</v>
      </c>
      <c r="Q81">
        <v>15</v>
      </c>
      <c r="R81" t="s">
        <v>988</v>
      </c>
      <c r="S81" t="s">
        <v>1044</v>
      </c>
      <c r="T81" t="s">
        <v>787</v>
      </c>
      <c r="U81" t="s">
        <v>788</v>
      </c>
      <c r="W81">
        <v>171</v>
      </c>
      <c r="X81">
        <v>171</v>
      </c>
      <c r="Y81" t="s">
        <v>789</v>
      </c>
      <c r="Z81" t="s">
        <v>823</v>
      </c>
      <c r="AB81" t="s">
        <v>824</v>
      </c>
      <c r="AD81" t="s">
        <v>794</v>
      </c>
      <c r="AE81" t="s">
        <v>804</v>
      </c>
      <c r="AF81" t="s">
        <v>1042</v>
      </c>
      <c r="AG81" t="s">
        <v>797</v>
      </c>
      <c r="AH81">
        <v>13404804</v>
      </c>
      <c r="AI81">
        <v>13404804</v>
      </c>
      <c r="AJ81">
        <v>0.4647</v>
      </c>
    </row>
    <row r="82" spans="1:36" x14ac:dyDescent="0.3">
      <c r="A82">
        <f>COUNTIF($D$2:D82,D82)</f>
        <v>11</v>
      </c>
      <c r="B82" t="str">
        <f t="shared" si="5"/>
        <v>11Bedford</v>
      </c>
      <c r="C82" t="s">
        <v>1045</v>
      </c>
      <c r="D82" t="s">
        <v>73</v>
      </c>
      <c r="E82">
        <v>37</v>
      </c>
      <c r="F82" t="s">
        <v>1046</v>
      </c>
      <c r="G82" t="s">
        <v>811</v>
      </c>
      <c r="H82" t="s">
        <v>830</v>
      </c>
      <c r="I82" t="s">
        <v>813</v>
      </c>
      <c r="J82">
        <f t="shared" ca="1" si="6"/>
        <v>35000</v>
      </c>
      <c r="K82">
        <f t="shared" ca="1" si="7"/>
        <v>10</v>
      </c>
      <c r="N82" t="str">
        <f t="shared" si="4"/>
        <v>Bath and North East Somerset15Community ServicesHome-based intermediate care servicesReablement at home (to prevent admission to hospital or residential care)</v>
      </c>
      <c r="O82" t="s">
        <v>71</v>
      </c>
      <c r="P82" t="s">
        <v>976</v>
      </c>
      <c r="Q82">
        <v>15</v>
      </c>
      <c r="R82" t="s">
        <v>988</v>
      </c>
      <c r="S82" t="s">
        <v>1047</v>
      </c>
      <c r="T82" t="s">
        <v>787</v>
      </c>
      <c r="U82" t="s">
        <v>886</v>
      </c>
      <c r="W82">
        <v>1</v>
      </c>
      <c r="X82">
        <v>1</v>
      </c>
      <c r="Y82" t="s">
        <v>789</v>
      </c>
      <c r="Z82" t="s">
        <v>1006</v>
      </c>
      <c r="AB82" t="s">
        <v>824</v>
      </c>
      <c r="AD82" t="s">
        <v>794</v>
      </c>
      <c r="AE82" t="s">
        <v>804</v>
      </c>
      <c r="AF82" t="s">
        <v>1042</v>
      </c>
      <c r="AG82" t="s">
        <v>797</v>
      </c>
      <c r="AH82">
        <v>60</v>
      </c>
      <c r="AI82">
        <v>60</v>
      </c>
      <c r="AJ82">
        <v>0</v>
      </c>
    </row>
    <row r="83" spans="1:36" x14ac:dyDescent="0.3">
      <c r="A83">
        <f>COUNTIF($D$2:D83,D83)</f>
        <v>12</v>
      </c>
      <c r="B83" t="str">
        <f t="shared" si="5"/>
        <v>12Bedford</v>
      </c>
      <c r="C83" t="s">
        <v>1048</v>
      </c>
      <c r="D83" t="s">
        <v>73</v>
      </c>
      <c r="E83">
        <v>45</v>
      </c>
      <c r="F83" t="s">
        <v>1049</v>
      </c>
      <c r="G83" t="s">
        <v>811</v>
      </c>
      <c r="H83" t="s">
        <v>895</v>
      </c>
      <c r="I83" t="s">
        <v>813</v>
      </c>
      <c r="J83">
        <f t="shared" ca="1" si="6"/>
        <v>201073.38604917415</v>
      </c>
      <c r="K83">
        <f t="shared" ca="1" si="7"/>
        <v>200</v>
      </c>
      <c r="N83" t="str">
        <f t="shared" si="4"/>
        <v xml:space="preserve">Bath and North East Somerset15Community ServicesHome-based intermediate care servicesReablement at home (to support discharge) </v>
      </c>
      <c r="O83" t="s">
        <v>71</v>
      </c>
      <c r="P83" t="s">
        <v>976</v>
      </c>
      <c r="Q83">
        <v>15</v>
      </c>
      <c r="R83" t="s">
        <v>988</v>
      </c>
      <c r="S83" t="s">
        <v>1021</v>
      </c>
      <c r="T83" t="s">
        <v>787</v>
      </c>
      <c r="U83" t="s">
        <v>788</v>
      </c>
      <c r="W83">
        <v>11</v>
      </c>
      <c r="X83">
        <v>11</v>
      </c>
      <c r="Y83" t="s">
        <v>789</v>
      </c>
      <c r="Z83" t="s">
        <v>792</v>
      </c>
      <c r="AB83" t="s">
        <v>824</v>
      </c>
      <c r="AD83" t="s">
        <v>794</v>
      </c>
      <c r="AE83" t="s">
        <v>804</v>
      </c>
      <c r="AF83" t="s">
        <v>1042</v>
      </c>
      <c r="AG83" t="s">
        <v>797</v>
      </c>
      <c r="AH83">
        <v>106461</v>
      </c>
      <c r="AI83">
        <v>0</v>
      </c>
      <c r="AJ83">
        <v>3.7000000000000002E-3</v>
      </c>
    </row>
    <row r="84" spans="1:36" x14ac:dyDescent="0.3">
      <c r="A84">
        <f>COUNTIF($D$2:D84,D84)</f>
        <v>13</v>
      </c>
      <c r="B84" t="str">
        <f t="shared" si="5"/>
        <v>13Bedford</v>
      </c>
      <c r="C84" t="s">
        <v>1050</v>
      </c>
      <c r="D84" t="s">
        <v>73</v>
      </c>
      <c r="E84">
        <v>46</v>
      </c>
      <c r="F84" t="s">
        <v>1051</v>
      </c>
      <c r="G84" t="s">
        <v>800</v>
      </c>
      <c r="H84" t="s">
        <v>903</v>
      </c>
      <c r="I84" t="s">
        <v>802</v>
      </c>
      <c r="J84">
        <f t="shared" ca="1" si="6"/>
        <v>821464.10372659564</v>
      </c>
      <c r="K84">
        <f t="shared" ca="1" si="7"/>
        <v>500</v>
      </c>
      <c r="N84" t="str">
        <f t="shared" si="4"/>
        <v>Bath and North East Somerset15Community ServicesHome-based intermediate care servicesReablement at home (to prevent admission to hospital or residential care)</v>
      </c>
      <c r="O84" t="s">
        <v>71</v>
      </c>
      <c r="P84" t="s">
        <v>976</v>
      </c>
      <c r="Q84">
        <v>15</v>
      </c>
      <c r="R84" t="s">
        <v>988</v>
      </c>
      <c r="S84" t="s">
        <v>993</v>
      </c>
      <c r="T84" t="s">
        <v>787</v>
      </c>
      <c r="U84" t="s">
        <v>886</v>
      </c>
      <c r="W84">
        <v>25</v>
      </c>
      <c r="X84">
        <v>25</v>
      </c>
      <c r="Y84" t="s">
        <v>789</v>
      </c>
      <c r="Z84" t="s">
        <v>823</v>
      </c>
      <c r="AB84" t="s">
        <v>824</v>
      </c>
      <c r="AD84" t="s">
        <v>794</v>
      </c>
      <c r="AE84" t="s">
        <v>804</v>
      </c>
      <c r="AF84" t="s">
        <v>796</v>
      </c>
      <c r="AG84" t="s">
        <v>797</v>
      </c>
      <c r="AH84">
        <v>221773</v>
      </c>
      <c r="AI84">
        <v>234325.3518</v>
      </c>
      <c r="AJ84">
        <v>0.01</v>
      </c>
    </row>
    <row r="85" spans="1:36" x14ac:dyDescent="0.3">
      <c r="A85">
        <f>COUNTIF($D$2:D85,D85)</f>
        <v>14</v>
      </c>
      <c r="B85" t="str">
        <f t="shared" si="5"/>
        <v>14Bedford</v>
      </c>
      <c r="C85" t="s">
        <v>1052</v>
      </c>
      <c r="D85" t="s">
        <v>73</v>
      </c>
      <c r="E85">
        <v>53</v>
      </c>
      <c r="F85" t="s">
        <v>1053</v>
      </c>
      <c r="G85" t="s">
        <v>800</v>
      </c>
      <c r="H85" t="s">
        <v>850</v>
      </c>
      <c r="I85" t="s">
        <v>802</v>
      </c>
      <c r="J85">
        <f t="shared" ca="1" si="6"/>
        <v>56000</v>
      </c>
      <c r="K85">
        <f t="shared" ca="1" si="7"/>
        <v>41</v>
      </c>
      <c r="N85" t="str">
        <f t="shared" si="4"/>
        <v>Bath and North East Somerset15Community ServicesBed based intermediate Care Services (Reablement, rehabilitation, wider short-term services supporting recovery)Bed-based intermediate care with rehabilitation (to support admission avoidance)</v>
      </c>
      <c r="O85" t="s">
        <v>71</v>
      </c>
      <c r="P85" t="s">
        <v>976</v>
      </c>
      <c r="Q85">
        <v>15</v>
      </c>
      <c r="R85" t="s">
        <v>988</v>
      </c>
      <c r="S85" t="s">
        <v>1005</v>
      </c>
      <c r="T85" t="s">
        <v>877</v>
      </c>
      <c r="U85" t="s">
        <v>1018</v>
      </c>
      <c r="W85">
        <v>1</v>
      </c>
      <c r="X85">
        <v>1</v>
      </c>
      <c r="Y85" t="s">
        <v>879</v>
      </c>
      <c r="Z85" t="s">
        <v>792</v>
      </c>
      <c r="AB85" t="s">
        <v>824</v>
      </c>
      <c r="AD85" t="s">
        <v>794</v>
      </c>
      <c r="AE85" t="s">
        <v>804</v>
      </c>
      <c r="AF85" t="s">
        <v>796</v>
      </c>
      <c r="AG85" t="s">
        <v>797</v>
      </c>
      <c r="AH85">
        <v>10317</v>
      </c>
      <c r="AI85">
        <v>10900.9422</v>
      </c>
      <c r="AJ85">
        <v>0</v>
      </c>
    </row>
    <row r="86" spans="1:36" x14ac:dyDescent="0.3">
      <c r="A86">
        <f>COUNTIF($D$2:D86,D86)</f>
        <v>15</v>
      </c>
      <c r="B86" t="str">
        <f t="shared" si="5"/>
        <v>15Bedford</v>
      </c>
      <c r="C86" t="s">
        <v>1054</v>
      </c>
      <c r="D86" t="s">
        <v>73</v>
      </c>
      <c r="E86">
        <v>54</v>
      </c>
      <c r="F86" t="s">
        <v>1055</v>
      </c>
      <c r="G86" t="s">
        <v>800</v>
      </c>
      <c r="H86" t="s">
        <v>850</v>
      </c>
      <c r="I86" t="s">
        <v>802</v>
      </c>
      <c r="J86">
        <f t="shared" ca="1" si="6"/>
        <v>100000</v>
      </c>
      <c r="K86">
        <f t="shared" ca="1" si="7"/>
        <v>50</v>
      </c>
      <c r="N86" t="str">
        <f t="shared" si="4"/>
        <v>Bedford1Disabled Facilities GrantDFG Related SchemesAdaptations, including statutory DFG grants</v>
      </c>
      <c r="O86" t="s">
        <v>73</v>
      </c>
      <c r="P86" t="s">
        <v>1056</v>
      </c>
      <c r="Q86">
        <v>1</v>
      </c>
      <c r="R86" t="s">
        <v>891</v>
      </c>
      <c r="S86" t="s">
        <v>1057</v>
      </c>
      <c r="T86" t="s">
        <v>834</v>
      </c>
      <c r="U86" t="s">
        <v>835</v>
      </c>
      <c r="W86">
        <v>100</v>
      </c>
      <c r="X86">
        <v>100</v>
      </c>
      <c r="Y86" t="s">
        <v>836</v>
      </c>
      <c r="Z86" t="s">
        <v>792</v>
      </c>
      <c r="AB86" t="s">
        <v>793</v>
      </c>
      <c r="AD86" t="s">
        <v>794</v>
      </c>
      <c r="AE86" t="s">
        <v>795</v>
      </c>
      <c r="AF86" t="s">
        <v>840</v>
      </c>
      <c r="AG86" t="s">
        <v>797</v>
      </c>
      <c r="AH86">
        <v>1248455</v>
      </c>
      <c r="AI86">
        <v>1248455</v>
      </c>
      <c r="AJ86">
        <v>0.78</v>
      </c>
    </row>
    <row r="87" spans="1:36" x14ac:dyDescent="0.3">
      <c r="A87">
        <f>COUNTIF($D$2:D87,D87)</f>
        <v>16</v>
      </c>
      <c r="B87" t="str">
        <f t="shared" si="5"/>
        <v>16Bedford</v>
      </c>
      <c r="C87" t="s">
        <v>1058</v>
      </c>
      <c r="D87" t="s">
        <v>73</v>
      </c>
      <c r="E87">
        <v>60</v>
      </c>
      <c r="F87" t="s">
        <v>1059</v>
      </c>
      <c r="G87" t="s">
        <v>811</v>
      </c>
      <c r="H87" t="s">
        <v>812</v>
      </c>
      <c r="I87" t="s">
        <v>813</v>
      </c>
      <c r="J87">
        <f t="shared" ca="1" si="6"/>
        <v>41205</v>
      </c>
      <c r="K87">
        <f t="shared" ca="1" si="7"/>
        <v>150</v>
      </c>
      <c r="N87" t="str">
        <f t="shared" si="4"/>
        <v>Bedford3Out of Hospital CareBed based intermediate Care Services (Reablement, rehabilitation, wider short-term services supporting recovery)Bed-based intermediate care with reablement (to support discharge)</v>
      </c>
      <c r="O87" t="s">
        <v>73</v>
      </c>
      <c r="P87" t="s">
        <v>1056</v>
      </c>
      <c r="Q87">
        <v>3</v>
      </c>
      <c r="R87" t="s">
        <v>1023</v>
      </c>
      <c r="S87" t="s">
        <v>1060</v>
      </c>
      <c r="T87" t="s">
        <v>877</v>
      </c>
      <c r="U87" t="s">
        <v>878</v>
      </c>
      <c r="W87">
        <v>18</v>
      </c>
      <c r="X87">
        <v>18</v>
      </c>
      <c r="Y87" t="s">
        <v>879</v>
      </c>
      <c r="Z87" t="s">
        <v>1061</v>
      </c>
      <c r="AB87" t="s">
        <v>793</v>
      </c>
      <c r="AD87" t="s">
        <v>794</v>
      </c>
      <c r="AE87" t="s">
        <v>804</v>
      </c>
      <c r="AF87" t="s">
        <v>796</v>
      </c>
      <c r="AG87" t="s">
        <v>797</v>
      </c>
      <c r="AH87">
        <v>100000</v>
      </c>
      <c r="AI87">
        <v>105660</v>
      </c>
      <c r="AJ87">
        <v>0.06</v>
      </c>
    </row>
    <row r="88" spans="1:36" x14ac:dyDescent="0.3">
      <c r="A88">
        <f>COUNTIF($D$2:D88,D88)</f>
        <v>17</v>
      </c>
      <c r="B88" t="str">
        <f t="shared" si="5"/>
        <v>17Bedford</v>
      </c>
      <c r="C88" t="s">
        <v>1062</v>
      </c>
      <c r="D88" t="s">
        <v>73</v>
      </c>
      <c r="E88">
        <v>66</v>
      </c>
      <c r="F88" t="s">
        <v>1063</v>
      </c>
      <c r="G88" t="s">
        <v>877</v>
      </c>
      <c r="H88" t="s">
        <v>968</v>
      </c>
      <c r="I88" t="s">
        <v>879</v>
      </c>
      <c r="J88">
        <f t="shared" ca="1" si="6"/>
        <v>43938</v>
      </c>
      <c r="K88">
        <f t="shared" ca="1" si="7"/>
        <v>24</v>
      </c>
      <c r="N88" t="str">
        <f t="shared" si="4"/>
        <v>Bedford7Intermediate CareBed based intermediate Care Services (Reablement, rehabilitation, wider short-term services supporting recovery)Bed-based intermediate care with reablement (to support discharge)</v>
      </c>
      <c r="O88" t="s">
        <v>73</v>
      </c>
      <c r="P88" t="s">
        <v>1056</v>
      </c>
      <c r="Q88">
        <v>7</v>
      </c>
      <c r="R88" t="s">
        <v>964</v>
      </c>
      <c r="S88" t="s">
        <v>1064</v>
      </c>
      <c r="T88" t="s">
        <v>877</v>
      </c>
      <c r="U88" t="s">
        <v>878</v>
      </c>
      <c r="W88">
        <v>22</v>
      </c>
      <c r="X88">
        <v>23</v>
      </c>
      <c r="Y88" t="s">
        <v>879</v>
      </c>
      <c r="Z88" t="s">
        <v>792</v>
      </c>
      <c r="AB88" t="s">
        <v>793</v>
      </c>
      <c r="AD88" t="s">
        <v>794</v>
      </c>
      <c r="AE88" t="s">
        <v>804</v>
      </c>
      <c r="AF88" t="s">
        <v>796</v>
      </c>
      <c r="AG88" t="s">
        <v>797</v>
      </c>
      <c r="AH88">
        <v>147250</v>
      </c>
      <c r="AI88">
        <v>155584.35</v>
      </c>
      <c r="AJ88">
        <v>7.0000000000000007E-2</v>
      </c>
    </row>
    <row r="89" spans="1:36" x14ac:dyDescent="0.3">
      <c r="A89">
        <f>COUNTIF($D$2:D89,D89)</f>
        <v>18</v>
      </c>
      <c r="B89" t="str">
        <f t="shared" si="5"/>
        <v>18Bedford</v>
      </c>
      <c r="C89" t="s">
        <v>1065</v>
      </c>
      <c r="D89" t="s">
        <v>73</v>
      </c>
      <c r="E89">
        <v>70</v>
      </c>
      <c r="F89" t="s">
        <v>1066</v>
      </c>
      <c r="G89" t="s">
        <v>877</v>
      </c>
      <c r="H89" t="s">
        <v>968</v>
      </c>
      <c r="I89" t="s">
        <v>879</v>
      </c>
      <c r="J89">
        <f t="shared" ca="1" si="6"/>
        <v>58990</v>
      </c>
      <c r="K89">
        <f t="shared" ca="1" si="7"/>
        <v>7</v>
      </c>
      <c r="N89" t="str">
        <f t="shared" si="4"/>
        <v>Bedford24Complex RehabBed based intermediate Care Services (Reablement, rehabilitation, wider short-term services supporting recovery)Bed-based intermediate care with reablement (to support discharge)</v>
      </c>
      <c r="O89" t="s">
        <v>73</v>
      </c>
      <c r="P89" t="s">
        <v>1056</v>
      </c>
      <c r="Q89">
        <v>24</v>
      </c>
      <c r="R89" t="s">
        <v>1027</v>
      </c>
      <c r="S89" t="s">
        <v>1067</v>
      </c>
      <c r="T89" t="s">
        <v>877</v>
      </c>
      <c r="U89" t="s">
        <v>878</v>
      </c>
      <c r="W89">
        <v>11</v>
      </c>
      <c r="X89">
        <v>11</v>
      </c>
      <c r="Y89" t="s">
        <v>879</v>
      </c>
      <c r="Z89" t="s">
        <v>812</v>
      </c>
      <c r="AA89" t="s">
        <v>1068</v>
      </c>
      <c r="AB89" t="s">
        <v>824</v>
      </c>
      <c r="AD89" t="s">
        <v>794</v>
      </c>
      <c r="AE89" t="s">
        <v>804</v>
      </c>
      <c r="AF89" t="s">
        <v>796</v>
      </c>
      <c r="AG89" t="s">
        <v>797</v>
      </c>
      <c r="AH89">
        <v>639445</v>
      </c>
      <c r="AI89">
        <v>675637</v>
      </c>
      <c r="AJ89">
        <v>0.12</v>
      </c>
    </row>
    <row r="90" spans="1:36" x14ac:dyDescent="0.3">
      <c r="A90">
        <f>COUNTIF($D$2:D90,D90)</f>
        <v>19</v>
      </c>
      <c r="B90" t="str">
        <f t="shared" si="5"/>
        <v>19Bedford</v>
      </c>
      <c r="C90" t="s">
        <v>1069</v>
      </c>
      <c r="D90" t="s">
        <v>73</v>
      </c>
      <c r="E90">
        <v>71</v>
      </c>
      <c r="F90" t="s">
        <v>1070</v>
      </c>
      <c r="G90" t="s">
        <v>806</v>
      </c>
      <c r="H90" t="s">
        <v>807</v>
      </c>
      <c r="I90" t="s">
        <v>808</v>
      </c>
      <c r="J90">
        <f t="shared" ca="1" si="6"/>
        <v>50500</v>
      </c>
      <c r="K90">
        <f t="shared" ca="1" si="7"/>
        <v>6</v>
      </c>
      <c r="N90" t="str">
        <f t="shared" si="4"/>
        <v>Bedford25Complex RehabBed based intermediate Care Services (Reablement, rehabilitation, wider short-term services supporting recovery)Bed-based intermediate care with reablement (to support discharge)</v>
      </c>
      <c r="O90" t="s">
        <v>73</v>
      </c>
      <c r="P90" t="s">
        <v>1056</v>
      </c>
      <c r="Q90">
        <v>25</v>
      </c>
      <c r="R90" t="s">
        <v>1027</v>
      </c>
      <c r="S90" t="s">
        <v>1067</v>
      </c>
      <c r="T90" t="s">
        <v>877</v>
      </c>
      <c r="U90" t="s">
        <v>878</v>
      </c>
      <c r="W90">
        <v>10</v>
      </c>
      <c r="X90">
        <v>10</v>
      </c>
      <c r="Y90" t="s">
        <v>879</v>
      </c>
      <c r="Z90" t="s">
        <v>792</v>
      </c>
      <c r="AB90" t="s">
        <v>824</v>
      </c>
      <c r="AD90" t="s">
        <v>794</v>
      </c>
      <c r="AE90" t="s">
        <v>804</v>
      </c>
      <c r="AF90" t="s">
        <v>796</v>
      </c>
      <c r="AG90" t="s">
        <v>797</v>
      </c>
      <c r="AH90">
        <v>516803</v>
      </c>
      <c r="AI90">
        <v>546055</v>
      </c>
      <c r="AJ90">
        <v>0.11</v>
      </c>
    </row>
    <row r="91" spans="1:36" x14ac:dyDescent="0.3">
      <c r="A91">
        <f>COUNTIF($D$2:D91,D91)</f>
        <v>20</v>
      </c>
      <c r="B91" t="str">
        <f t="shared" si="5"/>
        <v>20Bedford</v>
      </c>
      <c r="C91" t="s">
        <v>1071</v>
      </c>
      <c r="D91" t="s">
        <v>73</v>
      </c>
      <c r="E91">
        <v>74</v>
      </c>
      <c r="F91" t="s">
        <v>1072</v>
      </c>
      <c r="G91" t="s">
        <v>787</v>
      </c>
      <c r="H91" t="s">
        <v>788</v>
      </c>
      <c r="I91" t="s">
        <v>789</v>
      </c>
      <c r="J91">
        <f t="shared" ca="1" si="6"/>
        <v>70000</v>
      </c>
      <c r="K91">
        <f t="shared" ca="1" si="7"/>
        <v>12</v>
      </c>
      <c r="N91" t="str">
        <f t="shared" si="4"/>
        <v>Bedford30Revenue contribution to DFG'sDFG Related SchemesAdaptations, including statutory DFG grants</v>
      </c>
      <c r="O91" t="s">
        <v>73</v>
      </c>
      <c r="P91" t="s">
        <v>1056</v>
      </c>
      <c r="Q91">
        <v>30</v>
      </c>
      <c r="R91" t="s">
        <v>1033</v>
      </c>
      <c r="S91" t="s">
        <v>1073</v>
      </c>
      <c r="T91" t="s">
        <v>834</v>
      </c>
      <c r="U91" t="s">
        <v>835</v>
      </c>
      <c r="W91">
        <v>30</v>
      </c>
      <c r="X91">
        <v>30</v>
      </c>
      <c r="Y91" t="s">
        <v>836</v>
      </c>
      <c r="Z91" t="s">
        <v>792</v>
      </c>
      <c r="AB91" t="s">
        <v>793</v>
      </c>
      <c r="AD91" t="s">
        <v>794</v>
      </c>
      <c r="AE91" t="s">
        <v>795</v>
      </c>
      <c r="AF91" t="s">
        <v>796</v>
      </c>
      <c r="AG91" t="s">
        <v>797</v>
      </c>
      <c r="AH91">
        <v>350000</v>
      </c>
      <c r="AI91">
        <v>369810</v>
      </c>
      <c r="AJ91">
        <v>0.22</v>
      </c>
    </row>
    <row r="92" spans="1:36" x14ac:dyDescent="0.3">
      <c r="A92">
        <f>COUNTIF($D$2:D92,D92)</f>
        <v>21</v>
      </c>
      <c r="B92" t="str">
        <f t="shared" si="5"/>
        <v>21Bedford</v>
      </c>
      <c r="C92" t="s">
        <v>1074</v>
      </c>
      <c r="D92" t="s">
        <v>73</v>
      </c>
      <c r="E92">
        <v>77</v>
      </c>
      <c r="F92" t="s">
        <v>1075</v>
      </c>
      <c r="G92" t="s">
        <v>877</v>
      </c>
      <c r="H92" t="s">
        <v>968</v>
      </c>
      <c r="I92" t="s">
        <v>879</v>
      </c>
      <c r="J92">
        <f t="shared" ca="1" si="6"/>
        <v>365116</v>
      </c>
      <c r="K92">
        <f t="shared" ca="1" si="7"/>
        <v>24</v>
      </c>
      <c r="N92" t="str">
        <f t="shared" si="4"/>
        <v>Bedford31Handy Person ServiceDFG Related SchemesAdaptations, including statutory DFG grants</v>
      </c>
      <c r="O92" t="s">
        <v>73</v>
      </c>
      <c r="P92" t="s">
        <v>1056</v>
      </c>
      <c r="Q92">
        <v>31</v>
      </c>
      <c r="R92" t="s">
        <v>1036</v>
      </c>
      <c r="S92" t="s">
        <v>1076</v>
      </c>
      <c r="T92" t="s">
        <v>834</v>
      </c>
      <c r="U92" t="s">
        <v>835</v>
      </c>
      <c r="W92">
        <v>3</v>
      </c>
      <c r="X92">
        <v>3</v>
      </c>
      <c r="Y92" t="s">
        <v>836</v>
      </c>
      <c r="Z92" t="s">
        <v>792</v>
      </c>
      <c r="AB92" t="s">
        <v>793</v>
      </c>
      <c r="AD92" t="s">
        <v>794</v>
      </c>
      <c r="AE92" t="s">
        <v>795</v>
      </c>
      <c r="AF92" t="s">
        <v>796</v>
      </c>
      <c r="AG92" t="s">
        <v>797</v>
      </c>
      <c r="AH92">
        <v>40000</v>
      </c>
      <c r="AI92">
        <v>42264</v>
      </c>
      <c r="AJ92">
        <v>0.25</v>
      </c>
    </row>
    <row r="93" spans="1:36" x14ac:dyDescent="0.3">
      <c r="A93">
        <f>COUNTIF($D$2:D93,D93)</f>
        <v>22</v>
      </c>
      <c r="B93" t="str">
        <f t="shared" si="5"/>
        <v>22Bedford</v>
      </c>
      <c r="C93" t="s">
        <v>1077</v>
      </c>
      <c r="D93" t="s">
        <v>73</v>
      </c>
      <c r="E93">
        <v>80</v>
      </c>
      <c r="F93" t="s">
        <v>1078</v>
      </c>
      <c r="G93" t="s">
        <v>877</v>
      </c>
      <c r="H93" t="s">
        <v>968</v>
      </c>
      <c r="I93" t="s">
        <v>879</v>
      </c>
      <c r="J93">
        <f t="shared" ca="1" si="6"/>
        <v>81229</v>
      </c>
      <c r="K93">
        <f t="shared" ca="1" si="7"/>
        <v>14</v>
      </c>
      <c r="N93" t="str">
        <f t="shared" si="4"/>
        <v>Bedford32Telecare ServiceAssistive Technologies and EquipmentAssistive technologies including telecare</v>
      </c>
      <c r="O93" t="s">
        <v>73</v>
      </c>
      <c r="P93" t="s">
        <v>1056</v>
      </c>
      <c r="Q93">
        <v>32</v>
      </c>
      <c r="R93" t="s">
        <v>1038</v>
      </c>
      <c r="S93" t="s">
        <v>1079</v>
      </c>
      <c r="T93" t="s">
        <v>800</v>
      </c>
      <c r="U93" t="s">
        <v>850</v>
      </c>
      <c r="W93">
        <v>56</v>
      </c>
      <c r="X93">
        <v>56</v>
      </c>
      <c r="Y93" t="s">
        <v>802</v>
      </c>
      <c r="Z93" t="s">
        <v>812</v>
      </c>
      <c r="AA93" t="s">
        <v>1068</v>
      </c>
      <c r="AB93" t="s">
        <v>793</v>
      </c>
      <c r="AD93" t="s">
        <v>794</v>
      </c>
      <c r="AE93" t="s">
        <v>804</v>
      </c>
      <c r="AF93" t="s">
        <v>796</v>
      </c>
      <c r="AG93" t="s">
        <v>797</v>
      </c>
      <c r="AH93">
        <v>163000</v>
      </c>
      <c r="AI93">
        <v>172225.8</v>
      </c>
      <c r="AJ93">
        <v>0.5</v>
      </c>
    </row>
    <row r="94" spans="1:36" x14ac:dyDescent="0.3">
      <c r="A94">
        <f>COUNTIF($D$2:D94,D94)</f>
        <v>1</v>
      </c>
      <c r="B94" t="str">
        <f t="shared" si="5"/>
        <v>1Bexley</v>
      </c>
      <c r="C94" t="s">
        <v>1080</v>
      </c>
      <c r="D94" t="s">
        <v>75</v>
      </c>
      <c r="E94">
        <v>1</v>
      </c>
      <c r="F94" t="s">
        <v>1081</v>
      </c>
      <c r="G94" t="s">
        <v>811</v>
      </c>
      <c r="H94" t="s">
        <v>895</v>
      </c>
      <c r="I94" t="s">
        <v>813</v>
      </c>
      <c r="J94">
        <f t="shared" ca="1" si="6"/>
        <v>463000</v>
      </c>
      <c r="K94">
        <f t="shared" ca="1" si="7"/>
        <v>1660</v>
      </c>
      <c r="N94" t="str">
        <f t="shared" si="4"/>
        <v>Bedford33Community Equipment StoreAssistive Technologies and EquipmentCommunity based equipment</v>
      </c>
      <c r="O94" t="s">
        <v>73</v>
      </c>
      <c r="P94" t="s">
        <v>1056</v>
      </c>
      <c r="Q94">
        <v>33</v>
      </c>
      <c r="R94" t="s">
        <v>1041</v>
      </c>
      <c r="S94" t="s">
        <v>1082</v>
      </c>
      <c r="T94" t="s">
        <v>800</v>
      </c>
      <c r="U94" t="s">
        <v>903</v>
      </c>
      <c r="W94">
        <v>260</v>
      </c>
      <c r="X94">
        <v>260</v>
      </c>
      <c r="Y94" t="s">
        <v>802</v>
      </c>
      <c r="Z94" t="s">
        <v>792</v>
      </c>
      <c r="AB94" t="s">
        <v>793</v>
      </c>
      <c r="AD94" t="s">
        <v>794</v>
      </c>
      <c r="AE94" t="s">
        <v>804</v>
      </c>
      <c r="AF94" t="s">
        <v>796</v>
      </c>
      <c r="AG94" t="s">
        <v>797</v>
      </c>
      <c r="AH94">
        <v>80000</v>
      </c>
      <c r="AI94">
        <v>84528</v>
      </c>
      <c r="AJ94">
        <v>0.13</v>
      </c>
    </row>
    <row r="95" spans="1:36" x14ac:dyDescent="0.3">
      <c r="A95">
        <f>COUNTIF($D$2:D95,D95)</f>
        <v>2</v>
      </c>
      <c r="B95" t="str">
        <f t="shared" si="5"/>
        <v>2Bexley</v>
      </c>
      <c r="C95" t="s">
        <v>1083</v>
      </c>
      <c r="D95" t="s">
        <v>75</v>
      </c>
      <c r="E95">
        <v>8</v>
      </c>
      <c r="F95" t="s">
        <v>1084</v>
      </c>
      <c r="G95" t="s">
        <v>800</v>
      </c>
      <c r="H95" t="s">
        <v>903</v>
      </c>
      <c r="I95" t="s">
        <v>802</v>
      </c>
      <c r="J95">
        <f t="shared" ca="1" si="6"/>
        <v>283200</v>
      </c>
      <c r="K95">
        <f t="shared" ca="1" si="7"/>
        <v>2492</v>
      </c>
      <c r="N95" t="str">
        <f t="shared" si="4"/>
        <v>Bedford36Carers ServicesCarers ServicesRespite services</v>
      </c>
      <c r="O95" t="s">
        <v>73</v>
      </c>
      <c r="P95" t="s">
        <v>1056</v>
      </c>
      <c r="Q95">
        <v>36</v>
      </c>
      <c r="R95" t="s">
        <v>811</v>
      </c>
      <c r="S95" t="s">
        <v>1085</v>
      </c>
      <c r="T95" t="s">
        <v>811</v>
      </c>
      <c r="U95" t="s">
        <v>830</v>
      </c>
      <c r="W95">
        <v>120</v>
      </c>
      <c r="X95">
        <v>120</v>
      </c>
      <c r="Y95" t="s">
        <v>813</v>
      </c>
      <c r="Z95" t="s">
        <v>792</v>
      </c>
      <c r="AB95" t="s">
        <v>793</v>
      </c>
      <c r="AD95" t="s">
        <v>794</v>
      </c>
      <c r="AE95" t="s">
        <v>825</v>
      </c>
      <c r="AF95" t="s">
        <v>796</v>
      </c>
      <c r="AG95" t="s">
        <v>797</v>
      </c>
      <c r="AH95">
        <v>68000</v>
      </c>
      <c r="AI95">
        <v>71848.800000000003</v>
      </c>
      <c r="AJ95">
        <v>0.26</v>
      </c>
    </row>
    <row r="96" spans="1:36" x14ac:dyDescent="0.3">
      <c r="A96">
        <f>COUNTIF($D$2:D96,D96)</f>
        <v>3</v>
      </c>
      <c r="B96" t="str">
        <f t="shared" si="5"/>
        <v>3Bexley</v>
      </c>
      <c r="C96" t="s">
        <v>1086</v>
      </c>
      <c r="D96" t="s">
        <v>75</v>
      </c>
      <c r="E96">
        <v>9</v>
      </c>
      <c r="F96" t="s">
        <v>1084</v>
      </c>
      <c r="G96" t="s">
        <v>800</v>
      </c>
      <c r="H96" t="s">
        <v>903</v>
      </c>
      <c r="I96" t="s">
        <v>802</v>
      </c>
      <c r="J96">
        <f t="shared" ca="1" si="6"/>
        <v>651000</v>
      </c>
      <c r="K96">
        <f t="shared" ca="1" si="7"/>
        <v>2806</v>
      </c>
      <c r="N96" t="str">
        <f t="shared" si="4"/>
        <v>Bedford37Mental Health RespiteCarers ServicesRespite services</v>
      </c>
      <c r="O96" t="s">
        <v>73</v>
      </c>
      <c r="P96" t="s">
        <v>1056</v>
      </c>
      <c r="Q96">
        <v>37</v>
      </c>
      <c r="R96" t="s">
        <v>1046</v>
      </c>
      <c r="S96" t="s">
        <v>1087</v>
      </c>
      <c r="T96" t="s">
        <v>811</v>
      </c>
      <c r="U96" t="s">
        <v>830</v>
      </c>
      <c r="W96">
        <v>10</v>
      </c>
      <c r="X96">
        <v>10</v>
      </c>
      <c r="Y96" t="s">
        <v>813</v>
      </c>
      <c r="Z96" t="s">
        <v>1006</v>
      </c>
      <c r="AB96" t="s">
        <v>793</v>
      </c>
      <c r="AD96" t="s">
        <v>794</v>
      </c>
      <c r="AE96" t="s">
        <v>804</v>
      </c>
      <c r="AF96" t="s">
        <v>796</v>
      </c>
      <c r="AG96" t="s">
        <v>797</v>
      </c>
      <c r="AH96">
        <v>35000</v>
      </c>
      <c r="AI96">
        <v>36981</v>
      </c>
      <c r="AJ96">
        <v>0.12</v>
      </c>
    </row>
    <row r="97" spans="1:36" x14ac:dyDescent="0.3">
      <c r="A97">
        <f>COUNTIF($D$2:D97,D97)</f>
        <v>4</v>
      </c>
      <c r="B97" t="str">
        <f t="shared" si="5"/>
        <v>4Bexley</v>
      </c>
      <c r="C97" t="s">
        <v>1088</v>
      </c>
      <c r="D97" t="s">
        <v>75</v>
      </c>
      <c r="E97">
        <v>10</v>
      </c>
      <c r="F97" t="s">
        <v>1051</v>
      </c>
      <c r="G97" t="s">
        <v>800</v>
      </c>
      <c r="H97" t="s">
        <v>850</v>
      </c>
      <c r="I97" t="s">
        <v>802</v>
      </c>
      <c r="J97">
        <f t="shared" ca="1" si="6"/>
        <v>163000</v>
      </c>
      <c r="K97">
        <f t="shared" ca="1" si="7"/>
        <v>500</v>
      </c>
      <c r="N97" t="str">
        <f t="shared" si="4"/>
        <v>Bedford45Carers Support (CiB)Carers ServicesCarer advice and support related to Care Act duties</v>
      </c>
      <c r="O97" t="s">
        <v>73</v>
      </c>
      <c r="P97" t="s">
        <v>1056</v>
      </c>
      <c r="Q97">
        <v>45</v>
      </c>
      <c r="R97" t="s">
        <v>1049</v>
      </c>
      <c r="S97" t="s">
        <v>1089</v>
      </c>
      <c r="T97" t="s">
        <v>811</v>
      </c>
      <c r="U97" t="s">
        <v>895</v>
      </c>
      <c r="W97">
        <v>200</v>
      </c>
      <c r="X97">
        <v>200</v>
      </c>
      <c r="Y97" t="s">
        <v>813</v>
      </c>
      <c r="Z97" t="s">
        <v>823</v>
      </c>
      <c r="AB97" t="s">
        <v>1090</v>
      </c>
      <c r="AD97" t="s">
        <v>794</v>
      </c>
      <c r="AE97" t="s">
        <v>825</v>
      </c>
      <c r="AF97" t="s">
        <v>796</v>
      </c>
      <c r="AG97" t="s">
        <v>797</v>
      </c>
      <c r="AH97">
        <v>201073.38604917415</v>
      </c>
      <c r="AI97">
        <v>212454.13969955745</v>
      </c>
      <c r="AJ97">
        <v>1</v>
      </c>
    </row>
    <row r="98" spans="1:36" x14ac:dyDescent="0.3">
      <c r="A98">
        <f>COUNTIF($D$2:D98,D98)</f>
        <v>5</v>
      </c>
      <c r="B98" t="str">
        <f t="shared" si="5"/>
        <v>5Bexley</v>
      </c>
      <c r="C98" t="s">
        <v>1091</v>
      </c>
      <c r="D98" t="s">
        <v>75</v>
      </c>
      <c r="E98">
        <v>12</v>
      </c>
      <c r="F98" t="s">
        <v>1034</v>
      </c>
      <c r="G98" t="s">
        <v>800</v>
      </c>
      <c r="H98" t="s">
        <v>903</v>
      </c>
      <c r="I98" t="s">
        <v>802</v>
      </c>
      <c r="J98">
        <f t="shared" ca="1" si="6"/>
        <v>199520</v>
      </c>
      <c r="K98">
        <f t="shared" ca="1" si="7"/>
        <v>444</v>
      </c>
      <c r="N98" t="str">
        <f t="shared" si="4"/>
        <v>Bedford46Community EquipmentAssistive Technologies and EquipmentCommunity based equipment</v>
      </c>
      <c r="O98" t="s">
        <v>73</v>
      </c>
      <c r="P98" t="s">
        <v>1056</v>
      </c>
      <c r="Q98">
        <v>46</v>
      </c>
      <c r="R98" t="s">
        <v>1051</v>
      </c>
      <c r="S98" t="s">
        <v>1092</v>
      </c>
      <c r="T98" t="s">
        <v>800</v>
      </c>
      <c r="U98" t="s">
        <v>903</v>
      </c>
      <c r="W98">
        <v>500</v>
      </c>
      <c r="X98">
        <v>500</v>
      </c>
      <c r="Y98" t="s">
        <v>802</v>
      </c>
      <c r="Z98" t="s">
        <v>823</v>
      </c>
      <c r="AB98" t="s">
        <v>1090</v>
      </c>
      <c r="AD98" t="s">
        <v>794</v>
      </c>
      <c r="AE98" t="s">
        <v>804</v>
      </c>
      <c r="AF98" t="s">
        <v>796</v>
      </c>
      <c r="AG98" t="s">
        <v>861</v>
      </c>
      <c r="AH98">
        <v>821464.10372659564</v>
      </c>
      <c r="AI98">
        <v>867958.971997521</v>
      </c>
      <c r="AJ98">
        <v>0.66</v>
      </c>
    </row>
    <row r="99" spans="1:36" x14ac:dyDescent="0.3">
      <c r="A99">
        <f>COUNTIF($D$2:D99,D99)</f>
        <v>6</v>
      </c>
      <c r="B99" t="str">
        <f t="shared" si="5"/>
        <v>6Bexley</v>
      </c>
      <c r="C99" t="s">
        <v>1093</v>
      </c>
      <c r="D99" t="s">
        <v>75</v>
      </c>
      <c r="E99">
        <v>13</v>
      </c>
      <c r="F99" t="s">
        <v>1094</v>
      </c>
      <c r="G99" t="s">
        <v>800</v>
      </c>
      <c r="H99" t="s">
        <v>903</v>
      </c>
      <c r="I99" t="s">
        <v>802</v>
      </c>
      <c r="J99">
        <f t="shared" ca="1" si="6"/>
        <v>671880</v>
      </c>
      <c r="K99">
        <f t="shared" ca="1" si="7"/>
        <v>448</v>
      </c>
      <c r="N99" t="str">
        <f t="shared" si="4"/>
        <v>Bedford53Telecare - In Care HomesAssistive Technologies and EquipmentAssistive technologies including telecare</v>
      </c>
      <c r="O99" t="s">
        <v>73</v>
      </c>
      <c r="P99" t="s">
        <v>1056</v>
      </c>
      <c r="Q99">
        <v>53</v>
      </c>
      <c r="R99" t="s">
        <v>1053</v>
      </c>
      <c r="S99" t="s">
        <v>1095</v>
      </c>
      <c r="T99" t="s">
        <v>800</v>
      </c>
      <c r="U99" t="s">
        <v>850</v>
      </c>
      <c r="W99">
        <v>41</v>
      </c>
      <c r="X99">
        <v>41</v>
      </c>
      <c r="Y99" t="s">
        <v>802</v>
      </c>
      <c r="Z99" t="s">
        <v>812</v>
      </c>
      <c r="AA99" t="s">
        <v>1096</v>
      </c>
      <c r="AB99" t="s">
        <v>793</v>
      </c>
      <c r="AD99" t="s">
        <v>794</v>
      </c>
      <c r="AE99" t="s">
        <v>804</v>
      </c>
      <c r="AF99" t="s">
        <v>845</v>
      </c>
      <c r="AG99" t="s">
        <v>797</v>
      </c>
      <c r="AH99">
        <v>56000</v>
      </c>
      <c r="AI99">
        <v>59169.599999999999</v>
      </c>
      <c r="AJ99">
        <v>0.2</v>
      </c>
    </row>
    <row r="100" spans="1:36" x14ac:dyDescent="0.3">
      <c r="A100">
        <f>COUNTIF($D$2:D100,D100)</f>
        <v>7</v>
      </c>
      <c r="B100" t="str">
        <f t="shared" si="5"/>
        <v>7Bexley</v>
      </c>
      <c r="C100" t="s">
        <v>1097</v>
      </c>
      <c r="D100" t="s">
        <v>75</v>
      </c>
      <c r="E100">
        <v>14</v>
      </c>
      <c r="F100" t="s">
        <v>1098</v>
      </c>
      <c r="G100" t="s">
        <v>834</v>
      </c>
      <c r="H100" t="s">
        <v>835</v>
      </c>
      <c r="I100" t="s">
        <v>836</v>
      </c>
      <c r="J100">
        <f t="shared" ca="1" si="6"/>
        <v>2964977</v>
      </c>
      <c r="K100">
        <f t="shared" ca="1" si="7"/>
        <v>246</v>
      </c>
      <c r="N100" t="str">
        <f t="shared" si="4"/>
        <v>Bedford54Telecare - In CommunityAssistive Technologies and EquipmentAssistive technologies including telecare</v>
      </c>
      <c r="O100" t="s">
        <v>73</v>
      </c>
      <c r="P100" t="s">
        <v>1056</v>
      </c>
      <c r="Q100">
        <v>54</v>
      </c>
      <c r="R100" t="s">
        <v>1055</v>
      </c>
      <c r="S100" t="s">
        <v>1099</v>
      </c>
      <c r="T100" t="s">
        <v>800</v>
      </c>
      <c r="U100" t="s">
        <v>850</v>
      </c>
      <c r="W100">
        <v>50</v>
      </c>
      <c r="X100">
        <v>50</v>
      </c>
      <c r="Y100" t="s">
        <v>802</v>
      </c>
      <c r="Z100" t="s">
        <v>792</v>
      </c>
      <c r="AB100" t="s">
        <v>793</v>
      </c>
      <c r="AD100" t="s">
        <v>794</v>
      </c>
      <c r="AE100" t="s">
        <v>804</v>
      </c>
      <c r="AF100" t="s">
        <v>845</v>
      </c>
      <c r="AG100" t="s">
        <v>797</v>
      </c>
      <c r="AH100">
        <v>100000</v>
      </c>
      <c r="AI100">
        <v>105660</v>
      </c>
      <c r="AJ100">
        <v>0.42</v>
      </c>
    </row>
    <row r="101" spans="1:36" x14ac:dyDescent="0.3">
      <c r="A101">
        <f>COUNTIF($D$2:D101,D101)</f>
        <v>8</v>
      </c>
      <c r="B101" t="str">
        <f t="shared" si="5"/>
        <v>8Bexley</v>
      </c>
      <c r="C101" t="s">
        <v>1100</v>
      </c>
      <c r="D101" t="s">
        <v>75</v>
      </c>
      <c r="E101">
        <v>20</v>
      </c>
      <c r="F101" t="s">
        <v>1101</v>
      </c>
      <c r="G101" t="s">
        <v>842</v>
      </c>
      <c r="H101" t="s">
        <v>1102</v>
      </c>
      <c r="I101" t="s">
        <v>789</v>
      </c>
      <c r="J101">
        <f t="shared" ca="1" si="6"/>
        <v>207691</v>
      </c>
      <c r="K101">
        <f t="shared" ca="1" si="7"/>
        <v>74</v>
      </c>
      <c r="N101" t="str">
        <f t="shared" si="4"/>
        <v>Bedford60Benefits Advice &amp; Welfare Rights ServiceCarers ServicesOther</v>
      </c>
      <c r="O101" t="s">
        <v>73</v>
      </c>
      <c r="P101" t="s">
        <v>1056</v>
      </c>
      <c r="Q101">
        <v>60</v>
      </c>
      <c r="R101" t="s">
        <v>1059</v>
      </c>
      <c r="S101" t="s">
        <v>1103</v>
      </c>
      <c r="T101" t="s">
        <v>811</v>
      </c>
      <c r="U101" t="s">
        <v>812</v>
      </c>
      <c r="V101" t="s">
        <v>1104</v>
      </c>
      <c r="W101">
        <v>150</v>
      </c>
      <c r="X101">
        <v>150</v>
      </c>
      <c r="Y101" t="s">
        <v>813</v>
      </c>
      <c r="Z101" t="s">
        <v>1061</v>
      </c>
      <c r="AB101" t="s">
        <v>793</v>
      </c>
      <c r="AD101" t="s">
        <v>794</v>
      </c>
      <c r="AE101" t="s">
        <v>825</v>
      </c>
      <c r="AF101" t="s">
        <v>845</v>
      </c>
      <c r="AG101" t="s">
        <v>797</v>
      </c>
      <c r="AH101">
        <v>41205</v>
      </c>
      <c r="AI101">
        <v>43537.203000000001</v>
      </c>
      <c r="AJ101">
        <v>1</v>
      </c>
    </row>
    <row r="102" spans="1:36" x14ac:dyDescent="0.3">
      <c r="A102">
        <f>COUNTIF($D$2:D102,D102)</f>
        <v>9</v>
      </c>
      <c r="B102" t="str">
        <f t="shared" si="5"/>
        <v>9Bexley</v>
      </c>
      <c r="C102" t="s">
        <v>1105</v>
      </c>
      <c r="D102" t="s">
        <v>75</v>
      </c>
      <c r="E102">
        <v>21</v>
      </c>
      <c r="F102" t="s">
        <v>1101</v>
      </c>
      <c r="G102" t="s">
        <v>787</v>
      </c>
      <c r="H102" t="s">
        <v>788</v>
      </c>
      <c r="I102" t="s">
        <v>789</v>
      </c>
      <c r="J102">
        <f t="shared" ca="1" si="6"/>
        <v>144148</v>
      </c>
      <c r="K102">
        <f t="shared" ca="1" si="7"/>
        <v>82</v>
      </c>
      <c r="N102" t="str">
        <f t="shared" si="4"/>
        <v>Bedford66Destiny Step Down BedsBed based intermediate Care Services (Reablement, rehabilitation, wider short-term services supporting recovery)Bed-based intermediate care with rehabilitation (to support discharge)</v>
      </c>
      <c r="O102" t="s">
        <v>73</v>
      </c>
      <c r="P102" t="s">
        <v>1056</v>
      </c>
      <c r="Q102">
        <v>66</v>
      </c>
      <c r="R102" t="s">
        <v>1063</v>
      </c>
      <c r="S102" t="s">
        <v>1106</v>
      </c>
      <c r="T102" t="s">
        <v>877</v>
      </c>
      <c r="U102" t="s">
        <v>968</v>
      </c>
      <c r="W102">
        <v>24</v>
      </c>
      <c r="X102">
        <v>24</v>
      </c>
      <c r="Y102" t="s">
        <v>879</v>
      </c>
      <c r="Z102" t="s">
        <v>1006</v>
      </c>
      <c r="AB102" t="s">
        <v>824</v>
      </c>
      <c r="AD102" t="s">
        <v>794</v>
      </c>
      <c r="AE102" t="s">
        <v>1107</v>
      </c>
      <c r="AF102" t="s">
        <v>860</v>
      </c>
      <c r="AG102" t="s">
        <v>797</v>
      </c>
      <c r="AH102">
        <v>43938</v>
      </c>
      <c r="AI102">
        <v>75382</v>
      </c>
      <c r="AJ102">
        <v>0.5</v>
      </c>
    </row>
    <row r="103" spans="1:36" x14ac:dyDescent="0.3">
      <c r="A103">
        <f>COUNTIF($D$2:D103,D103)</f>
        <v>10</v>
      </c>
      <c r="B103" t="str">
        <f t="shared" si="5"/>
        <v>10Bexley</v>
      </c>
      <c r="C103" t="s">
        <v>1108</v>
      </c>
      <c r="D103" t="s">
        <v>75</v>
      </c>
      <c r="E103">
        <v>26</v>
      </c>
      <c r="F103" t="s">
        <v>1109</v>
      </c>
      <c r="G103" t="s">
        <v>842</v>
      </c>
      <c r="H103" t="s">
        <v>1102</v>
      </c>
      <c r="I103" t="s">
        <v>789</v>
      </c>
      <c r="J103">
        <f t="shared" ca="1" si="6"/>
        <v>215847</v>
      </c>
      <c r="K103">
        <f t="shared" ca="1" si="7"/>
        <v>76</v>
      </c>
      <c r="N103" t="str">
        <f t="shared" si="4"/>
        <v>Bedford70Enhanced Reablement bedsBed based intermediate Care Services (Reablement, rehabilitation, wider short-term services supporting recovery)Bed-based intermediate care with rehabilitation (to support discharge)</v>
      </c>
      <c r="O103" t="s">
        <v>73</v>
      </c>
      <c r="P103" t="s">
        <v>1056</v>
      </c>
      <c r="Q103">
        <v>70</v>
      </c>
      <c r="R103" t="s">
        <v>1066</v>
      </c>
      <c r="S103" t="s">
        <v>1106</v>
      </c>
      <c r="T103" t="s">
        <v>877</v>
      </c>
      <c r="U103" t="s">
        <v>968</v>
      </c>
      <c r="W103">
        <v>7</v>
      </c>
      <c r="X103">
        <v>7</v>
      </c>
      <c r="Y103" t="s">
        <v>879</v>
      </c>
      <c r="Z103" t="s">
        <v>792</v>
      </c>
      <c r="AB103" t="s">
        <v>793</v>
      </c>
      <c r="AD103" t="s">
        <v>794</v>
      </c>
      <c r="AE103" t="s">
        <v>795</v>
      </c>
      <c r="AF103" t="s">
        <v>864</v>
      </c>
      <c r="AG103" t="s">
        <v>797</v>
      </c>
      <c r="AH103">
        <v>58990</v>
      </c>
      <c r="AI103">
        <v>48195.549678000003</v>
      </c>
      <c r="AJ103">
        <v>0.1</v>
      </c>
    </row>
    <row r="104" spans="1:36" x14ac:dyDescent="0.3">
      <c r="A104">
        <f>COUNTIF($D$2:D104,D104)</f>
        <v>11</v>
      </c>
      <c r="B104" t="str">
        <f t="shared" si="5"/>
        <v>11Bexley</v>
      </c>
      <c r="C104" t="s">
        <v>1110</v>
      </c>
      <c r="D104" t="s">
        <v>75</v>
      </c>
      <c r="E104">
        <v>27</v>
      </c>
      <c r="F104" t="s">
        <v>1109</v>
      </c>
      <c r="G104" t="s">
        <v>787</v>
      </c>
      <c r="H104" t="s">
        <v>788</v>
      </c>
      <c r="I104" t="s">
        <v>789</v>
      </c>
      <c r="J104">
        <f t="shared" ca="1" si="6"/>
        <v>149809</v>
      </c>
      <c r="K104">
        <f t="shared" ca="1" si="7"/>
        <v>86</v>
      </c>
      <c r="N104" t="str">
        <f t="shared" si="4"/>
        <v>Bedford71Increase bedded care capacityResidential PlacementsCare home</v>
      </c>
      <c r="O104" t="s">
        <v>73</v>
      </c>
      <c r="P104" t="s">
        <v>1056</v>
      </c>
      <c r="Q104">
        <v>71</v>
      </c>
      <c r="R104" t="s">
        <v>1070</v>
      </c>
      <c r="S104" t="s">
        <v>806</v>
      </c>
      <c r="T104" t="s">
        <v>806</v>
      </c>
      <c r="U104" t="s">
        <v>807</v>
      </c>
      <c r="W104">
        <v>6</v>
      </c>
      <c r="X104">
        <v>6</v>
      </c>
      <c r="Y104" t="s">
        <v>808</v>
      </c>
      <c r="Z104" t="s">
        <v>792</v>
      </c>
      <c r="AB104" t="s">
        <v>793</v>
      </c>
      <c r="AD104" t="s">
        <v>794</v>
      </c>
      <c r="AE104" t="s">
        <v>795</v>
      </c>
      <c r="AF104" t="s">
        <v>864</v>
      </c>
      <c r="AG104" t="s">
        <v>797</v>
      </c>
      <c r="AH104">
        <v>50500</v>
      </c>
      <c r="AI104">
        <v>41259.116099999999</v>
      </c>
      <c r="AJ104">
        <v>0.1</v>
      </c>
    </row>
    <row r="105" spans="1:36" x14ac:dyDescent="0.3">
      <c r="A105">
        <f>COUNTIF($D$2:D105,D105)</f>
        <v>12</v>
      </c>
      <c r="B105" t="str">
        <f t="shared" si="5"/>
        <v>12Bexley</v>
      </c>
      <c r="C105" t="s">
        <v>1111</v>
      </c>
      <c r="D105" t="s">
        <v>75</v>
      </c>
      <c r="E105">
        <v>36</v>
      </c>
      <c r="F105" t="s">
        <v>1112</v>
      </c>
      <c r="G105" t="s">
        <v>842</v>
      </c>
      <c r="H105" t="s">
        <v>843</v>
      </c>
      <c r="I105" t="s">
        <v>844</v>
      </c>
      <c r="J105">
        <f t="shared" ca="1" si="6"/>
        <v>50000</v>
      </c>
      <c r="K105">
        <f t="shared" ca="1" si="7"/>
        <v>2450</v>
      </c>
      <c r="N105" t="str">
        <f t="shared" si="4"/>
        <v xml:space="preserve">Bedford74Reablement StaffHome-based intermediate care servicesReablement at home (to support discharge) </v>
      </c>
      <c r="O105" t="s">
        <v>73</v>
      </c>
      <c r="P105" t="s">
        <v>1056</v>
      </c>
      <c r="Q105">
        <v>74</v>
      </c>
      <c r="R105" t="s">
        <v>1072</v>
      </c>
      <c r="S105" t="s">
        <v>1113</v>
      </c>
      <c r="T105" t="s">
        <v>787</v>
      </c>
      <c r="U105" t="s">
        <v>788</v>
      </c>
      <c r="W105">
        <v>12</v>
      </c>
      <c r="X105">
        <v>12</v>
      </c>
      <c r="Y105" t="s">
        <v>789</v>
      </c>
      <c r="Z105" t="s">
        <v>792</v>
      </c>
      <c r="AB105" t="s">
        <v>793</v>
      </c>
      <c r="AD105" t="s">
        <v>794</v>
      </c>
      <c r="AE105" t="s">
        <v>795</v>
      </c>
      <c r="AF105" t="s">
        <v>864</v>
      </c>
      <c r="AG105" t="s">
        <v>797</v>
      </c>
      <c r="AH105">
        <v>70000</v>
      </c>
      <c r="AI105">
        <v>57190.853999999999</v>
      </c>
      <c r="AJ105">
        <v>0.01</v>
      </c>
    </row>
    <row r="106" spans="1:36" x14ac:dyDescent="0.3">
      <c r="A106">
        <f>COUNTIF($D$2:D106,D106)</f>
        <v>13</v>
      </c>
      <c r="B106" t="str">
        <f t="shared" si="5"/>
        <v>13Bexley</v>
      </c>
      <c r="C106" t="s">
        <v>1114</v>
      </c>
      <c r="D106" t="s">
        <v>75</v>
      </c>
      <c r="E106">
        <v>38</v>
      </c>
      <c r="F106" t="s">
        <v>1115</v>
      </c>
      <c r="G106" t="s">
        <v>842</v>
      </c>
      <c r="H106" t="s">
        <v>843</v>
      </c>
      <c r="I106" t="s">
        <v>844</v>
      </c>
      <c r="J106">
        <f t="shared" ca="1" si="6"/>
        <v>928000</v>
      </c>
      <c r="K106">
        <f t="shared" ca="1" si="7"/>
        <v>44551</v>
      </c>
      <c r="N106" t="str">
        <f t="shared" si="4"/>
        <v>Bedford77Step Down BedsBed based intermediate Care Services (Reablement, rehabilitation, wider short-term services supporting recovery)Bed-based intermediate care with rehabilitation (to support discharge)</v>
      </c>
      <c r="O106" t="s">
        <v>73</v>
      </c>
      <c r="P106" t="s">
        <v>1056</v>
      </c>
      <c r="Q106">
        <v>77</v>
      </c>
      <c r="R106" t="s">
        <v>1075</v>
      </c>
      <c r="S106" t="s">
        <v>1106</v>
      </c>
      <c r="T106" t="s">
        <v>877</v>
      </c>
      <c r="U106" t="s">
        <v>968</v>
      </c>
      <c r="W106">
        <v>24</v>
      </c>
      <c r="X106">
        <v>24</v>
      </c>
      <c r="Y106" t="s">
        <v>879</v>
      </c>
      <c r="Z106" t="s">
        <v>823</v>
      </c>
      <c r="AB106" t="s">
        <v>824</v>
      </c>
      <c r="AD106" t="s">
        <v>794</v>
      </c>
      <c r="AE106" t="s">
        <v>832</v>
      </c>
      <c r="AF106" t="s">
        <v>860</v>
      </c>
      <c r="AG106" t="s">
        <v>797</v>
      </c>
      <c r="AH106">
        <v>365116</v>
      </c>
      <c r="AI106">
        <v>459751</v>
      </c>
      <c r="AJ106">
        <v>0.25</v>
      </c>
    </row>
    <row r="107" spans="1:36" x14ac:dyDescent="0.3">
      <c r="A107">
        <f>COUNTIF($D$2:D107,D107)</f>
        <v>14</v>
      </c>
      <c r="B107" t="str">
        <f t="shared" si="5"/>
        <v>14Bexley</v>
      </c>
      <c r="C107" t="s">
        <v>1116</v>
      </c>
      <c r="D107" t="s">
        <v>75</v>
      </c>
      <c r="E107">
        <v>40</v>
      </c>
      <c r="F107" t="s">
        <v>1117</v>
      </c>
      <c r="G107" t="s">
        <v>787</v>
      </c>
      <c r="H107" t="s">
        <v>886</v>
      </c>
      <c r="I107" t="s">
        <v>789</v>
      </c>
      <c r="J107">
        <f t="shared" ca="1" si="6"/>
        <v>304000</v>
      </c>
      <c r="K107">
        <f t="shared" ca="1" si="7"/>
        <v>174</v>
      </c>
      <c r="N107" t="str">
        <f t="shared" si="4"/>
        <v>Bedford80Transfer of Care Co-ordinationBed based intermediate Care Services (Reablement, rehabilitation, wider short-term services supporting recovery)Bed-based intermediate care with rehabilitation (to support discharge)</v>
      </c>
      <c r="O107" t="s">
        <v>73</v>
      </c>
      <c r="P107" t="s">
        <v>1056</v>
      </c>
      <c r="Q107">
        <v>80</v>
      </c>
      <c r="R107" t="s">
        <v>1078</v>
      </c>
      <c r="S107" t="s">
        <v>1106</v>
      </c>
      <c r="T107" t="s">
        <v>877</v>
      </c>
      <c r="U107" t="s">
        <v>968</v>
      </c>
      <c r="W107">
        <v>14</v>
      </c>
      <c r="X107">
        <v>14</v>
      </c>
      <c r="Y107" t="s">
        <v>879</v>
      </c>
      <c r="Z107" t="s">
        <v>1118</v>
      </c>
      <c r="AB107" t="s">
        <v>824</v>
      </c>
      <c r="AD107" t="s">
        <v>794</v>
      </c>
      <c r="AE107" t="s">
        <v>1119</v>
      </c>
      <c r="AF107" t="s">
        <v>860</v>
      </c>
      <c r="AG107" t="s">
        <v>797</v>
      </c>
      <c r="AH107">
        <v>81229</v>
      </c>
      <c r="AI107">
        <v>0</v>
      </c>
      <c r="AJ107">
        <v>0.1</v>
      </c>
    </row>
    <row r="108" spans="1:36" x14ac:dyDescent="0.3">
      <c r="A108">
        <f>COUNTIF($D$2:D108,D108)</f>
        <v>15</v>
      </c>
      <c r="B108" t="str">
        <f t="shared" si="5"/>
        <v>15Bexley</v>
      </c>
      <c r="C108" t="s">
        <v>1120</v>
      </c>
      <c r="D108" t="s">
        <v>75</v>
      </c>
      <c r="E108">
        <v>42</v>
      </c>
      <c r="F108" t="s">
        <v>1121</v>
      </c>
      <c r="G108" t="s">
        <v>787</v>
      </c>
      <c r="H108" t="s">
        <v>899</v>
      </c>
      <c r="I108" t="s">
        <v>789</v>
      </c>
      <c r="J108">
        <f t="shared" ca="1" si="6"/>
        <v>716000</v>
      </c>
      <c r="K108">
        <f t="shared" ca="1" si="7"/>
        <v>205</v>
      </c>
      <c r="N108" t="str">
        <f t="shared" si="4"/>
        <v>Bexley1Care Act - CarersCarers ServicesCarer advice and support related to Care Act duties</v>
      </c>
      <c r="O108" t="s">
        <v>75</v>
      </c>
      <c r="P108" t="s">
        <v>790</v>
      </c>
      <c r="Q108">
        <v>1</v>
      </c>
      <c r="R108" t="s">
        <v>1081</v>
      </c>
      <c r="S108" t="s">
        <v>1122</v>
      </c>
      <c r="T108" t="s">
        <v>811</v>
      </c>
      <c r="U108" t="s">
        <v>895</v>
      </c>
      <c r="W108">
        <v>1660</v>
      </c>
      <c r="X108">
        <v>1660</v>
      </c>
      <c r="Y108" t="s">
        <v>813</v>
      </c>
      <c r="Z108" t="s">
        <v>792</v>
      </c>
      <c r="AB108" t="s">
        <v>793</v>
      </c>
      <c r="AD108" t="s">
        <v>794</v>
      </c>
      <c r="AE108" t="s">
        <v>825</v>
      </c>
      <c r="AF108" t="s">
        <v>796</v>
      </c>
      <c r="AG108" t="s">
        <v>797</v>
      </c>
      <c r="AH108">
        <v>463000</v>
      </c>
      <c r="AI108">
        <v>463000</v>
      </c>
      <c r="AJ108">
        <v>1</v>
      </c>
    </row>
    <row r="109" spans="1:36" x14ac:dyDescent="0.3">
      <c r="A109">
        <f>COUNTIF($D$2:D109,D109)</f>
        <v>16</v>
      </c>
      <c r="B109" t="str">
        <f t="shared" si="5"/>
        <v>16Bexley</v>
      </c>
      <c r="C109" t="s">
        <v>1123</v>
      </c>
      <c r="D109" t="s">
        <v>75</v>
      </c>
      <c r="E109">
        <v>43</v>
      </c>
      <c r="F109" t="s">
        <v>1124</v>
      </c>
      <c r="G109" t="s">
        <v>787</v>
      </c>
      <c r="H109" t="s">
        <v>788</v>
      </c>
      <c r="I109" t="s">
        <v>789</v>
      </c>
      <c r="J109">
        <f t="shared" ca="1" si="6"/>
        <v>121000</v>
      </c>
      <c r="K109">
        <f t="shared" ca="1" si="7"/>
        <v>69</v>
      </c>
      <c r="N109" t="str">
        <f t="shared" si="4"/>
        <v>Bexley8Integrated Community Equipment ServiceAssistive Technologies and EquipmentCommunity based equipment</v>
      </c>
      <c r="O109" t="s">
        <v>75</v>
      </c>
      <c r="P109" t="s">
        <v>790</v>
      </c>
      <c r="Q109">
        <v>8</v>
      </c>
      <c r="R109" t="s">
        <v>1084</v>
      </c>
      <c r="S109" t="s">
        <v>1125</v>
      </c>
      <c r="T109" t="s">
        <v>800</v>
      </c>
      <c r="U109" t="s">
        <v>903</v>
      </c>
      <c r="W109">
        <v>2492</v>
      </c>
      <c r="X109">
        <v>2492</v>
      </c>
      <c r="Y109" t="s">
        <v>802</v>
      </c>
      <c r="Z109" t="s">
        <v>823</v>
      </c>
      <c r="AB109" t="s">
        <v>824</v>
      </c>
      <c r="AD109" t="s">
        <v>794</v>
      </c>
      <c r="AE109" t="s">
        <v>825</v>
      </c>
      <c r="AF109" t="s">
        <v>796</v>
      </c>
      <c r="AG109" t="s">
        <v>797</v>
      </c>
      <c r="AH109">
        <v>283200</v>
      </c>
      <c r="AI109">
        <v>283200</v>
      </c>
      <c r="AJ109">
        <v>0.13747536244418146</v>
      </c>
    </row>
    <row r="110" spans="1:36" x14ac:dyDescent="0.3">
      <c r="A110">
        <f>COUNTIF($D$2:D110,D110)</f>
        <v>17</v>
      </c>
      <c r="B110" t="str">
        <f t="shared" si="5"/>
        <v>17Bexley</v>
      </c>
      <c r="C110" t="s">
        <v>1126</v>
      </c>
      <c r="D110" t="s">
        <v>75</v>
      </c>
      <c r="E110">
        <v>45</v>
      </c>
      <c r="F110" t="s">
        <v>1127</v>
      </c>
      <c r="G110" t="s">
        <v>842</v>
      </c>
      <c r="H110" t="s">
        <v>843</v>
      </c>
      <c r="I110" t="s">
        <v>844</v>
      </c>
      <c r="J110">
        <f t="shared" ca="1" si="6"/>
        <v>2865000</v>
      </c>
      <c r="K110">
        <f t="shared" ca="1" si="7"/>
        <v>140441</v>
      </c>
      <c r="N110" t="str">
        <f t="shared" si="4"/>
        <v>Bexley9Integrated Community Equipment ServiceAssistive Technologies and EquipmentCommunity based equipment</v>
      </c>
      <c r="O110" t="s">
        <v>75</v>
      </c>
      <c r="P110" t="s">
        <v>790</v>
      </c>
      <c r="Q110">
        <v>9</v>
      </c>
      <c r="R110" t="s">
        <v>1084</v>
      </c>
      <c r="S110" t="s">
        <v>1128</v>
      </c>
      <c r="T110" t="s">
        <v>800</v>
      </c>
      <c r="U110" t="s">
        <v>903</v>
      </c>
      <c r="W110">
        <v>2806</v>
      </c>
      <c r="X110">
        <v>2806</v>
      </c>
      <c r="Y110" t="s">
        <v>802</v>
      </c>
      <c r="Z110" t="s">
        <v>792</v>
      </c>
      <c r="AB110" t="s">
        <v>793</v>
      </c>
      <c r="AD110" t="s">
        <v>794</v>
      </c>
      <c r="AE110" t="s">
        <v>825</v>
      </c>
      <c r="AF110" t="s">
        <v>1029</v>
      </c>
      <c r="AG110" t="s">
        <v>797</v>
      </c>
      <c r="AH110">
        <v>651000</v>
      </c>
      <c r="AI110">
        <v>651000</v>
      </c>
      <c r="AJ110">
        <v>0.31601857680495105</v>
      </c>
    </row>
    <row r="111" spans="1:36" x14ac:dyDescent="0.3">
      <c r="A111">
        <f>COUNTIF($D$2:D111,D111)</f>
        <v>18</v>
      </c>
      <c r="B111" t="str">
        <f t="shared" si="5"/>
        <v>18Bexley</v>
      </c>
      <c r="C111" t="s">
        <v>1129</v>
      </c>
      <c r="D111" t="s">
        <v>75</v>
      </c>
      <c r="E111">
        <v>46</v>
      </c>
      <c r="F111" t="s">
        <v>1130</v>
      </c>
      <c r="G111" t="s">
        <v>842</v>
      </c>
      <c r="H111" t="s">
        <v>843</v>
      </c>
      <c r="I111" t="s">
        <v>844</v>
      </c>
      <c r="J111">
        <f t="shared" ca="1" si="6"/>
        <v>304516</v>
      </c>
      <c r="K111">
        <f t="shared" ca="1" si="7"/>
        <v>14927</v>
      </c>
      <c r="N111" t="str">
        <f t="shared" si="4"/>
        <v>Bexley10Community EquipmentAssistive Technologies and EquipmentAssistive technologies including telecare</v>
      </c>
      <c r="O111" t="s">
        <v>75</v>
      </c>
      <c r="P111" t="s">
        <v>790</v>
      </c>
      <c r="Q111">
        <v>10</v>
      </c>
      <c r="R111" t="s">
        <v>1051</v>
      </c>
      <c r="S111" t="s">
        <v>1131</v>
      </c>
      <c r="T111" t="s">
        <v>800</v>
      </c>
      <c r="U111" t="s">
        <v>850</v>
      </c>
      <c r="W111">
        <v>500</v>
      </c>
      <c r="X111">
        <v>500</v>
      </c>
      <c r="Y111" t="s">
        <v>802</v>
      </c>
      <c r="Z111" t="s">
        <v>792</v>
      </c>
      <c r="AB111" t="s">
        <v>793</v>
      </c>
      <c r="AD111" t="s">
        <v>794</v>
      </c>
      <c r="AE111" t="s">
        <v>804</v>
      </c>
      <c r="AF111" t="s">
        <v>796</v>
      </c>
      <c r="AG111" t="s">
        <v>797</v>
      </c>
      <c r="AH111">
        <v>163000</v>
      </c>
      <c r="AI111">
        <v>163000</v>
      </c>
      <c r="AJ111">
        <v>7.9126003101700482E-2</v>
      </c>
    </row>
    <row r="112" spans="1:36" x14ac:dyDescent="0.3">
      <c r="A112">
        <f>COUNTIF($D$2:D112,D112)</f>
        <v>19</v>
      </c>
      <c r="B112" t="str">
        <f t="shared" si="5"/>
        <v>19Bexley</v>
      </c>
      <c r="C112" t="s">
        <v>1132</v>
      </c>
      <c r="D112" t="s">
        <v>75</v>
      </c>
      <c r="E112">
        <v>47</v>
      </c>
      <c r="F112" t="s">
        <v>1133</v>
      </c>
      <c r="G112" t="s">
        <v>842</v>
      </c>
      <c r="H112" t="s">
        <v>843</v>
      </c>
      <c r="I112" t="s">
        <v>844</v>
      </c>
      <c r="J112">
        <f t="shared" ca="1" si="6"/>
        <v>513000</v>
      </c>
      <c r="K112">
        <f t="shared" ca="1" si="7"/>
        <v>25147</v>
      </c>
      <c r="N112" t="str">
        <f t="shared" si="4"/>
        <v>Bexley12EquipmentAssistive Technologies and EquipmentCommunity based equipment</v>
      </c>
      <c r="O112" t="s">
        <v>75</v>
      </c>
      <c r="P112" t="s">
        <v>790</v>
      </c>
      <c r="Q112">
        <v>12</v>
      </c>
      <c r="R112" t="s">
        <v>1034</v>
      </c>
      <c r="S112" t="s">
        <v>1134</v>
      </c>
      <c r="T112" t="s">
        <v>800</v>
      </c>
      <c r="U112" t="s">
        <v>903</v>
      </c>
      <c r="W112">
        <v>444</v>
      </c>
      <c r="X112">
        <v>444</v>
      </c>
      <c r="Y112" t="s">
        <v>802</v>
      </c>
      <c r="Z112" t="s">
        <v>792</v>
      </c>
      <c r="AB112" t="s">
        <v>824</v>
      </c>
      <c r="AD112" t="s">
        <v>794</v>
      </c>
      <c r="AE112" t="s">
        <v>795</v>
      </c>
      <c r="AF112" t="s">
        <v>796</v>
      </c>
      <c r="AG112" t="s">
        <v>797</v>
      </c>
      <c r="AH112">
        <v>199520</v>
      </c>
      <c r="AI112">
        <v>199520</v>
      </c>
      <c r="AJ112">
        <v>9.6854111281296201E-2</v>
      </c>
    </row>
    <row r="113" spans="1:36" x14ac:dyDescent="0.3">
      <c r="A113">
        <f>COUNTIF($D$2:D113,D113)</f>
        <v>20</v>
      </c>
      <c r="B113" t="str">
        <f t="shared" si="5"/>
        <v>20Bexley</v>
      </c>
      <c r="C113" t="s">
        <v>1135</v>
      </c>
      <c r="D113" t="s">
        <v>75</v>
      </c>
      <c r="E113">
        <v>48</v>
      </c>
      <c r="F113" t="s">
        <v>1136</v>
      </c>
      <c r="G113" t="s">
        <v>842</v>
      </c>
      <c r="H113" t="s">
        <v>843</v>
      </c>
      <c r="I113" t="s">
        <v>844</v>
      </c>
      <c r="J113">
        <f t="shared" ca="1" si="6"/>
        <v>1000000</v>
      </c>
      <c r="K113">
        <f t="shared" ca="1" si="7"/>
        <v>49019</v>
      </c>
      <c r="N113" t="str">
        <f t="shared" si="4"/>
        <v>Bexley13Wheelchair ServiceAssistive Technologies and EquipmentCommunity based equipment</v>
      </c>
      <c r="O113" t="s">
        <v>75</v>
      </c>
      <c r="P113" t="s">
        <v>790</v>
      </c>
      <c r="Q113">
        <v>13</v>
      </c>
      <c r="R113" t="s">
        <v>1094</v>
      </c>
      <c r="S113" t="s">
        <v>1137</v>
      </c>
      <c r="T113" t="s">
        <v>800</v>
      </c>
      <c r="U113" t="s">
        <v>903</v>
      </c>
      <c r="W113">
        <v>448</v>
      </c>
      <c r="X113">
        <v>466</v>
      </c>
      <c r="Y113" t="s">
        <v>802</v>
      </c>
      <c r="Z113" t="s">
        <v>823</v>
      </c>
      <c r="AB113" t="s">
        <v>824</v>
      </c>
      <c r="AD113" t="s">
        <v>794</v>
      </c>
      <c r="AE113" t="s">
        <v>825</v>
      </c>
      <c r="AF113" t="s">
        <v>796</v>
      </c>
      <c r="AG113" t="s">
        <v>797</v>
      </c>
      <c r="AH113">
        <v>671880</v>
      </c>
      <c r="AI113">
        <v>671880</v>
      </c>
      <c r="AJ113">
        <v>0.32615447217159832</v>
      </c>
    </row>
    <row r="114" spans="1:36" x14ac:dyDescent="0.3">
      <c r="A114">
        <f>COUNTIF($D$2:D114,D114)</f>
        <v>21</v>
      </c>
      <c r="B114" t="str">
        <f t="shared" si="5"/>
        <v>21Bexley</v>
      </c>
      <c r="C114" t="s">
        <v>1138</v>
      </c>
      <c r="D114" t="s">
        <v>75</v>
      </c>
      <c r="E114">
        <v>49</v>
      </c>
      <c r="F114" t="s">
        <v>1139</v>
      </c>
      <c r="G114" t="s">
        <v>842</v>
      </c>
      <c r="H114" t="s">
        <v>843</v>
      </c>
      <c r="I114" t="s">
        <v>844</v>
      </c>
      <c r="J114">
        <f t="shared" ca="1" si="6"/>
        <v>802000</v>
      </c>
      <c r="K114">
        <f t="shared" ca="1" si="7"/>
        <v>39313</v>
      </c>
      <c r="N114" t="str">
        <f t="shared" si="4"/>
        <v>Bexley14Housing AdaptationsDFG Related SchemesAdaptations, including statutory DFG grants</v>
      </c>
      <c r="O114" t="s">
        <v>75</v>
      </c>
      <c r="P114" t="s">
        <v>790</v>
      </c>
      <c r="Q114">
        <v>14</v>
      </c>
      <c r="R114" t="s">
        <v>1098</v>
      </c>
      <c r="S114" t="s">
        <v>1140</v>
      </c>
      <c r="T114" t="s">
        <v>834</v>
      </c>
      <c r="U114" t="s">
        <v>835</v>
      </c>
      <c r="W114">
        <v>246</v>
      </c>
      <c r="X114">
        <v>246</v>
      </c>
      <c r="Y114" t="s">
        <v>836</v>
      </c>
      <c r="Z114" t="s">
        <v>792</v>
      </c>
      <c r="AB114" t="s">
        <v>793</v>
      </c>
      <c r="AD114" t="s">
        <v>794</v>
      </c>
      <c r="AE114" t="s">
        <v>804</v>
      </c>
      <c r="AF114" t="s">
        <v>840</v>
      </c>
      <c r="AG114" t="s">
        <v>797</v>
      </c>
      <c r="AH114">
        <v>2964977</v>
      </c>
      <c r="AI114">
        <v>2964977</v>
      </c>
      <c r="AJ114">
        <v>0.95245708529166773</v>
      </c>
    </row>
    <row r="115" spans="1:36" x14ac:dyDescent="0.3">
      <c r="A115">
        <f>COUNTIF($D$2:D115,D115)</f>
        <v>1</v>
      </c>
      <c r="B115" t="str">
        <f t="shared" si="5"/>
        <v>1Birmingham</v>
      </c>
      <c r="C115" t="s">
        <v>1141</v>
      </c>
      <c r="D115" t="s">
        <v>77</v>
      </c>
      <c r="E115">
        <v>1</v>
      </c>
      <c r="F115" t="s">
        <v>1142</v>
      </c>
      <c r="G115" t="s">
        <v>800</v>
      </c>
      <c r="H115" t="s">
        <v>903</v>
      </c>
      <c r="I115" t="s">
        <v>802</v>
      </c>
      <c r="J115">
        <f t="shared" ca="1" si="6"/>
        <v>5261599</v>
      </c>
      <c r="K115">
        <f t="shared" ca="1" si="7"/>
        <v>200000</v>
      </c>
      <c r="N115" t="str">
        <f t="shared" si="4"/>
        <v>Bexley20Discharge Fund (LA contribution)Home Care or Domiciliary CareShort term domiciliary care (without reablement input)</v>
      </c>
      <c r="O115" t="s">
        <v>75</v>
      </c>
      <c r="P115" t="s">
        <v>790</v>
      </c>
      <c r="Q115">
        <v>20</v>
      </c>
      <c r="R115" t="s">
        <v>1101</v>
      </c>
      <c r="S115" t="s">
        <v>1143</v>
      </c>
      <c r="T115" t="s">
        <v>842</v>
      </c>
      <c r="U115" t="s">
        <v>1102</v>
      </c>
      <c r="W115">
        <v>74</v>
      </c>
      <c r="X115">
        <v>81</v>
      </c>
      <c r="Y115" t="s">
        <v>789</v>
      </c>
      <c r="Z115" t="s">
        <v>792</v>
      </c>
      <c r="AB115" t="s">
        <v>793</v>
      </c>
      <c r="AD115" t="s">
        <v>794</v>
      </c>
      <c r="AE115" t="s">
        <v>795</v>
      </c>
      <c r="AF115" t="s">
        <v>864</v>
      </c>
      <c r="AG115" t="s">
        <v>797</v>
      </c>
      <c r="AH115">
        <v>207691</v>
      </c>
      <c r="AI115">
        <v>280836</v>
      </c>
      <c r="AJ115">
        <v>3.4890657152668633E-2</v>
      </c>
    </row>
    <row r="116" spans="1:36" x14ac:dyDescent="0.3">
      <c r="A116">
        <f>COUNTIF($D$2:D116,D116)</f>
        <v>2</v>
      </c>
      <c r="B116" t="str">
        <f t="shared" si="5"/>
        <v>2Birmingham</v>
      </c>
      <c r="C116" t="s">
        <v>1144</v>
      </c>
      <c r="D116" t="s">
        <v>77</v>
      </c>
      <c r="E116">
        <v>5</v>
      </c>
      <c r="F116" t="s">
        <v>1142</v>
      </c>
      <c r="G116" t="s">
        <v>787</v>
      </c>
      <c r="H116" t="s">
        <v>788</v>
      </c>
      <c r="I116" t="s">
        <v>789</v>
      </c>
      <c r="J116">
        <f t="shared" ca="1" si="6"/>
        <v>2562918</v>
      </c>
      <c r="K116">
        <f t="shared" ca="1" si="7"/>
        <v>6541</v>
      </c>
      <c r="N116" t="str">
        <f t="shared" si="4"/>
        <v xml:space="preserve">Bexley21Discharge Fund (LA contribution)Home-based intermediate care servicesReablement at home (to support discharge) </v>
      </c>
      <c r="O116" t="s">
        <v>75</v>
      </c>
      <c r="P116" t="s">
        <v>790</v>
      </c>
      <c r="Q116">
        <v>21</v>
      </c>
      <c r="R116" t="s">
        <v>1101</v>
      </c>
      <c r="S116" t="s">
        <v>1143</v>
      </c>
      <c r="T116" t="s">
        <v>787</v>
      </c>
      <c r="U116" t="s">
        <v>788</v>
      </c>
      <c r="W116">
        <v>82</v>
      </c>
      <c r="X116">
        <v>465</v>
      </c>
      <c r="Y116" t="s">
        <v>789</v>
      </c>
      <c r="Z116" t="s">
        <v>792</v>
      </c>
      <c r="AB116" t="s">
        <v>793</v>
      </c>
      <c r="AD116" t="s">
        <v>794</v>
      </c>
      <c r="AE116" t="s">
        <v>795</v>
      </c>
      <c r="AF116" t="s">
        <v>864</v>
      </c>
      <c r="AG116" t="s">
        <v>797</v>
      </c>
      <c r="AH116">
        <v>144148</v>
      </c>
      <c r="AI116">
        <v>814016</v>
      </c>
      <c r="AJ116">
        <v>0.20478139303538348</v>
      </c>
    </row>
    <row r="117" spans="1:36" x14ac:dyDescent="0.3">
      <c r="A117">
        <f>COUNTIF($D$2:D117,D117)</f>
        <v>3</v>
      </c>
      <c r="B117" t="str">
        <f t="shared" si="5"/>
        <v>3Birmingham</v>
      </c>
      <c r="C117" t="s">
        <v>1145</v>
      </c>
      <c r="D117" t="s">
        <v>77</v>
      </c>
      <c r="E117">
        <v>18</v>
      </c>
      <c r="F117" t="s">
        <v>1142</v>
      </c>
      <c r="G117" t="s">
        <v>834</v>
      </c>
      <c r="H117" t="s">
        <v>835</v>
      </c>
      <c r="I117" t="s">
        <v>836</v>
      </c>
      <c r="J117">
        <f t="shared" ca="1" si="6"/>
        <v>12400268</v>
      </c>
      <c r="K117">
        <f t="shared" ca="1" si="7"/>
        <v>8000</v>
      </c>
      <c r="N117" t="str">
        <f t="shared" si="4"/>
        <v>Bexley26Discharge Fund (ICB contribution)Home Care or Domiciliary CareShort term domiciliary care (without reablement input)</v>
      </c>
      <c r="O117" t="s">
        <v>75</v>
      </c>
      <c r="P117" t="s">
        <v>790</v>
      </c>
      <c r="Q117">
        <v>26</v>
      </c>
      <c r="R117" t="s">
        <v>1109</v>
      </c>
      <c r="S117" t="s">
        <v>1143</v>
      </c>
      <c r="T117" t="s">
        <v>842</v>
      </c>
      <c r="U117" t="s">
        <v>1102</v>
      </c>
      <c r="W117">
        <v>76</v>
      </c>
      <c r="X117">
        <v>108</v>
      </c>
      <c r="Y117" t="s">
        <v>789</v>
      </c>
      <c r="Z117" t="s">
        <v>792</v>
      </c>
      <c r="AB117" t="s">
        <v>824</v>
      </c>
      <c r="AD117" t="s">
        <v>794</v>
      </c>
      <c r="AE117" t="s">
        <v>795</v>
      </c>
      <c r="AF117" t="s">
        <v>860</v>
      </c>
      <c r="AG117" t="s">
        <v>797</v>
      </c>
      <c r="AH117">
        <v>215847</v>
      </c>
      <c r="AI117">
        <v>372250.6</v>
      </c>
      <c r="AJ117">
        <v>4.2002001391749602E-2</v>
      </c>
    </row>
    <row r="118" spans="1:36" x14ac:dyDescent="0.3">
      <c r="A118">
        <f>COUNTIF($D$2:D118,D118)</f>
        <v>4</v>
      </c>
      <c r="B118" t="str">
        <f t="shared" si="5"/>
        <v>4Birmingham</v>
      </c>
      <c r="C118" t="s">
        <v>1146</v>
      </c>
      <c r="D118" t="s">
        <v>77</v>
      </c>
      <c r="E118">
        <v>22</v>
      </c>
      <c r="F118" t="s">
        <v>1142</v>
      </c>
      <c r="G118" t="s">
        <v>800</v>
      </c>
      <c r="H118" t="s">
        <v>903</v>
      </c>
      <c r="I118" t="s">
        <v>802</v>
      </c>
      <c r="J118">
        <f t="shared" ca="1" si="6"/>
        <v>827379</v>
      </c>
      <c r="K118">
        <f t="shared" ca="1" si="7"/>
        <v>1639</v>
      </c>
      <c r="N118" t="str">
        <f t="shared" si="4"/>
        <v xml:space="preserve">Bexley27Discharge Fund (ICB contribution)Home-based intermediate care servicesReablement at home (to support discharge) </v>
      </c>
      <c r="O118" t="s">
        <v>75</v>
      </c>
      <c r="P118" t="s">
        <v>790</v>
      </c>
      <c r="Q118">
        <v>27</v>
      </c>
      <c r="R118" t="s">
        <v>1109</v>
      </c>
      <c r="S118" t="s">
        <v>1143</v>
      </c>
      <c r="T118" t="s">
        <v>787</v>
      </c>
      <c r="U118" t="s">
        <v>788</v>
      </c>
      <c r="W118">
        <v>86</v>
      </c>
      <c r="X118">
        <v>616</v>
      </c>
      <c r="Y118" t="s">
        <v>789</v>
      </c>
      <c r="Z118" t="s">
        <v>792</v>
      </c>
      <c r="AB118" t="s">
        <v>824</v>
      </c>
      <c r="AD118" t="s">
        <v>794</v>
      </c>
      <c r="AE118" t="s">
        <v>795</v>
      </c>
      <c r="AF118" t="s">
        <v>860</v>
      </c>
      <c r="AG118" t="s">
        <v>797</v>
      </c>
      <c r="AH118">
        <v>149809</v>
      </c>
      <c r="AI118">
        <v>1078987.26</v>
      </c>
      <c r="AJ118">
        <v>0.26262164919519965</v>
      </c>
    </row>
    <row r="119" spans="1:36" x14ac:dyDescent="0.3">
      <c r="A119">
        <f>COUNTIF($D$2:D119,D119)</f>
        <v>5</v>
      </c>
      <c r="B119" t="str">
        <f t="shared" si="5"/>
        <v>5Birmingham</v>
      </c>
      <c r="C119" t="s">
        <v>1147</v>
      </c>
      <c r="D119" t="s">
        <v>77</v>
      </c>
      <c r="E119">
        <v>24</v>
      </c>
      <c r="F119" t="s">
        <v>1148</v>
      </c>
      <c r="G119" t="s">
        <v>877</v>
      </c>
      <c r="H119" t="s">
        <v>812</v>
      </c>
      <c r="I119" t="s">
        <v>879</v>
      </c>
      <c r="J119">
        <f t="shared" ca="1" si="6"/>
        <v>2763734</v>
      </c>
      <c r="K119">
        <f t="shared" ca="1" si="7"/>
        <v>189</v>
      </c>
      <c r="N119" t="str">
        <f t="shared" si="4"/>
        <v>Bexley36Plaster of ParisHome Care or Domiciliary CareDomiciliary care packages</v>
      </c>
      <c r="O119" t="s">
        <v>75</v>
      </c>
      <c r="P119" t="s">
        <v>790</v>
      </c>
      <c r="Q119">
        <v>36</v>
      </c>
      <c r="R119" t="s">
        <v>1112</v>
      </c>
      <c r="S119" t="s">
        <v>1149</v>
      </c>
      <c r="T119" t="s">
        <v>842</v>
      </c>
      <c r="U119" t="s">
        <v>843</v>
      </c>
      <c r="W119">
        <v>2450</v>
      </c>
      <c r="X119">
        <v>2450</v>
      </c>
      <c r="Y119" t="s">
        <v>844</v>
      </c>
      <c r="Z119" t="s">
        <v>823</v>
      </c>
      <c r="AB119" t="s">
        <v>824</v>
      </c>
      <c r="AD119" t="s">
        <v>794</v>
      </c>
      <c r="AE119" t="s">
        <v>804</v>
      </c>
      <c r="AF119" t="s">
        <v>796</v>
      </c>
      <c r="AG119" t="s">
        <v>797</v>
      </c>
      <c r="AH119">
        <v>50000</v>
      </c>
      <c r="AI119">
        <v>50000</v>
      </c>
      <c r="AJ119">
        <v>7.1420120387754695E-3</v>
      </c>
    </row>
    <row r="120" spans="1:36" x14ac:dyDescent="0.3">
      <c r="A120">
        <f>COUNTIF($D$2:D120,D120)</f>
        <v>6</v>
      </c>
      <c r="B120" t="str">
        <f t="shared" si="5"/>
        <v>6Birmingham</v>
      </c>
      <c r="C120" t="s">
        <v>1150</v>
      </c>
      <c r="D120" t="s">
        <v>77</v>
      </c>
      <c r="E120">
        <v>33</v>
      </c>
      <c r="F120" t="s">
        <v>988</v>
      </c>
      <c r="G120" t="s">
        <v>811</v>
      </c>
      <c r="H120" t="s">
        <v>895</v>
      </c>
      <c r="I120" t="s">
        <v>813</v>
      </c>
      <c r="J120">
        <f t="shared" ca="1" si="6"/>
        <v>1349427</v>
      </c>
      <c r="K120">
        <f t="shared" ca="1" si="7"/>
        <v>2000</v>
      </c>
      <c r="N120" t="str">
        <f t="shared" si="4"/>
        <v>Bexley38Winter Care PackagesHome Care or Domiciliary CareDomiciliary care packages</v>
      </c>
      <c r="O120" t="s">
        <v>75</v>
      </c>
      <c r="P120" t="s">
        <v>790</v>
      </c>
      <c r="Q120">
        <v>38</v>
      </c>
      <c r="R120" t="s">
        <v>1115</v>
      </c>
      <c r="S120" t="s">
        <v>1151</v>
      </c>
      <c r="T120" t="s">
        <v>842</v>
      </c>
      <c r="U120" t="s">
        <v>843</v>
      </c>
      <c r="W120">
        <v>44551</v>
      </c>
      <c r="X120">
        <v>44551</v>
      </c>
      <c r="Y120" t="s">
        <v>844</v>
      </c>
      <c r="Z120" t="s">
        <v>792</v>
      </c>
      <c r="AB120" t="s">
        <v>793</v>
      </c>
      <c r="AD120" t="s">
        <v>794</v>
      </c>
      <c r="AE120" t="s">
        <v>795</v>
      </c>
      <c r="AF120" t="s">
        <v>845</v>
      </c>
      <c r="AG120" t="s">
        <v>797</v>
      </c>
      <c r="AH120">
        <v>928000</v>
      </c>
      <c r="AI120">
        <v>928000</v>
      </c>
      <c r="AJ120">
        <v>0.13255574343967272</v>
      </c>
    </row>
    <row r="121" spans="1:36" x14ac:dyDescent="0.3">
      <c r="A121">
        <f>COUNTIF($D$2:D121,D121)</f>
        <v>7</v>
      </c>
      <c r="B121" t="str">
        <f t="shared" si="5"/>
        <v>7Birmingham</v>
      </c>
      <c r="C121" t="s">
        <v>1152</v>
      </c>
      <c r="D121" t="s">
        <v>77</v>
      </c>
      <c r="E121">
        <v>34</v>
      </c>
      <c r="F121" t="s">
        <v>988</v>
      </c>
      <c r="G121" t="s">
        <v>811</v>
      </c>
      <c r="H121" t="s">
        <v>895</v>
      </c>
      <c r="I121" t="s">
        <v>813</v>
      </c>
      <c r="J121">
        <f t="shared" ca="1" si="6"/>
        <v>1691000</v>
      </c>
      <c r="K121">
        <f t="shared" ca="1" si="7"/>
        <v>8000</v>
      </c>
      <c r="N121" t="str">
        <f t="shared" si="4"/>
        <v>Bexley40Other preventative - ReablementHome-based intermediate care servicesReablement at home (to prevent admission to hospital or residential care)</v>
      </c>
      <c r="O121" t="s">
        <v>75</v>
      </c>
      <c r="P121" t="s">
        <v>790</v>
      </c>
      <c r="Q121">
        <v>40</v>
      </c>
      <c r="R121" t="s">
        <v>1117</v>
      </c>
      <c r="S121" t="s">
        <v>1153</v>
      </c>
      <c r="T121" t="s">
        <v>787</v>
      </c>
      <c r="U121" t="s">
        <v>886</v>
      </c>
      <c r="W121">
        <v>174</v>
      </c>
      <c r="X121">
        <v>174</v>
      </c>
      <c r="Y121" t="s">
        <v>789</v>
      </c>
      <c r="Z121" t="s">
        <v>792</v>
      </c>
      <c r="AB121" t="s">
        <v>793</v>
      </c>
      <c r="AD121" t="s">
        <v>794</v>
      </c>
      <c r="AE121" t="s">
        <v>825</v>
      </c>
      <c r="AF121" t="s">
        <v>796</v>
      </c>
      <c r="AG121" t="s">
        <v>797</v>
      </c>
      <c r="AH121">
        <v>304000</v>
      </c>
      <c r="AI121">
        <v>304000</v>
      </c>
      <c r="AJ121">
        <v>0.1299433990063425</v>
      </c>
    </row>
    <row r="122" spans="1:36" x14ac:dyDescent="0.3">
      <c r="A122">
        <f>COUNTIF($D$2:D122,D122)</f>
        <v>8</v>
      </c>
      <c r="B122" t="str">
        <f t="shared" si="5"/>
        <v>8Birmingham</v>
      </c>
      <c r="C122" t="s">
        <v>1154</v>
      </c>
      <c r="D122" t="s">
        <v>77</v>
      </c>
      <c r="E122">
        <v>46</v>
      </c>
      <c r="F122" t="s">
        <v>1155</v>
      </c>
      <c r="G122" t="s">
        <v>806</v>
      </c>
      <c r="H122" t="s">
        <v>812</v>
      </c>
      <c r="I122" t="s">
        <v>808</v>
      </c>
      <c r="J122">
        <f t="shared" ca="1" si="6"/>
        <v>44341210</v>
      </c>
      <c r="K122">
        <f t="shared" ca="1" si="7"/>
        <v>1783</v>
      </c>
      <c r="N122" t="str">
        <f t="shared" si="4"/>
        <v>Bexley42Reablement funding to LB BexleyHome-based intermediate care servicesJoint reablement and rehabilitation service (to prevent admission to hospital or residential care)</v>
      </c>
      <c r="O122" t="s">
        <v>75</v>
      </c>
      <c r="P122" t="s">
        <v>790</v>
      </c>
      <c r="Q122">
        <v>42</v>
      </c>
      <c r="R122" t="s">
        <v>1121</v>
      </c>
      <c r="S122" t="s">
        <v>1156</v>
      </c>
      <c r="T122" t="s">
        <v>787</v>
      </c>
      <c r="U122" t="s">
        <v>899</v>
      </c>
      <c r="W122">
        <v>205</v>
      </c>
      <c r="X122">
        <v>205</v>
      </c>
      <c r="Y122" t="s">
        <v>789</v>
      </c>
      <c r="Z122" t="s">
        <v>792</v>
      </c>
      <c r="AB122" t="s">
        <v>793</v>
      </c>
      <c r="AD122" t="s">
        <v>794</v>
      </c>
      <c r="AE122" t="s">
        <v>795</v>
      </c>
      <c r="AF122" t="s">
        <v>796</v>
      </c>
      <c r="AG122" t="s">
        <v>797</v>
      </c>
      <c r="AH122">
        <v>716000</v>
      </c>
      <c r="AI122">
        <v>716000</v>
      </c>
      <c r="AJ122">
        <v>0.30605090029125404</v>
      </c>
    </row>
    <row r="123" spans="1:36" x14ac:dyDescent="0.3">
      <c r="A123">
        <f>COUNTIF($D$2:D123,D123)</f>
        <v>9</v>
      </c>
      <c r="B123" t="str">
        <f t="shared" si="5"/>
        <v>9Birmingham</v>
      </c>
      <c r="C123" t="s">
        <v>1157</v>
      </c>
      <c r="D123" t="s">
        <v>77</v>
      </c>
      <c r="E123">
        <v>48</v>
      </c>
      <c r="F123" t="s">
        <v>1155</v>
      </c>
      <c r="G123" t="s">
        <v>842</v>
      </c>
      <c r="H123" t="s">
        <v>843</v>
      </c>
      <c r="I123" t="s">
        <v>844</v>
      </c>
      <c r="J123">
        <f t="shared" ca="1" si="6"/>
        <v>14780403</v>
      </c>
      <c r="K123">
        <f t="shared" ca="1" si="7"/>
        <v>1246650</v>
      </c>
      <c r="N123" t="str">
        <f t="shared" si="4"/>
        <v xml:space="preserve">Bexley43Reablement additional contribution to care costsHome-based intermediate care servicesReablement at home (to support discharge) </v>
      </c>
      <c r="O123" t="s">
        <v>75</v>
      </c>
      <c r="P123" t="s">
        <v>790</v>
      </c>
      <c r="Q123">
        <v>43</v>
      </c>
      <c r="R123" t="s">
        <v>1124</v>
      </c>
      <c r="S123" t="s">
        <v>1158</v>
      </c>
      <c r="T123" t="s">
        <v>787</v>
      </c>
      <c r="U123" t="s">
        <v>788</v>
      </c>
      <c r="W123">
        <v>69</v>
      </c>
      <c r="X123">
        <v>69</v>
      </c>
      <c r="Y123" t="s">
        <v>789</v>
      </c>
      <c r="Z123" t="s">
        <v>792</v>
      </c>
      <c r="AB123" t="s">
        <v>793</v>
      </c>
      <c r="AD123" t="s">
        <v>794</v>
      </c>
      <c r="AE123" t="s">
        <v>804</v>
      </c>
      <c r="AF123" t="s">
        <v>796</v>
      </c>
      <c r="AG123" t="s">
        <v>797</v>
      </c>
      <c r="AH123">
        <v>121000</v>
      </c>
      <c r="AI123">
        <v>121000</v>
      </c>
      <c r="AJ123">
        <v>5.1720892367656063E-2</v>
      </c>
    </row>
    <row r="124" spans="1:36" x14ac:dyDescent="0.3">
      <c r="A124">
        <f>COUNTIF($D$2:D124,D124)</f>
        <v>10</v>
      </c>
      <c r="B124" t="str">
        <f t="shared" si="5"/>
        <v>10Birmingham</v>
      </c>
      <c r="C124" t="s">
        <v>1159</v>
      </c>
      <c r="D124" t="s">
        <v>77</v>
      </c>
      <c r="E124">
        <v>52</v>
      </c>
      <c r="F124" t="s">
        <v>1160</v>
      </c>
      <c r="G124" t="s">
        <v>800</v>
      </c>
      <c r="H124" t="s">
        <v>850</v>
      </c>
      <c r="I124" t="s">
        <v>802</v>
      </c>
      <c r="J124">
        <f t="shared" ca="1" si="6"/>
        <v>300000</v>
      </c>
      <c r="K124">
        <f t="shared" ca="1" si="7"/>
        <v>2000</v>
      </c>
      <c r="N124" t="str">
        <f t="shared" si="4"/>
        <v>Bexley45Additional ASC packages of careHome Care or Domiciliary CareDomiciliary care packages</v>
      </c>
      <c r="O124" t="s">
        <v>75</v>
      </c>
      <c r="P124" t="s">
        <v>790</v>
      </c>
      <c r="Q124">
        <v>45</v>
      </c>
      <c r="R124" t="s">
        <v>1127</v>
      </c>
      <c r="S124" t="s">
        <v>1161</v>
      </c>
      <c r="T124" t="s">
        <v>842</v>
      </c>
      <c r="U124" t="s">
        <v>843</v>
      </c>
      <c r="W124">
        <v>140441</v>
      </c>
      <c r="X124">
        <v>140441</v>
      </c>
      <c r="Y124" t="s">
        <v>844</v>
      </c>
      <c r="Z124" t="s">
        <v>792</v>
      </c>
      <c r="AB124" t="s">
        <v>793</v>
      </c>
      <c r="AD124" t="s">
        <v>794</v>
      </c>
      <c r="AE124" t="s">
        <v>795</v>
      </c>
      <c r="AF124" t="s">
        <v>845</v>
      </c>
      <c r="AG124" t="s">
        <v>797</v>
      </c>
      <c r="AH124">
        <v>2865000</v>
      </c>
      <c r="AI124">
        <v>2865000</v>
      </c>
      <c r="AJ124">
        <v>0.40923728982183438</v>
      </c>
    </row>
    <row r="125" spans="1:36" x14ac:dyDescent="0.3">
      <c r="A125">
        <f>COUNTIF($D$2:D125,D125)</f>
        <v>1</v>
      </c>
      <c r="B125" t="str">
        <f t="shared" si="5"/>
        <v>1Blackburn with Darwen</v>
      </c>
      <c r="C125" t="s">
        <v>1162</v>
      </c>
      <c r="D125" t="s">
        <v>79</v>
      </c>
      <c r="E125">
        <v>2</v>
      </c>
      <c r="F125" t="s">
        <v>1163</v>
      </c>
      <c r="G125" t="s">
        <v>811</v>
      </c>
      <c r="H125" t="s">
        <v>812</v>
      </c>
      <c r="I125" t="s">
        <v>813</v>
      </c>
      <c r="J125">
        <f t="shared" ca="1" si="6"/>
        <v>52678</v>
      </c>
      <c r="K125">
        <f t="shared" ca="1" si="7"/>
        <v>10</v>
      </c>
      <c r="N125" t="str">
        <f t="shared" si="4"/>
        <v>Bexley46Additional contribution to care package costs funded from iBCFHome Care or Domiciliary CareDomiciliary care packages</v>
      </c>
      <c r="O125" t="s">
        <v>75</v>
      </c>
      <c r="P125" t="s">
        <v>790</v>
      </c>
      <c r="Q125">
        <v>46</v>
      </c>
      <c r="R125" t="s">
        <v>1130</v>
      </c>
      <c r="S125" t="s">
        <v>1161</v>
      </c>
      <c r="T125" t="s">
        <v>842</v>
      </c>
      <c r="U125" t="s">
        <v>843</v>
      </c>
      <c r="W125">
        <v>14927</v>
      </c>
      <c r="X125">
        <v>14927</v>
      </c>
      <c r="Y125" t="s">
        <v>844</v>
      </c>
      <c r="Z125" t="s">
        <v>792</v>
      </c>
      <c r="AB125" t="s">
        <v>793</v>
      </c>
      <c r="AD125" t="s">
        <v>794</v>
      </c>
      <c r="AE125" t="s">
        <v>795</v>
      </c>
      <c r="AF125" t="s">
        <v>845</v>
      </c>
      <c r="AG125" t="s">
        <v>797</v>
      </c>
      <c r="AH125">
        <v>304516</v>
      </c>
      <c r="AI125">
        <v>304516</v>
      </c>
      <c r="AJ125">
        <v>4.3497138759995016E-2</v>
      </c>
    </row>
    <row r="126" spans="1:36" x14ac:dyDescent="0.3">
      <c r="A126">
        <f>COUNTIF($D$2:D126,D126)</f>
        <v>2</v>
      </c>
      <c r="B126" t="str">
        <f t="shared" si="5"/>
        <v>2Blackburn with Darwen</v>
      </c>
      <c r="C126" t="s">
        <v>1164</v>
      </c>
      <c r="D126" t="s">
        <v>79</v>
      </c>
      <c r="E126">
        <v>3</v>
      </c>
      <c r="F126" t="s">
        <v>1165</v>
      </c>
      <c r="G126" t="s">
        <v>800</v>
      </c>
      <c r="H126" t="s">
        <v>903</v>
      </c>
      <c r="I126" t="s">
        <v>802</v>
      </c>
      <c r="J126">
        <f t="shared" ca="1" si="6"/>
        <v>121871</v>
      </c>
      <c r="K126">
        <f t="shared" ca="1" si="7"/>
        <v>832</v>
      </c>
      <c r="N126" t="str">
        <f t="shared" si="4"/>
        <v>Bexley47Maintaining eligibility criteriaHome Care or Domiciliary CareDomiciliary care packages</v>
      </c>
      <c r="O126" t="s">
        <v>75</v>
      </c>
      <c r="P126" t="s">
        <v>790</v>
      </c>
      <c r="Q126">
        <v>47</v>
      </c>
      <c r="R126" t="s">
        <v>1133</v>
      </c>
      <c r="S126" t="s">
        <v>1166</v>
      </c>
      <c r="T126" t="s">
        <v>842</v>
      </c>
      <c r="U126" t="s">
        <v>843</v>
      </c>
      <c r="W126">
        <v>25147</v>
      </c>
      <c r="X126">
        <v>25147</v>
      </c>
      <c r="Y126" t="s">
        <v>844</v>
      </c>
      <c r="Z126" t="s">
        <v>792</v>
      </c>
      <c r="AB126" t="s">
        <v>793</v>
      </c>
      <c r="AD126" t="s">
        <v>794</v>
      </c>
      <c r="AE126" t="s">
        <v>795</v>
      </c>
      <c r="AF126" t="s">
        <v>796</v>
      </c>
      <c r="AG126" t="s">
        <v>797</v>
      </c>
      <c r="AH126">
        <v>513000</v>
      </c>
      <c r="AI126">
        <v>513000</v>
      </c>
      <c r="AJ126">
        <v>7.3277043517836316E-2</v>
      </c>
    </row>
    <row r="127" spans="1:36" x14ac:dyDescent="0.3">
      <c r="A127">
        <f>COUNTIF($D$2:D127,D127)</f>
        <v>3</v>
      </c>
      <c r="B127" t="str">
        <f t="shared" si="5"/>
        <v>3Blackburn with Darwen</v>
      </c>
      <c r="C127" t="s">
        <v>1167</v>
      </c>
      <c r="D127" t="s">
        <v>79</v>
      </c>
      <c r="E127">
        <v>3</v>
      </c>
      <c r="F127" t="s">
        <v>1165</v>
      </c>
      <c r="G127" t="s">
        <v>877</v>
      </c>
      <c r="H127" t="s">
        <v>968</v>
      </c>
      <c r="I127" t="s">
        <v>879</v>
      </c>
      <c r="J127">
        <f t="shared" ca="1" si="6"/>
        <v>32102</v>
      </c>
      <c r="K127">
        <f t="shared" ca="1" si="7"/>
        <v>13</v>
      </c>
      <c r="N127" t="str">
        <f t="shared" si="4"/>
        <v>Bexley48Develop Social Care MarketHome Care or Domiciliary CareDomiciliary care packages</v>
      </c>
      <c r="O127" t="s">
        <v>75</v>
      </c>
      <c r="P127" t="s">
        <v>790</v>
      </c>
      <c r="Q127">
        <v>48</v>
      </c>
      <c r="R127" t="s">
        <v>1136</v>
      </c>
      <c r="S127" t="s">
        <v>1168</v>
      </c>
      <c r="T127" t="s">
        <v>842</v>
      </c>
      <c r="U127" t="s">
        <v>843</v>
      </c>
      <c r="W127">
        <v>49019</v>
      </c>
      <c r="X127">
        <v>49019</v>
      </c>
      <c r="Y127" t="s">
        <v>844</v>
      </c>
      <c r="Z127" t="s">
        <v>792</v>
      </c>
      <c r="AB127" t="s">
        <v>793</v>
      </c>
      <c r="AD127" t="s">
        <v>794</v>
      </c>
      <c r="AE127" t="s">
        <v>795</v>
      </c>
      <c r="AF127" t="s">
        <v>845</v>
      </c>
      <c r="AG127" t="s">
        <v>797</v>
      </c>
      <c r="AH127">
        <v>1000000</v>
      </c>
      <c r="AI127">
        <v>1000000</v>
      </c>
      <c r="AJ127">
        <v>0.14284024077550939</v>
      </c>
    </row>
    <row r="128" spans="1:36" x14ac:dyDescent="0.3">
      <c r="A128">
        <f>COUNTIF($D$2:D128,D128)</f>
        <v>4</v>
      </c>
      <c r="B128" t="str">
        <f t="shared" si="5"/>
        <v>4Blackburn with Darwen</v>
      </c>
      <c r="C128" t="s">
        <v>1169</v>
      </c>
      <c r="D128" t="s">
        <v>79</v>
      </c>
      <c r="E128">
        <v>3</v>
      </c>
      <c r="F128" t="s">
        <v>1165</v>
      </c>
      <c r="G128" t="s">
        <v>787</v>
      </c>
      <c r="H128" t="s">
        <v>788</v>
      </c>
      <c r="I128" t="s">
        <v>789</v>
      </c>
      <c r="J128">
        <f t="shared" ca="1" si="6"/>
        <v>74906</v>
      </c>
      <c r="K128">
        <f t="shared" ca="1" si="7"/>
        <v>13</v>
      </c>
      <c r="N128" t="str">
        <f t="shared" si="4"/>
        <v>Bexley49Additional ASC Packages of Care funded from Minimum NHS ContributionHome Care or Domiciliary CareDomiciliary care packages</v>
      </c>
      <c r="O128" t="s">
        <v>75</v>
      </c>
      <c r="P128" t="s">
        <v>790</v>
      </c>
      <c r="Q128">
        <v>49</v>
      </c>
      <c r="R128" t="s">
        <v>1139</v>
      </c>
      <c r="S128" t="s">
        <v>1168</v>
      </c>
      <c r="T128" t="s">
        <v>842</v>
      </c>
      <c r="U128" t="s">
        <v>843</v>
      </c>
      <c r="W128">
        <v>39313</v>
      </c>
      <c r="X128">
        <v>39313</v>
      </c>
      <c r="Y128" t="s">
        <v>844</v>
      </c>
      <c r="Z128" t="s">
        <v>792</v>
      </c>
      <c r="AB128" t="s">
        <v>793</v>
      </c>
      <c r="AD128" t="s">
        <v>794</v>
      </c>
      <c r="AE128" t="s">
        <v>795</v>
      </c>
      <c r="AF128" t="s">
        <v>796</v>
      </c>
      <c r="AG128" t="s">
        <v>797</v>
      </c>
      <c r="AH128">
        <v>802000</v>
      </c>
      <c r="AI128">
        <v>802000</v>
      </c>
      <c r="AJ128">
        <v>0.11455787310195852</v>
      </c>
    </row>
    <row r="129" spans="1:36" x14ac:dyDescent="0.3">
      <c r="A129">
        <f>COUNTIF($D$2:D129,D129)</f>
        <v>5</v>
      </c>
      <c r="B129" t="str">
        <f t="shared" si="5"/>
        <v>5Blackburn with Darwen</v>
      </c>
      <c r="C129" t="s">
        <v>1170</v>
      </c>
      <c r="D129" t="s">
        <v>79</v>
      </c>
      <c r="E129">
        <v>4</v>
      </c>
      <c r="F129" t="s">
        <v>1171</v>
      </c>
      <c r="G129" t="s">
        <v>877</v>
      </c>
      <c r="H129" t="s">
        <v>968</v>
      </c>
      <c r="I129" t="s">
        <v>879</v>
      </c>
      <c r="J129">
        <f t="shared" ca="1" si="6"/>
        <v>4079538</v>
      </c>
      <c r="K129">
        <f t="shared" ca="1" si="7"/>
        <v>130</v>
      </c>
      <c r="N129" t="str">
        <f t="shared" si="4"/>
        <v>Birmingham1Pathway 1 - Home FirstAssistive Technologies and EquipmentCommunity based equipment</v>
      </c>
      <c r="O129" t="s">
        <v>77</v>
      </c>
      <c r="P129" t="s">
        <v>1172</v>
      </c>
      <c r="Q129">
        <v>1</v>
      </c>
      <c r="R129" t="s">
        <v>1142</v>
      </c>
      <c r="S129" t="s">
        <v>1173</v>
      </c>
      <c r="T129" t="s">
        <v>800</v>
      </c>
      <c r="U129" t="s">
        <v>903</v>
      </c>
      <c r="W129">
        <v>200000</v>
      </c>
      <c r="X129">
        <v>200000</v>
      </c>
      <c r="Y129" t="s">
        <v>802</v>
      </c>
      <c r="Z129" t="s">
        <v>823</v>
      </c>
      <c r="AB129" t="s">
        <v>793</v>
      </c>
      <c r="AD129" t="s">
        <v>794</v>
      </c>
      <c r="AE129" t="s">
        <v>804</v>
      </c>
      <c r="AF129" t="s">
        <v>796</v>
      </c>
      <c r="AG129" t="s">
        <v>797</v>
      </c>
      <c r="AH129">
        <v>5261599</v>
      </c>
      <c r="AI129">
        <v>5524679</v>
      </c>
      <c r="AJ129">
        <v>0.09</v>
      </c>
    </row>
    <row r="130" spans="1:36" x14ac:dyDescent="0.3">
      <c r="A130">
        <f>COUNTIF($D$2:D130,D130)</f>
        <v>6</v>
      </c>
      <c r="B130" t="str">
        <f t="shared" si="5"/>
        <v>6Blackburn with Darwen</v>
      </c>
      <c r="C130" t="s">
        <v>1174</v>
      </c>
      <c r="D130" t="s">
        <v>79</v>
      </c>
      <c r="E130">
        <v>4</v>
      </c>
      <c r="F130" t="s">
        <v>1171</v>
      </c>
      <c r="G130" t="s">
        <v>787</v>
      </c>
      <c r="H130" t="s">
        <v>788</v>
      </c>
      <c r="I130" t="s">
        <v>789</v>
      </c>
      <c r="J130">
        <f t="shared" ca="1" si="6"/>
        <v>87747</v>
      </c>
      <c r="K130">
        <f t="shared" ca="1" si="7"/>
        <v>47</v>
      </c>
      <c r="N130" t="str">
        <f t="shared" ref="N130:N193" si="8">O130&amp;Q130&amp;R130&amp;T130&amp;U130</f>
        <v xml:space="preserve">Birmingham5Pathway 1 - Home FirstHome-based intermediate care servicesReablement at home (to support discharge) </v>
      </c>
      <c r="O130" t="s">
        <v>77</v>
      </c>
      <c r="P130" t="s">
        <v>1172</v>
      </c>
      <c r="Q130">
        <v>5</v>
      </c>
      <c r="R130" t="s">
        <v>1142</v>
      </c>
      <c r="S130" t="s">
        <v>1175</v>
      </c>
      <c r="T130" t="s">
        <v>787</v>
      </c>
      <c r="U130" t="s">
        <v>788</v>
      </c>
      <c r="W130">
        <v>6541</v>
      </c>
      <c r="X130">
        <v>6541</v>
      </c>
      <c r="Y130" t="s">
        <v>789</v>
      </c>
      <c r="Z130" t="s">
        <v>792</v>
      </c>
      <c r="AB130" t="s">
        <v>793</v>
      </c>
      <c r="AD130" t="s">
        <v>794</v>
      </c>
      <c r="AE130" t="s">
        <v>804</v>
      </c>
      <c r="AF130" t="s">
        <v>796</v>
      </c>
      <c r="AG130" t="s">
        <v>797</v>
      </c>
      <c r="AH130">
        <v>2562918</v>
      </c>
      <c r="AI130">
        <v>2633064</v>
      </c>
      <c r="AJ130">
        <v>0.04</v>
      </c>
    </row>
    <row r="131" spans="1:36" x14ac:dyDescent="0.3">
      <c r="A131">
        <f>COUNTIF($D$2:D131,D131)</f>
        <v>7</v>
      </c>
      <c r="B131" t="str">
        <f t="shared" ref="B131:B194" si="9">A131&amp;D131</f>
        <v>7Blackburn with Darwen</v>
      </c>
      <c r="C131" t="s">
        <v>1176</v>
      </c>
      <c r="D131" t="s">
        <v>79</v>
      </c>
      <c r="E131">
        <v>5</v>
      </c>
      <c r="F131" t="s">
        <v>1177</v>
      </c>
      <c r="G131" t="s">
        <v>877</v>
      </c>
      <c r="H131" t="s">
        <v>968</v>
      </c>
      <c r="I131" t="s">
        <v>879</v>
      </c>
      <c r="J131" t="e">
        <f t="shared" ref="J131:J194" si="10">SUMIF($N:$AI,C131,AH:AH)</f>
        <v>#VALUE!</v>
      </c>
      <c r="K131" t="e">
        <f t="shared" ref="K131:K194" si="11">SUMIF($N:$AI,C131,W:W)</f>
        <v>#VALUE!</v>
      </c>
      <c r="N131" t="str">
        <f t="shared" si="8"/>
        <v>Birmingham18Pathway 1 - Home FirstDFG Related SchemesAdaptations, including statutory DFG grants</v>
      </c>
      <c r="O131" t="s">
        <v>77</v>
      </c>
      <c r="P131" t="s">
        <v>1172</v>
      </c>
      <c r="Q131">
        <v>18</v>
      </c>
      <c r="R131" t="s">
        <v>1142</v>
      </c>
      <c r="S131" t="s">
        <v>1178</v>
      </c>
      <c r="T131" t="s">
        <v>834</v>
      </c>
      <c r="U131" t="s">
        <v>835</v>
      </c>
      <c r="W131">
        <v>8000</v>
      </c>
      <c r="X131">
        <v>8000</v>
      </c>
      <c r="Y131" t="s">
        <v>836</v>
      </c>
      <c r="Z131" t="s">
        <v>792</v>
      </c>
      <c r="AB131" t="s">
        <v>793</v>
      </c>
      <c r="AD131" t="s">
        <v>794</v>
      </c>
      <c r="AE131" t="s">
        <v>804</v>
      </c>
      <c r="AF131" t="s">
        <v>840</v>
      </c>
      <c r="AG131" t="s">
        <v>797</v>
      </c>
      <c r="AH131">
        <v>12400268</v>
      </c>
      <c r="AI131">
        <v>12373127</v>
      </c>
      <c r="AJ131">
        <v>0.21350176086805145</v>
      </c>
    </row>
    <row r="132" spans="1:36" x14ac:dyDescent="0.3">
      <c r="A132">
        <f>COUNTIF($D$2:D132,D132)</f>
        <v>8</v>
      </c>
      <c r="B132" t="str">
        <f t="shared" si="9"/>
        <v>8Blackburn with Darwen</v>
      </c>
      <c r="C132" t="s">
        <v>1179</v>
      </c>
      <c r="D132" t="s">
        <v>79</v>
      </c>
      <c r="E132">
        <v>5</v>
      </c>
      <c r="F132" t="s">
        <v>1177</v>
      </c>
      <c r="G132" t="s">
        <v>787</v>
      </c>
      <c r="H132" t="s">
        <v>788</v>
      </c>
      <c r="I132" t="s">
        <v>789</v>
      </c>
      <c r="J132">
        <f t="shared" ca="1" si="10"/>
        <v>710295</v>
      </c>
      <c r="K132">
        <f t="shared" ca="1" si="11"/>
        <v>261</v>
      </c>
      <c r="N132" t="str">
        <f t="shared" si="8"/>
        <v>Birmingham22Pathway 1 - Home FirstAssistive Technologies and EquipmentCommunity based equipment</v>
      </c>
      <c r="O132" t="s">
        <v>77</v>
      </c>
      <c r="P132" t="s">
        <v>1172</v>
      </c>
      <c r="Q132">
        <v>22</v>
      </c>
      <c r="R132" t="s">
        <v>1142</v>
      </c>
      <c r="S132" t="s">
        <v>1180</v>
      </c>
      <c r="T132" t="s">
        <v>800</v>
      </c>
      <c r="U132" t="s">
        <v>903</v>
      </c>
      <c r="W132">
        <v>1639</v>
      </c>
      <c r="X132">
        <v>1639</v>
      </c>
      <c r="Y132" t="s">
        <v>802</v>
      </c>
      <c r="Z132" t="s">
        <v>823</v>
      </c>
      <c r="AB132" t="s">
        <v>824</v>
      </c>
      <c r="AD132" t="s">
        <v>794</v>
      </c>
      <c r="AE132" t="s">
        <v>1119</v>
      </c>
      <c r="AF132" t="s">
        <v>796</v>
      </c>
      <c r="AG132" t="s">
        <v>797</v>
      </c>
      <c r="AH132">
        <v>827379</v>
      </c>
      <c r="AI132">
        <v>842271</v>
      </c>
      <c r="AJ132">
        <v>1.4389356607495339E-2</v>
      </c>
    </row>
    <row r="133" spans="1:36" x14ac:dyDescent="0.3">
      <c r="A133">
        <f>COUNTIF($D$2:D133,D133)</f>
        <v>9</v>
      </c>
      <c r="B133" t="str">
        <f t="shared" si="9"/>
        <v>9Blackburn with Darwen</v>
      </c>
      <c r="C133" t="s">
        <v>1181</v>
      </c>
      <c r="D133" t="s">
        <v>79</v>
      </c>
      <c r="E133">
        <v>5</v>
      </c>
      <c r="F133" t="s">
        <v>1182</v>
      </c>
      <c r="G133" t="s">
        <v>800</v>
      </c>
      <c r="H133" t="s">
        <v>903</v>
      </c>
      <c r="I133" t="s">
        <v>802</v>
      </c>
      <c r="J133">
        <f t="shared" ca="1" si="10"/>
        <v>332646</v>
      </c>
      <c r="K133">
        <f t="shared" ca="1" si="11"/>
        <v>14138</v>
      </c>
      <c r="N133" t="str">
        <f t="shared" si="8"/>
        <v>Birmingham24Pathway 2 - Intermediate Care BedBed based intermediate Care Services (Reablement, rehabilitation, wider short-term services supporting recovery)Other</v>
      </c>
      <c r="O133" t="s">
        <v>77</v>
      </c>
      <c r="P133" t="s">
        <v>1172</v>
      </c>
      <c r="Q133">
        <v>24</v>
      </c>
      <c r="R133" t="s">
        <v>1148</v>
      </c>
      <c r="S133" t="s">
        <v>1183</v>
      </c>
      <c r="T133" t="s">
        <v>877</v>
      </c>
      <c r="U133" t="s">
        <v>812</v>
      </c>
      <c r="V133" t="s">
        <v>1184</v>
      </c>
      <c r="W133">
        <v>189</v>
      </c>
      <c r="X133">
        <v>189</v>
      </c>
      <c r="Y133" t="s">
        <v>879</v>
      </c>
      <c r="Z133" t="s">
        <v>792</v>
      </c>
      <c r="AB133" t="s">
        <v>793</v>
      </c>
      <c r="AD133" t="s">
        <v>794</v>
      </c>
      <c r="AE133" t="s">
        <v>804</v>
      </c>
      <c r="AF133" t="s">
        <v>1029</v>
      </c>
      <c r="AG133" t="s">
        <v>797</v>
      </c>
      <c r="AH133">
        <v>2763734</v>
      </c>
      <c r="AI133">
        <v>2881607</v>
      </c>
      <c r="AJ133">
        <v>0.12718106290362624</v>
      </c>
    </row>
    <row r="134" spans="1:36" x14ac:dyDescent="0.3">
      <c r="A134">
        <f>COUNTIF($D$2:D134,D134)</f>
        <v>10</v>
      </c>
      <c r="B134" t="str">
        <f t="shared" si="9"/>
        <v>10Blackburn with Darwen</v>
      </c>
      <c r="C134" t="s">
        <v>1185</v>
      </c>
      <c r="D134" t="s">
        <v>79</v>
      </c>
      <c r="E134">
        <v>5</v>
      </c>
      <c r="F134" t="s">
        <v>1186</v>
      </c>
      <c r="G134" t="s">
        <v>800</v>
      </c>
      <c r="H134" t="s">
        <v>903</v>
      </c>
      <c r="I134" t="s">
        <v>802</v>
      </c>
      <c r="J134">
        <f t="shared" ca="1" si="10"/>
        <v>1004249</v>
      </c>
      <c r="K134">
        <f t="shared" ca="1" si="11"/>
        <v>12362</v>
      </c>
      <c r="N134" t="str">
        <f t="shared" si="8"/>
        <v>Birmingham33Community ServicesCarers ServicesCarer advice and support related to Care Act duties</v>
      </c>
      <c r="O134" t="s">
        <v>77</v>
      </c>
      <c r="P134" t="s">
        <v>1172</v>
      </c>
      <c r="Q134">
        <v>33</v>
      </c>
      <c r="R134" t="s">
        <v>988</v>
      </c>
      <c r="S134" t="s">
        <v>1155</v>
      </c>
      <c r="T134" t="s">
        <v>811</v>
      </c>
      <c r="U134" t="s">
        <v>895</v>
      </c>
      <c r="W134">
        <v>2000</v>
      </c>
      <c r="X134">
        <v>2000</v>
      </c>
      <c r="Y134" t="s">
        <v>813</v>
      </c>
      <c r="Z134" t="s">
        <v>792</v>
      </c>
      <c r="AB134" t="s">
        <v>793</v>
      </c>
      <c r="AD134" t="s">
        <v>794</v>
      </c>
      <c r="AE134" t="s">
        <v>825</v>
      </c>
      <c r="AF134" t="s">
        <v>1029</v>
      </c>
      <c r="AG134" t="s">
        <v>797</v>
      </c>
      <c r="AH134">
        <v>1349427</v>
      </c>
      <c r="AI134">
        <v>1349427</v>
      </c>
      <c r="AJ134">
        <v>2.5359267899688009E-2</v>
      </c>
    </row>
    <row r="135" spans="1:36" x14ac:dyDescent="0.3">
      <c r="A135">
        <f>COUNTIF($D$2:D135,D135)</f>
        <v>11</v>
      </c>
      <c r="B135" t="str">
        <f t="shared" si="9"/>
        <v>11Blackburn with Darwen</v>
      </c>
      <c r="C135" t="s">
        <v>1187</v>
      </c>
      <c r="D135" t="s">
        <v>79</v>
      </c>
      <c r="E135">
        <v>5</v>
      </c>
      <c r="F135" t="s">
        <v>1188</v>
      </c>
      <c r="G135" t="s">
        <v>800</v>
      </c>
      <c r="H135" t="s">
        <v>903</v>
      </c>
      <c r="I135" t="s">
        <v>802</v>
      </c>
      <c r="J135">
        <f t="shared" ca="1" si="10"/>
        <v>27112</v>
      </c>
      <c r="K135">
        <f t="shared" ca="1" si="11"/>
        <v>340</v>
      </c>
      <c r="N135" t="str">
        <f t="shared" si="8"/>
        <v>Birmingham34Community ServicesCarers ServicesCarer advice and support related to Care Act duties</v>
      </c>
      <c r="O135" t="s">
        <v>77</v>
      </c>
      <c r="P135" t="s">
        <v>1172</v>
      </c>
      <c r="Q135">
        <v>34</v>
      </c>
      <c r="R135" t="s">
        <v>988</v>
      </c>
      <c r="S135" t="s">
        <v>1155</v>
      </c>
      <c r="T135" t="s">
        <v>811</v>
      </c>
      <c r="U135" t="s">
        <v>895</v>
      </c>
      <c r="W135">
        <v>8000</v>
      </c>
      <c r="X135">
        <v>8000</v>
      </c>
      <c r="Y135" t="s">
        <v>813</v>
      </c>
      <c r="Z135" t="s">
        <v>792</v>
      </c>
      <c r="AB135" t="s">
        <v>793</v>
      </c>
      <c r="AD135" t="s">
        <v>794</v>
      </c>
      <c r="AE135" t="s">
        <v>825</v>
      </c>
      <c r="AF135" t="s">
        <v>796</v>
      </c>
      <c r="AG135" t="s">
        <v>797</v>
      </c>
      <c r="AH135">
        <v>1691000</v>
      </c>
      <c r="AI135">
        <v>1786711</v>
      </c>
      <c r="AJ135">
        <v>3.2677649449244707E-2</v>
      </c>
    </row>
    <row r="136" spans="1:36" x14ac:dyDescent="0.3">
      <c r="A136">
        <f>COUNTIF($D$2:D136,D136)</f>
        <v>12</v>
      </c>
      <c r="B136" t="str">
        <f t="shared" si="9"/>
        <v>12Blackburn with Darwen</v>
      </c>
      <c r="C136" t="s">
        <v>1189</v>
      </c>
      <c r="D136" t="s">
        <v>79</v>
      </c>
      <c r="E136">
        <v>7</v>
      </c>
      <c r="F136" t="s">
        <v>1190</v>
      </c>
      <c r="G136" t="s">
        <v>834</v>
      </c>
      <c r="H136" t="s">
        <v>835</v>
      </c>
      <c r="I136" t="s">
        <v>836</v>
      </c>
      <c r="J136">
        <f t="shared" ca="1" si="10"/>
        <v>3589344</v>
      </c>
      <c r="K136">
        <f t="shared" ca="1" si="11"/>
        <v>421.33534421758873</v>
      </c>
      <c r="N136" t="str">
        <f t="shared" si="8"/>
        <v>Birmingham46Care Act DutiesResidential PlacementsOther</v>
      </c>
      <c r="O136" t="s">
        <v>77</v>
      </c>
      <c r="P136" t="s">
        <v>1172</v>
      </c>
      <c r="Q136">
        <v>46</v>
      </c>
      <c r="R136" t="s">
        <v>1155</v>
      </c>
      <c r="S136" t="s">
        <v>1191</v>
      </c>
      <c r="T136" t="s">
        <v>806</v>
      </c>
      <c r="U136" t="s">
        <v>812</v>
      </c>
      <c r="V136" t="s">
        <v>1192</v>
      </c>
      <c r="W136">
        <v>1783</v>
      </c>
      <c r="X136">
        <v>1783</v>
      </c>
      <c r="Y136" t="s">
        <v>808</v>
      </c>
      <c r="Z136" t="s">
        <v>792</v>
      </c>
      <c r="AB136" t="s">
        <v>793</v>
      </c>
      <c r="AD136" t="s">
        <v>794</v>
      </c>
      <c r="AE136" t="s">
        <v>804</v>
      </c>
      <c r="AF136" t="s">
        <v>845</v>
      </c>
      <c r="AG136" t="s">
        <v>797</v>
      </c>
      <c r="AH136">
        <v>44341210</v>
      </c>
      <c r="AI136">
        <v>44341210</v>
      </c>
      <c r="AJ136">
        <v>0.47043602208351454</v>
      </c>
    </row>
    <row r="137" spans="1:36" x14ac:dyDescent="0.3">
      <c r="A137">
        <f>COUNTIF($D$2:D137,D137)</f>
        <v>13</v>
      </c>
      <c r="B137" t="str">
        <f t="shared" si="9"/>
        <v>13Blackburn with Darwen</v>
      </c>
      <c r="C137" t="s">
        <v>1193</v>
      </c>
      <c r="D137" t="s">
        <v>79</v>
      </c>
      <c r="E137">
        <v>11</v>
      </c>
      <c r="F137" t="s">
        <v>1194</v>
      </c>
      <c r="G137" t="s">
        <v>787</v>
      </c>
      <c r="H137" t="s">
        <v>1195</v>
      </c>
      <c r="I137" t="s">
        <v>789</v>
      </c>
      <c r="J137">
        <f t="shared" ca="1" si="10"/>
        <v>715286</v>
      </c>
      <c r="K137">
        <f t="shared" ca="1" si="11"/>
        <v>47</v>
      </c>
      <c r="N137" t="str">
        <f t="shared" si="8"/>
        <v>Birmingham48Care Act DutiesHome Care or Domiciliary CareDomiciliary care packages</v>
      </c>
      <c r="O137" t="s">
        <v>77</v>
      </c>
      <c r="P137" t="s">
        <v>1172</v>
      </c>
      <c r="Q137">
        <v>48</v>
      </c>
      <c r="R137" t="s">
        <v>1155</v>
      </c>
      <c r="S137" t="s">
        <v>1196</v>
      </c>
      <c r="T137" t="s">
        <v>842</v>
      </c>
      <c r="U137" t="s">
        <v>843</v>
      </c>
      <c r="W137">
        <v>1246650</v>
      </c>
      <c r="X137">
        <v>1246650</v>
      </c>
      <c r="Y137" t="s">
        <v>844</v>
      </c>
      <c r="Z137" t="s">
        <v>792</v>
      </c>
      <c r="AB137" t="s">
        <v>793</v>
      </c>
      <c r="AD137" t="s">
        <v>794</v>
      </c>
      <c r="AE137" t="s">
        <v>804</v>
      </c>
      <c r="AF137" t="s">
        <v>845</v>
      </c>
      <c r="AG137" t="s">
        <v>797</v>
      </c>
      <c r="AH137">
        <v>14780403</v>
      </c>
      <c r="AI137">
        <v>14780403</v>
      </c>
      <c r="AJ137">
        <v>0.15681200382468691</v>
      </c>
    </row>
    <row r="138" spans="1:36" x14ac:dyDescent="0.3">
      <c r="A138">
        <f>COUNTIF($D$2:D138,D138)</f>
        <v>14</v>
      </c>
      <c r="B138" t="str">
        <f t="shared" si="9"/>
        <v>14Blackburn with Darwen</v>
      </c>
      <c r="C138" t="s">
        <v>1197</v>
      </c>
      <c r="D138" t="s">
        <v>79</v>
      </c>
      <c r="E138">
        <v>11</v>
      </c>
      <c r="F138" t="s">
        <v>1198</v>
      </c>
      <c r="G138" t="s">
        <v>787</v>
      </c>
      <c r="H138" t="s">
        <v>1195</v>
      </c>
      <c r="I138" t="s">
        <v>789</v>
      </c>
      <c r="J138">
        <f t="shared" ca="1" si="10"/>
        <v>764416</v>
      </c>
      <c r="K138">
        <f t="shared" ca="1" si="11"/>
        <v>215</v>
      </c>
      <c r="N138" t="str">
        <f t="shared" si="8"/>
        <v>Birmingham52Technology Enabled CareAssistive Technologies and EquipmentAssistive technologies including telecare</v>
      </c>
      <c r="O138" t="s">
        <v>77</v>
      </c>
      <c r="P138" t="s">
        <v>1172</v>
      </c>
      <c r="Q138">
        <v>52</v>
      </c>
      <c r="R138" t="s">
        <v>1160</v>
      </c>
      <c r="S138" t="s">
        <v>1160</v>
      </c>
      <c r="T138" t="s">
        <v>800</v>
      </c>
      <c r="U138" t="s">
        <v>850</v>
      </c>
      <c r="W138">
        <v>2000</v>
      </c>
      <c r="X138">
        <v>2000</v>
      </c>
      <c r="Y138" t="s">
        <v>802</v>
      </c>
      <c r="Z138" t="s">
        <v>792</v>
      </c>
      <c r="AB138" t="s">
        <v>793</v>
      </c>
      <c r="AD138" t="s">
        <v>794</v>
      </c>
      <c r="AE138" t="s">
        <v>804</v>
      </c>
      <c r="AF138" t="s">
        <v>864</v>
      </c>
      <c r="AG138" t="s">
        <v>861</v>
      </c>
      <c r="AH138">
        <v>300000</v>
      </c>
      <c r="AI138">
        <v>300000</v>
      </c>
      <c r="AJ138">
        <v>1</v>
      </c>
    </row>
    <row r="139" spans="1:36" x14ac:dyDescent="0.3">
      <c r="A139">
        <f>COUNTIF($D$2:D139,D139)</f>
        <v>15</v>
      </c>
      <c r="B139" t="str">
        <f t="shared" si="9"/>
        <v>15Blackburn with Darwen</v>
      </c>
      <c r="C139" t="s">
        <v>1199</v>
      </c>
      <c r="D139" t="s">
        <v>79</v>
      </c>
      <c r="E139">
        <v>12</v>
      </c>
      <c r="F139" t="s">
        <v>1200</v>
      </c>
      <c r="G139" t="s">
        <v>806</v>
      </c>
      <c r="H139" t="s">
        <v>807</v>
      </c>
      <c r="I139" t="s">
        <v>808</v>
      </c>
      <c r="J139">
        <f t="shared" ca="1" si="10"/>
        <v>35606</v>
      </c>
      <c r="K139">
        <f t="shared" ca="1" si="11"/>
        <v>4</v>
      </c>
      <c r="N139" t="str">
        <f t="shared" si="8"/>
        <v>Blackburn with Darwen2Integrated Offer for CarersCarers ServicesOther</v>
      </c>
      <c r="O139" t="s">
        <v>79</v>
      </c>
      <c r="P139" t="s">
        <v>1201</v>
      </c>
      <c r="Q139">
        <v>2</v>
      </c>
      <c r="R139" t="s">
        <v>1163</v>
      </c>
      <c r="S139" t="s">
        <v>1202</v>
      </c>
      <c r="T139" t="s">
        <v>811</v>
      </c>
      <c r="U139" t="s">
        <v>812</v>
      </c>
      <c r="V139" t="s">
        <v>822</v>
      </c>
      <c r="W139">
        <v>10</v>
      </c>
      <c r="X139">
        <v>10</v>
      </c>
      <c r="Y139" t="s">
        <v>813</v>
      </c>
      <c r="Z139" t="s">
        <v>823</v>
      </c>
      <c r="AB139" t="s">
        <v>824</v>
      </c>
      <c r="AD139" t="s">
        <v>794</v>
      </c>
      <c r="AE139" t="s">
        <v>825</v>
      </c>
      <c r="AF139" t="s">
        <v>796</v>
      </c>
      <c r="AG139" t="s">
        <v>797</v>
      </c>
      <c r="AH139">
        <v>52678</v>
      </c>
      <c r="AI139">
        <v>52678</v>
      </c>
      <c r="AJ139">
        <v>0.77800000000000002</v>
      </c>
    </row>
    <row r="140" spans="1:36" x14ac:dyDescent="0.3">
      <c r="A140">
        <f>COUNTIF($D$2:D140,D140)</f>
        <v>16</v>
      </c>
      <c r="B140" t="str">
        <f t="shared" si="9"/>
        <v>16Blackburn with Darwen</v>
      </c>
      <c r="C140" t="s">
        <v>1203</v>
      </c>
      <c r="D140" t="s">
        <v>79</v>
      </c>
      <c r="E140">
        <v>12</v>
      </c>
      <c r="F140" t="s">
        <v>1204</v>
      </c>
      <c r="G140" t="s">
        <v>806</v>
      </c>
      <c r="H140" t="s">
        <v>807</v>
      </c>
      <c r="I140" t="s">
        <v>808</v>
      </c>
      <c r="J140">
        <f t="shared" ca="1" si="10"/>
        <v>19088</v>
      </c>
      <c r="K140">
        <f t="shared" ca="1" si="11"/>
        <v>3</v>
      </c>
      <c r="N140" t="str">
        <f t="shared" si="8"/>
        <v>Blackburn with Darwen3Integrated Locality TeamsAssistive Technologies and EquipmentCommunity based equipment</v>
      </c>
      <c r="O140" t="s">
        <v>79</v>
      </c>
      <c r="P140" t="s">
        <v>1201</v>
      </c>
      <c r="Q140">
        <v>3</v>
      </c>
      <c r="R140" t="s">
        <v>1165</v>
      </c>
      <c r="S140" t="s">
        <v>1205</v>
      </c>
      <c r="T140" t="s">
        <v>800</v>
      </c>
      <c r="U140" t="s">
        <v>903</v>
      </c>
      <c r="W140">
        <v>832</v>
      </c>
      <c r="X140">
        <v>832</v>
      </c>
      <c r="Y140" t="s">
        <v>802</v>
      </c>
      <c r="Z140" t="s">
        <v>792</v>
      </c>
      <c r="AB140" t="s">
        <v>793</v>
      </c>
      <c r="AD140" t="s">
        <v>794</v>
      </c>
      <c r="AE140" t="s">
        <v>795</v>
      </c>
      <c r="AF140" t="s">
        <v>796</v>
      </c>
      <c r="AG140" t="s">
        <v>797</v>
      </c>
      <c r="AH140">
        <v>121871</v>
      </c>
      <c r="AI140">
        <v>121871</v>
      </c>
      <c r="AJ140">
        <v>8.2000000000000003E-2</v>
      </c>
    </row>
    <row r="141" spans="1:36" x14ac:dyDescent="0.3">
      <c r="A141">
        <f>COUNTIF($D$2:D141,D141)</f>
        <v>17</v>
      </c>
      <c r="B141" t="str">
        <f t="shared" si="9"/>
        <v>17Blackburn with Darwen</v>
      </c>
      <c r="C141" t="s">
        <v>1206</v>
      </c>
      <c r="D141" t="s">
        <v>79</v>
      </c>
      <c r="E141">
        <v>12</v>
      </c>
      <c r="F141" t="s">
        <v>1207</v>
      </c>
      <c r="G141" t="s">
        <v>806</v>
      </c>
      <c r="H141" t="s">
        <v>917</v>
      </c>
      <c r="I141" t="s">
        <v>808</v>
      </c>
      <c r="J141">
        <f t="shared" ca="1" si="10"/>
        <v>18965</v>
      </c>
      <c r="K141">
        <f t="shared" ca="1" si="11"/>
        <v>4</v>
      </c>
      <c r="N141" t="str">
        <f t="shared" si="8"/>
        <v>Blackburn with Darwen3Integrated Locality TeamsBed based intermediate Care Services (Reablement, rehabilitation, wider short-term services supporting recovery)Bed-based intermediate care with rehabilitation (to support discharge)</v>
      </c>
      <c r="O141" t="s">
        <v>79</v>
      </c>
      <c r="P141" t="s">
        <v>1201</v>
      </c>
      <c r="Q141">
        <v>3</v>
      </c>
      <c r="R141" t="s">
        <v>1165</v>
      </c>
      <c r="S141" t="s">
        <v>1205</v>
      </c>
      <c r="T141" t="s">
        <v>877</v>
      </c>
      <c r="U141" t="s">
        <v>968</v>
      </c>
      <c r="W141">
        <v>13</v>
      </c>
      <c r="X141">
        <v>31</v>
      </c>
      <c r="Y141" t="s">
        <v>879</v>
      </c>
      <c r="Z141" t="s">
        <v>792</v>
      </c>
      <c r="AB141" t="s">
        <v>793</v>
      </c>
      <c r="AD141" t="s">
        <v>794</v>
      </c>
      <c r="AE141" t="s">
        <v>795</v>
      </c>
      <c r="AF141" t="s">
        <v>796</v>
      </c>
      <c r="AG141" t="s">
        <v>797</v>
      </c>
      <c r="AH141">
        <v>32102</v>
      </c>
      <c r="AI141">
        <v>32102</v>
      </c>
      <c r="AJ141">
        <v>8.2000000000000007E-3</v>
      </c>
    </row>
    <row r="142" spans="1:36" x14ac:dyDescent="0.3">
      <c r="A142">
        <f>COUNTIF($D$2:D142,D142)</f>
        <v>18</v>
      </c>
      <c r="B142" t="str">
        <f t="shared" si="9"/>
        <v>18Blackburn with Darwen</v>
      </c>
      <c r="C142" t="s">
        <v>1208</v>
      </c>
      <c r="D142" t="s">
        <v>79</v>
      </c>
      <c r="E142">
        <v>12</v>
      </c>
      <c r="F142" t="s">
        <v>1209</v>
      </c>
      <c r="G142" t="s">
        <v>842</v>
      </c>
      <c r="H142" t="s">
        <v>856</v>
      </c>
      <c r="I142" t="s">
        <v>844</v>
      </c>
      <c r="J142">
        <f t="shared" ca="1" si="10"/>
        <v>18884</v>
      </c>
      <c r="K142">
        <f t="shared" ca="1" si="11"/>
        <v>700</v>
      </c>
      <c r="N142" t="str">
        <f t="shared" si="8"/>
        <v xml:space="preserve">Blackburn with Darwen3Integrated Locality TeamsHome-based intermediate care servicesReablement at home (to support discharge) </v>
      </c>
      <c r="O142" t="s">
        <v>79</v>
      </c>
      <c r="P142" t="s">
        <v>1201</v>
      </c>
      <c r="Q142">
        <v>3</v>
      </c>
      <c r="R142" t="s">
        <v>1165</v>
      </c>
      <c r="S142" t="s">
        <v>1205</v>
      </c>
      <c r="T142" t="s">
        <v>787</v>
      </c>
      <c r="U142" t="s">
        <v>788</v>
      </c>
      <c r="W142">
        <v>13</v>
      </c>
      <c r="X142">
        <v>31</v>
      </c>
      <c r="Y142" t="s">
        <v>789</v>
      </c>
      <c r="Z142" t="s">
        <v>792</v>
      </c>
      <c r="AB142" t="s">
        <v>793</v>
      </c>
      <c r="AD142" t="s">
        <v>794</v>
      </c>
      <c r="AE142" t="s">
        <v>795</v>
      </c>
      <c r="AF142" t="s">
        <v>796</v>
      </c>
      <c r="AG142" t="s">
        <v>797</v>
      </c>
      <c r="AH142">
        <v>74906</v>
      </c>
      <c r="AI142">
        <v>74906</v>
      </c>
      <c r="AJ142">
        <v>3.2000000000000001E-2</v>
      </c>
    </row>
    <row r="143" spans="1:36" x14ac:dyDescent="0.3">
      <c r="A143">
        <f>COUNTIF($D$2:D143,D143)</f>
        <v>19</v>
      </c>
      <c r="B143" t="str">
        <f t="shared" si="9"/>
        <v>19Blackburn with Darwen</v>
      </c>
      <c r="C143" t="s">
        <v>1210</v>
      </c>
      <c r="D143" t="s">
        <v>79</v>
      </c>
      <c r="E143">
        <v>12</v>
      </c>
      <c r="F143" t="s">
        <v>1211</v>
      </c>
      <c r="G143" t="s">
        <v>842</v>
      </c>
      <c r="H143" t="s">
        <v>856</v>
      </c>
      <c r="I143" t="s">
        <v>844</v>
      </c>
      <c r="J143">
        <f t="shared" ca="1" si="10"/>
        <v>50400</v>
      </c>
      <c r="K143">
        <f t="shared" ca="1" si="11"/>
        <v>700</v>
      </c>
      <c r="N143" t="str">
        <f t="shared" si="8"/>
        <v>Blackburn with Darwen4Integrated Intermediate CareBed based intermediate Care Services (Reablement, rehabilitation, wider short-term services supporting recovery)Bed-based intermediate care with rehabilitation (to support discharge)</v>
      </c>
      <c r="O143" t="s">
        <v>79</v>
      </c>
      <c r="P143" t="s">
        <v>1201</v>
      </c>
      <c r="Q143">
        <v>4</v>
      </c>
      <c r="R143" t="s">
        <v>1171</v>
      </c>
      <c r="S143" t="s">
        <v>1212</v>
      </c>
      <c r="T143" t="s">
        <v>877</v>
      </c>
      <c r="U143" t="s">
        <v>968</v>
      </c>
      <c r="W143">
        <v>13</v>
      </c>
      <c r="X143">
        <v>31</v>
      </c>
      <c r="Y143" t="s">
        <v>879</v>
      </c>
      <c r="Z143" t="s">
        <v>823</v>
      </c>
      <c r="AB143" t="s">
        <v>793</v>
      </c>
      <c r="AD143" t="s">
        <v>794</v>
      </c>
      <c r="AE143" t="s">
        <v>795</v>
      </c>
      <c r="AF143" t="s">
        <v>796</v>
      </c>
      <c r="AG143" t="s">
        <v>797</v>
      </c>
      <c r="AH143">
        <v>55611</v>
      </c>
      <c r="AI143">
        <v>55611</v>
      </c>
      <c r="AJ143">
        <v>1.4E-2</v>
      </c>
    </row>
    <row r="144" spans="1:36" x14ac:dyDescent="0.3">
      <c r="A144">
        <f>COUNTIF($D$2:D144,D144)</f>
        <v>20</v>
      </c>
      <c r="B144" t="str">
        <f t="shared" si="9"/>
        <v>20Blackburn with Darwen</v>
      </c>
      <c r="C144" t="s">
        <v>1213</v>
      </c>
      <c r="D144" t="s">
        <v>79</v>
      </c>
      <c r="E144">
        <v>12</v>
      </c>
      <c r="F144" t="s">
        <v>1214</v>
      </c>
      <c r="G144" t="s">
        <v>877</v>
      </c>
      <c r="H144" t="s">
        <v>968</v>
      </c>
      <c r="I144" t="s">
        <v>879</v>
      </c>
      <c r="J144">
        <f t="shared" ca="1" si="10"/>
        <v>22950</v>
      </c>
      <c r="K144">
        <f t="shared" ca="1" si="11"/>
        <v>13</v>
      </c>
      <c r="N144" t="str">
        <f t="shared" si="8"/>
        <v xml:space="preserve">Blackburn with Darwen4Integrated Intermediate CareHome-based intermediate care servicesReablement at home (to support discharge) </v>
      </c>
      <c r="O144" t="s">
        <v>79</v>
      </c>
      <c r="P144" t="s">
        <v>1201</v>
      </c>
      <c r="Q144">
        <v>4</v>
      </c>
      <c r="R144" t="s">
        <v>1171</v>
      </c>
      <c r="S144" t="s">
        <v>1212</v>
      </c>
      <c r="T144" t="s">
        <v>787</v>
      </c>
      <c r="U144" t="s">
        <v>788</v>
      </c>
      <c r="W144">
        <v>47</v>
      </c>
      <c r="X144">
        <v>47</v>
      </c>
      <c r="Y144" t="s">
        <v>789</v>
      </c>
      <c r="Z144" t="s">
        <v>823</v>
      </c>
      <c r="AB144" t="s">
        <v>793</v>
      </c>
      <c r="AD144" t="s">
        <v>794</v>
      </c>
      <c r="AE144" t="s">
        <v>795</v>
      </c>
      <c r="AF144" t="s">
        <v>796</v>
      </c>
      <c r="AG144" t="s">
        <v>797</v>
      </c>
      <c r="AH144">
        <v>87747</v>
      </c>
      <c r="AI144">
        <v>87747</v>
      </c>
      <c r="AJ144">
        <v>3.6999999999999998E-2</v>
      </c>
    </row>
    <row r="145" spans="1:36" x14ac:dyDescent="0.3">
      <c r="A145">
        <f>COUNTIF($D$2:D145,D145)</f>
        <v>21</v>
      </c>
      <c r="B145" t="str">
        <f t="shared" si="9"/>
        <v>21Blackburn with Darwen</v>
      </c>
      <c r="C145" t="s">
        <v>1215</v>
      </c>
      <c r="D145" t="s">
        <v>79</v>
      </c>
      <c r="E145">
        <v>12</v>
      </c>
      <c r="F145" t="s">
        <v>1216</v>
      </c>
      <c r="G145" t="s">
        <v>811</v>
      </c>
      <c r="H145" t="s">
        <v>895</v>
      </c>
      <c r="I145" t="s">
        <v>813</v>
      </c>
      <c r="J145">
        <f t="shared" ca="1" si="10"/>
        <v>15000</v>
      </c>
      <c r="K145">
        <f t="shared" ca="1" si="11"/>
        <v>60</v>
      </c>
      <c r="N145" t="str">
        <f t="shared" si="8"/>
        <v>Blackburn with Darwen4Integrated Intermediate CareBed based intermediate Care Services (Reablement, rehabilitation, wider short-term services supporting recovery)Bed-based intermediate care with rehabilitation (to support discharge)</v>
      </c>
      <c r="O145" t="s">
        <v>79</v>
      </c>
      <c r="P145" t="s">
        <v>1201</v>
      </c>
      <c r="Q145">
        <v>4</v>
      </c>
      <c r="R145" t="s">
        <v>1171</v>
      </c>
      <c r="S145" t="s">
        <v>1212</v>
      </c>
      <c r="T145" t="s">
        <v>877</v>
      </c>
      <c r="U145" t="s">
        <v>968</v>
      </c>
      <c r="W145">
        <v>13</v>
      </c>
      <c r="X145">
        <v>31</v>
      </c>
      <c r="Y145" t="s">
        <v>879</v>
      </c>
      <c r="Z145" t="s">
        <v>823</v>
      </c>
      <c r="AB145" t="s">
        <v>824</v>
      </c>
      <c r="AD145" t="s">
        <v>794</v>
      </c>
      <c r="AE145" t="s">
        <v>832</v>
      </c>
      <c r="AF145" t="s">
        <v>796</v>
      </c>
      <c r="AG145" t="s">
        <v>797</v>
      </c>
      <c r="AH145">
        <v>313530</v>
      </c>
      <c r="AI145">
        <v>313530</v>
      </c>
      <c r="AJ145">
        <v>0.08</v>
      </c>
    </row>
    <row r="146" spans="1:36" x14ac:dyDescent="0.3">
      <c r="A146">
        <f>COUNTIF($D$2:D146,D146)</f>
        <v>22</v>
      </c>
      <c r="B146" t="str">
        <f t="shared" si="9"/>
        <v>22Blackburn with Darwen</v>
      </c>
      <c r="C146" t="s">
        <v>1217</v>
      </c>
      <c r="D146" t="s">
        <v>79</v>
      </c>
      <c r="E146">
        <v>12</v>
      </c>
      <c r="F146" t="s">
        <v>1218</v>
      </c>
      <c r="G146" t="s">
        <v>877</v>
      </c>
      <c r="H146" t="s">
        <v>968</v>
      </c>
      <c r="I146" t="s">
        <v>879</v>
      </c>
      <c r="J146" t="e">
        <f t="shared" si="10"/>
        <v>#VALUE!</v>
      </c>
      <c r="K146" t="e">
        <f t="shared" si="11"/>
        <v>#VALUE!</v>
      </c>
      <c r="N146" t="str">
        <f t="shared" si="8"/>
        <v>Blackburn with Darwen4Integrated Intermediate CareBed based intermediate Care Services (Reablement, rehabilitation, wider short-term services supporting recovery)Bed-based intermediate care with rehabilitation (to support discharge)</v>
      </c>
      <c r="O146" t="s">
        <v>79</v>
      </c>
      <c r="P146" t="s">
        <v>1201</v>
      </c>
      <c r="Q146">
        <v>4</v>
      </c>
      <c r="R146" t="s">
        <v>1171</v>
      </c>
      <c r="S146" t="s">
        <v>1212</v>
      </c>
      <c r="T146" t="s">
        <v>877</v>
      </c>
      <c r="U146" t="s">
        <v>968</v>
      </c>
      <c r="W146">
        <v>13</v>
      </c>
      <c r="X146">
        <v>31</v>
      </c>
      <c r="Y146" t="s">
        <v>879</v>
      </c>
      <c r="Z146" t="s">
        <v>823</v>
      </c>
      <c r="AB146" t="s">
        <v>793</v>
      </c>
      <c r="AD146" t="s">
        <v>794</v>
      </c>
      <c r="AE146" t="s">
        <v>795</v>
      </c>
      <c r="AF146" t="s">
        <v>796</v>
      </c>
      <c r="AG146" t="s">
        <v>797</v>
      </c>
      <c r="AH146">
        <v>775927</v>
      </c>
      <c r="AI146">
        <v>775927</v>
      </c>
      <c r="AJ146">
        <v>0.19800000000000001</v>
      </c>
    </row>
    <row r="147" spans="1:36" x14ac:dyDescent="0.3">
      <c r="A147">
        <f>COUNTIF($D$2:D147,D147)</f>
        <v>23</v>
      </c>
      <c r="B147" t="str">
        <f t="shared" si="9"/>
        <v>23Blackburn with Darwen</v>
      </c>
      <c r="C147" t="s">
        <v>1219</v>
      </c>
      <c r="D147" t="s">
        <v>79</v>
      </c>
      <c r="E147">
        <v>12</v>
      </c>
      <c r="F147" t="s">
        <v>1220</v>
      </c>
      <c r="G147" t="s">
        <v>806</v>
      </c>
      <c r="H147" t="s">
        <v>955</v>
      </c>
      <c r="I147" t="s">
        <v>808</v>
      </c>
      <c r="J147">
        <f t="shared" ca="1" si="10"/>
        <v>221000</v>
      </c>
      <c r="K147">
        <f t="shared" ca="1" si="11"/>
        <v>27</v>
      </c>
      <c r="N147" t="str">
        <f t="shared" si="8"/>
        <v>Blackburn with Darwen4Integrated Intermediate CareBed based intermediate Care Services (Reablement, rehabilitation, wider short-term services supporting recovery)Bed-based intermediate care with rehabilitation (to support discharge)</v>
      </c>
      <c r="O147" t="s">
        <v>79</v>
      </c>
      <c r="P147" t="s">
        <v>1201</v>
      </c>
      <c r="Q147">
        <v>4</v>
      </c>
      <c r="R147" t="s">
        <v>1171</v>
      </c>
      <c r="S147" t="s">
        <v>1212</v>
      </c>
      <c r="T147" t="s">
        <v>877</v>
      </c>
      <c r="U147" t="s">
        <v>968</v>
      </c>
      <c r="W147">
        <v>13</v>
      </c>
      <c r="X147">
        <v>31</v>
      </c>
      <c r="Y147" t="s">
        <v>879</v>
      </c>
      <c r="Z147" t="s">
        <v>823</v>
      </c>
      <c r="AB147" t="s">
        <v>824</v>
      </c>
      <c r="AD147" t="s">
        <v>794</v>
      </c>
      <c r="AE147" t="s">
        <v>832</v>
      </c>
      <c r="AF147" t="s">
        <v>796</v>
      </c>
      <c r="AG147" t="s">
        <v>797</v>
      </c>
      <c r="AH147">
        <v>571942</v>
      </c>
      <c r="AI147">
        <v>571942</v>
      </c>
      <c r="AJ147">
        <v>0.14599999999999999</v>
      </c>
    </row>
    <row r="148" spans="1:36" x14ac:dyDescent="0.3">
      <c r="A148">
        <f>COUNTIF($D$2:D148,D148)</f>
        <v>1</v>
      </c>
      <c r="B148" t="str">
        <f t="shared" si="9"/>
        <v>1Blackpool</v>
      </c>
      <c r="C148" t="s">
        <v>1221</v>
      </c>
      <c r="D148" t="s">
        <v>81</v>
      </c>
      <c r="E148">
        <v>1</v>
      </c>
      <c r="F148" t="s">
        <v>1222</v>
      </c>
      <c r="G148" t="s">
        <v>834</v>
      </c>
      <c r="H148" t="s">
        <v>835</v>
      </c>
      <c r="I148" t="s">
        <v>836</v>
      </c>
      <c r="J148">
        <f t="shared" ca="1" si="10"/>
        <v>2614944</v>
      </c>
      <c r="K148">
        <f t="shared" ca="1" si="11"/>
        <v>220</v>
      </c>
      <c r="N148" t="str">
        <f t="shared" si="8"/>
        <v>Blackburn with Darwen4Integrated Intermediate CareBed based intermediate Care Services (Reablement, rehabilitation, wider short-term services supporting recovery)Bed-based intermediate care with rehabilitation (to support discharge)</v>
      </c>
      <c r="O148" t="s">
        <v>79</v>
      </c>
      <c r="P148" t="s">
        <v>1201</v>
      </c>
      <c r="Q148">
        <v>4</v>
      </c>
      <c r="R148" t="s">
        <v>1171</v>
      </c>
      <c r="S148" t="s">
        <v>1212</v>
      </c>
      <c r="T148" t="s">
        <v>877</v>
      </c>
      <c r="U148" t="s">
        <v>968</v>
      </c>
      <c r="W148">
        <v>13</v>
      </c>
      <c r="X148">
        <v>31</v>
      </c>
      <c r="Y148" t="s">
        <v>879</v>
      </c>
      <c r="Z148" t="s">
        <v>823</v>
      </c>
      <c r="AB148" t="s">
        <v>824</v>
      </c>
      <c r="AD148" t="s">
        <v>794</v>
      </c>
      <c r="AE148" t="s">
        <v>832</v>
      </c>
      <c r="AF148" t="s">
        <v>796</v>
      </c>
      <c r="AG148" t="s">
        <v>797</v>
      </c>
      <c r="AH148">
        <v>436478</v>
      </c>
      <c r="AI148">
        <v>436478</v>
      </c>
      <c r="AJ148">
        <v>0.111</v>
      </c>
    </row>
    <row r="149" spans="1:36" x14ac:dyDescent="0.3">
      <c r="A149">
        <f>COUNTIF($D$2:D149,D149)</f>
        <v>2</v>
      </c>
      <c r="B149" t="str">
        <f t="shared" si="9"/>
        <v>2Blackpool</v>
      </c>
      <c r="C149" t="s">
        <v>1223</v>
      </c>
      <c r="D149" t="s">
        <v>81</v>
      </c>
      <c r="E149">
        <v>3</v>
      </c>
      <c r="F149" t="s">
        <v>1224</v>
      </c>
      <c r="G149" t="s">
        <v>877</v>
      </c>
      <c r="H149" t="s">
        <v>968</v>
      </c>
      <c r="I149" t="s">
        <v>879</v>
      </c>
      <c r="J149">
        <f t="shared" ca="1" si="10"/>
        <v>2306991</v>
      </c>
      <c r="K149">
        <f t="shared" ca="1" si="11"/>
        <v>224</v>
      </c>
      <c r="N149" t="str">
        <f t="shared" si="8"/>
        <v>Blackburn with Darwen4Integrated Intermediate CareBed based intermediate Care Services (Reablement, rehabilitation, wider short-term services supporting recovery)Bed-based intermediate care with rehabilitation (to support discharge)</v>
      </c>
      <c r="O149" t="s">
        <v>79</v>
      </c>
      <c r="P149" t="s">
        <v>1201</v>
      </c>
      <c r="Q149">
        <v>4</v>
      </c>
      <c r="R149" t="s">
        <v>1171</v>
      </c>
      <c r="S149" t="s">
        <v>1212</v>
      </c>
      <c r="T149" t="s">
        <v>877</v>
      </c>
      <c r="U149" t="s">
        <v>968</v>
      </c>
      <c r="W149">
        <v>13</v>
      </c>
      <c r="X149">
        <v>31</v>
      </c>
      <c r="Y149" t="s">
        <v>879</v>
      </c>
      <c r="Z149" t="s">
        <v>823</v>
      </c>
      <c r="AB149" t="s">
        <v>793</v>
      </c>
      <c r="AD149" t="s">
        <v>794</v>
      </c>
      <c r="AE149" t="s">
        <v>795</v>
      </c>
      <c r="AF149" t="s">
        <v>796</v>
      </c>
      <c r="AG149" t="s">
        <v>797</v>
      </c>
      <c r="AH149">
        <v>226049</v>
      </c>
      <c r="AI149">
        <v>226049</v>
      </c>
      <c r="AJ149">
        <v>5.8000000000000003E-2</v>
      </c>
    </row>
    <row r="150" spans="1:36" x14ac:dyDescent="0.3">
      <c r="A150">
        <f>COUNTIF($D$2:D150,D150)</f>
        <v>3</v>
      </c>
      <c r="B150" t="str">
        <f t="shared" si="9"/>
        <v>3Blackpool</v>
      </c>
      <c r="C150" t="s">
        <v>1225</v>
      </c>
      <c r="D150" t="s">
        <v>81</v>
      </c>
      <c r="E150">
        <v>4</v>
      </c>
      <c r="F150" t="s">
        <v>1226</v>
      </c>
      <c r="G150" t="s">
        <v>842</v>
      </c>
      <c r="H150" t="s">
        <v>843</v>
      </c>
      <c r="I150" t="s">
        <v>844</v>
      </c>
      <c r="J150">
        <f t="shared" ca="1" si="10"/>
        <v>2856902</v>
      </c>
      <c r="K150">
        <f t="shared" ca="1" si="11"/>
        <v>10416</v>
      </c>
      <c r="N150" t="str">
        <f t="shared" si="8"/>
        <v>Blackburn with Darwen4Integrated Intermediate CareBed based intermediate Care Services (Reablement, rehabilitation, wider short-term services supporting recovery)Bed-based intermediate care with rehabilitation (to support discharge)</v>
      </c>
      <c r="O150" t="s">
        <v>79</v>
      </c>
      <c r="P150" t="s">
        <v>1201</v>
      </c>
      <c r="Q150">
        <v>4</v>
      </c>
      <c r="R150" t="s">
        <v>1171</v>
      </c>
      <c r="S150" t="s">
        <v>1212</v>
      </c>
      <c r="T150" t="s">
        <v>877</v>
      </c>
      <c r="U150" t="s">
        <v>968</v>
      </c>
      <c r="W150">
        <v>13</v>
      </c>
      <c r="X150">
        <v>31</v>
      </c>
      <c r="Y150" t="s">
        <v>879</v>
      </c>
      <c r="Z150" t="s">
        <v>823</v>
      </c>
      <c r="AB150" t="s">
        <v>824</v>
      </c>
      <c r="AD150" t="s">
        <v>794</v>
      </c>
      <c r="AE150" t="s">
        <v>832</v>
      </c>
      <c r="AF150" t="s">
        <v>796</v>
      </c>
      <c r="AG150" t="s">
        <v>797</v>
      </c>
      <c r="AH150">
        <v>5243</v>
      </c>
      <c r="AI150">
        <v>5243</v>
      </c>
      <c r="AJ150">
        <v>1.2999999999999999E-3</v>
      </c>
    </row>
    <row r="151" spans="1:36" x14ac:dyDescent="0.3">
      <c r="A151">
        <f>COUNTIF($D$2:D151,D151)</f>
        <v>4</v>
      </c>
      <c r="B151" t="str">
        <f t="shared" si="9"/>
        <v>4Blackpool</v>
      </c>
      <c r="C151" t="s">
        <v>1227</v>
      </c>
      <c r="D151" t="s">
        <v>81</v>
      </c>
      <c r="E151">
        <v>5</v>
      </c>
      <c r="F151" t="s">
        <v>1228</v>
      </c>
      <c r="G151" t="s">
        <v>800</v>
      </c>
      <c r="H151" t="s">
        <v>850</v>
      </c>
      <c r="I151" t="s">
        <v>802</v>
      </c>
      <c r="J151">
        <f t="shared" ca="1" si="10"/>
        <v>1364875</v>
      </c>
      <c r="K151">
        <f t="shared" ca="1" si="11"/>
        <v>2871</v>
      </c>
      <c r="N151" t="str">
        <f t="shared" si="8"/>
        <v>Blackburn with Darwen4Integrated Intermediate CareBed based intermediate Care Services (Reablement, rehabilitation, wider short-term services supporting recovery)Bed-based intermediate care with rehabilitation (to support discharge)</v>
      </c>
      <c r="O151" t="s">
        <v>79</v>
      </c>
      <c r="P151" t="s">
        <v>1201</v>
      </c>
      <c r="Q151">
        <v>4</v>
      </c>
      <c r="R151" t="s">
        <v>1171</v>
      </c>
      <c r="S151" t="s">
        <v>1212</v>
      </c>
      <c r="T151" t="s">
        <v>877</v>
      </c>
      <c r="U151" t="s">
        <v>968</v>
      </c>
      <c r="W151">
        <v>13</v>
      </c>
      <c r="X151">
        <v>31</v>
      </c>
      <c r="Y151" t="s">
        <v>879</v>
      </c>
      <c r="Z151" t="s">
        <v>823</v>
      </c>
      <c r="AB151" t="s">
        <v>793</v>
      </c>
      <c r="AD151" t="s">
        <v>794</v>
      </c>
      <c r="AE151" t="s">
        <v>795</v>
      </c>
      <c r="AF151" t="s">
        <v>796</v>
      </c>
      <c r="AG151" t="s">
        <v>797</v>
      </c>
      <c r="AH151">
        <v>400000</v>
      </c>
      <c r="AI151">
        <v>400000</v>
      </c>
      <c r="AJ151">
        <v>0.10199999999999999</v>
      </c>
    </row>
    <row r="152" spans="1:36" x14ac:dyDescent="0.3">
      <c r="A152">
        <f>COUNTIF($D$2:D152,D152)</f>
        <v>5</v>
      </c>
      <c r="B152" t="str">
        <f t="shared" si="9"/>
        <v>5Blackpool</v>
      </c>
      <c r="C152" t="s">
        <v>1229</v>
      </c>
      <c r="D152" t="s">
        <v>81</v>
      </c>
      <c r="E152">
        <v>6</v>
      </c>
      <c r="F152" t="s">
        <v>1230</v>
      </c>
      <c r="G152" t="s">
        <v>811</v>
      </c>
      <c r="H152" t="s">
        <v>830</v>
      </c>
      <c r="I152" t="s">
        <v>813</v>
      </c>
      <c r="J152">
        <f t="shared" ca="1" si="10"/>
        <v>277986</v>
      </c>
      <c r="K152">
        <f t="shared" ca="1" si="11"/>
        <v>32</v>
      </c>
      <c r="N152" t="str">
        <f t="shared" si="8"/>
        <v>Blackburn with Darwen4Integrated Intermediate CareBed based intermediate Care Services (Reablement, rehabilitation, wider short-term services supporting recovery)Bed-based intermediate care with rehabilitation (to support discharge)</v>
      </c>
      <c r="O152" t="s">
        <v>79</v>
      </c>
      <c r="P152" t="s">
        <v>1201</v>
      </c>
      <c r="Q152">
        <v>4</v>
      </c>
      <c r="R152" t="s">
        <v>1171</v>
      </c>
      <c r="S152" t="s">
        <v>1212</v>
      </c>
      <c r="T152" t="s">
        <v>877</v>
      </c>
      <c r="U152" t="s">
        <v>968</v>
      </c>
      <c r="W152">
        <v>13</v>
      </c>
      <c r="X152">
        <v>31</v>
      </c>
      <c r="Y152" t="s">
        <v>879</v>
      </c>
      <c r="Z152" t="s">
        <v>823</v>
      </c>
      <c r="AB152" t="s">
        <v>793</v>
      </c>
      <c r="AD152" t="s">
        <v>794</v>
      </c>
      <c r="AE152" t="s">
        <v>795</v>
      </c>
      <c r="AF152" t="s">
        <v>796</v>
      </c>
      <c r="AG152" t="s">
        <v>797</v>
      </c>
      <c r="AH152">
        <v>294758</v>
      </c>
      <c r="AI152">
        <v>294758</v>
      </c>
      <c r="AJ152">
        <v>7.4999999999999997E-2</v>
      </c>
    </row>
    <row r="153" spans="1:36" x14ac:dyDescent="0.3">
      <c r="A153">
        <f>COUNTIF($D$2:D153,D153)</f>
        <v>6</v>
      </c>
      <c r="B153" t="str">
        <f t="shared" si="9"/>
        <v>6Blackpool</v>
      </c>
      <c r="C153" t="s">
        <v>1231</v>
      </c>
      <c r="D153" t="s">
        <v>81</v>
      </c>
      <c r="E153">
        <v>8</v>
      </c>
      <c r="F153" t="s">
        <v>1232</v>
      </c>
      <c r="G153" t="s">
        <v>811</v>
      </c>
      <c r="H153" t="s">
        <v>830</v>
      </c>
      <c r="I153" t="s">
        <v>813</v>
      </c>
      <c r="J153">
        <f t="shared" ca="1" si="10"/>
        <v>1344839</v>
      </c>
      <c r="K153">
        <f t="shared" ca="1" si="11"/>
        <v>158</v>
      </c>
      <c r="N153" t="str">
        <f t="shared" si="8"/>
        <v>Blackburn with Darwen5Intensive Home Support - Reablement and Crisis Support ServiceBed based intermediate Care Services (Reablement, rehabilitation, wider short-term services supporting recovery)Bed-based intermediate care with rehabilitation (to support discharge)</v>
      </c>
      <c r="O153" t="s">
        <v>79</v>
      </c>
      <c r="P153" t="s">
        <v>1201</v>
      </c>
      <c r="Q153">
        <v>5</v>
      </c>
      <c r="R153" t="s">
        <v>1177</v>
      </c>
      <c r="S153" t="s">
        <v>1233</v>
      </c>
      <c r="T153" t="s">
        <v>877</v>
      </c>
      <c r="U153" t="s">
        <v>968</v>
      </c>
      <c r="W153">
        <v>47</v>
      </c>
      <c r="X153">
        <v>47</v>
      </c>
      <c r="Y153" t="s">
        <v>879</v>
      </c>
      <c r="Z153" t="s">
        <v>792</v>
      </c>
      <c r="AB153" t="s">
        <v>793</v>
      </c>
      <c r="AD153" t="s">
        <v>794</v>
      </c>
      <c r="AE153" t="s">
        <v>795</v>
      </c>
      <c r="AF153" t="s">
        <v>796</v>
      </c>
      <c r="AG153" t="s">
        <v>797</v>
      </c>
      <c r="AH153">
        <v>53417</v>
      </c>
      <c r="AI153">
        <v>53417</v>
      </c>
      <c r="AJ153">
        <v>1.4E-2</v>
      </c>
    </row>
    <row r="154" spans="1:36" x14ac:dyDescent="0.3">
      <c r="A154">
        <f>COUNTIF($D$2:D154,D154)</f>
        <v>7</v>
      </c>
      <c r="B154" t="str">
        <f t="shared" si="9"/>
        <v>7Blackpool</v>
      </c>
      <c r="C154" t="s">
        <v>1234</v>
      </c>
      <c r="D154" t="s">
        <v>81</v>
      </c>
      <c r="E154">
        <v>22</v>
      </c>
      <c r="F154" t="s">
        <v>1235</v>
      </c>
      <c r="G154" t="s">
        <v>800</v>
      </c>
      <c r="H154" t="s">
        <v>903</v>
      </c>
      <c r="I154" t="s">
        <v>802</v>
      </c>
      <c r="J154">
        <f t="shared" ca="1" si="10"/>
        <v>1057750</v>
      </c>
      <c r="K154">
        <f t="shared" ca="1" si="11"/>
        <v>9385</v>
      </c>
      <c r="N154" t="str">
        <f t="shared" si="8"/>
        <v xml:space="preserve">Blackburn with Darwen5Intensive Home Support - Reablement and Crisis Support ServiceHome-based intermediate care servicesReablement at home (to support discharge) </v>
      </c>
      <c r="O154" t="s">
        <v>79</v>
      </c>
      <c r="P154" t="s">
        <v>1201</v>
      </c>
      <c r="Q154">
        <v>5</v>
      </c>
      <c r="R154" t="s">
        <v>1177</v>
      </c>
      <c r="S154" t="s">
        <v>1233</v>
      </c>
      <c r="T154" t="s">
        <v>787</v>
      </c>
      <c r="U154" t="s">
        <v>788</v>
      </c>
      <c r="W154">
        <v>46</v>
      </c>
      <c r="X154">
        <v>46</v>
      </c>
      <c r="Y154" t="s">
        <v>789</v>
      </c>
      <c r="Z154" t="s">
        <v>792</v>
      </c>
      <c r="AB154" t="s">
        <v>793</v>
      </c>
      <c r="AD154" t="s">
        <v>794</v>
      </c>
      <c r="AE154" t="s">
        <v>795</v>
      </c>
      <c r="AF154" t="s">
        <v>796</v>
      </c>
      <c r="AG154" t="s">
        <v>797</v>
      </c>
      <c r="AH154">
        <v>534405</v>
      </c>
      <c r="AI154">
        <v>534405</v>
      </c>
      <c r="AJ154">
        <v>0.22700000000000001</v>
      </c>
    </row>
    <row r="155" spans="1:36" x14ac:dyDescent="0.3">
      <c r="A155">
        <f>COUNTIF($D$2:D155,D155)</f>
        <v>8</v>
      </c>
      <c r="B155" t="str">
        <f t="shared" si="9"/>
        <v>8Blackpool</v>
      </c>
      <c r="C155" t="s">
        <v>1236</v>
      </c>
      <c r="D155" t="s">
        <v>81</v>
      </c>
      <c r="E155">
        <v>35</v>
      </c>
      <c r="F155" t="s">
        <v>1237</v>
      </c>
      <c r="G155" t="s">
        <v>877</v>
      </c>
      <c r="H155" t="s">
        <v>1015</v>
      </c>
      <c r="I155" t="s">
        <v>879</v>
      </c>
      <c r="J155">
        <f t="shared" ca="1" si="10"/>
        <v>1127290</v>
      </c>
      <c r="K155">
        <f t="shared" ca="1" si="11"/>
        <v>224</v>
      </c>
      <c r="N155" t="str">
        <f t="shared" si="8"/>
        <v>Blackburn with Darwen5Intensive Home Support - Aids and AdaptationsAssistive Technologies and EquipmentCommunity based equipment</v>
      </c>
      <c r="O155" t="s">
        <v>79</v>
      </c>
      <c r="P155" t="s">
        <v>1201</v>
      </c>
      <c r="Q155">
        <v>5</v>
      </c>
      <c r="R155" t="s">
        <v>1182</v>
      </c>
      <c r="S155" t="s">
        <v>1233</v>
      </c>
      <c r="T155" t="s">
        <v>800</v>
      </c>
      <c r="U155" t="s">
        <v>903</v>
      </c>
      <c r="W155">
        <v>14138</v>
      </c>
      <c r="X155">
        <v>13000</v>
      </c>
      <c r="Y155" t="s">
        <v>802</v>
      </c>
      <c r="Z155" t="s">
        <v>792</v>
      </c>
      <c r="AB155" t="s">
        <v>793</v>
      </c>
      <c r="AD155" t="s">
        <v>794</v>
      </c>
      <c r="AE155" t="s">
        <v>804</v>
      </c>
      <c r="AF155" t="s">
        <v>796</v>
      </c>
      <c r="AG155" t="s">
        <v>797</v>
      </c>
      <c r="AH155">
        <v>332646</v>
      </c>
      <c r="AI155">
        <v>332646</v>
      </c>
      <c r="AJ155">
        <v>0.224</v>
      </c>
    </row>
    <row r="156" spans="1:36" x14ac:dyDescent="0.3">
      <c r="A156">
        <f>COUNTIF($D$2:D156,D156)</f>
        <v>9</v>
      </c>
      <c r="B156" t="str">
        <f t="shared" si="9"/>
        <v>9Blackpool</v>
      </c>
      <c r="C156" t="s">
        <v>1238</v>
      </c>
      <c r="D156" t="s">
        <v>81</v>
      </c>
      <c r="E156">
        <v>36</v>
      </c>
      <c r="F156" t="s">
        <v>1239</v>
      </c>
      <c r="G156" t="s">
        <v>811</v>
      </c>
      <c r="H156" t="s">
        <v>895</v>
      </c>
      <c r="I156" t="s">
        <v>813</v>
      </c>
      <c r="J156">
        <f t="shared" ca="1" si="10"/>
        <v>158470</v>
      </c>
      <c r="K156">
        <f t="shared" ca="1" si="11"/>
        <v>986</v>
      </c>
      <c r="N156" t="str">
        <f t="shared" si="8"/>
        <v xml:space="preserve">Blackburn with Darwen5Intensive Home Support - Reablement and Crisis Support ServiceHome-based intermediate care servicesReablement at home (to support discharge) </v>
      </c>
      <c r="O156" t="s">
        <v>79</v>
      </c>
      <c r="P156" t="s">
        <v>1201</v>
      </c>
      <c r="Q156">
        <v>5</v>
      </c>
      <c r="R156" t="s">
        <v>1177</v>
      </c>
      <c r="S156" t="s">
        <v>1233</v>
      </c>
      <c r="T156" t="s">
        <v>787</v>
      </c>
      <c r="U156" t="s">
        <v>788</v>
      </c>
      <c r="W156">
        <v>215</v>
      </c>
      <c r="X156">
        <v>215</v>
      </c>
      <c r="Y156" t="s">
        <v>789</v>
      </c>
      <c r="Z156" t="s">
        <v>823</v>
      </c>
      <c r="AB156" t="s">
        <v>793</v>
      </c>
      <c r="AD156" t="s">
        <v>794</v>
      </c>
      <c r="AE156" t="s">
        <v>795</v>
      </c>
      <c r="AF156" t="s">
        <v>796</v>
      </c>
      <c r="AG156" t="s">
        <v>797</v>
      </c>
      <c r="AH156">
        <v>175890</v>
      </c>
      <c r="AI156">
        <v>175890</v>
      </c>
      <c r="AJ156">
        <v>7.4999999999999997E-2</v>
      </c>
    </row>
    <row r="157" spans="1:36" x14ac:dyDescent="0.3">
      <c r="A157">
        <f>COUNTIF($D$2:D157,D157)</f>
        <v>10</v>
      </c>
      <c r="B157" t="str">
        <f t="shared" si="9"/>
        <v>10Blackpool</v>
      </c>
      <c r="C157" t="s">
        <v>1240</v>
      </c>
      <c r="D157" t="s">
        <v>81</v>
      </c>
      <c r="E157">
        <v>51</v>
      </c>
      <c r="F157" t="s">
        <v>1241</v>
      </c>
      <c r="G157" t="s">
        <v>842</v>
      </c>
      <c r="H157" t="s">
        <v>843</v>
      </c>
      <c r="I157" t="s">
        <v>844</v>
      </c>
      <c r="J157">
        <f t="shared" ca="1" si="10"/>
        <v>468730</v>
      </c>
      <c r="K157">
        <f t="shared" ca="1" si="11"/>
        <v>5208</v>
      </c>
      <c r="N157" t="str">
        <f t="shared" si="8"/>
        <v>Blackburn with Darwen5Intensive Home Support - Community EquipmentAssistive Technologies and EquipmentCommunity based equipment</v>
      </c>
      <c r="O157" t="s">
        <v>79</v>
      </c>
      <c r="P157" t="s">
        <v>1201</v>
      </c>
      <c r="Q157">
        <v>5</v>
      </c>
      <c r="R157" t="s">
        <v>1186</v>
      </c>
      <c r="S157" t="s">
        <v>1233</v>
      </c>
      <c r="T157" t="s">
        <v>800</v>
      </c>
      <c r="U157" t="s">
        <v>903</v>
      </c>
      <c r="W157">
        <v>6793</v>
      </c>
      <c r="X157">
        <v>6793</v>
      </c>
      <c r="Y157" t="s">
        <v>802</v>
      </c>
      <c r="Z157" t="s">
        <v>823</v>
      </c>
      <c r="AB157" t="s">
        <v>824</v>
      </c>
      <c r="AD157" t="s">
        <v>794</v>
      </c>
      <c r="AE157" t="s">
        <v>804</v>
      </c>
      <c r="AF157" t="s">
        <v>796</v>
      </c>
      <c r="AG157" t="s">
        <v>797</v>
      </c>
      <c r="AH157">
        <v>918333</v>
      </c>
      <c r="AI157">
        <v>918333</v>
      </c>
      <c r="AJ157">
        <v>0.61799999999999999</v>
      </c>
    </row>
    <row r="158" spans="1:36" x14ac:dyDescent="0.3">
      <c r="A158">
        <f>COUNTIF($D$2:D158,D158)</f>
        <v>11</v>
      </c>
      <c r="B158" t="str">
        <f t="shared" si="9"/>
        <v>11Blackpool</v>
      </c>
      <c r="C158" t="s">
        <v>1242</v>
      </c>
      <c r="D158" t="s">
        <v>81</v>
      </c>
      <c r="E158">
        <v>53</v>
      </c>
      <c r="F158" t="s">
        <v>1243</v>
      </c>
      <c r="G158" t="s">
        <v>877</v>
      </c>
      <c r="H158" t="s">
        <v>968</v>
      </c>
      <c r="I158" t="s">
        <v>879</v>
      </c>
      <c r="J158">
        <f t="shared" ca="1" si="10"/>
        <v>124546</v>
      </c>
      <c r="K158">
        <f t="shared" ca="1" si="11"/>
        <v>224</v>
      </c>
      <c r="N158" t="str">
        <f t="shared" si="8"/>
        <v>Blackburn with Darwen5Intensive Home Support - Walking FrameAssistive Technologies and EquipmentCommunity based equipment</v>
      </c>
      <c r="O158" t="s">
        <v>79</v>
      </c>
      <c r="P158" t="s">
        <v>1201</v>
      </c>
      <c r="Q158">
        <v>5</v>
      </c>
      <c r="R158" t="s">
        <v>1188</v>
      </c>
      <c r="S158" t="s">
        <v>1233</v>
      </c>
      <c r="T158" t="s">
        <v>800</v>
      </c>
      <c r="U158" t="s">
        <v>903</v>
      </c>
      <c r="W158">
        <v>340</v>
      </c>
      <c r="X158">
        <v>340</v>
      </c>
      <c r="Y158" t="s">
        <v>802</v>
      </c>
      <c r="Z158" t="s">
        <v>823</v>
      </c>
      <c r="AB158" t="s">
        <v>824</v>
      </c>
      <c r="AD158" t="s">
        <v>794</v>
      </c>
      <c r="AE158" t="s">
        <v>804</v>
      </c>
      <c r="AF158" t="s">
        <v>796</v>
      </c>
      <c r="AG158" t="s">
        <v>797</v>
      </c>
      <c r="AH158">
        <v>27112</v>
      </c>
      <c r="AI158">
        <v>27112</v>
      </c>
      <c r="AJ158">
        <v>1.7999999999999999E-2</v>
      </c>
    </row>
    <row r="159" spans="1:36" x14ac:dyDescent="0.3">
      <c r="A159">
        <f>COUNTIF($D$2:D159,D159)</f>
        <v>1</v>
      </c>
      <c r="B159" t="str">
        <f t="shared" si="9"/>
        <v>1Bolton</v>
      </c>
      <c r="C159" t="s">
        <v>1244</v>
      </c>
      <c r="D159" t="s">
        <v>83</v>
      </c>
      <c r="E159">
        <v>1</v>
      </c>
      <c r="F159" t="s">
        <v>964</v>
      </c>
      <c r="G159" t="s">
        <v>800</v>
      </c>
      <c r="H159" t="s">
        <v>850</v>
      </c>
      <c r="I159" t="s">
        <v>802</v>
      </c>
      <c r="J159">
        <f t="shared" ca="1" si="10"/>
        <v>29585</v>
      </c>
      <c r="K159">
        <f t="shared" ca="1" si="11"/>
        <v>277</v>
      </c>
      <c r="N159" t="str">
        <f t="shared" si="8"/>
        <v>Blackburn with Darwen5Intensive Home Support - Community EquipmentAssistive Technologies and EquipmentCommunity based equipment</v>
      </c>
      <c r="O159" t="s">
        <v>79</v>
      </c>
      <c r="P159" t="s">
        <v>1201</v>
      </c>
      <c r="Q159">
        <v>5</v>
      </c>
      <c r="R159" t="s">
        <v>1186</v>
      </c>
      <c r="S159" t="s">
        <v>1233</v>
      </c>
      <c r="T159" t="s">
        <v>800</v>
      </c>
      <c r="U159" t="s">
        <v>903</v>
      </c>
      <c r="W159">
        <v>5569</v>
      </c>
      <c r="X159">
        <v>5569</v>
      </c>
      <c r="Y159" t="s">
        <v>802</v>
      </c>
      <c r="Z159" t="s">
        <v>823</v>
      </c>
      <c r="AB159" t="s">
        <v>824</v>
      </c>
      <c r="AD159" t="s">
        <v>794</v>
      </c>
      <c r="AE159" t="s">
        <v>832</v>
      </c>
      <c r="AF159" t="s">
        <v>796</v>
      </c>
      <c r="AG159" t="s">
        <v>797</v>
      </c>
      <c r="AH159">
        <v>85916</v>
      </c>
      <c r="AI159">
        <v>85916</v>
      </c>
      <c r="AJ159">
        <v>5.8000000000000003E-2</v>
      </c>
    </row>
    <row r="160" spans="1:36" x14ac:dyDescent="0.3">
      <c r="A160">
        <f>COUNTIF($D$2:D160,D160)</f>
        <v>2</v>
      </c>
      <c r="B160" t="str">
        <f t="shared" si="9"/>
        <v>2Bolton</v>
      </c>
      <c r="C160" t="s">
        <v>1245</v>
      </c>
      <c r="D160" t="s">
        <v>83</v>
      </c>
      <c r="E160">
        <v>1</v>
      </c>
      <c r="F160" t="s">
        <v>1246</v>
      </c>
      <c r="G160" t="s">
        <v>800</v>
      </c>
      <c r="H160" t="s">
        <v>903</v>
      </c>
      <c r="I160" t="s">
        <v>802</v>
      </c>
      <c r="J160">
        <f t="shared" ca="1" si="10"/>
        <v>1979872</v>
      </c>
      <c r="K160">
        <f t="shared" ca="1" si="11"/>
        <v>7117</v>
      </c>
      <c r="N160" t="str">
        <f t="shared" si="8"/>
        <v>Blackburn with Darwen7DFG CapitalDFG Related SchemesAdaptations, including statutory DFG grants</v>
      </c>
      <c r="O160" t="s">
        <v>79</v>
      </c>
      <c r="P160" t="s">
        <v>1201</v>
      </c>
      <c r="Q160">
        <v>7</v>
      </c>
      <c r="R160" t="s">
        <v>1190</v>
      </c>
      <c r="S160" t="s">
        <v>1247</v>
      </c>
      <c r="T160" t="s">
        <v>834</v>
      </c>
      <c r="U160" t="s">
        <v>835</v>
      </c>
      <c r="W160">
        <v>250</v>
      </c>
      <c r="X160">
        <v>250</v>
      </c>
      <c r="Y160" t="s">
        <v>836</v>
      </c>
      <c r="Z160" t="s">
        <v>792</v>
      </c>
      <c r="AB160" t="s">
        <v>793</v>
      </c>
      <c r="AD160" t="s">
        <v>794</v>
      </c>
      <c r="AE160" t="s">
        <v>795</v>
      </c>
      <c r="AF160" t="s">
        <v>840</v>
      </c>
      <c r="AG160" t="s">
        <v>797</v>
      </c>
      <c r="AH160">
        <v>2129743</v>
      </c>
      <c r="AI160">
        <v>2129743</v>
      </c>
      <c r="AJ160">
        <v>0.75</v>
      </c>
    </row>
    <row r="161" spans="1:36" x14ac:dyDescent="0.3">
      <c r="A161">
        <f>COUNTIF($D$2:D161,D161)</f>
        <v>3</v>
      </c>
      <c r="B161" t="str">
        <f t="shared" si="9"/>
        <v>3Bolton</v>
      </c>
      <c r="C161" t="s">
        <v>1248</v>
      </c>
      <c r="D161" t="s">
        <v>83</v>
      </c>
      <c r="E161">
        <v>1</v>
      </c>
      <c r="F161" t="s">
        <v>1246</v>
      </c>
      <c r="G161" t="s">
        <v>800</v>
      </c>
      <c r="H161" t="s">
        <v>850</v>
      </c>
      <c r="I161" t="s">
        <v>802</v>
      </c>
      <c r="J161">
        <f t="shared" ca="1" si="10"/>
        <v>282654.99999999965</v>
      </c>
      <c r="K161">
        <f t="shared" ca="1" si="11"/>
        <v>830</v>
      </c>
      <c r="N161" t="str">
        <f t="shared" si="8"/>
        <v>Blackburn with Darwen7DFG CapitalDFG Related SchemesAdaptations, including statutory DFG grants</v>
      </c>
      <c r="O161" t="s">
        <v>79</v>
      </c>
      <c r="P161" t="s">
        <v>1201</v>
      </c>
      <c r="Q161">
        <v>7</v>
      </c>
      <c r="R161" t="s">
        <v>1190</v>
      </c>
      <c r="S161" t="s">
        <v>1247</v>
      </c>
      <c r="T161" t="s">
        <v>834</v>
      </c>
      <c r="U161" t="s">
        <v>835</v>
      </c>
      <c r="W161">
        <v>171.3353442175887</v>
      </c>
      <c r="X161">
        <v>171.3353442175887</v>
      </c>
      <c r="Y161" t="s">
        <v>836</v>
      </c>
      <c r="Z161" t="s">
        <v>792</v>
      </c>
      <c r="AB161" t="s">
        <v>793</v>
      </c>
      <c r="AD161" t="s">
        <v>794</v>
      </c>
      <c r="AE161" t="s">
        <v>795</v>
      </c>
      <c r="AF161" t="s">
        <v>1029</v>
      </c>
      <c r="AG161" t="s">
        <v>797</v>
      </c>
      <c r="AH161">
        <v>1459601</v>
      </c>
      <c r="AI161">
        <v>0</v>
      </c>
      <c r="AJ161">
        <v>0.25</v>
      </c>
    </row>
    <row r="162" spans="1:36" x14ac:dyDescent="0.3">
      <c r="A162">
        <f>COUNTIF($D$2:D162,D162)</f>
        <v>4</v>
      </c>
      <c r="B162" t="str">
        <f t="shared" si="9"/>
        <v>4Bolton</v>
      </c>
      <c r="C162" t="s">
        <v>1249</v>
      </c>
      <c r="D162" t="s">
        <v>83</v>
      </c>
      <c r="E162">
        <v>3</v>
      </c>
      <c r="F162" t="s">
        <v>1250</v>
      </c>
      <c r="G162" t="s">
        <v>811</v>
      </c>
      <c r="H162" t="s">
        <v>830</v>
      </c>
      <c r="I162" t="s">
        <v>813</v>
      </c>
      <c r="J162">
        <f t="shared" ca="1" si="10"/>
        <v>884914</v>
      </c>
      <c r="K162">
        <f t="shared" ca="1" si="11"/>
        <v>1258</v>
      </c>
      <c r="N162" t="str">
        <f t="shared" si="8"/>
        <v>Blackburn with Darwen11Reducing Pressures in the NHSHome-based intermediate care servicesRehabilitation at home (to support discharge)</v>
      </c>
      <c r="O162" t="s">
        <v>79</v>
      </c>
      <c r="P162" t="s">
        <v>1201</v>
      </c>
      <c r="Q162">
        <v>11</v>
      </c>
      <c r="R162" t="s">
        <v>1194</v>
      </c>
      <c r="S162" t="s">
        <v>1251</v>
      </c>
      <c r="T162" t="s">
        <v>787</v>
      </c>
      <c r="U162" t="s">
        <v>1195</v>
      </c>
      <c r="V162" t="s">
        <v>1252</v>
      </c>
      <c r="W162">
        <v>47</v>
      </c>
      <c r="X162">
        <v>47</v>
      </c>
      <c r="Y162" t="s">
        <v>789</v>
      </c>
      <c r="Z162" t="s">
        <v>792</v>
      </c>
      <c r="AB162" t="s">
        <v>793</v>
      </c>
      <c r="AD162" t="s">
        <v>794</v>
      </c>
      <c r="AE162" t="s">
        <v>795</v>
      </c>
      <c r="AF162" t="s">
        <v>845</v>
      </c>
      <c r="AG162" t="s">
        <v>797</v>
      </c>
      <c r="AH162">
        <v>715286</v>
      </c>
      <c r="AI162">
        <v>715286</v>
      </c>
      <c r="AJ162">
        <v>0.30399999999999999</v>
      </c>
    </row>
    <row r="163" spans="1:36" x14ac:dyDescent="0.3">
      <c r="A163">
        <f>COUNTIF($D$2:D163,D163)</f>
        <v>5</v>
      </c>
      <c r="B163" t="str">
        <f t="shared" si="9"/>
        <v>5Bolton</v>
      </c>
      <c r="C163" t="s">
        <v>1253</v>
      </c>
      <c r="D163" t="s">
        <v>83</v>
      </c>
      <c r="E163">
        <v>3</v>
      </c>
      <c r="F163" t="s">
        <v>1250</v>
      </c>
      <c r="G163" t="s">
        <v>811</v>
      </c>
      <c r="H163" t="s">
        <v>895</v>
      </c>
      <c r="I163" t="s">
        <v>813</v>
      </c>
      <c r="J163">
        <f t="shared" ca="1" si="10"/>
        <v>142055.82</v>
      </c>
      <c r="K163">
        <f t="shared" ca="1" si="11"/>
        <v>372</v>
      </c>
      <c r="N163" t="str">
        <f t="shared" si="8"/>
        <v>Blackburn with Darwen11Winter Pressures Home-based intermediate care servicesRehabilitation at home (to support discharge)</v>
      </c>
      <c r="O163" t="s">
        <v>79</v>
      </c>
      <c r="P163" t="s">
        <v>1201</v>
      </c>
      <c r="Q163">
        <v>11</v>
      </c>
      <c r="R163" t="s">
        <v>1198</v>
      </c>
      <c r="S163" t="s">
        <v>1198</v>
      </c>
      <c r="T163" t="s">
        <v>787</v>
      </c>
      <c r="U163" t="s">
        <v>1195</v>
      </c>
      <c r="V163" t="s">
        <v>1251</v>
      </c>
      <c r="W163">
        <v>215</v>
      </c>
      <c r="X163">
        <v>215</v>
      </c>
      <c r="Y163" t="s">
        <v>789</v>
      </c>
      <c r="Z163" t="s">
        <v>792</v>
      </c>
      <c r="AB163" t="s">
        <v>793</v>
      </c>
      <c r="AD163" t="s">
        <v>794</v>
      </c>
      <c r="AE163" t="s">
        <v>795</v>
      </c>
      <c r="AF163" t="s">
        <v>845</v>
      </c>
      <c r="AG163" t="s">
        <v>797</v>
      </c>
      <c r="AH163">
        <v>764416</v>
      </c>
      <c r="AI163">
        <v>764416</v>
      </c>
      <c r="AJ163">
        <v>0.32500000000000001</v>
      </c>
    </row>
    <row r="164" spans="1:36" x14ac:dyDescent="0.3">
      <c r="A164">
        <f>COUNTIF($D$2:D164,D164)</f>
        <v>6</v>
      </c>
      <c r="B164" t="str">
        <f t="shared" si="9"/>
        <v>6Bolton</v>
      </c>
      <c r="C164" t="s">
        <v>1254</v>
      </c>
      <c r="D164" t="s">
        <v>83</v>
      </c>
      <c r="E164">
        <v>5</v>
      </c>
      <c r="F164" t="s">
        <v>1246</v>
      </c>
      <c r="G164" t="s">
        <v>834</v>
      </c>
      <c r="H164" t="s">
        <v>835</v>
      </c>
      <c r="I164" t="s">
        <v>836</v>
      </c>
      <c r="J164">
        <f t="shared" ca="1" si="10"/>
        <v>3577890</v>
      </c>
      <c r="K164">
        <f t="shared" ca="1" si="11"/>
        <v>437</v>
      </c>
      <c r="N164" t="str">
        <f t="shared" si="8"/>
        <v>Blackburn with Darwen4Integrated Intermediate CareBed based intermediate Care Services (Reablement, rehabilitation, wider short-term services supporting recovery)Bed-based intermediate care with rehabilitation (to support discharge)</v>
      </c>
      <c r="O164" t="s">
        <v>79</v>
      </c>
      <c r="P164" t="s">
        <v>1201</v>
      </c>
      <c r="Q164">
        <v>4</v>
      </c>
      <c r="R164" t="s">
        <v>1171</v>
      </c>
      <c r="S164" t="s">
        <v>1212</v>
      </c>
      <c r="T164" t="s">
        <v>877</v>
      </c>
      <c r="U164" t="s">
        <v>968</v>
      </c>
      <c r="W164">
        <v>13</v>
      </c>
      <c r="X164">
        <v>31</v>
      </c>
      <c r="Y164" t="s">
        <v>879</v>
      </c>
      <c r="Z164" t="s">
        <v>823</v>
      </c>
      <c r="AB164" t="s">
        <v>793</v>
      </c>
      <c r="AD164" t="s">
        <v>794</v>
      </c>
      <c r="AE164" t="s">
        <v>795</v>
      </c>
      <c r="AF164" t="s">
        <v>1029</v>
      </c>
      <c r="AG164" t="s">
        <v>797</v>
      </c>
      <c r="AH164">
        <v>1000000</v>
      </c>
      <c r="AI164">
        <v>0</v>
      </c>
      <c r="AJ164">
        <v>0.128</v>
      </c>
    </row>
    <row r="165" spans="1:36" x14ac:dyDescent="0.3">
      <c r="A165">
        <f>COUNTIF($D$2:D165,D165)</f>
        <v>7</v>
      </c>
      <c r="B165" t="str">
        <f t="shared" si="9"/>
        <v>7Bolton</v>
      </c>
      <c r="C165" t="s">
        <v>1255</v>
      </c>
      <c r="D165" t="s">
        <v>83</v>
      </c>
      <c r="E165">
        <v>11</v>
      </c>
      <c r="F165" t="s">
        <v>964</v>
      </c>
      <c r="G165" t="s">
        <v>877</v>
      </c>
      <c r="H165" t="s">
        <v>812</v>
      </c>
      <c r="I165" t="s">
        <v>879</v>
      </c>
      <c r="J165">
        <f t="shared" ca="1" si="10"/>
        <v>5336621.5365955019</v>
      </c>
      <c r="K165">
        <f t="shared" ca="1" si="11"/>
        <v>1007</v>
      </c>
      <c r="N165" t="str">
        <f t="shared" si="8"/>
        <v>Blackburn with Darwen12Block Commission care home  beds - EMDResidential PlacementsCare home</v>
      </c>
      <c r="O165" t="s">
        <v>79</v>
      </c>
      <c r="P165" t="s">
        <v>1201</v>
      </c>
      <c r="Q165">
        <v>12</v>
      </c>
      <c r="R165" t="s">
        <v>1200</v>
      </c>
      <c r="S165" t="s">
        <v>1256</v>
      </c>
      <c r="T165" t="s">
        <v>806</v>
      </c>
      <c r="U165" t="s">
        <v>807</v>
      </c>
      <c r="W165">
        <v>4</v>
      </c>
      <c r="X165">
        <v>4</v>
      </c>
      <c r="Y165" t="s">
        <v>808</v>
      </c>
      <c r="Z165" t="s">
        <v>823</v>
      </c>
      <c r="AB165" t="s">
        <v>793</v>
      </c>
      <c r="AD165" t="s">
        <v>794</v>
      </c>
      <c r="AE165" t="s">
        <v>804</v>
      </c>
      <c r="AF165" t="s">
        <v>864</v>
      </c>
      <c r="AG165" t="s">
        <v>797</v>
      </c>
      <c r="AH165">
        <v>35606</v>
      </c>
      <c r="AI165">
        <v>35606</v>
      </c>
      <c r="AJ165">
        <v>0.121</v>
      </c>
    </row>
    <row r="166" spans="1:36" x14ac:dyDescent="0.3">
      <c r="A166">
        <f>COUNTIF($D$2:D166,D166)</f>
        <v>8</v>
      </c>
      <c r="B166" t="str">
        <f t="shared" si="9"/>
        <v>8Bolton</v>
      </c>
      <c r="C166" t="s">
        <v>1257</v>
      </c>
      <c r="D166" t="s">
        <v>83</v>
      </c>
      <c r="E166">
        <v>11</v>
      </c>
      <c r="F166" t="s">
        <v>1258</v>
      </c>
      <c r="G166" t="s">
        <v>877</v>
      </c>
      <c r="H166" t="s">
        <v>1259</v>
      </c>
      <c r="I166" t="s">
        <v>879</v>
      </c>
      <c r="J166">
        <f t="shared" ca="1" si="10"/>
        <v>300000</v>
      </c>
      <c r="K166">
        <f t="shared" ca="1" si="11"/>
        <v>22</v>
      </c>
      <c r="N166" t="str">
        <f t="shared" si="8"/>
        <v>Blackburn with Darwen12Block Commission care home beds ResidentialResidential PlacementsCare home</v>
      </c>
      <c r="O166" t="s">
        <v>79</v>
      </c>
      <c r="P166" t="s">
        <v>1201</v>
      </c>
      <c r="Q166">
        <v>12</v>
      </c>
      <c r="R166" t="s">
        <v>1204</v>
      </c>
      <c r="S166" t="s">
        <v>1256</v>
      </c>
      <c r="T166" t="s">
        <v>806</v>
      </c>
      <c r="U166" t="s">
        <v>807</v>
      </c>
      <c r="W166">
        <v>3</v>
      </c>
      <c r="X166">
        <v>3</v>
      </c>
      <c r="Y166" t="s">
        <v>808</v>
      </c>
      <c r="Z166" t="s">
        <v>823</v>
      </c>
      <c r="AB166" t="s">
        <v>793</v>
      </c>
      <c r="AD166" t="s">
        <v>794</v>
      </c>
      <c r="AE166" t="s">
        <v>804</v>
      </c>
      <c r="AF166" t="s">
        <v>864</v>
      </c>
      <c r="AG166" t="s">
        <v>797</v>
      </c>
      <c r="AH166">
        <v>19088</v>
      </c>
      <c r="AI166">
        <v>19088</v>
      </c>
      <c r="AJ166">
        <v>6.5000000000000002E-2</v>
      </c>
    </row>
    <row r="167" spans="1:36" x14ac:dyDescent="0.3">
      <c r="A167">
        <f>COUNTIF($D$2:D167,D167)</f>
        <v>9</v>
      </c>
      <c r="B167" t="str">
        <f t="shared" si="9"/>
        <v>9Bolton</v>
      </c>
      <c r="C167" t="s">
        <v>1260</v>
      </c>
      <c r="D167" t="s">
        <v>83</v>
      </c>
      <c r="E167">
        <v>12</v>
      </c>
      <c r="F167" t="s">
        <v>964</v>
      </c>
      <c r="G167" t="s">
        <v>787</v>
      </c>
      <c r="H167" t="s">
        <v>788</v>
      </c>
      <c r="I167" t="s">
        <v>789</v>
      </c>
      <c r="J167">
        <f t="shared" ca="1" si="10"/>
        <v>5994908.06352109</v>
      </c>
      <c r="K167">
        <f t="shared" ca="1" si="11"/>
        <v>2110</v>
      </c>
      <c r="N167" t="str">
        <f t="shared" si="8"/>
        <v>Blackburn with Darwen12Block Commission care home beds - NursingResidential PlacementsNursing home</v>
      </c>
      <c r="O167" t="s">
        <v>79</v>
      </c>
      <c r="P167" t="s">
        <v>1201</v>
      </c>
      <c r="Q167">
        <v>12</v>
      </c>
      <c r="R167" t="s">
        <v>1207</v>
      </c>
      <c r="S167" t="s">
        <v>1256</v>
      </c>
      <c r="T167" t="s">
        <v>806</v>
      </c>
      <c r="U167" t="s">
        <v>917</v>
      </c>
      <c r="W167">
        <v>4</v>
      </c>
      <c r="X167">
        <v>4</v>
      </c>
      <c r="Y167" t="s">
        <v>808</v>
      </c>
      <c r="Z167" t="s">
        <v>823</v>
      </c>
      <c r="AB167" t="s">
        <v>793</v>
      </c>
      <c r="AD167" t="s">
        <v>794</v>
      </c>
      <c r="AE167" t="s">
        <v>804</v>
      </c>
      <c r="AF167" t="s">
        <v>864</v>
      </c>
      <c r="AG167" t="s">
        <v>797</v>
      </c>
      <c r="AH167">
        <v>18965</v>
      </c>
      <c r="AI167">
        <v>18965</v>
      </c>
      <c r="AJ167">
        <v>6.4000000000000001E-2</v>
      </c>
    </row>
    <row r="168" spans="1:36" x14ac:dyDescent="0.3">
      <c r="A168">
        <f>COUNTIF($D$2:D168,D168)</f>
        <v>10</v>
      </c>
      <c r="B168" t="str">
        <f t="shared" si="9"/>
        <v>10Bolton</v>
      </c>
      <c r="C168" t="s">
        <v>1261</v>
      </c>
      <c r="D168" t="s">
        <v>83</v>
      </c>
      <c r="E168">
        <v>17</v>
      </c>
      <c r="F168" t="s">
        <v>1262</v>
      </c>
      <c r="G168" t="s">
        <v>806</v>
      </c>
      <c r="H168" t="s">
        <v>807</v>
      </c>
      <c r="I168" t="s">
        <v>808</v>
      </c>
      <c r="J168">
        <f t="shared" ca="1" si="10"/>
        <v>6344851</v>
      </c>
      <c r="K168">
        <f t="shared" ca="1" si="11"/>
        <v>163</v>
      </c>
      <c r="N168" t="str">
        <f t="shared" si="8"/>
        <v>Blackburn with Darwen12Additional  Standard Dom Care/Crisis Dom Care/Nights capacityHome Care or Domiciliary CareDomiciliary care to support hospital discharge (Discharge to Assess pathway 1)</v>
      </c>
      <c r="O168" t="s">
        <v>79</v>
      </c>
      <c r="P168" t="s">
        <v>1201</v>
      </c>
      <c r="Q168">
        <v>12</v>
      </c>
      <c r="R168" t="s">
        <v>1209</v>
      </c>
      <c r="S168" t="s">
        <v>1256</v>
      </c>
      <c r="T168" t="s">
        <v>842</v>
      </c>
      <c r="U168" t="s">
        <v>856</v>
      </c>
      <c r="W168">
        <v>700</v>
      </c>
      <c r="X168">
        <v>700</v>
      </c>
      <c r="Y168" t="s">
        <v>844</v>
      </c>
      <c r="Z168" t="s">
        <v>823</v>
      </c>
      <c r="AB168" t="s">
        <v>793</v>
      </c>
      <c r="AD168" t="s">
        <v>794</v>
      </c>
      <c r="AE168" t="s">
        <v>804</v>
      </c>
      <c r="AF168" t="s">
        <v>864</v>
      </c>
      <c r="AG168" t="s">
        <v>797</v>
      </c>
      <c r="AH168">
        <v>18884</v>
      </c>
      <c r="AI168">
        <v>18884</v>
      </c>
      <c r="AJ168">
        <v>0.27300000000000002</v>
      </c>
    </row>
    <row r="169" spans="1:36" x14ac:dyDescent="0.3">
      <c r="A169">
        <f>COUNTIF($D$2:D169,D169)</f>
        <v>11</v>
      </c>
      <c r="B169" t="str">
        <f t="shared" si="9"/>
        <v>11Bolton</v>
      </c>
      <c r="C169" t="s">
        <v>1263</v>
      </c>
      <c r="D169" t="s">
        <v>83</v>
      </c>
      <c r="E169">
        <v>17</v>
      </c>
      <c r="F169" t="s">
        <v>1262</v>
      </c>
      <c r="G169" t="s">
        <v>806</v>
      </c>
      <c r="H169" t="s">
        <v>873</v>
      </c>
      <c r="I169" t="s">
        <v>808</v>
      </c>
      <c r="J169">
        <f t="shared" ca="1" si="10"/>
        <v>1622370</v>
      </c>
      <c r="K169">
        <f t="shared" ca="1" si="11"/>
        <v>21</v>
      </c>
      <c r="N169" t="str">
        <f t="shared" si="8"/>
        <v>Blackburn with Darwen12Crisis/Planned Night RunHome Care or Domiciliary CareDomiciliary care to support hospital discharge (Discharge to Assess pathway 1)</v>
      </c>
      <c r="O169" t="s">
        <v>79</v>
      </c>
      <c r="P169" t="s">
        <v>1201</v>
      </c>
      <c r="Q169">
        <v>12</v>
      </c>
      <c r="R169" t="s">
        <v>1211</v>
      </c>
      <c r="S169" t="s">
        <v>1256</v>
      </c>
      <c r="T169" t="s">
        <v>842</v>
      </c>
      <c r="U169" t="s">
        <v>856</v>
      </c>
      <c r="W169">
        <v>700</v>
      </c>
      <c r="X169">
        <v>700</v>
      </c>
      <c r="Y169" t="s">
        <v>844</v>
      </c>
      <c r="Z169" t="s">
        <v>823</v>
      </c>
      <c r="AB169" t="s">
        <v>793</v>
      </c>
      <c r="AD169" t="s">
        <v>794</v>
      </c>
      <c r="AE169" t="s">
        <v>804</v>
      </c>
      <c r="AF169" t="s">
        <v>864</v>
      </c>
      <c r="AG169" t="s">
        <v>797</v>
      </c>
      <c r="AH169">
        <v>50400</v>
      </c>
      <c r="AI169">
        <v>50400</v>
      </c>
      <c r="AJ169">
        <v>0.72699999999999998</v>
      </c>
    </row>
    <row r="170" spans="1:36" x14ac:dyDescent="0.3">
      <c r="A170">
        <f>COUNTIF($D$2:D170,D170)</f>
        <v>12</v>
      </c>
      <c r="B170" t="str">
        <f t="shared" si="9"/>
        <v>12Bolton</v>
      </c>
      <c r="C170" t="s">
        <v>1264</v>
      </c>
      <c r="D170" t="s">
        <v>83</v>
      </c>
      <c r="E170">
        <v>17</v>
      </c>
      <c r="F170" t="s">
        <v>1262</v>
      </c>
      <c r="G170" t="s">
        <v>806</v>
      </c>
      <c r="H170" t="s">
        <v>854</v>
      </c>
      <c r="I170" t="s">
        <v>808</v>
      </c>
      <c r="J170">
        <f t="shared" ca="1" si="10"/>
        <v>1310215</v>
      </c>
      <c r="K170">
        <f t="shared" ca="1" si="11"/>
        <v>11</v>
      </c>
      <c r="N170" t="str">
        <f t="shared" si="8"/>
        <v>Blackburn with Darwen12Agency Services at Intermediate Care FacilityBed based intermediate Care Services (Reablement, rehabilitation, wider short-term services supporting recovery)Bed-based intermediate care with rehabilitation (to support discharge)</v>
      </c>
      <c r="O170" t="s">
        <v>79</v>
      </c>
      <c r="P170" t="s">
        <v>1201</v>
      </c>
      <c r="Q170">
        <v>12</v>
      </c>
      <c r="R170" t="s">
        <v>1214</v>
      </c>
      <c r="S170" t="s">
        <v>1256</v>
      </c>
      <c r="T170" t="s">
        <v>877</v>
      </c>
      <c r="U170" t="s">
        <v>968</v>
      </c>
      <c r="W170">
        <v>13</v>
      </c>
      <c r="X170">
        <v>31</v>
      </c>
      <c r="Y170" t="s">
        <v>879</v>
      </c>
      <c r="Z170" t="s">
        <v>823</v>
      </c>
      <c r="AB170" t="s">
        <v>793</v>
      </c>
      <c r="AD170" t="s">
        <v>794</v>
      </c>
      <c r="AE170" t="s">
        <v>804</v>
      </c>
      <c r="AF170" t="s">
        <v>864</v>
      </c>
      <c r="AG170" t="s">
        <v>797</v>
      </c>
      <c r="AH170">
        <v>22950</v>
      </c>
      <c r="AI170">
        <v>22950</v>
      </c>
      <c r="AJ170">
        <v>5.8999999999999999E-3</v>
      </c>
    </row>
    <row r="171" spans="1:36" x14ac:dyDescent="0.3">
      <c r="A171">
        <f>COUNTIF($D$2:D171,D171)</f>
        <v>13</v>
      </c>
      <c r="B171" t="str">
        <f t="shared" si="9"/>
        <v>13Bolton</v>
      </c>
      <c r="C171" t="s">
        <v>1265</v>
      </c>
      <c r="D171" t="s">
        <v>83</v>
      </c>
      <c r="E171">
        <v>19</v>
      </c>
      <c r="F171" t="s">
        <v>964</v>
      </c>
      <c r="G171" t="s">
        <v>877</v>
      </c>
      <c r="H171" t="s">
        <v>812</v>
      </c>
      <c r="I171" t="s">
        <v>879</v>
      </c>
      <c r="J171">
        <f t="shared" ca="1" si="10"/>
        <v>406467</v>
      </c>
      <c r="K171">
        <f t="shared" ca="1" si="11"/>
        <v>46</v>
      </c>
      <c r="N171" t="str">
        <f t="shared" si="8"/>
        <v>Blackburn with Darwen12Carers Support -   Emergency support to facilitate discharge eg funds to move a bedroom downstairs/storage facilities/Retainer fees for carers.Carers ServicesCarer advice and support related to Care Act duties</v>
      </c>
      <c r="O171" t="s">
        <v>79</v>
      </c>
      <c r="P171" t="s">
        <v>1201</v>
      </c>
      <c r="Q171">
        <v>12</v>
      </c>
      <c r="R171" t="s">
        <v>1216</v>
      </c>
      <c r="S171" t="s">
        <v>1256</v>
      </c>
      <c r="T171" t="s">
        <v>811</v>
      </c>
      <c r="U171" t="s">
        <v>895</v>
      </c>
      <c r="W171">
        <v>60</v>
      </c>
      <c r="X171">
        <v>60</v>
      </c>
      <c r="Y171" t="s">
        <v>813</v>
      </c>
      <c r="Z171" t="s">
        <v>792</v>
      </c>
      <c r="AB171" t="s">
        <v>793</v>
      </c>
      <c r="AD171" t="s">
        <v>794</v>
      </c>
      <c r="AE171" t="s">
        <v>795</v>
      </c>
      <c r="AF171" t="s">
        <v>864</v>
      </c>
      <c r="AG171" t="s">
        <v>797</v>
      </c>
      <c r="AH171">
        <v>15000</v>
      </c>
      <c r="AI171">
        <v>15000</v>
      </c>
      <c r="AJ171">
        <v>0.222</v>
      </c>
    </row>
    <row r="172" spans="1:36" x14ac:dyDescent="0.3">
      <c r="A172">
        <f>COUNTIF($D$2:D172,D172)</f>
        <v>14</v>
      </c>
      <c r="B172" t="str">
        <f t="shared" si="9"/>
        <v>14Bolton</v>
      </c>
      <c r="C172" t="s">
        <v>1266</v>
      </c>
      <c r="D172" t="s">
        <v>83</v>
      </c>
      <c r="E172">
        <v>17</v>
      </c>
      <c r="F172" t="s">
        <v>1267</v>
      </c>
      <c r="G172" t="s">
        <v>842</v>
      </c>
      <c r="H172" t="s">
        <v>843</v>
      </c>
      <c r="I172" t="s">
        <v>844</v>
      </c>
      <c r="J172">
        <f t="shared" ca="1" si="10"/>
        <v>1348246</v>
      </c>
      <c r="K172">
        <f t="shared" ca="1" si="11"/>
        <v>111</v>
      </c>
      <c r="N172" t="str">
        <f t="shared" si="8"/>
        <v>Blackburn with Darwen12Albion Mill - contribution to additional costs of Albion Mill (D2A or opening of further beds)Bed based intermediate Care Services (Reablement, rehabilitation, wider short-term services supporting recovery)Bed-based intermediate care with rehabilitation (to support discharge)</v>
      </c>
      <c r="O172" t="s">
        <v>79</v>
      </c>
      <c r="P172" t="s">
        <v>1201</v>
      </c>
      <c r="Q172">
        <v>12</v>
      </c>
      <c r="R172" t="s">
        <v>1218</v>
      </c>
      <c r="S172" t="s">
        <v>1256</v>
      </c>
      <c r="T172" t="s">
        <v>877</v>
      </c>
      <c r="U172" t="s">
        <v>968</v>
      </c>
      <c r="W172">
        <v>13</v>
      </c>
      <c r="X172">
        <v>31</v>
      </c>
      <c r="Y172" t="s">
        <v>879</v>
      </c>
      <c r="Z172" t="s">
        <v>823</v>
      </c>
      <c r="AB172" t="s">
        <v>793</v>
      </c>
      <c r="AD172" t="s">
        <v>794</v>
      </c>
      <c r="AE172" t="s">
        <v>795</v>
      </c>
      <c r="AF172" t="s">
        <v>864</v>
      </c>
      <c r="AG172" t="s">
        <v>797</v>
      </c>
      <c r="AH172">
        <v>230000</v>
      </c>
      <c r="AI172">
        <v>230000</v>
      </c>
      <c r="AJ172">
        <v>5.8999999999999997E-2</v>
      </c>
    </row>
    <row r="173" spans="1:36" x14ac:dyDescent="0.3">
      <c r="A173">
        <f>COUNTIF($D$2:D173,D173)</f>
        <v>15</v>
      </c>
      <c r="B173" t="str">
        <f t="shared" si="9"/>
        <v>15Bolton</v>
      </c>
      <c r="C173" t="s">
        <v>1268</v>
      </c>
      <c r="D173" t="s">
        <v>83</v>
      </c>
      <c r="E173">
        <v>3</v>
      </c>
      <c r="F173" t="s">
        <v>1269</v>
      </c>
      <c r="G173" t="s">
        <v>811</v>
      </c>
      <c r="H173" t="s">
        <v>830</v>
      </c>
      <c r="I173" t="s">
        <v>813</v>
      </c>
      <c r="J173">
        <f t="shared" ca="1" si="10"/>
        <v>618730</v>
      </c>
      <c r="K173">
        <f t="shared" ca="1" si="11"/>
        <v>7</v>
      </c>
      <c r="N173" t="str">
        <f t="shared" si="8"/>
        <v>Blackburn with Darwen12D2A - Residential care bed base/care home packagesResidential PlacementsShort term residential care (without rehabilitation or reablement input)</v>
      </c>
      <c r="O173" t="s">
        <v>79</v>
      </c>
      <c r="P173" t="s">
        <v>1201</v>
      </c>
      <c r="Q173">
        <v>12</v>
      </c>
      <c r="R173" t="s">
        <v>1220</v>
      </c>
      <c r="S173" t="s">
        <v>1256</v>
      </c>
      <c r="T173" t="s">
        <v>806</v>
      </c>
      <c r="U173" t="s">
        <v>955</v>
      </c>
      <c r="W173">
        <v>27</v>
      </c>
      <c r="X173">
        <v>27</v>
      </c>
      <c r="Y173" t="s">
        <v>808</v>
      </c>
      <c r="Z173" t="s">
        <v>823</v>
      </c>
      <c r="AB173" t="s">
        <v>824</v>
      </c>
      <c r="AD173" t="s">
        <v>794</v>
      </c>
      <c r="AE173" t="s">
        <v>804</v>
      </c>
      <c r="AF173" t="s">
        <v>860</v>
      </c>
      <c r="AH173">
        <v>221000</v>
      </c>
      <c r="AI173">
        <v>221000</v>
      </c>
      <c r="AJ173">
        <v>0.75</v>
      </c>
    </row>
    <row r="174" spans="1:36" x14ac:dyDescent="0.3">
      <c r="A174">
        <f>COUNTIF($D$2:D174,D174)</f>
        <v>16</v>
      </c>
      <c r="B174" t="str">
        <f t="shared" si="9"/>
        <v>16Bolton</v>
      </c>
      <c r="C174" t="s">
        <v>1270</v>
      </c>
      <c r="D174" t="s">
        <v>83</v>
      </c>
      <c r="E174">
        <v>19</v>
      </c>
      <c r="F174" t="s">
        <v>964</v>
      </c>
      <c r="G174" t="s">
        <v>877</v>
      </c>
      <c r="H174" t="s">
        <v>968</v>
      </c>
      <c r="I174" t="s">
        <v>879</v>
      </c>
      <c r="J174">
        <f t="shared" ca="1" si="10"/>
        <v>625000</v>
      </c>
      <c r="K174">
        <f t="shared" ca="1" si="11"/>
        <v>34</v>
      </c>
      <c r="N174" t="str">
        <f t="shared" si="8"/>
        <v>Blackpool1Disabled Facitilites Grant-CapitalDFG Related SchemesAdaptations, including statutory DFG grants</v>
      </c>
      <c r="O174" t="s">
        <v>81</v>
      </c>
      <c r="P174" t="s">
        <v>1201</v>
      </c>
      <c r="Q174">
        <v>1</v>
      </c>
      <c r="R174" t="s">
        <v>1222</v>
      </c>
      <c r="S174" t="s">
        <v>1271</v>
      </c>
      <c r="T174" t="s">
        <v>834</v>
      </c>
      <c r="U174" t="s">
        <v>835</v>
      </c>
      <c r="W174">
        <v>220</v>
      </c>
      <c r="X174">
        <v>220</v>
      </c>
      <c r="Y174" t="s">
        <v>836</v>
      </c>
      <c r="Z174" t="s">
        <v>792</v>
      </c>
      <c r="AB174" t="s">
        <v>793</v>
      </c>
      <c r="AD174" t="s">
        <v>794</v>
      </c>
      <c r="AE174" t="s">
        <v>795</v>
      </c>
      <c r="AF174" t="s">
        <v>840</v>
      </c>
      <c r="AG174" t="s">
        <v>797</v>
      </c>
      <c r="AH174">
        <v>2614944</v>
      </c>
      <c r="AI174">
        <v>2614944</v>
      </c>
      <c r="AJ174">
        <v>1</v>
      </c>
    </row>
    <row r="175" spans="1:36" x14ac:dyDescent="0.3">
      <c r="A175">
        <f>COUNTIF($D$2:D175,D175)</f>
        <v>17</v>
      </c>
      <c r="B175" t="str">
        <f t="shared" si="9"/>
        <v>17Bolton</v>
      </c>
      <c r="C175" t="s">
        <v>1272</v>
      </c>
      <c r="D175" t="s">
        <v>83</v>
      </c>
      <c r="E175">
        <v>11</v>
      </c>
      <c r="F175" t="s">
        <v>1273</v>
      </c>
      <c r="G175" t="s">
        <v>877</v>
      </c>
      <c r="H175" t="s">
        <v>968</v>
      </c>
      <c r="I175" t="s">
        <v>879</v>
      </c>
      <c r="J175">
        <f t="shared" ca="1" si="10"/>
        <v>486000</v>
      </c>
      <c r="K175">
        <f t="shared" ca="1" si="11"/>
        <v>28</v>
      </c>
      <c r="N175" t="str">
        <f t="shared" si="8"/>
        <v>Blackpool3ARC inc Support TeamBed based intermediate Care Services (Reablement, rehabilitation, wider short-term services supporting recovery)Bed-based intermediate care with rehabilitation (to support discharge)</v>
      </c>
      <c r="O175" t="s">
        <v>81</v>
      </c>
      <c r="P175" t="s">
        <v>1201</v>
      </c>
      <c r="Q175">
        <v>3</v>
      </c>
      <c r="R175" t="s">
        <v>1224</v>
      </c>
      <c r="S175" t="s">
        <v>1274</v>
      </c>
      <c r="T175" t="s">
        <v>877</v>
      </c>
      <c r="U175" t="s">
        <v>968</v>
      </c>
      <c r="W175">
        <v>224</v>
      </c>
      <c r="X175">
        <v>224</v>
      </c>
      <c r="Y175" t="s">
        <v>879</v>
      </c>
      <c r="Z175" t="s">
        <v>792</v>
      </c>
      <c r="AB175" t="s">
        <v>793</v>
      </c>
      <c r="AD175" t="s">
        <v>794</v>
      </c>
      <c r="AE175" t="s">
        <v>795</v>
      </c>
      <c r="AF175" t="s">
        <v>796</v>
      </c>
      <c r="AG175" t="s">
        <v>797</v>
      </c>
      <c r="AH175">
        <v>2306991</v>
      </c>
      <c r="AI175">
        <v>2437567</v>
      </c>
      <c r="AJ175">
        <v>1</v>
      </c>
    </row>
    <row r="176" spans="1:36" x14ac:dyDescent="0.3">
      <c r="A176">
        <f>COUNTIF($D$2:D176,D176)</f>
        <v>1</v>
      </c>
      <c r="B176" t="str">
        <f t="shared" si="9"/>
        <v>1Bournemouth, Christchurch and Poole</v>
      </c>
      <c r="C176" t="s">
        <v>1275</v>
      </c>
      <c r="D176" t="s">
        <v>85</v>
      </c>
      <c r="E176">
        <v>6</v>
      </c>
      <c r="F176" t="s">
        <v>1276</v>
      </c>
      <c r="G176" t="s">
        <v>806</v>
      </c>
      <c r="H176" t="s">
        <v>854</v>
      </c>
      <c r="I176" t="s">
        <v>808</v>
      </c>
      <c r="J176">
        <f t="shared" ca="1" si="10"/>
        <v>580000</v>
      </c>
      <c r="K176">
        <f t="shared" ca="1" si="11"/>
        <v>3</v>
      </c>
      <c r="N176" t="str">
        <f t="shared" si="8"/>
        <v>Blackpool4Internal HomecareHome Care or Domiciliary CareDomiciliary care packages</v>
      </c>
      <c r="O176" t="s">
        <v>81</v>
      </c>
      <c r="P176" t="s">
        <v>1201</v>
      </c>
      <c r="Q176">
        <v>4</v>
      </c>
      <c r="R176" t="s">
        <v>1226</v>
      </c>
      <c r="S176" t="s">
        <v>1277</v>
      </c>
      <c r="T176" t="s">
        <v>842</v>
      </c>
      <c r="U176" t="s">
        <v>843</v>
      </c>
      <c r="W176">
        <v>5208</v>
      </c>
      <c r="X176">
        <v>5208</v>
      </c>
      <c r="Y176" t="s">
        <v>844</v>
      </c>
      <c r="Z176" t="s">
        <v>792</v>
      </c>
      <c r="AB176" t="s">
        <v>793</v>
      </c>
      <c r="AD176" t="s">
        <v>794</v>
      </c>
      <c r="AE176" t="s">
        <v>795</v>
      </c>
      <c r="AF176" t="s">
        <v>796</v>
      </c>
      <c r="AG176" t="s">
        <v>797</v>
      </c>
      <c r="AH176">
        <v>1562837</v>
      </c>
      <c r="AI176">
        <v>1651293</v>
      </c>
      <c r="AJ176">
        <v>1</v>
      </c>
    </row>
    <row r="177" spans="1:36" x14ac:dyDescent="0.3">
      <c r="A177">
        <f>COUNTIF($D$2:D177,D177)</f>
        <v>2</v>
      </c>
      <c r="B177" t="str">
        <f t="shared" si="9"/>
        <v>2Bournemouth, Christchurch and Poole</v>
      </c>
      <c r="C177" t="s">
        <v>1278</v>
      </c>
      <c r="D177" t="s">
        <v>85</v>
      </c>
      <c r="E177">
        <v>7</v>
      </c>
      <c r="F177" t="s">
        <v>1276</v>
      </c>
      <c r="G177" t="s">
        <v>806</v>
      </c>
      <c r="H177" t="s">
        <v>807</v>
      </c>
      <c r="I177" t="s">
        <v>808</v>
      </c>
      <c r="J177">
        <f t="shared" ca="1" si="10"/>
        <v>2390026</v>
      </c>
      <c r="K177">
        <f t="shared" ca="1" si="11"/>
        <v>38</v>
      </c>
      <c r="N177" t="str">
        <f t="shared" si="8"/>
        <v>Blackpool4Internal HomecareHome Care or Domiciliary CareDomiciliary care packages</v>
      </c>
      <c r="O177" t="s">
        <v>81</v>
      </c>
      <c r="P177" t="s">
        <v>1201</v>
      </c>
      <c r="Q177">
        <v>4</v>
      </c>
      <c r="R177" t="s">
        <v>1226</v>
      </c>
      <c r="S177" t="s">
        <v>1277</v>
      </c>
      <c r="T177" t="s">
        <v>842</v>
      </c>
      <c r="U177" t="s">
        <v>843</v>
      </c>
      <c r="W177">
        <v>5208</v>
      </c>
      <c r="X177">
        <v>5208</v>
      </c>
      <c r="Y177" t="s">
        <v>844</v>
      </c>
      <c r="Z177" t="s">
        <v>792</v>
      </c>
      <c r="AB177" t="s">
        <v>793</v>
      </c>
      <c r="AD177" t="s">
        <v>794</v>
      </c>
      <c r="AE177" t="s">
        <v>795</v>
      </c>
      <c r="AF177" t="s">
        <v>845</v>
      </c>
      <c r="AG177" t="s">
        <v>797</v>
      </c>
      <c r="AH177">
        <v>1294065</v>
      </c>
      <c r="AI177">
        <v>1294065</v>
      </c>
      <c r="AJ177">
        <v>1</v>
      </c>
    </row>
    <row r="178" spans="1:36" x14ac:dyDescent="0.3">
      <c r="A178">
        <f>COUNTIF($D$2:D178,D178)</f>
        <v>3</v>
      </c>
      <c r="B178" t="str">
        <f t="shared" si="9"/>
        <v>3Bournemouth, Christchurch and Poole</v>
      </c>
      <c r="C178" t="s">
        <v>1279</v>
      </c>
      <c r="D178" t="s">
        <v>85</v>
      </c>
      <c r="E178">
        <v>8</v>
      </c>
      <c r="F178" t="s">
        <v>1276</v>
      </c>
      <c r="G178" t="s">
        <v>842</v>
      </c>
      <c r="H178" t="s">
        <v>843</v>
      </c>
      <c r="I178" t="s">
        <v>844</v>
      </c>
      <c r="J178">
        <f t="shared" ca="1" si="10"/>
        <v>1517000</v>
      </c>
      <c r="K178">
        <f t="shared" ca="1" si="11"/>
        <v>64250</v>
      </c>
      <c r="N178" t="str">
        <f t="shared" si="8"/>
        <v>Blackpool5VitalineAssistive Technologies and EquipmentAssistive technologies including telecare</v>
      </c>
      <c r="O178" t="s">
        <v>81</v>
      </c>
      <c r="P178" t="s">
        <v>1201</v>
      </c>
      <c r="Q178">
        <v>5</v>
      </c>
      <c r="R178" t="s">
        <v>1228</v>
      </c>
      <c r="S178" t="s">
        <v>1280</v>
      </c>
      <c r="T178" t="s">
        <v>800</v>
      </c>
      <c r="U178" t="s">
        <v>850</v>
      </c>
      <c r="W178">
        <v>957</v>
      </c>
      <c r="X178">
        <v>957</v>
      </c>
      <c r="Y178" t="s">
        <v>802</v>
      </c>
      <c r="Z178" t="s">
        <v>792</v>
      </c>
      <c r="AB178" t="s">
        <v>793</v>
      </c>
      <c r="AD178" t="s">
        <v>794</v>
      </c>
      <c r="AE178" t="s">
        <v>795</v>
      </c>
      <c r="AF178" t="s">
        <v>845</v>
      </c>
      <c r="AG178" t="s">
        <v>797</v>
      </c>
      <c r="AH178">
        <v>749413</v>
      </c>
      <c r="AI178">
        <v>749413</v>
      </c>
      <c r="AJ178">
        <v>1</v>
      </c>
    </row>
    <row r="179" spans="1:36" x14ac:dyDescent="0.3">
      <c r="A179">
        <f>COUNTIF($D$2:D179,D179)</f>
        <v>4</v>
      </c>
      <c r="B179" t="str">
        <f t="shared" si="9"/>
        <v>4Bournemouth, Christchurch and Poole</v>
      </c>
      <c r="C179" t="s">
        <v>1281</v>
      </c>
      <c r="D179" t="s">
        <v>85</v>
      </c>
      <c r="E179">
        <v>11</v>
      </c>
      <c r="F179" t="s">
        <v>1282</v>
      </c>
      <c r="G179" t="s">
        <v>806</v>
      </c>
      <c r="H179" t="s">
        <v>807</v>
      </c>
      <c r="I179" t="s">
        <v>808</v>
      </c>
      <c r="J179">
        <f t="shared" ca="1" si="10"/>
        <v>1982000</v>
      </c>
      <c r="K179">
        <f t="shared" ca="1" si="11"/>
        <v>32</v>
      </c>
      <c r="N179" t="str">
        <f t="shared" si="8"/>
        <v>Blackpool5VitalineAssistive Technologies and EquipmentAssistive technologies including telecare</v>
      </c>
      <c r="O179" t="s">
        <v>81</v>
      </c>
      <c r="P179" t="s">
        <v>1201</v>
      </c>
      <c r="Q179">
        <v>5</v>
      </c>
      <c r="R179" t="s">
        <v>1228</v>
      </c>
      <c r="S179" t="s">
        <v>1280</v>
      </c>
      <c r="T179" t="s">
        <v>800</v>
      </c>
      <c r="U179" t="s">
        <v>850</v>
      </c>
      <c r="W179">
        <v>957</v>
      </c>
      <c r="X179">
        <v>957</v>
      </c>
      <c r="Y179" t="s">
        <v>802</v>
      </c>
      <c r="Z179" t="s">
        <v>792</v>
      </c>
      <c r="AB179" t="s">
        <v>793</v>
      </c>
      <c r="AD179" t="s">
        <v>794</v>
      </c>
      <c r="AE179" t="s">
        <v>795</v>
      </c>
      <c r="AF179" t="s">
        <v>1029</v>
      </c>
      <c r="AG179" t="s">
        <v>797</v>
      </c>
      <c r="AH179">
        <v>609611</v>
      </c>
      <c r="AI179">
        <v>609611</v>
      </c>
      <c r="AJ179">
        <v>1</v>
      </c>
    </row>
    <row r="180" spans="1:36" x14ac:dyDescent="0.3">
      <c r="A180">
        <f>COUNTIF($D$2:D180,D180)</f>
        <v>5</v>
      </c>
      <c r="B180" t="str">
        <f t="shared" si="9"/>
        <v>5Bournemouth, Christchurch and Poole</v>
      </c>
      <c r="C180" t="s">
        <v>1283</v>
      </c>
      <c r="D180" t="s">
        <v>85</v>
      </c>
      <c r="E180">
        <v>15</v>
      </c>
      <c r="F180" t="s">
        <v>1282</v>
      </c>
      <c r="G180" t="s">
        <v>787</v>
      </c>
      <c r="H180" t="s">
        <v>930</v>
      </c>
      <c r="I180" t="s">
        <v>789</v>
      </c>
      <c r="J180">
        <f t="shared" ca="1" si="10"/>
        <v>932000</v>
      </c>
      <c r="K180">
        <f t="shared" ca="1" si="11"/>
        <v>115</v>
      </c>
      <c r="N180" t="str">
        <f t="shared" si="8"/>
        <v>Blackpool6KeatsCarers ServicesRespite services</v>
      </c>
      <c r="O180" t="s">
        <v>81</v>
      </c>
      <c r="P180" t="s">
        <v>1201</v>
      </c>
      <c r="Q180">
        <v>6</v>
      </c>
      <c r="R180" t="s">
        <v>1230</v>
      </c>
      <c r="S180" t="s">
        <v>1284</v>
      </c>
      <c r="T180" t="s">
        <v>811</v>
      </c>
      <c r="U180" t="s">
        <v>830</v>
      </c>
      <c r="W180">
        <v>32</v>
      </c>
      <c r="X180">
        <v>32</v>
      </c>
      <c r="Y180" t="s">
        <v>813</v>
      </c>
      <c r="Z180" t="s">
        <v>792</v>
      </c>
      <c r="AB180" t="s">
        <v>793</v>
      </c>
      <c r="AD180" t="s">
        <v>794</v>
      </c>
      <c r="AE180" t="s">
        <v>795</v>
      </c>
      <c r="AF180" t="s">
        <v>796</v>
      </c>
      <c r="AG180" t="s">
        <v>797</v>
      </c>
      <c r="AH180">
        <v>277986</v>
      </c>
      <c r="AI180">
        <v>293720</v>
      </c>
      <c r="AJ180">
        <v>1</v>
      </c>
    </row>
    <row r="181" spans="1:36" x14ac:dyDescent="0.3">
      <c r="A181">
        <f>COUNTIF($D$2:D181,D181)</f>
        <v>6</v>
      </c>
      <c r="B181" t="str">
        <f t="shared" si="9"/>
        <v>6Bournemouth, Christchurch and Poole</v>
      </c>
      <c r="C181" t="s">
        <v>1285</v>
      </c>
      <c r="D181" t="s">
        <v>85</v>
      </c>
      <c r="E181">
        <v>16</v>
      </c>
      <c r="F181" t="s">
        <v>1282</v>
      </c>
      <c r="G181" t="s">
        <v>877</v>
      </c>
      <c r="H181" t="s">
        <v>1259</v>
      </c>
      <c r="I181" t="s">
        <v>879</v>
      </c>
      <c r="J181" t="e">
        <f t="shared" si="10"/>
        <v>#VALUE!</v>
      </c>
      <c r="K181" t="e">
        <f t="shared" si="11"/>
        <v>#VALUE!</v>
      </c>
      <c r="N181" t="str">
        <f t="shared" si="8"/>
        <v>Blackpool8Coopers WayCarers ServicesRespite services</v>
      </c>
      <c r="O181" t="s">
        <v>81</v>
      </c>
      <c r="P181" t="s">
        <v>1201</v>
      </c>
      <c r="Q181">
        <v>8</v>
      </c>
      <c r="R181" t="s">
        <v>1232</v>
      </c>
      <c r="S181" t="s">
        <v>1286</v>
      </c>
      <c r="T181" t="s">
        <v>811</v>
      </c>
      <c r="U181" t="s">
        <v>830</v>
      </c>
      <c r="W181">
        <v>79</v>
      </c>
      <c r="X181">
        <v>79</v>
      </c>
      <c r="Y181" t="s">
        <v>813</v>
      </c>
      <c r="Z181" t="s">
        <v>792</v>
      </c>
      <c r="AB181" t="s">
        <v>793</v>
      </c>
      <c r="AD181" t="s">
        <v>794</v>
      </c>
      <c r="AE181" t="s">
        <v>795</v>
      </c>
      <c r="AF181" t="s">
        <v>796</v>
      </c>
      <c r="AG181" t="s">
        <v>797</v>
      </c>
      <c r="AH181">
        <v>712490</v>
      </c>
      <c r="AI181">
        <v>752817</v>
      </c>
      <c r="AJ181">
        <v>1</v>
      </c>
    </row>
    <row r="182" spans="1:36" x14ac:dyDescent="0.3">
      <c r="A182">
        <f>COUNTIF($D$2:D182,D182)</f>
        <v>7</v>
      </c>
      <c r="B182" t="str">
        <f t="shared" si="9"/>
        <v>7Bournemouth, Christchurch and Poole</v>
      </c>
      <c r="C182" t="s">
        <v>1287</v>
      </c>
      <c r="D182" t="s">
        <v>85</v>
      </c>
      <c r="E182">
        <v>17</v>
      </c>
      <c r="F182" t="s">
        <v>1282</v>
      </c>
      <c r="G182" t="s">
        <v>877</v>
      </c>
      <c r="H182" t="s">
        <v>1259</v>
      </c>
      <c r="I182" t="s">
        <v>879</v>
      </c>
      <c r="J182" t="e">
        <f t="shared" si="10"/>
        <v>#VALUE!</v>
      </c>
      <c r="K182" t="e">
        <f t="shared" si="11"/>
        <v>#VALUE!</v>
      </c>
      <c r="N182" t="str">
        <f t="shared" si="8"/>
        <v>Blackpool8Coopers WayCarers ServicesRespite services</v>
      </c>
      <c r="O182" t="s">
        <v>81</v>
      </c>
      <c r="P182" t="s">
        <v>1201</v>
      </c>
      <c r="Q182">
        <v>8</v>
      </c>
      <c r="R182" t="s">
        <v>1232</v>
      </c>
      <c r="S182" t="s">
        <v>1286</v>
      </c>
      <c r="T182" t="s">
        <v>811</v>
      </c>
      <c r="U182" t="s">
        <v>830</v>
      </c>
      <c r="W182">
        <v>79</v>
      </c>
      <c r="X182">
        <v>79</v>
      </c>
      <c r="Y182" t="s">
        <v>813</v>
      </c>
      <c r="Z182" t="s">
        <v>792</v>
      </c>
      <c r="AB182" t="s">
        <v>793</v>
      </c>
      <c r="AD182" t="s">
        <v>794</v>
      </c>
      <c r="AE182" t="s">
        <v>795</v>
      </c>
      <c r="AF182" t="s">
        <v>796</v>
      </c>
      <c r="AG182" t="s">
        <v>797</v>
      </c>
      <c r="AH182">
        <v>632349</v>
      </c>
      <c r="AI182">
        <v>668140</v>
      </c>
      <c r="AJ182">
        <v>1</v>
      </c>
    </row>
    <row r="183" spans="1:36" x14ac:dyDescent="0.3">
      <c r="A183">
        <f>COUNTIF($D$2:D183,D183)</f>
        <v>8</v>
      </c>
      <c r="B183" t="str">
        <f t="shared" si="9"/>
        <v>8Bournemouth, Christchurch and Poole</v>
      </c>
      <c r="C183" t="s">
        <v>1288</v>
      </c>
      <c r="D183" t="s">
        <v>85</v>
      </c>
      <c r="E183">
        <v>20</v>
      </c>
      <c r="F183" t="s">
        <v>1250</v>
      </c>
      <c r="G183" t="s">
        <v>811</v>
      </c>
      <c r="H183" t="s">
        <v>812</v>
      </c>
      <c r="I183" t="s">
        <v>813</v>
      </c>
      <c r="J183">
        <f t="shared" ca="1" si="10"/>
        <v>215000</v>
      </c>
      <c r="K183">
        <f t="shared" ca="1" si="11"/>
        <v>6500</v>
      </c>
      <c r="N183" t="str">
        <f t="shared" si="8"/>
        <v>Blackpool22Adults EquipmentAssistive Technologies and EquipmentCommunity based equipment</v>
      </c>
      <c r="O183" t="s">
        <v>81</v>
      </c>
      <c r="P183" t="s">
        <v>1201</v>
      </c>
      <c r="Q183">
        <v>22</v>
      </c>
      <c r="R183" t="s">
        <v>1235</v>
      </c>
      <c r="S183" t="s">
        <v>1289</v>
      </c>
      <c r="T183" t="s">
        <v>800</v>
      </c>
      <c r="U183" t="s">
        <v>903</v>
      </c>
      <c r="W183">
        <v>9385</v>
      </c>
      <c r="X183">
        <v>9385</v>
      </c>
      <c r="Y183" t="s">
        <v>802</v>
      </c>
      <c r="Z183" t="s">
        <v>792</v>
      </c>
      <c r="AB183" t="s">
        <v>793</v>
      </c>
      <c r="AD183" t="s">
        <v>794</v>
      </c>
      <c r="AE183" t="s">
        <v>795</v>
      </c>
      <c r="AF183" t="s">
        <v>1042</v>
      </c>
      <c r="AG183" t="s">
        <v>797</v>
      </c>
      <c r="AH183">
        <v>1057750</v>
      </c>
      <c r="AI183">
        <v>1057750</v>
      </c>
      <c r="AJ183">
        <v>1</v>
      </c>
    </row>
    <row r="184" spans="1:36" x14ac:dyDescent="0.3">
      <c r="A184">
        <f>COUNTIF($D$2:D184,D184)</f>
        <v>9</v>
      </c>
      <c r="B184" t="str">
        <f t="shared" si="9"/>
        <v>9Bournemouth, Christchurch and Poole</v>
      </c>
      <c r="C184" t="s">
        <v>1290</v>
      </c>
      <c r="D184" t="s">
        <v>85</v>
      </c>
      <c r="E184">
        <v>21</v>
      </c>
      <c r="F184" t="s">
        <v>1250</v>
      </c>
      <c r="G184" t="s">
        <v>811</v>
      </c>
      <c r="H184" t="s">
        <v>812</v>
      </c>
      <c r="I184" t="s">
        <v>813</v>
      </c>
      <c r="J184">
        <f t="shared" ca="1" si="10"/>
        <v>970000</v>
      </c>
      <c r="K184">
        <f t="shared" ca="1" si="11"/>
        <v>6500</v>
      </c>
      <c r="N184" t="str">
        <f t="shared" si="8"/>
        <v>Blackpool35Intermediate Care modelBed based intermediate Care Services (Reablement, rehabilitation, wider short-term services supporting recovery)Bed-based intermediate care with rehabilitation accepting step up and step down users</v>
      </c>
      <c r="O184" t="s">
        <v>81</v>
      </c>
      <c r="P184" t="s">
        <v>1201</v>
      </c>
      <c r="Q184">
        <v>35</v>
      </c>
      <c r="R184" t="s">
        <v>1237</v>
      </c>
      <c r="S184" t="s">
        <v>1291</v>
      </c>
      <c r="T184" t="s">
        <v>877</v>
      </c>
      <c r="U184" t="s">
        <v>1015</v>
      </c>
      <c r="W184">
        <v>224</v>
      </c>
      <c r="X184">
        <v>224</v>
      </c>
      <c r="Y184" t="s">
        <v>879</v>
      </c>
      <c r="Z184" t="s">
        <v>792</v>
      </c>
      <c r="AB184" t="s">
        <v>824</v>
      </c>
      <c r="AD184" t="s">
        <v>794</v>
      </c>
      <c r="AE184" t="s">
        <v>832</v>
      </c>
      <c r="AF184" t="s">
        <v>796</v>
      </c>
      <c r="AG184" t="s">
        <v>797</v>
      </c>
      <c r="AH184">
        <v>1127290</v>
      </c>
      <c r="AI184">
        <v>1191095</v>
      </c>
      <c r="AJ184">
        <v>1</v>
      </c>
    </row>
    <row r="185" spans="1:36" x14ac:dyDescent="0.3">
      <c r="A185">
        <f>COUNTIF($D$2:D185,D185)</f>
        <v>10</v>
      </c>
      <c r="B185" t="str">
        <f t="shared" si="9"/>
        <v>10Bournemouth, Christchurch and Poole</v>
      </c>
      <c r="C185" t="s">
        <v>1292</v>
      </c>
      <c r="D185" t="s">
        <v>85</v>
      </c>
      <c r="E185">
        <v>28</v>
      </c>
      <c r="F185" t="s">
        <v>1276</v>
      </c>
      <c r="G185" t="s">
        <v>834</v>
      </c>
      <c r="H185" t="s">
        <v>1293</v>
      </c>
      <c r="I185" t="s">
        <v>836</v>
      </c>
      <c r="J185">
        <f t="shared" ca="1" si="10"/>
        <v>1544312</v>
      </c>
      <c r="K185">
        <f t="shared" ca="1" si="11"/>
        <v>9110</v>
      </c>
      <c r="N185" t="str">
        <f t="shared" si="8"/>
        <v>Blackpool36Carers support workers/grantsCarers ServicesCarer advice and support related to Care Act duties</v>
      </c>
      <c r="O185" t="s">
        <v>81</v>
      </c>
      <c r="P185" t="s">
        <v>1201</v>
      </c>
      <c r="Q185">
        <v>36</v>
      </c>
      <c r="R185" t="s">
        <v>1239</v>
      </c>
      <c r="S185" t="s">
        <v>1294</v>
      </c>
      <c r="T185" t="s">
        <v>811</v>
      </c>
      <c r="U185" t="s">
        <v>895</v>
      </c>
      <c r="W185">
        <v>986</v>
      </c>
      <c r="X185">
        <v>986</v>
      </c>
      <c r="Y185" t="s">
        <v>813</v>
      </c>
      <c r="Z185" t="s">
        <v>792</v>
      </c>
      <c r="AB185" t="s">
        <v>824</v>
      </c>
      <c r="AD185" t="s">
        <v>794</v>
      </c>
      <c r="AE185" t="s">
        <v>832</v>
      </c>
      <c r="AF185" t="s">
        <v>1042</v>
      </c>
      <c r="AG185" t="s">
        <v>797</v>
      </c>
      <c r="AH185">
        <v>158470</v>
      </c>
      <c r="AI185">
        <v>158470</v>
      </c>
      <c r="AJ185">
        <v>1</v>
      </c>
    </row>
    <row r="186" spans="1:36" x14ac:dyDescent="0.3">
      <c r="A186">
        <f>COUNTIF($D$2:D186,D186)</f>
        <v>11</v>
      </c>
      <c r="B186" t="str">
        <f t="shared" si="9"/>
        <v>11Bournemouth, Christchurch and Poole</v>
      </c>
      <c r="C186" t="s">
        <v>1295</v>
      </c>
      <c r="D186" t="s">
        <v>85</v>
      </c>
      <c r="E186">
        <v>32</v>
      </c>
      <c r="F186" t="s">
        <v>1276</v>
      </c>
      <c r="G186" t="s">
        <v>806</v>
      </c>
      <c r="H186" t="s">
        <v>807</v>
      </c>
      <c r="I186" t="s">
        <v>808</v>
      </c>
      <c r="J186">
        <f t="shared" ca="1" si="10"/>
        <v>4143749</v>
      </c>
      <c r="K186">
        <f t="shared" ca="1" si="11"/>
        <v>67</v>
      </c>
      <c r="N186" t="str">
        <f t="shared" si="8"/>
        <v>Blackpool5VitalineAssistive Technologies and EquipmentAssistive technologies including telecare</v>
      </c>
      <c r="O186" t="s">
        <v>81</v>
      </c>
      <c r="P186" t="s">
        <v>1201</v>
      </c>
      <c r="Q186">
        <v>5</v>
      </c>
      <c r="R186" t="s">
        <v>1228</v>
      </c>
      <c r="S186" t="s">
        <v>1280</v>
      </c>
      <c r="T186" t="s">
        <v>800</v>
      </c>
      <c r="U186" t="s">
        <v>850</v>
      </c>
      <c r="W186">
        <v>957</v>
      </c>
      <c r="X186">
        <v>957</v>
      </c>
      <c r="Y186" t="s">
        <v>802</v>
      </c>
      <c r="Z186" t="s">
        <v>792</v>
      </c>
      <c r="AB186" t="s">
        <v>793</v>
      </c>
      <c r="AD186" t="s">
        <v>794</v>
      </c>
      <c r="AE186" t="s">
        <v>795</v>
      </c>
      <c r="AF186" t="s">
        <v>796</v>
      </c>
      <c r="AG186" t="s">
        <v>797</v>
      </c>
      <c r="AH186">
        <v>5851</v>
      </c>
      <c r="AI186">
        <v>6182</v>
      </c>
      <c r="AJ186">
        <v>1</v>
      </c>
    </row>
    <row r="187" spans="1:36" x14ac:dyDescent="0.3">
      <c r="A187">
        <f>COUNTIF($D$2:D187,D187)</f>
        <v>12</v>
      </c>
      <c r="B187" t="str">
        <f t="shared" si="9"/>
        <v>12Bournemouth, Christchurch and Poole</v>
      </c>
      <c r="C187" t="s">
        <v>1296</v>
      </c>
      <c r="D187" t="s">
        <v>85</v>
      </c>
      <c r="E187">
        <v>33</v>
      </c>
      <c r="F187" t="s">
        <v>1276</v>
      </c>
      <c r="G187" t="s">
        <v>842</v>
      </c>
      <c r="H187" t="s">
        <v>843</v>
      </c>
      <c r="I187" t="s">
        <v>844</v>
      </c>
      <c r="J187">
        <f t="shared" ca="1" si="10"/>
        <v>6049000</v>
      </c>
      <c r="K187">
        <f t="shared" ca="1" si="11"/>
        <v>256200</v>
      </c>
      <c r="N187" t="str">
        <f t="shared" si="8"/>
        <v>Blackpool51Additional Homecare HoursHome Care or Domiciliary CareDomiciliary care packages</v>
      </c>
      <c r="O187" t="s">
        <v>81</v>
      </c>
      <c r="P187" t="s">
        <v>1201</v>
      </c>
      <c r="Q187">
        <v>51</v>
      </c>
      <c r="R187" t="s">
        <v>1241</v>
      </c>
      <c r="S187" t="s">
        <v>1277</v>
      </c>
      <c r="T187" t="s">
        <v>842</v>
      </c>
      <c r="U187" t="s">
        <v>843</v>
      </c>
      <c r="W187">
        <v>5208</v>
      </c>
      <c r="X187">
        <v>5208</v>
      </c>
      <c r="Y187" t="s">
        <v>844</v>
      </c>
      <c r="Z187" t="s">
        <v>792</v>
      </c>
      <c r="AB187" t="s">
        <v>793</v>
      </c>
      <c r="AD187" t="s">
        <v>794</v>
      </c>
      <c r="AE187" t="s">
        <v>795</v>
      </c>
      <c r="AF187" t="s">
        <v>796</v>
      </c>
      <c r="AG187" t="s">
        <v>797</v>
      </c>
      <c r="AH187">
        <v>468730</v>
      </c>
      <c r="AI187">
        <v>495260</v>
      </c>
      <c r="AJ187">
        <v>0.04</v>
      </c>
    </row>
    <row r="188" spans="1:36" x14ac:dyDescent="0.3">
      <c r="A188">
        <f>COUNTIF($D$2:D188,D188)</f>
        <v>13</v>
      </c>
      <c r="B188" t="str">
        <f t="shared" si="9"/>
        <v>13Bournemouth, Christchurch and Poole</v>
      </c>
      <c r="C188" t="s">
        <v>1297</v>
      </c>
      <c r="D188" t="s">
        <v>85</v>
      </c>
      <c r="E188">
        <v>39</v>
      </c>
      <c r="F188" t="s">
        <v>1282</v>
      </c>
      <c r="G188" t="s">
        <v>877</v>
      </c>
      <c r="H188" t="s">
        <v>878</v>
      </c>
      <c r="I188" t="s">
        <v>879</v>
      </c>
      <c r="J188">
        <f t="shared" ca="1" si="10"/>
        <v>550000</v>
      </c>
      <c r="K188">
        <f t="shared" ca="1" si="11"/>
        <v>10</v>
      </c>
      <c r="N188" t="str">
        <f t="shared" si="8"/>
        <v>Blackpool53ARC rehabilitation GP supportBed based intermediate Care Services (Reablement, rehabilitation, wider short-term services supporting recovery)Bed-based intermediate care with rehabilitation (to support discharge)</v>
      </c>
      <c r="O188" t="s">
        <v>81</v>
      </c>
      <c r="P188" t="s">
        <v>1201</v>
      </c>
      <c r="Q188">
        <v>53</v>
      </c>
      <c r="R188" t="s">
        <v>1243</v>
      </c>
      <c r="S188" t="s">
        <v>1274</v>
      </c>
      <c r="T188" t="s">
        <v>877</v>
      </c>
      <c r="U188" t="s">
        <v>968</v>
      </c>
      <c r="W188">
        <v>224</v>
      </c>
      <c r="X188">
        <v>224</v>
      </c>
      <c r="Y188" t="s">
        <v>879</v>
      </c>
      <c r="Z188" t="s">
        <v>792</v>
      </c>
      <c r="AB188" t="s">
        <v>824</v>
      </c>
      <c r="AD188" t="s">
        <v>794</v>
      </c>
      <c r="AE188" t="s">
        <v>795</v>
      </c>
      <c r="AF188" t="s">
        <v>1042</v>
      </c>
      <c r="AG188" t="s">
        <v>797</v>
      </c>
      <c r="AH188">
        <v>124546</v>
      </c>
      <c r="AI188">
        <v>124546</v>
      </c>
      <c r="AJ188">
        <v>1</v>
      </c>
    </row>
    <row r="189" spans="1:36" x14ac:dyDescent="0.3">
      <c r="A189">
        <f>COUNTIF($D$2:D189,D189)</f>
        <v>14</v>
      </c>
      <c r="B189" t="str">
        <f t="shared" si="9"/>
        <v>14Bournemouth, Christchurch and Poole</v>
      </c>
      <c r="C189" t="s">
        <v>1298</v>
      </c>
      <c r="D189" t="s">
        <v>85</v>
      </c>
      <c r="E189">
        <v>40</v>
      </c>
      <c r="F189" t="s">
        <v>1282</v>
      </c>
      <c r="G189" t="s">
        <v>787</v>
      </c>
      <c r="H189" t="s">
        <v>788</v>
      </c>
      <c r="I189" t="s">
        <v>789</v>
      </c>
      <c r="J189">
        <f t="shared" ca="1" si="10"/>
        <v>210000</v>
      </c>
      <c r="K189">
        <f t="shared" ca="1" si="11"/>
        <v>26</v>
      </c>
      <c r="N189" t="str">
        <f t="shared" si="8"/>
        <v>Bolton1Intermediate CareAssistive Technologies and EquipmentAssistive technologies including telecare</v>
      </c>
      <c r="O189" t="s">
        <v>83</v>
      </c>
      <c r="P189" t="s">
        <v>1201</v>
      </c>
      <c r="Q189">
        <v>1</v>
      </c>
      <c r="R189" t="s">
        <v>964</v>
      </c>
      <c r="S189" t="s">
        <v>1299</v>
      </c>
      <c r="T189" t="s">
        <v>800</v>
      </c>
      <c r="U189" t="s">
        <v>850</v>
      </c>
      <c r="W189">
        <v>277</v>
      </c>
      <c r="X189">
        <v>277</v>
      </c>
      <c r="Y189" t="s">
        <v>802</v>
      </c>
      <c r="Z189" t="s">
        <v>823</v>
      </c>
      <c r="AB189" t="s">
        <v>793</v>
      </c>
      <c r="AD189" t="s">
        <v>794</v>
      </c>
      <c r="AE189" t="s">
        <v>825</v>
      </c>
      <c r="AF189" t="s">
        <v>796</v>
      </c>
      <c r="AG189" t="s">
        <v>797</v>
      </c>
      <c r="AH189">
        <v>29585</v>
      </c>
      <c r="AI189">
        <v>29585</v>
      </c>
      <c r="AJ189">
        <v>1</v>
      </c>
    </row>
    <row r="190" spans="1:36" x14ac:dyDescent="0.3">
      <c r="A190">
        <f>COUNTIF($D$2:D190,D190)</f>
        <v>15</v>
      </c>
      <c r="B190" t="str">
        <f t="shared" si="9"/>
        <v>15Bournemouth, Christchurch and Poole</v>
      </c>
      <c r="C190" t="s">
        <v>1300</v>
      </c>
      <c r="D190" t="s">
        <v>85</v>
      </c>
      <c r="E190">
        <v>41</v>
      </c>
      <c r="F190" t="s">
        <v>1282</v>
      </c>
      <c r="G190" t="s">
        <v>877</v>
      </c>
      <c r="H190" t="s">
        <v>878</v>
      </c>
      <c r="I190" t="s">
        <v>879</v>
      </c>
      <c r="J190">
        <f t="shared" ca="1" si="10"/>
        <v>21000</v>
      </c>
      <c r="K190">
        <f t="shared" ca="1" si="11"/>
        <v>0.33</v>
      </c>
      <c r="N190" t="str">
        <f t="shared" si="8"/>
        <v>Bolton1Independent LivingAssistive Technologies and EquipmentCommunity based equipment</v>
      </c>
      <c r="O190" t="s">
        <v>83</v>
      </c>
      <c r="P190" t="s">
        <v>1201</v>
      </c>
      <c r="Q190">
        <v>1</v>
      </c>
      <c r="R190" t="s">
        <v>1246</v>
      </c>
      <c r="S190" t="s">
        <v>1301</v>
      </c>
      <c r="T190" t="s">
        <v>800</v>
      </c>
      <c r="U190" t="s">
        <v>903</v>
      </c>
      <c r="W190">
        <v>6789</v>
      </c>
      <c r="X190">
        <v>6789</v>
      </c>
      <c r="Y190" t="s">
        <v>802</v>
      </c>
      <c r="Z190" t="s">
        <v>792</v>
      </c>
      <c r="AB190" t="s">
        <v>793</v>
      </c>
      <c r="AD190" t="s">
        <v>794</v>
      </c>
      <c r="AE190" t="s">
        <v>795</v>
      </c>
      <c r="AF190" t="s">
        <v>796</v>
      </c>
      <c r="AG190" t="s">
        <v>797</v>
      </c>
      <c r="AH190">
        <v>1893683</v>
      </c>
      <c r="AI190">
        <v>1893683</v>
      </c>
      <c r="AJ190">
        <v>0.96</v>
      </c>
    </row>
    <row r="191" spans="1:36" x14ac:dyDescent="0.3">
      <c r="A191">
        <f>COUNTIF($D$2:D191,D191)</f>
        <v>16</v>
      </c>
      <c r="B191" t="str">
        <f t="shared" si="9"/>
        <v>16Bournemouth, Christchurch and Poole</v>
      </c>
      <c r="C191" t="s">
        <v>1302</v>
      </c>
      <c r="D191" t="s">
        <v>85</v>
      </c>
      <c r="E191">
        <v>47</v>
      </c>
      <c r="F191" t="s">
        <v>1282</v>
      </c>
      <c r="G191" t="s">
        <v>877</v>
      </c>
      <c r="H191" t="s">
        <v>812</v>
      </c>
      <c r="I191" t="s">
        <v>879</v>
      </c>
      <c r="J191">
        <f t="shared" ca="1" si="10"/>
        <v>336000</v>
      </c>
      <c r="K191">
        <f t="shared" ca="1" si="11"/>
        <v>5</v>
      </c>
      <c r="N191" t="str">
        <f t="shared" si="8"/>
        <v>Bolton1Independent LivingAssistive Technologies and EquipmentAssistive technologies including telecare</v>
      </c>
      <c r="O191" t="s">
        <v>83</v>
      </c>
      <c r="P191" t="s">
        <v>1201</v>
      </c>
      <c r="Q191">
        <v>1</v>
      </c>
      <c r="R191" t="s">
        <v>1246</v>
      </c>
      <c r="S191" t="s">
        <v>1301</v>
      </c>
      <c r="T191" t="s">
        <v>800</v>
      </c>
      <c r="U191" t="s">
        <v>850</v>
      </c>
      <c r="W191">
        <v>529</v>
      </c>
      <c r="X191">
        <v>529</v>
      </c>
      <c r="Y191" t="s">
        <v>802</v>
      </c>
      <c r="Z191" t="s">
        <v>792</v>
      </c>
      <c r="AB191" t="s">
        <v>793</v>
      </c>
      <c r="AD191" t="s">
        <v>794</v>
      </c>
      <c r="AE191" t="s">
        <v>795</v>
      </c>
      <c r="AF191" t="s">
        <v>796</v>
      </c>
      <c r="AG191" t="s">
        <v>797</v>
      </c>
      <c r="AH191">
        <v>181699.0366809314</v>
      </c>
      <c r="AI191">
        <v>181699.0366809314</v>
      </c>
      <c r="AJ191">
        <v>0.64</v>
      </c>
    </row>
    <row r="192" spans="1:36" x14ac:dyDescent="0.3">
      <c r="A192">
        <f>COUNTIF($D$2:D192,D192)</f>
        <v>17</v>
      </c>
      <c r="B192" t="str">
        <f t="shared" si="9"/>
        <v>17Bournemouth, Christchurch and Poole</v>
      </c>
      <c r="C192" t="s">
        <v>1303</v>
      </c>
      <c r="D192" t="s">
        <v>85</v>
      </c>
      <c r="E192">
        <v>49</v>
      </c>
      <c r="F192" t="s">
        <v>1282</v>
      </c>
      <c r="G192" t="s">
        <v>787</v>
      </c>
      <c r="H192" t="s">
        <v>788</v>
      </c>
      <c r="I192" t="s">
        <v>789</v>
      </c>
      <c r="J192">
        <f t="shared" ca="1" si="10"/>
        <v>622000</v>
      </c>
      <c r="K192">
        <f t="shared" ca="1" si="11"/>
        <v>77</v>
      </c>
      <c r="N192" t="str">
        <f t="shared" si="8"/>
        <v>Bolton1Independent LivingAssistive Technologies and EquipmentAssistive technologies including telecare</v>
      </c>
      <c r="O192" t="s">
        <v>83</v>
      </c>
      <c r="P192" t="s">
        <v>1201</v>
      </c>
      <c r="Q192">
        <v>1</v>
      </c>
      <c r="R192" t="s">
        <v>1246</v>
      </c>
      <c r="S192" t="s">
        <v>1301</v>
      </c>
      <c r="T192" t="s">
        <v>800</v>
      </c>
      <c r="U192" t="s">
        <v>850</v>
      </c>
      <c r="W192">
        <v>301</v>
      </c>
      <c r="X192">
        <v>301</v>
      </c>
      <c r="Y192" t="s">
        <v>802</v>
      </c>
      <c r="Z192" t="s">
        <v>823</v>
      </c>
      <c r="AB192" t="s">
        <v>793</v>
      </c>
      <c r="AD192" t="s">
        <v>794</v>
      </c>
      <c r="AE192" t="s">
        <v>795</v>
      </c>
      <c r="AF192" t="s">
        <v>1029</v>
      </c>
      <c r="AG192" t="s">
        <v>797</v>
      </c>
      <c r="AH192">
        <v>100955.96331906824</v>
      </c>
      <c r="AI192">
        <v>100955.96331906824</v>
      </c>
      <c r="AJ192">
        <v>0.36</v>
      </c>
    </row>
    <row r="193" spans="1:36" x14ac:dyDescent="0.3">
      <c r="A193">
        <f>COUNTIF($D$2:D193,D193)</f>
        <v>18</v>
      </c>
      <c r="B193" t="str">
        <f t="shared" si="9"/>
        <v>18Bournemouth, Christchurch and Poole</v>
      </c>
      <c r="C193" t="s">
        <v>1304</v>
      </c>
      <c r="D193" t="s">
        <v>85</v>
      </c>
      <c r="E193">
        <v>52</v>
      </c>
      <c r="F193" t="s">
        <v>1282</v>
      </c>
      <c r="G193" t="s">
        <v>877</v>
      </c>
      <c r="H193" t="s">
        <v>878</v>
      </c>
      <c r="I193" t="s">
        <v>879</v>
      </c>
      <c r="J193">
        <f t="shared" ca="1" si="10"/>
        <v>1882080</v>
      </c>
      <c r="K193">
        <f t="shared" ca="1" si="11"/>
        <v>18</v>
      </c>
      <c r="N193" t="str">
        <f t="shared" si="8"/>
        <v>Bolton1Independent LivingAssistive Technologies and EquipmentCommunity based equipment</v>
      </c>
      <c r="O193" t="s">
        <v>83</v>
      </c>
      <c r="P193" t="s">
        <v>1201</v>
      </c>
      <c r="Q193">
        <v>1</v>
      </c>
      <c r="R193" t="s">
        <v>1246</v>
      </c>
      <c r="S193" t="s">
        <v>1301</v>
      </c>
      <c r="T193" t="s">
        <v>800</v>
      </c>
      <c r="U193" t="s">
        <v>903</v>
      </c>
      <c r="W193">
        <v>328</v>
      </c>
      <c r="X193">
        <v>328</v>
      </c>
      <c r="Y193" t="s">
        <v>802</v>
      </c>
      <c r="Z193" t="s">
        <v>792</v>
      </c>
      <c r="AB193" t="s">
        <v>793</v>
      </c>
      <c r="AD193" t="s">
        <v>794</v>
      </c>
      <c r="AE193" t="s">
        <v>795</v>
      </c>
      <c r="AF193" t="s">
        <v>845</v>
      </c>
      <c r="AG193" t="s">
        <v>797</v>
      </c>
      <c r="AH193">
        <v>86189</v>
      </c>
      <c r="AI193">
        <v>86189</v>
      </c>
      <c r="AJ193">
        <v>0.04</v>
      </c>
    </row>
    <row r="194" spans="1:36" x14ac:dyDescent="0.3">
      <c r="A194">
        <f>COUNTIF($D$2:D194,D194)</f>
        <v>1</v>
      </c>
      <c r="B194" t="str">
        <f t="shared" si="9"/>
        <v>1Bracknell Forest</v>
      </c>
      <c r="C194" t="s">
        <v>1305</v>
      </c>
      <c r="D194" t="s">
        <v>87</v>
      </c>
      <c r="E194">
        <v>70</v>
      </c>
      <c r="F194" t="s">
        <v>1306</v>
      </c>
      <c r="G194" t="s">
        <v>877</v>
      </c>
      <c r="H194" t="s">
        <v>968</v>
      </c>
      <c r="I194" t="s">
        <v>879</v>
      </c>
      <c r="J194">
        <f t="shared" ca="1" si="10"/>
        <v>70864</v>
      </c>
      <c r="K194">
        <f t="shared" ca="1" si="11"/>
        <v>40</v>
      </c>
      <c r="N194" t="str">
        <f t="shared" ref="N194:N257" si="12">O194&amp;Q194&amp;R194&amp;T194&amp;U194</f>
        <v>Bolton3CarersCarers ServicesRespite services</v>
      </c>
      <c r="O194" t="s">
        <v>83</v>
      </c>
      <c r="P194" t="s">
        <v>1201</v>
      </c>
      <c r="Q194">
        <v>3</v>
      </c>
      <c r="R194" t="s">
        <v>1250</v>
      </c>
      <c r="S194" t="s">
        <v>1307</v>
      </c>
      <c r="T194" t="s">
        <v>811</v>
      </c>
      <c r="U194" t="s">
        <v>830</v>
      </c>
      <c r="W194">
        <v>65</v>
      </c>
      <c r="X194">
        <v>65</v>
      </c>
      <c r="Y194" t="s">
        <v>813</v>
      </c>
      <c r="Z194" t="s">
        <v>792</v>
      </c>
      <c r="AB194" t="s">
        <v>793</v>
      </c>
      <c r="AD194" t="s">
        <v>794</v>
      </c>
      <c r="AE194" t="s">
        <v>804</v>
      </c>
      <c r="AF194" t="s">
        <v>796</v>
      </c>
      <c r="AG194" t="s">
        <v>797</v>
      </c>
      <c r="AH194">
        <v>90124</v>
      </c>
      <c r="AI194">
        <v>90124</v>
      </c>
      <c r="AJ194">
        <v>0.53</v>
      </c>
    </row>
    <row r="195" spans="1:36" x14ac:dyDescent="0.3">
      <c r="A195">
        <f>COUNTIF($D$2:D195,D195)</f>
        <v>2</v>
      </c>
      <c r="B195" t="str">
        <f t="shared" ref="B195:B258" si="13">A195&amp;D195</f>
        <v>2Bracknell Forest</v>
      </c>
      <c r="C195" t="s">
        <v>1308</v>
      </c>
      <c r="D195" t="s">
        <v>87</v>
      </c>
      <c r="E195">
        <v>72</v>
      </c>
      <c r="F195" t="s">
        <v>1309</v>
      </c>
      <c r="G195" t="s">
        <v>800</v>
      </c>
      <c r="H195" t="s">
        <v>850</v>
      </c>
      <c r="I195" t="s">
        <v>802</v>
      </c>
      <c r="J195">
        <f t="shared" ref="J195:J258" ca="1" si="14">SUMIF($N:$AI,C195,AH:AH)</f>
        <v>33785</v>
      </c>
      <c r="K195">
        <f t="shared" ref="K195:K258" ca="1" si="15">SUMIF($N:$AI,C195,W:W)</f>
        <v>60</v>
      </c>
      <c r="N195" t="str">
        <f t="shared" si="12"/>
        <v>Bolton3CarersCarers ServicesRespite services</v>
      </c>
      <c r="O195" t="s">
        <v>83</v>
      </c>
      <c r="P195" t="s">
        <v>1201</v>
      </c>
      <c r="Q195">
        <v>3</v>
      </c>
      <c r="R195" t="s">
        <v>1250</v>
      </c>
      <c r="S195" t="s">
        <v>1310</v>
      </c>
      <c r="T195" t="s">
        <v>811</v>
      </c>
      <c r="U195" t="s">
        <v>830</v>
      </c>
      <c r="W195">
        <v>1052</v>
      </c>
      <c r="X195">
        <v>1052</v>
      </c>
      <c r="Y195" t="s">
        <v>813</v>
      </c>
      <c r="Z195" t="s">
        <v>792</v>
      </c>
      <c r="AB195" t="s">
        <v>793</v>
      </c>
      <c r="AD195" t="s">
        <v>794</v>
      </c>
      <c r="AE195" t="s">
        <v>804</v>
      </c>
      <c r="AF195" t="s">
        <v>796</v>
      </c>
      <c r="AG195" t="s">
        <v>797</v>
      </c>
      <c r="AH195">
        <v>403112</v>
      </c>
      <c r="AI195">
        <v>403112</v>
      </c>
      <c r="AJ195">
        <v>0.74</v>
      </c>
    </row>
    <row r="196" spans="1:36" x14ac:dyDescent="0.3">
      <c r="A196">
        <f>COUNTIF($D$2:D196,D196)</f>
        <v>3</v>
      </c>
      <c r="B196" t="str">
        <f t="shared" si="13"/>
        <v>3Bracknell Forest</v>
      </c>
      <c r="C196" t="s">
        <v>1311</v>
      </c>
      <c r="D196" t="s">
        <v>87</v>
      </c>
      <c r="E196">
        <v>73</v>
      </c>
      <c r="F196" t="s">
        <v>1312</v>
      </c>
      <c r="G196" t="s">
        <v>842</v>
      </c>
      <c r="H196" t="s">
        <v>856</v>
      </c>
      <c r="I196" t="s">
        <v>844</v>
      </c>
      <c r="J196">
        <f t="shared" ca="1" si="14"/>
        <v>50000</v>
      </c>
      <c r="K196">
        <f t="shared" ca="1" si="15"/>
        <v>14400</v>
      </c>
      <c r="N196" t="str">
        <f t="shared" si="12"/>
        <v>Bolton3CarersCarers ServicesRespite services</v>
      </c>
      <c r="O196" t="s">
        <v>83</v>
      </c>
      <c r="P196" t="s">
        <v>1201</v>
      </c>
      <c r="Q196">
        <v>3</v>
      </c>
      <c r="R196" t="s">
        <v>1250</v>
      </c>
      <c r="S196" t="s">
        <v>1313</v>
      </c>
      <c r="T196" t="s">
        <v>811</v>
      </c>
      <c r="U196" t="s">
        <v>830</v>
      </c>
      <c r="W196">
        <v>54</v>
      </c>
      <c r="X196">
        <v>54</v>
      </c>
      <c r="Y196" t="s">
        <v>813</v>
      </c>
      <c r="Z196" t="s">
        <v>792</v>
      </c>
      <c r="AB196" t="s">
        <v>793</v>
      </c>
      <c r="AD196" t="s">
        <v>794</v>
      </c>
      <c r="AE196" t="s">
        <v>804</v>
      </c>
      <c r="AF196" t="s">
        <v>796</v>
      </c>
      <c r="AG196" t="s">
        <v>797</v>
      </c>
      <c r="AH196">
        <v>45796</v>
      </c>
      <c r="AI196">
        <v>45796</v>
      </c>
      <c r="AJ196">
        <v>0.04</v>
      </c>
    </row>
    <row r="197" spans="1:36" x14ac:dyDescent="0.3">
      <c r="A197">
        <f>COUNTIF($D$2:D197,D197)</f>
        <v>4</v>
      </c>
      <c r="B197" t="str">
        <f t="shared" si="13"/>
        <v>4Bracknell Forest</v>
      </c>
      <c r="C197" t="s">
        <v>1314</v>
      </c>
      <c r="D197" t="s">
        <v>87</v>
      </c>
      <c r="E197">
        <v>75</v>
      </c>
      <c r="F197" t="s">
        <v>1315</v>
      </c>
      <c r="G197" t="s">
        <v>877</v>
      </c>
      <c r="H197" t="s">
        <v>878</v>
      </c>
      <c r="I197" t="s">
        <v>879</v>
      </c>
      <c r="J197">
        <f t="shared" ca="1" si="14"/>
        <v>47921</v>
      </c>
      <c r="K197">
        <f t="shared" ca="1" si="15"/>
        <v>240</v>
      </c>
      <c r="N197" t="str">
        <f t="shared" si="12"/>
        <v>Bolton3CarersCarers ServicesRespite services</v>
      </c>
      <c r="O197" t="s">
        <v>83</v>
      </c>
      <c r="P197" t="s">
        <v>1201</v>
      </c>
      <c r="Q197">
        <v>3</v>
      </c>
      <c r="R197" t="s">
        <v>1250</v>
      </c>
      <c r="S197" t="s">
        <v>1316</v>
      </c>
      <c r="T197" t="s">
        <v>811</v>
      </c>
      <c r="U197" t="s">
        <v>830</v>
      </c>
      <c r="W197">
        <v>85</v>
      </c>
      <c r="X197">
        <v>85</v>
      </c>
      <c r="Y197" t="s">
        <v>813</v>
      </c>
      <c r="Z197" t="s">
        <v>792</v>
      </c>
      <c r="AB197" t="s">
        <v>793</v>
      </c>
      <c r="AD197" t="s">
        <v>794</v>
      </c>
      <c r="AE197" t="s">
        <v>804</v>
      </c>
      <c r="AF197" t="s">
        <v>796</v>
      </c>
      <c r="AG197" t="s">
        <v>797</v>
      </c>
      <c r="AH197">
        <v>339803</v>
      </c>
      <c r="AI197">
        <v>339803</v>
      </c>
      <c r="AJ197">
        <v>0.67</v>
      </c>
    </row>
    <row r="198" spans="1:36" x14ac:dyDescent="0.3">
      <c r="A198">
        <f>COUNTIF($D$2:D198,D198)</f>
        <v>5</v>
      </c>
      <c r="B198" t="str">
        <f t="shared" si="13"/>
        <v>5Bracknell Forest</v>
      </c>
      <c r="C198" t="s">
        <v>1317</v>
      </c>
      <c r="D198" t="s">
        <v>87</v>
      </c>
      <c r="E198">
        <v>8</v>
      </c>
      <c r="F198" t="s">
        <v>1051</v>
      </c>
      <c r="G198" t="s">
        <v>800</v>
      </c>
      <c r="H198" t="s">
        <v>903</v>
      </c>
      <c r="I198" t="s">
        <v>802</v>
      </c>
      <c r="J198">
        <f t="shared" ca="1" si="14"/>
        <v>597893</v>
      </c>
      <c r="K198">
        <f t="shared" ca="1" si="15"/>
        <v>500</v>
      </c>
      <c r="N198" t="str">
        <f t="shared" si="12"/>
        <v>Bolton3CarersCarers ServicesRespite services</v>
      </c>
      <c r="O198" t="s">
        <v>83</v>
      </c>
      <c r="P198" t="s">
        <v>1201</v>
      </c>
      <c r="Q198">
        <v>3</v>
      </c>
      <c r="R198" t="s">
        <v>1250</v>
      </c>
      <c r="S198" t="s">
        <v>1316</v>
      </c>
      <c r="T198" t="s">
        <v>811</v>
      </c>
      <c r="U198" t="s">
        <v>830</v>
      </c>
      <c r="W198">
        <v>2</v>
      </c>
      <c r="X198">
        <v>2</v>
      </c>
      <c r="Y198" t="s">
        <v>813</v>
      </c>
      <c r="Z198" t="s">
        <v>792</v>
      </c>
      <c r="AB198" t="s">
        <v>793</v>
      </c>
      <c r="AD198" t="s">
        <v>794</v>
      </c>
      <c r="AE198" t="s">
        <v>804</v>
      </c>
      <c r="AF198" t="s">
        <v>1029</v>
      </c>
      <c r="AG198" t="s">
        <v>797</v>
      </c>
      <c r="AH198">
        <v>6079</v>
      </c>
      <c r="AI198">
        <v>6079</v>
      </c>
      <c r="AJ198">
        <v>0.01</v>
      </c>
    </row>
    <row r="199" spans="1:36" x14ac:dyDescent="0.3">
      <c r="A199">
        <f>COUNTIF($D$2:D199,D199)</f>
        <v>6</v>
      </c>
      <c r="B199" t="str">
        <f t="shared" si="13"/>
        <v>6Bracknell Forest</v>
      </c>
      <c r="C199" t="s">
        <v>1318</v>
      </c>
      <c r="D199" t="s">
        <v>87</v>
      </c>
      <c r="E199">
        <v>15</v>
      </c>
      <c r="F199" t="s">
        <v>1319</v>
      </c>
      <c r="G199" t="s">
        <v>877</v>
      </c>
      <c r="H199" t="s">
        <v>1259</v>
      </c>
      <c r="I199" t="s">
        <v>879</v>
      </c>
      <c r="J199">
        <f t="shared" ca="1" si="14"/>
        <v>97799</v>
      </c>
      <c r="K199">
        <f t="shared" ca="1" si="15"/>
        <v>50</v>
      </c>
      <c r="N199" t="str">
        <f t="shared" si="12"/>
        <v>Bolton3CarersCarers ServicesCarer advice and support related to Care Act duties</v>
      </c>
      <c r="O199" t="s">
        <v>83</v>
      </c>
      <c r="P199" t="s">
        <v>1201</v>
      </c>
      <c r="Q199">
        <v>3</v>
      </c>
      <c r="R199" t="s">
        <v>1250</v>
      </c>
      <c r="S199" t="s">
        <v>1320</v>
      </c>
      <c r="T199" t="s">
        <v>811</v>
      </c>
      <c r="U199" t="s">
        <v>895</v>
      </c>
      <c r="W199">
        <v>372</v>
      </c>
      <c r="X199">
        <v>372</v>
      </c>
      <c r="Y199" t="s">
        <v>813</v>
      </c>
      <c r="Z199" t="s">
        <v>823</v>
      </c>
      <c r="AB199" t="s">
        <v>793</v>
      </c>
      <c r="AD199" t="s">
        <v>794</v>
      </c>
      <c r="AE199" t="s">
        <v>804</v>
      </c>
      <c r="AF199" t="s">
        <v>1029</v>
      </c>
      <c r="AG199" t="s">
        <v>797</v>
      </c>
      <c r="AH199">
        <v>142055.82</v>
      </c>
      <c r="AI199">
        <v>142055.82</v>
      </c>
      <c r="AJ199">
        <v>0.06</v>
      </c>
    </row>
    <row r="200" spans="1:36" x14ac:dyDescent="0.3">
      <c r="A200">
        <f>COUNTIF($D$2:D200,D200)</f>
        <v>7</v>
      </c>
      <c r="B200" t="str">
        <f t="shared" si="13"/>
        <v>7Bracknell Forest</v>
      </c>
      <c r="C200" t="s">
        <v>1321</v>
      </c>
      <c r="D200" t="s">
        <v>87</v>
      </c>
      <c r="E200">
        <v>16</v>
      </c>
      <c r="F200" t="s">
        <v>1322</v>
      </c>
      <c r="G200" t="s">
        <v>877</v>
      </c>
      <c r="H200" t="s">
        <v>1015</v>
      </c>
      <c r="I200" t="s">
        <v>879</v>
      </c>
      <c r="J200">
        <f t="shared" ca="1" si="14"/>
        <v>43599</v>
      </c>
      <c r="K200">
        <f t="shared" ca="1" si="15"/>
        <v>50</v>
      </c>
      <c r="N200" t="str">
        <f t="shared" si="12"/>
        <v>Bolton5Independent LivingDFG Related SchemesAdaptations, including statutory DFG grants</v>
      </c>
      <c r="O200" t="s">
        <v>83</v>
      </c>
      <c r="P200" t="s">
        <v>1201</v>
      </c>
      <c r="Q200">
        <v>5</v>
      </c>
      <c r="R200" t="s">
        <v>1246</v>
      </c>
      <c r="S200" t="s">
        <v>840</v>
      </c>
      <c r="T200" t="s">
        <v>834</v>
      </c>
      <c r="U200" t="s">
        <v>835</v>
      </c>
      <c r="W200">
        <v>437</v>
      </c>
      <c r="X200">
        <v>437</v>
      </c>
      <c r="Y200" t="s">
        <v>836</v>
      </c>
      <c r="Z200" t="s">
        <v>823</v>
      </c>
      <c r="AB200" t="s">
        <v>793</v>
      </c>
      <c r="AD200" t="s">
        <v>794</v>
      </c>
      <c r="AE200" t="s">
        <v>795</v>
      </c>
      <c r="AF200" t="s">
        <v>840</v>
      </c>
      <c r="AG200" t="s">
        <v>797</v>
      </c>
      <c r="AH200">
        <v>3577890</v>
      </c>
      <c r="AI200">
        <v>3577890</v>
      </c>
      <c r="AJ200">
        <v>1</v>
      </c>
    </row>
    <row r="201" spans="1:36" x14ac:dyDescent="0.3">
      <c r="A201">
        <f>COUNTIF($D$2:D201,D201)</f>
        <v>8</v>
      </c>
      <c r="B201" t="str">
        <f t="shared" si="13"/>
        <v>8Bracknell Forest</v>
      </c>
      <c r="C201" t="s">
        <v>1323</v>
      </c>
      <c r="D201" t="s">
        <v>87</v>
      </c>
      <c r="E201">
        <v>21</v>
      </c>
      <c r="F201" t="s">
        <v>1324</v>
      </c>
      <c r="G201" t="s">
        <v>811</v>
      </c>
      <c r="H201" t="s">
        <v>895</v>
      </c>
      <c r="I201" t="s">
        <v>813</v>
      </c>
      <c r="J201">
        <f t="shared" ca="1" si="14"/>
        <v>100000</v>
      </c>
      <c r="K201">
        <f t="shared" ca="1" si="15"/>
        <v>500</v>
      </c>
      <c r="N201" t="str">
        <f t="shared" si="12"/>
        <v>Bolton11Intermediate CareBed based intermediate Care Services (Reablement, rehabilitation, wider short-term services supporting recovery)Other</v>
      </c>
      <c r="O201" t="s">
        <v>83</v>
      </c>
      <c r="P201" t="s">
        <v>1201</v>
      </c>
      <c r="Q201">
        <v>11</v>
      </c>
      <c r="R201" t="s">
        <v>964</v>
      </c>
      <c r="S201" t="s">
        <v>1325</v>
      </c>
      <c r="T201" t="s">
        <v>877</v>
      </c>
      <c r="U201" t="s">
        <v>812</v>
      </c>
      <c r="V201" t="s">
        <v>1326</v>
      </c>
      <c r="W201">
        <v>268</v>
      </c>
      <c r="X201">
        <v>268</v>
      </c>
      <c r="Y201" t="s">
        <v>879</v>
      </c>
      <c r="Z201" t="s">
        <v>823</v>
      </c>
      <c r="AB201" t="s">
        <v>824</v>
      </c>
      <c r="AD201" t="s">
        <v>794</v>
      </c>
      <c r="AE201" t="s">
        <v>832</v>
      </c>
      <c r="AF201" t="s">
        <v>796</v>
      </c>
      <c r="AG201" t="s">
        <v>797</v>
      </c>
      <c r="AH201">
        <v>603378</v>
      </c>
      <c r="AI201">
        <v>603378</v>
      </c>
      <c r="AJ201">
        <v>0.24</v>
      </c>
    </row>
    <row r="202" spans="1:36" x14ac:dyDescent="0.3">
      <c r="A202">
        <f>COUNTIF($D$2:D202,D202)</f>
        <v>9</v>
      </c>
      <c r="B202" t="str">
        <f t="shared" si="13"/>
        <v>9Bracknell Forest</v>
      </c>
      <c r="C202" t="s">
        <v>1327</v>
      </c>
      <c r="D202" t="s">
        <v>87</v>
      </c>
      <c r="E202">
        <v>25</v>
      </c>
      <c r="F202" t="s">
        <v>1328</v>
      </c>
      <c r="G202" t="s">
        <v>806</v>
      </c>
      <c r="H202" t="s">
        <v>812</v>
      </c>
      <c r="I202" t="s">
        <v>808</v>
      </c>
      <c r="J202">
        <f t="shared" ca="1" si="14"/>
        <v>1524876</v>
      </c>
      <c r="K202">
        <f t="shared" ca="1" si="15"/>
        <v>110</v>
      </c>
      <c r="N202" t="str">
        <f t="shared" si="12"/>
        <v>Bolton11Intermediate CareBed based intermediate Care Services (Reablement, rehabilitation, wider short-term services supporting recovery)Other</v>
      </c>
      <c r="O202" t="s">
        <v>83</v>
      </c>
      <c r="P202" t="s">
        <v>1201</v>
      </c>
      <c r="Q202">
        <v>11</v>
      </c>
      <c r="R202" t="s">
        <v>964</v>
      </c>
      <c r="S202" t="s">
        <v>1329</v>
      </c>
      <c r="T202" t="s">
        <v>877</v>
      </c>
      <c r="U202" t="s">
        <v>812</v>
      </c>
      <c r="V202" t="s">
        <v>1330</v>
      </c>
      <c r="W202">
        <v>223</v>
      </c>
      <c r="X202">
        <v>223</v>
      </c>
      <c r="Y202" t="s">
        <v>879</v>
      </c>
      <c r="Z202" t="s">
        <v>823</v>
      </c>
      <c r="AB202" t="s">
        <v>824</v>
      </c>
      <c r="AD202" t="s">
        <v>794</v>
      </c>
      <c r="AE202" t="s">
        <v>832</v>
      </c>
      <c r="AF202" t="s">
        <v>796</v>
      </c>
      <c r="AG202" t="s">
        <v>797</v>
      </c>
      <c r="AH202">
        <v>502881</v>
      </c>
      <c r="AI202">
        <v>502881</v>
      </c>
      <c r="AJ202">
        <v>1</v>
      </c>
    </row>
    <row r="203" spans="1:36" x14ac:dyDescent="0.3">
      <c r="A203">
        <f>COUNTIF($D$2:D203,D203)</f>
        <v>10</v>
      </c>
      <c r="B203" t="str">
        <f t="shared" si="13"/>
        <v>10Bracknell Forest</v>
      </c>
      <c r="C203" t="s">
        <v>1331</v>
      </c>
      <c r="D203" t="s">
        <v>87</v>
      </c>
      <c r="E203">
        <v>27</v>
      </c>
      <c r="F203" t="s">
        <v>1051</v>
      </c>
      <c r="G203" t="s">
        <v>800</v>
      </c>
      <c r="H203" t="s">
        <v>850</v>
      </c>
      <c r="I203" t="s">
        <v>802</v>
      </c>
      <c r="J203">
        <f t="shared" ca="1" si="14"/>
        <v>518600</v>
      </c>
      <c r="K203">
        <f t="shared" ca="1" si="15"/>
        <v>500</v>
      </c>
      <c r="N203" t="str">
        <f t="shared" si="12"/>
        <v>Bolton11Intermediate CareBed based intermediate Care Services (Reablement, rehabilitation, wider short-term services supporting recovery)Other</v>
      </c>
      <c r="O203" t="s">
        <v>83</v>
      </c>
      <c r="P203" t="s">
        <v>1201</v>
      </c>
      <c r="Q203">
        <v>11</v>
      </c>
      <c r="R203" t="s">
        <v>964</v>
      </c>
      <c r="S203" t="s">
        <v>1325</v>
      </c>
      <c r="T203" t="s">
        <v>877</v>
      </c>
      <c r="U203" t="s">
        <v>812</v>
      </c>
      <c r="V203" t="s">
        <v>1330</v>
      </c>
      <c r="W203">
        <v>34</v>
      </c>
      <c r="X203">
        <v>34</v>
      </c>
      <c r="Y203" t="s">
        <v>879</v>
      </c>
      <c r="Z203" t="s">
        <v>823</v>
      </c>
      <c r="AB203" t="s">
        <v>824</v>
      </c>
      <c r="AD203" t="s">
        <v>794</v>
      </c>
      <c r="AE203" t="s">
        <v>832</v>
      </c>
      <c r="AF203" t="s">
        <v>796</v>
      </c>
      <c r="AG203" t="s">
        <v>797</v>
      </c>
      <c r="AH203">
        <v>76708</v>
      </c>
      <c r="AI203">
        <v>76708</v>
      </c>
      <c r="AJ203">
        <v>0.03</v>
      </c>
    </row>
    <row r="204" spans="1:36" x14ac:dyDescent="0.3">
      <c r="A204">
        <f>COUNTIF($D$2:D204,D204)</f>
        <v>11</v>
      </c>
      <c r="B204" t="str">
        <f t="shared" si="13"/>
        <v>11Bracknell Forest</v>
      </c>
      <c r="C204" t="s">
        <v>1332</v>
      </c>
      <c r="D204" t="s">
        <v>87</v>
      </c>
      <c r="E204">
        <v>28</v>
      </c>
      <c r="F204" t="s">
        <v>1333</v>
      </c>
      <c r="G204" t="s">
        <v>787</v>
      </c>
      <c r="H204" t="s">
        <v>788</v>
      </c>
      <c r="I204" t="s">
        <v>789</v>
      </c>
      <c r="J204">
        <f t="shared" ca="1" si="14"/>
        <v>4194140</v>
      </c>
      <c r="K204">
        <f t="shared" ca="1" si="15"/>
        <v>321</v>
      </c>
      <c r="N204" t="str">
        <f t="shared" si="12"/>
        <v>Bolton11Intermediate CareBed based intermediate Care Services (Reablement, rehabilitation, wider short-term services supporting recovery)Other</v>
      </c>
      <c r="O204" t="s">
        <v>83</v>
      </c>
      <c r="P204" t="s">
        <v>1201</v>
      </c>
      <c r="Q204">
        <v>11</v>
      </c>
      <c r="R204" t="s">
        <v>964</v>
      </c>
      <c r="S204" t="s">
        <v>1334</v>
      </c>
      <c r="T204" t="s">
        <v>877</v>
      </c>
      <c r="U204" t="s">
        <v>812</v>
      </c>
      <c r="V204" t="s">
        <v>1335</v>
      </c>
      <c r="W204">
        <v>17</v>
      </c>
      <c r="X204">
        <v>17</v>
      </c>
      <c r="Y204" t="s">
        <v>879</v>
      </c>
      <c r="Z204" t="s">
        <v>823</v>
      </c>
      <c r="AB204" t="s">
        <v>824</v>
      </c>
      <c r="AD204" t="s">
        <v>794</v>
      </c>
      <c r="AE204" t="s">
        <v>832</v>
      </c>
      <c r="AF204" t="s">
        <v>796</v>
      </c>
      <c r="AG204" t="s">
        <v>797</v>
      </c>
      <c r="AH204">
        <v>37339</v>
      </c>
      <c r="AI204">
        <v>37339</v>
      </c>
      <c r="AJ204">
        <v>0.01</v>
      </c>
    </row>
    <row r="205" spans="1:36" x14ac:dyDescent="0.3">
      <c r="A205">
        <f>COUNTIF($D$2:D205,D205)</f>
        <v>12</v>
      </c>
      <c r="B205" t="str">
        <f t="shared" si="13"/>
        <v>12Bracknell Forest</v>
      </c>
      <c r="C205" t="s">
        <v>1336</v>
      </c>
      <c r="D205" t="s">
        <v>87</v>
      </c>
      <c r="E205">
        <v>29</v>
      </c>
      <c r="F205" t="s">
        <v>1337</v>
      </c>
      <c r="G205" t="s">
        <v>842</v>
      </c>
      <c r="H205" t="s">
        <v>843</v>
      </c>
      <c r="I205" t="s">
        <v>844</v>
      </c>
      <c r="J205">
        <f t="shared" ca="1" si="14"/>
        <v>225000</v>
      </c>
      <c r="K205">
        <f t="shared" ca="1" si="15"/>
        <v>8000</v>
      </c>
      <c r="N205" t="str">
        <f t="shared" si="12"/>
        <v>Bolton11Intermediate CareBed based intermediate Care Services (Reablement, rehabilitation, wider short-term services supporting recovery)Other</v>
      </c>
      <c r="O205" t="s">
        <v>83</v>
      </c>
      <c r="P205" t="s">
        <v>1201</v>
      </c>
      <c r="Q205">
        <v>11</v>
      </c>
      <c r="R205" t="s">
        <v>964</v>
      </c>
      <c r="S205" t="s">
        <v>1338</v>
      </c>
      <c r="T205" t="s">
        <v>877</v>
      </c>
      <c r="U205" t="s">
        <v>812</v>
      </c>
      <c r="V205" t="s">
        <v>1339</v>
      </c>
      <c r="W205">
        <v>221</v>
      </c>
      <c r="X205">
        <v>221</v>
      </c>
      <c r="Y205" t="s">
        <v>879</v>
      </c>
      <c r="Z205" t="s">
        <v>792</v>
      </c>
      <c r="AB205" t="s">
        <v>824</v>
      </c>
      <c r="AD205" t="s">
        <v>794</v>
      </c>
      <c r="AE205" t="s">
        <v>795</v>
      </c>
      <c r="AF205" t="s">
        <v>796</v>
      </c>
      <c r="AG205" t="s">
        <v>797</v>
      </c>
      <c r="AH205">
        <v>1957827</v>
      </c>
      <c r="AI205">
        <v>1957827</v>
      </c>
      <c r="AJ205">
        <v>0.43</v>
      </c>
    </row>
    <row r="206" spans="1:36" x14ac:dyDescent="0.3">
      <c r="A206">
        <f>COUNTIF($D$2:D206,D206)</f>
        <v>13</v>
      </c>
      <c r="B206" t="str">
        <f t="shared" si="13"/>
        <v>13Bracknell Forest</v>
      </c>
      <c r="C206" t="s">
        <v>1340</v>
      </c>
      <c r="D206" t="s">
        <v>87</v>
      </c>
      <c r="E206">
        <v>50</v>
      </c>
      <c r="F206" t="s">
        <v>1341</v>
      </c>
      <c r="G206" t="s">
        <v>834</v>
      </c>
      <c r="H206" t="s">
        <v>850</v>
      </c>
      <c r="I206" t="s">
        <v>802</v>
      </c>
      <c r="J206">
        <f t="shared" ca="1" si="14"/>
        <v>968392</v>
      </c>
      <c r="K206">
        <f t="shared" ca="1" si="15"/>
        <v>80</v>
      </c>
      <c r="N206" t="str">
        <f t="shared" si="12"/>
        <v>Bolton11Intermediate CareBed based intermediate Care Services (Reablement, rehabilitation, wider short-term services supporting recovery)Other</v>
      </c>
      <c r="O206" t="s">
        <v>83</v>
      </c>
      <c r="P206" t="s">
        <v>1201</v>
      </c>
      <c r="Q206">
        <v>11</v>
      </c>
      <c r="R206" t="s">
        <v>964</v>
      </c>
      <c r="S206" t="s">
        <v>1342</v>
      </c>
      <c r="T206" t="s">
        <v>877</v>
      </c>
      <c r="U206" t="s">
        <v>812</v>
      </c>
      <c r="V206" t="s">
        <v>1339</v>
      </c>
      <c r="W206">
        <v>86</v>
      </c>
      <c r="X206">
        <v>86</v>
      </c>
      <c r="Y206" t="s">
        <v>879</v>
      </c>
      <c r="Z206" t="s">
        <v>792</v>
      </c>
      <c r="AB206" t="s">
        <v>824</v>
      </c>
      <c r="AD206" t="s">
        <v>794</v>
      </c>
      <c r="AE206" t="s">
        <v>795</v>
      </c>
      <c r="AF206" t="s">
        <v>1042</v>
      </c>
      <c r="AG206" t="s">
        <v>797</v>
      </c>
      <c r="AH206">
        <v>763782</v>
      </c>
      <c r="AI206">
        <v>763782</v>
      </c>
      <c r="AJ206">
        <v>0.17</v>
      </c>
    </row>
    <row r="207" spans="1:36" x14ac:dyDescent="0.3">
      <c r="A207">
        <f>COUNTIF($D$2:D207,D207)</f>
        <v>1</v>
      </c>
      <c r="B207" t="str">
        <f t="shared" si="13"/>
        <v>1Bradford</v>
      </c>
      <c r="C207" t="s">
        <v>1343</v>
      </c>
      <c r="D207" t="s">
        <v>89</v>
      </c>
      <c r="E207" t="s">
        <v>1344</v>
      </c>
      <c r="F207" t="s">
        <v>1345</v>
      </c>
      <c r="G207" t="s">
        <v>800</v>
      </c>
      <c r="H207" t="s">
        <v>903</v>
      </c>
      <c r="I207" t="s">
        <v>802</v>
      </c>
      <c r="J207">
        <f t="shared" ca="1" si="14"/>
        <v>1816491</v>
      </c>
      <c r="K207">
        <f t="shared" ca="1" si="15"/>
        <v>16683</v>
      </c>
      <c r="N207" t="str">
        <f t="shared" si="12"/>
        <v>Bolton11Intermediate CareBed based intermediate Care Services (Reablement, rehabilitation, wider short-term services supporting recovery)Other</v>
      </c>
      <c r="O207" t="s">
        <v>83</v>
      </c>
      <c r="P207" t="s">
        <v>1201</v>
      </c>
      <c r="Q207">
        <v>11</v>
      </c>
      <c r="R207" t="s">
        <v>964</v>
      </c>
      <c r="S207" t="s">
        <v>1346</v>
      </c>
      <c r="T207" t="s">
        <v>877</v>
      </c>
      <c r="U207" t="s">
        <v>812</v>
      </c>
      <c r="V207" t="s">
        <v>1347</v>
      </c>
      <c r="W207">
        <v>97</v>
      </c>
      <c r="X207">
        <v>97</v>
      </c>
      <c r="Y207" t="s">
        <v>879</v>
      </c>
      <c r="Z207" t="s">
        <v>792</v>
      </c>
      <c r="AB207" t="s">
        <v>824</v>
      </c>
      <c r="AD207" t="s">
        <v>794</v>
      </c>
      <c r="AE207" t="s">
        <v>795</v>
      </c>
      <c r="AF207" t="s">
        <v>796</v>
      </c>
      <c r="AG207" t="s">
        <v>797</v>
      </c>
      <c r="AH207">
        <v>857897</v>
      </c>
      <c r="AI207">
        <v>857897</v>
      </c>
      <c r="AJ207">
        <v>0.19</v>
      </c>
    </row>
    <row r="208" spans="1:36" x14ac:dyDescent="0.3">
      <c r="A208">
        <f>COUNTIF($D$2:D208,D208)</f>
        <v>2</v>
      </c>
      <c r="B208" t="str">
        <f t="shared" si="13"/>
        <v>2Bradford</v>
      </c>
      <c r="C208" t="s">
        <v>1348</v>
      </c>
      <c r="D208" t="s">
        <v>89</v>
      </c>
      <c r="E208" t="s">
        <v>1349</v>
      </c>
      <c r="F208" t="s">
        <v>1350</v>
      </c>
      <c r="G208" t="s">
        <v>806</v>
      </c>
      <c r="H208" t="s">
        <v>917</v>
      </c>
      <c r="I208" t="s">
        <v>808</v>
      </c>
      <c r="J208">
        <f t="shared" ca="1" si="14"/>
        <v>2304839</v>
      </c>
      <c r="K208">
        <f t="shared" ca="1" si="15"/>
        <v>45</v>
      </c>
      <c r="N208" t="str">
        <f t="shared" si="12"/>
        <v>Bolton11Intermediate CareBed based intermediate Care Services (Reablement, rehabilitation, wider short-term services supporting recovery)Other</v>
      </c>
      <c r="O208" t="s">
        <v>83</v>
      </c>
      <c r="P208" t="s">
        <v>1201</v>
      </c>
      <c r="Q208">
        <v>11</v>
      </c>
      <c r="R208" t="s">
        <v>964</v>
      </c>
      <c r="S208" t="s">
        <v>1338</v>
      </c>
      <c r="T208" t="s">
        <v>877</v>
      </c>
      <c r="U208" t="s">
        <v>812</v>
      </c>
      <c r="V208" t="s">
        <v>1347</v>
      </c>
      <c r="W208">
        <v>61</v>
      </c>
      <c r="X208">
        <v>61</v>
      </c>
      <c r="Y208" t="s">
        <v>879</v>
      </c>
      <c r="Z208" t="s">
        <v>823</v>
      </c>
      <c r="AB208" t="s">
        <v>824</v>
      </c>
      <c r="AD208" t="s">
        <v>794</v>
      </c>
      <c r="AE208" t="s">
        <v>795</v>
      </c>
      <c r="AF208" t="s">
        <v>1029</v>
      </c>
      <c r="AG208" t="s">
        <v>797</v>
      </c>
      <c r="AH208">
        <v>536809.53659550194</v>
      </c>
      <c r="AI208">
        <v>536809.53659550194</v>
      </c>
      <c r="AJ208">
        <v>0.12</v>
      </c>
    </row>
    <row r="209" spans="1:36" x14ac:dyDescent="0.3">
      <c r="A209">
        <f>COUNTIF($D$2:D209,D209)</f>
        <v>3</v>
      </c>
      <c r="B209" t="str">
        <f t="shared" si="13"/>
        <v>3Bradford</v>
      </c>
      <c r="C209" t="s">
        <v>1351</v>
      </c>
      <c r="D209" t="s">
        <v>89</v>
      </c>
      <c r="E209" t="s">
        <v>1352</v>
      </c>
      <c r="F209" t="s">
        <v>1353</v>
      </c>
      <c r="G209" t="s">
        <v>787</v>
      </c>
      <c r="H209" t="s">
        <v>930</v>
      </c>
      <c r="I209" t="s">
        <v>789</v>
      </c>
      <c r="J209">
        <f t="shared" ca="1" si="14"/>
        <v>1534079</v>
      </c>
      <c r="K209">
        <f t="shared" ca="1" si="15"/>
        <v>558</v>
      </c>
      <c r="N209" t="str">
        <f t="shared" si="12"/>
        <v>Bolton11Managing Transfers of CareBed based intermediate Care Services (Reablement, rehabilitation, wider short-term services supporting recovery)Bed-based intermediate care with reablement accepting step up and step down users</v>
      </c>
      <c r="O209" t="s">
        <v>83</v>
      </c>
      <c r="P209" t="s">
        <v>1201</v>
      </c>
      <c r="Q209">
        <v>11</v>
      </c>
      <c r="R209" t="s">
        <v>1258</v>
      </c>
      <c r="S209" t="s">
        <v>1354</v>
      </c>
      <c r="T209" t="s">
        <v>877</v>
      </c>
      <c r="U209" t="s">
        <v>1259</v>
      </c>
      <c r="W209">
        <v>22</v>
      </c>
      <c r="X209">
        <v>22</v>
      </c>
      <c r="Y209" t="s">
        <v>879</v>
      </c>
      <c r="Z209" t="s">
        <v>792</v>
      </c>
      <c r="AB209" t="s">
        <v>793</v>
      </c>
      <c r="AD209" t="s">
        <v>794</v>
      </c>
      <c r="AE209" t="s">
        <v>795</v>
      </c>
      <c r="AF209" t="s">
        <v>845</v>
      </c>
      <c r="AG209" t="s">
        <v>797</v>
      </c>
      <c r="AH209">
        <v>300000</v>
      </c>
      <c r="AI209">
        <v>300000</v>
      </c>
      <c r="AJ209">
        <v>0.11</v>
      </c>
    </row>
    <row r="210" spans="1:36" x14ac:dyDescent="0.3">
      <c r="A210">
        <f>COUNTIF($D$2:D210,D210)</f>
        <v>4</v>
      </c>
      <c r="B210" t="str">
        <f t="shared" si="13"/>
        <v>4Bradford</v>
      </c>
      <c r="C210" t="s">
        <v>1355</v>
      </c>
      <c r="D210" t="s">
        <v>89</v>
      </c>
      <c r="E210" t="s">
        <v>1356</v>
      </c>
      <c r="F210" t="s">
        <v>1183</v>
      </c>
      <c r="G210" t="s">
        <v>877</v>
      </c>
      <c r="H210" t="s">
        <v>1018</v>
      </c>
      <c r="I210" t="s">
        <v>879</v>
      </c>
      <c r="J210">
        <f t="shared" ca="1" si="14"/>
        <v>8172299</v>
      </c>
      <c r="K210">
        <f t="shared" ca="1" si="15"/>
        <v>3938</v>
      </c>
      <c r="N210" t="str">
        <f t="shared" si="12"/>
        <v xml:space="preserve">Bolton12Intermediate CareHome-based intermediate care servicesReablement at home (to support discharge) </v>
      </c>
      <c r="O210" t="s">
        <v>83</v>
      </c>
      <c r="P210" t="s">
        <v>1201</v>
      </c>
      <c r="Q210">
        <v>12</v>
      </c>
      <c r="R210" t="s">
        <v>964</v>
      </c>
      <c r="S210" t="s">
        <v>1357</v>
      </c>
      <c r="T210" t="s">
        <v>787</v>
      </c>
      <c r="U210" t="s">
        <v>788</v>
      </c>
      <c r="W210">
        <v>632</v>
      </c>
      <c r="X210">
        <v>632</v>
      </c>
      <c r="Y210" t="s">
        <v>789</v>
      </c>
      <c r="Z210" t="s">
        <v>823</v>
      </c>
      <c r="AB210" t="s">
        <v>824</v>
      </c>
      <c r="AD210" t="s">
        <v>794</v>
      </c>
      <c r="AE210" t="s">
        <v>832</v>
      </c>
      <c r="AF210" t="s">
        <v>796</v>
      </c>
      <c r="AG210" t="s">
        <v>797</v>
      </c>
      <c r="AH210">
        <v>636505</v>
      </c>
      <c r="AI210">
        <v>636505</v>
      </c>
      <c r="AJ210">
        <v>0.25</v>
      </c>
    </row>
    <row r="211" spans="1:36" x14ac:dyDescent="0.3">
      <c r="A211">
        <f>COUNTIF($D$2:D211,D211)</f>
        <v>5</v>
      </c>
      <c r="B211" t="str">
        <f t="shared" si="13"/>
        <v>5Bradford</v>
      </c>
      <c r="C211" t="s">
        <v>1358</v>
      </c>
      <c r="D211" t="s">
        <v>89</v>
      </c>
      <c r="E211">
        <v>9</v>
      </c>
      <c r="F211" t="s">
        <v>1359</v>
      </c>
      <c r="G211" t="s">
        <v>800</v>
      </c>
      <c r="H211" t="s">
        <v>903</v>
      </c>
      <c r="I211" t="s">
        <v>802</v>
      </c>
      <c r="J211">
        <f t="shared" ca="1" si="14"/>
        <v>1500000</v>
      </c>
      <c r="K211">
        <f t="shared" ca="1" si="15"/>
        <v>16683</v>
      </c>
      <c r="N211" t="str">
        <f t="shared" si="12"/>
        <v xml:space="preserve">Bolton12Intermediate CareHome-based intermediate care servicesReablement at home (to support discharge) </v>
      </c>
      <c r="O211" t="s">
        <v>83</v>
      </c>
      <c r="P211" t="s">
        <v>1201</v>
      </c>
      <c r="Q211">
        <v>12</v>
      </c>
      <c r="R211" t="s">
        <v>964</v>
      </c>
      <c r="S211" t="s">
        <v>1360</v>
      </c>
      <c r="T211" t="s">
        <v>787</v>
      </c>
      <c r="U211" t="s">
        <v>788</v>
      </c>
      <c r="W211">
        <v>1256</v>
      </c>
      <c r="X211">
        <v>1256</v>
      </c>
      <c r="Y211" t="s">
        <v>789</v>
      </c>
      <c r="Z211" t="s">
        <v>792</v>
      </c>
      <c r="AB211" t="s">
        <v>793</v>
      </c>
      <c r="AD211" t="s">
        <v>794</v>
      </c>
      <c r="AE211" t="s">
        <v>795</v>
      </c>
      <c r="AF211" t="s">
        <v>796</v>
      </c>
      <c r="AG211" t="s">
        <v>797</v>
      </c>
      <c r="AH211">
        <v>4547605</v>
      </c>
      <c r="AI211">
        <v>4547605</v>
      </c>
      <c r="AJ211">
        <v>0.84860000000000002</v>
      </c>
    </row>
    <row r="212" spans="1:36" x14ac:dyDescent="0.3">
      <c r="A212">
        <f>COUNTIF($D$2:D212,D212)</f>
        <v>6</v>
      </c>
      <c r="B212" t="str">
        <f t="shared" si="13"/>
        <v>6Bradford</v>
      </c>
      <c r="C212" t="s">
        <v>1361</v>
      </c>
      <c r="D212" t="s">
        <v>89</v>
      </c>
      <c r="E212">
        <v>10</v>
      </c>
      <c r="F212" t="s">
        <v>1362</v>
      </c>
      <c r="G212" t="s">
        <v>800</v>
      </c>
      <c r="H212" t="s">
        <v>903</v>
      </c>
      <c r="I212" t="s">
        <v>802</v>
      </c>
      <c r="J212">
        <f t="shared" ca="1" si="14"/>
        <v>1287500</v>
      </c>
      <c r="K212">
        <f t="shared" ca="1" si="15"/>
        <v>16683</v>
      </c>
      <c r="N212" t="str">
        <f t="shared" si="12"/>
        <v xml:space="preserve">Bolton12Intermediate CareHome-based intermediate care servicesReablement at home (to support discharge) </v>
      </c>
      <c r="O212" t="s">
        <v>83</v>
      </c>
      <c r="P212" t="s">
        <v>1201</v>
      </c>
      <c r="Q212">
        <v>12</v>
      </c>
      <c r="R212" t="s">
        <v>964</v>
      </c>
      <c r="S212" t="s">
        <v>1360</v>
      </c>
      <c r="T212" t="s">
        <v>787</v>
      </c>
      <c r="U212" t="s">
        <v>788</v>
      </c>
      <c r="W212">
        <v>222</v>
      </c>
      <c r="X212">
        <v>222</v>
      </c>
      <c r="Y212" t="s">
        <v>789</v>
      </c>
      <c r="Z212" t="s">
        <v>823</v>
      </c>
      <c r="AB212" t="s">
        <v>793</v>
      </c>
      <c r="AD212" t="s">
        <v>794</v>
      </c>
      <c r="AE212" t="s">
        <v>795</v>
      </c>
      <c r="AF212" t="s">
        <v>1029</v>
      </c>
      <c r="AG212" t="s">
        <v>797</v>
      </c>
      <c r="AH212">
        <v>810798.0635210902</v>
      </c>
      <c r="AI212">
        <v>810798.0635210902</v>
      </c>
      <c r="AJ212">
        <v>0.15</v>
      </c>
    </row>
    <row r="213" spans="1:36" x14ac:dyDescent="0.3">
      <c r="A213">
        <f>COUNTIF($D$2:D213,D213)</f>
        <v>7</v>
      </c>
      <c r="B213" t="str">
        <f t="shared" si="13"/>
        <v>7Bradford</v>
      </c>
      <c r="C213" t="s">
        <v>1363</v>
      </c>
      <c r="D213" t="s">
        <v>89</v>
      </c>
      <c r="E213">
        <v>13</v>
      </c>
      <c r="F213" t="s">
        <v>1250</v>
      </c>
      <c r="G213" t="s">
        <v>811</v>
      </c>
      <c r="H213" t="s">
        <v>895</v>
      </c>
      <c r="I213" t="s">
        <v>813</v>
      </c>
      <c r="J213">
        <f t="shared" ca="1" si="14"/>
        <v>959500</v>
      </c>
      <c r="K213">
        <f t="shared" ca="1" si="15"/>
        <v>6948</v>
      </c>
      <c r="N213" t="str">
        <f t="shared" si="12"/>
        <v>Bolton17Stabilising market growth and fee increasesResidential PlacementsCare home</v>
      </c>
      <c r="O213" t="s">
        <v>83</v>
      </c>
      <c r="P213" t="s">
        <v>1201</v>
      </c>
      <c r="Q213">
        <v>17</v>
      </c>
      <c r="R213" t="s">
        <v>1262</v>
      </c>
      <c r="S213" t="s">
        <v>1354</v>
      </c>
      <c r="T213" t="s">
        <v>806</v>
      </c>
      <c r="U213" t="s">
        <v>807</v>
      </c>
      <c r="W213">
        <v>141</v>
      </c>
      <c r="X213">
        <v>130</v>
      </c>
      <c r="Y213" t="s">
        <v>808</v>
      </c>
      <c r="Z213" t="s">
        <v>792</v>
      </c>
      <c r="AB213" t="s">
        <v>793</v>
      </c>
      <c r="AD213" t="s">
        <v>794</v>
      </c>
      <c r="AE213" t="s">
        <v>804</v>
      </c>
      <c r="AF213" t="s">
        <v>845</v>
      </c>
      <c r="AG213" t="s">
        <v>797</v>
      </c>
      <c r="AH213">
        <v>5224228</v>
      </c>
      <c r="AI213">
        <v>5224228</v>
      </c>
      <c r="AJ213">
        <v>0.16</v>
      </c>
    </row>
    <row r="214" spans="1:36" x14ac:dyDescent="0.3">
      <c r="A214">
        <f>COUNTIF($D$2:D214,D214)</f>
        <v>8</v>
      </c>
      <c r="B214" t="str">
        <f t="shared" si="13"/>
        <v>8Bradford</v>
      </c>
      <c r="C214" t="s">
        <v>1364</v>
      </c>
      <c r="D214" t="s">
        <v>89</v>
      </c>
      <c r="E214">
        <v>13</v>
      </c>
      <c r="F214" t="s">
        <v>1250</v>
      </c>
      <c r="G214" t="s">
        <v>811</v>
      </c>
      <c r="H214" t="s">
        <v>830</v>
      </c>
      <c r="I214" t="s">
        <v>813</v>
      </c>
      <c r="J214">
        <f t="shared" ca="1" si="14"/>
        <v>270500</v>
      </c>
      <c r="K214">
        <f t="shared" ca="1" si="15"/>
        <v>115</v>
      </c>
      <c r="N214" t="str">
        <f t="shared" si="12"/>
        <v>Bolton17Stabilising market growth and fee increasesResidential PlacementsCare home</v>
      </c>
      <c r="O214" t="s">
        <v>83</v>
      </c>
      <c r="P214" t="s">
        <v>1201</v>
      </c>
      <c r="Q214">
        <v>17</v>
      </c>
      <c r="R214" t="s">
        <v>1262</v>
      </c>
      <c r="S214" t="s">
        <v>1354</v>
      </c>
      <c r="T214" t="s">
        <v>806</v>
      </c>
      <c r="U214" t="s">
        <v>807</v>
      </c>
      <c r="W214">
        <v>22</v>
      </c>
      <c r="X214">
        <v>20</v>
      </c>
      <c r="Y214" t="s">
        <v>808</v>
      </c>
      <c r="Z214" t="s">
        <v>792</v>
      </c>
      <c r="AB214" t="s">
        <v>793</v>
      </c>
      <c r="AD214" t="s">
        <v>794</v>
      </c>
      <c r="AE214" t="s">
        <v>804</v>
      </c>
      <c r="AF214" t="s">
        <v>845</v>
      </c>
      <c r="AG214" t="s">
        <v>797</v>
      </c>
      <c r="AH214">
        <v>1120623</v>
      </c>
      <c r="AI214">
        <v>1120623</v>
      </c>
      <c r="AJ214">
        <v>0.15</v>
      </c>
    </row>
    <row r="215" spans="1:36" x14ac:dyDescent="0.3">
      <c r="A215">
        <f>COUNTIF($D$2:D215,D215)</f>
        <v>9</v>
      </c>
      <c r="B215" t="str">
        <f t="shared" si="13"/>
        <v>9Bradford</v>
      </c>
      <c r="C215" t="s">
        <v>1365</v>
      </c>
      <c r="D215" t="s">
        <v>89</v>
      </c>
      <c r="E215">
        <v>14</v>
      </c>
      <c r="F215" t="s">
        <v>1366</v>
      </c>
      <c r="G215" t="s">
        <v>806</v>
      </c>
      <c r="H215" t="s">
        <v>807</v>
      </c>
      <c r="I215" t="s">
        <v>808</v>
      </c>
      <c r="J215">
        <f t="shared" ca="1" si="14"/>
        <v>7902800</v>
      </c>
      <c r="K215">
        <f t="shared" ca="1" si="15"/>
        <v>1688</v>
      </c>
      <c r="N215" t="str">
        <f t="shared" si="12"/>
        <v>Bolton17Stabilising market growth and fee increasesResidential PlacementsSupported housing</v>
      </c>
      <c r="O215" t="s">
        <v>83</v>
      </c>
      <c r="P215" t="s">
        <v>1201</v>
      </c>
      <c r="Q215">
        <v>17</v>
      </c>
      <c r="R215" t="s">
        <v>1262</v>
      </c>
      <c r="S215" t="s">
        <v>1354</v>
      </c>
      <c r="T215" t="s">
        <v>806</v>
      </c>
      <c r="U215" t="s">
        <v>873</v>
      </c>
      <c r="W215">
        <v>21</v>
      </c>
      <c r="X215">
        <v>21</v>
      </c>
      <c r="Y215" t="s">
        <v>808</v>
      </c>
      <c r="Z215" t="s">
        <v>792</v>
      </c>
      <c r="AB215" t="s">
        <v>793</v>
      </c>
      <c r="AD215" t="s">
        <v>794</v>
      </c>
      <c r="AE215" t="s">
        <v>804</v>
      </c>
      <c r="AF215" t="s">
        <v>845</v>
      </c>
      <c r="AG215" t="s">
        <v>797</v>
      </c>
      <c r="AH215">
        <v>1622370</v>
      </c>
      <c r="AI215">
        <v>1622370</v>
      </c>
      <c r="AJ215">
        <v>0.08</v>
      </c>
    </row>
    <row r="216" spans="1:36" x14ac:dyDescent="0.3">
      <c r="A216">
        <f>COUNTIF($D$2:D216,D216)</f>
        <v>10</v>
      </c>
      <c r="B216" t="str">
        <f t="shared" si="13"/>
        <v>10Bradford</v>
      </c>
      <c r="C216" t="s">
        <v>1367</v>
      </c>
      <c r="D216" t="s">
        <v>89</v>
      </c>
      <c r="E216">
        <v>15</v>
      </c>
      <c r="F216" t="s">
        <v>1368</v>
      </c>
      <c r="G216" t="s">
        <v>806</v>
      </c>
      <c r="H216" t="s">
        <v>917</v>
      </c>
      <c r="I216" t="s">
        <v>808</v>
      </c>
      <c r="J216">
        <f t="shared" ca="1" si="14"/>
        <v>3315000</v>
      </c>
      <c r="K216">
        <f t="shared" ca="1" si="15"/>
        <v>540</v>
      </c>
      <c r="N216" t="str">
        <f t="shared" si="12"/>
        <v>Bolton17Stabilising market growth and fee increasesResidential PlacementsLearning disability</v>
      </c>
      <c r="O216" t="s">
        <v>83</v>
      </c>
      <c r="P216" t="s">
        <v>1201</v>
      </c>
      <c r="Q216">
        <v>17</v>
      </c>
      <c r="R216" t="s">
        <v>1262</v>
      </c>
      <c r="S216" t="s">
        <v>1354</v>
      </c>
      <c r="T216" t="s">
        <v>806</v>
      </c>
      <c r="U216" t="s">
        <v>854</v>
      </c>
      <c r="W216">
        <v>11</v>
      </c>
      <c r="X216">
        <v>11</v>
      </c>
      <c r="Y216" t="s">
        <v>808</v>
      </c>
      <c r="Z216" t="s">
        <v>792</v>
      </c>
      <c r="AB216" t="s">
        <v>793</v>
      </c>
      <c r="AD216" t="s">
        <v>794</v>
      </c>
      <c r="AE216" t="s">
        <v>804</v>
      </c>
      <c r="AF216" t="s">
        <v>845</v>
      </c>
      <c r="AG216" t="s">
        <v>797</v>
      </c>
      <c r="AH216">
        <v>1310215</v>
      </c>
      <c r="AI216">
        <v>1310215</v>
      </c>
      <c r="AJ216">
        <v>0.16</v>
      </c>
    </row>
    <row r="217" spans="1:36" x14ac:dyDescent="0.3">
      <c r="A217">
        <f>COUNTIF($D$2:D217,D217)</f>
        <v>11</v>
      </c>
      <c r="B217" t="str">
        <f t="shared" si="13"/>
        <v>11Bradford</v>
      </c>
      <c r="C217" t="s">
        <v>1369</v>
      </c>
      <c r="D217" t="s">
        <v>89</v>
      </c>
      <c r="E217">
        <v>16</v>
      </c>
      <c r="F217" t="s">
        <v>1370</v>
      </c>
      <c r="G217" t="s">
        <v>877</v>
      </c>
      <c r="H217" t="s">
        <v>968</v>
      </c>
      <c r="I217" t="s">
        <v>879</v>
      </c>
      <c r="J217">
        <f t="shared" ca="1" si="14"/>
        <v>4413200</v>
      </c>
      <c r="K217">
        <f t="shared" ca="1" si="15"/>
        <v>2148</v>
      </c>
      <c r="N217" t="str">
        <f t="shared" si="12"/>
        <v>Bolton19Intermediate CareBed based intermediate Care Services (Reablement, rehabilitation, wider short-term services supporting recovery)Other</v>
      </c>
      <c r="O217" t="s">
        <v>83</v>
      </c>
      <c r="P217" t="s">
        <v>1201</v>
      </c>
      <c r="Q217">
        <v>19</v>
      </c>
      <c r="R217" t="s">
        <v>964</v>
      </c>
      <c r="S217" t="s">
        <v>1338</v>
      </c>
      <c r="T217" t="s">
        <v>877</v>
      </c>
      <c r="U217" t="s">
        <v>812</v>
      </c>
      <c r="V217" t="s">
        <v>1347</v>
      </c>
      <c r="W217">
        <v>46</v>
      </c>
      <c r="X217">
        <v>46</v>
      </c>
      <c r="Y217" t="s">
        <v>879</v>
      </c>
      <c r="Z217" t="s">
        <v>823</v>
      </c>
      <c r="AB217" t="s">
        <v>824</v>
      </c>
      <c r="AD217" t="s">
        <v>794</v>
      </c>
      <c r="AE217" t="s">
        <v>795</v>
      </c>
      <c r="AF217" t="s">
        <v>1042</v>
      </c>
      <c r="AG217" t="s">
        <v>797</v>
      </c>
      <c r="AH217">
        <v>406467</v>
      </c>
      <c r="AI217">
        <v>406467</v>
      </c>
      <c r="AJ217">
        <v>0.09</v>
      </c>
    </row>
    <row r="218" spans="1:36" x14ac:dyDescent="0.3">
      <c r="A218">
        <f>COUNTIF($D$2:D218,D218)</f>
        <v>12</v>
      </c>
      <c r="B218" t="str">
        <f t="shared" si="13"/>
        <v>12Bradford</v>
      </c>
      <c r="C218" t="s">
        <v>1371</v>
      </c>
      <c r="D218" t="s">
        <v>89</v>
      </c>
      <c r="E218">
        <v>17</v>
      </c>
      <c r="F218" t="s">
        <v>1372</v>
      </c>
      <c r="G218" t="s">
        <v>787</v>
      </c>
      <c r="H218" t="s">
        <v>788</v>
      </c>
      <c r="I218" t="s">
        <v>789</v>
      </c>
      <c r="J218">
        <f t="shared" ca="1" si="14"/>
        <v>5634100</v>
      </c>
      <c r="K218">
        <f t="shared" ca="1" si="15"/>
        <v>7010</v>
      </c>
      <c r="N218" t="str">
        <f t="shared" si="12"/>
        <v>Bolton17Stabilising Market growth and fee increasesHome Care or Domiciliary CareDomiciliary care packages</v>
      </c>
      <c r="O218" t="s">
        <v>83</v>
      </c>
      <c r="P218" t="s">
        <v>1201</v>
      </c>
      <c r="Q218">
        <v>17</v>
      </c>
      <c r="R218" t="s">
        <v>1267</v>
      </c>
      <c r="S218" t="s">
        <v>1373</v>
      </c>
      <c r="T218" t="s">
        <v>842</v>
      </c>
      <c r="U218" t="s">
        <v>843</v>
      </c>
      <c r="W218">
        <v>111</v>
      </c>
      <c r="X218">
        <v>111</v>
      </c>
      <c r="Y218" t="s">
        <v>844</v>
      </c>
      <c r="Z218" t="s">
        <v>792</v>
      </c>
      <c r="AB218" t="s">
        <v>793</v>
      </c>
      <c r="AD218" t="s">
        <v>794</v>
      </c>
      <c r="AE218" t="s">
        <v>804</v>
      </c>
      <c r="AF218" t="s">
        <v>845</v>
      </c>
      <c r="AG218" t="s">
        <v>797</v>
      </c>
      <c r="AH218">
        <v>1348246</v>
      </c>
      <c r="AI218">
        <v>1348246</v>
      </c>
      <c r="AJ218">
        <v>7.0000000000000007E-2</v>
      </c>
    </row>
    <row r="219" spans="1:36" x14ac:dyDescent="0.3">
      <c r="A219">
        <f>COUNTIF($D$2:D219,D219)</f>
        <v>13</v>
      </c>
      <c r="B219" t="str">
        <f t="shared" si="13"/>
        <v>13Bradford</v>
      </c>
      <c r="C219" t="s">
        <v>1374</v>
      </c>
      <c r="D219" t="s">
        <v>89</v>
      </c>
      <c r="E219">
        <v>18</v>
      </c>
      <c r="F219" t="s">
        <v>891</v>
      </c>
      <c r="G219" t="s">
        <v>834</v>
      </c>
      <c r="H219" t="s">
        <v>835</v>
      </c>
      <c r="I219" t="s">
        <v>836</v>
      </c>
      <c r="J219">
        <f t="shared" ca="1" si="14"/>
        <v>5137133</v>
      </c>
      <c r="K219">
        <f t="shared" ca="1" si="15"/>
        <v>380</v>
      </c>
      <c r="N219" t="str">
        <f t="shared" si="12"/>
        <v>Bolton3mentAl Health Crisis BreaksCarers ServicesRespite services</v>
      </c>
      <c r="O219" t="s">
        <v>83</v>
      </c>
      <c r="P219" t="s">
        <v>1201</v>
      </c>
      <c r="Q219">
        <v>3</v>
      </c>
      <c r="R219" t="s">
        <v>1269</v>
      </c>
      <c r="S219" t="s">
        <v>1375</v>
      </c>
      <c r="T219" t="s">
        <v>811</v>
      </c>
      <c r="U219" t="s">
        <v>830</v>
      </c>
      <c r="W219">
        <v>7</v>
      </c>
      <c r="X219">
        <v>7</v>
      </c>
      <c r="Y219" t="s">
        <v>813</v>
      </c>
      <c r="Z219" t="s">
        <v>792</v>
      </c>
      <c r="AB219" t="s">
        <v>793</v>
      </c>
      <c r="AD219" t="s">
        <v>794</v>
      </c>
      <c r="AE219" t="s">
        <v>804</v>
      </c>
      <c r="AF219" t="s">
        <v>796</v>
      </c>
      <c r="AG219" t="s">
        <v>797</v>
      </c>
      <c r="AH219">
        <v>618730</v>
      </c>
      <c r="AI219">
        <v>618730</v>
      </c>
      <c r="AJ219">
        <v>7.0000000000000007E-2</v>
      </c>
    </row>
    <row r="220" spans="1:36" x14ac:dyDescent="0.3">
      <c r="A220">
        <f>COUNTIF($D$2:D220,D220)</f>
        <v>14</v>
      </c>
      <c r="B220" t="str">
        <f t="shared" si="13"/>
        <v>14Bradford</v>
      </c>
      <c r="C220" t="s">
        <v>1376</v>
      </c>
      <c r="D220" t="s">
        <v>89</v>
      </c>
      <c r="E220">
        <v>15</v>
      </c>
      <c r="F220" t="s">
        <v>1368</v>
      </c>
      <c r="G220" t="s">
        <v>806</v>
      </c>
      <c r="H220" t="s">
        <v>854</v>
      </c>
      <c r="I220" t="s">
        <v>808</v>
      </c>
      <c r="J220">
        <f t="shared" ca="1" si="14"/>
        <v>6465096</v>
      </c>
      <c r="K220">
        <f t="shared" ca="1" si="15"/>
        <v>492</v>
      </c>
      <c r="N220" t="str">
        <f t="shared" si="12"/>
        <v>Bolton19Intermediate CareBed based intermediate Care Services (Reablement, rehabilitation, wider short-term services supporting recovery)Bed-based intermediate care with rehabilitation (to support discharge)</v>
      </c>
      <c r="O220" t="s">
        <v>83</v>
      </c>
      <c r="P220" t="s">
        <v>1201</v>
      </c>
      <c r="Q220">
        <v>19</v>
      </c>
      <c r="R220" t="s">
        <v>964</v>
      </c>
      <c r="S220" t="s">
        <v>1338</v>
      </c>
      <c r="T220" t="s">
        <v>877</v>
      </c>
      <c r="U220" t="s">
        <v>968</v>
      </c>
      <c r="W220">
        <v>34</v>
      </c>
      <c r="X220">
        <v>34</v>
      </c>
      <c r="Y220" t="s">
        <v>879</v>
      </c>
      <c r="Z220" t="s">
        <v>823</v>
      </c>
      <c r="AB220" t="s">
        <v>793</v>
      </c>
      <c r="AD220" t="s">
        <v>794</v>
      </c>
      <c r="AE220" t="s">
        <v>832</v>
      </c>
      <c r="AF220" t="s">
        <v>860</v>
      </c>
      <c r="AG220" t="s">
        <v>861</v>
      </c>
      <c r="AH220">
        <v>625000</v>
      </c>
      <c r="AI220">
        <v>961250</v>
      </c>
      <c r="AJ220">
        <v>0.21</v>
      </c>
    </row>
    <row r="221" spans="1:36" x14ac:dyDescent="0.3">
      <c r="A221">
        <f>COUNTIF($D$2:D221,D221)</f>
        <v>15</v>
      </c>
      <c r="B221" t="str">
        <f t="shared" si="13"/>
        <v>15Bradford</v>
      </c>
      <c r="C221" t="s">
        <v>1377</v>
      </c>
      <c r="D221" t="s">
        <v>89</v>
      </c>
      <c r="E221">
        <v>15</v>
      </c>
      <c r="F221" t="s">
        <v>1368</v>
      </c>
      <c r="G221" t="s">
        <v>842</v>
      </c>
      <c r="H221" t="s">
        <v>843</v>
      </c>
      <c r="I221" t="s">
        <v>844</v>
      </c>
      <c r="J221">
        <f t="shared" ca="1" si="14"/>
        <v>6365500</v>
      </c>
      <c r="K221">
        <f t="shared" ca="1" si="15"/>
        <v>1895950</v>
      </c>
      <c r="N221" t="str">
        <f t="shared" si="12"/>
        <v>Bolton11Dementia DTA BedsBed based intermediate Care Services (Reablement, rehabilitation, wider short-term services supporting recovery)Bed-based intermediate care with rehabilitation (to support discharge)</v>
      </c>
      <c r="O221" t="s">
        <v>83</v>
      </c>
      <c r="P221" t="s">
        <v>1201</v>
      </c>
      <c r="Q221">
        <v>11</v>
      </c>
      <c r="R221" t="s">
        <v>1273</v>
      </c>
      <c r="S221" t="s">
        <v>1273</v>
      </c>
      <c r="T221" t="s">
        <v>877</v>
      </c>
      <c r="U221" t="s">
        <v>968</v>
      </c>
      <c r="W221">
        <v>14</v>
      </c>
      <c r="X221">
        <v>14</v>
      </c>
      <c r="Y221" t="s">
        <v>879</v>
      </c>
      <c r="Z221" t="s">
        <v>1006</v>
      </c>
      <c r="AB221" t="s">
        <v>793</v>
      </c>
      <c r="AD221" t="s">
        <v>794</v>
      </c>
      <c r="AE221" t="s">
        <v>804</v>
      </c>
      <c r="AF221" t="s">
        <v>860</v>
      </c>
      <c r="AG221" t="s">
        <v>861</v>
      </c>
      <c r="AH221">
        <v>243000</v>
      </c>
      <c r="AI221">
        <v>373734</v>
      </c>
      <c r="AJ221">
        <v>0.5</v>
      </c>
    </row>
    <row r="222" spans="1:36" x14ac:dyDescent="0.3">
      <c r="A222">
        <f>COUNTIF($D$2:D222,D222)</f>
        <v>16</v>
      </c>
      <c r="B222" t="str">
        <f t="shared" si="13"/>
        <v>16Bradford</v>
      </c>
      <c r="C222" t="s">
        <v>1378</v>
      </c>
      <c r="D222" t="s">
        <v>89</v>
      </c>
      <c r="E222">
        <v>19</v>
      </c>
      <c r="F222" t="s">
        <v>1366</v>
      </c>
      <c r="G222" t="s">
        <v>806</v>
      </c>
      <c r="H222" t="s">
        <v>917</v>
      </c>
      <c r="I222" t="s">
        <v>808</v>
      </c>
      <c r="J222">
        <f t="shared" ca="1" si="14"/>
        <v>2259200</v>
      </c>
      <c r="K222">
        <f t="shared" ca="1" si="15"/>
        <v>540</v>
      </c>
      <c r="N222" t="str">
        <f t="shared" si="12"/>
        <v>Bolton11Dementia DTA BedsBed based intermediate Care Services (Reablement, rehabilitation, wider short-term services supporting recovery)Bed-based intermediate care with rehabilitation (to support discharge)</v>
      </c>
      <c r="O222" t="s">
        <v>83</v>
      </c>
      <c r="P222" t="s">
        <v>1201</v>
      </c>
      <c r="Q222">
        <v>11</v>
      </c>
      <c r="R222" t="s">
        <v>1273</v>
      </c>
      <c r="S222" t="s">
        <v>1273</v>
      </c>
      <c r="T222" t="s">
        <v>877</v>
      </c>
      <c r="U222" t="s">
        <v>968</v>
      </c>
      <c r="W222">
        <v>14</v>
      </c>
      <c r="X222">
        <v>14</v>
      </c>
      <c r="Y222" t="s">
        <v>879</v>
      </c>
      <c r="Z222" t="s">
        <v>1006</v>
      </c>
      <c r="AB222" t="s">
        <v>824</v>
      </c>
      <c r="AD222" t="s">
        <v>794</v>
      </c>
      <c r="AE222" t="s">
        <v>804</v>
      </c>
      <c r="AF222" t="s">
        <v>864</v>
      </c>
      <c r="AG222" t="s">
        <v>861</v>
      </c>
      <c r="AH222">
        <v>243000</v>
      </c>
      <c r="AI222">
        <v>403380</v>
      </c>
      <c r="AJ222">
        <v>0.5</v>
      </c>
    </row>
    <row r="223" spans="1:36" x14ac:dyDescent="0.3">
      <c r="A223">
        <f>COUNTIF($D$2:D223,D223)</f>
        <v>17</v>
      </c>
      <c r="B223" t="str">
        <f t="shared" si="13"/>
        <v>17Bradford</v>
      </c>
      <c r="C223" t="s">
        <v>1379</v>
      </c>
      <c r="D223" t="s">
        <v>89</v>
      </c>
      <c r="E223">
        <v>19</v>
      </c>
      <c r="F223" t="s">
        <v>1366</v>
      </c>
      <c r="G223" t="s">
        <v>842</v>
      </c>
      <c r="H223" t="s">
        <v>843</v>
      </c>
      <c r="I223" t="s">
        <v>844</v>
      </c>
      <c r="J223">
        <f t="shared" ca="1" si="14"/>
        <v>2939910</v>
      </c>
      <c r="K223">
        <f t="shared" ca="1" si="15"/>
        <v>1895950</v>
      </c>
      <c r="N223" t="str">
        <f t="shared" si="12"/>
        <v>Bournemouth, Christchurch and Poole6Maintaining IndependenceResidential PlacementsLearning disability</v>
      </c>
      <c r="O223" t="s">
        <v>85</v>
      </c>
      <c r="P223" t="s">
        <v>976</v>
      </c>
      <c r="Q223">
        <v>6</v>
      </c>
      <c r="R223" t="s">
        <v>1276</v>
      </c>
      <c r="S223" t="s">
        <v>1380</v>
      </c>
      <c r="T223" t="s">
        <v>806</v>
      </c>
      <c r="U223" t="s">
        <v>854</v>
      </c>
      <c r="W223">
        <v>3</v>
      </c>
      <c r="X223">
        <v>3</v>
      </c>
      <c r="Y223" t="s">
        <v>808</v>
      </c>
      <c r="Z223" t="s">
        <v>792</v>
      </c>
      <c r="AB223" t="s">
        <v>793</v>
      </c>
      <c r="AD223" t="s">
        <v>794</v>
      </c>
      <c r="AE223" t="s">
        <v>804</v>
      </c>
      <c r="AF223" t="s">
        <v>796</v>
      </c>
      <c r="AG223" t="s">
        <v>797</v>
      </c>
      <c r="AH223">
        <v>580000</v>
      </c>
      <c r="AI223">
        <v>612828</v>
      </c>
    </row>
    <row r="224" spans="1:36" x14ac:dyDescent="0.3">
      <c r="A224">
        <f>COUNTIF($D$2:D224,D224)</f>
        <v>18</v>
      </c>
      <c r="B224" t="str">
        <f t="shared" si="13"/>
        <v>18Bradford</v>
      </c>
      <c r="C224" t="s">
        <v>1381</v>
      </c>
      <c r="D224" t="s">
        <v>89</v>
      </c>
      <c r="E224">
        <v>20</v>
      </c>
      <c r="F224" t="s">
        <v>1382</v>
      </c>
      <c r="G224" t="s">
        <v>842</v>
      </c>
      <c r="H224" t="s">
        <v>843</v>
      </c>
      <c r="I224" t="s">
        <v>844</v>
      </c>
      <c r="J224">
        <f t="shared" ca="1" si="14"/>
        <v>3279003</v>
      </c>
      <c r="K224">
        <f t="shared" ca="1" si="15"/>
        <v>1895950</v>
      </c>
      <c r="N224" t="str">
        <f t="shared" si="12"/>
        <v>Bournemouth, Christchurch and Poole7Maintaining IndependenceResidential PlacementsCare home</v>
      </c>
      <c r="O224" t="s">
        <v>85</v>
      </c>
      <c r="P224" t="s">
        <v>976</v>
      </c>
      <c r="Q224">
        <v>7</v>
      </c>
      <c r="R224" t="s">
        <v>1276</v>
      </c>
      <c r="S224" t="s">
        <v>1383</v>
      </c>
      <c r="T224" t="s">
        <v>806</v>
      </c>
      <c r="U224" t="s">
        <v>807</v>
      </c>
      <c r="W224">
        <v>38</v>
      </c>
      <c r="X224">
        <v>38</v>
      </c>
      <c r="Y224" t="s">
        <v>808</v>
      </c>
      <c r="Z224" t="s">
        <v>792</v>
      </c>
      <c r="AB224" t="s">
        <v>793</v>
      </c>
      <c r="AD224" t="s">
        <v>794</v>
      </c>
      <c r="AE224" t="s">
        <v>804</v>
      </c>
      <c r="AF224" t="s">
        <v>796</v>
      </c>
      <c r="AG224" t="s">
        <v>797</v>
      </c>
      <c r="AH224">
        <v>2390026</v>
      </c>
      <c r="AI224">
        <v>2525301</v>
      </c>
    </row>
    <row r="225" spans="1:35" x14ac:dyDescent="0.3">
      <c r="A225">
        <f>COUNTIF($D$2:D225,D225)</f>
        <v>19</v>
      </c>
      <c r="B225" t="str">
        <f t="shared" si="13"/>
        <v>19Bradford</v>
      </c>
      <c r="C225" t="s">
        <v>1384</v>
      </c>
      <c r="D225" t="s">
        <v>89</v>
      </c>
      <c r="E225">
        <v>21</v>
      </c>
      <c r="F225" t="s">
        <v>1385</v>
      </c>
      <c r="G225" t="s">
        <v>877</v>
      </c>
      <c r="H225" t="s">
        <v>878</v>
      </c>
      <c r="I225" t="s">
        <v>879</v>
      </c>
      <c r="J225">
        <f t="shared" ca="1" si="14"/>
        <v>460000</v>
      </c>
      <c r="K225">
        <f t="shared" ca="1" si="15"/>
        <v>107</v>
      </c>
      <c r="N225" t="str">
        <f t="shared" si="12"/>
        <v>Bournemouth, Christchurch and Poole8Maintaining IndependenceHome Care or Domiciliary CareDomiciliary care packages</v>
      </c>
      <c r="O225" t="s">
        <v>85</v>
      </c>
      <c r="P225" t="s">
        <v>976</v>
      </c>
      <c r="Q225">
        <v>8</v>
      </c>
      <c r="R225" t="s">
        <v>1276</v>
      </c>
      <c r="S225" t="s">
        <v>1386</v>
      </c>
      <c r="T225" t="s">
        <v>842</v>
      </c>
      <c r="U225" t="s">
        <v>843</v>
      </c>
      <c r="W225">
        <v>64250</v>
      </c>
      <c r="X225">
        <v>64250</v>
      </c>
      <c r="Y225" t="s">
        <v>844</v>
      </c>
      <c r="Z225" t="s">
        <v>792</v>
      </c>
      <c r="AB225" t="s">
        <v>793</v>
      </c>
      <c r="AD225" t="s">
        <v>794</v>
      </c>
      <c r="AE225" t="s">
        <v>804</v>
      </c>
      <c r="AF225" t="s">
        <v>796</v>
      </c>
      <c r="AG225" t="s">
        <v>797</v>
      </c>
      <c r="AH225">
        <v>1517000</v>
      </c>
      <c r="AI225">
        <v>1602862</v>
      </c>
    </row>
    <row r="226" spans="1:35" x14ac:dyDescent="0.3">
      <c r="A226">
        <f>COUNTIF($D$2:D226,D226)</f>
        <v>20</v>
      </c>
      <c r="B226" t="str">
        <f t="shared" si="13"/>
        <v>20Bradford</v>
      </c>
      <c r="C226" t="s">
        <v>1387</v>
      </c>
      <c r="D226" t="s">
        <v>89</v>
      </c>
      <c r="E226">
        <v>23</v>
      </c>
      <c r="F226" t="s">
        <v>1388</v>
      </c>
      <c r="G226" t="s">
        <v>787</v>
      </c>
      <c r="H226" t="s">
        <v>788</v>
      </c>
      <c r="I226" t="s">
        <v>789</v>
      </c>
      <c r="J226">
        <f t="shared" ca="1" si="14"/>
        <v>2860000</v>
      </c>
      <c r="K226">
        <f t="shared" ca="1" si="15"/>
        <v>3505</v>
      </c>
      <c r="N226" t="str">
        <f t="shared" si="12"/>
        <v>Bournemouth, Christchurch and Poole11Early supported hospital dischargeResidential PlacementsCare home</v>
      </c>
      <c r="O226" t="s">
        <v>85</v>
      </c>
      <c r="P226" t="s">
        <v>976</v>
      </c>
      <c r="Q226">
        <v>11</v>
      </c>
      <c r="R226" t="s">
        <v>1282</v>
      </c>
      <c r="S226" t="s">
        <v>1389</v>
      </c>
      <c r="T226" t="s">
        <v>806</v>
      </c>
      <c r="U226" t="s">
        <v>807</v>
      </c>
      <c r="W226">
        <v>32</v>
      </c>
      <c r="X226">
        <v>32</v>
      </c>
      <c r="Y226" t="s">
        <v>808</v>
      </c>
      <c r="Z226" t="s">
        <v>792</v>
      </c>
      <c r="AB226" t="s">
        <v>793</v>
      </c>
      <c r="AD226" t="s">
        <v>794</v>
      </c>
      <c r="AE226" t="s">
        <v>804</v>
      </c>
      <c r="AF226" t="s">
        <v>796</v>
      </c>
      <c r="AG226" t="s">
        <v>797</v>
      </c>
      <c r="AH226">
        <v>1982000</v>
      </c>
      <c r="AI226">
        <v>2094181</v>
      </c>
    </row>
    <row r="227" spans="1:35" x14ac:dyDescent="0.3">
      <c r="A227">
        <f>COUNTIF($D$2:D227,D227)</f>
        <v>1</v>
      </c>
      <c r="B227" t="str">
        <f t="shared" si="13"/>
        <v>1Brent</v>
      </c>
      <c r="C227" t="s">
        <v>1390</v>
      </c>
      <c r="D227" t="s">
        <v>91</v>
      </c>
      <c r="E227">
        <v>1</v>
      </c>
      <c r="F227" t="s">
        <v>1391</v>
      </c>
      <c r="G227" t="s">
        <v>806</v>
      </c>
      <c r="H227" t="s">
        <v>807</v>
      </c>
      <c r="I227" t="s">
        <v>808</v>
      </c>
      <c r="J227">
        <f t="shared" ca="1" si="14"/>
        <v>3735048</v>
      </c>
      <c r="K227">
        <f t="shared" ca="1" si="15"/>
        <v>332</v>
      </c>
      <c r="N227" t="str">
        <f t="shared" si="12"/>
        <v>Bournemouth, Christchurch and Poole15Early supported hospital dischargeHome-based intermediate care servicesReablement at home (accepting step up and step down users)</v>
      </c>
      <c r="O227" t="s">
        <v>85</v>
      </c>
      <c r="P227" t="s">
        <v>976</v>
      </c>
      <c r="Q227">
        <v>15</v>
      </c>
      <c r="R227" t="s">
        <v>1282</v>
      </c>
      <c r="S227" t="s">
        <v>1392</v>
      </c>
      <c r="T227" t="s">
        <v>787</v>
      </c>
      <c r="U227" t="s">
        <v>930</v>
      </c>
      <c r="W227">
        <v>115</v>
      </c>
      <c r="X227">
        <v>115</v>
      </c>
      <c r="Y227" t="s">
        <v>789</v>
      </c>
      <c r="Z227" t="s">
        <v>792</v>
      </c>
      <c r="AB227" t="s">
        <v>793</v>
      </c>
      <c r="AD227" t="s">
        <v>794</v>
      </c>
      <c r="AE227" t="s">
        <v>804</v>
      </c>
      <c r="AF227" t="s">
        <v>796</v>
      </c>
      <c r="AG227" t="s">
        <v>797</v>
      </c>
      <c r="AH227">
        <v>932000</v>
      </c>
      <c r="AI227">
        <v>984751</v>
      </c>
    </row>
    <row r="228" spans="1:35" x14ac:dyDescent="0.3">
      <c r="A228">
        <f>COUNTIF($D$2:D228,D228)</f>
        <v>2</v>
      </c>
      <c r="B228" t="str">
        <f t="shared" si="13"/>
        <v>2Brent</v>
      </c>
      <c r="C228" t="s">
        <v>1393</v>
      </c>
      <c r="D228" t="s">
        <v>91</v>
      </c>
      <c r="E228">
        <v>2</v>
      </c>
      <c r="F228" t="s">
        <v>1394</v>
      </c>
      <c r="G228" t="s">
        <v>806</v>
      </c>
      <c r="H228" t="s">
        <v>807</v>
      </c>
      <c r="I228" t="s">
        <v>808</v>
      </c>
      <c r="J228">
        <f t="shared" ca="1" si="14"/>
        <v>250000</v>
      </c>
      <c r="K228">
        <f t="shared" ca="1" si="15"/>
        <v>202</v>
      </c>
      <c r="N228" t="str">
        <f t="shared" si="12"/>
        <v>Bournemouth, Christchurch and Poole16Early supported hospital dischargeBed based intermediate Care Services (Reablement, rehabilitation, wider short-term services supporting recovery)Bed-based intermediate care with reablement accepting step up and step down users</v>
      </c>
      <c r="O228" t="s">
        <v>85</v>
      </c>
      <c r="P228" t="s">
        <v>976</v>
      </c>
      <c r="Q228">
        <v>16</v>
      </c>
      <c r="R228" t="s">
        <v>1282</v>
      </c>
      <c r="S228" t="s">
        <v>1392</v>
      </c>
      <c r="T228" t="s">
        <v>877</v>
      </c>
      <c r="U228" t="s">
        <v>1259</v>
      </c>
      <c r="W228">
        <v>10</v>
      </c>
      <c r="X228">
        <v>10</v>
      </c>
      <c r="Y228" t="s">
        <v>879</v>
      </c>
      <c r="Z228" t="s">
        <v>792</v>
      </c>
      <c r="AB228" t="s">
        <v>793</v>
      </c>
      <c r="AD228" t="s">
        <v>794</v>
      </c>
      <c r="AE228" t="s">
        <v>804</v>
      </c>
      <c r="AF228" t="s">
        <v>796</v>
      </c>
      <c r="AG228" t="s">
        <v>797</v>
      </c>
      <c r="AH228">
        <v>1100000</v>
      </c>
      <c r="AI228">
        <v>1162260</v>
      </c>
    </row>
    <row r="229" spans="1:35" x14ac:dyDescent="0.3">
      <c r="A229">
        <f>COUNTIF($D$2:D229,D229)</f>
        <v>3</v>
      </c>
      <c r="B229" t="str">
        <f t="shared" si="13"/>
        <v>3Brent</v>
      </c>
      <c r="C229" t="s">
        <v>1395</v>
      </c>
      <c r="D229" t="s">
        <v>91</v>
      </c>
      <c r="E229">
        <v>3</v>
      </c>
      <c r="F229" t="s">
        <v>1396</v>
      </c>
      <c r="G229" t="s">
        <v>787</v>
      </c>
      <c r="H229" t="s">
        <v>788</v>
      </c>
      <c r="I229" t="s">
        <v>789</v>
      </c>
      <c r="J229">
        <f t="shared" ca="1" si="14"/>
        <v>948000</v>
      </c>
      <c r="K229">
        <f t="shared" ca="1" si="15"/>
        <v>893</v>
      </c>
      <c r="N229" t="str">
        <f t="shared" si="12"/>
        <v>Bournemouth, Christchurch and Poole17Early supported hospital dischargeBed based intermediate Care Services (Reablement, rehabilitation, wider short-term services supporting recovery)Bed-based intermediate care with reablement accepting step up and step down users</v>
      </c>
      <c r="O229" t="s">
        <v>85</v>
      </c>
      <c r="P229" t="s">
        <v>976</v>
      </c>
      <c r="Q229">
        <v>17</v>
      </c>
      <c r="R229" t="s">
        <v>1282</v>
      </c>
      <c r="S229" t="s">
        <v>1333</v>
      </c>
      <c r="T229" t="s">
        <v>877</v>
      </c>
      <c r="U229" t="s">
        <v>1259</v>
      </c>
      <c r="W229">
        <v>0.8</v>
      </c>
      <c r="X229">
        <v>0.8</v>
      </c>
      <c r="Y229" t="s">
        <v>879</v>
      </c>
      <c r="Z229" t="s">
        <v>792</v>
      </c>
      <c r="AB229" t="s">
        <v>793</v>
      </c>
      <c r="AD229" t="s">
        <v>794</v>
      </c>
      <c r="AE229" t="s">
        <v>804</v>
      </c>
      <c r="AF229" t="s">
        <v>796</v>
      </c>
      <c r="AG229" t="s">
        <v>797</v>
      </c>
      <c r="AH229">
        <v>51000</v>
      </c>
      <c r="AI229">
        <v>53887</v>
      </c>
    </row>
    <row r="230" spans="1:35" x14ac:dyDescent="0.3">
      <c r="A230">
        <f>COUNTIF($D$2:D230,D230)</f>
        <v>4</v>
      </c>
      <c r="B230" t="str">
        <f t="shared" si="13"/>
        <v>4Brent</v>
      </c>
      <c r="C230" t="s">
        <v>1397</v>
      </c>
      <c r="D230" t="s">
        <v>91</v>
      </c>
      <c r="E230">
        <v>4</v>
      </c>
      <c r="F230" t="s">
        <v>1398</v>
      </c>
      <c r="G230" t="s">
        <v>787</v>
      </c>
      <c r="H230" t="s">
        <v>788</v>
      </c>
      <c r="I230" t="s">
        <v>789</v>
      </c>
      <c r="J230">
        <f t="shared" ca="1" si="14"/>
        <v>750000</v>
      </c>
      <c r="K230">
        <f t="shared" ca="1" si="15"/>
        <v>893</v>
      </c>
      <c r="N230" t="str">
        <f t="shared" si="12"/>
        <v>Bournemouth, Christchurch and Poole20CarersCarers ServicesOther</v>
      </c>
      <c r="O230" t="s">
        <v>85</v>
      </c>
      <c r="P230" t="s">
        <v>976</v>
      </c>
      <c r="Q230">
        <v>20</v>
      </c>
      <c r="R230" t="s">
        <v>1250</v>
      </c>
      <c r="S230" t="s">
        <v>1399</v>
      </c>
      <c r="T230" t="s">
        <v>811</v>
      </c>
      <c r="U230" t="s">
        <v>812</v>
      </c>
      <c r="V230" t="s">
        <v>1399</v>
      </c>
      <c r="W230">
        <v>6500</v>
      </c>
      <c r="X230">
        <v>6500</v>
      </c>
      <c r="Y230" t="s">
        <v>813</v>
      </c>
      <c r="Z230" t="s">
        <v>792</v>
      </c>
      <c r="AB230" t="s">
        <v>793</v>
      </c>
      <c r="AD230" t="s">
        <v>794</v>
      </c>
      <c r="AE230" t="s">
        <v>795</v>
      </c>
      <c r="AF230" t="s">
        <v>796</v>
      </c>
      <c r="AG230" t="s">
        <v>797</v>
      </c>
      <c r="AH230">
        <v>215000</v>
      </c>
      <c r="AI230">
        <v>227169</v>
      </c>
    </row>
    <row r="231" spans="1:35" x14ac:dyDescent="0.3">
      <c r="A231">
        <f>COUNTIF($D$2:D231,D231)</f>
        <v>5</v>
      </c>
      <c r="B231" t="str">
        <f t="shared" si="13"/>
        <v>5Brent</v>
      </c>
      <c r="C231" t="s">
        <v>1400</v>
      </c>
      <c r="D231" t="s">
        <v>91</v>
      </c>
      <c r="E231">
        <v>5</v>
      </c>
      <c r="F231" t="s">
        <v>1401</v>
      </c>
      <c r="G231" t="s">
        <v>1402</v>
      </c>
      <c r="H231" t="s">
        <v>1403</v>
      </c>
      <c r="I231" t="s">
        <v>794</v>
      </c>
      <c r="J231">
        <f t="shared" ca="1" si="14"/>
        <v>104000</v>
      </c>
      <c r="K231">
        <f t="shared" ca="1" si="15"/>
        <v>914</v>
      </c>
      <c r="N231" t="str">
        <f t="shared" si="12"/>
        <v>Bournemouth, Christchurch and Poole21CarersCarers ServicesOther</v>
      </c>
      <c r="O231" t="s">
        <v>85</v>
      </c>
      <c r="P231" t="s">
        <v>976</v>
      </c>
      <c r="Q231">
        <v>21</v>
      </c>
      <c r="R231" t="s">
        <v>1250</v>
      </c>
      <c r="S231" t="s">
        <v>1404</v>
      </c>
      <c r="T231" t="s">
        <v>811</v>
      </c>
      <c r="U231" t="s">
        <v>812</v>
      </c>
      <c r="V231" t="s">
        <v>1405</v>
      </c>
      <c r="W231">
        <v>6500</v>
      </c>
      <c r="X231">
        <v>6500</v>
      </c>
      <c r="Y231" t="s">
        <v>813</v>
      </c>
      <c r="Z231" t="s">
        <v>792</v>
      </c>
      <c r="AB231" t="s">
        <v>793</v>
      </c>
      <c r="AD231" t="s">
        <v>794</v>
      </c>
      <c r="AE231" t="s">
        <v>804</v>
      </c>
      <c r="AF231" t="s">
        <v>796</v>
      </c>
      <c r="AG231" t="s">
        <v>797</v>
      </c>
      <c r="AH231">
        <v>970000</v>
      </c>
      <c r="AI231">
        <v>1024902</v>
      </c>
    </row>
    <row r="232" spans="1:35" x14ac:dyDescent="0.3">
      <c r="A232">
        <f>COUNTIF($D$2:D232,D232)</f>
        <v>6</v>
      </c>
      <c r="B232" t="str">
        <f t="shared" si="13"/>
        <v>6Brent</v>
      </c>
      <c r="C232" t="s">
        <v>1406</v>
      </c>
      <c r="D232" t="s">
        <v>91</v>
      </c>
      <c r="E232">
        <v>9</v>
      </c>
      <c r="F232" t="s">
        <v>1407</v>
      </c>
      <c r="G232" t="s">
        <v>787</v>
      </c>
      <c r="H232" t="s">
        <v>788</v>
      </c>
      <c r="I232" t="s">
        <v>789</v>
      </c>
      <c r="J232">
        <f t="shared" ca="1" si="14"/>
        <v>1183927</v>
      </c>
      <c r="K232">
        <f t="shared" ca="1" si="15"/>
        <v>893</v>
      </c>
      <c r="N232" t="str">
        <f t="shared" si="12"/>
        <v>Bournemouth, Christchurch and Poole28Maintaining IndependenceDFG Related SchemesDiscretionary use of DFG</v>
      </c>
      <c r="O232" t="s">
        <v>85</v>
      </c>
      <c r="P232" t="s">
        <v>976</v>
      </c>
      <c r="Q232">
        <v>28</v>
      </c>
      <c r="R232" t="s">
        <v>1276</v>
      </c>
      <c r="S232" t="s">
        <v>1408</v>
      </c>
      <c r="T232" t="s">
        <v>834</v>
      </c>
      <c r="U232" t="s">
        <v>1293</v>
      </c>
      <c r="W232">
        <v>9110</v>
      </c>
      <c r="X232">
        <v>9110</v>
      </c>
      <c r="Y232" t="s">
        <v>836</v>
      </c>
      <c r="Z232" t="s">
        <v>792</v>
      </c>
      <c r="AB232" t="s">
        <v>793</v>
      </c>
      <c r="AD232" t="s">
        <v>794</v>
      </c>
      <c r="AE232" t="s">
        <v>804</v>
      </c>
      <c r="AF232" t="s">
        <v>840</v>
      </c>
      <c r="AG232" t="s">
        <v>797</v>
      </c>
      <c r="AH232">
        <v>1544312</v>
      </c>
      <c r="AI232">
        <v>1544312</v>
      </c>
    </row>
    <row r="233" spans="1:35" x14ac:dyDescent="0.3">
      <c r="A233">
        <f>COUNTIF($D$2:D233,D233)</f>
        <v>7</v>
      </c>
      <c r="B233" t="str">
        <f t="shared" si="13"/>
        <v>7Brent</v>
      </c>
      <c r="C233" t="s">
        <v>1409</v>
      </c>
      <c r="D233" t="s">
        <v>91</v>
      </c>
      <c r="E233">
        <v>10</v>
      </c>
      <c r="F233" t="s">
        <v>1410</v>
      </c>
      <c r="G233" t="s">
        <v>1402</v>
      </c>
      <c r="H233" t="s">
        <v>1411</v>
      </c>
      <c r="I233" t="s">
        <v>794</v>
      </c>
      <c r="J233">
        <f t="shared" ca="1" si="14"/>
        <v>66120</v>
      </c>
      <c r="K233">
        <f t="shared" ca="1" si="15"/>
        <v>2</v>
      </c>
      <c r="N233" t="str">
        <f t="shared" si="12"/>
        <v>Bournemouth, Christchurch and Poole32Maintaining IndependenceResidential PlacementsCare home</v>
      </c>
      <c r="O233" t="s">
        <v>85</v>
      </c>
      <c r="P233" t="s">
        <v>976</v>
      </c>
      <c r="Q233">
        <v>32</v>
      </c>
      <c r="R233" t="s">
        <v>1276</v>
      </c>
      <c r="S233" t="s">
        <v>1412</v>
      </c>
      <c r="T233" t="s">
        <v>806</v>
      </c>
      <c r="U233" t="s">
        <v>807</v>
      </c>
      <c r="W233">
        <v>67</v>
      </c>
      <c r="X233">
        <v>64</v>
      </c>
      <c r="Y233" t="s">
        <v>808</v>
      </c>
      <c r="Z233" t="s">
        <v>792</v>
      </c>
      <c r="AB233" t="s">
        <v>793</v>
      </c>
      <c r="AD233" t="s">
        <v>794</v>
      </c>
      <c r="AE233" t="s">
        <v>804</v>
      </c>
      <c r="AF233" t="s">
        <v>845</v>
      </c>
      <c r="AG233" t="s">
        <v>797</v>
      </c>
      <c r="AH233">
        <v>4143749</v>
      </c>
      <c r="AI233">
        <v>4143749</v>
      </c>
    </row>
    <row r="234" spans="1:35" x14ac:dyDescent="0.3">
      <c r="A234">
        <f>COUNTIF($D$2:D234,D234)</f>
        <v>8</v>
      </c>
      <c r="B234" t="str">
        <f t="shared" si="13"/>
        <v>8Brent</v>
      </c>
      <c r="C234" t="s">
        <v>1413</v>
      </c>
      <c r="D234" t="s">
        <v>91</v>
      </c>
      <c r="E234">
        <v>13</v>
      </c>
      <c r="F234" t="s">
        <v>1414</v>
      </c>
      <c r="G234" t="s">
        <v>842</v>
      </c>
      <c r="H234" t="s">
        <v>843</v>
      </c>
      <c r="I234" t="s">
        <v>844</v>
      </c>
      <c r="J234">
        <f t="shared" ca="1" si="14"/>
        <v>221450</v>
      </c>
      <c r="K234">
        <f t="shared" ca="1" si="15"/>
        <v>30</v>
      </c>
      <c r="N234" t="str">
        <f t="shared" si="12"/>
        <v>Bournemouth, Christchurch and Poole33Maintaining IndependenceHome Care or Domiciliary CareDomiciliary care packages</v>
      </c>
      <c r="O234" t="s">
        <v>85</v>
      </c>
      <c r="P234" t="s">
        <v>976</v>
      </c>
      <c r="Q234">
        <v>33</v>
      </c>
      <c r="R234" t="s">
        <v>1276</v>
      </c>
      <c r="S234" t="s">
        <v>1415</v>
      </c>
      <c r="T234" t="s">
        <v>842</v>
      </c>
      <c r="U234" t="s">
        <v>843</v>
      </c>
      <c r="W234">
        <v>256200</v>
      </c>
      <c r="X234">
        <v>243000</v>
      </c>
      <c r="Y234" t="s">
        <v>844</v>
      </c>
      <c r="Z234" t="s">
        <v>792</v>
      </c>
      <c r="AB234" t="s">
        <v>793</v>
      </c>
      <c r="AD234" t="s">
        <v>794</v>
      </c>
      <c r="AE234" t="s">
        <v>804</v>
      </c>
      <c r="AF234" t="s">
        <v>845</v>
      </c>
      <c r="AG234" t="s">
        <v>797</v>
      </c>
      <c r="AH234">
        <v>6049000</v>
      </c>
      <c r="AI234">
        <v>6049000</v>
      </c>
    </row>
    <row r="235" spans="1:35" x14ac:dyDescent="0.3">
      <c r="A235">
        <f>COUNTIF($D$2:D235,D235)</f>
        <v>9</v>
      </c>
      <c r="B235" t="str">
        <f t="shared" si="13"/>
        <v>9Brent</v>
      </c>
      <c r="C235" t="s">
        <v>1416</v>
      </c>
      <c r="D235" t="s">
        <v>91</v>
      </c>
      <c r="E235">
        <v>14</v>
      </c>
      <c r="F235" t="s">
        <v>1417</v>
      </c>
      <c r="G235" t="s">
        <v>1418</v>
      </c>
      <c r="H235" t="s">
        <v>1419</v>
      </c>
      <c r="I235" t="s">
        <v>794</v>
      </c>
      <c r="J235">
        <f t="shared" ca="1" si="14"/>
        <v>16000</v>
      </c>
      <c r="K235">
        <f t="shared" ca="1" si="15"/>
        <v>52</v>
      </c>
      <c r="N235" t="str">
        <f t="shared" si="12"/>
        <v>Bournemouth, Christchurch and Poole39Early supported hospital dischargeBed based intermediate Care Services (Reablement, rehabilitation, wider short-term services supporting recovery)Bed-based intermediate care with reablement (to support discharge)</v>
      </c>
      <c r="O235" t="s">
        <v>85</v>
      </c>
      <c r="P235" t="s">
        <v>976</v>
      </c>
      <c r="Q235">
        <v>39</v>
      </c>
      <c r="R235" t="s">
        <v>1282</v>
      </c>
      <c r="S235" t="s">
        <v>1420</v>
      </c>
      <c r="T235" t="s">
        <v>877</v>
      </c>
      <c r="U235" t="s">
        <v>878</v>
      </c>
      <c r="W235">
        <v>10</v>
      </c>
      <c r="X235">
        <v>9</v>
      </c>
      <c r="Y235" t="s">
        <v>879</v>
      </c>
      <c r="Z235" t="s">
        <v>792</v>
      </c>
      <c r="AB235" t="s">
        <v>793</v>
      </c>
      <c r="AD235" t="s">
        <v>794</v>
      </c>
      <c r="AE235" t="s">
        <v>804</v>
      </c>
      <c r="AF235" t="s">
        <v>845</v>
      </c>
      <c r="AG235" t="s">
        <v>797</v>
      </c>
      <c r="AH235">
        <v>550000</v>
      </c>
      <c r="AI235">
        <v>550000</v>
      </c>
    </row>
    <row r="236" spans="1:35" x14ac:dyDescent="0.3">
      <c r="A236">
        <f>COUNTIF($D$2:D236,D236)</f>
        <v>10</v>
      </c>
      <c r="B236" t="str">
        <f t="shared" si="13"/>
        <v>10Brent</v>
      </c>
      <c r="C236" t="s">
        <v>1421</v>
      </c>
      <c r="D236" t="s">
        <v>91</v>
      </c>
      <c r="E236">
        <v>15</v>
      </c>
      <c r="F236" t="s">
        <v>1422</v>
      </c>
      <c r="G236" t="s">
        <v>811</v>
      </c>
      <c r="H236" t="s">
        <v>830</v>
      </c>
      <c r="I236" t="s">
        <v>813</v>
      </c>
      <c r="J236">
        <f t="shared" ca="1" si="14"/>
        <v>204000</v>
      </c>
      <c r="K236">
        <f t="shared" ca="1" si="15"/>
        <v>454</v>
      </c>
      <c r="N236" t="str">
        <f t="shared" si="12"/>
        <v xml:space="preserve">Bournemouth, Christchurch and Poole40Early supported hospital dischargeHome-based intermediate care servicesReablement at home (to support discharge) </v>
      </c>
      <c r="O236" t="s">
        <v>85</v>
      </c>
      <c r="P236" t="s">
        <v>976</v>
      </c>
      <c r="Q236">
        <v>40</v>
      </c>
      <c r="R236" t="s">
        <v>1282</v>
      </c>
      <c r="S236" t="s">
        <v>1423</v>
      </c>
      <c r="T236" t="s">
        <v>787</v>
      </c>
      <c r="U236" t="s">
        <v>788</v>
      </c>
      <c r="W236">
        <v>26</v>
      </c>
      <c r="X236">
        <v>26</v>
      </c>
      <c r="Y236" t="s">
        <v>789</v>
      </c>
      <c r="Z236" t="s">
        <v>792</v>
      </c>
      <c r="AB236" t="s">
        <v>793</v>
      </c>
      <c r="AD236" t="s">
        <v>794</v>
      </c>
      <c r="AE236" t="s">
        <v>804</v>
      </c>
      <c r="AF236" t="s">
        <v>845</v>
      </c>
      <c r="AG236" t="s">
        <v>797</v>
      </c>
      <c r="AH236">
        <v>210000</v>
      </c>
      <c r="AI236">
        <v>210000</v>
      </c>
    </row>
    <row r="237" spans="1:35" x14ac:dyDescent="0.3">
      <c r="A237">
        <f>COUNTIF($D$2:D237,D237)</f>
        <v>11</v>
      </c>
      <c r="B237" t="str">
        <f t="shared" si="13"/>
        <v>11Brent</v>
      </c>
      <c r="C237" t="s">
        <v>1424</v>
      </c>
      <c r="D237" t="s">
        <v>91</v>
      </c>
      <c r="E237">
        <v>16</v>
      </c>
      <c r="F237" t="s">
        <v>1425</v>
      </c>
      <c r="G237" t="s">
        <v>1402</v>
      </c>
      <c r="H237" t="s">
        <v>1403</v>
      </c>
      <c r="I237" t="s">
        <v>794</v>
      </c>
      <c r="J237">
        <f t="shared" ca="1" si="14"/>
        <v>83000</v>
      </c>
      <c r="K237">
        <f t="shared" ca="1" si="15"/>
        <v>30</v>
      </c>
      <c r="N237" t="str">
        <f t="shared" si="12"/>
        <v>Bournemouth, Christchurch and Poole41Early supported hospital dischargeBed based intermediate Care Services (Reablement, rehabilitation, wider short-term services supporting recovery)Bed-based intermediate care with reablement (to support discharge)</v>
      </c>
      <c r="O237" t="s">
        <v>85</v>
      </c>
      <c r="P237" t="s">
        <v>976</v>
      </c>
      <c r="Q237">
        <v>41</v>
      </c>
      <c r="R237" t="s">
        <v>1282</v>
      </c>
      <c r="S237" t="s">
        <v>1394</v>
      </c>
      <c r="T237" t="s">
        <v>877</v>
      </c>
      <c r="U237" t="s">
        <v>878</v>
      </c>
      <c r="W237">
        <v>0.33</v>
      </c>
      <c r="X237">
        <v>0.25</v>
      </c>
      <c r="Y237" t="s">
        <v>879</v>
      </c>
      <c r="Z237" t="s">
        <v>792</v>
      </c>
      <c r="AB237" t="s">
        <v>793</v>
      </c>
      <c r="AD237" t="s">
        <v>794</v>
      </c>
      <c r="AE237" t="s">
        <v>804</v>
      </c>
      <c r="AF237" t="s">
        <v>845</v>
      </c>
      <c r="AG237" t="s">
        <v>797</v>
      </c>
      <c r="AH237">
        <v>21000</v>
      </c>
      <c r="AI237">
        <v>21000</v>
      </c>
    </row>
    <row r="238" spans="1:35" x14ac:dyDescent="0.3">
      <c r="A238">
        <f>COUNTIF($D$2:D238,D238)</f>
        <v>12</v>
      </c>
      <c r="B238" t="str">
        <f t="shared" si="13"/>
        <v>12Brent</v>
      </c>
      <c r="C238" t="s">
        <v>1426</v>
      </c>
      <c r="D238" t="s">
        <v>91</v>
      </c>
      <c r="E238">
        <v>18</v>
      </c>
      <c r="F238" t="s">
        <v>1427</v>
      </c>
      <c r="G238" t="s">
        <v>1402</v>
      </c>
      <c r="H238" t="s">
        <v>1403</v>
      </c>
      <c r="I238" t="s">
        <v>794</v>
      </c>
      <c r="J238">
        <f t="shared" ca="1" si="14"/>
        <v>40000</v>
      </c>
      <c r="K238">
        <f t="shared" ca="1" si="15"/>
        <v>112</v>
      </c>
      <c r="N238" t="str">
        <f t="shared" si="12"/>
        <v>Bournemouth, Christchurch and Poole47Early supported hospital dischargeBed based intermediate Care Services (Reablement, rehabilitation, wider short-term services supporting recovery)Other</v>
      </c>
      <c r="O238" t="s">
        <v>85</v>
      </c>
      <c r="P238" t="s">
        <v>976</v>
      </c>
      <c r="Q238">
        <v>47</v>
      </c>
      <c r="R238" t="s">
        <v>1282</v>
      </c>
      <c r="S238" t="s">
        <v>1333</v>
      </c>
      <c r="T238" t="s">
        <v>877</v>
      </c>
      <c r="U238" t="s">
        <v>812</v>
      </c>
      <c r="V238" t="s">
        <v>1428</v>
      </c>
      <c r="W238">
        <v>5</v>
      </c>
      <c r="X238">
        <v>5</v>
      </c>
      <c r="Y238" t="s">
        <v>879</v>
      </c>
      <c r="Z238" t="s">
        <v>792</v>
      </c>
      <c r="AB238" t="s">
        <v>793</v>
      </c>
      <c r="AD238" t="s">
        <v>794</v>
      </c>
      <c r="AE238" t="s">
        <v>804</v>
      </c>
      <c r="AF238" t="s">
        <v>864</v>
      </c>
      <c r="AG238" t="s">
        <v>797</v>
      </c>
      <c r="AH238">
        <v>336000</v>
      </c>
      <c r="AI238">
        <v>355018</v>
      </c>
    </row>
    <row r="239" spans="1:35" x14ac:dyDescent="0.3">
      <c r="A239">
        <f>COUNTIF($D$2:D239,D239)</f>
        <v>13</v>
      </c>
      <c r="B239" t="str">
        <f t="shared" si="13"/>
        <v>13Brent</v>
      </c>
      <c r="C239" t="s">
        <v>1429</v>
      </c>
      <c r="D239" t="s">
        <v>91</v>
      </c>
      <c r="E239">
        <v>21</v>
      </c>
      <c r="F239" t="s">
        <v>1430</v>
      </c>
      <c r="G239" t="s">
        <v>1431</v>
      </c>
      <c r="H239" t="s">
        <v>1432</v>
      </c>
      <c r="I239" t="s">
        <v>794</v>
      </c>
      <c r="J239">
        <f t="shared" ca="1" si="14"/>
        <v>27265</v>
      </c>
      <c r="K239">
        <f t="shared" ca="1" si="15"/>
        <v>0</v>
      </c>
      <c r="N239" t="str">
        <f t="shared" si="12"/>
        <v xml:space="preserve">Bournemouth, Christchurch and Poole49Early supported hospital dischargeHome-based intermediate care servicesReablement at home (to support discharge) </v>
      </c>
      <c r="O239" t="s">
        <v>85</v>
      </c>
      <c r="P239" t="s">
        <v>976</v>
      </c>
      <c r="Q239">
        <v>49</v>
      </c>
      <c r="R239" t="s">
        <v>1282</v>
      </c>
      <c r="S239" t="s">
        <v>1333</v>
      </c>
      <c r="T239" t="s">
        <v>787</v>
      </c>
      <c r="U239" t="s">
        <v>788</v>
      </c>
      <c r="W239">
        <v>77</v>
      </c>
      <c r="X239">
        <v>77</v>
      </c>
      <c r="Y239" t="s">
        <v>789</v>
      </c>
      <c r="Z239" t="s">
        <v>792</v>
      </c>
      <c r="AB239" t="s">
        <v>793</v>
      </c>
      <c r="AD239" t="s">
        <v>794</v>
      </c>
      <c r="AE239" t="s">
        <v>804</v>
      </c>
      <c r="AF239" t="s">
        <v>864</v>
      </c>
      <c r="AG239" t="s">
        <v>797</v>
      </c>
      <c r="AH239">
        <v>622000</v>
      </c>
      <c r="AI239">
        <v>657205</v>
      </c>
    </row>
    <row r="240" spans="1:35" x14ac:dyDescent="0.3">
      <c r="A240">
        <f>COUNTIF($D$2:D240,D240)</f>
        <v>14</v>
      </c>
      <c r="B240" t="str">
        <f t="shared" si="13"/>
        <v>14Brent</v>
      </c>
      <c r="C240" t="s">
        <v>1433</v>
      </c>
      <c r="D240" t="s">
        <v>91</v>
      </c>
      <c r="E240">
        <v>24</v>
      </c>
      <c r="F240" t="s">
        <v>1434</v>
      </c>
      <c r="G240" t="s">
        <v>1402</v>
      </c>
      <c r="H240" t="s">
        <v>1403</v>
      </c>
      <c r="I240" t="s">
        <v>794</v>
      </c>
      <c r="J240">
        <f t="shared" ca="1" si="14"/>
        <v>120000</v>
      </c>
      <c r="K240">
        <f t="shared" ca="1" si="15"/>
        <v>3</v>
      </c>
      <c r="N240" t="str">
        <f t="shared" si="12"/>
        <v>Bournemouth, Christchurch and Poole52Early supported hospital dischargeBed based intermediate Care Services (Reablement, rehabilitation, wider short-term services supporting recovery)Bed-based intermediate care with reablement (to support discharge)</v>
      </c>
      <c r="O240" t="s">
        <v>85</v>
      </c>
      <c r="P240" t="s">
        <v>976</v>
      </c>
      <c r="Q240">
        <v>52</v>
      </c>
      <c r="R240" t="s">
        <v>1282</v>
      </c>
      <c r="S240" t="s">
        <v>1333</v>
      </c>
      <c r="T240" t="s">
        <v>877</v>
      </c>
      <c r="U240" t="s">
        <v>878</v>
      </c>
      <c r="W240">
        <v>18</v>
      </c>
      <c r="X240">
        <v>18</v>
      </c>
      <c r="Y240" t="s">
        <v>879</v>
      </c>
      <c r="Z240" t="s">
        <v>792</v>
      </c>
      <c r="AB240" t="s">
        <v>793</v>
      </c>
      <c r="AD240" t="s">
        <v>794</v>
      </c>
      <c r="AE240" t="s">
        <v>804</v>
      </c>
      <c r="AF240" t="s">
        <v>860</v>
      </c>
      <c r="AG240" t="s">
        <v>797</v>
      </c>
      <c r="AH240">
        <v>1882080</v>
      </c>
      <c r="AI240">
        <v>1988606</v>
      </c>
    </row>
    <row r="241" spans="1:36" x14ac:dyDescent="0.3">
      <c r="A241">
        <f>COUNTIF($D$2:D241,D241)</f>
        <v>15</v>
      </c>
      <c r="B241" t="str">
        <f t="shared" si="13"/>
        <v>15Brent</v>
      </c>
      <c r="C241" t="s">
        <v>1435</v>
      </c>
      <c r="D241" t="s">
        <v>91</v>
      </c>
      <c r="E241">
        <v>26</v>
      </c>
      <c r="F241" t="s">
        <v>1436</v>
      </c>
      <c r="G241" t="s">
        <v>1402</v>
      </c>
      <c r="H241" t="s">
        <v>1411</v>
      </c>
      <c r="I241" t="s">
        <v>794</v>
      </c>
      <c r="J241">
        <f t="shared" ca="1" si="14"/>
        <v>40000</v>
      </c>
      <c r="K241">
        <f t="shared" ca="1" si="15"/>
        <v>43</v>
      </c>
      <c r="N241" t="str">
        <f t="shared" si="12"/>
        <v>Bracknell Forest70Care Home Physiotherapy Bed based intermediate Care Services (Reablement, rehabilitation, wider short-term services supporting recovery)Bed-based intermediate care with rehabilitation (to support discharge)</v>
      </c>
      <c r="O241" t="s">
        <v>87</v>
      </c>
      <c r="P241" t="s">
        <v>1437</v>
      </c>
      <c r="Q241">
        <v>70</v>
      </c>
      <c r="R241" t="s">
        <v>1306</v>
      </c>
      <c r="S241" t="s">
        <v>1438</v>
      </c>
      <c r="T241" t="s">
        <v>877</v>
      </c>
      <c r="U241" t="s">
        <v>968</v>
      </c>
      <c r="W241">
        <v>40</v>
      </c>
      <c r="X241">
        <v>40</v>
      </c>
      <c r="Y241" t="s">
        <v>879</v>
      </c>
      <c r="Z241" t="s">
        <v>823</v>
      </c>
      <c r="AB241" t="s">
        <v>824</v>
      </c>
      <c r="AD241" t="s">
        <v>794</v>
      </c>
      <c r="AE241" t="s">
        <v>832</v>
      </c>
      <c r="AF241" t="s">
        <v>864</v>
      </c>
      <c r="AG241" t="s">
        <v>797</v>
      </c>
      <c r="AH241">
        <v>70864</v>
      </c>
      <c r="AI241">
        <v>70864</v>
      </c>
      <c r="AJ241">
        <v>1</v>
      </c>
    </row>
    <row r="242" spans="1:36" x14ac:dyDescent="0.3">
      <c r="A242">
        <f>COUNTIF($D$2:D242,D242)</f>
        <v>16</v>
      </c>
      <c r="B242" t="str">
        <f t="shared" si="13"/>
        <v>16Brent</v>
      </c>
      <c r="C242" t="s">
        <v>1439</v>
      </c>
      <c r="D242" t="s">
        <v>91</v>
      </c>
      <c r="E242">
        <v>28</v>
      </c>
      <c r="F242" t="s">
        <v>1440</v>
      </c>
      <c r="G242" t="s">
        <v>1402</v>
      </c>
      <c r="H242" t="s">
        <v>1441</v>
      </c>
      <c r="I242" t="s">
        <v>794</v>
      </c>
      <c r="J242">
        <f t="shared" ca="1" si="14"/>
        <v>40000</v>
      </c>
      <c r="K242">
        <f t="shared" ca="1" si="15"/>
        <v>388</v>
      </c>
      <c r="N242" t="str">
        <f t="shared" si="12"/>
        <v>Bracknell Forest72Assistive Technology grab bags Assistive Technologies and EquipmentAssistive technologies including telecare</v>
      </c>
      <c r="O242" t="s">
        <v>87</v>
      </c>
      <c r="P242" t="s">
        <v>1437</v>
      </c>
      <c r="Q242">
        <v>72</v>
      </c>
      <c r="R242" t="s">
        <v>1309</v>
      </c>
      <c r="S242" t="s">
        <v>1442</v>
      </c>
      <c r="T242" t="s">
        <v>800</v>
      </c>
      <c r="U242" t="s">
        <v>850</v>
      </c>
      <c r="W242">
        <v>60</v>
      </c>
      <c r="X242">
        <v>60</v>
      </c>
      <c r="Y242" t="s">
        <v>802</v>
      </c>
      <c r="Z242" t="s">
        <v>792</v>
      </c>
      <c r="AB242" t="s">
        <v>793</v>
      </c>
      <c r="AD242" t="s">
        <v>794</v>
      </c>
      <c r="AE242" t="s">
        <v>795</v>
      </c>
      <c r="AF242" t="s">
        <v>860</v>
      </c>
      <c r="AG242" t="s">
        <v>797</v>
      </c>
      <c r="AH242">
        <v>33785</v>
      </c>
      <c r="AI242">
        <v>33785</v>
      </c>
      <c r="AJ242">
        <v>1</v>
      </c>
    </row>
    <row r="243" spans="1:36" x14ac:dyDescent="0.3">
      <c r="A243">
        <f>COUNTIF($D$2:D243,D243)</f>
        <v>17</v>
      </c>
      <c r="B243" t="str">
        <f t="shared" si="13"/>
        <v>17Brent</v>
      </c>
      <c r="C243" t="s">
        <v>1443</v>
      </c>
      <c r="D243" t="s">
        <v>91</v>
      </c>
      <c r="E243">
        <v>38</v>
      </c>
      <c r="F243" t="s">
        <v>1444</v>
      </c>
      <c r="G243" t="s">
        <v>806</v>
      </c>
      <c r="H243" t="s">
        <v>807</v>
      </c>
      <c r="I243" t="s">
        <v>808</v>
      </c>
      <c r="J243">
        <f t="shared" ca="1" si="14"/>
        <v>3252404</v>
      </c>
      <c r="K243">
        <f t="shared" ca="1" si="15"/>
        <v>332</v>
      </c>
      <c r="N243" t="str">
        <f t="shared" si="12"/>
        <v>Bracknell Forest73Complex HomecareHome Care or Domiciliary CareDomiciliary care to support hospital discharge (Discharge to Assess pathway 1)</v>
      </c>
      <c r="O243" t="s">
        <v>87</v>
      </c>
      <c r="P243" t="s">
        <v>1437</v>
      </c>
      <c r="Q243">
        <v>73</v>
      </c>
      <c r="R243" t="s">
        <v>1312</v>
      </c>
      <c r="S243" t="s">
        <v>1445</v>
      </c>
      <c r="T243" t="s">
        <v>842</v>
      </c>
      <c r="U243" t="s">
        <v>856</v>
      </c>
      <c r="W243">
        <v>14400</v>
      </c>
      <c r="X243">
        <v>14400</v>
      </c>
      <c r="Y243" t="s">
        <v>844</v>
      </c>
      <c r="Z243" t="s">
        <v>792</v>
      </c>
      <c r="AB243" t="s">
        <v>793</v>
      </c>
      <c r="AD243" t="s">
        <v>794</v>
      </c>
      <c r="AE243" t="s">
        <v>804</v>
      </c>
      <c r="AF243" t="s">
        <v>860</v>
      </c>
      <c r="AG243" t="s">
        <v>797</v>
      </c>
      <c r="AH243">
        <v>50000</v>
      </c>
      <c r="AI243">
        <v>50000</v>
      </c>
      <c r="AJ243">
        <v>1</v>
      </c>
    </row>
    <row r="244" spans="1:36" x14ac:dyDescent="0.3">
      <c r="A244">
        <f>COUNTIF($D$2:D244,D244)</f>
        <v>18</v>
      </c>
      <c r="B244" t="str">
        <f t="shared" si="13"/>
        <v>18Brent</v>
      </c>
      <c r="C244" t="s">
        <v>1446</v>
      </c>
      <c r="D244" t="s">
        <v>91</v>
      </c>
      <c r="E244">
        <v>39</v>
      </c>
      <c r="F244" t="s">
        <v>1447</v>
      </c>
      <c r="G244" t="s">
        <v>842</v>
      </c>
      <c r="H244" t="s">
        <v>843</v>
      </c>
      <c r="I244" t="s">
        <v>844</v>
      </c>
      <c r="J244">
        <f t="shared" ca="1" si="14"/>
        <v>5551590</v>
      </c>
      <c r="K244">
        <f t="shared" ca="1" si="15"/>
        <v>1749</v>
      </c>
      <c r="N244" t="str">
        <f t="shared" si="12"/>
        <v>Bracknell Forest75ICS Discharge AssessorBed based intermediate Care Services (Reablement, rehabilitation, wider short-term services supporting recovery)Bed-based intermediate care with reablement (to support discharge)</v>
      </c>
      <c r="O244" t="s">
        <v>87</v>
      </c>
      <c r="P244" t="s">
        <v>1437</v>
      </c>
      <c r="Q244">
        <v>75</v>
      </c>
      <c r="R244" t="s">
        <v>1315</v>
      </c>
      <c r="S244" t="s">
        <v>1448</v>
      </c>
      <c r="T244" t="s">
        <v>877</v>
      </c>
      <c r="U244" t="s">
        <v>878</v>
      </c>
      <c r="W244">
        <v>240</v>
      </c>
      <c r="X244">
        <v>240</v>
      </c>
      <c r="Y244" t="s">
        <v>879</v>
      </c>
      <c r="Z244" t="s">
        <v>823</v>
      </c>
      <c r="AB244" t="s">
        <v>824</v>
      </c>
      <c r="AD244" t="s">
        <v>794</v>
      </c>
      <c r="AE244" t="s">
        <v>832</v>
      </c>
      <c r="AF244" t="s">
        <v>864</v>
      </c>
      <c r="AG244" t="s">
        <v>797</v>
      </c>
      <c r="AH244">
        <v>47921</v>
      </c>
      <c r="AI244">
        <v>47921</v>
      </c>
      <c r="AJ244">
        <v>1</v>
      </c>
    </row>
    <row r="245" spans="1:36" x14ac:dyDescent="0.3">
      <c r="A245">
        <f>COUNTIF($D$2:D245,D245)</f>
        <v>19</v>
      </c>
      <c r="B245" t="str">
        <f t="shared" si="13"/>
        <v>19Brent</v>
      </c>
      <c r="C245" t="s">
        <v>1449</v>
      </c>
      <c r="D245" t="s">
        <v>91</v>
      </c>
      <c r="E245">
        <v>43</v>
      </c>
      <c r="F245" t="s">
        <v>1450</v>
      </c>
      <c r="G245" t="s">
        <v>834</v>
      </c>
      <c r="H245" t="s">
        <v>1293</v>
      </c>
      <c r="I245" t="s">
        <v>836</v>
      </c>
      <c r="J245">
        <f t="shared" ca="1" si="14"/>
        <v>5316897</v>
      </c>
      <c r="K245">
        <f t="shared" ca="1" si="15"/>
        <v>533</v>
      </c>
      <c r="N245" t="str">
        <f t="shared" si="12"/>
        <v>Bracknell Forest8Community EquipmentAssistive Technologies and EquipmentCommunity based equipment</v>
      </c>
      <c r="O245" t="s">
        <v>87</v>
      </c>
      <c r="P245" t="s">
        <v>1437</v>
      </c>
      <c r="Q245">
        <v>8</v>
      </c>
      <c r="R245" t="s">
        <v>1051</v>
      </c>
      <c r="S245" t="s">
        <v>1451</v>
      </c>
      <c r="T245" t="s">
        <v>800</v>
      </c>
      <c r="U245" t="s">
        <v>903</v>
      </c>
      <c r="W245">
        <v>500</v>
      </c>
      <c r="X245">
        <v>500</v>
      </c>
      <c r="Y245" t="s">
        <v>802</v>
      </c>
      <c r="Z245" t="s">
        <v>823</v>
      </c>
      <c r="AB245" t="s">
        <v>824</v>
      </c>
      <c r="AD245" t="s">
        <v>794</v>
      </c>
      <c r="AE245" t="s">
        <v>832</v>
      </c>
      <c r="AF245" t="s">
        <v>796</v>
      </c>
      <c r="AG245" t="s">
        <v>797</v>
      </c>
      <c r="AH245">
        <v>597893</v>
      </c>
      <c r="AI245">
        <v>597893</v>
      </c>
      <c r="AJ245">
        <v>0.5</v>
      </c>
    </row>
    <row r="246" spans="1:36" x14ac:dyDescent="0.3">
      <c r="A246">
        <f>COUNTIF($D$2:D246,D246)</f>
        <v>20</v>
      </c>
      <c r="B246" t="str">
        <f t="shared" si="13"/>
        <v>20Brent</v>
      </c>
      <c r="C246" t="s">
        <v>1452</v>
      </c>
      <c r="D246" t="s">
        <v>91</v>
      </c>
      <c r="E246">
        <v>44</v>
      </c>
      <c r="F246" t="s">
        <v>1453</v>
      </c>
      <c r="G246" t="s">
        <v>1453</v>
      </c>
      <c r="H246" t="s">
        <v>1454</v>
      </c>
      <c r="I246" t="s">
        <v>794</v>
      </c>
      <c r="J246">
        <f t="shared" ca="1" si="14"/>
        <v>3207223.3986754115</v>
      </c>
      <c r="K246">
        <f t="shared" ca="1" si="15"/>
        <v>7273</v>
      </c>
      <c r="N246" t="str">
        <f t="shared" si="12"/>
        <v>Bracknell Forest15Farnham Rehab BedsBed based intermediate Care Services (Reablement, rehabilitation, wider short-term services supporting recovery)Bed-based intermediate care with reablement accepting step up and step down users</v>
      </c>
      <c r="O246" t="s">
        <v>87</v>
      </c>
      <c r="P246" t="s">
        <v>1437</v>
      </c>
      <c r="Q246">
        <v>15</v>
      </c>
      <c r="R246" t="s">
        <v>1319</v>
      </c>
      <c r="S246" t="s">
        <v>1455</v>
      </c>
      <c r="T246" t="s">
        <v>877</v>
      </c>
      <c r="U246" t="s">
        <v>1259</v>
      </c>
      <c r="W246">
        <v>50</v>
      </c>
      <c r="X246">
        <v>50</v>
      </c>
      <c r="Y246" t="s">
        <v>879</v>
      </c>
      <c r="Z246" t="s">
        <v>823</v>
      </c>
      <c r="AB246" t="s">
        <v>824</v>
      </c>
      <c r="AD246" t="s">
        <v>794</v>
      </c>
      <c r="AE246" t="s">
        <v>1119</v>
      </c>
      <c r="AF246" t="s">
        <v>796</v>
      </c>
      <c r="AG246" t="s">
        <v>797</v>
      </c>
      <c r="AH246">
        <v>97799</v>
      </c>
      <c r="AI246">
        <v>97799</v>
      </c>
      <c r="AJ246">
        <v>1</v>
      </c>
    </row>
    <row r="247" spans="1:36" x14ac:dyDescent="0.3">
      <c r="A247">
        <f>COUNTIF($D$2:D247,D247)</f>
        <v>21</v>
      </c>
      <c r="B247" t="str">
        <f t="shared" si="13"/>
        <v>21Brent</v>
      </c>
      <c r="C247" t="s">
        <v>1456</v>
      </c>
      <c r="D247" t="s">
        <v>91</v>
      </c>
      <c r="E247">
        <v>46</v>
      </c>
      <c r="F247" t="s">
        <v>1453</v>
      </c>
      <c r="G247" t="s">
        <v>1453</v>
      </c>
      <c r="H247" t="s">
        <v>1454</v>
      </c>
      <c r="I247" t="s">
        <v>794</v>
      </c>
      <c r="J247">
        <f t="shared" ca="1" si="14"/>
        <v>1064242.483951733</v>
      </c>
      <c r="K247">
        <f t="shared" ca="1" si="15"/>
        <v>438</v>
      </c>
      <c r="N247" t="str">
        <f t="shared" si="12"/>
        <v>Bracknell Forest16St Marks Rehab BedsBed based intermediate Care Services (Reablement, rehabilitation, wider short-term services supporting recovery)Bed-based intermediate care with rehabilitation accepting step up and step down users</v>
      </c>
      <c r="O247" t="s">
        <v>87</v>
      </c>
      <c r="P247" t="s">
        <v>1437</v>
      </c>
      <c r="Q247">
        <v>16</v>
      </c>
      <c r="R247" t="s">
        <v>1322</v>
      </c>
      <c r="S247" t="s">
        <v>1457</v>
      </c>
      <c r="T247" t="s">
        <v>877</v>
      </c>
      <c r="U247" t="s">
        <v>1015</v>
      </c>
      <c r="W247">
        <v>50</v>
      </c>
      <c r="X247">
        <v>50</v>
      </c>
      <c r="Y247" t="s">
        <v>879</v>
      </c>
      <c r="Z247" t="s">
        <v>823</v>
      </c>
      <c r="AB247" t="s">
        <v>824</v>
      </c>
      <c r="AD247" t="s">
        <v>794</v>
      </c>
      <c r="AE247" t="s">
        <v>1119</v>
      </c>
      <c r="AF247" t="s">
        <v>796</v>
      </c>
      <c r="AG247" t="s">
        <v>797</v>
      </c>
      <c r="AH247">
        <v>43599</v>
      </c>
      <c r="AI247">
        <v>43599</v>
      </c>
      <c r="AJ247">
        <v>1</v>
      </c>
    </row>
    <row r="248" spans="1:36" x14ac:dyDescent="0.3">
      <c r="A248">
        <f>COUNTIF($D$2:D248,D248)</f>
        <v>22</v>
      </c>
      <c r="B248" t="str">
        <f t="shared" si="13"/>
        <v>22Brent</v>
      </c>
      <c r="C248" t="s">
        <v>1458</v>
      </c>
      <c r="D248" t="s">
        <v>91</v>
      </c>
      <c r="E248">
        <v>47</v>
      </c>
      <c r="F248" t="s">
        <v>1459</v>
      </c>
      <c r="G248" t="s">
        <v>1453</v>
      </c>
      <c r="H248" t="s">
        <v>1460</v>
      </c>
      <c r="I248" t="s">
        <v>794</v>
      </c>
      <c r="J248">
        <f t="shared" ca="1" si="14"/>
        <v>229007.58606870697</v>
      </c>
      <c r="K248">
        <f t="shared" ca="1" si="15"/>
        <v>540</v>
      </c>
      <c r="N248" t="str">
        <f t="shared" si="12"/>
        <v>Bracknell Forest21Carers' supportCarers ServicesCarer advice and support related to Care Act duties</v>
      </c>
      <c r="O248" t="s">
        <v>87</v>
      </c>
      <c r="P248" t="s">
        <v>1437</v>
      </c>
      <c r="Q248">
        <v>21</v>
      </c>
      <c r="R248" t="s">
        <v>1324</v>
      </c>
      <c r="S248" t="s">
        <v>1461</v>
      </c>
      <c r="T248" t="s">
        <v>811</v>
      </c>
      <c r="U248" t="s">
        <v>895</v>
      </c>
      <c r="W248">
        <v>500</v>
      </c>
      <c r="X248">
        <v>500</v>
      </c>
      <c r="Y248" t="s">
        <v>813</v>
      </c>
      <c r="Z248" t="s">
        <v>792</v>
      </c>
      <c r="AB248" t="s">
        <v>793</v>
      </c>
      <c r="AD248" t="s">
        <v>794</v>
      </c>
      <c r="AE248" t="s">
        <v>795</v>
      </c>
      <c r="AF248" t="s">
        <v>796</v>
      </c>
      <c r="AG248" t="s">
        <v>797</v>
      </c>
      <c r="AH248">
        <v>100000</v>
      </c>
      <c r="AI248">
        <v>100000</v>
      </c>
      <c r="AJ248">
        <v>1</v>
      </c>
    </row>
    <row r="249" spans="1:36" x14ac:dyDescent="0.3">
      <c r="A249">
        <f>COUNTIF($D$2:D249,D249)</f>
        <v>23</v>
      </c>
      <c r="B249" t="str">
        <f t="shared" si="13"/>
        <v>23Brent</v>
      </c>
      <c r="C249" t="s">
        <v>1462</v>
      </c>
      <c r="D249" t="s">
        <v>91</v>
      </c>
      <c r="E249">
        <v>49</v>
      </c>
      <c r="F249" t="s">
        <v>1463</v>
      </c>
      <c r="G249" t="s">
        <v>1453</v>
      </c>
      <c r="H249" t="s">
        <v>1454</v>
      </c>
      <c r="I249" t="s">
        <v>794</v>
      </c>
      <c r="J249">
        <f t="shared" ca="1" si="14"/>
        <v>1475343.5733504752</v>
      </c>
      <c r="K249">
        <f t="shared" ca="1" si="15"/>
        <v>7461</v>
      </c>
      <c r="N249" t="str">
        <f t="shared" si="12"/>
        <v>Bracknell Forest25Adult Social CareResidential PlacementsOther</v>
      </c>
      <c r="O249" t="s">
        <v>87</v>
      </c>
      <c r="P249" t="s">
        <v>1437</v>
      </c>
      <c r="Q249">
        <v>25</v>
      </c>
      <c r="R249" t="s">
        <v>1328</v>
      </c>
      <c r="S249" t="s">
        <v>1464</v>
      </c>
      <c r="T249" t="s">
        <v>806</v>
      </c>
      <c r="U249" t="s">
        <v>812</v>
      </c>
      <c r="V249" t="s">
        <v>1465</v>
      </c>
      <c r="W249">
        <v>110</v>
      </c>
      <c r="X249">
        <v>110</v>
      </c>
      <c r="Y249" t="s">
        <v>808</v>
      </c>
      <c r="Z249" t="s">
        <v>792</v>
      </c>
      <c r="AB249" t="s">
        <v>793</v>
      </c>
      <c r="AD249" t="s">
        <v>794</v>
      </c>
      <c r="AE249" t="s">
        <v>795</v>
      </c>
      <c r="AF249" t="s">
        <v>845</v>
      </c>
      <c r="AG249" t="s">
        <v>797</v>
      </c>
      <c r="AH249">
        <v>1524876</v>
      </c>
      <c r="AI249">
        <v>1524876</v>
      </c>
      <c r="AJ249">
        <v>1</v>
      </c>
    </row>
    <row r="250" spans="1:36" x14ac:dyDescent="0.3">
      <c r="A250">
        <f>COUNTIF($D$2:D250,D250)</f>
        <v>24</v>
      </c>
      <c r="B250" t="str">
        <f t="shared" si="13"/>
        <v>24Brent</v>
      </c>
      <c r="C250" t="s">
        <v>1466</v>
      </c>
      <c r="D250" t="s">
        <v>91</v>
      </c>
      <c r="E250">
        <v>50</v>
      </c>
      <c r="F250" t="s">
        <v>1467</v>
      </c>
      <c r="G250" t="s">
        <v>1453</v>
      </c>
      <c r="H250" t="s">
        <v>1454</v>
      </c>
      <c r="I250" t="s">
        <v>794</v>
      </c>
      <c r="J250">
        <f t="shared" ca="1" si="14"/>
        <v>502183.54399791901</v>
      </c>
      <c r="K250">
        <f t="shared" ca="1" si="15"/>
        <v>4323</v>
      </c>
      <c r="N250" t="str">
        <f t="shared" si="12"/>
        <v>Bracknell Forest27Community EquipmentAssistive Technologies and EquipmentAssistive technologies including telecare</v>
      </c>
      <c r="O250" t="s">
        <v>87</v>
      </c>
      <c r="P250" t="s">
        <v>1437</v>
      </c>
      <c r="Q250">
        <v>27</v>
      </c>
      <c r="R250" t="s">
        <v>1051</v>
      </c>
      <c r="S250" t="s">
        <v>1468</v>
      </c>
      <c r="T250" t="s">
        <v>800</v>
      </c>
      <c r="U250" t="s">
        <v>850</v>
      </c>
      <c r="W250">
        <v>500</v>
      </c>
      <c r="X250">
        <v>500</v>
      </c>
      <c r="Y250" t="s">
        <v>802</v>
      </c>
      <c r="Z250" t="s">
        <v>792</v>
      </c>
      <c r="AB250" t="s">
        <v>793</v>
      </c>
      <c r="AD250" t="s">
        <v>794</v>
      </c>
      <c r="AE250" t="s">
        <v>795</v>
      </c>
      <c r="AF250" t="s">
        <v>796</v>
      </c>
      <c r="AG250" t="s">
        <v>797</v>
      </c>
      <c r="AH250">
        <v>518600</v>
      </c>
      <c r="AI250">
        <v>518600</v>
      </c>
      <c r="AJ250">
        <v>0.95</v>
      </c>
    </row>
    <row r="251" spans="1:36" x14ac:dyDescent="0.3">
      <c r="A251">
        <f>COUNTIF($D$2:D251,D251)</f>
        <v>25</v>
      </c>
      <c r="B251" t="str">
        <f t="shared" si="13"/>
        <v>25Brent</v>
      </c>
      <c r="C251" t="s">
        <v>1469</v>
      </c>
      <c r="D251" t="s">
        <v>91</v>
      </c>
      <c r="E251">
        <v>53</v>
      </c>
      <c r="F251" t="s">
        <v>1051</v>
      </c>
      <c r="G251" t="s">
        <v>800</v>
      </c>
      <c r="H251" t="s">
        <v>903</v>
      </c>
      <c r="I251" t="s">
        <v>802</v>
      </c>
      <c r="J251">
        <f t="shared" ca="1" si="14"/>
        <v>1532931</v>
      </c>
      <c r="K251">
        <f t="shared" ca="1" si="15"/>
        <v>30348</v>
      </c>
      <c r="N251" t="str">
        <f t="shared" si="12"/>
        <v xml:space="preserve">Bracknell Forest28Intermediate careHome-based intermediate care servicesReablement at home (to support discharge) </v>
      </c>
      <c r="O251" t="s">
        <v>87</v>
      </c>
      <c r="P251" t="s">
        <v>1437</v>
      </c>
      <c r="Q251">
        <v>28</v>
      </c>
      <c r="R251" t="s">
        <v>1333</v>
      </c>
      <c r="S251" t="s">
        <v>1470</v>
      </c>
      <c r="T251" t="s">
        <v>787</v>
      </c>
      <c r="U251" t="s">
        <v>788</v>
      </c>
      <c r="W251">
        <v>107</v>
      </c>
      <c r="X251">
        <v>107</v>
      </c>
      <c r="Y251" t="s">
        <v>789</v>
      </c>
      <c r="Z251" t="s">
        <v>792</v>
      </c>
      <c r="AB251" t="s">
        <v>793</v>
      </c>
      <c r="AD251" t="s">
        <v>794</v>
      </c>
      <c r="AE251" t="s">
        <v>795</v>
      </c>
      <c r="AF251" t="s">
        <v>796</v>
      </c>
      <c r="AG251" t="s">
        <v>797</v>
      </c>
      <c r="AH251">
        <v>2817325</v>
      </c>
      <c r="AI251">
        <v>2817325</v>
      </c>
      <c r="AJ251">
        <v>0.67</v>
      </c>
    </row>
    <row r="252" spans="1:36" x14ac:dyDescent="0.3">
      <c r="A252">
        <f>COUNTIF($D$2:D252,D252)</f>
        <v>26</v>
      </c>
      <c r="B252" t="str">
        <f t="shared" si="13"/>
        <v>26Brent</v>
      </c>
      <c r="C252" t="s">
        <v>1471</v>
      </c>
      <c r="D252" t="s">
        <v>91</v>
      </c>
      <c r="E252">
        <v>58</v>
      </c>
      <c r="F252" t="s">
        <v>1472</v>
      </c>
      <c r="G252" t="s">
        <v>842</v>
      </c>
      <c r="H252" t="s">
        <v>843</v>
      </c>
      <c r="I252" t="s">
        <v>844</v>
      </c>
      <c r="J252">
        <f t="shared" ca="1" si="14"/>
        <v>341000</v>
      </c>
      <c r="K252">
        <f t="shared" ca="1" si="15"/>
        <v>64240</v>
      </c>
      <c r="N252" t="str">
        <f t="shared" si="12"/>
        <v xml:space="preserve">Bracknell Forest28Intermediate careHome-based intermediate care servicesReablement at home (to support discharge) </v>
      </c>
      <c r="O252" t="s">
        <v>87</v>
      </c>
      <c r="P252" t="s">
        <v>1437</v>
      </c>
      <c r="Q252">
        <v>28</v>
      </c>
      <c r="R252" t="s">
        <v>1333</v>
      </c>
      <c r="S252" t="s">
        <v>1473</v>
      </c>
      <c r="T252" t="s">
        <v>787</v>
      </c>
      <c r="U252" t="s">
        <v>788</v>
      </c>
      <c r="W252">
        <v>107</v>
      </c>
      <c r="X252">
        <v>107</v>
      </c>
      <c r="Y252" t="s">
        <v>789</v>
      </c>
      <c r="Z252" t="s">
        <v>792</v>
      </c>
      <c r="AB252" t="s">
        <v>793</v>
      </c>
      <c r="AD252" t="s">
        <v>794</v>
      </c>
      <c r="AE252" t="s">
        <v>795</v>
      </c>
      <c r="AF252" t="s">
        <v>796</v>
      </c>
      <c r="AG252" t="s">
        <v>797</v>
      </c>
      <c r="AH252">
        <v>41000</v>
      </c>
      <c r="AI252">
        <v>41000</v>
      </c>
      <c r="AJ252">
        <v>1</v>
      </c>
    </row>
    <row r="253" spans="1:36" x14ac:dyDescent="0.3">
      <c r="A253">
        <f>COUNTIF($D$2:D253,D253)</f>
        <v>27</v>
      </c>
      <c r="B253" t="str">
        <f t="shared" si="13"/>
        <v>27Brent</v>
      </c>
      <c r="C253" t="s">
        <v>1474</v>
      </c>
      <c r="D253" t="s">
        <v>91</v>
      </c>
      <c r="E253">
        <v>59</v>
      </c>
      <c r="F253" t="s">
        <v>1475</v>
      </c>
      <c r="G253" t="s">
        <v>842</v>
      </c>
      <c r="H253" t="s">
        <v>843</v>
      </c>
      <c r="I253" t="s">
        <v>844</v>
      </c>
      <c r="J253">
        <f t="shared" ca="1" si="14"/>
        <v>684000</v>
      </c>
      <c r="K253">
        <f t="shared" ca="1" si="15"/>
        <v>17520</v>
      </c>
      <c r="N253" t="str">
        <f t="shared" si="12"/>
        <v>Bracknell Forest29Increase capacity in domiciliary care markerHome Care or Domiciliary CareDomiciliary care packages</v>
      </c>
      <c r="O253" t="s">
        <v>87</v>
      </c>
      <c r="P253" t="s">
        <v>1437</v>
      </c>
      <c r="Q253">
        <v>29</v>
      </c>
      <c r="R253" t="s">
        <v>1337</v>
      </c>
      <c r="S253" t="s">
        <v>1476</v>
      </c>
      <c r="T253" t="s">
        <v>842</v>
      </c>
      <c r="U253" t="s">
        <v>843</v>
      </c>
      <c r="W253">
        <v>8000</v>
      </c>
      <c r="X253">
        <v>8000</v>
      </c>
      <c r="Y253" t="s">
        <v>844</v>
      </c>
      <c r="Z253" t="s">
        <v>792</v>
      </c>
      <c r="AB253" t="s">
        <v>793</v>
      </c>
      <c r="AD253" t="s">
        <v>794</v>
      </c>
      <c r="AE253" t="s">
        <v>804</v>
      </c>
      <c r="AF253" t="s">
        <v>796</v>
      </c>
      <c r="AG253" t="s">
        <v>797</v>
      </c>
      <c r="AH253">
        <v>225000</v>
      </c>
      <c r="AI253">
        <v>225000</v>
      </c>
      <c r="AJ253">
        <v>0.02</v>
      </c>
    </row>
    <row r="254" spans="1:36" x14ac:dyDescent="0.3">
      <c r="A254">
        <f>COUNTIF($D$2:D254,D254)</f>
        <v>28</v>
      </c>
      <c r="B254" t="str">
        <f t="shared" si="13"/>
        <v>28Brent</v>
      </c>
      <c r="C254" t="s">
        <v>1477</v>
      </c>
      <c r="D254" t="s">
        <v>91</v>
      </c>
      <c r="E254">
        <v>63</v>
      </c>
      <c r="F254" t="s">
        <v>1478</v>
      </c>
      <c r="G254" t="s">
        <v>877</v>
      </c>
      <c r="H254" t="s">
        <v>1259</v>
      </c>
      <c r="I254" t="s">
        <v>879</v>
      </c>
      <c r="J254">
        <f t="shared" ca="1" si="14"/>
        <v>114000</v>
      </c>
      <c r="K254">
        <f t="shared" ca="1" si="15"/>
        <v>4</v>
      </c>
      <c r="N254" t="str">
        <f t="shared" si="12"/>
        <v>Bracknell Forest50Disabled Facilities GrantsDFG Related SchemesAssistive technologies including telecare</v>
      </c>
      <c r="O254" t="s">
        <v>87</v>
      </c>
      <c r="P254" t="s">
        <v>1437</v>
      </c>
      <c r="Q254">
        <v>50</v>
      </c>
      <c r="R254" t="s">
        <v>1341</v>
      </c>
      <c r="S254" t="s">
        <v>1479</v>
      </c>
      <c r="T254" t="s">
        <v>834</v>
      </c>
      <c r="U254" t="s">
        <v>850</v>
      </c>
      <c r="W254">
        <v>80</v>
      </c>
      <c r="X254">
        <v>80</v>
      </c>
      <c r="Y254" t="s">
        <v>802</v>
      </c>
      <c r="Z254" t="s">
        <v>792</v>
      </c>
      <c r="AB254" t="s">
        <v>793</v>
      </c>
      <c r="AD254" t="s">
        <v>794</v>
      </c>
      <c r="AE254" t="s">
        <v>804</v>
      </c>
      <c r="AF254" t="s">
        <v>840</v>
      </c>
      <c r="AG254" t="s">
        <v>797</v>
      </c>
      <c r="AH254">
        <v>968392</v>
      </c>
      <c r="AI254">
        <v>968392</v>
      </c>
      <c r="AJ254">
        <v>1</v>
      </c>
    </row>
    <row r="255" spans="1:36" x14ac:dyDescent="0.3">
      <c r="A255">
        <f>COUNTIF($D$2:D255,D255)</f>
        <v>29</v>
      </c>
      <c r="B255" t="str">
        <f t="shared" si="13"/>
        <v>29Brent</v>
      </c>
      <c r="C255" t="s">
        <v>1480</v>
      </c>
      <c r="D255" t="s">
        <v>91</v>
      </c>
      <c r="E255">
        <v>65</v>
      </c>
      <c r="F255" t="s">
        <v>1481</v>
      </c>
      <c r="G255" t="s">
        <v>842</v>
      </c>
      <c r="H255" t="s">
        <v>843</v>
      </c>
      <c r="I255" t="s">
        <v>844</v>
      </c>
      <c r="J255">
        <f t="shared" ca="1" si="14"/>
        <v>100000</v>
      </c>
      <c r="K255">
        <f t="shared" ca="1" si="15"/>
        <v>3720</v>
      </c>
      <c r="N255" t="str">
        <f t="shared" si="12"/>
        <v xml:space="preserve">Bracknell Forest28Intermediate CareHome-based intermediate care servicesReablement at home (to support discharge) </v>
      </c>
      <c r="O255" t="s">
        <v>87</v>
      </c>
      <c r="P255" t="s">
        <v>1437</v>
      </c>
      <c r="Q255">
        <v>28</v>
      </c>
      <c r="R255" t="s">
        <v>964</v>
      </c>
      <c r="S255" t="s">
        <v>1470</v>
      </c>
      <c r="T255" t="s">
        <v>787</v>
      </c>
      <c r="U255" t="s">
        <v>788</v>
      </c>
      <c r="W255">
        <v>107</v>
      </c>
      <c r="X255">
        <v>107</v>
      </c>
      <c r="Y255" t="s">
        <v>789</v>
      </c>
      <c r="Z255" t="s">
        <v>823</v>
      </c>
      <c r="AB255" t="s">
        <v>793</v>
      </c>
      <c r="AD255" t="s">
        <v>794</v>
      </c>
      <c r="AE255" t="s">
        <v>795</v>
      </c>
      <c r="AF255" t="s">
        <v>1029</v>
      </c>
      <c r="AG255" t="s">
        <v>797</v>
      </c>
      <c r="AH255">
        <v>1335815</v>
      </c>
      <c r="AI255">
        <v>1335815</v>
      </c>
      <c r="AJ255">
        <v>0.38</v>
      </c>
    </row>
    <row r="256" spans="1:36" x14ac:dyDescent="0.3">
      <c r="A256">
        <f>COUNTIF($D$2:D256,D256)</f>
        <v>30</v>
      </c>
      <c r="B256" t="str">
        <f t="shared" si="13"/>
        <v>30Brent</v>
      </c>
      <c r="C256" t="s">
        <v>1482</v>
      </c>
      <c r="D256" t="s">
        <v>91</v>
      </c>
      <c r="E256">
        <v>66</v>
      </c>
      <c r="F256" t="s">
        <v>1051</v>
      </c>
      <c r="G256" t="s">
        <v>800</v>
      </c>
      <c r="H256" t="s">
        <v>850</v>
      </c>
      <c r="I256" t="s">
        <v>802</v>
      </c>
      <c r="J256">
        <f t="shared" ca="1" si="14"/>
        <v>99905</v>
      </c>
      <c r="K256">
        <f t="shared" ca="1" si="15"/>
        <v>1500</v>
      </c>
      <c r="N256" t="str">
        <f t="shared" si="12"/>
        <v>BradfordS1PS03Local SchemesAssistive Technologies and EquipmentCommunity based equipment</v>
      </c>
      <c r="O256" t="s">
        <v>89</v>
      </c>
      <c r="P256" t="s">
        <v>922</v>
      </c>
      <c r="Q256" t="s">
        <v>1344</v>
      </c>
      <c r="R256" t="s">
        <v>1345</v>
      </c>
      <c r="S256" t="s">
        <v>1483</v>
      </c>
      <c r="T256" t="s">
        <v>800</v>
      </c>
      <c r="U256" t="s">
        <v>903</v>
      </c>
      <c r="W256">
        <v>16683</v>
      </c>
      <c r="X256">
        <v>16683</v>
      </c>
      <c r="Y256" t="s">
        <v>802</v>
      </c>
      <c r="Z256" t="s">
        <v>823</v>
      </c>
      <c r="AB256" t="s">
        <v>824</v>
      </c>
      <c r="AD256" t="s">
        <v>794</v>
      </c>
      <c r="AE256" t="s">
        <v>832</v>
      </c>
      <c r="AF256" t="s">
        <v>796</v>
      </c>
      <c r="AG256" t="s">
        <v>797</v>
      </c>
      <c r="AH256">
        <v>1816491</v>
      </c>
      <c r="AI256">
        <v>1919305</v>
      </c>
      <c r="AJ256">
        <v>3.878437986043657E-2</v>
      </c>
    </row>
    <row r="257" spans="1:36" x14ac:dyDescent="0.3">
      <c r="A257">
        <f>COUNTIF($D$2:D257,D257)</f>
        <v>31</v>
      </c>
      <c r="B257" t="str">
        <f t="shared" si="13"/>
        <v>31Brent</v>
      </c>
      <c r="C257" t="s">
        <v>1484</v>
      </c>
      <c r="D257" t="s">
        <v>91</v>
      </c>
      <c r="E257">
        <v>67</v>
      </c>
      <c r="F257" t="s">
        <v>1453</v>
      </c>
      <c r="G257" t="s">
        <v>806</v>
      </c>
      <c r="H257" t="s">
        <v>873</v>
      </c>
      <c r="I257" t="s">
        <v>808</v>
      </c>
      <c r="J257">
        <f t="shared" ca="1" si="14"/>
        <v>416000</v>
      </c>
      <c r="K257">
        <f t="shared" ca="1" si="15"/>
        <v>893</v>
      </c>
      <c r="N257" t="str">
        <f t="shared" si="12"/>
        <v>BradfordS1PS04Nursing support to care homesResidential PlacementsNursing home</v>
      </c>
      <c r="O257" t="s">
        <v>89</v>
      </c>
      <c r="P257" t="s">
        <v>922</v>
      </c>
      <c r="Q257" t="s">
        <v>1349</v>
      </c>
      <c r="R257" t="s">
        <v>1350</v>
      </c>
      <c r="S257" t="s">
        <v>1350</v>
      </c>
      <c r="T257" t="s">
        <v>806</v>
      </c>
      <c r="U257" t="s">
        <v>917</v>
      </c>
      <c r="W257">
        <v>45</v>
      </c>
      <c r="X257">
        <v>45</v>
      </c>
      <c r="Y257" t="s">
        <v>808</v>
      </c>
      <c r="Z257" t="s">
        <v>1061</v>
      </c>
      <c r="AB257" t="s">
        <v>824</v>
      </c>
      <c r="AD257" t="s">
        <v>794</v>
      </c>
      <c r="AE257" t="s">
        <v>804</v>
      </c>
      <c r="AF257" t="s">
        <v>796</v>
      </c>
      <c r="AG257" t="s">
        <v>797</v>
      </c>
      <c r="AH257">
        <v>2304839</v>
      </c>
      <c r="AI257">
        <v>2435292</v>
      </c>
      <c r="AJ257">
        <v>4.9211210364164024E-2</v>
      </c>
    </row>
    <row r="258" spans="1:36" x14ac:dyDescent="0.3">
      <c r="A258">
        <f>COUNTIF($D$2:D258,D258)</f>
        <v>32</v>
      </c>
      <c r="B258" t="str">
        <f t="shared" si="13"/>
        <v>32Brent</v>
      </c>
      <c r="C258" t="s">
        <v>1485</v>
      </c>
      <c r="D258" t="s">
        <v>91</v>
      </c>
      <c r="E258">
        <v>71</v>
      </c>
      <c r="F258" t="s">
        <v>969</v>
      </c>
      <c r="G258" t="s">
        <v>787</v>
      </c>
      <c r="H258" t="s">
        <v>788</v>
      </c>
      <c r="I258" t="s">
        <v>789</v>
      </c>
      <c r="J258">
        <f t="shared" ca="1" si="14"/>
        <v>550000</v>
      </c>
      <c r="K258">
        <f t="shared" ca="1" si="15"/>
        <v>893</v>
      </c>
      <c r="N258" t="str">
        <f t="shared" ref="N258:N321" si="16">O258&amp;Q258&amp;R258&amp;T258&amp;U258</f>
        <v>BradfordS3R02Re-ablement ServicesHome-based intermediate care servicesReablement at home (accepting step up and step down users)</v>
      </c>
      <c r="O258" t="s">
        <v>89</v>
      </c>
      <c r="P258" t="s">
        <v>922</v>
      </c>
      <c r="Q258" t="s">
        <v>1352</v>
      </c>
      <c r="R258" t="s">
        <v>1353</v>
      </c>
      <c r="S258" t="s">
        <v>1486</v>
      </c>
      <c r="T258" t="s">
        <v>787</v>
      </c>
      <c r="U258" t="s">
        <v>930</v>
      </c>
      <c r="W258">
        <v>558</v>
      </c>
      <c r="X258">
        <v>558</v>
      </c>
      <c r="Y258" t="s">
        <v>789</v>
      </c>
      <c r="Z258" t="s">
        <v>823</v>
      </c>
      <c r="AB258" t="s">
        <v>824</v>
      </c>
      <c r="AD258" t="s">
        <v>794</v>
      </c>
      <c r="AE258" t="s">
        <v>804</v>
      </c>
      <c r="AF258" t="s">
        <v>796</v>
      </c>
      <c r="AG258" t="s">
        <v>797</v>
      </c>
      <c r="AH258">
        <v>1534079</v>
      </c>
      <c r="AI258">
        <v>1620908</v>
      </c>
      <c r="AJ258">
        <v>3.2754524489151352E-2</v>
      </c>
    </row>
    <row r="259" spans="1:36" x14ac:dyDescent="0.3">
      <c r="A259">
        <f>COUNTIF($D$2:D259,D259)</f>
        <v>33</v>
      </c>
      <c r="B259" t="str">
        <f t="shared" ref="B259:B322" si="17">A259&amp;D259</f>
        <v>33Brent</v>
      </c>
      <c r="C259" t="s">
        <v>1487</v>
      </c>
      <c r="D259" t="s">
        <v>91</v>
      </c>
      <c r="E259">
        <v>72</v>
      </c>
      <c r="F259" t="s">
        <v>1394</v>
      </c>
      <c r="G259" t="s">
        <v>877</v>
      </c>
      <c r="H259" t="s">
        <v>968</v>
      </c>
      <c r="I259" t="s">
        <v>879</v>
      </c>
      <c r="J259">
        <f t="shared" ref="J259:J322" ca="1" si="18">SUMIF($N:$AI,C259,AH:AH)</f>
        <v>250000</v>
      </c>
      <c r="K259">
        <f t="shared" ref="K259:K322" ca="1" si="19">SUMIF($N:$AI,C259,W:W)</f>
        <v>152</v>
      </c>
      <c r="N259" t="str">
        <f t="shared" si="16"/>
        <v>BradfordS3R05Intermediate Care BedsBed based intermediate Care Services (Reablement, rehabilitation, wider short-term services supporting recovery)Bed-based intermediate care with rehabilitation (to support admission avoidance)</v>
      </c>
      <c r="O259" t="s">
        <v>89</v>
      </c>
      <c r="P259" t="s">
        <v>922</v>
      </c>
      <c r="Q259" t="s">
        <v>1356</v>
      </c>
      <c r="R259" t="s">
        <v>1183</v>
      </c>
      <c r="S259" t="s">
        <v>1488</v>
      </c>
      <c r="T259" t="s">
        <v>877</v>
      </c>
      <c r="U259" t="s">
        <v>1018</v>
      </c>
      <c r="W259">
        <v>3938</v>
      </c>
      <c r="X259">
        <v>3938</v>
      </c>
      <c r="Y259" t="s">
        <v>879</v>
      </c>
      <c r="Z259" t="s">
        <v>823</v>
      </c>
      <c r="AB259" t="s">
        <v>824</v>
      </c>
      <c r="AD259" t="s">
        <v>794</v>
      </c>
      <c r="AE259" t="s">
        <v>832</v>
      </c>
      <c r="AF259" t="s">
        <v>796</v>
      </c>
      <c r="AG259" t="s">
        <v>797</v>
      </c>
      <c r="AH259">
        <v>8172299</v>
      </c>
      <c r="AI259">
        <v>8634851</v>
      </c>
      <c r="AJ259">
        <v>0.17448303726260211</v>
      </c>
    </row>
    <row r="260" spans="1:36" x14ac:dyDescent="0.3">
      <c r="A260">
        <f>COUNTIF($D$2:D260,D260)</f>
        <v>34</v>
      </c>
      <c r="B260" t="str">
        <f t="shared" si="17"/>
        <v>34Brent</v>
      </c>
      <c r="C260" t="s">
        <v>1489</v>
      </c>
      <c r="D260" t="s">
        <v>91</v>
      </c>
      <c r="E260">
        <v>77</v>
      </c>
      <c r="F260" t="s">
        <v>1051</v>
      </c>
      <c r="G260" t="s">
        <v>800</v>
      </c>
      <c r="H260" t="s">
        <v>850</v>
      </c>
      <c r="I260" t="s">
        <v>802</v>
      </c>
      <c r="J260">
        <f t="shared" ca="1" si="18"/>
        <v>268068</v>
      </c>
      <c r="K260">
        <f t="shared" ca="1" si="19"/>
        <v>1000</v>
      </c>
      <c r="N260" t="str">
        <f t="shared" si="16"/>
        <v>Bradford9Equipment (part a)Assistive Technologies and EquipmentCommunity based equipment</v>
      </c>
      <c r="O260" t="s">
        <v>89</v>
      </c>
      <c r="P260" t="s">
        <v>922</v>
      </c>
      <c r="Q260">
        <v>9</v>
      </c>
      <c r="R260" t="s">
        <v>1359</v>
      </c>
      <c r="S260" t="s">
        <v>1490</v>
      </c>
      <c r="T260" t="s">
        <v>800</v>
      </c>
      <c r="U260" t="s">
        <v>903</v>
      </c>
      <c r="W260">
        <v>16683</v>
      </c>
      <c r="X260">
        <v>16961</v>
      </c>
      <c r="Y260" t="s">
        <v>802</v>
      </c>
      <c r="Z260" t="s">
        <v>792</v>
      </c>
      <c r="AB260" t="s">
        <v>793</v>
      </c>
      <c r="AD260" t="s">
        <v>794</v>
      </c>
      <c r="AE260" t="s">
        <v>795</v>
      </c>
      <c r="AF260" t="s">
        <v>845</v>
      </c>
      <c r="AG260" t="s">
        <v>797</v>
      </c>
      <c r="AH260">
        <v>1500000</v>
      </c>
      <c r="AI260">
        <v>1500000</v>
      </c>
      <c r="AJ260">
        <v>0.28000000000000003</v>
      </c>
    </row>
    <row r="261" spans="1:36" x14ac:dyDescent="0.3">
      <c r="A261">
        <f>COUNTIF($D$2:D261,D261)</f>
        <v>1</v>
      </c>
      <c r="B261" t="str">
        <f t="shared" si="17"/>
        <v>1Brighton and Hove</v>
      </c>
      <c r="C261" t="s">
        <v>1491</v>
      </c>
      <c r="D261" t="s">
        <v>93</v>
      </c>
      <c r="E261">
        <v>5</v>
      </c>
      <c r="F261" t="s">
        <v>1492</v>
      </c>
      <c r="G261" t="s">
        <v>877</v>
      </c>
      <c r="H261" t="s">
        <v>968</v>
      </c>
      <c r="I261" t="s">
        <v>879</v>
      </c>
      <c r="J261">
        <f t="shared" ca="1" si="18"/>
        <v>473830</v>
      </c>
      <c r="K261">
        <f t="shared" ca="1" si="19"/>
        <v>18</v>
      </c>
      <c r="N261" t="str">
        <f t="shared" si="16"/>
        <v>Bradford10Equipment (part b)Assistive Technologies and EquipmentCommunity based equipment</v>
      </c>
      <c r="O261" t="s">
        <v>89</v>
      </c>
      <c r="P261" t="s">
        <v>922</v>
      </c>
      <c r="Q261">
        <v>10</v>
      </c>
      <c r="R261" t="s">
        <v>1362</v>
      </c>
      <c r="S261" t="s">
        <v>1490</v>
      </c>
      <c r="T261" t="s">
        <v>800</v>
      </c>
      <c r="U261" t="s">
        <v>903</v>
      </c>
      <c r="W261">
        <v>16683</v>
      </c>
      <c r="X261">
        <v>16961</v>
      </c>
      <c r="Y261" t="s">
        <v>802</v>
      </c>
      <c r="Z261" t="s">
        <v>792</v>
      </c>
      <c r="AB261" t="s">
        <v>793</v>
      </c>
      <c r="AD261" t="s">
        <v>794</v>
      </c>
      <c r="AE261" t="s">
        <v>795</v>
      </c>
      <c r="AF261" t="s">
        <v>796</v>
      </c>
      <c r="AG261" t="s">
        <v>797</v>
      </c>
      <c r="AH261">
        <v>1287500</v>
      </c>
      <c r="AI261">
        <v>1360400</v>
      </c>
      <c r="AJ261">
        <v>0.24</v>
      </c>
    </row>
    <row r="262" spans="1:36" x14ac:dyDescent="0.3">
      <c r="A262">
        <f>COUNTIF($D$2:D262,D262)</f>
        <v>2</v>
      </c>
      <c r="B262" t="str">
        <f t="shared" si="17"/>
        <v>2Brighton and Hove</v>
      </c>
      <c r="C262" t="s">
        <v>1493</v>
      </c>
      <c r="D262" t="s">
        <v>93</v>
      </c>
      <c r="E262">
        <v>6</v>
      </c>
      <c r="F262" t="s">
        <v>677</v>
      </c>
      <c r="G262" t="s">
        <v>877</v>
      </c>
      <c r="H262" t="s">
        <v>812</v>
      </c>
      <c r="I262" t="s">
        <v>879</v>
      </c>
      <c r="J262">
        <f t="shared" ca="1" si="18"/>
        <v>3051373</v>
      </c>
      <c r="K262">
        <f t="shared" ca="1" si="19"/>
        <v>56</v>
      </c>
      <c r="N262" t="str">
        <f t="shared" si="16"/>
        <v>Bradford13CarersCarers ServicesCarer advice and support related to Care Act duties</v>
      </c>
      <c r="O262" t="s">
        <v>89</v>
      </c>
      <c r="P262" t="s">
        <v>922</v>
      </c>
      <c r="Q262">
        <v>13</v>
      </c>
      <c r="R262" t="s">
        <v>1250</v>
      </c>
      <c r="S262" t="s">
        <v>1494</v>
      </c>
      <c r="T262" t="s">
        <v>811</v>
      </c>
      <c r="U262" t="s">
        <v>895</v>
      </c>
      <c r="W262">
        <v>6948</v>
      </c>
      <c r="X262">
        <v>6951</v>
      </c>
      <c r="Y262" t="s">
        <v>813</v>
      </c>
      <c r="Z262" t="s">
        <v>792</v>
      </c>
      <c r="AB262" t="s">
        <v>793</v>
      </c>
      <c r="AD262" t="s">
        <v>794</v>
      </c>
      <c r="AE262" t="s">
        <v>795</v>
      </c>
      <c r="AF262" t="s">
        <v>796</v>
      </c>
      <c r="AG262" t="s">
        <v>797</v>
      </c>
      <c r="AH262">
        <v>959500</v>
      </c>
      <c r="AI262">
        <v>1013800</v>
      </c>
      <c r="AJ262">
        <v>0.6</v>
      </c>
    </row>
    <row r="263" spans="1:36" x14ac:dyDescent="0.3">
      <c r="A263">
        <f>COUNTIF($D$2:D263,D263)</f>
        <v>3</v>
      </c>
      <c r="B263" t="str">
        <f t="shared" si="17"/>
        <v>3Brighton and Hove</v>
      </c>
      <c r="C263" t="s">
        <v>1495</v>
      </c>
      <c r="D263" t="s">
        <v>93</v>
      </c>
      <c r="E263">
        <v>7</v>
      </c>
      <c r="F263" t="s">
        <v>1496</v>
      </c>
      <c r="G263" t="s">
        <v>842</v>
      </c>
      <c r="H263" t="s">
        <v>843</v>
      </c>
      <c r="I263" t="s">
        <v>844</v>
      </c>
      <c r="J263">
        <f t="shared" ca="1" si="18"/>
        <v>994928.04799999995</v>
      </c>
      <c r="K263">
        <f t="shared" ca="1" si="19"/>
        <v>686</v>
      </c>
      <c r="N263" t="str">
        <f t="shared" si="16"/>
        <v>Bradford13CarersCarers ServicesRespite services</v>
      </c>
      <c r="O263" t="s">
        <v>89</v>
      </c>
      <c r="P263" t="s">
        <v>922</v>
      </c>
      <c r="Q263">
        <v>13</v>
      </c>
      <c r="R263" t="s">
        <v>1250</v>
      </c>
      <c r="S263" t="s">
        <v>1497</v>
      </c>
      <c r="T263" t="s">
        <v>811</v>
      </c>
      <c r="U263" t="s">
        <v>830</v>
      </c>
      <c r="W263">
        <v>115</v>
      </c>
      <c r="X263">
        <v>117</v>
      </c>
      <c r="Y263" t="s">
        <v>813</v>
      </c>
      <c r="Z263" t="s">
        <v>792</v>
      </c>
      <c r="AB263" t="s">
        <v>793</v>
      </c>
      <c r="AD263" t="s">
        <v>794</v>
      </c>
      <c r="AE263" t="s">
        <v>795</v>
      </c>
      <c r="AF263" t="s">
        <v>796</v>
      </c>
      <c r="AG263" t="s">
        <v>797</v>
      </c>
      <c r="AH263">
        <v>270500</v>
      </c>
      <c r="AI263">
        <v>285800</v>
      </c>
      <c r="AJ263">
        <v>0.28000000000000003</v>
      </c>
    </row>
    <row r="264" spans="1:36" x14ac:dyDescent="0.3">
      <c r="A264">
        <f>COUNTIF($D$2:D264,D264)</f>
        <v>4</v>
      </c>
      <c r="B264" t="str">
        <f t="shared" si="17"/>
        <v>4Brighton and Hove</v>
      </c>
      <c r="C264" t="s">
        <v>1498</v>
      </c>
      <c r="D264" t="s">
        <v>93</v>
      </c>
      <c r="E264">
        <v>8</v>
      </c>
      <c r="F264" t="s">
        <v>1499</v>
      </c>
      <c r="G264" t="s">
        <v>842</v>
      </c>
      <c r="H264" t="s">
        <v>843</v>
      </c>
      <c r="I264" t="s">
        <v>844</v>
      </c>
      <c r="J264">
        <f t="shared" ca="1" si="18"/>
        <v>157076.99280000001</v>
      </c>
      <c r="K264">
        <f t="shared" ca="1" si="19"/>
        <v>70</v>
      </c>
      <c r="N264" t="str">
        <f t="shared" si="16"/>
        <v>Bradford14Maintaining Social Services (part b)Residential PlacementsCare home</v>
      </c>
      <c r="O264" t="s">
        <v>89</v>
      </c>
      <c r="P264" t="s">
        <v>922</v>
      </c>
      <c r="Q264">
        <v>14</v>
      </c>
      <c r="R264" t="s">
        <v>1366</v>
      </c>
      <c r="S264" t="s">
        <v>1500</v>
      </c>
      <c r="T264" t="s">
        <v>806</v>
      </c>
      <c r="U264" t="s">
        <v>807</v>
      </c>
      <c r="W264">
        <v>1688</v>
      </c>
      <c r="X264">
        <v>1688</v>
      </c>
      <c r="Y264" t="s">
        <v>808</v>
      </c>
      <c r="Z264" t="s">
        <v>792</v>
      </c>
      <c r="AB264" t="s">
        <v>793</v>
      </c>
      <c r="AD264" t="s">
        <v>794</v>
      </c>
      <c r="AE264" t="s">
        <v>795</v>
      </c>
      <c r="AF264" t="s">
        <v>796</v>
      </c>
      <c r="AG264" t="s">
        <v>797</v>
      </c>
      <c r="AH264">
        <v>7902800</v>
      </c>
      <c r="AI264">
        <v>8350100</v>
      </c>
      <c r="AJ264">
        <v>0.17</v>
      </c>
    </row>
    <row r="265" spans="1:36" x14ac:dyDescent="0.3">
      <c r="A265">
        <f>COUNTIF($D$2:D265,D265)</f>
        <v>5</v>
      </c>
      <c r="B265" t="str">
        <f t="shared" si="17"/>
        <v>5Brighton and Hove</v>
      </c>
      <c r="C265" t="s">
        <v>1501</v>
      </c>
      <c r="D265" t="s">
        <v>93</v>
      </c>
      <c r="E265">
        <v>10</v>
      </c>
      <c r="F265" t="s">
        <v>1502</v>
      </c>
      <c r="G265" t="s">
        <v>877</v>
      </c>
      <c r="H265" t="s">
        <v>968</v>
      </c>
      <c r="I265" t="s">
        <v>879</v>
      </c>
      <c r="J265">
        <f t="shared" ca="1" si="18"/>
        <v>198510</v>
      </c>
      <c r="K265">
        <f t="shared" ca="1" si="19"/>
        <v>25</v>
      </c>
      <c r="N265" t="str">
        <f t="shared" si="16"/>
        <v>Bradford15Maintaining Social Services (part a)Residential PlacementsNursing home</v>
      </c>
      <c r="O265" t="s">
        <v>89</v>
      </c>
      <c r="P265" t="s">
        <v>922</v>
      </c>
      <c r="Q265">
        <v>15</v>
      </c>
      <c r="R265" t="s">
        <v>1368</v>
      </c>
      <c r="S265" t="s">
        <v>1500</v>
      </c>
      <c r="T265" t="s">
        <v>806</v>
      </c>
      <c r="U265" t="s">
        <v>917</v>
      </c>
      <c r="W265">
        <v>540</v>
      </c>
      <c r="X265">
        <v>540</v>
      </c>
      <c r="Y265" t="s">
        <v>808</v>
      </c>
      <c r="Z265" t="s">
        <v>792</v>
      </c>
      <c r="AB265" t="s">
        <v>793</v>
      </c>
      <c r="AD265" t="s">
        <v>794</v>
      </c>
      <c r="AE265" t="s">
        <v>795</v>
      </c>
      <c r="AF265" t="s">
        <v>845</v>
      </c>
      <c r="AG265" t="s">
        <v>797</v>
      </c>
      <c r="AH265">
        <v>3315000</v>
      </c>
      <c r="AI265">
        <v>3315000</v>
      </c>
      <c r="AJ265">
        <v>0.2</v>
      </c>
    </row>
    <row r="266" spans="1:36" x14ac:dyDescent="0.3">
      <c r="A266">
        <f>COUNTIF($D$2:D266,D266)</f>
        <v>6</v>
      </c>
      <c r="B266" t="str">
        <f t="shared" si="17"/>
        <v>6Brighton and Hove</v>
      </c>
      <c r="C266" t="s">
        <v>1503</v>
      </c>
      <c r="D266" t="s">
        <v>93</v>
      </c>
      <c r="E266">
        <v>14</v>
      </c>
      <c r="F266" t="s">
        <v>1504</v>
      </c>
      <c r="G266" t="s">
        <v>834</v>
      </c>
      <c r="H266" t="s">
        <v>1293</v>
      </c>
      <c r="I266" t="s">
        <v>836</v>
      </c>
      <c r="J266">
        <f t="shared" ca="1" si="18"/>
        <v>50000</v>
      </c>
      <c r="K266">
        <f t="shared" ca="1" si="19"/>
        <v>200</v>
      </c>
      <c r="N266" t="str">
        <f t="shared" si="16"/>
        <v>Bradford16Enablement (part a)Bed based intermediate Care Services (Reablement, rehabilitation, wider short-term services supporting recovery)Bed-based intermediate care with rehabilitation (to support discharge)</v>
      </c>
      <c r="O266" t="s">
        <v>89</v>
      </c>
      <c r="P266" t="s">
        <v>922</v>
      </c>
      <c r="Q266">
        <v>16</v>
      </c>
      <c r="R266" t="s">
        <v>1370</v>
      </c>
      <c r="S266" t="s">
        <v>1505</v>
      </c>
      <c r="T266" t="s">
        <v>877</v>
      </c>
      <c r="U266" t="s">
        <v>968</v>
      </c>
      <c r="W266">
        <v>1074</v>
      </c>
      <c r="X266">
        <v>1091</v>
      </c>
      <c r="Y266" t="s">
        <v>879</v>
      </c>
      <c r="Z266" t="s">
        <v>792</v>
      </c>
      <c r="AB266" t="s">
        <v>793</v>
      </c>
      <c r="AD266" t="s">
        <v>794</v>
      </c>
      <c r="AE266" t="s">
        <v>795</v>
      </c>
      <c r="AF266" t="s">
        <v>845</v>
      </c>
      <c r="AG266" t="s">
        <v>797</v>
      </c>
      <c r="AH266">
        <v>2710000</v>
      </c>
      <c r="AI266">
        <v>2710000</v>
      </c>
      <c r="AJ266">
        <v>0.28999999999999998</v>
      </c>
    </row>
    <row r="267" spans="1:36" x14ac:dyDescent="0.3">
      <c r="A267">
        <f>COUNTIF($D$2:D267,D267)</f>
        <v>7</v>
      </c>
      <c r="B267" t="str">
        <f t="shared" si="17"/>
        <v>7Brighton and Hove</v>
      </c>
      <c r="C267" t="s">
        <v>1506</v>
      </c>
      <c r="D267" t="s">
        <v>93</v>
      </c>
      <c r="E267">
        <v>15</v>
      </c>
      <c r="F267" t="s">
        <v>1507</v>
      </c>
      <c r="G267" t="s">
        <v>834</v>
      </c>
      <c r="H267" t="s">
        <v>835</v>
      </c>
      <c r="I267" t="s">
        <v>836</v>
      </c>
      <c r="J267">
        <f t="shared" ca="1" si="18"/>
        <v>2113000</v>
      </c>
      <c r="K267">
        <f t="shared" ca="1" si="19"/>
        <v>265</v>
      </c>
      <c r="N267" t="str">
        <f t="shared" si="16"/>
        <v>Bradford16Enablement (part a)Bed based intermediate Care Services (Reablement, rehabilitation, wider short-term services supporting recovery)Bed-based intermediate care with rehabilitation (to support discharge)</v>
      </c>
      <c r="O267" t="s">
        <v>89</v>
      </c>
      <c r="P267" t="s">
        <v>922</v>
      </c>
      <c r="Q267">
        <v>16</v>
      </c>
      <c r="R267" t="s">
        <v>1370</v>
      </c>
      <c r="S267" t="s">
        <v>1505</v>
      </c>
      <c r="T267" t="s">
        <v>877</v>
      </c>
      <c r="U267" t="s">
        <v>968</v>
      </c>
      <c r="W267">
        <v>1074</v>
      </c>
      <c r="X267">
        <v>1091</v>
      </c>
      <c r="Y267" t="s">
        <v>879</v>
      </c>
      <c r="Z267" t="s">
        <v>792</v>
      </c>
      <c r="AB267" t="s">
        <v>793</v>
      </c>
      <c r="AD267" t="s">
        <v>794</v>
      </c>
      <c r="AE267" t="s">
        <v>795</v>
      </c>
      <c r="AF267" t="s">
        <v>796</v>
      </c>
      <c r="AG267" t="s">
        <v>797</v>
      </c>
      <c r="AH267">
        <v>1703200</v>
      </c>
      <c r="AI267">
        <v>1799600</v>
      </c>
      <c r="AJ267">
        <v>0.18</v>
      </c>
    </row>
    <row r="268" spans="1:36" x14ac:dyDescent="0.3">
      <c r="A268">
        <f>COUNTIF($D$2:D268,D268)</f>
        <v>8</v>
      </c>
      <c r="B268" t="str">
        <f t="shared" si="17"/>
        <v>8Brighton and Hove</v>
      </c>
      <c r="C268" t="s">
        <v>1508</v>
      </c>
      <c r="D268" t="s">
        <v>93</v>
      </c>
      <c r="E268">
        <v>16</v>
      </c>
      <c r="F268" t="s">
        <v>1509</v>
      </c>
      <c r="G268" t="s">
        <v>800</v>
      </c>
      <c r="H268" t="s">
        <v>850</v>
      </c>
      <c r="I268" t="s">
        <v>802</v>
      </c>
      <c r="J268">
        <f t="shared" ca="1" si="18"/>
        <v>149933</v>
      </c>
      <c r="K268">
        <f t="shared" ca="1" si="19"/>
        <v>5071</v>
      </c>
      <c r="N268" t="str">
        <f t="shared" si="16"/>
        <v xml:space="preserve">Bradford17Enablement (part b)Home-based intermediate care servicesReablement at home (to support discharge) </v>
      </c>
      <c r="O268" t="s">
        <v>89</v>
      </c>
      <c r="P268" t="s">
        <v>922</v>
      </c>
      <c r="Q268">
        <v>17</v>
      </c>
      <c r="R268" t="s">
        <v>1372</v>
      </c>
      <c r="S268" t="s">
        <v>1486</v>
      </c>
      <c r="T268" t="s">
        <v>787</v>
      </c>
      <c r="U268" t="s">
        <v>788</v>
      </c>
      <c r="W268">
        <v>3505</v>
      </c>
      <c r="X268">
        <v>3571</v>
      </c>
      <c r="Y268" t="s">
        <v>789</v>
      </c>
      <c r="Z268" t="s">
        <v>792</v>
      </c>
      <c r="AB268" t="s">
        <v>793</v>
      </c>
      <c r="AD268" t="s">
        <v>794</v>
      </c>
      <c r="AE268" t="s">
        <v>795</v>
      </c>
      <c r="AF268" t="s">
        <v>845</v>
      </c>
      <c r="AG268" t="s">
        <v>797</v>
      </c>
      <c r="AH268">
        <v>320000</v>
      </c>
      <c r="AI268">
        <v>320000</v>
      </c>
      <c r="AJ268">
        <v>0.04</v>
      </c>
    </row>
    <row r="269" spans="1:36" x14ac:dyDescent="0.3">
      <c r="A269">
        <f>COUNTIF($D$2:D269,D269)</f>
        <v>9</v>
      </c>
      <c r="B269" t="str">
        <f t="shared" si="17"/>
        <v>9Brighton and Hove</v>
      </c>
      <c r="C269" t="s">
        <v>1510</v>
      </c>
      <c r="D269" t="s">
        <v>93</v>
      </c>
      <c r="E269">
        <v>18</v>
      </c>
      <c r="F269" t="s">
        <v>1511</v>
      </c>
      <c r="G269" t="s">
        <v>800</v>
      </c>
      <c r="H269" t="s">
        <v>850</v>
      </c>
      <c r="I269" t="s">
        <v>802</v>
      </c>
      <c r="J269">
        <f t="shared" ca="1" si="18"/>
        <v>219320</v>
      </c>
      <c r="K269">
        <f t="shared" ca="1" si="19"/>
        <v>5071</v>
      </c>
      <c r="N269" t="str">
        <f t="shared" si="16"/>
        <v xml:space="preserve">Bradford17Enablement (part b)Home-based intermediate care servicesReablement at home (to support discharge) </v>
      </c>
      <c r="O269" t="s">
        <v>89</v>
      </c>
      <c r="P269" t="s">
        <v>922</v>
      </c>
      <c r="Q269">
        <v>17</v>
      </c>
      <c r="R269" t="s">
        <v>1372</v>
      </c>
      <c r="S269" t="s">
        <v>1486</v>
      </c>
      <c r="T269" t="s">
        <v>787</v>
      </c>
      <c r="U269" t="s">
        <v>788</v>
      </c>
      <c r="W269">
        <v>3505</v>
      </c>
      <c r="X269">
        <v>3571</v>
      </c>
      <c r="Y269" t="s">
        <v>789</v>
      </c>
      <c r="Z269" t="s">
        <v>792</v>
      </c>
      <c r="AB269" t="s">
        <v>793</v>
      </c>
      <c r="AD269" t="s">
        <v>794</v>
      </c>
      <c r="AE269" t="s">
        <v>795</v>
      </c>
      <c r="AF269" t="s">
        <v>796</v>
      </c>
      <c r="AG269" t="s">
        <v>797</v>
      </c>
      <c r="AH269">
        <v>5314100</v>
      </c>
      <c r="AI269">
        <v>5614900</v>
      </c>
      <c r="AJ269">
        <v>0.57999999999999996</v>
      </c>
    </row>
    <row r="270" spans="1:36" x14ac:dyDescent="0.3">
      <c r="A270">
        <f>COUNTIF($D$2:D270,D270)</f>
        <v>10</v>
      </c>
      <c r="B270" t="str">
        <f t="shared" si="17"/>
        <v>10Brighton and Hove</v>
      </c>
      <c r="C270" t="s">
        <v>1512</v>
      </c>
      <c r="D270" t="s">
        <v>93</v>
      </c>
      <c r="E270">
        <v>21</v>
      </c>
      <c r="F270" t="s">
        <v>1513</v>
      </c>
      <c r="G270" t="s">
        <v>800</v>
      </c>
      <c r="H270" t="s">
        <v>903</v>
      </c>
      <c r="I270" t="s">
        <v>802</v>
      </c>
      <c r="J270">
        <f t="shared" ca="1" si="18"/>
        <v>2613999.7650487293</v>
      </c>
      <c r="K270">
        <f t="shared" ca="1" si="19"/>
        <v>10883</v>
      </c>
      <c r="N270" t="str">
        <f t="shared" si="16"/>
        <v>Bradford18Disabled Facilities GrantDFG Related SchemesAdaptations, including statutory DFG grants</v>
      </c>
      <c r="O270" t="s">
        <v>89</v>
      </c>
      <c r="P270" t="s">
        <v>922</v>
      </c>
      <c r="Q270">
        <v>18</v>
      </c>
      <c r="R270" t="s">
        <v>891</v>
      </c>
      <c r="S270" t="s">
        <v>1514</v>
      </c>
      <c r="T270" t="s">
        <v>834</v>
      </c>
      <c r="U270" t="s">
        <v>835</v>
      </c>
      <c r="W270">
        <v>380</v>
      </c>
      <c r="X270">
        <v>380</v>
      </c>
      <c r="Y270" t="s">
        <v>836</v>
      </c>
      <c r="Z270" t="s">
        <v>792</v>
      </c>
      <c r="AB270" t="s">
        <v>793</v>
      </c>
      <c r="AD270" t="s">
        <v>794</v>
      </c>
      <c r="AE270" t="s">
        <v>795</v>
      </c>
      <c r="AF270" t="s">
        <v>840</v>
      </c>
      <c r="AG270" t="s">
        <v>797</v>
      </c>
      <c r="AH270">
        <v>5137133</v>
      </c>
      <c r="AI270">
        <v>5137133</v>
      </c>
      <c r="AJ270">
        <v>1</v>
      </c>
    </row>
    <row r="271" spans="1:36" x14ac:dyDescent="0.3">
      <c r="A271">
        <f>COUNTIF($D$2:D271,D271)</f>
        <v>11</v>
      </c>
      <c r="B271" t="str">
        <f t="shared" si="17"/>
        <v>11Brighton and Hove</v>
      </c>
      <c r="C271" t="s">
        <v>1515</v>
      </c>
      <c r="D271" t="s">
        <v>93</v>
      </c>
      <c r="E271">
        <v>22</v>
      </c>
      <c r="F271" t="s">
        <v>1513</v>
      </c>
      <c r="G271" t="s">
        <v>800</v>
      </c>
      <c r="H271" t="s">
        <v>903</v>
      </c>
      <c r="I271" t="s">
        <v>802</v>
      </c>
      <c r="J271">
        <f t="shared" ca="1" si="18"/>
        <v>217780</v>
      </c>
      <c r="K271">
        <f t="shared" ca="1" si="19"/>
        <v>10883</v>
      </c>
      <c r="N271" t="str">
        <f t="shared" si="16"/>
        <v>Bradford15Maintaining Social Services (part a)Residential PlacementsLearning disability</v>
      </c>
      <c r="O271" t="s">
        <v>89</v>
      </c>
      <c r="P271" t="s">
        <v>922</v>
      </c>
      <c r="Q271">
        <v>15</v>
      </c>
      <c r="R271" t="s">
        <v>1368</v>
      </c>
      <c r="S271" t="s">
        <v>1500</v>
      </c>
      <c r="T271" t="s">
        <v>806</v>
      </c>
      <c r="U271" t="s">
        <v>854</v>
      </c>
      <c r="W271">
        <v>492</v>
      </c>
      <c r="X271">
        <v>516</v>
      </c>
      <c r="Y271" t="s">
        <v>808</v>
      </c>
      <c r="Z271" t="s">
        <v>792</v>
      </c>
      <c r="AB271" t="s">
        <v>793</v>
      </c>
      <c r="AD271" t="s">
        <v>794</v>
      </c>
      <c r="AE271" t="s">
        <v>795</v>
      </c>
      <c r="AF271" t="s">
        <v>845</v>
      </c>
      <c r="AG271" t="s">
        <v>797</v>
      </c>
      <c r="AH271">
        <v>6465096</v>
      </c>
      <c r="AI271">
        <v>6465096</v>
      </c>
      <c r="AJ271">
        <v>0.25</v>
      </c>
    </row>
    <row r="272" spans="1:36" x14ac:dyDescent="0.3">
      <c r="A272">
        <f>COUNTIF($D$2:D272,D272)</f>
        <v>12</v>
      </c>
      <c r="B272" t="str">
        <f t="shared" si="17"/>
        <v>12Brighton and Hove</v>
      </c>
      <c r="C272" t="s">
        <v>1516</v>
      </c>
      <c r="D272" t="s">
        <v>93</v>
      </c>
      <c r="E272">
        <v>24</v>
      </c>
      <c r="F272" t="s">
        <v>1517</v>
      </c>
      <c r="G272" t="s">
        <v>811</v>
      </c>
      <c r="H272" t="s">
        <v>812</v>
      </c>
      <c r="I272" t="s">
        <v>813</v>
      </c>
      <c r="J272">
        <f t="shared" ca="1" si="18"/>
        <v>10180</v>
      </c>
      <c r="K272">
        <f t="shared" ca="1" si="19"/>
        <v>1400</v>
      </c>
      <c r="N272" t="str">
        <f t="shared" si="16"/>
        <v>Bradford15Maintaining Social Services (part a)Home Care or Domiciliary CareDomiciliary care packages</v>
      </c>
      <c r="O272" t="s">
        <v>89</v>
      </c>
      <c r="P272" t="s">
        <v>922</v>
      </c>
      <c r="Q272">
        <v>15</v>
      </c>
      <c r="R272" t="s">
        <v>1368</v>
      </c>
      <c r="S272" t="s">
        <v>1500</v>
      </c>
      <c r="T272" t="s">
        <v>842</v>
      </c>
      <c r="U272" t="s">
        <v>843</v>
      </c>
      <c r="W272">
        <v>1895950</v>
      </c>
      <c r="X272">
        <v>2000227</v>
      </c>
      <c r="Y272" t="s">
        <v>844</v>
      </c>
      <c r="Z272" t="s">
        <v>792</v>
      </c>
      <c r="AB272" t="s">
        <v>793</v>
      </c>
      <c r="AD272" t="s">
        <v>794</v>
      </c>
      <c r="AE272" t="s">
        <v>795</v>
      </c>
      <c r="AF272" t="s">
        <v>845</v>
      </c>
      <c r="AG272" t="s">
        <v>797</v>
      </c>
      <c r="AH272">
        <v>6365500</v>
      </c>
      <c r="AI272">
        <v>6365500</v>
      </c>
      <c r="AJ272">
        <v>0.18</v>
      </c>
    </row>
    <row r="273" spans="1:36" x14ac:dyDescent="0.3">
      <c r="A273">
        <f>COUNTIF($D$2:D273,D273)</f>
        <v>13</v>
      </c>
      <c r="B273" t="str">
        <f t="shared" si="17"/>
        <v>13Brighton and Hove</v>
      </c>
      <c r="C273" t="s">
        <v>1518</v>
      </c>
      <c r="D273" t="s">
        <v>93</v>
      </c>
      <c r="E273">
        <v>25</v>
      </c>
      <c r="F273" t="s">
        <v>1519</v>
      </c>
      <c r="G273" t="s">
        <v>811</v>
      </c>
      <c r="H273" t="s">
        <v>895</v>
      </c>
      <c r="I273" t="s">
        <v>813</v>
      </c>
      <c r="J273">
        <f t="shared" ca="1" si="18"/>
        <v>47846</v>
      </c>
      <c r="K273">
        <f t="shared" ca="1" si="19"/>
        <v>4940</v>
      </c>
      <c r="N273" t="str">
        <f t="shared" si="16"/>
        <v>Bradford19Maintaining Social Services (part b)Residential PlacementsNursing home</v>
      </c>
      <c r="O273" t="s">
        <v>89</v>
      </c>
      <c r="P273" t="s">
        <v>922</v>
      </c>
      <c r="Q273">
        <v>19</v>
      </c>
      <c r="R273" t="s">
        <v>1366</v>
      </c>
      <c r="S273" t="s">
        <v>1500</v>
      </c>
      <c r="T273" t="s">
        <v>806</v>
      </c>
      <c r="U273" t="s">
        <v>917</v>
      </c>
      <c r="W273">
        <v>540</v>
      </c>
      <c r="X273">
        <v>540</v>
      </c>
      <c r="Y273" t="s">
        <v>808</v>
      </c>
      <c r="Z273" t="s">
        <v>792</v>
      </c>
      <c r="AB273" t="s">
        <v>793</v>
      </c>
      <c r="AD273" t="s">
        <v>794</v>
      </c>
      <c r="AE273" t="s">
        <v>795</v>
      </c>
      <c r="AF273" t="s">
        <v>796</v>
      </c>
      <c r="AG273" t="s">
        <v>797</v>
      </c>
      <c r="AH273">
        <v>2259200</v>
      </c>
      <c r="AI273">
        <v>2387100</v>
      </c>
      <c r="AJ273">
        <v>0.2</v>
      </c>
    </row>
    <row r="274" spans="1:36" x14ac:dyDescent="0.3">
      <c r="A274">
        <f>COUNTIF($D$2:D274,D274)</f>
        <v>14</v>
      </c>
      <c r="B274" t="str">
        <f t="shared" si="17"/>
        <v>14Brighton and Hove</v>
      </c>
      <c r="C274" t="s">
        <v>1520</v>
      </c>
      <c r="D274" t="s">
        <v>93</v>
      </c>
      <c r="E274">
        <v>26</v>
      </c>
      <c r="F274" t="s">
        <v>1521</v>
      </c>
      <c r="G274" t="s">
        <v>811</v>
      </c>
      <c r="H274" t="s">
        <v>895</v>
      </c>
      <c r="I274" t="s">
        <v>813</v>
      </c>
      <c r="J274">
        <f t="shared" ca="1" si="18"/>
        <v>59220.000000000007</v>
      </c>
      <c r="K274">
        <f t="shared" ca="1" si="19"/>
        <v>5200</v>
      </c>
      <c r="N274" t="str">
        <f t="shared" si="16"/>
        <v>Bradford19Maintaining Social Services (part b)Home Care or Domiciliary CareDomiciliary care packages</v>
      </c>
      <c r="O274" t="s">
        <v>89</v>
      </c>
      <c r="P274" t="s">
        <v>922</v>
      </c>
      <c r="Q274">
        <v>19</v>
      </c>
      <c r="R274" t="s">
        <v>1366</v>
      </c>
      <c r="S274" t="s">
        <v>1500</v>
      </c>
      <c r="T274" t="s">
        <v>842</v>
      </c>
      <c r="U274" t="s">
        <v>843</v>
      </c>
      <c r="W274">
        <v>1895950</v>
      </c>
      <c r="X274">
        <v>2000227</v>
      </c>
      <c r="Y274" t="s">
        <v>844</v>
      </c>
      <c r="Z274" t="s">
        <v>792</v>
      </c>
      <c r="AB274" t="s">
        <v>793</v>
      </c>
      <c r="AD274" t="s">
        <v>794</v>
      </c>
      <c r="AE274" t="s">
        <v>795</v>
      </c>
      <c r="AF274" t="s">
        <v>796</v>
      </c>
      <c r="AG274" t="s">
        <v>797</v>
      </c>
      <c r="AH274">
        <v>2939910</v>
      </c>
      <c r="AI274">
        <v>3106282</v>
      </c>
      <c r="AJ274">
        <v>0.09</v>
      </c>
    </row>
    <row r="275" spans="1:36" x14ac:dyDescent="0.3">
      <c r="A275">
        <f>COUNTIF($D$2:D275,D275)</f>
        <v>15</v>
      </c>
      <c r="B275" t="str">
        <f t="shared" si="17"/>
        <v>15Brighton and Hove</v>
      </c>
      <c r="C275" t="s">
        <v>1522</v>
      </c>
      <c r="D275" t="s">
        <v>93</v>
      </c>
      <c r="E275">
        <v>27</v>
      </c>
      <c r="F275" t="s">
        <v>1523</v>
      </c>
      <c r="G275" t="s">
        <v>811</v>
      </c>
      <c r="H275" t="s">
        <v>895</v>
      </c>
      <c r="I275" t="s">
        <v>813</v>
      </c>
      <c r="J275">
        <f t="shared" ca="1" si="18"/>
        <v>204349.9975</v>
      </c>
      <c r="K275">
        <f t="shared" ca="1" si="19"/>
        <v>16900</v>
      </c>
      <c r="N275" t="str">
        <f t="shared" si="16"/>
        <v>Bradford20Home SupportHome Care or Domiciliary CareDomiciliary care packages</v>
      </c>
      <c r="O275" t="s">
        <v>89</v>
      </c>
      <c r="P275" t="s">
        <v>922</v>
      </c>
      <c r="Q275">
        <v>20</v>
      </c>
      <c r="R275" t="s">
        <v>1382</v>
      </c>
      <c r="S275" t="s">
        <v>1524</v>
      </c>
      <c r="T275" t="s">
        <v>842</v>
      </c>
      <c r="U275" t="s">
        <v>843</v>
      </c>
      <c r="W275">
        <v>1895950</v>
      </c>
      <c r="X275">
        <v>2000227</v>
      </c>
      <c r="Y275" t="s">
        <v>844</v>
      </c>
      <c r="Z275" t="s">
        <v>792</v>
      </c>
      <c r="AB275" t="s">
        <v>793</v>
      </c>
      <c r="AD275" t="s">
        <v>794</v>
      </c>
      <c r="AE275" t="s">
        <v>795</v>
      </c>
      <c r="AF275" t="s">
        <v>864</v>
      </c>
      <c r="AG275" t="s">
        <v>797</v>
      </c>
      <c r="AH275">
        <v>3279003</v>
      </c>
      <c r="AI275">
        <v>5443145</v>
      </c>
      <c r="AJ275">
        <v>0.1</v>
      </c>
    </row>
    <row r="276" spans="1:36" x14ac:dyDescent="0.3">
      <c r="A276">
        <f>COUNTIF($D$2:D276,D276)</f>
        <v>16</v>
      </c>
      <c r="B276" t="str">
        <f t="shared" si="17"/>
        <v>16Brighton and Hove</v>
      </c>
      <c r="C276" t="s">
        <v>1525</v>
      </c>
      <c r="D276" t="s">
        <v>93</v>
      </c>
      <c r="E276">
        <v>28</v>
      </c>
      <c r="F276" t="s">
        <v>1526</v>
      </c>
      <c r="G276" t="s">
        <v>811</v>
      </c>
      <c r="H276" t="s">
        <v>812</v>
      </c>
      <c r="I276" t="s">
        <v>813</v>
      </c>
      <c r="J276">
        <f t="shared" ca="1" si="18"/>
        <v>251180</v>
      </c>
      <c r="K276">
        <f t="shared" ca="1" si="19"/>
        <v>1400</v>
      </c>
      <c r="N276" t="str">
        <f t="shared" si="16"/>
        <v>Bradford21Pathway 3Bed based intermediate Care Services (Reablement, rehabilitation, wider short-term services supporting recovery)Bed-based intermediate care with reablement (to support discharge)</v>
      </c>
      <c r="O276" t="s">
        <v>89</v>
      </c>
      <c r="P276" t="s">
        <v>922</v>
      </c>
      <c r="Q276">
        <v>21</v>
      </c>
      <c r="R276" t="s">
        <v>1385</v>
      </c>
      <c r="S276" t="s">
        <v>1527</v>
      </c>
      <c r="T276" t="s">
        <v>877</v>
      </c>
      <c r="U276" t="s">
        <v>878</v>
      </c>
      <c r="W276">
        <v>107</v>
      </c>
      <c r="X276">
        <v>110</v>
      </c>
      <c r="Y276" t="s">
        <v>879</v>
      </c>
      <c r="Z276" t="s">
        <v>792</v>
      </c>
      <c r="AB276" t="s">
        <v>793</v>
      </c>
      <c r="AD276" t="s">
        <v>794</v>
      </c>
      <c r="AE276" t="s">
        <v>795</v>
      </c>
      <c r="AF276" t="s">
        <v>860</v>
      </c>
      <c r="AG276" t="s">
        <v>797</v>
      </c>
      <c r="AH276">
        <v>460000</v>
      </c>
      <c r="AI276">
        <v>2210000</v>
      </c>
      <c r="AJ276">
        <v>0.04</v>
      </c>
    </row>
    <row r="277" spans="1:36" x14ac:dyDescent="0.3">
      <c r="A277">
        <f>COUNTIF($D$2:D277,D277)</f>
        <v>17</v>
      </c>
      <c r="B277" t="str">
        <f t="shared" si="17"/>
        <v>17Brighton and Hove</v>
      </c>
      <c r="C277" t="s">
        <v>1528</v>
      </c>
      <c r="D277" t="s">
        <v>93</v>
      </c>
      <c r="E277">
        <v>29</v>
      </c>
      <c r="F277" t="s">
        <v>1526</v>
      </c>
      <c r="G277" t="s">
        <v>811</v>
      </c>
      <c r="H277" t="s">
        <v>812</v>
      </c>
      <c r="I277" t="s">
        <v>813</v>
      </c>
      <c r="J277">
        <f t="shared" ca="1" si="18"/>
        <v>20000</v>
      </c>
      <c r="K277">
        <f t="shared" ca="1" si="19"/>
        <v>1400</v>
      </c>
      <c r="N277" t="str">
        <f t="shared" si="16"/>
        <v xml:space="preserve">Bradford23Reablement ServicesHome-based intermediate care servicesReablement at home (to support discharge) </v>
      </c>
      <c r="O277" t="s">
        <v>89</v>
      </c>
      <c r="P277" t="s">
        <v>922</v>
      </c>
      <c r="Q277">
        <v>23</v>
      </c>
      <c r="R277" t="s">
        <v>1388</v>
      </c>
      <c r="S277" t="s">
        <v>1529</v>
      </c>
      <c r="T277" t="s">
        <v>787</v>
      </c>
      <c r="U277" t="s">
        <v>788</v>
      </c>
      <c r="W277">
        <v>3505</v>
      </c>
      <c r="X277">
        <v>3571</v>
      </c>
      <c r="Y277" t="s">
        <v>789</v>
      </c>
      <c r="Z277" t="s">
        <v>792</v>
      </c>
      <c r="AB277" t="s">
        <v>793</v>
      </c>
      <c r="AD277" t="s">
        <v>794</v>
      </c>
      <c r="AE277" t="s">
        <v>795</v>
      </c>
      <c r="AF277" t="s">
        <v>860</v>
      </c>
      <c r="AG277" t="s">
        <v>797</v>
      </c>
      <c r="AH277">
        <v>2860000</v>
      </c>
      <c r="AI277">
        <v>3003000</v>
      </c>
      <c r="AJ277">
        <v>0.31</v>
      </c>
    </row>
    <row r="278" spans="1:36" x14ac:dyDescent="0.3">
      <c r="A278">
        <f>COUNTIF($D$2:D278,D278)</f>
        <v>18</v>
      </c>
      <c r="B278" t="str">
        <f t="shared" si="17"/>
        <v>18Brighton and Hove</v>
      </c>
      <c r="C278" t="s">
        <v>1530</v>
      </c>
      <c r="D278" t="s">
        <v>93</v>
      </c>
      <c r="E278">
        <v>30</v>
      </c>
      <c r="F278" t="s">
        <v>1531</v>
      </c>
      <c r="G278" t="s">
        <v>811</v>
      </c>
      <c r="H278" t="s">
        <v>895</v>
      </c>
      <c r="I278" t="s">
        <v>813</v>
      </c>
      <c r="J278">
        <f t="shared" ca="1" si="18"/>
        <v>349100</v>
      </c>
      <c r="K278">
        <f t="shared" ca="1" si="19"/>
        <v>1700</v>
      </c>
      <c r="N278" t="str">
        <f t="shared" si="16"/>
        <v>Brent1Residential and Nursing Care ProvisionResidential PlacementsCare home</v>
      </c>
      <c r="O278" t="s">
        <v>91</v>
      </c>
      <c r="P278" t="s">
        <v>790</v>
      </c>
      <c r="Q278">
        <v>1</v>
      </c>
      <c r="R278" t="s">
        <v>1391</v>
      </c>
      <c r="S278" t="s">
        <v>1532</v>
      </c>
      <c r="T278" t="s">
        <v>806</v>
      </c>
      <c r="U278" t="s">
        <v>807</v>
      </c>
      <c r="W278">
        <v>332</v>
      </c>
      <c r="X278">
        <v>337</v>
      </c>
      <c r="Y278" t="s">
        <v>808</v>
      </c>
      <c r="Z278" t="s">
        <v>792</v>
      </c>
      <c r="AB278" t="s">
        <v>793</v>
      </c>
      <c r="AD278" t="s">
        <v>794</v>
      </c>
      <c r="AE278" t="s">
        <v>795</v>
      </c>
      <c r="AF278" t="s">
        <v>796</v>
      </c>
      <c r="AG278" t="s">
        <v>797</v>
      </c>
      <c r="AH278">
        <v>3735048</v>
      </c>
      <c r="AI278">
        <v>3946451.7168000001</v>
      </c>
      <c r="AJ278">
        <v>0.65</v>
      </c>
    </row>
    <row r="279" spans="1:36" x14ac:dyDescent="0.3">
      <c r="A279">
        <f>COUNTIF($D$2:D279,D279)</f>
        <v>19</v>
      </c>
      <c r="B279" t="str">
        <f t="shared" si="17"/>
        <v>19Brighton and Hove</v>
      </c>
      <c r="C279" t="s">
        <v>1533</v>
      </c>
      <c r="D279" t="s">
        <v>93</v>
      </c>
      <c r="E279">
        <v>31</v>
      </c>
      <c r="F279" t="s">
        <v>1531</v>
      </c>
      <c r="G279" t="s">
        <v>811</v>
      </c>
      <c r="H279" t="s">
        <v>895</v>
      </c>
      <c r="I279" t="s">
        <v>813</v>
      </c>
      <c r="J279">
        <f t="shared" ca="1" si="18"/>
        <v>182000</v>
      </c>
      <c r="K279">
        <f t="shared" ca="1" si="19"/>
        <v>1700</v>
      </c>
      <c r="N279" t="str">
        <f t="shared" si="16"/>
        <v>Brent2Step down bedsResidential PlacementsCare home</v>
      </c>
      <c r="O279" t="s">
        <v>91</v>
      </c>
      <c r="P279" t="s">
        <v>790</v>
      </c>
      <c r="Q279">
        <v>2</v>
      </c>
      <c r="R279" t="s">
        <v>1394</v>
      </c>
      <c r="S279" t="s">
        <v>1534</v>
      </c>
      <c r="T279" t="s">
        <v>806</v>
      </c>
      <c r="U279" t="s">
        <v>807</v>
      </c>
      <c r="W279">
        <v>202</v>
      </c>
      <c r="X279">
        <v>205</v>
      </c>
      <c r="Y279" t="s">
        <v>808</v>
      </c>
      <c r="Z279" t="s">
        <v>792</v>
      </c>
      <c r="AB279" t="s">
        <v>793</v>
      </c>
      <c r="AD279" t="s">
        <v>794</v>
      </c>
      <c r="AE279" t="s">
        <v>795</v>
      </c>
      <c r="AF279" t="s">
        <v>796</v>
      </c>
      <c r="AG279" t="s">
        <v>797</v>
      </c>
      <c r="AH279">
        <v>250000</v>
      </c>
      <c r="AI279">
        <v>264150</v>
      </c>
      <c r="AJ279">
        <v>1</v>
      </c>
    </row>
    <row r="280" spans="1:36" x14ac:dyDescent="0.3">
      <c r="A280">
        <f>COUNTIF($D$2:D280,D280)</f>
        <v>20</v>
      </c>
      <c r="B280" t="str">
        <f t="shared" si="17"/>
        <v>20Brighton and Hove</v>
      </c>
      <c r="C280" t="s">
        <v>1535</v>
      </c>
      <c r="D280" t="s">
        <v>93</v>
      </c>
      <c r="E280">
        <v>43</v>
      </c>
      <c r="F280" t="s">
        <v>1536</v>
      </c>
      <c r="G280" t="s">
        <v>877</v>
      </c>
      <c r="H280" t="s">
        <v>968</v>
      </c>
      <c r="I280" t="s">
        <v>879</v>
      </c>
      <c r="J280">
        <f t="shared" ca="1" si="18"/>
        <v>68000</v>
      </c>
      <c r="K280">
        <f t="shared" ca="1" si="19"/>
        <v>5</v>
      </c>
      <c r="N280" t="str">
        <f t="shared" si="16"/>
        <v xml:space="preserve">Brent3Reablement ServiceHome-based intermediate care servicesReablement at home (to support discharge) </v>
      </c>
      <c r="O280" t="s">
        <v>91</v>
      </c>
      <c r="P280" t="s">
        <v>790</v>
      </c>
      <c r="Q280">
        <v>3</v>
      </c>
      <c r="R280" t="s">
        <v>1396</v>
      </c>
      <c r="S280" t="s">
        <v>1537</v>
      </c>
      <c r="T280" t="s">
        <v>787</v>
      </c>
      <c r="U280" t="s">
        <v>788</v>
      </c>
      <c r="W280">
        <v>893</v>
      </c>
      <c r="X280">
        <v>906</v>
      </c>
      <c r="Y280" t="s">
        <v>789</v>
      </c>
      <c r="Z280" t="s">
        <v>792</v>
      </c>
      <c r="AB280" t="s">
        <v>793</v>
      </c>
      <c r="AD280" t="s">
        <v>794</v>
      </c>
      <c r="AE280" t="s">
        <v>795</v>
      </c>
      <c r="AF280" t="s">
        <v>796</v>
      </c>
      <c r="AG280" t="s">
        <v>797</v>
      </c>
      <c r="AH280">
        <v>948000</v>
      </c>
      <c r="AI280">
        <v>1001656.8</v>
      </c>
      <c r="AJ280">
        <v>0.82</v>
      </c>
    </row>
    <row r="281" spans="1:36" x14ac:dyDescent="0.3">
      <c r="A281">
        <f>COUNTIF($D$2:D281,D281)</f>
        <v>21</v>
      </c>
      <c r="B281" t="str">
        <f t="shared" si="17"/>
        <v>21Brighton and Hove</v>
      </c>
      <c r="C281" t="s">
        <v>1538</v>
      </c>
      <c r="D281" t="s">
        <v>93</v>
      </c>
      <c r="E281">
        <v>46</v>
      </c>
      <c r="F281" t="s">
        <v>1539</v>
      </c>
      <c r="G281" t="s">
        <v>877</v>
      </c>
      <c r="H281" t="s">
        <v>968</v>
      </c>
      <c r="I281" t="s">
        <v>879</v>
      </c>
      <c r="J281">
        <f t="shared" ca="1" si="18"/>
        <v>1320000</v>
      </c>
      <c r="K281">
        <f t="shared" ca="1" si="19"/>
        <v>16</v>
      </c>
      <c r="N281" t="str">
        <f t="shared" si="16"/>
        <v xml:space="preserve">Brent4Reablement Home Care Packages Home-based intermediate care servicesReablement at home (to support discharge) </v>
      </c>
      <c r="O281" t="s">
        <v>91</v>
      </c>
      <c r="P281" t="s">
        <v>790</v>
      </c>
      <c r="Q281">
        <v>4</v>
      </c>
      <c r="R281" t="s">
        <v>1398</v>
      </c>
      <c r="S281" t="s">
        <v>1540</v>
      </c>
      <c r="T281" t="s">
        <v>787</v>
      </c>
      <c r="U281" t="s">
        <v>788</v>
      </c>
      <c r="W281">
        <v>893</v>
      </c>
      <c r="X281">
        <v>906</v>
      </c>
      <c r="Y281" t="s">
        <v>789</v>
      </c>
      <c r="Z281" t="s">
        <v>792</v>
      </c>
      <c r="AB281" t="s">
        <v>793</v>
      </c>
      <c r="AD281" t="s">
        <v>794</v>
      </c>
      <c r="AE281" t="s">
        <v>795</v>
      </c>
      <c r="AF281" t="s">
        <v>796</v>
      </c>
      <c r="AG281" t="s">
        <v>797</v>
      </c>
      <c r="AH281">
        <v>750000</v>
      </c>
      <c r="AI281">
        <v>792450</v>
      </c>
      <c r="AJ281">
        <v>0.6</v>
      </c>
    </row>
    <row r="282" spans="1:36" x14ac:dyDescent="0.3">
      <c r="A282">
        <f>COUNTIF($D$2:D282,D282)</f>
        <v>22</v>
      </c>
      <c r="B282" t="str">
        <f t="shared" si="17"/>
        <v>22Brighton and Hove</v>
      </c>
      <c r="C282" t="s">
        <v>1541</v>
      </c>
      <c r="D282" t="s">
        <v>93</v>
      </c>
      <c r="E282">
        <v>47</v>
      </c>
      <c r="F282" t="s">
        <v>1542</v>
      </c>
      <c r="G282" t="s">
        <v>877</v>
      </c>
      <c r="H282" t="s">
        <v>968</v>
      </c>
      <c r="I282" t="s">
        <v>879</v>
      </c>
      <c r="J282">
        <f t="shared" ca="1" si="18"/>
        <v>150000</v>
      </c>
      <c r="K282">
        <f t="shared" ca="1" si="19"/>
        <v>2</v>
      </c>
      <c r="N282" t="str">
        <f t="shared" si="16"/>
        <v>Brent5Additional social workers in the home first teamHigh Impact Change Model for Managing Transfer of CareMulti-Disciplinary/Multi-Agency Discharge Teams supporting discharge</v>
      </c>
      <c r="O282" t="s">
        <v>91</v>
      </c>
      <c r="P282" t="s">
        <v>790</v>
      </c>
      <c r="Q282">
        <v>5</v>
      </c>
      <c r="R282" t="s">
        <v>1401</v>
      </c>
      <c r="S282" t="s">
        <v>1543</v>
      </c>
      <c r="T282" t="s">
        <v>1402</v>
      </c>
      <c r="U282" t="s">
        <v>1403</v>
      </c>
      <c r="W282">
        <v>914</v>
      </c>
      <c r="X282">
        <v>928</v>
      </c>
      <c r="Y282" t="s">
        <v>794</v>
      </c>
      <c r="Z282" t="s">
        <v>792</v>
      </c>
      <c r="AB282" t="s">
        <v>793</v>
      </c>
      <c r="AD282" t="s">
        <v>794</v>
      </c>
      <c r="AE282" t="s">
        <v>795</v>
      </c>
      <c r="AF282" t="s">
        <v>796</v>
      </c>
      <c r="AG282" t="s">
        <v>797</v>
      </c>
      <c r="AH282">
        <v>104000</v>
      </c>
      <c r="AI282">
        <v>109886.39999999999</v>
      </c>
      <c r="AJ282">
        <v>0.69</v>
      </c>
    </row>
    <row r="283" spans="1:36" x14ac:dyDescent="0.3">
      <c r="A283">
        <f>COUNTIF($D$2:D283,D283)</f>
        <v>23</v>
      </c>
      <c r="B283" t="str">
        <f t="shared" si="17"/>
        <v>23Brighton and Hove</v>
      </c>
      <c r="C283" t="s">
        <v>1544</v>
      </c>
      <c r="D283" t="s">
        <v>93</v>
      </c>
      <c r="E283">
        <v>48</v>
      </c>
      <c r="F283" t="s">
        <v>1545</v>
      </c>
      <c r="G283" t="s">
        <v>877</v>
      </c>
      <c r="H283" t="s">
        <v>968</v>
      </c>
      <c r="I283" t="s">
        <v>879</v>
      </c>
      <c r="J283">
        <f t="shared" ca="1" si="18"/>
        <v>836840</v>
      </c>
      <c r="K283">
        <f t="shared" ca="1" si="19"/>
        <v>16</v>
      </c>
      <c r="N283" t="str">
        <f t="shared" si="16"/>
        <v xml:space="preserve">Brent9Reablement home care packagesHome-based intermediate care servicesReablement at home (to support discharge) </v>
      </c>
      <c r="O283" t="s">
        <v>91</v>
      </c>
      <c r="P283" t="s">
        <v>790</v>
      </c>
      <c r="Q283">
        <v>9</v>
      </c>
      <c r="R283" t="s">
        <v>1407</v>
      </c>
      <c r="S283" t="s">
        <v>1386</v>
      </c>
      <c r="T283" t="s">
        <v>787</v>
      </c>
      <c r="U283" t="s">
        <v>788</v>
      </c>
      <c r="W283">
        <v>893</v>
      </c>
      <c r="X283">
        <v>906</v>
      </c>
      <c r="Y283" t="s">
        <v>789</v>
      </c>
      <c r="Z283" t="s">
        <v>792</v>
      </c>
      <c r="AB283" t="s">
        <v>793</v>
      </c>
      <c r="AD283" t="s">
        <v>794</v>
      </c>
      <c r="AE283" t="s">
        <v>795</v>
      </c>
      <c r="AF283" t="s">
        <v>796</v>
      </c>
      <c r="AG283" t="s">
        <v>797</v>
      </c>
      <c r="AH283">
        <v>1183927</v>
      </c>
      <c r="AI283">
        <v>1250937.2682</v>
      </c>
      <c r="AJ283">
        <v>1</v>
      </c>
    </row>
    <row r="284" spans="1:36" x14ac:dyDescent="0.3">
      <c r="A284">
        <f>COUNTIF($D$2:D284,D284)</f>
        <v>24</v>
      </c>
      <c r="B284" t="str">
        <f t="shared" si="17"/>
        <v>24Brighton and Hove</v>
      </c>
      <c r="C284" t="s">
        <v>1546</v>
      </c>
      <c r="D284" t="s">
        <v>93</v>
      </c>
      <c r="E284">
        <v>50</v>
      </c>
      <c r="F284" t="s">
        <v>1547</v>
      </c>
      <c r="G284" t="s">
        <v>842</v>
      </c>
      <c r="H284" t="s">
        <v>843</v>
      </c>
      <c r="I284" t="s">
        <v>844</v>
      </c>
      <c r="J284">
        <f t="shared" ca="1" si="18"/>
        <v>132000</v>
      </c>
      <c r="K284">
        <f t="shared" ca="1" si="19"/>
        <v>40</v>
      </c>
      <c r="N284" t="str">
        <f t="shared" si="16"/>
        <v>Brent10Additional social worker and advanced care practitioner for pathway 1 High Impact Change Model for Managing Transfer of CareHome First/Discharge to Assess - process support/core costs</v>
      </c>
      <c r="O284" t="s">
        <v>91</v>
      </c>
      <c r="P284" t="s">
        <v>790</v>
      </c>
      <c r="Q284">
        <v>10</v>
      </c>
      <c r="R284" t="s">
        <v>1410</v>
      </c>
      <c r="S284" t="s">
        <v>1548</v>
      </c>
      <c r="T284" t="s">
        <v>1402</v>
      </c>
      <c r="U284" t="s">
        <v>1411</v>
      </c>
      <c r="W284">
        <v>2</v>
      </c>
      <c r="X284">
        <v>2</v>
      </c>
      <c r="Y284" t="s">
        <v>794</v>
      </c>
      <c r="Z284" t="s">
        <v>792</v>
      </c>
      <c r="AB284" t="s">
        <v>793</v>
      </c>
      <c r="AD284" t="s">
        <v>794</v>
      </c>
      <c r="AE284" t="s">
        <v>795</v>
      </c>
      <c r="AF284" t="s">
        <v>796</v>
      </c>
      <c r="AG284" t="s">
        <v>797</v>
      </c>
      <c r="AH284">
        <v>66120</v>
      </c>
      <c r="AI284">
        <v>69862.391999999993</v>
      </c>
      <c r="AJ284">
        <v>0.01</v>
      </c>
    </row>
    <row r="285" spans="1:36" x14ac:dyDescent="0.3">
      <c r="A285">
        <f>COUNTIF($D$2:D285,D285)</f>
        <v>1</v>
      </c>
      <c r="B285" t="str">
        <f t="shared" si="17"/>
        <v>1Bristol, City of</v>
      </c>
      <c r="C285" t="s">
        <v>1549</v>
      </c>
      <c r="D285" t="s">
        <v>95</v>
      </c>
      <c r="E285">
        <v>4</v>
      </c>
      <c r="F285" t="s">
        <v>1550</v>
      </c>
      <c r="G285" t="s">
        <v>787</v>
      </c>
      <c r="H285" t="s">
        <v>1551</v>
      </c>
      <c r="I285" t="s">
        <v>789</v>
      </c>
      <c r="J285">
        <f t="shared" ca="1" si="18"/>
        <v>3762025.35</v>
      </c>
      <c r="K285">
        <f t="shared" ca="1" si="19"/>
        <v>0</v>
      </c>
      <c r="N285" t="str">
        <f t="shared" si="16"/>
        <v>Brent13additional wrap round services in persons own homeHome Care or Domiciliary CareDomiciliary care packages</v>
      </c>
      <c r="O285" t="s">
        <v>91</v>
      </c>
      <c r="P285" t="s">
        <v>790</v>
      </c>
      <c r="Q285">
        <v>13</v>
      </c>
      <c r="R285" t="s">
        <v>1414</v>
      </c>
      <c r="S285" t="s">
        <v>1552</v>
      </c>
      <c r="T285" t="s">
        <v>842</v>
      </c>
      <c r="U285" t="s">
        <v>843</v>
      </c>
      <c r="W285">
        <v>30</v>
      </c>
      <c r="X285">
        <v>31</v>
      </c>
      <c r="Y285" t="s">
        <v>844</v>
      </c>
      <c r="Z285" t="s">
        <v>792</v>
      </c>
      <c r="AB285" t="s">
        <v>793</v>
      </c>
      <c r="AD285" t="s">
        <v>794</v>
      </c>
      <c r="AE285" t="s">
        <v>795</v>
      </c>
      <c r="AF285" t="s">
        <v>796</v>
      </c>
      <c r="AG285" t="s">
        <v>797</v>
      </c>
      <c r="AH285">
        <v>221450</v>
      </c>
      <c r="AI285">
        <v>233984.07</v>
      </c>
      <c r="AJ285">
        <v>0.02</v>
      </c>
    </row>
    <row r="286" spans="1:36" x14ac:dyDescent="0.3">
      <c r="A286">
        <f>COUNTIF($D$2:D286,D286)</f>
        <v>2</v>
      </c>
      <c r="B286" t="str">
        <f t="shared" si="17"/>
        <v>2Bristol, City of</v>
      </c>
      <c r="C286" t="s">
        <v>1553</v>
      </c>
      <c r="D286" t="s">
        <v>95</v>
      </c>
      <c r="E286">
        <v>5</v>
      </c>
      <c r="F286" t="s">
        <v>1550</v>
      </c>
      <c r="G286" t="s">
        <v>787</v>
      </c>
      <c r="H286" t="s">
        <v>1551</v>
      </c>
      <c r="I286" t="s">
        <v>789</v>
      </c>
      <c r="J286">
        <f t="shared" ca="1" si="18"/>
        <v>872485.33</v>
      </c>
      <c r="K286">
        <f t="shared" ca="1" si="19"/>
        <v>0</v>
      </c>
      <c r="N286" t="str">
        <f t="shared" si="16"/>
        <v>Brent14Bed and breakfast X 2  level access roomsHousing Related SchemesReablement to support discharge -step down (Discharge to Assess pathway 1)</v>
      </c>
      <c r="O286" t="s">
        <v>91</v>
      </c>
      <c r="P286" t="s">
        <v>790</v>
      </c>
      <c r="Q286">
        <v>14</v>
      </c>
      <c r="R286" t="s">
        <v>1417</v>
      </c>
      <c r="S286" t="s">
        <v>1554</v>
      </c>
      <c r="T286" t="s">
        <v>1418</v>
      </c>
      <c r="U286" t="s">
        <v>1419</v>
      </c>
      <c r="W286">
        <v>52</v>
      </c>
      <c r="X286">
        <v>53</v>
      </c>
      <c r="Y286" t="s">
        <v>794</v>
      </c>
      <c r="Z286" t="s">
        <v>792</v>
      </c>
      <c r="AB286" t="s">
        <v>793</v>
      </c>
      <c r="AD286" t="s">
        <v>794</v>
      </c>
      <c r="AE286" t="s">
        <v>795</v>
      </c>
      <c r="AF286" t="s">
        <v>796</v>
      </c>
      <c r="AG286" t="s">
        <v>797</v>
      </c>
      <c r="AH286">
        <v>16000</v>
      </c>
      <c r="AI286">
        <v>16905.599999999999</v>
      </c>
      <c r="AJ286">
        <v>1</v>
      </c>
    </row>
    <row r="287" spans="1:36" x14ac:dyDescent="0.3">
      <c r="A287">
        <f>COUNTIF($D$2:D287,D287)</f>
        <v>3</v>
      </c>
      <c r="B287" t="str">
        <f t="shared" si="17"/>
        <v>3Bristol, City of</v>
      </c>
      <c r="C287" t="s">
        <v>1555</v>
      </c>
      <c r="D287" t="s">
        <v>95</v>
      </c>
      <c r="E287">
        <v>9</v>
      </c>
      <c r="F287" t="s">
        <v>1250</v>
      </c>
      <c r="G287" t="s">
        <v>811</v>
      </c>
      <c r="H287" t="s">
        <v>830</v>
      </c>
      <c r="I287" t="s">
        <v>813</v>
      </c>
      <c r="J287">
        <f t="shared" ca="1" si="18"/>
        <v>967386</v>
      </c>
      <c r="K287">
        <f t="shared" ca="1" si="19"/>
        <v>0</v>
      </c>
      <c r="N287" t="str">
        <f t="shared" si="16"/>
        <v>Brent15Carers serviceCarers ServicesRespite services</v>
      </c>
      <c r="O287" t="s">
        <v>91</v>
      </c>
      <c r="P287" t="s">
        <v>790</v>
      </c>
      <c r="Q287">
        <v>15</v>
      </c>
      <c r="R287" t="s">
        <v>1422</v>
      </c>
      <c r="S287" t="s">
        <v>1556</v>
      </c>
      <c r="T287" t="s">
        <v>811</v>
      </c>
      <c r="U287" t="s">
        <v>830</v>
      </c>
      <c r="W287">
        <v>454</v>
      </c>
      <c r="X287">
        <v>461</v>
      </c>
      <c r="Y287" t="s">
        <v>813</v>
      </c>
      <c r="Z287" t="s">
        <v>792</v>
      </c>
      <c r="AB287" t="s">
        <v>793</v>
      </c>
      <c r="AD287" t="s">
        <v>794</v>
      </c>
      <c r="AE287" t="s">
        <v>795</v>
      </c>
      <c r="AF287" t="s">
        <v>796</v>
      </c>
      <c r="AG287" t="s">
        <v>797</v>
      </c>
      <c r="AH287">
        <v>204000</v>
      </c>
      <c r="AI287">
        <v>215546.4</v>
      </c>
      <c r="AJ287">
        <v>1</v>
      </c>
    </row>
    <row r="288" spans="1:36" x14ac:dyDescent="0.3">
      <c r="A288">
        <f>COUNTIF($D$2:D288,D288)</f>
        <v>4</v>
      </c>
      <c r="B288" t="str">
        <f t="shared" si="17"/>
        <v>4Bristol, City of</v>
      </c>
      <c r="C288" t="s">
        <v>1557</v>
      </c>
      <c r="D288" t="s">
        <v>95</v>
      </c>
      <c r="E288">
        <v>10</v>
      </c>
      <c r="F288" t="s">
        <v>1250</v>
      </c>
      <c r="G288" t="s">
        <v>811</v>
      </c>
      <c r="H288" t="s">
        <v>830</v>
      </c>
      <c r="I288" t="s">
        <v>813</v>
      </c>
      <c r="J288">
        <f t="shared" ca="1" si="18"/>
        <v>867017</v>
      </c>
      <c r="K288">
        <f t="shared" ca="1" si="19"/>
        <v>0</v>
      </c>
      <c r="N288" t="str">
        <f t="shared" si="16"/>
        <v>Brent16Positive behavioural management in care homes.High Impact Change Model for Managing Transfer of CareMulti-Disciplinary/Multi-Agency Discharge Teams supporting discharge</v>
      </c>
      <c r="O288" t="s">
        <v>91</v>
      </c>
      <c r="P288" t="s">
        <v>790</v>
      </c>
      <c r="Q288">
        <v>16</v>
      </c>
      <c r="R288" t="s">
        <v>1425</v>
      </c>
      <c r="S288" t="s">
        <v>1558</v>
      </c>
      <c r="T288" t="s">
        <v>1402</v>
      </c>
      <c r="U288" t="s">
        <v>1403</v>
      </c>
      <c r="W288">
        <v>30</v>
      </c>
      <c r="X288">
        <v>31</v>
      </c>
      <c r="Y288" t="s">
        <v>794</v>
      </c>
      <c r="Z288" t="s">
        <v>792</v>
      </c>
      <c r="AB288" t="s">
        <v>793</v>
      </c>
      <c r="AD288" t="s">
        <v>794</v>
      </c>
      <c r="AE288" t="s">
        <v>795</v>
      </c>
      <c r="AF288" t="s">
        <v>796</v>
      </c>
      <c r="AG288" t="s">
        <v>797</v>
      </c>
      <c r="AH288">
        <v>83000</v>
      </c>
      <c r="AI288">
        <v>87697.8</v>
      </c>
      <c r="AJ288">
        <v>1</v>
      </c>
    </row>
    <row r="289" spans="1:36" x14ac:dyDescent="0.3">
      <c r="A289">
        <f>COUNTIF($D$2:D289,D289)</f>
        <v>5</v>
      </c>
      <c r="B289" t="str">
        <f t="shared" si="17"/>
        <v>5Bristol, City of</v>
      </c>
      <c r="C289" t="s">
        <v>1559</v>
      </c>
      <c r="D289" t="s">
        <v>95</v>
      </c>
      <c r="E289">
        <v>11</v>
      </c>
      <c r="F289" t="s">
        <v>1560</v>
      </c>
      <c r="G289" t="s">
        <v>842</v>
      </c>
      <c r="H289" t="s">
        <v>843</v>
      </c>
      <c r="I289" t="s">
        <v>844</v>
      </c>
      <c r="J289">
        <f t="shared" ca="1" si="18"/>
        <v>6462088</v>
      </c>
      <c r="K289">
        <f t="shared" ca="1" si="19"/>
        <v>0</v>
      </c>
      <c r="N289" t="str">
        <f t="shared" si="16"/>
        <v>Brent18Additional social worker for rehab beds.High Impact Change Model for Managing Transfer of CareMulti-Disciplinary/Multi-Agency Discharge Teams supporting discharge</v>
      </c>
      <c r="O289" t="s">
        <v>91</v>
      </c>
      <c r="P289" t="s">
        <v>790</v>
      </c>
      <c r="Q289">
        <v>18</v>
      </c>
      <c r="R289" t="s">
        <v>1427</v>
      </c>
      <c r="S289" t="s">
        <v>1561</v>
      </c>
      <c r="T289" t="s">
        <v>1402</v>
      </c>
      <c r="U289" t="s">
        <v>1403</v>
      </c>
      <c r="W289">
        <v>112</v>
      </c>
      <c r="X289">
        <v>114</v>
      </c>
      <c r="Y289" t="s">
        <v>794</v>
      </c>
      <c r="Z289" t="s">
        <v>792</v>
      </c>
      <c r="AB289" t="s">
        <v>793</v>
      </c>
      <c r="AD289" t="s">
        <v>794</v>
      </c>
      <c r="AE289" t="s">
        <v>795</v>
      </c>
      <c r="AF289" t="s">
        <v>796</v>
      </c>
      <c r="AG289" t="s">
        <v>797</v>
      </c>
      <c r="AH289">
        <v>40000</v>
      </c>
      <c r="AI289">
        <v>42264</v>
      </c>
      <c r="AJ289">
        <v>1</v>
      </c>
    </row>
    <row r="290" spans="1:36" x14ac:dyDescent="0.3">
      <c r="A290">
        <f>COUNTIF($D$2:D290,D290)</f>
        <v>6</v>
      </c>
      <c r="B290" t="str">
        <f t="shared" si="17"/>
        <v>6Bristol, City of</v>
      </c>
      <c r="C290" t="s">
        <v>1562</v>
      </c>
      <c r="D290" t="s">
        <v>95</v>
      </c>
      <c r="E290">
        <v>12</v>
      </c>
      <c r="F290" t="s">
        <v>1560</v>
      </c>
      <c r="G290" t="s">
        <v>842</v>
      </c>
      <c r="H290" t="s">
        <v>843</v>
      </c>
      <c r="I290" t="s">
        <v>844</v>
      </c>
      <c r="J290">
        <f t="shared" ca="1" si="18"/>
        <v>6156078</v>
      </c>
      <c r="K290">
        <f t="shared" ca="1" si="19"/>
        <v>0</v>
      </c>
      <c r="N290" t="str">
        <f t="shared" si="16"/>
        <v>Brent21Care home and home care recruitment and retention campaign - awards ceremonyEnablers for IntegrationWorkforce development</v>
      </c>
      <c r="O290" t="s">
        <v>91</v>
      </c>
      <c r="P290" t="s">
        <v>790</v>
      </c>
      <c r="Q290">
        <v>21</v>
      </c>
      <c r="R290" t="s">
        <v>1430</v>
      </c>
      <c r="S290" t="s">
        <v>1563</v>
      </c>
      <c r="T290" t="s">
        <v>1431</v>
      </c>
      <c r="U290" t="s">
        <v>1432</v>
      </c>
      <c r="W290" t="s">
        <v>1564</v>
      </c>
      <c r="X290" t="s">
        <v>1564</v>
      </c>
      <c r="Y290" t="s">
        <v>794</v>
      </c>
      <c r="Z290" t="s">
        <v>792</v>
      </c>
      <c r="AB290" t="s">
        <v>793</v>
      </c>
      <c r="AD290" t="s">
        <v>794</v>
      </c>
      <c r="AE290" t="s">
        <v>795</v>
      </c>
      <c r="AF290" t="s">
        <v>796</v>
      </c>
      <c r="AG290" t="s">
        <v>797</v>
      </c>
      <c r="AH290">
        <v>27265</v>
      </c>
      <c r="AI290">
        <v>28808.199000000001</v>
      </c>
      <c r="AJ290">
        <v>1</v>
      </c>
    </row>
    <row r="291" spans="1:36" x14ac:dyDescent="0.3">
      <c r="A291">
        <f>COUNTIF($D$2:D291,D291)</f>
        <v>7</v>
      </c>
      <c r="B291" t="str">
        <f t="shared" si="17"/>
        <v>7Bristol, City of</v>
      </c>
      <c r="C291" t="s">
        <v>1565</v>
      </c>
      <c r="D291" t="s">
        <v>95</v>
      </c>
      <c r="E291">
        <v>17</v>
      </c>
      <c r="F291" t="s">
        <v>1051</v>
      </c>
      <c r="G291" t="s">
        <v>800</v>
      </c>
      <c r="H291" t="s">
        <v>903</v>
      </c>
      <c r="I291" t="s">
        <v>802</v>
      </c>
      <c r="J291">
        <f t="shared" ca="1" si="18"/>
        <v>738085.81</v>
      </c>
      <c r="K291">
        <f t="shared" ca="1" si="19"/>
        <v>0</v>
      </c>
      <c r="N291" t="str">
        <f t="shared" si="16"/>
        <v>Brent24x3 occupational therapist in access teamHigh Impact Change Model for Managing Transfer of CareMulti-Disciplinary/Multi-Agency Discharge Teams supporting discharge</v>
      </c>
      <c r="O291" t="s">
        <v>91</v>
      </c>
      <c r="P291" t="s">
        <v>790</v>
      </c>
      <c r="Q291">
        <v>24</v>
      </c>
      <c r="R291" t="s">
        <v>1434</v>
      </c>
      <c r="S291" t="s">
        <v>1566</v>
      </c>
      <c r="T291" t="s">
        <v>1402</v>
      </c>
      <c r="U291" t="s">
        <v>1403</v>
      </c>
      <c r="W291">
        <v>3</v>
      </c>
      <c r="X291">
        <v>3</v>
      </c>
      <c r="Y291" t="s">
        <v>794</v>
      </c>
      <c r="Z291" t="s">
        <v>792</v>
      </c>
      <c r="AB291" t="s">
        <v>793</v>
      </c>
      <c r="AD291" t="s">
        <v>794</v>
      </c>
      <c r="AE291" t="s">
        <v>795</v>
      </c>
      <c r="AF291" t="s">
        <v>796</v>
      </c>
      <c r="AG291" t="s">
        <v>797</v>
      </c>
      <c r="AH291">
        <v>120000</v>
      </c>
      <c r="AI291">
        <v>126792</v>
      </c>
      <c r="AJ291">
        <v>0.2</v>
      </c>
    </row>
    <row r="292" spans="1:36" x14ac:dyDescent="0.3">
      <c r="A292">
        <f>COUNTIF($D$2:D292,D292)</f>
        <v>8</v>
      </c>
      <c r="B292" t="str">
        <f t="shared" si="17"/>
        <v>8Bristol, City of</v>
      </c>
      <c r="C292" t="s">
        <v>1567</v>
      </c>
      <c r="D292" t="s">
        <v>95</v>
      </c>
      <c r="E292">
        <v>18</v>
      </c>
      <c r="F292" t="s">
        <v>1051</v>
      </c>
      <c r="G292" t="s">
        <v>800</v>
      </c>
      <c r="H292" t="s">
        <v>903</v>
      </c>
      <c r="I292" t="s">
        <v>802</v>
      </c>
      <c r="J292">
        <f t="shared" ca="1" si="18"/>
        <v>803415</v>
      </c>
      <c r="K292">
        <f t="shared" ca="1" si="19"/>
        <v>7692</v>
      </c>
      <c r="N292" t="str">
        <f t="shared" si="16"/>
        <v>Brent26x1 social worker rapid response teamHigh Impact Change Model for Managing Transfer of CareHome First/Discharge to Assess - process support/core costs</v>
      </c>
      <c r="O292" t="s">
        <v>91</v>
      </c>
      <c r="P292" t="s">
        <v>790</v>
      </c>
      <c r="Q292">
        <v>26</v>
      </c>
      <c r="R292" t="s">
        <v>1436</v>
      </c>
      <c r="S292" t="s">
        <v>1568</v>
      </c>
      <c r="T292" t="s">
        <v>1402</v>
      </c>
      <c r="U292" t="s">
        <v>1411</v>
      </c>
      <c r="W292">
        <v>43</v>
      </c>
      <c r="X292">
        <v>44</v>
      </c>
      <c r="Y292" t="s">
        <v>794</v>
      </c>
      <c r="Z292" t="s">
        <v>792</v>
      </c>
      <c r="AB292" t="s">
        <v>793</v>
      </c>
      <c r="AD292" t="s">
        <v>794</v>
      </c>
      <c r="AE292" t="s">
        <v>795</v>
      </c>
      <c r="AF292" t="s">
        <v>796</v>
      </c>
      <c r="AG292" t="s">
        <v>797</v>
      </c>
      <c r="AH292">
        <v>40000</v>
      </c>
      <c r="AI292">
        <v>42264</v>
      </c>
      <c r="AJ292">
        <v>1</v>
      </c>
    </row>
    <row r="293" spans="1:36" x14ac:dyDescent="0.3">
      <c r="A293">
        <f>COUNTIF($D$2:D293,D293)</f>
        <v>9</v>
      </c>
      <c r="B293" t="str">
        <f t="shared" si="17"/>
        <v>9Bristol, City of</v>
      </c>
      <c r="C293" t="s">
        <v>1569</v>
      </c>
      <c r="D293" t="s">
        <v>95</v>
      </c>
      <c r="E293">
        <v>19</v>
      </c>
      <c r="F293" t="s">
        <v>840</v>
      </c>
      <c r="G293" t="s">
        <v>834</v>
      </c>
      <c r="H293" t="s">
        <v>835</v>
      </c>
      <c r="I293" t="s">
        <v>836</v>
      </c>
      <c r="J293">
        <f t="shared" ca="1" si="18"/>
        <v>3528349</v>
      </c>
      <c r="K293">
        <f t="shared" ca="1" si="19"/>
        <v>0</v>
      </c>
      <c r="N293" t="str">
        <f t="shared" si="16"/>
        <v>Brent281 housing officer inpt MH unitHigh Impact Change Model for Managing Transfer of CareEarly Discharge Planning</v>
      </c>
      <c r="O293" t="s">
        <v>91</v>
      </c>
      <c r="P293" t="s">
        <v>790</v>
      </c>
      <c r="Q293">
        <v>28</v>
      </c>
      <c r="R293" t="s">
        <v>1440</v>
      </c>
      <c r="S293" t="s">
        <v>1570</v>
      </c>
      <c r="T293" t="s">
        <v>1402</v>
      </c>
      <c r="U293" t="s">
        <v>1441</v>
      </c>
      <c r="W293">
        <v>388</v>
      </c>
      <c r="X293">
        <v>394</v>
      </c>
      <c r="Y293" t="s">
        <v>794</v>
      </c>
      <c r="Z293" t="s">
        <v>792</v>
      </c>
      <c r="AB293" t="s">
        <v>793</v>
      </c>
      <c r="AD293" t="s">
        <v>794</v>
      </c>
      <c r="AE293" t="s">
        <v>795</v>
      </c>
      <c r="AF293" t="s">
        <v>796</v>
      </c>
      <c r="AG293" t="s">
        <v>797</v>
      </c>
      <c r="AH293">
        <v>40000</v>
      </c>
      <c r="AI293">
        <v>42264</v>
      </c>
      <c r="AJ293">
        <v>1</v>
      </c>
    </row>
    <row r="294" spans="1:36" x14ac:dyDescent="0.3">
      <c r="A294">
        <f>COUNTIF($D$2:D294,D294)</f>
        <v>10</v>
      </c>
      <c r="B294" t="str">
        <f t="shared" si="17"/>
        <v>10Bristol, City of</v>
      </c>
      <c r="C294" t="s">
        <v>1571</v>
      </c>
      <c r="D294" t="s">
        <v>95</v>
      </c>
      <c r="E294">
        <v>20</v>
      </c>
      <c r="F294" t="s">
        <v>1572</v>
      </c>
      <c r="G294" t="s">
        <v>877</v>
      </c>
      <c r="H294" t="s">
        <v>968</v>
      </c>
      <c r="I294" t="s">
        <v>879</v>
      </c>
      <c r="J294">
        <f t="shared" ca="1" si="18"/>
        <v>139111.95000000001</v>
      </c>
      <c r="K294">
        <f t="shared" ca="1" si="19"/>
        <v>0</v>
      </c>
      <c r="N294" t="str">
        <f t="shared" si="16"/>
        <v>Brent38Spot purchasing of Nursing care bedsResidential PlacementsCare home</v>
      </c>
      <c r="O294" t="s">
        <v>91</v>
      </c>
      <c r="P294" t="s">
        <v>790</v>
      </c>
      <c r="Q294">
        <v>38</v>
      </c>
      <c r="R294" t="s">
        <v>1444</v>
      </c>
      <c r="S294" t="s">
        <v>1573</v>
      </c>
      <c r="T294" t="s">
        <v>806</v>
      </c>
      <c r="U294" t="s">
        <v>807</v>
      </c>
      <c r="W294">
        <v>332</v>
      </c>
      <c r="X294">
        <v>337</v>
      </c>
      <c r="Y294" t="s">
        <v>808</v>
      </c>
      <c r="Z294" t="s">
        <v>792</v>
      </c>
      <c r="AB294" t="s">
        <v>793</v>
      </c>
      <c r="AD294" t="s">
        <v>794</v>
      </c>
      <c r="AE294" t="s">
        <v>795</v>
      </c>
      <c r="AF294" t="s">
        <v>845</v>
      </c>
      <c r="AG294" t="s">
        <v>797</v>
      </c>
      <c r="AH294">
        <v>3252404</v>
      </c>
      <c r="AI294">
        <v>3252404</v>
      </c>
      <c r="AJ294">
        <v>0.47</v>
      </c>
    </row>
    <row r="295" spans="1:36" x14ac:dyDescent="0.3">
      <c r="A295">
        <f>COUNTIF($D$2:D295,D295)</f>
        <v>11</v>
      </c>
      <c r="B295" t="str">
        <f t="shared" si="17"/>
        <v>11Bristol, City of</v>
      </c>
      <c r="C295" t="s">
        <v>1574</v>
      </c>
      <c r="D295" t="s">
        <v>95</v>
      </c>
      <c r="E295">
        <v>39</v>
      </c>
      <c r="F295" t="s">
        <v>1575</v>
      </c>
      <c r="G295" t="s">
        <v>842</v>
      </c>
      <c r="H295" t="s">
        <v>843</v>
      </c>
      <c r="I295" t="s">
        <v>844</v>
      </c>
      <c r="J295">
        <f t="shared" ca="1" si="18"/>
        <v>2909436</v>
      </c>
      <c r="K295">
        <f t="shared" ca="1" si="19"/>
        <v>0</v>
      </c>
      <c r="N295" t="str">
        <f t="shared" si="16"/>
        <v>Brent39Home CareHome Care or Domiciliary CareDomiciliary care packages</v>
      </c>
      <c r="O295" t="s">
        <v>91</v>
      </c>
      <c r="P295" t="s">
        <v>790</v>
      </c>
      <c r="Q295">
        <v>39</v>
      </c>
      <c r="R295" t="s">
        <v>1447</v>
      </c>
      <c r="S295" t="s">
        <v>1576</v>
      </c>
      <c r="T295" t="s">
        <v>842</v>
      </c>
      <c r="U295" t="s">
        <v>843</v>
      </c>
      <c r="W295">
        <v>1749</v>
      </c>
      <c r="X295">
        <v>1775</v>
      </c>
      <c r="Y295" t="s">
        <v>844</v>
      </c>
      <c r="Z295" t="s">
        <v>792</v>
      </c>
      <c r="AB295" t="s">
        <v>793</v>
      </c>
      <c r="AD295" t="s">
        <v>794</v>
      </c>
      <c r="AE295" t="s">
        <v>795</v>
      </c>
      <c r="AF295" t="s">
        <v>845</v>
      </c>
      <c r="AG295" t="s">
        <v>797</v>
      </c>
      <c r="AH295">
        <v>5551590</v>
      </c>
      <c r="AI295">
        <v>5551590</v>
      </c>
      <c r="AJ295">
        <v>0.43</v>
      </c>
    </row>
    <row r="296" spans="1:36" x14ac:dyDescent="0.3">
      <c r="A296">
        <f>COUNTIF($D$2:D296,D296)</f>
        <v>12</v>
      </c>
      <c r="B296" t="str">
        <f t="shared" si="17"/>
        <v>12Bristol, City of</v>
      </c>
      <c r="C296" t="s">
        <v>1577</v>
      </c>
      <c r="D296" t="s">
        <v>95</v>
      </c>
      <c r="E296">
        <v>40</v>
      </c>
      <c r="F296" t="s">
        <v>1578</v>
      </c>
      <c r="G296" t="s">
        <v>800</v>
      </c>
      <c r="H296" t="s">
        <v>903</v>
      </c>
      <c r="I296" t="s">
        <v>802</v>
      </c>
      <c r="J296">
        <f t="shared" ca="1" si="18"/>
        <v>551238</v>
      </c>
      <c r="K296">
        <f t="shared" ca="1" si="19"/>
        <v>0</v>
      </c>
      <c r="N296" t="str">
        <f t="shared" si="16"/>
        <v>Brent43Disability facilities grantDFG Related SchemesDiscretionary use of DFG</v>
      </c>
      <c r="O296" t="s">
        <v>91</v>
      </c>
      <c r="P296" t="s">
        <v>790</v>
      </c>
      <c r="Q296">
        <v>43</v>
      </c>
      <c r="R296" t="s">
        <v>1450</v>
      </c>
      <c r="S296" t="s">
        <v>1579</v>
      </c>
      <c r="T296" t="s">
        <v>834</v>
      </c>
      <c r="U296" t="s">
        <v>1293</v>
      </c>
      <c r="W296">
        <v>533</v>
      </c>
      <c r="X296">
        <v>541</v>
      </c>
      <c r="Y296" t="s">
        <v>836</v>
      </c>
      <c r="Z296" t="s">
        <v>792</v>
      </c>
      <c r="AB296" t="s">
        <v>793</v>
      </c>
      <c r="AD296" t="s">
        <v>794</v>
      </c>
      <c r="AE296" t="s">
        <v>795</v>
      </c>
      <c r="AF296" t="s">
        <v>840</v>
      </c>
      <c r="AG296" t="s">
        <v>797</v>
      </c>
      <c r="AH296">
        <v>5316897</v>
      </c>
      <c r="AI296">
        <v>5316897</v>
      </c>
      <c r="AJ296">
        <v>1</v>
      </c>
    </row>
    <row r="297" spans="1:36" x14ac:dyDescent="0.3">
      <c r="A297">
        <f>COUNTIF($D$2:D297,D297)</f>
        <v>13</v>
      </c>
      <c r="B297" t="str">
        <f t="shared" si="17"/>
        <v>13Bristol, City of</v>
      </c>
      <c r="C297" t="s">
        <v>1580</v>
      </c>
      <c r="D297" t="s">
        <v>95</v>
      </c>
      <c r="E297">
        <v>43</v>
      </c>
      <c r="F297" t="s">
        <v>1581</v>
      </c>
      <c r="G297" t="s">
        <v>800</v>
      </c>
      <c r="H297" t="s">
        <v>850</v>
      </c>
      <c r="I297" t="s">
        <v>802</v>
      </c>
      <c r="J297">
        <f t="shared" ca="1" si="18"/>
        <v>826856</v>
      </c>
      <c r="K297">
        <f t="shared" ca="1" si="19"/>
        <v>0</v>
      </c>
      <c r="N297" t="str">
        <f t="shared" si="16"/>
        <v>Brent44Community Based SchemesCommunity Based SchemesMultidisciplinary teams that are supporting independence, such as anticipatory care</v>
      </c>
      <c r="O297" t="s">
        <v>91</v>
      </c>
      <c r="P297" t="s">
        <v>790</v>
      </c>
      <c r="Q297">
        <v>44</v>
      </c>
      <c r="R297" t="s">
        <v>1453</v>
      </c>
      <c r="S297" t="s">
        <v>1582</v>
      </c>
      <c r="T297" t="s">
        <v>1453</v>
      </c>
      <c r="U297" t="s">
        <v>1454</v>
      </c>
      <c r="W297">
        <v>7273</v>
      </c>
      <c r="X297">
        <v>7380</v>
      </c>
      <c r="Y297" t="s">
        <v>794</v>
      </c>
      <c r="Z297" t="s">
        <v>823</v>
      </c>
      <c r="AB297" t="s">
        <v>824</v>
      </c>
      <c r="AD297" t="s">
        <v>794</v>
      </c>
      <c r="AE297" t="s">
        <v>832</v>
      </c>
      <c r="AF297" t="s">
        <v>796</v>
      </c>
      <c r="AG297" t="s">
        <v>797</v>
      </c>
      <c r="AH297">
        <v>3207223.3986754115</v>
      </c>
      <c r="AI297">
        <v>3388752.2430404397</v>
      </c>
      <c r="AJ297">
        <v>1</v>
      </c>
    </row>
    <row r="298" spans="1:36" x14ac:dyDescent="0.3">
      <c r="A298">
        <f>COUNTIF($D$2:D298,D298)</f>
        <v>14</v>
      </c>
      <c r="B298" t="str">
        <f t="shared" si="17"/>
        <v>14Bristol, City of</v>
      </c>
      <c r="C298" t="s">
        <v>1583</v>
      </c>
      <c r="D298" t="s">
        <v>95</v>
      </c>
      <c r="E298">
        <v>44</v>
      </c>
      <c r="F298" t="s">
        <v>1584</v>
      </c>
      <c r="G298" t="s">
        <v>806</v>
      </c>
      <c r="H298" t="s">
        <v>807</v>
      </c>
      <c r="I298" t="s">
        <v>808</v>
      </c>
      <c r="J298">
        <f t="shared" ca="1" si="18"/>
        <v>3309803</v>
      </c>
      <c r="K298">
        <f t="shared" ca="1" si="19"/>
        <v>0</v>
      </c>
      <c r="N298" t="str">
        <f t="shared" si="16"/>
        <v>Brent46Community Based SchemesCommunity Based SchemesMultidisciplinary teams that are supporting independence, such as anticipatory care</v>
      </c>
      <c r="O298" t="s">
        <v>91</v>
      </c>
      <c r="P298" t="s">
        <v>790</v>
      </c>
      <c r="Q298">
        <v>46</v>
      </c>
      <c r="R298" t="s">
        <v>1453</v>
      </c>
      <c r="S298" t="s">
        <v>1585</v>
      </c>
      <c r="T298" t="s">
        <v>1453</v>
      </c>
      <c r="U298" t="s">
        <v>1454</v>
      </c>
      <c r="W298">
        <v>438</v>
      </c>
      <c r="X298">
        <v>445</v>
      </c>
      <c r="Y298" t="s">
        <v>794</v>
      </c>
      <c r="Z298" t="s">
        <v>823</v>
      </c>
      <c r="AB298" t="s">
        <v>824</v>
      </c>
      <c r="AD298" t="s">
        <v>794</v>
      </c>
      <c r="AE298" t="s">
        <v>832</v>
      </c>
      <c r="AF298" t="s">
        <v>796</v>
      </c>
      <c r="AG298" t="s">
        <v>797</v>
      </c>
      <c r="AH298">
        <v>1064242.483951733</v>
      </c>
      <c r="AI298">
        <v>1124478.6085434011</v>
      </c>
      <c r="AJ298">
        <v>0.09</v>
      </c>
    </row>
    <row r="299" spans="1:36" x14ac:dyDescent="0.3">
      <c r="A299">
        <f>COUNTIF($D$2:D299,D299)</f>
        <v>15</v>
      </c>
      <c r="B299" t="str">
        <f t="shared" si="17"/>
        <v>15Bristol, City of</v>
      </c>
      <c r="C299" t="s">
        <v>1586</v>
      </c>
      <c r="D299" t="s">
        <v>95</v>
      </c>
      <c r="E299">
        <v>47</v>
      </c>
      <c r="F299" t="s">
        <v>1587</v>
      </c>
      <c r="G299" t="s">
        <v>877</v>
      </c>
      <c r="H299" t="s">
        <v>878</v>
      </c>
      <c r="I299" t="s">
        <v>879</v>
      </c>
      <c r="J299">
        <f t="shared" ca="1" si="18"/>
        <v>2207328</v>
      </c>
      <c r="K299">
        <f t="shared" ca="1" si="19"/>
        <v>0</v>
      </c>
      <c r="N299" t="str">
        <f t="shared" si="16"/>
        <v>Brent47ICCS - Integrated Care Co-Ordinators ServiceCommunity Based SchemesIntegrated neighbourhood services</v>
      </c>
      <c r="O299" t="s">
        <v>91</v>
      </c>
      <c r="P299" t="s">
        <v>790</v>
      </c>
      <c r="Q299">
        <v>47</v>
      </c>
      <c r="R299" t="s">
        <v>1459</v>
      </c>
      <c r="S299" t="s">
        <v>1588</v>
      </c>
      <c r="T299" t="s">
        <v>1453</v>
      </c>
      <c r="U299" t="s">
        <v>1460</v>
      </c>
      <c r="W299">
        <v>540</v>
      </c>
      <c r="X299">
        <v>548</v>
      </c>
      <c r="Y299" t="s">
        <v>794</v>
      </c>
      <c r="Z299" t="s">
        <v>823</v>
      </c>
      <c r="AB299" t="s">
        <v>824</v>
      </c>
      <c r="AD299" t="s">
        <v>794</v>
      </c>
      <c r="AE299" t="s">
        <v>832</v>
      </c>
      <c r="AF299" t="s">
        <v>796</v>
      </c>
      <c r="AG299" t="s">
        <v>797</v>
      </c>
      <c r="AH299">
        <v>229007.58606870697</v>
      </c>
      <c r="AI299">
        <v>241969.41544019576</v>
      </c>
      <c r="AJ299">
        <v>1</v>
      </c>
    </row>
    <row r="300" spans="1:36" x14ac:dyDescent="0.3">
      <c r="A300">
        <f>COUNTIF($D$2:D300,D300)</f>
        <v>16</v>
      </c>
      <c r="B300" t="str">
        <f t="shared" si="17"/>
        <v>16Bristol, City of</v>
      </c>
      <c r="C300" t="s">
        <v>1589</v>
      </c>
      <c r="D300" t="s">
        <v>95</v>
      </c>
      <c r="E300">
        <v>49</v>
      </c>
      <c r="F300" t="s">
        <v>1590</v>
      </c>
      <c r="G300" t="s">
        <v>806</v>
      </c>
      <c r="H300" t="s">
        <v>807</v>
      </c>
      <c r="I300" t="s">
        <v>808</v>
      </c>
      <c r="J300">
        <f t="shared" ca="1" si="18"/>
        <v>290710</v>
      </c>
      <c r="K300">
        <f t="shared" ca="1" si="19"/>
        <v>0</v>
      </c>
      <c r="N300" t="str">
        <f t="shared" si="16"/>
        <v>Brent49Integrated Rehab and Reablement Community Based SchemesMultidisciplinary teams that are supporting independence, such as anticipatory care</v>
      </c>
      <c r="O300" t="s">
        <v>91</v>
      </c>
      <c r="P300" t="s">
        <v>790</v>
      </c>
      <c r="Q300">
        <v>49</v>
      </c>
      <c r="R300" t="s">
        <v>1463</v>
      </c>
      <c r="S300" t="s">
        <v>1591</v>
      </c>
      <c r="T300" t="s">
        <v>1453</v>
      </c>
      <c r="U300" t="s">
        <v>1454</v>
      </c>
      <c r="W300">
        <v>7461</v>
      </c>
      <c r="X300">
        <v>7573</v>
      </c>
      <c r="Y300" t="s">
        <v>794</v>
      </c>
      <c r="Z300" t="s">
        <v>823</v>
      </c>
      <c r="AB300" t="s">
        <v>824</v>
      </c>
      <c r="AD300" t="s">
        <v>794</v>
      </c>
      <c r="AE300" t="s">
        <v>832</v>
      </c>
      <c r="AF300" t="s">
        <v>796</v>
      </c>
      <c r="AG300" t="s">
        <v>797</v>
      </c>
      <c r="AH300">
        <v>1475343.5733504752</v>
      </c>
      <c r="AI300">
        <v>1558848.019602112</v>
      </c>
      <c r="AJ300">
        <v>1</v>
      </c>
    </row>
    <row r="301" spans="1:36" x14ac:dyDescent="0.3">
      <c r="A301">
        <f>COUNTIF($D$2:D301,D301)</f>
        <v>17</v>
      </c>
      <c r="B301" t="str">
        <f t="shared" si="17"/>
        <v>17Bristol, City of</v>
      </c>
      <c r="C301" t="s">
        <v>1592</v>
      </c>
      <c r="D301" t="s">
        <v>95</v>
      </c>
      <c r="E301">
        <v>50</v>
      </c>
      <c r="F301" t="s">
        <v>1593</v>
      </c>
      <c r="G301" t="s">
        <v>842</v>
      </c>
      <c r="H301" t="s">
        <v>1594</v>
      </c>
      <c r="I301" t="s">
        <v>844</v>
      </c>
      <c r="J301">
        <f t="shared" ca="1" si="18"/>
        <v>67087</v>
      </c>
      <c r="K301">
        <f t="shared" ca="1" si="19"/>
        <v>0</v>
      </c>
      <c r="N301" t="str">
        <f t="shared" si="16"/>
        <v>Brent50Tissue ViabilityCommunity Based SchemesMultidisciplinary teams that are supporting independence, such as anticipatory care</v>
      </c>
      <c r="O301" t="s">
        <v>91</v>
      </c>
      <c r="P301" t="s">
        <v>790</v>
      </c>
      <c r="Q301">
        <v>50</v>
      </c>
      <c r="R301" t="s">
        <v>1467</v>
      </c>
      <c r="S301" t="s">
        <v>1595</v>
      </c>
      <c r="T301" t="s">
        <v>1453</v>
      </c>
      <c r="U301" t="s">
        <v>1454</v>
      </c>
      <c r="W301">
        <v>4323</v>
      </c>
      <c r="X301">
        <v>4388</v>
      </c>
      <c r="Y301" t="s">
        <v>794</v>
      </c>
      <c r="Z301" t="s">
        <v>823</v>
      </c>
      <c r="AB301" t="s">
        <v>824</v>
      </c>
      <c r="AD301" t="s">
        <v>794</v>
      </c>
      <c r="AE301" t="s">
        <v>832</v>
      </c>
      <c r="AF301" t="s">
        <v>796</v>
      </c>
      <c r="AG301" t="s">
        <v>797</v>
      </c>
      <c r="AH301">
        <v>502183.54399791901</v>
      </c>
      <c r="AI301">
        <v>530607.1325882012</v>
      </c>
      <c r="AJ301">
        <v>1</v>
      </c>
    </row>
    <row r="302" spans="1:36" x14ac:dyDescent="0.3">
      <c r="A302">
        <f>COUNTIF($D$2:D302,D302)</f>
        <v>18</v>
      </c>
      <c r="B302" t="str">
        <f t="shared" si="17"/>
        <v>18Bristol, City of</v>
      </c>
      <c r="C302" t="s">
        <v>1596</v>
      </c>
      <c r="D302" t="s">
        <v>95</v>
      </c>
      <c r="E302">
        <v>51</v>
      </c>
      <c r="F302" t="s">
        <v>1597</v>
      </c>
      <c r="G302" t="s">
        <v>842</v>
      </c>
      <c r="H302" t="s">
        <v>843</v>
      </c>
      <c r="I302" t="s">
        <v>844</v>
      </c>
      <c r="J302">
        <f t="shared" ca="1" si="18"/>
        <v>827402</v>
      </c>
      <c r="K302">
        <f t="shared" ca="1" si="19"/>
        <v>0</v>
      </c>
      <c r="N302" t="str">
        <f t="shared" si="16"/>
        <v>Brent53Community EquipmentAssistive Technologies and EquipmentCommunity based equipment</v>
      </c>
      <c r="O302" t="s">
        <v>91</v>
      </c>
      <c r="P302" t="s">
        <v>790</v>
      </c>
      <c r="Q302">
        <v>53</v>
      </c>
      <c r="R302" t="s">
        <v>1051</v>
      </c>
      <c r="S302" t="s">
        <v>1598</v>
      </c>
      <c r="T302" t="s">
        <v>800</v>
      </c>
      <c r="U302" t="s">
        <v>903</v>
      </c>
      <c r="W302">
        <v>30348</v>
      </c>
      <c r="X302">
        <v>30803</v>
      </c>
      <c r="Y302" t="s">
        <v>802</v>
      </c>
      <c r="Z302" t="s">
        <v>823</v>
      </c>
      <c r="AB302" t="s">
        <v>824</v>
      </c>
      <c r="AD302" t="s">
        <v>794</v>
      </c>
      <c r="AE302" t="s">
        <v>795</v>
      </c>
      <c r="AF302" t="s">
        <v>796</v>
      </c>
      <c r="AG302" t="s">
        <v>861</v>
      </c>
      <c r="AH302">
        <v>1532931</v>
      </c>
      <c r="AI302">
        <v>1619694.8946</v>
      </c>
      <c r="AJ302">
        <v>0.6</v>
      </c>
    </row>
    <row r="303" spans="1:36" x14ac:dyDescent="0.3">
      <c r="A303">
        <f>COUNTIF($D$2:D303,D303)</f>
        <v>19</v>
      </c>
      <c r="B303" t="str">
        <f t="shared" si="17"/>
        <v>19Bristol, City of</v>
      </c>
      <c r="C303" t="s">
        <v>1599</v>
      </c>
      <c r="D303" t="s">
        <v>95</v>
      </c>
      <c r="E303">
        <v>53</v>
      </c>
      <c r="F303" t="s">
        <v>1600</v>
      </c>
      <c r="G303" t="s">
        <v>842</v>
      </c>
      <c r="H303" t="s">
        <v>1594</v>
      </c>
      <c r="I303" t="s">
        <v>844</v>
      </c>
      <c r="J303">
        <f t="shared" ca="1" si="18"/>
        <v>111811</v>
      </c>
      <c r="K303">
        <f t="shared" ca="1" si="19"/>
        <v>0</v>
      </c>
      <c r="N303" t="str">
        <f t="shared" si="16"/>
        <v>Brent58Urgent Response Service (extending night-time care and support provision)Home Care or Domiciliary CareDomiciliary care packages</v>
      </c>
      <c r="O303" t="s">
        <v>91</v>
      </c>
      <c r="P303" t="s">
        <v>790</v>
      </c>
      <c r="Q303">
        <v>58</v>
      </c>
      <c r="R303" t="s">
        <v>1472</v>
      </c>
      <c r="S303" t="s">
        <v>1576</v>
      </c>
      <c r="T303" t="s">
        <v>842</v>
      </c>
      <c r="U303" t="s">
        <v>843</v>
      </c>
      <c r="W303">
        <v>64240</v>
      </c>
      <c r="X303">
        <v>65204</v>
      </c>
      <c r="Y303" t="s">
        <v>844</v>
      </c>
      <c r="Z303" t="s">
        <v>792</v>
      </c>
      <c r="AB303" t="s">
        <v>793</v>
      </c>
      <c r="AD303" t="s">
        <v>794</v>
      </c>
      <c r="AE303" t="s">
        <v>795</v>
      </c>
      <c r="AF303" t="s">
        <v>864</v>
      </c>
      <c r="AG303" t="s">
        <v>797</v>
      </c>
      <c r="AH303">
        <v>341000</v>
      </c>
      <c r="AI303">
        <v>566060</v>
      </c>
      <c r="AJ303">
        <v>1</v>
      </c>
    </row>
    <row r="304" spans="1:36" x14ac:dyDescent="0.3">
      <c r="A304">
        <f>COUNTIF($D$2:D304,D304)</f>
        <v>20</v>
      </c>
      <c r="B304" t="str">
        <f t="shared" si="17"/>
        <v>20Bristol, City of</v>
      </c>
      <c r="C304" t="s">
        <v>1601</v>
      </c>
      <c r="D304" t="s">
        <v>95</v>
      </c>
      <c r="E304">
        <v>54</v>
      </c>
      <c r="F304" t="s">
        <v>1051</v>
      </c>
      <c r="G304" t="s">
        <v>800</v>
      </c>
      <c r="H304" t="s">
        <v>903</v>
      </c>
      <c r="I304" t="s">
        <v>802</v>
      </c>
      <c r="J304">
        <f t="shared" ca="1" si="18"/>
        <v>630370.72</v>
      </c>
      <c r="K304">
        <f t="shared" ca="1" si="19"/>
        <v>0</v>
      </c>
      <c r="N304" t="str">
        <f t="shared" si="16"/>
        <v>Brent5924 Hours care packages for Complex Care PatientsHome Care or Domiciliary CareDomiciliary care packages</v>
      </c>
      <c r="O304" t="s">
        <v>91</v>
      </c>
      <c r="P304" t="s">
        <v>790</v>
      </c>
      <c r="Q304">
        <v>59</v>
      </c>
      <c r="R304" t="s">
        <v>1475</v>
      </c>
      <c r="S304" t="s">
        <v>1576</v>
      </c>
      <c r="T304" t="s">
        <v>842</v>
      </c>
      <c r="U304" t="s">
        <v>843</v>
      </c>
      <c r="W304">
        <v>17520</v>
      </c>
      <c r="X304">
        <v>17783</v>
      </c>
      <c r="Y304" t="s">
        <v>844</v>
      </c>
      <c r="Z304" t="s">
        <v>792</v>
      </c>
      <c r="AB304" t="s">
        <v>793</v>
      </c>
      <c r="AD304" t="s">
        <v>794</v>
      </c>
      <c r="AE304" t="s">
        <v>795</v>
      </c>
      <c r="AF304" t="s">
        <v>864</v>
      </c>
      <c r="AG304" t="s">
        <v>797</v>
      </c>
      <c r="AH304">
        <v>684000</v>
      </c>
      <c r="AI304">
        <v>1135440</v>
      </c>
      <c r="AJ304">
        <v>1</v>
      </c>
    </row>
    <row r="305" spans="1:36" x14ac:dyDescent="0.3">
      <c r="A305">
        <f>COUNTIF($D$2:D305,D305)</f>
        <v>21</v>
      </c>
      <c r="B305" t="str">
        <f t="shared" si="17"/>
        <v>21Bristol, City of</v>
      </c>
      <c r="C305" t="s">
        <v>1602</v>
      </c>
      <c r="D305" t="s">
        <v>95</v>
      </c>
      <c r="E305">
        <v>59</v>
      </c>
      <c r="F305" t="s">
        <v>1603</v>
      </c>
      <c r="G305" t="s">
        <v>787</v>
      </c>
      <c r="H305" t="s">
        <v>886</v>
      </c>
      <c r="I305" t="s">
        <v>789</v>
      </c>
      <c r="J305">
        <f t="shared" ca="1" si="18"/>
        <v>98000</v>
      </c>
      <c r="K305">
        <f t="shared" ca="1" si="19"/>
        <v>0.05</v>
      </c>
      <c r="N305" t="str">
        <f t="shared" si="16"/>
        <v>Brent63Short-Term Step-Down Beds(6 Months)Bed based intermediate Care Services (Reablement, rehabilitation, wider short-term services supporting recovery)Bed-based intermediate care with reablement accepting step up and step down users</v>
      </c>
      <c r="O305" t="s">
        <v>91</v>
      </c>
      <c r="P305" t="s">
        <v>790</v>
      </c>
      <c r="Q305">
        <v>63</v>
      </c>
      <c r="R305" t="s">
        <v>1478</v>
      </c>
      <c r="S305" t="s">
        <v>1604</v>
      </c>
      <c r="T305" t="s">
        <v>877</v>
      </c>
      <c r="U305" t="s">
        <v>1259</v>
      </c>
      <c r="W305">
        <v>4</v>
      </c>
      <c r="X305">
        <v>4</v>
      </c>
      <c r="Y305" t="s">
        <v>879</v>
      </c>
      <c r="Z305" t="s">
        <v>792</v>
      </c>
      <c r="AB305" t="s">
        <v>793</v>
      </c>
      <c r="AD305" t="s">
        <v>794</v>
      </c>
      <c r="AE305" t="s">
        <v>795</v>
      </c>
      <c r="AF305" t="s">
        <v>864</v>
      </c>
      <c r="AG305" t="s">
        <v>797</v>
      </c>
      <c r="AH305">
        <v>114000</v>
      </c>
      <c r="AI305">
        <v>189240</v>
      </c>
      <c r="AJ305">
        <v>1</v>
      </c>
    </row>
    <row r="306" spans="1:36" x14ac:dyDescent="0.3">
      <c r="A306">
        <f>COUNTIF($D$2:D306,D306)</f>
        <v>22</v>
      </c>
      <c r="B306" t="str">
        <f t="shared" si="17"/>
        <v>22Bristol, City of</v>
      </c>
      <c r="C306" t="s">
        <v>1605</v>
      </c>
      <c r="D306" t="s">
        <v>95</v>
      </c>
      <c r="E306">
        <v>60</v>
      </c>
      <c r="F306" t="s">
        <v>1603</v>
      </c>
      <c r="G306" t="s">
        <v>842</v>
      </c>
      <c r="H306" t="s">
        <v>843</v>
      </c>
      <c r="I306" t="s">
        <v>844</v>
      </c>
      <c r="J306">
        <f t="shared" ca="1" si="18"/>
        <v>1639000</v>
      </c>
      <c r="K306">
        <f t="shared" ca="1" si="19"/>
        <v>0.05</v>
      </c>
      <c r="N306" t="str">
        <f t="shared" si="16"/>
        <v>Brent65Wrap Around Care Packages for patients with Dementia in community Home Care or Domiciliary CareDomiciliary care packages</v>
      </c>
      <c r="O306" t="s">
        <v>91</v>
      </c>
      <c r="P306" t="s">
        <v>790</v>
      </c>
      <c r="Q306">
        <v>65</v>
      </c>
      <c r="R306" t="s">
        <v>1481</v>
      </c>
      <c r="S306" t="s">
        <v>1576</v>
      </c>
      <c r="T306" t="s">
        <v>842</v>
      </c>
      <c r="U306" t="s">
        <v>843</v>
      </c>
      <c r="W306">
        <v>3720</v>
      </c>
      <c r="X306">
        <v>3775</v>
      </c>
      <c r="Y306" t="s">
        <v>844</v>
      </c>
      <c r="Z306" t="s">
        <v>792</v>
      </c>
      <c r="AB306" t="s">
        <v>793</v>
      </c>
      <c r="AD306" t="s">
        <v>794</v>
      </c>
      <c r="AE306" t="s">
        <v>795</v>
      </c>
      <c r="AF306" t="s">
        <v>864</v>
      </c>
      <c r="AG306" t="s">
        <v>861</v>
      </c>
      <c r="AH306">
        <v>100000</v>
      </c>
      <c r="AI306">
        <v>166000</v>
      </c>
      <c r="AJ306">
        <v>1</v>
      </c>
    </row>
    <row r="307" spans="1:36" x14ac:dyDescent="0.3">
      <c r="A307">
        <f>COUNTIF($D$2:D307,D307)</f>
        <v>23</v>
      </c>
      <c r="B307" t="str">
        <f t="shared" si="17"/>
        <v>23Bristol, City of</v>
      </c>
      <c r="C307" t="s">
        <v>1606</v>
      </c>
      <c r="D307" t="s">
        <v>95</v>
      </c>
      <c r="E307">
        <v>64</v>
      </c>
      <c r="F307" t="s">
        <v>1607</v>
      </c>
      <c r="G307" t="s">
        <v>877</v>
      </c>
      <c r="H307" t="s">
        <v>995</v>
      </c>
      <c r="I307" t="s">
        <v>879</v>
      </c>
      <c r="J307">
        <f t="shared" ca="1" si="18"/>
        <v>101000</v>
      </c>
      <c r="K307">
        <f t="shared" ca="1" si="19"/>
        <v>0.05</v>
      </c>
      <c r="N307" t="str">
        <f t="shared" si="16"/>
        <v>Brent66Community EquipmentAssistive Technologies and EquipmentAssistive technologies including telecare</v>
      </c>
      <c r="O307" t="s">
        <v>91</v>
      </c>
      <c r="P307" t="s">
        <v>790</v>
      </c>
      <c r="Q307">
        <v>66</v>
      </c>
      <c r="R307" t="s">
        <v>1051</v>
      </c>
      <c r="S307" t="s">
        <v>1051</v>
      </c>
      <c r="T307" t="s">
        <v>800</v>
      </c>
      <c r="U307" t="s">
        <v>850</v>
      </c>
      <c r="W307">
        <v>1500</v>
      </c>
      <c r="X307">
        <v>1522</v>
      </c>
      <c r="Y307" t="s">
        <v>802</v>
      </c>
      <c r="Z307" t="s">
        <v>792</v>
      </c>
      <c r="AB307" t="s">
        <v>793</v>
      </c>
      <c r="AD307" t="s">
        <v>794</v>
      </c>
      <c r="AE307" t="s">
        <v>795</v>
      </c>
      <c r="AF307" t="s">
        <v>864</v>
      </c>
      <c r="AG307" t="s">
        <v>861</v>
      </c>
      <c r="AH307">
        <v>99905</v>
      </c>
      <c r="AI307">
        <v>165842.29999999999</v>
      </c>
      <c r="AJ307">
        <v>0.03</v>
      </c>
    </row>
    <row r="308" spans="1:36" x14ac:dyDescent="0.3">
      <c r="A308">
        <f>COUNTIF($D$2:D308,D308)</f>
        <v>24</v>
      </c>
      <c r="B308" t="str">
        <f t="shared" si="17"/>
        <v>24Bristol, City of</v>
      </c>
      <c r="C308" t="s">
        <v>1608</v>
      </c>
      <c r="D308" t="s">
        <v>95</v>
      </c>
      <c r="E308">
        <v>65</v>
      </c>
      <c r="F308" t="s">
        <v>1607</v>
      </c>
      <c r="G308" t="s">
        <v>877</v>
      </c>
      <c r="H308" t="s">
        <v>995</v>
      </c>
      <c r="I308" t="s">
        <v>879</v>
      </c>
      <c r="J308">
        <f t="shared" ca="1" si="18"/>
        <v>1857000</v>
      </c>
      <c r="K308">
        <f t="shared" ca="1" si="19"/>
        <v>0.05</v>
      </c>
      <c r="N308" t="str">
        <f t="shared" si="16"/>
        <v>Brent67Community Based SchemesResidential PlacementsSupported housing</v>
      </c>
      <c r="O308" t="s">
        <v>91</v>
      </c>
      <c r="P308" t="s">
        <v>790</v>
      </c>
      <c r="Q308">
        <v>67</v>
      </c>
      <c r="R308" t="s">
        <v>1453</v>
      </c>
      <c r="S308" t="s">
        <v>1585</v>
      </c>
      <c r="T308" t="s">
        <v>806</v>
      </c>
      <c r="U308" t="s">
        <v>873</v>
      </c>
      <c r="W308">
        <v>893</v>
      </c>
      <c r="X308">
        <v>906</v>
      </c>
      <c r="Y308" t="s">
        <v>808</v>
      </c>
      <c r="Z308" t="s">
        <v>792</v>
      </c>
      <c r="AB308" t="s">
        <v>824</v>
      </c>
      <c r="AD308" t="s">
        <v>794</v>
      </c>
      <c r="AE308" t="s">
        <v>795</v>
      </c>
      <c r="AF308" t="s">
        <v>1042</v>
      </c>
      <c r="AG308" t="s">
        <v>797</v>
      </c>
      <c r="AH308">
        <v>416000</v>
      </c>
      <c r="AI308">
        <v>416000</v>
      </c>
      <c r="AJ308">
        <v>0.03</v>
      </c>
    </row>
    <row r="309" spans="1:36" x14ac:dyDescent="0.3">
      <c r="A309">
        <f>COUNTIF($D$2:D309,D309)</f>
        <v>25</v>
      </c>
      <c r="B309" t="str">
        <f t="shared" si="17"/>
        <v>25Bristol, City of</v>
      </c>
      <c r="C309" t="s">
        <v>1609</v>
      </c>
      <c r="D309" t="s">
        <v>95</v>
      </c>
      <c r="E309">
        <v>67</v>
      </c>
      <c r="F309" t="s">
        <v>1610</v>
      </c>
      <c r="G309" t="s">
        <v>877</v>
      </c>
      <c r="H309" t="s">
        <v>878</v>
      </c>
      <c r="I309" t="s">
        <v>879</v>
      </c>
      <c r="J309">
        <f t="shared" ca="1" si="18"/>
        <v>345000</v>
      </c>
      <c r="K309">
        <f t="shared" ca="1" si="19"/>
        <v>0.05</v>
      </c>
      <c r="N309" t="str">
        <f t="shared" si="16"/>
        <v xml:space="preserve">Brent71Intermediate Care ServicesHome-based intermediate care servicesReablement at home (to support discharge) </v>
      </c>
      <c r="O309" t="s">
        <v>91</v>
      </c>
      <c r="P309" t="s">
        <v>790</v>
      </c>
      <c r="Q309">
        <v>71</v>
      </c>
      <c r="R309" t="s">
        <v>969</v>
      </c>
      <c r="S309" t="s">
        <v>1611</v>
      </c>
      <c r="T309" t="s">
        <v>787</v>
      </c>
      <c r="U309" t="s">
        <v>788</v>
      </c>
      <c r="W309">
        <v>893</v>
      </c>
      <c r="X309">
        <v>906</v>
      </c>
      <c r="Y309" t="s">
        <v>789</v>
      </c>
      <c r="Z309" t="s">
        <v>823</v>
      </c>
      <c r="AB309" t="s">
        <v>824</v>
      </c>
      <c r="AD309" t="s">
        <v>794</v>
      </c>
      <c r="AE309" t="s">
        <v>795</v>
      </c>
      <c r="AF309" t="s">
        <v>1042</v>
      </c>
      <c r="AG309" t="s">
        <v>797</v>
      </c>
      <c r="AH309">
        <v>550000</v>
      </c>
      <c r="AI309">
        <v>550000</v>
      </c>
      <c r="AJ309">
        <v>0.4</v>
      </c>
    </row>
    <row r="310" spans="1:36" x14ac:dyDescent="0.3">
      <c r="A310">
        <f>COUNTIF($D$2:D310,D310)</f>
        <v>26</v>
      </c>
      <c r="B310" t="str">
        <f t="shared" si="17"/>
        <v>26Bristol, City of</v>
      </c>
      <c r="C310" t="s">
        <v>1612</v>
      </c>
      <c r="D310" t="s">
        <v>95</v>
      </c>
      <c r="E310">
        <v>69</v>
      </c>
      <c r="F310" t="s">
        <v>1607</v>
      </c>
      <c r="G310" t="s">
        <v>877</v>
      </c>
      <c r="H310" t="s">
        <v>878</v>
      </c>
      <c r="I310" t="s">
        <v>879</v>
      </c>
      <c r="J310">
        <f t="shared" ca="1" si="18"/>
        <v>360000</v>
      </c>
      <c r="K310">
        <f t="shared" ca="1" si="19"/>
        <v>0.05</v>
      </c>
      <c r="N310" t="str">
        <f t="shared" si="16"/>
        <v>Brent72Step down bedsBed based intermediate Care Services (Reablement, rehabilitation, wider short-term services supporting recovery)Bed-based intermediate care with rehabilitation (to support discharge)</v>
      </c>
      <c r="O310" t="s">
        <v>91</v>
      </c>
      <c r="P310" t="s">
        <v>790</v>
      </c>
      <c r="Q310">
        <v>72</v>
      </c>
      <c r="R310" t="s">
        <v>1394</v>
      </c>
      <c r="S310" t="s">
        <v>1394</v>
      </c>
      <c r="T310" t="s">
        <v>877</v>
      </c>
      <c r="U310" t="s">
        <v>968</v>
      </c>
      <c r="W310">
        <v>152</v>
      </c>
      <c r="X310">
        <v>154</v>
      </c>
      <c r="Y310" t="s">
        <v>879</v>
      </c>
      <c r="Z310" t="s">
        <v>792</v>
      </c>
      <c r="AB310" t="s">
        <v>824</v>
      </c>
      <c r="AD310" t="s">
        <v>794</v>
      </c>
      <c r="AE310" t="s">
        <v>795</v>
      </c>
      <c r="AF310" t="s">
        <v>1042</v>
      </c>
      <c r="AG310" t="s">
        <v>797</v>
      </c>
      <c r="AH310">
        <v>250000</v>
      </c>
      <c r="AI310">
        <v>250000</v>
      </c>
      <c r="AJ310">
        <v>1</v>
      </c>
    </row>
    <row r="311" spans="1:36" x14ac:dyDescent="0.3">
      <c r="A311">
        <f>COUNTIF($D$2:D311,D311)</f>
        <v>1</v>
      </c>
      <c r="B311" t="str">
        <f t="shared" si="17"/>
        <v>1Bromley</v>
      </c>
      <c r="C311" t="s">
        <v>1613</v>
      </c>
      <c r="D311" t="s">
        <v>97</v>
      </c>
      <c r="E311">
        <v>6</v>
      </c>
      <c r="F311" t="s">
        <v>1034</v>
      </c>
      <c r="G311" t="s">
        <v>800</v>
      </c>
      <c r="H311" t="s">
        <v>812</v>
      </c>
      <c r="I311" t="s">
        <v>802</v>
      </c>
      <c r="J311">
        <f t="shared" ca="1" si="18"/>
        <v>155102</v>
      </c>
      <c r="K311">
        <f t="shared" ca="1" si="19"/>
        <v>553</v>
      </c>
      <c r="N311" t="str">
        <f t="shared" si="16"/>
        <v>Brent77Community EquipmentAssistive Technologies and EquipmentAssistive technologies including telecare</v>
      </c>
      <c r="O311" t="s">
        <v>91</v>
      </c>
      <c r="P311" t="s">
        <v>790</v>
      </c>
      <c r="Q311">
        <v>77</v>
      </c>
      <c r="R311" t="s">
        <v>1051</v>
      </c>
      <c r="S311" t="s">
        <v>1051</v>
      </c>
      <c r="T311" t="s">
        <v>800</v>
      </c>
      <c r="U311" t="s">
        <v>850</v>
      </c>
      <c r="V311" t="s">
        <v>1614</v>
      </c>
      <c r="W311">
        <v>1000</v>
      </c>
      <c r="X311">
        <v>1000</v>
      </c>
      <c r="Y311" t="s">
        <v>802</v>
      </c>
      <c r="Z311" t="s">
        <v>823</v>
      </c>
      <c r="AA311" t="s">
        <v>1614</v>
      </c>
      <c r="AB311" t="s">
        <v>824</v>
      </c>
      <c r="AD311" t="s">
        <v>794</v>
      </c>
      <c r="AE311" t="s">
        <v>795</v>
      </c>
      <c r="AF311" t="s">
        <v>860</v>
      </c>
      <c r="AG311" t="s">
        <v>797</v>
      </c>
      <c r="AH311">
        <v>268068</v>
      </c>
      <c r="AI311">
        <v>268068</v>
      </c>
      <c r="AJ311">
        <v>0.09</v>
      </c>
    </row>
    <row r="312" spans="1:36" x14ac:dyDescent="0.3">
      <c r="A312">
        <f>COUNTIF($D$2:D312,D312)</f>
        <v>2</v>
      </c>
      <c r="B312" t="str">
        <f t="shared" si="17"/>
        <v>2Bromley</v>
      </c>
      <c r="C312" t="s">
        <v>1615</v>
      </c>
      <c r="D312" t="s">
        <v>97</v>
      </c>
      <c r="E312">
        <v>9</v>
      </c>
      <c r="F312" t="s">
        <v>1034</v>
      </c>
      <c r="G312" t="s">
        <v>800</v>
      </c>
      <c r="H312" t="s">
        <v>903</v>
      </c>
      <c r="I312" t="s">
        <v>802</v>
      </c>
      <c r="J312">
        <f t="shared" ca="1" si="18"/>
        <v>214000</v>
      </c>
      <c r="K312">
        <f t="shared" ca="1" si="19"/>
        <v>7000</v>
      </c>
      <c r="N312" t="str">
        <f t="shared" si="16"/>
        <v>Brighton and Hove5Discharge to Assess CapacityBed based intermediate Care Services (Reablement, rehabilitation, wider short-term services supporting recovery)Bed-based intermediate care with rehabilitation (to support discharge)</v>
      </c>
      <c r="O312" t="s">
        <v>93</v>
      </c>
      <c r="P312" t="s">
        <v>1437</v>
      </c>
      <c r="Q312">
        <v>5</v>
      </c>
      <c r="R312" t="s">
        <v>1492</v>
      </c>
      <c r="S312" t="s">
        <v>1616</v>
      </c>
      <c r="T312" t="s">
        <v>877</v>
      </c>
      <c r="U312" t="s">
        <v>968</v>
      </c>
      <c r="W312">
        <v>18</v>
      </c>
      <c r="X312">
        <v>18</v>
      </c>
      <c r="Y312" t="s">
        <v>879</v>
      </c>
      <c r="Z312" t="s">
        <v>792</v>
      </c>
      <c r="AB312" t="s">
        <v>793</v>
      </c>
      <c r="AD312" t="s">
        <v>794</v>
      </c>
      <c r="AE312" t="s">
        <v>804</v>
      </c>
      <c r="AF312" t="s">
        <v>796</v>
      </c>
      <c r="AG312" t="s">
        <v>797</v>
      </c>
      <c r="AH312">
        <v>473830</v>
      </c>
      <c r="AI312">
        <v>500650</v>
      </c>
      <c r="AJ312">
        <v>0.05</v>
      </c>
    </row>
    <row r="313" spans="1:36" x14ac:dyDescent="0.3">
      <c r="A313">
        <f>COUNTIF($D$2:D313,D313)</f>
        <v>3</v>
      </c>
      <c r="B313" t="str">
        <f t="shared" si="17"/>
        <v>3Bromley</v>
      </c>
      <c r="C313" t="s">
        <v>1617</v>
      </c>
      <c r="D313" t="s">
        <v>97</v>
      </c>
      <c r="E313">
        <v>10</v>
      </c>
      <c r="F313" t="s">
        <v>1618</v>
      </c>
      <c r="G313" t="s">
        <v>842</v>
      </c>
      <c r="H313" t="s">
        <v>843</v>
      </c>
      <c r="I313" t="s">
        <v>844</v>
      </c>
      <c r="J313">
        <f t="shared" ca="1" si="18"/>
        <v>72000</v>
      </c>
      <c r="K313">
        <f t="shared" ca="1" si="19"/>
        <v>3000</v>
      </c>
      <c r="N313" t="str">
        <f t="shared" si="16"/>
        <v>Brighton and Hove6Hospital DischargeBed based intermediate Care Services (Reablement, rehabilitation, wider short-term services supporting recovery)Other</v>
      </c>
      <c r="O313" t="s">
        <v>93</v>
      </c>
      <c r="P313" t="s">
        <v>1437</v>
      </c>
      <c r="Q313">
        <v>6</v>
      </c>
      <c r="R313" t="s">
        <v>677</v>
      </c>
      <c r="S313" t="s">
        <v>1619</v>
      </c>
      <c r="T313" t="s">
        <v>877</v>
      </c>
      <c r="U313" t="s">
        <v>812</v>
      </c>
      <c r="V313" t="s">
        <v>1620</v>
      </c>
      <c r="W313">
        <v>56</v>
      </c>
      <c r="X313">
        <v>56</v>
      </c>
      <c r="Y313" t="s">
        <v>879</v>
      </c>
      <c r="Z313" t="s">
        <v>792</v>
      </c>
      <c r="AB313" t="s">
        <v>793</v>
      </c>
      <c r="AD313" t="s">
        <v>794</v>
      </c>
      <c r="AE313" t="s">
        <v>804</v>
      </c>
      <c r="AF313" t="s">
        <v>845</v>
      </c>
      <c r="AG313" t="s">
        <v>797</v>
      </c>
      <c r="AH313">
        <v>3051373</v>
      </c>
      <c r="AI313">
        <v>3051373</v>
      </c>
      <c r="AJ313">
        <v>0.3</v>
      </c>
    </row>
    <row r="314" spans="1:36" x14ac:dyDescent="0.3">
      <c r="A314">
        <f>COUNTIF($D$2:D314,D314)</f>
        <v>4</v>
      </c>
      <c r="B314" t="str">
        <f t="shared" si="17"/>
        <v>4Bromley</v>
      </c>
      <c r="C314" t="s">
        <v>1621</v>
      </c>
      <c r="D314" t="s">
        <v>97</v>
      </c>
      <c r="E314">
        <v>11</v>
      </c>
      <c r="F314" t="s">
        <v>1622</v>
      </c>
      <c r="G314" t="s">
        <v>806</v>
      </c>
      <c r="H314" t="s">
        <v>854</v>
      </c>
      <c r="I314" t="s">
        <v>808</v>
      </c>
      <c r="J314">
        <f t="shared" ca="1" si="18"/>
        <v>405460</v>
      </c>
      <c r="K314">
        <f t="shared" ca="1" si="19"/>
        <v>207</v>
      </c>
      <c r="N314" t="str">
        <f t="shared" si="16"/>
        <v>Brighton and Hove7Home First/Urgent Home Care Service (Coastal)Home Care or Domiciliary CareDomiciliary care packages</v>
      </c>
      <c r="O314" t="s">
        <v>93</v>
      </c>
      <c r="P314" t="s">
        <v>1437</v>
      </c>
      <c r="Q314">
        <v>7</v>
      </c>
      <c r="R314" t="s">
        <v>1496</v>
      </c>
      <c r="S314" t="s">
        <v>1623</v>
      </c>
      <c r="T314" t="s">
        <v>842</v>
      </c>
      <c r="U314" t="s">
        <v>843</v>
      </c>
      <c r="W314">
        <v>686</v>
      </c>
      <c r="X314">
        <v>686</v>
      </c>
      <c r="Y314" t="s">
        <v>844</v>
      </c>
      <c r="Z314" t="s">
        <v>792</v>
      </c>
      <c r="AB314" t="s">
        <v>824</v>
      </c>
      <c r="AD314" t="s">
        <v>794</v>
      </c>
      <c r="AE314" t="s">
        <v>825</v>
      </c>
      <c r="AF314" t="s">
        <v>796</v>
      </c>
      <c r="AG314" t="s">
        <v>797</v>
      </c>
      <c r="AH314">
        <v>994928.04799999995</v>
      </c>
      <c r="AI314">
        <v>994928.04799999995</v>
      </c>
      <c r="AJ314">
        <v>0.08</v>
      </c>
    </row>
    <row r="315" spans="1:36" x14ac:dyDescent="0.3">
      <c r="A315">
        <f>COUNTIF($D$2:D315,D315)</f>
        <v>5</v>
      </c>
      <c r="B315" t="str">
        <f t="shared" si="17"/>
        <v>5Bromley</v>
      </c>
      <c r="C315" t="s">
        <v>1624</v>
      </c>
      <c r="D315" t="s">
        <v>97</v>
      </c>
      <c r="E315">
        <v>12</v>
      </c>
      <c r="F315" t="s">
        <v>1625</v>
      </c>
      <c r="G315" t="s">
        <v>787</v>
      </c>
      <c r="H315" t="s">
        <v>1011</v>
      </c>
      <c r="I315" t="s">
        <v>789</v>
      </c>
      <c r="J315">
        <f t="shared" ca="1" si="18"/>
        <v>83000</v>
      </c>
      <c r="K315">
        <f t="shared" ca="1" si="19"/>
        <v>216</v>
      </c>
      <c r="N315" t="str">
        <f t="shared" si="16"/>
        <v>Brighton and Hove8Urgent Home Care Service (Coastal)Home Care or Domiciliary CareDomiciliary care packages</v>
      </c>
      <c r="O315" t="s">
        <v>93</v>
      </c>
      <c r="P315" t="s">
        <v>1437</v>
      </c>
      <c r="Q315">
        <v>8</v>
      </c>
      <c r="R315" t="s">
        <v>1499</v>
      </c>
      <c r="S315" t="s">
        <v>1623</v>
      </c>
      <c r="T315" t="s">
        <v>842</v>
      </c>
      <c r="U315" t="s">
        <v>843</v>
      </c>
      <c r="W315">
        <v>70</v>
      </c>
      <c r="X315">
        <v>70</v>
      </c>
      <c r="Y315" t="s">
        <v>844</v>
      </c>
      <c r="Z315" t="s">
        <v>792</v>
      </c>
      <c r="AB315" t="s">
        <v>824</v>
      </c>
      <c r="AD315" t="s">
        <v>794</v>
      </c>
      <c r="AE315" t="s">
        <v>825</v>
      </c>
      <c r="AF315" t="s">
        <v>796</v>
      </c>
      <c r="AG315" t="s">
        <v>797</v>
      </c>
      <c r="AH315">
        <v>157076.99280000001</v>
      </c>
      <c r="AI315">
        <v>157076.99280000001</v>
      </c>
      <c r="AJ315">
        <v>0.01</v>
      </c>
    </row>
    <row r="316" spans="1:36" x14ac:dyDescent="0.3">
      <c r="A316">
        <f>COUNTIF($D$2:D316,D316)</f>
        <v>6</v>
      </c>
      <c r="B316" t="str">
        <f t="shared" si="17"/>
        <v>6Bromley</v>
      </c>
      <c r="C316" t="s">
        <v>1626</v>
      </c>
      <c r="D316" t="s">
        <v>97</v>
      </c>
      <c r="E316">
        <v>14</v>
      </c>
      <c r="F316" t="s">
        <v>840</v>
      </c>
      <c r="G316" t="s">
        <v>834</v>
      </c>
      <c r="H316" t="s">
        <v>835</v>
      </c>
      <c r="I316" t="s">
        <v>836</v>
      </c>
      <c r="J316">
        <f t="shared" ca="1" si="18"/>
        <v>2442564</v>
      </c>
      <c r="K316">
        <f t="shared" ca="1" si="19"/>
        <v>250</v>
      </c>
      <c r="N316" t="str">
        <f t="shared" si="16"/>
        <v>Brighton and Hove10Lindridge beds - Medical CoverBed based intermediate Care Services (Reablement, rehabilitation, wider short-term services supporting recovery)Bed-based intermediate care with rehabilitation (to support discharge)</v>
      </c>
      <c r="O316" t="s">
        <v>93</v>
      </c>
      <c r="P316" t="s">
        <v>1437</v>
      </c>
      <c r="Q316">
        <v>10</v>
      </c>
      <c r="R316" t="s">
        <v>1502</v>
      </c>
      <c r="S316" t="s">
        <v>1627</v>
      </c>
      <c r="T316" t="s">
        <v>877</v>
      </c>
      <c r="U316" t="s">
        <v>968</v>
      </c>
      <c r="W316">
        <v>25</v>
      </c>
      <c r="X316">
        <v>25</v>
      </c>
      <c r="Y316" t="s">
        <v>879</v>
      </c>
      <c r="Z316" t="s">
        <v>792</v>
      </c>
      <c r="AB316" t="s">
        <v>824</v>
      </c>
      <c r="AD316" t="s">
        <v>794</v>
      </c>
      <c r="AE316" t="s">
        <v>832</v>
      </c>
      <c r="AF316" t="s">
        <v>796</v>
      </c>
      <c r="AG316" t="s">
        <v>797</v>
      </c>
      <c r="AH316">
        <v>198510</v>
      </c>
      <c r="AI316">
        <v>198510</v>
      </c>
      <c r="AJ316">
        <v>0.02</v>
      </c>
    </row>
    <row r="317" spans="1:36" x14ac:dyDescent="0.3">
      <c r="A317">
        <f>COUNTIF($D$2:D317,D317)</f>
        <v>7</v>
      </c>
      <c r="B317" t="str">
        <f t="shared" si="17"/>
        <v>7Bromley</v>
      </c>
      <c r="C317" t="s">
        <v>1628</v>
      </c>
      <c r="D317" t="s">
        <v>97</v>
      </c>
      <c r="E317">
        <v>17</v>
      </c>
      <c r="F317" t="s">
        <v>1578</v>
      </c>
      <c r="G317" t="s">
        <v>800</v>
      </c>
      <c r="H317" t="s">
        <v>812</v>
      </c>
      <c r="I317" t="s">
        <v>802</v>
      </c>
      <c r="J317">
        <f t="shared" ca="1" si="18"/>
        <v>413000</v>
      </c>
      <c r="K317">
        <f t="shared" ca="1" si="19"/>
        <v>938</v>
      </c>
      <c r="N317" t="str">
        <f t="shared" si="16"/>
        <v>Brighton and Hove14Protection for Social Care (Capital grants)DFG Related SchemesDiscretionary use of DFG</v>
      </c>
      <c r="O317" t="s">
        <v>93</v>
      </c>
      <c r="P317" t="s">
        <v>1437</v>
      </c>
      <c r="Q317">
        <v>14</v>
      </c>
      <c r="R317" t="s">
        <v>1504</v>
      </c>
      <c r="S317" t="s">
        <v>1629</v>
      </c>
      <c r="T317" t="s">
        <v>834</v>
      </c>
      <c r="U317" t="s">
        <v>1293</v>
      </c>
      <c r="W317">
        <v>200</v>
      </c>
      <c r="X317">
        <v>200</v>
      </c>
      <c r="Y317" t="s">
        <v>836</v>
      </c>
      <c r="Z317" t="s">
        <v>792</v>
      </c>
      <c r="AB317" t="s">
        <v>793</v>
      </c>
      <c r="AD317" t="s">
        <v>794</v>
      </c>
      <c r="AE317" t="s">
        <v>804</v>
      </c>
      <c r="AF317" t="s">
        <v>840</v>
      </c>
      <c r="AG317" t="s">
        <v>797</v>
      </c>
      <c r="AH317">
        <v>50000</v>
      </c>
      <c r="AI317">
        <v>50000</v>
      </c>
      <c r="AJ317">
        <v>0.02</v>
      </c>
    </row>
    <row r="318" spans="1:36" x14ac:dyDescent="0.3">
      <c r="A318">
        <f>COUNTIF($D$2:D318,D318)</f>
        <v>8</v>
      </c>
      <c r="B318" t="str">
        <f t="shared" si="17"/>
        <v>8Bromley</v>
      </c>
      <c r="C318" t="s">
        <v>1630</v>
      </c>
      <c r="D318" t="s">
        <v>97</v>
      </c>
      <c r="E318">
        <v>20</v>
      </c>
      <c r="F318" t="s">
        <v>1578</v>
      </c>
      <c r="G318" t="s">
        <v>800</v>
      </c>
      <c r="H318" t="s">
        <v>903</v>
      </c>
      <c r="I318" t="s">
        <v>802</v>
      </c>
      <c r="J318">
        <f t="shared" ca="1" si="18"/>
        <v>461000</v>
      </c>
      <c r="K318">
        <f t="shared" ca="1" si="19"/>
        <v>1773</v>
      </c>
      <c r="N318" t="str">
        <f t="shared" si="16"/>
        <v>Brighton and Hove15Disabled facilities grant (Capital grants)DFG Related SchemesAdaptations, including statutory DFG grants</v>
      </c>
      <c r="O318" t="s">
        <v>93</v>
      </c>
      <c r="P318" t="s">
        <v>1437</v>
      </c>
      <c r="Q318">
        <v>15</v>
      </c>
      <c r="R318" t="s">
        <v>1507</v>
      </c>
      <c r="S318" t="s">
        <v>1631</v>
      </c>
      <c r="T318" t="s">
        <v>834</v>
      </c>
      <c r="U318" t="s">
        <v>835</v>
      </c>
      <c r="W318">
        <v>265</v>
      </c>
      <c r="X318">
        <v>265</v>
      </c>
      <c r="Y318" t="s">
        <v>836</v>
      </c>
      <c r="Z318" t="s">
        <v>792</v>
      </c>
      <c r="AB318" t="s">
        <v>793</v>
      </c>
      <c r="AD318" t="s">
        <v>794</v>
      </c>
      <c r="AE318" t="s">
        <v>804</v>
      </c>
      <c r="AF318" t="s">
        <v>840</v>
      </c>
      <c r="AG318" t="s">
        <v>797</v>
      </c>
      <c r="AH318">
        <v>2113000</v>
      </c>
      <c r="AI318">
        <v>2113000</v>
      </c>
      <c r="AJ318">
        <v>0.98</v>
      </c>
    </row>
    <row r="319" spans="1:36" x14ac:dyDescent="0.3">
      <c r="A319">
        <f>COUNTIF($D$2:D319,D319)</f>
        <v>9</v>
      </c>
      <c r="B319" t="str">
        <f t="shared" si="17"/>
        <v>9Bromley</v>
      </c>
      <c r="C319" t="s">
        <v>1632</v>
      </c>
      <c r="D319" t="s">
        <v>97</v>
      </c>
      <c r="E319">
        <v>24</v>
      </c>
      <c r="F319" t="s">
        <v>1633</v>
      </c>
      <c r="G319" t="s">
        <v>842</v>
      </c>
      <c r="H319" t="s">
        <v>843</v>
      </c>
      <c r="I319" t="s">
        <v>844</v>
      </c>
      <c r="J319">
        <f t="shared" ca="1" si="18"/>
        <v>343000</v>
      </c>
      <c r="K319">
        <f t="shared" ca="1" si="19"/>
        <v>14291</v>
      </c>
      <c r="N319" t="str">
        <f t="shared" si="16"/>
        <v>Brighton and Hove16Telecare and Telehealth (Capital grants)Assistive Technologies and EquipmentAssistive technologies including telecare</v>
      </c>
      <c r="O319" t="s">
        <v>93</v>
      </c>
      <c r="P319" t="s">
        <v>1437</v>
      </c>
      <c r="Q319">
        <v>16</v>
      </c>
      <c r="R319" t="s">
        <v>1509</v>
      </c>
      <c r="S319" t="s">
        <v>1634</v>
      </c>
      <c r="T319" t="s">
        <v>800</v>
      </c>
      <c r="U319" t="s">
        <v>850</v>
      </c>
      <c r="W319">
        <v>5071</v>
      </c>
      <c r="X319">
        <v>5071</v>
      </c>
      <c r="Y319" t="s">
        <v>802</v>
      </c>
      <c r="Z319" t="s">
        <v>792</v>
      </c>
      <c r="AB319" t="s">
        <v>793</v>
      </c>
      <c r="AD319" t="s">
        <v>794</v>
      </c>
      <c r="AE319" t="s">
        <v>804</v>
      </c>
      <c r="AF319" t="s">
        <v>840</v>
      </c>
      <c r="AG319" t="s">
        <v>797</v>
      </c>
      <c r="AH319">
        <v>149933</v>
      </c>
      <c r="AI319">
        <v>149933</v>
      </c>
      <c r="AJ319">
        <v>0.04</v>
      </c>
    </row>
    <row r="320" spans="1:36" x14ac:dyDescent="0.3">
      <c r="A320">
        <f>COUNTIF($D$2:D320,D320)</f>
        <v>10</v>
      </c>
      <c r="B320" t="str">
        <f t="shared" si="17"/>
        <v>10Bromley</v>
      </c>
      <c r="C320" t="s">
        <v>1635</v>
      </c>
      <c r="D320" t="s">
        <v>97</v>
      </c>
      <c r="E320">
        <v>29</v>
      </c>
      <c r="F320" t="s">
        <v>1636</v>
      </c>
      <c r="G320" t="s">
        <v>811</v>
      </c>
      <c r="H320" t="s">
        <v>830</v>
      </c>
      <c r="I320" t="s">
        <v>813</v>
      </c>
      <c r="J320">
        <f t="shared" ca="1" si="18"/>
        <v>576000</v>
      </c>
      <c r="K320">
        <f t="shared" ca="1" si="19"/>
        <v>75</v>
      </c>
      <c r="N320" t="str">
        <f t="shared" si="16"/>
        <v>Brighton and Hove18Additional Telecare and Telehealth resourceAssistive Technologies and EquipmentAssistive technologies including telecare</v>
      </c>
      <c r="O320" t="s">
        <v>93</v>
      </c>
      <c r="P320" t="s">
        <v>1437</v>
      </c>
      <c r="Q320">
        <v>18</v>
      </c>
      <c r="R320" t="s">
        <v>1511</v>
      </c>
      <c r="S320" t="s">
        <v>1634</v>
      </c>
      <c r="T320" t="s">
        <v>800</v>
      </c>
      <c r="U320" t="s">
        <v>850</v>
      </c>
      <c r="W320">
        <v>5071</v>
      </c>
      <c r="X320">
        <v>5071</v>
      </c>
      <c r="Y320" t="s">
        <v>802</v>
      </c>
      <c r="Z320" t="s">
        <v>792</v>
      </c>
      <c r="AB320" t="s">
        <v>793</v>
      </c>
      <c r="AD320" t="s">
        <v>794</v>
      </c>
      <c r="AE320" t="s">
        <v>795</v>
      </c>
      <c r="AF320" t="s">
        <v>796</v>
      </c>
      <c r="AG320" t="s">
        <v>797</v>
      </c>
      <c r="AH320">
        <v>219320</v>
      </c>
      <c r="AI320">
        <v>231730</v>
      </c>
      <c r="AJ320">
        <v>0.06</v>
      </c>
    </row>
    <row r="321" spans="1:36" x14ac:dyDescent="0.3">
      <c r="A321">
        <f>COUNTIF($D$2:D321,D321)</f>
        <v>11</v>
      </c>
      <c r="B321" t="str">
        <f t="shared" si="17"/>
        <v>11Bromley</v>
      </c>
      <c r="C321" t="s">
        <v>1637</v>
      </c>
      <c r="D321" t="s">
        <v>97</v>
      </c>
      <c r="E321">
        <v>30</v>
      </c>
      <c r="F321" t="s">
        <v>434</v>
      </c>
      <c r="G321" t="s">
        <v>787</v>
      </c>
      <c r="H321" t="s">
        <v>1195</v>
      </c>
      <c r="I321" t="s">
        <v>789</v>
      </c>
      <c r="J321">
        <f t="shared" ca="1" si="18"/>
        <v>1040000</v>
      </c>
      <c r="K321">
        <f t="shared" ca="1" si="19"/>
        <v>45</v>
      </c>
      <c r="N321" t="str">
        <f t="shared" si="16"/>
        <v>Brighton and Hove21Community Equipment Service Assistive Technologies and EquipmentCommunity based equipment</v>
      </c>
      <c r="O321" t="s">
        <v>93</v>
      </c>
      <c r="P321" t="s">
        <v>1437</v>
      </c>
      <c r="Q321">
        <v>21</v>
      </c>
      <c r="R321" t="s">
        <v>1513</v>
      </c>
      <c r="S321" t="s">
        <v>1638</v>
      </c>
      <c r="T321" t="s">
        <v>800</v>
      </c>
      <c r="U321" t="s">
        <v>903</v>
      </c>
      <c r="W321">
        <v>10883</v>
      </c>
      <c r="X321">
        <v>11000</v>
      </c>
      <c r="Y321" t="s">
        <v>802</v>
      </c>
      <c r="Z321" t="s">
        <v>823</v>
      </c>
      <c r="AB321" t="s">
        <v>793</v>
      </c>
      <c r="AD321" t="s">
        <v>794</v>
      </c>
      <c r="AE321" t="s">
        <v>804</v>
      </c>
      <c r="AF321" t="s">
        <v>796</v>
      </c>
      <c r="AG321" t="s">
        <v>797</v>
      </c>
      <c r="AH321">
        <v>2613999.7650487293</v>
      </c>
      <c r="AI321">
        <v>2761949.7650487293</v>
      </c>
      <c r="AJ321">
        <v>0.74</v>
      </c>
    </row>
    <row r="322" spans="1:36" x14ac:dyDescent="0.3">
      <c r="A322">
        <f>COUNTIF($D$2:D322,D322)</f>
        <v>12</v>
      </c>
      <c r="B322" t="str">
        <f t="shared" si="17"/>
        <v>12Bromley</v>
      </c>
      <c r="C322" t="s">
        <v>1639</v>
      </c>
      <c r="D322" t="s">
        <v>97</v>
      </c>
      <c r="E322">
        <v>31</v>
      </c>
      <c r="F322" t="s">
        <v>434</v>
      </c>
      <c r="G322" t="s">
        <v>787</v>
      </c>
      <c r="H322" t="s">
        <v>788</v>
      </c>
      <c r="I322" t="s">
        <v>789</v>
      </c>
      <c r="J322">
        <f t="shared" ca="1" si="18"/>
        <v>1276000</v>
      </c>
      <c r="K322">
        <f t="shared" ca="1" si="19"/>
        <v>45</v>
      </c>
      <c r="N322" t="str">
        <f t="shared" ref="N322:N385" si="20">O322&amp;Q322&amp;R322&amp;T322&amp;U322</f>
        <v>Brighton and Hove22Community Equipment Service Assistive Technologies and EquipmentCommunity based equipment</v>
      </c>
      <c r="O322" t="s">
        <v>93</v>
      </c>
      <c r="P322" t="s">
        <v>1437</v>
      </c>
      <c r="Q322">
        <v>22</v>
      </c>
      <c r="R322" t="s">
        <v>1513</v>
      </c>
      <c r="S322" t="s">
        <v>1640</v>
      </c>
      <c r="T322" t="s">
        <v>800</v>
      </c>
      <c r="U322" t="s">
        <v>903</v>
      </c>
      <c r="W322">
        <v>10883</v>
      </c>
      <c r="X322">
        <v>11000</v>
      </c>
      <c r="Y322" t="s">
        <v>802</v>
      </c>
      <c r="Z322" t="s">
        <v>823</v>
      </c>
      <c r="AB322" t="s">
        <v>793</v>
      </c>
      <c r="AD322" t="s">
        <v>794</v>
      </c>
      <c r="AE322" t="s">
        <v>804</v>
      </c>
      <c r="AF322" t="s">
        <v>1029</v>
      </c>
      <c r="AG322" t="s">
        <v>797</v>
      </c>
      <c r="AH322">
        <v>217780</v>
      </c>
      <c r="AI322">
        <v>222140</v>
      </c>
      <c r="AJ322">
        <v>0.06</v>
      </c>
    </row>
    <row r="323" spans="1:36" x14ac:dyDescent="0.3">
      <c r="A323">
        <f>COUNTIF($D$2:D323,D323)</f>
        <v>13</v>
      </c>
      <c r="B323" t="str">
        <f t="shared" ref="B323:B386" si="21">A323&amp;D323</f>
        <v>13Bromley</v>
      </c>
      <c r="C323" t="s">
        <v>1641</v>
      </c>
      <c r="D323" t="s">
        <v>97</v>
      </c>
      <c r="E323">
        <v>44</v>
      </c>
      <c r="F323" t="s">
        <v>1642</v>
      </c>
      <c r="G323" t="s">
        <v>842</v>
      </c>
      <c r="H323" t="s">
        <v>856</v>
      </c>
      <c r="I323" t="s">
        <v>844</v>
      </c>
      <c r="J323">
        <f t="shared" ref="J323:J386" ca="1" si="22">SUMIF($N:$AI,C323,AH:AH)</f>
        <v>207089</v>
      </c>
      <c r="K323">
        <f t="shared" ref="K323:K386" ca="1" si="23">SUMIF($N:$AI,C323,W:W)</f>
        <v>13212</v>
      </c>
      <c r="N323" t="str">
        <f t="shared" si="20"/>
        <v>Brighton and Hove24Amaze – Carers Card DevelopmentCarers ServicesOther</v>
      </c>
      <c r="O323" t="s">
        <v>93</v>
      </c>
      <c r="P323" t="s">
        <v>1437</v>
      </c>
      <c r="Q323">
        <v>24</v>
      </c>
      <c r="R323" t="s">
        <v>1517</v>
      </c>
      <c r="S323" t="s">
        <v>1643</v>
      </c>
      <c r="T323" t="s">
        <v>811</v>
      </c>
      <c r="U323" t="s">
        <v>812</v>
      </c>
      <c r="V323" t="s">
        <v>1644</v>
      </c>
      <c r="W323">
        <v>1400</v>
      </c>
      <c r="X323">
        <v>1600</v>
      </c>
      <c r="Y323" t="s">
        <v>813</v>
      </c>
      <c r="Z323" t="s">
        <v>792</v>
      </c>
      <c r="AB323" t="s">
        <v>793</v>
      </c>
      <c r="AD323" t="s">
        <v>794</v>
      </c>
      <c r="AE323" t="s">
        <v>825</v>
      </c>
      <c r="AF323" t="s">
        <v>796</v>
      </c>
      <c r="AG323" t="s">
        <v>797</v>
      </c>
      <c r="AH323">
        <v>10180</v>
      </c>
      <c r="AI323">
        <v>10180</v>
      </c>
      <c r="AJ323">
        <v>0.01</v>
      </c>
    </row>
    <row r="324" spans="1:36" x14ac:dyDescent="0.3">
      <c r="A324">
        <f>COUNTIF($D$2:D324,D324)</f>
        <v>14</v>
      </c>
      <c r="B324" t="str">
        <f t="shared" si="21"/>
        <v>14Bromley</v>
      </c>
      <c r="C324" t="s">
        <v>1645</v>
      </c>
      <c r="D324" t="s">
        <v>97</v>
      </c>
      <c r="E324">
        <v>45</v>
      </c>
      <c r="F324" t="s">
        <v>1646</v>
      </c>
      <c r="G324" t="s">
        <v>806</v>
      </c>
      <c r="H324" t="s">
        <v>917</v>
      </c>
      <c r="I324" t="s">
        <v>808</v>
      </c>
      <c r="J324">
        <f t="shared" ca="1" si="22"/>
        <v>170000</v>
      </c>
      <c r="K324">
        <f t="shared" ca="1" si="23"/>
        <v>7</v>
      </c>
      <c r="N324" t="str">
        <f t="shared" si="20"/>
        <v>Brighton and Hove25Crossroads – Carers Support Children and AdultsCarers ServicesCarer advice and support related to Care Act duties</v>
      </c>
      <c r="O324" t="s">
        <v>93</v>
      </c>
      <c r="P324" t="s">
        <v>1437</v>
      </c>
      <c r="Q324">
        <v>25</v>
      </c>
      <c r="R324" t="s">
        <v>1519</v>
      </c>
      <c r="S324" t="s">
        <v>1643</v>
      </c>
      <c r="T324" t="s">
        <v>811</v>
      </c>
      <c r="U324" t="s">
        <v>895</v>
      </c>
      <c r="W324">
        <v>4940</v>
      </c>
      <c r="X324">
        <v>5100</v>
      </c>
      <c r="Y324" t="s">
        <v>813</v>
      </c>
      <c r="Z324" t="s">
        <v>792</v>
      </c>
      <c r="AB324" t="s">
        <v>793</v>
      </c>
      <c r="AD324" t="s">
        <v>794</v>
      </c>
      <c r="AE324" t="s">
        <v>795</v>
      </c>
      <c r="AF324" t="s">
        <v>796</v>
      </c>
      <c r="AG324" t="s">
        <v>797</v>
      </c>
      <c r="AH324">
        <v>47846</v>
      </c>
      <c r="AI324">
        <v>47846</v>
      </c>
      <c r="AJ324">
        <v>0.03</v>
      </c>
    </row>
    <row r="325" spans="1:36" x14ac:dyDescent="0.3">
      <c r="A325">
        <f>COUNTIF($D$2:D325,D325)</f>
        <v>15</v>
      </c>
      <c r="B325" t="str">
        <f t="shared" si="21"/>
        <v>15Bromley</v>
      </c>
      <c r="C325" t="s">
        <v>1647</v>
      </c>
      <c r="D325" t="s">
        <v>97</v>
      </c>
      <c r="E325">
        <v>46</v>
      </c>
      <c r="F325" t="s">
        <v>1034</v>
      </c>
      <c r="G325" t="s">
        <v>800</v>
      </c>
      <c r="H325" t="s">
        <v>812</v>
      </c>
      <c r="I325" t="s">
        <v>802</v>
      </c>
      <c r="J325">
        <f t="shared" ca="1" si="22"/>
        <v>99586</v>
      </c>
      <c r="K325">
        <f t="shared" ca="1" si="23"/>
        <v>383</v>
      </c>
      <c r="N325" t="str">
        <f t="shared" si="20"/>
        <v>Brighton and Hove26Hospital Carers Support – IPCT Carers Support ServiceCarers ServicesCarer advice and support related to Care Act duties</v>
      </c>
      <c r="O325" t="s">
        <v>93</v>
      </c>
      <c r="P325" t="s">
        <v>1437</v>
      </c>
      <c r="Q325">
        <v>26</v>
      </c>
      <c r="R325" t="s">
        <v>1521</v>
      </c>
      <c r="S325" t="s">
        <v>1648</v>
      </c>
      <c r="T325" t="s">
        <v>811</v>
      </c>
      <c r="U325" t="s">
        <v>895</v>
      </c>
      <c r="W325">
        <v>5200</v>
      </c>
      <c r="X325">
        <v>5200</v>
      </c>
      <c r="Y325" t="s">
        <v>813</v>
      </c>
      <c r="Z325" t="s">
        <v>792</v>
      </c>
      <c r="AB325" t="s">
        <v>793</v>
      </c>
      <c r="AD325" t="s">
        <v>794</v>
      </c>
      <c r="AE325" t="s">
        <v>795</v>
      </c>
      <c r="AF325" t="s">
        <v>796</v>
      </c>
      <c r="AG325" t="s">
        <v>797</v>
      </c>
      <c r="AH325">
        <v>59220.000000000007</v>
      </c>
      <c r="AI325">
        <v>62570.000000000007</v>
      </c>
      <c r="AJ325">
        <v>0.04</v>
      </c>
    </row>
    <row r="326" spans="1:36" x14ac:dyDescent="0.3">
      <c r="A326">
        <f>COUNTIF($D$2:D326,D326)</f>
        <v>16</v>
      </c>
      <c r="B326" t="str">
        <f t="shared" si="21"/>
        <v>16Bromley</v>
      </c>
      <c r="C326" t="s">
        <v>1649</v>
      </c>
      <c r="D326" t="s">
        <v>97</v>
      </c>
      <c r="E326">
        <v>49</v>
      </c>
      <c r="F326" t="s">
        <v>1650</v>
      </c>
      <c r="G326" t="s">
        <v>806</v>
      </c>
      <c r="H326" t="s">
        <v>873</v>
      </c>
      <c r="I326" t="s">
        <v>808</v>
      </c>
      <c r="J326">
        <f t="shared" ca="1" si="22"/>
        <v>57131</v>
      </c>
      <c r="K326">
        <f t="shared" ca="1" si="23"/>
        <v>62</v>
      </c>
      <c r="N326" t="str">
        <f t="shared" si="20"/>
        <v>Brighton and Hove27Carers Support Service -  Integrated Primary Care Team (ASC Staff)Carers ServicesCarer advice and support related to Care Act duties</v>
      </c>
      <c r="O326" t="s">
        <v>93</v>
      </c>
      <c r="P326" t="s">
        <v>1437</v>
      </c>
      <c r="Q326">
        <v>27</v>
      </c>
      <c r="R326" t="s">
        <v>1523</v>
      </c>
      <c r="S326" t="s">
        <v>1648</v>
      </c>
      <c r="T326" t="s">
        <v>811</v>
      </c>
      <c r="U326" t="s">
        <v>895</v>
      </c>
      <c r="W326">
        <v>16900</v>
      </c>
      <c r="X326">
        <v>16900</v>
      </c>
      <c r="Y326" t="s">
        <v>813</v>
      </c>
      <c r="Z326" t="s">
        <v>792</v>
      </c>
      <c r="AB326" t="s">
        <v>793</v>
      </c>
      <c r="AD326" t="s">
        <v>794</v>
      </c>
      <c r="AE326" t="s">
        <v>795</v>
      </c>
      <c r="AF326" t="s">
        <v>796</v>
      </c>
      <c r="AG326" t="s">
        <v>797</v>
      </c>
      <c r="AH326">
        <v>204349.9975</v>
      </c>
      <c r="AI326">
        <v>215919.9975</v>
      </c>
      <c r="AJ326">
        <v>0.13</v>
      </c>
    </row>
    <row r="327" spans="1:36" x14ac:dyDescent="0.3">
      <c r="A327">
        <f>COUNTIF($D$2:D327,D327)</f>
        <v>1</v>
      </c>
      <c r="B327" t="str">
        <f t="shared" si="21"/>
        <v>1Buckinghamshire</v>
      </c>
      <c r="C327" t="s">
        <v>1651</v>
      </c>
      <c r="D327" t="s">
        <v>99</v>
      </c>
      <c r="E327">
        <v>2</v>
      </c>
      <c r="F327" t="s">
        <v>1578</v>
      </c>
      <c r="G327" t="s">
        <v>800</v>
      </c>
      <c r="H327" t="s">
        <v>850</v>
      </c>
      <c r="I327" t="s">
        <v>802</v>
      </c>
      <c r="J327">
        <f t="shared" ca="1" si="22"/>
        <v>875660</v>
      </c>
      <c r="K327">
        <f t="shared" ca="1" si="23"/>
        <v>7980</v>
      </c>
      <c r="N327" t="str">
        <f t="shared" si="20"/>
        <v>Brighton and Hove28Carers (other)Carers ServicesOther</v>
      </c>
      <c r="O327" t="s">
        <v>93</v>
      </c>
      <c r="P327" t="s">
        <v>1437</v>
      </c>
      <c r="Q327">
        <v>28</v>
      </c>
      <c r="R327" t="s">
        <v>1526</v>
      </c>
      <c r="S327" t="s">
        <v>1648</v>
      </c>
      <c r="T327" t="s">
        <v>811</v>
      </c>
      <c r="U327" t="s">
        <v>812</v>
      </c>
      <c r="V327" t="s">
        <v>1652</v>
      </c>
      <c r="W327">
        <v>1400</v>
      </c>
      <c r="X327">
        <v>1400</v>
      </c>
      <c r="Y327" t="s">
        <v>813</v>
      </c>
      <c r="Z327" t="s">
        <v>792</v>
      </c>
      <c r="AB327" t="s">
        <v>793</v>
      </c>
      <c r="AD327" t="s">
        <v>794</v>
      </c>
      <c r="AE327" t="s">
        <v>804</v>
      </c>
      <c r="AF327" t="s">
        <v>796</v>
      </c>
      <c r="AG327" t="s">
        <v>797</v>
      </c>
      <c r="AH327">
        <v>251180</v>
      </c>
      <c r="AI327">
        <v>260900</v>
      </c>
      <c r="AJ327">
        <v>0.16</v>
      </c>
    </row>
    <row r="328" spans="1:36" x14ac:dyDescent="0.3">
      <c r="A328">
        <f>COUNTIF($D$2:D328,D328)</f>
        <v>2</v>
      </c>
      <c r="B328" t="str">
        <f t="shared" si="21"/>
        <v>2Buckinghamshire</v>
      </c>
      <c r="C328" t="s">
        <v>1653</v>
      </c>
      <c r="D328" t="s">
        <v>99</v>
      </c>
      <c r="E328">
        <v>4</v>
      </c>
      <c r="F328" t="s">
        <v>1654</v>
      </c>
      <c r="G328" t="s">
        <v>811</v>
      </c>
      <c r="H328" t="s">
        <v>895</v>
      </c>
      <c r="I328" t="s">
        <v>813</v>
      </c>
      <c r="J328">
        <f t="shared" ca="1" si="22"/>
        <v>543219</v>
      </c>
      <c r="K328">
        <f t="shared" ca="1" si="23"/>
        <v>3500</v>
      </c>
      <c r="N328" t="str">
        <f t="shared" si="20"/>
        <v>Brighton and Hove29Carers (other)Carers ServicesOther</v>
      </c>
      <c r="O328" t="s">
        <v>93</v>
      </c>
      <c r="P328" t="s">
        <v>1437</v>
      </c>
      <c r="Q328">
        <v>29</v>
      </c>
      <c r="R328" t="s">
        <v>1526</v>
      </c>
      <c r="S328" t="s">
        <v>1648</v>
      </c>
      <c r="T328" t="s">
        <v>811</v>
      </c>
      <c r="U328" t="s">
        <v>812</v>
      </c>
      <c r="V328" t="s">
        <v>1652</v>
      </c>
      <c r="W328">
        <v>1400</v>
      </c>
      <c r="X328">
        <v>1400</v>
      </c>
      <c r="Y328" t="s">
        <v>813</v>
      </c>
      <c r="Z328" t="s">
        <v>792</v>
      </c>
      <c r="AB328" t="s">
        <v>793</v>
      </c>
      <c r="AD328" t="s">
        <v>794</v>
      </c>
      <c r="AE328" t="s">
        <v>804</v>
      </c>
      <c r="AF328" t="s">
        <v>1029</v>
      </c>
      <c r="AG328" t="s">
        <v>797</v>
      </c>
      <c r="AH328">
        <v>20000</v>
      </c>
      <c r="AI328">
        <v>20000</v>
      </c>
      <c r="AJ328">
        <v>0.01</v>
      </c>
    </row>
    <row r="329" spans="1:36" x14ac:dyDescent="0.3">
      <c r="A329">
        <f>COUNTIF($D$2:D329,D329)</f>
        <v>3</v>
      </c>
      <c r="B329" t="str">
        <f t="shared" si="21"/>
        <v>3Buckinghamshire</v>
      </c>
      <c r="C329" t="s">
        <v>1655</v>
      </c>
      <c r="D329" t="s">
        <v>99</v>
      </c>
      <c r="E329">
        <v>6</v>
      </c>
      <c r="F329" t="s">
        <v>1656</v>
      </c>
      <c r="G329" t="s">
        <v>787</v>
      </c>
      <c r="H329" t="s">
        <v>886</v>
      </c>
      <c r="I329" t="s">
        <v>789</v>
      </c>
      <c r="J329">
        <f t="shared" ca="1" si="22"/>
        <v>2118666</v>
      </c>
      <c r="K329">
        <f t="shared" ca="1" si="23"/>
        <v>652</v>
      </c>
      <c r="N329" t="str">
        <f t="shared" si="20"/>
        <v>Brighton and Hove30Carers HubCarers ServicesCarer advice and support related to Care Act duties</v>
      </c>
      <c r="O329" t="s">
        <v>93</v>
      </c>
      <c r="P329" t="s">
        <v>1437</v>
      </c>
      <c r="Q329">
        <v>30</v>
      </c>
      <c r="R329" t="s">
        <v>1531</v>
      </c>
      <c r="S329" t="s">
        <v>1648</v>
      </c>
      <c r="T329" t="s">
        <v>811</v>
      </c>
      <c r="U329" t="s">
        <v>895</v>
      </c>
      <c r="W329">
        <v>1700</v>
      </c>
      <c r="X329">
        <v>1700</v>
      </c>
      <c r="Y329" t="s">
        <v>813</v>
      </c>
      <c r="Z329" t="s">
        <v>792</v>
      </c>
      <c r="AB329" t="s">
        <v>793</v>
      </c>
      <c r="AD329" t="s">
        <v>794</v>
      </c>
      <c r="AE329" t="s">
        <v>825</v>
      </c>
      <c r="AF329" t="s">
        <v>796</v>
      </c>
      <c r="AG329" t="s">
        <v>797</v>
      </c>
      <c r="AH329">
        <v>349100</v>
      </c>
      <c r="AI329">
        <v>349100</v>
      </c>
      <c r="AJ329">
        <v>0.21</v>
      </c>
    </row>
    <row r="330" spans="1:36" x14ac:dyDescent="0.3">
      <c r="A330">
        <f>COUNTIF($D$2:D330,D330)</f>
        <v>4</v>
      </c>
      <c r="B330" t="str">
        <f t="shared" si="21"/>
        <v>4Buckinghamshire</v>
      </c>
      <c r="C330" t="s">
        <v>1657</v>
      </c>
      <c r="D330" t="s">
        <v>99</v>
      </c>
      <c r="E330">
        <v>9</v>
      </c>
      <c r="F330" t="s">
        <v>1658</v>
      </c>
      <c r="G330" t="s">
        <v>842</v>
      </c>
      <c r="H330" t="s">
        <v>843</v>
      </c>
      <c r="I330" t="s">
        <v>844</v>
      </c>
      <c r="J330">
        <f t="shared" ca="1" si="22"/>
        <v>393139</v>
      </c>
      <c r="K330">
        <f t="shared" ca="1" si="23"/>
        <v>17093</v>
      </c>
      <c r="N330" t="str">
        <f t="shared" si="20"/>
        <v>Brighton and Hove31Carers HubCarers ServicesCarer advice and support related to Care Act duties</v>
      </c>
      <c r="O330" t="s">
        <v>93</v>
      </c>
      <c r="P330" t="s">
        <v>1437</v>
      </c>
      <c r="Q330">
        <v>31</v>
      </c>
      <c r="R330" t="s">
        <v>1531</v>
      </c>
      <c r="S330" t="s">
        <v>1648</v>
      </c>
      <c r="T330" t="s">
        <v>811</v>
      </c>
      <c r="U330" t="s">
        <v>895</v>
      </c>
      <c r="W330">
        <v>1700</v>
      </c>
      <c r="X330">
        <v>1700</v>
      </c>
      <c r="Y330" t="s">
        <v>813</v>
      </c>
      <c r="Z330" t="s">
        <v>792</v>
      </c>
      <c r="AB330" t="s">
        <v>793</v>
      </c>
      <c r="AD330" t="s">
        <v>794</v>
      </c>
      <c r="AE330" t="s">
        <v>825</v>
      </c>
      <c r="AF330" t="s">
        <v>1029</v>
      </c>
      <c r="AG330" t="s">
        <v>797</v>
      </c>
      <c r="AH330">
        <v>182000</v>
      </c>
      <c r="AI330">
        <v>182000</v>
      </c>
      <c r="AJ330">
        <v>0.11</v>
      </c>
    </row>
    <row r="331" spans="1:36" x14ac:dyDescent="0.3">
      <c r="A331">
        <f>COUNTIF($D$2:D331,D331)</f>
        <v>5</v>
      </c>
      <c r="B331" t="str">
        <f t="shared" si="21"/>
        <v>5Buckinghamshire</v>
      </c>
      <c r="C331" t="s">
        <v>1659</v>
      </c>
      <c r="D331" t="s">
        <v>99</v>
      </c>
      <c r="E331">
        <v>10</v>
      </c>
      <c r="F331" t="s">
        <v>1658</v>
      </c>
      <c r="G331" t="s">
        <v>806</v>
      </c>
      <c r="H331" t="s">
        <v>917</v>
      </c>
      <c r="I331" t="s">
        <v>808</v>
      </c>
      <c r="J331">
        <f t="shared" ca="1" si="22"/>
        <v>970592</v>
      </c>
      <c r="K331">
        <f t="shared" ca="1" si="23"/>
        <v>17</v>
      </c>
      <c r="N331" t="str">
        <f t="shared" si="20"/>
        <v>Brighton and Hove43Discharge to Assess Capacity in Mental HealthBed based intermediate Care Services (Reablement, rehabilitation, wider short-term services supporting recovery)Bed-based intermediate care with rehabilitation (to support discharge)</v>
      </c>
      <c r="O331" t="s">
        <v>93</v>
      </c>
      <c r="P331" t="s">
        <v>1437</v>
      </c>
      <c r="Q331">
        <v>43</v>
      </c>
      <c r="R331" t="s">
        <v>1536</v>
      </c>
      <c r="S331" t="s">
        <v>1643</v>
      </c>
      <c r="T331" t="s">
        <v>877</v>
      </c>
      <c r="U331" t="s">
        <v>968</v>
      </c>
      <c r="W331">
        <v>5</v>
      </c>
      <c r="X331">
        <v>5</v>
      </c>
      <c r="Y331" t="s">
        <v>879</v>
      </c>
      <c r="Z331" t="s">
        <v>792</v>
      </c>
      <c r="AB331" t="s">
        <v>793</v>
      </c>
      <c r="AD331" t="s">
        <v>794</v>
      </c>
      <c r="AE331" t="s">
        <v>804</v>
      </c>
      <c r="AF331" t="s">
        <v>796</v>
      </c>
      <c r="AG331" t="s">
        <v>797</v>
      </c>
      <c r="AH331">
        <v>68000</v>
      </c>
      <c r="AI331">
        <v>0</v>
      </c>
      <c r="AJ331">
        <v>0.01</v>
      </c>
    </row>
    <row r="332" spans="1:36" x14ac:dyDescent="0.3">
      <c r="A332">
        <f>COUNTIF($D$2:D332,D332)</f>
        <v>6</v>
      </c>
      <c r="B332" t="str">
        <f t="shared" si="21"/>
        <v>6Buckinghamshire</v>
      </c>
      <c r="C332" t="s">
        <v>1660</v>
      </c>
      <c r="D332" t="s">
        <v>99</v>
      </c>
      <c r="E332">
        <v>11</v>
      </c>
      <c r="F332" t="s">
        <v>1661</v>
      </c>
      <c r="G332" t="s">
        <v>800</v>
      </c>
      <c r="H332" t="s">
        <v>903</v>
      </c>
      <c r="I332" t="s">
        <v>802</v>
      </c>
      <c r="J332">
        <f t="shared" ca="1" si="22"/>
        <v>52000</v>
      </c>
      <c r="K332">
        <f t="shared" ca="1" si="23"/>
        <v>154</v>
      </c>
      <c r="N332" t="str">
        <f t="shared" si="20"/>
        <v>Brighton and Hove46VNGBed based intermediate Care Services (Reablement, rehabilitation, wider short-term services supporting recovery)Bed-based intermediate care with rehabilitation (to support discharge)</v>
      </c>
      <c r="O332" t="s">
        <v>93</v>
      </c>
      <c r="P332" t="s">
        <v>1437</v>
      </c>
      <c r="Q332">
        <v>46</v>
      </c>
      <c r="R332" t="s">
        <v>1539</v>
      </c>
      <c r="S332" t="s">
        <v>1183</v>
      </c>
      <c r="T332" t="s">
        <v>877</v>
      </c>
      <c r="U332" t="s">
        <v>968</v>
      </c>
      <c r="W332">
        <v>16</v>
      </c>
      <c r="X332">
        <v>16</v>
      </c>
      <c r="Y332" t="s">
        <v>879</v>
      </c>
      <c r="Z332" t="s">
        <v>812</v>
      </c>
      <c r="AA332" t="s">
        <v>1662</v>
      </c>
      <c r="AB332" t="s">
        <v>824</v>
      </c>
      <c r="AD332" t="s">
        <v>794</v>
      </c>
      <c r="AE332" t="s">
        <v>804</v>
      </c>
      <c r="AF332" t="s">
        <v>860</v>
      </c>
      <c r="AG332" t="s">
        <v>861</v>
      </c>
      <c r="AH332">
        <v>1320000</v>
      </c>
      <c r="AI332">
        <v>1320000</v>
      </c>
      <c r="AJ332">
        <v>0.13</v>
      </c>
    </row>
    <row r="333" spans="1:36" x14ac:dyDescent="0.3">
      <c r="A333">
        <f>COUNTIF($D$2:D333,D333)</f>
        <v>7</v>
      </c>
      <c r="B333" t="str">
        <f t="shared" si="21"/>
        <v>7Buckinghamshire</v>
      </c>
      <c r="C333" t="s">
        <v>1663</v>
      </c>
      <c r="D333" t="s">
        <v>99</v>
      </c>
      <c r="E333">
        <v>20</v>
      </c>
      <c r="F333" t="s">
        <v>891</v>
      </c>
      <c r="G333" t="s">
        <v>834</v>
      </c>
      <c r="H333" t="s">
        <v>835</v>
      </c>
      <c r="I333" t="s">
        <v>836</v>
      </c>
      <c r="J333">
        <f t="shared" ca="1" si="22"/>
        <v>3895961</v>
      </c>
      <c r="K333">
        <f t="shared" ca="1" si="23"/>
        <v>221</v>
      </c>
      <c r="N333" t="str">
        <f t="shared" si="20"/>
        <v>Brighton and Hove47Bariatric Bed ProvisionBed based intermediate Care Services (Reablement, rehabilitation, wider short-term services supporting recovery)Bed-based intermediate care with rehabilitation (to support discharge)</v>
      </c>
      <c r="O333" t="s">
        <v>93</v>
      </c>
      <c r="P333" t="s">
        <v>1437</v>
      </c>
      <c r="Q333">
        <v>47</v>
      </c>
      <c r="R333" t="s">
        <v>1542</v>
      </c>
      <c r="S333" t="s">
        <v>1183</v>
      </c>
      <c r="T333" t="s">
        <v>877</v>
      </c>
      <c r="U333" t="s">
        <v>968</v>
      </c>
      <c r="W333">
        <v>2</v>
      </c>
      <c r="X333">
        <v>2</v>
      </c>
      <c r="Y333" t="s">
        <v>879</v>
      </c>
      <c r="Z333" t="s">
        <v>812</v>
      </c>
      <c r="AA333" t="s">
        <v>1662</v>
      </c>
      <c r="AB333" t="s">
        <v>793</v>
      </c>
      <c r="AD333" t="s">
        <v>794</v>
      </c>
      <c r="AE333" t="s">
        <v>804</v>
      </c>
      <c r="AF333" t="s">
        <v>864</v>
      </c>
      <c r="AG333" t="s">
        <v>861</v>
      </c>
      <c r="AH333">
        <v>150000</v>
      </c>
      <c r="AI333">
        <v>150000</v>
      </c>
      <c r="AJ333">
        <v>0.01</v>
      </c>
    </row>
    <row r="334" spans="1:36" x14ac:dyDescent="0.3">
      <c r="A334">
        <f>COUNTIF($D$2:D334,D334)</f>
        <v>8</v>
      </c>
      <c r="B334" t="str">
        <f t="shared" si="21"/>
        <v>8Buckinghamshire</v>
      </c>
      <c r="C334" t="s">
        <v>1664</v>
      </c>
      <c r="D334" t="s">
        <v>99</v>
      </c>
      <c r="E334">
        <v>21</v>
      </c>
      <c r="F334" t="s">
        <v>1665</v>
      </c>
      <c r="G334" t="s">
        <v>834</v>
      </c>
      <c r="H334" t="s">
        <v>1293</v>
      </c>
      <c r="I334" t="s">
        <v>836</v>
      </c>
      <c r="J334">
        <f t="shared" ca="1" si="22"/>
        <v>170000</v>
      </c>
      <c r="K334">
        <f t="shared" ca="1" si="23"/>
        <v>15</v>
      </c>
      <c r="N334" t="str">
        <f t="shared" si="20"/>
        <v>Brighton and Hove48Additional beds Bed based intermediate Care Services (Reablement, rehabilitation, wider short-term services supporting recovery)Bed-based intermediate care with rehabilitation (to support discharge)</v>
      </c>
      <c r="O334" t="s">
        <v>93</v>
      </c>
      <c r="P334" t="s">
        <v>1437</v>
      </c>
      <c r="Q334">
        <v>48</v>
      </c>
      <c r="R334" t="s">
        <v>1545</v>
      </c>
      <c r="S334" t="s">
        <v>1183</v>
      </c>
      <c r="T334" t="s">
        <v>877</v>
      </c>
      <c r="U334" t="s">
        <v>968</v>
      </c>
      <c r="W334">
        <v>16</v>
      </c>
      <c r="X334">
        <v>16</v>
      </c>
      <c r="Y334" t="s">
        <v>879</v>
      </c>
      <c r="Z334" t="s">
        <v>812</v>
      </c>
      <c r="AA334" t="s">
        <v>1662</v>
      </c>
      <c r="AB334" t="s">
        <v>793</v>
      </c>
      <c r="AD334" t="s">
        <v>794</v>
      </c>
      <c r="AE334" t="s">
        <v>804</v>
      </c>
      <c r="AF334" t="s">
        <v>864</v>
      </c>
      <c r="AG334" t="s">
        <v>861</v>
      </c>
      <c r="AH334">
        <v>836840</v>
      </c>
      <c r="AI334">
        <v>836840</v>
      </c>
      <c r="AJ334">
        <v>0.08</v>
      </c>
    </row>
    <row r="335" spans="1:36" x14ac:dyDescent="0.3">
      <c r="A335">
        <f>COUNTIF($D$2:D335,D335)</f>
        <v>9</v>
      </c>
      <c r="B335" t="str">
        <f t="shared" si="21"/>
        <v>9Buckinghamshire</v>
      </c>
      <c r="C335" t="s">
        <v>1666</v>
      </c>
      <c r="D335" t="s">
        <v>99</v>
      </c>
      <c r="E335">
        <v>23</v>
      </c>
      <c r="F335" t="s">
        <v>806</v>
      </c>
      <c r="G335" t="s">
        <v>806</v>
      </c>
      <c r="H335" t="s">
        <v>807</v>
      </c>
      <c r="I335" t="s">
        <v>808</v>
      </c>
      <c r="J335">
        <f t="shared" ca="1" si="22"/>
        <v>336589</v>
      </c>
      <c r="K335">
        <f t="shared" ca="1" si="23"/>
        <v>7</v>
      </c>
      <c r="N335" t="str">
        <f t="shared" si="20"/>
        <v>Brighton and Hove50Homecare / Spot PurchaseHome Care or Domiciliary CareDomiciliary care packages</v>
      </c>
      <c r="O335" t="s">
        <v>93</v>
      </c>
      <c r="P335" t="s">
        <v>1437</v>
      </c>
      <c r="Q335">
        <v>50</v>
      </c>
      <c r="R335" t="s">
        <v>1547</v>
      </c>
      <c r="S335" t="s">
        <v>1667</v>
      </c>
      <c r="T335" t="s">
        <v>842</v>
      </c>
      <c r="U335" t="s">
        <v>843</v>
      </c>
      <c r="W335">
        <v>40</v>
      </c>
      <c r="X335">
        <v>40</v>
      </c>
      <c r="Y335" t="s">
        <v>844</v>
      </c>
      <c r="Z335" t="s">
        <v>792</v>
      </c>
      <c r="AB335" t="s">
        <v>793</v>
      </c>
      <c r="AD335" t="s">
        <v>794</v>
      </c>
      <c r="AE335" t="s">
        <v>804</v>
      </c>
      <c r="AF335" t="s">
        <v>860</v>
      </c>
      <c r="AG335" t="s">
        <v>861</v>
      </c>
      <c r="AH335">
        <v>132000</v>
      </c>
      <c r="AI335">
        <v>132000</v>
      </c>
      <c r="AJ335">
        <v>0.01</v>
      </c>
    </row>
    <row r="336" spans="1:36" x14ac:dyDescent="0.3">
      <c r="A336">
        <f>COUNTIF($D$2:D336,D336)</f>
        <v>10</v>
      </c>
      <c r="B336" t="str">
        <f t="shared" si="21"/>
        <v>10Buckinghamshire</v>
      </c>
      <c r="C336" t="s">
        <v>1668</v>
      </c>
      <c r="D336" t="s">
        <v>99</v>
      </c>
      <c r="E336">
        <v>24</v>
      </c>
      <c r="F336" t="s">
        <v>1669</v>
      </c>
      <c r="G336" t="s">
        <v>842</v>
      </c>
      <c r="H336" t="s">
        <v>843</v>
      </c>
      <c r="I336" t="s">
        <v>844</v>
      </c>
      <c r="J336">
        <f t="shared" ca="1" si="22"/>
        <v>1251730</v>
      </c>
      <c r="K336">
        <f t="shared" ca="1" si="23"/>
        <v>54423</v>
      </c>
      <c r="N336" t="str">
        <f t="shared" si="20"/>
        <v xml:space="preserve">Bristol, City of4Intermediate Care Home-based intermediate care servicesJoint reablement and rehabilitation service (to support discharge) </v>
      </c>
      <c r="O336" t="s">
        <v>95</v>
      </c>
      <c r="P336" t="s">
        <v>976</v>
      </c>
      <c r="Q336">
        <v>4</v>
      </c>
      <c r="R336" t="s">
        <v>1550</v>
      </c>
      <c r="S336" t="s">
        <v>1670</v>
      </c>
      <c r="T336" t="s">
        <v>787</v>
      </c>
      <c r="U336" t="s">
        <v>1551</v>
      </c>
      <c r="W336" t="s">
        <v>1671</v>
      </c>
      <c r="X336" t="s">
        <v>1671</v>
      </c>
      <c r="Y336" t="s">
        <v>789</v>
      </c>
      <c r="Z336" t="s">
        <v>792</v>
      </c>
      <c r="AB336" t="s">
        <v>793</v>
      </c>
      <c r="AD336" t="s">
        <v>794</v>
      </c>
      <c r="AE336" t="s">
        <v>795</v>
      </c>
      <c r="AF336" t="s">
        <v>796</v>
      </c>
      <c r="AG336" t="s">
        <v>797</v>
      </c>
      <c r="AH336">
        <v>3762025.35</v>
      </c>
      <c r="AI336">
        <v>3974955.99</v>
      </c>
      <c r="AJ336">
        <v>3.9449727926120073E-2</v>
      </c>
    </row>
    <row r="337" spans="1:36" x14ac:dyDescent="0.3">
      <c r="A337">
        <f>COUNTIF($D$2:D337,D337)</f>
        <v>11</v>
      </c>
      <c r="B337" t="str">
        <f t="shared" si="21"/>
        <v>11Buckinghamshire</v>
      </c>
      <c r="C337" t="s">
        <v>1672</v>
      </c>
      <c r="D337" t="s">
        <v>99</v>
      </c>
      <c r="E337">
        <v>26</v>
      </c>
      <c r="F337" t="s">
        <v>1673</v>
      </c>
      <c r="G337" t="s">
        <v>811</v>
      </c>
      <c r="H337" t="s">
        <v>830</v>
      </c>
      <c r="I337" t="s">
        <v>813</v>
      </c>
      <c r="J337">
        <f t="shared" ca="1" si="22"/>
        <v>659464</v>
      </c>
      <c r="K337">
        <f t="shared" ca="1" si="23"/>
        <v>160</v>
      </c>
      <c r="N337" t="str">
        <f t="shared" si="20"/>
        <v xml:space="preserve">Bristol, City of5Intermediate Care Home-based intermediate care servicesJoint reablement and rehabilitation service (to support discharge) </v>
      </c>
      <c r="O337" t="s">
        <v>95</v>
      </c>
      <c r="P337" t="s">
        <v>976</v>
      </c>
      <c r="Q337">
        <v>5</v>
      </c>
      <c r="R337" t="s">
        <v>1550</v>
      </c>
      <c r="S337" t="s">
        <v>1670</v>
      </c>
      <c r="T337" t="s">
        <v>787</v>
      </c>
      <c r="U337" t="s">
        <v>1551</v>
      </c>
      <c r="W337" t="s">
        <v>1671</v>
      </c>
      <c r="X337" t="s">
        <v>1671</v>
      </c>
      <c r="Y337" t="s">
        <v>789</v>
      </c>
      <c r="Z337" t="s">
        <v>792</v>
      </c>
      <c r="AB337" t="s">
        <v>824</v>
      </c>
      <c r="AD337" t="s">
        <v>794</v>
      </c>
      <c r="AE337" t="s">
        <v>832</v>
      </c>
      <c r="AF337" t="s">
        <v>796</v>
      </c>
      <c r="AG337" t="s">
        <v>797</v>
      </c>
      <c r="AH337">
        <v>872485.33</v>
      </c>
      <c r="AI337">
        <v>921868</v>
      </c>
      <c r="AJ337">
        <v>9.1491432634899939E-3</v>
      </c>
    </row>
    <row r="338" spans="1:36" x14ac:dyDescent="0.3">
      <c r="A338">
        <f>COUNTIF($D$2:D338,D338)</f>
        <v>12</v>
      </c>
      <c r="B338" t="str">
        <f t="shared" si="21"/>
        <v>12Buckinghamshire</v>
      </c>
      <c r="C338" t="s">
        <v>1674</v>
      </c>
      <c r="D338" t="s">
        <v>99</v>
      </c>
      <c r="E338">
        <v>27</v>
      </c>
      <c r="F338" t="s">
        <v>1675</v>
      </c>
      <c r="G338" t="s">
        <v>877</v>
      </c>
      <c r="H338" t="s">
        <v>812</v>
      </c>
      <c r="I338" t="s">
        <v>879</v>
      </c>
      <c r="J338">
        <f t="shared" ca="1" si="22"/>
        <v>650000</v>
      </c>
      <c r="K338">
        <f t="shared" ca="1" si="23"/>
        <v>120</v>
      </c>
      <c r="N338" t="str">
        <f t="shared" si="20"/>
        <v>Bristol, City of9CarersCarers ServicesRespite services</v>
      </c>
      <c r="O338" t="s">
        <v>95</v>
      </c>
      <c r="P338" t="s">
        <v>976</v>
      </c>
      <c r="Q338">
        <v>9</v>
      </c>
      <c r="R338" t="s">
        <v>1250</v>
      </c>
      <c r="S338" t="s">
        <v>1676</v>
      </c>
      <c r="T338" t="s">
        <v>811</v>
      </c>
      <c r="U338" t="s">
        <v>830</v>
      </c>
      <c r="W338" t="s">
        <v>1671</v>
      </c>
      <c r="X338" t="s">
        <v>1671</v>
      </c>
      <c r="Y338" t="s">
        <v>813</v>
      </c>
      <c r="Z338" t="s">
        <v>792</v>
      </c>
      <c r="AB338" t="s">
        <v>793</v>
      </c>
      <c r="AD338" t="s">
        <v>794</v>
      </c>
      <c r="AE338" t="s">
        <v>795</v>
      </c>
      <c r="AF338" t="s">
        <v>796</v>
      </c>
      <c r="AG338" t="s">
        <v>797</v>
      </c>
      <c r="AH338">
        <v>967386</v>
      </c>
      <c r="AI338">
        <v>1022140</v>
      </c>
      <c r="AJ338">
        <v>1.014430019710994E-2</v>
      </c>
    </row>
    <row r="339" spans="1:36" x14ac:dyDescent="0.3">
      <c r="A339">
        <f>COUNTIF($D$2:D339,D339)</f>
        <v>13</v>
      </c>
      <c r="B339" t="str">
        <f t="shared" si="21"/>
        <v>13Buckinghamshire</v>
      </c>
      <c r="C339" t="s">
        <v>1677</v>
      </c>
      <c r="D339" t="s">
        <v>99</v>
      </c>
      <c r="E339">
        <v>28</v>
      </c>
      <c r="F339" t="s">
        <v>1678</v>
      </c>
      <c r="G339" t="s">
        <v>806</v>
      </c>
      <c r="H339" t="s">
        <v>917</v>
      </c>
      <c r="I339" t="s">
        <v>808</v>
      </c>
      <c r="J339">
        <f t="shared" ca="1" si="22"/>
        <v>932796</v>
      </c>
      <c r="K339">
        <f t="shared" ca="1" si="23"/>
        <v>16</v>
      </c>
      <c r="N339" t="str">
        <f t="shared" si="20"/>
        <v>Bristol, City of10CarersCarers ServicesRespite services</v>
      </c>
      <c r="O339" t="s">
        <v>95</v>
      </c>
      <c r="P339" t="s">
        <v>976</v>
      </c>
      <c r="Q339">
        <v>10</v>
      </c>
      <c r="R339" t="s">
        <v>1250</v>
      </c>
      <c r="S339" t="s">
        <v>1676</v>
      </c>
      <c r="T339" t="s">
        <v>811</v>
      </c>
      <c r="U339" t="s">
        <v>830</v>
      </c>
      <c r="W339" t="s">
        <v>1671</v>
      </c>
      <c r="X339" t="s">
        <v>1671</v>
      </c>
      <c r="Y339" t="s">
        <v>813</v>
      </c>
      <c r="Z339" t="s">
        <v>792</v>
      </c>
      <c r="AB339" t="s">
        <v>793</v>
      </c>
      <c r="AD339" t="s">
        <v>794</v>
      </c>
      <c r="AE339" t="s">
        <v>795</v>
      </c>
      <c r="AF339" t="s">
        <v>1029</v>
      </c>
      <c r="AG339" t="s">
        <v>797</v>
      </c>
      <c r="AH339">
        <v>867017</v>
      </c>
      <c r="AI339">
        <v>867017</v>
      </c>
      <c r="AJ339">
        <v>9.0918007124329552E-3</v>
      </c>
    </row>
    <row r="340" spans="1:36" x14ac:dyDescent="0.3">
      <c r="A340">
        <f>COUNTIF($D$2:D340,D340)</f>
        <v>14</v>
      </c>
      <c r="B340" t="str">
        <f t="shared" si="21"/>
        <v>14Buckinghamshire</v>
      </c>
      <c r="C340" t="s">
        <v>1679</v>
      </c>
      <c r="D340" t="s">
        <v>99</v>
      </c>
      <c r="E340">
        <v>29</v>
      </c>
      <c r="F340" t="s">
        <v>872</v>
      </c>
      <c r="G340" t="s">
        <v>806</v>
      </c>
      <c r="H340" t="s">
        <v>873</v>
      </c>
      <c r="I340" t="s">
        <v>808</v>
      </c>
      <c r="J340">
        <f t="shared" ca="1" si="22"/>
        <v>328377</v>
      </c>
      <c r="K340">
        <f t="shared" ca="1" si="23"/>
        <v>5</v>
      </c>
      <c r="N340" t="str">
        <f t="shared" si="20"/>
        <v>Bristol, City of11Core investment in Tier 3 servicesHome Care or Domiciliary CareDomiciliary care packages</v>
      </c>
      <c r="O340" t="s">
        <v>95</v>
      </c>
      <c r="P340" t="s">
        <v>976</v>
      </c>
      <c r="Q340">
        <v>11</v>
      </c>
      <c r="R340" t="s">
        <v>1560</v>
      </c>
      <c r="S340" t="s">
        <v>1680</v>
      </c>
      <c r="T340" t="s">
        <v>842</v>
      </c>
      <c r="U340" t="s">
        <v>843</v>
      </c>
      <c r="W340" t="s">
        <v>1671</v>
      </c>
      <c r="X340" t="s">
        <v>1671</v>
      </c>
      <c r="Y340" t="s">
        <v>844</v>
      </c>
      <c r="Z340" t="s">
        <v>792</v>
      </c>
      <c r="AB340" t="s">
        <v>793</v>
      </c>
      <c r="AD340" t="s">
        <v>794</v>
      </c>
      <c r="AE340" t="s">
        <v>804</v>
      </c>
      <c r="AF340" t="s">
        <v>796</v>
      </c>
      <c r="AG340" t="s">
        <v>797</v>
      </c>
      <c r="AH340">
        <v>6462088</v>
      </c>
      <c r="AI340">
        <v>6827842</v>
      </c>
      <c r="AJ340">
        <v>6.776339596825029E-2</v>
      </c>
    </row>
    <row r="341" spans="1:36" x14ac:dyDescent="0.3">
      <c r="A341">
        <f>COUNTIF($D$2:D341,D341)</f>
        <v>15</v>
      </c>
      <c r="B341" t="str">
        <f t="shared" si="21"/>
        <v>15Buckinghamshire</v>
      </c>
      <c r="C341" t="s">
        <v>1681</v>
      </c>
      <c r="D341" t="s">
        <v>99</v>
      </c>
      <c r="E341">
        <v>37</v>
      </c>
      <c r="F341" t="s">
        <v>1682</v>
      </c>
      <c r="G341" t="s">
        <v>877</v>
      </c>
      <c r="H341" t="s">
        <v>968</v>
      </c>
      <c r="I341" t="s">
        <v>879</v>
      </c>
      <c r="J341">
        <f t="shared" ca="1" si="22"/>
        <v>984350</v>
      </c>
      <c r="K341">
        <f t="shared" ca="1" si="23"/>
        <v>151</v>
      </c>
      <c r="N341" t="str">
        <f t="shared" si="20"/>
        <v>Bristol, City of12Core investment in Tier 3 servicesHome Care or Domiciliary CareDomiciliary care packages</v>
      </c>
      <c r="O341" t="s">
        <v>95</v>
      </c>
      <c r="P341" t="s">
        <v>976</v>
      </c>
      <c r="Q341">
        <v>12</v>
      </c>
      <c r="R341" t="s">
        <v>1560</v>
      </c>
      <c r="S341" t="s">
        <v>1680</v>
      </c>
      <c r="T341" t="s">
        <v>842</v>
      </c>
      <c r="U341" t="s">
        <v>843</v>
      </c>
      <c r="W341" t="s">
        <v>1671</v>
      </c>
      <c r="X341" t="s">
        <v>1671</v>
      </c>
      <c r="Y341" t="s">
        <v>844</v>
      </c>
      <c r="Z341" t="s">
        <v>792</v>
      </c>
      <c r="AB341" t="s">
        <v>793</v>
      </c>
      <c r="AD341" t="s">
        <v>794</v>
      </c>
      <c r="AE341" t="s">
        <v>804</v>
      </c>
      <c r="AF341" t="s">
        <v>1029</v>
      </c>
      <c r="AG341" t="s">
        <v>797</v>
      </c>
      <c r="AH341">
        <v>6156078</v>
      </c>
      <c r="AI341">
        <v>6156078</v>
      </c>
      <c r="AJ341">
        <v>6.4554483183366484E-2</v>
      </c>
    </row>
    <row r="342" spans="1:36" x14ac:dyDescent="0.3">
      <c r="A342">
        <f>COUNTIF($D$2:D342,D342)</f>
        <v>16</v>
      </c>
      <c r="B342" t="str">
        <f t="shared" si="21"/>
        <v>16Buckinghamshire</v>
      </c>
      <c r="C342" t="s">
        <v>1683</v>
      </c>
      <c r="D342" t="s">
        <v>99</v>
      </c>
      <c r="E342">
        <v>39</v>
      </c>
      <c r="F342" t="s">
        <v>1684</v>
      </c>
      <c r="G342" t="s">
        <v>842</v>
      </c>
      <c r="H342" t="s">
        <v>856</v>
      </c>
      <c r="I342" t="s">
        <v>844</v>
      </c>
      <c r="J342">
        <f t="shared" ca="1" si="22"/>
        <v>522663</v>
      </c>
      <c r="K342">
        <f t="shared" ca="1" si="23"/>
        <v>22724</v>
      </c>
      <c r="N342" t="str">
        <f t="shared" si="20"/>
        <v>Bristol, City of17Community EquipmentAssistive Technologies and EquipmentCommunity based equipment</v>
      </c>
      <c r="O342" t="s">
        <v>95</v>
      </c>
      <c r="P342" t="s">
        <v>976</v>
      </c>
      <c r="Q342">
        <v>17</v>
      </c>
      <c r="R342" t="s">
        <v>1051</v>
      </c>
      <c r="S342" t="s">
        <v>1685</v>
      </c>
      <c r="T342" t="s">
        <v>800</v>
      </c>
      <c r="U342" t="s">
        <v>903</v>
      </c>
      <c r="W342" t="s">
        <v>1671</v>
      </c>
      <c r="X342" t="s">
        <v>1671</v>
      </c>
      <c r="Y342" t="s">
        <v>802</v>
      </c>
      <c r="Z342" t="s">
        <v>792</v>
      </c>
      <c r="AB342" t="s">
        <v>793</v>
      </c>
      <c r="AD342" t="s">
        <v>794</v>
      </c>
      <c r="AE342" t="s">
        <v>795</v>
      </c>
      <c r="AF342" t="s">
        <v>796</v>
      </c>
      <c r="AG342" t="s">
        <v>797</v>
      </c>
      <c r="AH342">
        <v>738085.81</v>
      </c>
      <c r="AI342">
        <v>779861.47</v>
      </c>
      <c r="AJ342">
        <v>7.739789523382651E-3</v>
      </c>
    </row>
    <row r="343" spans="1:36" x14ac:dyDescent="0.3">
      <c r="A343">
        <f>COUNTIF($D$2:D343,D343)</f>
        <v>1</v>
      </c>
      <c r="B343" t="str">
        <f t="shared" si="21"/>
        <v>1Bury</v>
      </c>
      <c r="C343" t="s">
        <v>1686</v>
      </c>
      <c r="D343" t="s">
        <v>101</v>
      </c>
      <c r="E343">
        <v>2</v>
      </c>
      <c r="F343" t="s">
        <v>1171</v>
      </c>
      <c r="G343" t="s">
        <v>877</v>
      </c>
      <c r="H343" t="s">
        <v>1259</v>
      </c>
      <c r="I343" t="s">
        <v>879</v>
      </c>
      <c r="J343">
        <f t="shared" ca="1" si="22"/>
        <v>1270665</v>
      </c>
      <c r="K343">
        <f t="shared" ca="1" si="23"/>
        <v>540</v>
      </c>
      <c r="N343" t="str">
        <f t="shared" si="20"/>
        <v>Bristol, City of18Community EquipmentAssistive Technologies and EquipmentCommunity based equipment</v>
      </c>
      <c r="O343" t="s">
        <v>95</v>
      </c>
      <c r="P343" t="s">
        <v>976</v>
      </c>
      <c r="Q343">
        <v>18</v>
      </c>
      <c r="R343" t="s">
        <v>1051</v>
      </c>
      <c r="S343" t="s">
        <v>1685</v>
      </c>
      <c r="T343" t="s">
        <v>800</v>
      </c>
      <c r="U343" t="s">
        <v>903</v>
      </c>
      <c r="W343">
        <v>7692</v>
      </c>
      <c r="X343">
        <v>7692</v>
      </c>
      <c r="Y343" t="s">
        <v>802</v>
      </c>
      <c r="Z343" t="s">
        <v>792</v>
      </c>
      <c r="AB343" t="s">
        <v>793</v>
      </c>
      <c r="AD343" t="s">
        <v>794</v>
      </c>
      <c r="AE343" t="s">
        <v>795</v>
      </c>
      <c r="AF343" t="s">
        <v>1029</v>
      </c>
      <c r="AG343" t="s">
        <v>797</v>
      </c>
      <c r="AH343">
        <v>803415</v>
      </c>
      <c r="AI343">
        <v>803415</v>
      </c>
      <c r="AJ343">
        <v>8.4248510345002747E-3</v>
      </c>
    </row>
    <row r="344" spans="1:36" x14ac:dyDescent="0.3">
      <c r="A344">
        <f>COUNTIF($D$2:D344,D344)</f>
        <v>2</v>
      </c>
      <c r="B344" t="str">
        <f t="shared" si="21"/>
        <v>2Bury</v>
      </c>
      <c r="C344" t="s">
        <v>1687</v>
      </c>
      <c r="D344" t="s">
        <v>101</v>
      </c>
      <c r="E344">
        <v>3</v>
      </c>
      <c r="F344" t="s">
        <v>1396</v>
      </c>
      <c r="G344" t="s">
        <v>787</v>
      </c>
      <c r="H344" t="s">
        <v>1688</v>
      </c>
      <c r="I344" t="s">
        <v>789</v>
      </c>
      <c r="J344">
        <f t="shared" ca="1" si="22"/>
        <v>3588650</v>
      </c>
      <c r="K344">
        <f t="shared" ca="1" si="23"/>
        <v>648</v>
      </c>
      <c r="N344" t="str">
        <f t="shared" si="20"/>
        <v>Bristol, City of19DFGDFG Related SchemesAdaptations, including statutory DFG grants</v>
      </c>
      <c r="O344" t="s">
        <v>95</v>
      </c>
      <c r="P344" t="s">
        <v>976</v>
      </c>
      <c r="Q344">
        <v>19</v>
      </c>
      <c r="R344" t="s">
        <v>840</v>
      </c>
      <c r="S344" t="s">
        <v>1689</v>
      </c>
      <c r="T344" t="s">
        <v>834</v>
      </c>
      <c r="U344" t="s">
        <v>835</v>
      </c>
      <c r="W344" t="s">
        <v>1671</v>
      </c>
      <c r="X344" t="s">
        <v>1671</v>
      </c>
      <c r="Y344" t="s">
        <v>836</v>
      </c>
      <c r="Z344" t="s">
        <v>792</v>
      </c>
      <c r="AB344" t="s">
        <v>793</v>
      </c>
      <c r="AD344" t="s">
        <v>794</v>
      </c>
      <c r="AE344" t="s">
        <v>795</v>
      </c>
      <c r="AF344" t="s">
        <v>840</v>
      </c>
      <c r="AG344" t="s">
        <v>797</v>
      </c>
      <c r="AH344">
        <v>3528349</v>
      </c>
      <c r="AI344">
        <v>3528349</v>
      </c>
      <c r="AJ344">
        <v>3.699932752404176E-2</v>
      </c>
    </row>
    <row r="345" spans="1:36" x14ac:dyDescent="0.3">
      <c r="A345">
        <f>COUNTIF($D$2:D345,D345)</f>
        <v>3</v>
      </c>
      <c r="B345" t="str">
        <f t="shared" si="21"/>
        <v>3Bury</v>
      </c>
      <c r="C345" t="s">
        <v>1690</v>
      </c>
      <c r="D345" t="s">
        <v>101</v>
      </c>
      <c r="E345">
        <v>10</v>
      </c>
      <c r="F345" t="s">
        <v>975</v>
      </c>
      <c r="G345" t="s">
        <v>842</v>
      </c>
      <c r="H345" t="s">
        <v>843</v>
      </c>
      <c r="I345" t="s">
        <v>844</v>
      </c>
      <c r="J345">
        <f t="shared" ca="1" si="22"/>
        <v>1084040</v>
      </c>
      <c r="K345">
        <f t="shared" ca="1" si="23"/>
        <v>9556.5</v>
      </c>
      <c r="N345" t="str">
        <f t="shared" si="20"/>
        <v>Bristol, City of20Brunel Care - Dementia Step up bedsBed based intermediate Care Services (Reablement, rehabilitation, wider short-term services supporting recovery)Bed-based intermediate care with rehabilitation (to support discharge)</v>
      </c>
      <c r="O345" t="s">
        <v>95</v>
      </c>
      <c r="P345" t="s">
        <v>976</v>
      </c>
      <c r="Q345">
        <v>20</v>
      </c>
      <c r="R345" t="s">
        <v>1572</v>
      </c>
      <c r="S345" t="s">
        <v>1691</v>
      </c>
      <c r="T345" t="s">
        <v>877</v>
      </c>
      <c r="U345" t="s">
        <v>968</v>
      </c>
      <c r="W345" t="s">
        <v>1671</v>
      </c>
      <c r="X345" t="s">
        <v>1671</v>
      </c>
      <c r="Y345" t="s">
        <v>879</v>
      </c>
      <c r="Z345" t="s">
        <v>1006</v>
      </c>
      <c r="AB345" t="s">
        <v>824</v>
      </c>
      <c r="AD345" t="s">
        <v>794</v>
      </c>
      <c r="AE345" t="s">
        <v>825</v>
      </c>
      <c r="AF345" t="s">
        <v>796</v>
      </c>
      <c r="AG345" t="s">
        <v>797</v>
      </c>
      <c r="AH345">
        <v>139111.95000000001</v>
      </c>
      <c r="AI345">
        <v>146985.69</v>
      </c>
      <c r="AJ345">
        <v>1.4587696966933037E-3</v>
      </c>
    </row>
    <row r="346" spans="1:36" x14ac:dyDescent="0.3">
      <c r="A346">
        <f>COUNTIF($D$2:D346,D346)</f>
        <v>4</v>
      </c>
      <c r="B346" t="str">
        <f t="shared" si="21"/>
        <v>4Bury</v>
      </c>
      <c r="C346" t="s">
        <v>1692</v>
      </c>
      <c r="D346" t="s">
        <v>101</v>
      </c>
      <c r="E346">
        <v>11</v>
      </c>
      <c r="F346" t="s">
        <v>975</v>
      </c>
      <c r="G346" t="s">
        <v>806</v>
      </c>
      <c r="H346" t="s">
        <v>807</v>
      </c>
      <c r="I346" t="s">
        <v>808</v>
      </c>
      <c r="J346">
        <f t="shared" ca="1" si="22"/>
        <v>1084040</v>
      </c>
      <c r="K346">
        <f t="shared" ca="1" si="23"/>
        <v>584</v>
      </c>
      <c r="N346" t="str">
        <f t="shared" si="20"/>
        <v>Bristol, City of39Investment in Home Care/Capacity/System FlowHome Care or Domiciliary CareDomiciliary care packages</v>
      </c>
      <c r="O346" t="s">
        <v>95</v>
      </c>
      <c r="P346" t="s">
        <v>976</v>
      </c>
      <c r="Q346">
        <v>39</v>
      </c>
      <c r="R346" t="s">
        <v>1575</v>
      </c>
      <c r="S346" t="s">
        <v>1693</v>
      </c>
      <c r="T346" t="s">
        <v>842</v>
      </c>
      <c r="U346" t="s">
        <v>843</v>
      </c>
      <c r="W346" t="s">
        <v>1671</v>
      </c>
      <c r="X346" t="s">
        <v>1671</v>
      </c>
      <c r="Y346" t="s">
        <v>844</v>
      </c>
      <c r="Z346" t="s">
        <v>792</v>
      </c>
      <c r="AB346" t="s">
        <v>793</v>
      </c>
      <c r="AD346" t="s">
        <v>794</v>
      </c>
      <c r="AE346" t="s">
        <v>804</v>
      </c>
      <c r="AF346" t="s">
        <v>845</v>
      </c>
      <c r="AG346" t="s">
        <v>797</v>
      </c>
      <c r="AH346">
        <v>2909436</v>
      </c>
      <c r="AI346">
        <v>2909436</v>
      </c>
      <c r="AJ346">
        <v>3.0509219885628647E-2</v>
      </c>
    </row>
    <row r="347" spans="1:36" x14ac:dyDescent="0.3">
      <c r="A347">
        <f>COUNTIF($D$2:D347,D347)</f>
        <v>5</v>
      </c>
      <c r="B347" t="str">
        <f t="shared" si="21"/>
        <v>5Bury</v>
      </c>
      <c r="C347" t="s">
        <v>1694</v>
      </c>
      <c r="D347" t="s">
        <v>101</v>
      </c>
      <c r="E347">
        <v>12</v>
      </c>
      <c r="F347" t="s">
        <v>975</v>
      </c>
      <c r="G347" t="s">
        <v>806</v>
      </c>
      <c r="H347" t="s">
        <v>917</v>
      </c>
      <c r="I347" t="s">
        <v>808</v>
      </c>
      <c r="J347">
        <f t="shared" ca="1" si="22"/>
        <v>1084040</v>
      </c>
      <c r="K347">
        <f t="shared" ca="1" si="23"/>
        <v>153</v>
      </c>
      <c r="N347" t="str">
        <f t="shared" si="20"/>
        <v>Bristol, City of40Assistive TechnologyAssistive Technologies and EquipmentCommunity based equipment</v>
      </c>
      <c r="O347" t="s">
        <v>95</v>
      </c>
      <c r="P347" t="s">
        <v>976</v>
      </c>
      <c r="Q347">
        <v>40</v>
      </c>
      <c r="R347" t="s">
        <v>1578</v>
      </c>
      <c r="S347" t="s">
        <v>1695</v>
      </c>
      <c r="T347" t="s">
        <v>800</v>
      </c>
      <c r="U347" t="s">
        <v>903</v>
      </c>
      <c r="W347" t="s">
        <v>1671</v>
      </c>
      <c r="X347" t="s">
        <v>1671</v>
      </c>
      <c r="Y347" t="s">
        <v>802</v>
      </c>
      <c r="Z347" t="s">
        <v>792</v>
      </c>
      <c r="AB347" t="s">
        <v>793</v>
      </c>
      <c r="AD347" t="s">
        <v>794</v>
      </c>
      <c r="AE347" t="s">
        <v>795</v>
      </c>
      <c r="AF347" t="s">
        <v>845</v>
      </c>
      <c r="AG347" t="s">
        <v>797</v>
      </c>
      <c r="AH347">
        <v>551238</v>
      </c>
      <c r="AI347">
        <v>551238</v>
      </c>
      <c r="AJ347">
        <v>5.7804472589581503E-3</v>
      </c>
    </row>
    <row r="348" spans="1:36" x14ac:dyDescent="0.3">
      <c r="A348">
        <f>COUNTIF($D$2:D348,D348)</f>
        <v>6</v>
      </c>
      <c r="B348" t="str">
        <f t="shared" si="21"/>
        <v>6Bury</v>
      </c>
      <c r="C348" t="s">
        <v>1696</v>
      </c>
      <c r="D348" t="s">
        <v>101</v>
      </c>
      <c r="E348">
        <v>13</v>
      </c>
      <c r="F348" t="s">
        <v>975</v>
      </c>
      <c r="G348" t="s">
        <v>806</v>
      </c>
      <c r="H348" t="s">
        <v>873</v>
      </c>
      <c r="I348" t="s">
        <v>808</v>
      </c>
      <c r="J348">
        <f t="shared" ca="1" si="22"/>
        <v>1084040</v>
      </c>
      <c r="K348">
        <f t="shared" ca="1" si="23"/>
        <v>29</v>
      </c>
      <c r="N348" t="str">
        <f t="shared" si="20"/>
        <v>Bristol, City of43Increased investment in mobile workingAssistive Technologies and EquipmentAssistive technologies including telecare</v>
      </c>
      <c r="O348" t="s">
        <v>95</v>
      </c>
      <c r="P348" t="s">
        <v>976</v>
      </c>
      <c r="Q348">
        <v>43</v>
      </c>
      <c r="R348" t="s">
        <v>1581</v>
      </c>
      <c r="S348" t="s">
        <v>1697</v>
      </c>
      <c r="T348" t="s">
        <v>800</v>
      </c>
      <c r="U348" t="s">
        <v>850</v>
      </c>
      <c r="W348" t="s">
        <v>1671</v>
      </c>
      <c r="X348" t="s">
        <v>1671</v>
      </c>
      <c r="Y348" t="s">
        <v>802</v>
      </c>
      <c r="Z348" t="s">
        <v>792</v>
      </c>
      <c r="AB348" t="s">
        <v>793</v>
      </c>
      <c r="AD348" t="s">
        <v>794</v>
      </c>
      <c r="AE348" t="s">
        <v>795</v>
      </c>
      <c r="AF348" t="s">
        <v>845</v>
      </c>
      <c r="AG348" t="s">
        <v>797</v>
      </c>
      <c r="AH348">
        <v>826856</v>
      </c>
      <c r="AI348">
        <v>826856</v>
      </c>
      <c r="AJ348">
        <v>8.6706604021368275E-3</v>
      </c>
    </row>
    <row r="349" spans="1:36" x14ac:dyDescent="0.3">
      <c r="A349">
        <f>COUNTIF($D$2:D349,D349)</f>
        <v>7</v>
      </c>
      <c r="B349" t="str">
        <f t="shared" si="21"/>
        <v>7Bury</v>
      </c>
      <c r="C349" t="s">
        <v>1698</v>
      </c>
      <c r="D349" t="s">
        <v>101</v>
      </c>
      <c r="E349">
        <v>14</v>
      </c>
      <c r="F349" t="s">
        <v>800</v>
      </c>
      <c r="G349" t="s">
        <v>800</v>
      </c>
      <c r="H349" t="s">
        <v>850</v>
      </c>
      <c r="I349" t="s">
        <v>802</v>
      </c>
      <c r="J349">
        <f t="shared" ca="1" si="22"/>
        <v>66276</v>
      </c>
      <c r="K349">
        <f t="shared" ca="1" si="23"/>
        <v>2219</v>
      </c>
      <c r="N349" t="str">
        <f t="shared" si="20"/>
        <v>Bristol, City of44Improving Capacity in Care HomesResidential PlacementsCare home</v>
      </c>
      <c r="O349" t="s">
        <v>95</v>
      </c>
      <c r="P349" t="s">
        <v>976</v>
      </c>
      <c r="Q349">
        <v>44</v>
      </c>
      <c r="R349" t="s">
        <v>1584</v>
      </c>
      <c r="S349" t="s">
        <v>1699</v>
      </c>
      <c r="T349" t="s">
        <v>806</v>
      </c>
      <c r="U349" t="s">
        <v>807</v>
      </c>
      <c r="W349" t="s">
        <v>1671</v>
      </c>
      <c r="X349" t="s">
        <v>1671</v>
      </c>
      <c r="Y349" t="s">
        <v>808</v>
      </c>
      <c r="Z349" t="s">
        <v>792</v>
      </c>
      <c r="AB349" t="s">
        <v>793</v>
      </c>
      <c r="AD349" t="s">
        <v>794</v>
      </c>
      <c r="AE349" t="s">
        <v>804</v>
      </c>
      <c r="AF349" t="s">
        <v>845</v>
      </c>
      <c r="AG349" t="s">
        <v>797</v>
      </c>
      <c r="AH349">
        <v>3309803</v>
      </c>
      <c r="AI349">
        <v>3309803</v>
      </c>
      <c r="AJ349">
        <v>3.4707588517194861E-2</v>
      </c>
    </row>
    <row r="350" spans="1:36" x14ac:dyDescent="0.3">
      <c r="A350">
        <f>COUNTIF($D$2:D350,D350)</f>
        <v>8</v>
      </c>
      <c r="B350" t="str">
        <f t="shared" si="21"/>
        <v>8Bury</v>
      </c>
      <c r="C350" t="s">
        <v>1700</v>
      </c>
      <c r="D350" t="s">
        <v>101</v>
      </c>
      <c r="E350">
        <v>15</v>
      </c>
      <c r="F350" t="s">
        <v>1701</v>
      </c>
      <c r="G350" t="s">
        <v>842</v>
      </c>
      <c r="H350" t="s">
        <v>843</v>
      </c>
      <c r="I350" t="s">
        <v>844</v>
      </c>
      <c r="J350">
        <f t="shared" ca="1" si="22"/>
        <v>5781385</v>
      </c>
      <c r="K350">
        <f t="shared" ca="1" si="23"/>
        <v>9556.5</v>
      </c>
      <c r="N350" t="str">
        <f t="shared" si="20"/>
        <v>Bristol, City of47Intermediate Care/Step DownBed based intermediate Care Services (Reablement, rehabilitation, wider short-term services supporting recovery)Bed-based intermediate care with reablement (to support discharge)</v>
      </c>
      <c r="O350" t="s">
        <v>95</v>
      </c>
      <c r="P350" t="s">
        <v>976</v>
      </c>
      <c r="Q350">
        <v>47</v>
      </c>
      <c r="R350" t="s">
        <v>1587</v>
      </c>
      <c r="S350" t="s">
        <v>1702</v>
      </c>
      <c r="T350" t="s">
        <v>877</v>
      </c>
      <c r="U350" t="s">
        <v>878</v>
      </c>
      <c r="W350" t="s">
        <v>1671</v>
      </c>
      <c r="X350" t="s">
        <v>1671</v>
      </c>
      <c r="Y350" t="s">
        <v>879</v>
      </c>
      <c r="Z350" t="s">
        <v>792</v>
      </c>
      <c r="AB350" t="s">
        <v>793</v>
      </c>
      <c r="AD350" t="s">
        <v>794</v>
      </c>
      <c r="AE350" t="s">
        <v>795</v>
      </c>
      <c r="AF350" t="s">
        <v>845</v>
      </c>
      <c r="AG350" t="s">
        <v>797</v>
      </c>
      <c r="AH350">
        <v>2207328</v>
      </c>
      <c r="AI350">
        <v>2207328</v>
      </c>
      <c r="AJ350">
        <v>2.3146704485578963E-2</v>
      </c>
    </row>
    <row r="351" spans="1:36" x14ac:dyDescent="0.3">
      <c r="A351">
        <f>COUNTIF($D$2:D351,D351)</f>
        <v>9</v>
      </c>
      <c r="B351" t="str">
        <f t="shared" si="21"/>
        <v>9Bury</v>
      </c>
      <c r="C351" t="s">
        <v>1703</v>
      </c>
      <c r="D351" t="s">
        <v>101</v>
      </c>
      <c r="E351">
        <v>18</v>
      </c>
      <c r="F351" t="s">
        <v>891</v>
      </c>
      <c r="G351" t="s">
        <v>834</v>
      </c>
      <c r="H351" t="s">
        <v>835</v>
      </c>
      <c r="I351" t="s">
        <v>836</v>
      </c>
      <c r="J351">
        <f t="shared" ca="1" si="22"/>
        <v>2076611</v>
      </c>
      <c r="K351">
        <f t="shared" ca="1" si="23"/>
        <v>170</v>
      </c>
      <c r="N351" t="str">
        <f t="shared" si="20"/>
        <v>Bristol, City of49Additional capacity in Residential or Nursing Care HomesResidential PlacementsCare home</v>
      </c>
      <c r="O351" t="s">
        <v>95</v>
      </c>
      <c r="P351" t="s">
        <v>976</v>
      </c>
      <c r="Q351">
        <v>49</v>
      </c>
      <c r="R351" t="s">
        <v>1590</v>
      </c>
      <c r="S351" t="s">
        <v>1704</v>
      </c>
      <c r="T351" t="s">
        <v>806</v>
      </c>
      <c r="U351" t="s">
        <v>807</v>
      </c>
      <c r="W351" t="s">
        <v>1671</v>
      </c>
      <c r="X351" t="s">
        <v>1671</v>
      </c>
      <c r="Y351" t="s">
        <v>808</v>
      </c>
      <c r="Z351" t="s">
        <v>792</v>
      </c>
      <c r="AB351" t="s">
        <v>793</v>
      </c>
      <c r="AD351" t="s">
        <v>794</v>
      </c>
      <c r="AE351" t="s">
        <v>804</v>
      </c>
      <c r="AF351" t="s">
        <v>845</v>
      </c>
      <c r="AG351" t="s">
        <v>797</v>
      </c>
      <c r="AH351">
        <v>290710</v>
      </c>
      <c r="AI351">
        <v>290710</v>
      </c>
      <c r="AJ351">
        <v>3.0484723887898219E-3</v>
      </c>
    </row>
    <row r="352" spans="1:36" x14ac:dyDescent="0.3">
      <c r="A352">
        <f>COUNTIF($D$2:D352,D352)</f>
        <v>10</v>
      </c>
      <c r="B352" t="str">
        <f t="shared" si="21"/>
        <v>10Bury</v>
      </c>
      <c r="C352" t="s">
        <v>1705</v>
      </c>
      <c r="D352" t="s">
        <v>101</v>
      </c>
      <c r="E352">
        <v>19</v>
      </c>
      <c r="F352" t="s">
        <v>1706</v>
      </c>
      <c r="G352" t="s">
        <v>877</v>
      </c>
      <c r="H352" t="s">
        <v>968</v>
      </c>
      <c r="I352" t="s">
        <v>879</v>
      </c>
      <c r="J352">
        <f t="shared" ca="1" si="22"/>
        <v>407497</v>
      </c>
      <c r="K352">
        <f t="shared" ca="1" si="23"/>
        <v>80</v>
      </c>
      <c r="N352" t="str">
        <f t="shared" si="20"/>
        <v>Bristol, City of50Dedicated discharge teams embedded in domiciliary providersHome Care or Domiciliary CareDomiciliary care workforce development</v>
      </c>
      <c r="O352" t="s">
        <v>95</v>
      </c>
      <c r="P352" t="s">
        <v>976</v>
      </c>
      <c r="Q352">
        <v>50</v>
      </c>
      <c r="R352" t="s">
        <v>1593</v>
      </c>
      <c r="S352" t="s">
        <v>1707</v>
      </c>
      <c r="T352" t="s">
        <v>842</v>
      </c>
      <c r="U352" t="s">
        <v>1594</v>
      </c>
      <c r="W352" t="s">
        <v>1671</v>
      </c>
      <c r="X352" t="s">
        <v>1671</v>
      </c>
      <c r="Y352" t="s">
        <v>844</v>
      </c>
      <c r="Z352" t="s">
        <v>792</v>
      </c>
      <c r="AB352" t="s">
        <v>793</v>
      </c>
      <c r="AD352" t="s">
        <v>794</v>
      </c>
      <c r="AE352" t="s">
        <v>804</v>
      </c>
      <c r="AF352" t="s">
        <v>845</v>
      </c>
      <c r="AG352" t="s">
        <v>797</v>
      </c>
      <c r="AH352">
        <v>67087</v>
      </c>
      <c r="AI352">
        <v>67087</v>
      </c>
      <c r="AJ352">
        <v>7.0349443482075876E-4</v>
      </c>
    </row>
    <row r="353" spans="1:36" x14ac:dyDescent="0.3">
      <c r="A353">
        <f>COUNTIF($D$2:D353,D353)</f>
        <v>11</v>
      </c>
      <c r="B353" t="str">
        <f t="shared" si="21"/>
        <v>11Bury</v>
      </c>
      <c r="C353" t="s">
        <v>1708</v>
      </c>
      <c r="D353" t="s">
        <v>101</v>
      </c>
      <c r="E353">
        <v>20</v>
      </c>
      <c r="F353" t="s">
        <v>1709</v>
      </c>
      <c r="G353" t="s">
        <v>877</v>
      </c>
      <c r="H353" t="s">
        <v>968</v>
      </c>
      <c r="I353" t="s">
        <v>879</v>
      </c>
      <c r="J353">
        <f t="shared" ca="1" si="22"/>
        <v>662000</v>
      </c>
      <c r="K353">
        <f t="shared" ca="1" si="23"/>
        <v>35</v>
      </c>
      <c r="N353" t="str">
        <f t="shared" si="20"/>
        <v>Bristol, City of51Additional domiciliary care packagesHome Care or Domiciliary CareDomiciliary care packages</v>
      </c>
      <c r="O353" t="s">
        <v>95</v>
      </c>
      <c r="P353" t="s">
        <v>976</v>
      </c>
      <c r="Q353">
        <v>51</v>
      </c>
      <c r="R353" t="s">
        <v>1597</v>
      </c>
      <c r="S353" t="s">
        <v>1710</v>
      </c>
      <c r="T353" t="s">
        <v>842</v>
      </c>
      <c r="U353" t="s">
        <v>843</v>
      </c>
      <c r="W353" t="s">
        <v>1671</v>
      </c>
      <c r="X353" t="s">
        <v>1671</v>
      </c>
      <c r="Y353" t="s">
        <v>844</v>
      </c>
      <c r="Z353" t="s">
        <v>792</v>
      </c>
      <c r="AB353" t="s">
        <v>793</v>
      </c>
      <c r="AD353" t="s">
        <v>794</v>
      </c>
      <c r="AE353" t="s">
        <v>804</v>
      </c>
      <c r="AF353" t="s">
        <v>845</v>
      </c>
      <c r="AG353" t="s">
        <v>797</v>
      </c>
      <c r="AH353">
        <v>827402</v>
      </c>
      <c r="AI353">
        <v>827402</v>
      </c>
      <c r="AJ353">
        <v>8.6763859221542991E-3</v>
      </c>
    </row>
    <row r="354" spans="1:36" x14ac:dyDescent="0.3">
      <c r="A354">
        <f>COUNTIF($D$2:D354,D354)</f>
        <v>12</v>
      </c>
      <c r="B354" t="str">
        <f t="shared" si="21"/>
        <v>12Bury</v>
      </c>
      <c r="C354" t="s">
        <v>1711</v>
      </c>
      <c r="D354" t="s">
        <v>101</v>
      </c>
      <c r="E354">
        <v>25</v>
      </c>
      <c r="F354" t="s">
        <v>1712</v>
      </c>
      <c r="G354" t="s">
        <v>877</v>
      </c>
      <c r="H354" t="s">
        <v>968</v>
      </c>
      <c r="I354" t="s">
        <v>879</v>
      </c>
      <c r="J354">
        <f t="shared" ca="1" si="22"/>
        <v>102000</v>
      </c>
      <c r="K354">
        <f t="shared" ca="1" si="23"/>
        <v>160</v>
      </c>
      <c r="N354" t="str">
        <f t="shared" si="20"/>
        <v>Bristol, City of53Innovation grant to build homecare capacityHome Care or Domiciliary CareDomiciliary care workforce development</v>
      </c>
      <c r="O354" t="s">
        <v>95</v>
      </c>
      <c r="P354" t="s">
        <v>976</v>
      </c>
      <c r="Q354">
        <v>53</v>
      </c>
      <c r="R354" t="s">
        <v>1600</v>
      </c>
      <c r="S354" t="s">
        <v>1713</v>
      </c>
      <c r="T354" t="s">
        <v>842</v>
      </c>
      <c r="U354" t="s">
        <v>1594</v>
      </c>
      <c r="W354" t="s">
        <v>1671</v>
      </c>
      <c r="X354" t="s">
        <v>1671</v>
      </c>
      <c r="Y354" t="s">
        <v>844</v>
      </c>
      <c r="Z354" t="s">
        <v>792</v>
      </c>
      <c r="AB354" t="s">
        <v>793</v>
      </c>
      <c r="AD354" t="s">
        <v>794</v>
      </c>
      <c r="AE354" t="s">
        <v>795</v>
      </c>
      <c r="AF354" t="s">
        <v>845</v>
      </c>
      <c r="AG354" t="s">
        <v>861</v>
      </c>
      <c r="AH354">
        <v>111811</v>
      </c>
      <c r="AI354">
        <v>111811</v>
      </c>
      <c r="AJ354">
        <v>1.1724837338343325E-3</v>
      </c>
    </row>
    <row r="355" spans="1:36" x14ac:dyDescent="0.3">
      <c r="A355">
        <f>COUNTIF($D$2:D355,D355)</f>
        <v>13</v>
      </c>
      <c r="B355" t="str">
        <f t="shared" si="21"/>
        <v>13Bury</v>
      </c>
      <c r="C355" t="s">
        <v>1714</v>
      </c>
      <c r="D355" t="s">
        <v>101</v>
      </c>
      <c r="E355">
        <v>28</v>
      </c>
      <c r="F355" t="s">
        <v>1715</v>
      </c>
      <c r="G355" t="s">
        <v>787</v>
      </c>
      <c r="H355" t="s">
        <v>1551</v>
      </c>
      <c r="I355" t="s">
        <v>789</v>
      </c>
      <c r="J355">
        <f t="shared" ca="1" si="22"/>
        <v>1506413</v>
      </c>
      <c r="K355">
        <f t="shared" ca="1" si="23"/>
        <v>3636</v>
      </c>
      <c r="N355" t="str">
        <f t="shared" si="20"/>
        <v>Bristol, City of54Community EquipmentAssistive Technologies and EquipmentCommunity based equipment</v>
      </c>
      <c r="O355" t="s">
        <v>95</v>
      </c>
      <c r="P355" t="s">
        <v>976</v>
      </c>
      <c r="Q355">
        <v>54</v>
      </c>
      <c r="R355" t="s">
        <v>1051</v>
      </c>
      <c r="S355" t="s">
        <v>1716</v>
      </c>
      <c r="T355" t="s">
        <v>800</v>
      </c>
      <c r="U355" t="s">
        <v>903</v>
      </c>
      <c r="W355" t="s">
        <v>1671</v>
      </c>
      <c r="X355" t="s">
        <v>1671</v>
      </c>
      <c r="Y355" t="s">
        <v>802</v>
      </c>
      <c r="Z355" t="s">
        <v>792</v>
      </c>
      <c r="AB355" t="s">
        <v>793</v>
      </c>
      <c r="AD355" t="s">
        <v>794</v>
      </c>
      <c r="AE355" t="s">
        <v>795</v>
      </c>
      <c r="AF355" t="s">
        <v>796</v>
      </c>
      <c r="AG355" t="s">
        <v>797</v>
      </c>
      <c r="AH355">
        <v>630370.72</v>
      </c>
      <c r="AI355">
        <v>666049.71</v>
      </c>
      <c r="AJ355">
        <v>6.6102567322127203E-3</v>
      </c>
    </row>
    <row r="356" spans="1:36" x14ac:dyDescent="0.3">
      <c r="A356">
        <f>COUNTIF($D$2:D356,D356)</f>
        <v>1</v>
      </c>
      <c r="B356" t="str">
        <f t="shared" si="21"/>
        <v>1Calderdale</v>
      </c>
      <c r="C356" t="s">
        <v>1717</v>
      </c>
      <c r="D356" t="s">
        <v>103</v>
      </c>
      <c r="E356">
        <v>2</v>
      </c>
      <c r="F356" t="s">
        <v>1718</v>
      </c>
      <c r="G356" t="s">
        <v>800</v>
      </c>
      <c r="H356" t="s">
        <v>850</v>
      </c>
      <c r="I356" t="s">
        <v>802</v>
      </c>
      <c r="J356">
        <f t="shared" ca="1" si="22"/>
        <v>250780</v>
      </c>
      <c r="K356">
        <f t="shared" ca="1" si="23"/>
        <v>3000</v>
      </c>
      <c r="N356" t="str">
        <f t="shared" si="20"/>
        <v>Bristol, City of59Discharge Fund Home-based intermediate care servicesReablement at home (to prevent admission to hospital or residential care)</v>
      </c>
      <c r="O356" t="s">
        <v>95</v>
      </c>
      <c r="P356" t="s">
        <v>976</v>
      </c>
      <c r="Q356">
        <v>59</v>
      </c>
      <c r="R356" t="s">
        <v>1603</v>
      </c>
      <c r="S356" t="s">
        <v>1719</v>
      </c>
      <c r="T356" t="s">
        <v>787</v>
      </c>
      <c r="U356" t="s">
        <v>886</v>
      </c>
      <c r="W356">
        <v>0.05</v>
      </c>
      <c r="X356">
        <v>0.08</v>
      </c>
      <c r="Y356" t="s">
        <v>789</v>
      </c>
      <c r="Z356" t="s">
        <v>792</v>
      </c>
      <c r="AB356" t="s">
        <v>793</v>
      </c>
      <c r="AD356" t="s">
        <v>794</v>
      </c>
      <c r="AE356" t="s">
        <v>795</v>
      </c>
      <c r="AF356" t="s">
        <v>864</v>
      </c>
      <c r="AG356" t="s">
        <v>861</v>
      </c>
      <c r="AH356">
        <v>98000</v>
      </c>
      <c r="AI356">
        <v>163333</v>
      </c>
      <c r="AJ356">
        <v>1.0276574390334096E-3</v>
      </c>
    </row>
    <row r="357" spans="1:36" x14ac:dyDescent="0.3">
      <c r="A357">
        <f>COUNTIF($D$2:D357,D357)</f>
        <v>2</v>
      </c>
      <c r="B357" t="str">
        <f t="shared" si="21"/>
        <v>2Calderdale</v>
      </c>
      <c r="C357" t="s">
        <v>1720</v>
      </c>
      <c r="D357" t="s">
        <v>103</v>
      </c>
      <c r="E357">
        <v>5</v>
      </c>
      <c r="F357" t="s">
        <v>1721</v>
      </c>
      <c r="G357" t="s">
        <v>811</v>
      </c>
      <c r="H357" t="s">
        <v>830</v>
      </c>
      <c r="I357" t="s">
        <v>813</v>
      </c>
      <c r="J357">
        <f t="shared" ca="1" si="22"/>
        <v>910150</v>
      </c>
      <c r="K357">
        <f t="shared" ca="1" si="23"/>
        <v>2287</v>
      </c>
      <c r="N357" t="str">
        <f t="shared" si="20"/>
        <v>Bristol, City of60Discharge Fund Home Care or Domiciliary CareDomiciliary care packages</v>
      </c>
      <c r="O357" t="s">
        <v>95</v>
      </c>
      <c r="P357" t="s">
        <v>976</v>
      </c>
      <c r="Q357">
        <v>60</v>
      </c>
      <c r="R357" t="s">
        <v>1603</v>
      </c>
      <c r="S357" t="s">
        <v>1618</v>
      </c>
      <c r="T357" t="s">
        <v>842</v>
      </c>
      <c r="U357" t="s">
        <v>843</v>
      </c>
      <c r="W357">
        <v>0.05</v>
      </c>
      <c r="X357">
        <v>0.08</v>
      </c>
      <c r="Y357" t="s">
        <v>844</v>
      </c>
      <c r="Z357" t="s">
        <v>792</v>
      </c>
      <c r="AB357" t="s">
        <v>793</v>
      </c>
      <c r="AD357" t="s">
        <v>794</v>
      </c>
      <c r="AE357" t="s">
        <v>795</v>
      </c>
      <c r="AF357" t="s">
        <v>864</v>
      </c>
      <c r="AG357" t="s">
        <v>861</v>
      </c>
      <c r="AH357">
        <v>1639000</v>
      </c>
      <c r="AI357">
        <v>2731666</v>
      </c>
      <c r="AJ357">
        <v>1.7187046352813862E-2</v>
      </c>
    </row>
    <row r="358" spans="1:36" x14ac:dyDescent="0.3">
      <c r="A358">
        <f>COUNTIF($D$2:D358,D358)</f>
        <v>3</v>
      </c>
      <c r="B358" t="str">
        <f t="shared" si="21"/>
        <v>3Calderdale</v>
      </c>
      <c r="C358" t="s">
        <v>1722</v>
      </c>
      <c r="D358" t="s">
        <v>103</v>
      </c>
      <c r="E358">
        <v>6</v>
      </c>
      <c r="F358" t="s">
        <v>1723</v>
      </c>
      <c r="G358" t="s">
        <v>800</v>
      </c>
      <c r="H358" t="s">
        <v>903</v>
      </c>
      <c r="I358" t="s">
        <v>802</v>
      </c>
      <c r="J358">
        <f t="shared" ca="1" si="22"/>
        <v>513570</v>
      </c>
      <c r="K358">
        <f t="shared" ca="1" si="23"/>
        <v>250</v>
      </c>
      <c r="N358" t="str">
        <f t="shared" si="20"/>
        <v>Bristol, City of64Discharge Bed Capacity - ReablementBed based intermediate Care Services (Reablement, rehabilitation, wider short-term services supporting recovery)Bed-based intermediate care with reablement (to support admissions avoidance)</v>
      </c>
      <c r="O358" t="s">
        <v>95</v>
      </c>
      <c r="P358" t="s">
        <v>976</v>
      </c>
      <c r="Q358">
        <v>64</v>
      </c>
      <c r="R358" t="s">
        <v>1607</v>
      </c>
      <c r="S358" t="s">
        <v>1724</v>
      </c>
      <c r="T358" t="s">
        <v>877</v>
      </c>
      <c r="U358" t="s">
        <v>995</v>
      </c>
      <c r="W358">
        <v>0.05</v>
      </c>
      <c r="X358">
        <v>0.05</v>
      </c>
      <c r="Y358" t="s">
        <v>879</v>
      </c>
      <c r="Z358" t="s">
        <v>1118</v>
      </c>
      <c r="AB358" t="s">
        <v>824</v>
      </c>
      <c r="AD358" t="s">
        <v>794</v>
      </c>
      <c r="AE358" t="s">
        <v>1119</v>
      </c>
      <c r="AF358" t="s">
        <v>860</v>
      </c>
      <c r="AG358" t="s">
        <v>861</v>
      </c>
      <c r="AH358">
        <v>101000</v>
      </c>
      <c r="AI358">
        <v>101000</v>
      </c>
      <c r="AJ358">
        <v>1.0591163402283101E-3</v>
      </c>
    </row>
    <row r="359" spans="1:36" x14ac:dyDescent="0.3">
      <c r="A359">
        <f>COUNTIF($D$2:D359,D359)</f>
        <v>4</v>
      </c>
      <c r="B359" t="str">
        <f t="shared" si="21"/>
        <v>4Calderdale</v>
      </c>
      <c r="C359" t="s">
        <v>1725</v>
      </c>
      <c r="D359" t="s">
        <v>103</v>
      </c>
      <c r="E359">
        <v>7</v>
      </c>
      <c r="F359" t="s">
        <v>1723</v>
      </c>
      <c r="G359" t="s">
        <v>800</v>
      </c>
      <c r="H359" t="s">
        <v>903</v>
      </c>
      <c r="I359" t="s">
        <v>802</v>
      </c>
      <c r="J359">
        <f t="shared" ca="1" si="22"/>
        <v>1072440</v>
      </c>
      <c r="K359">
        <f t="shared" ca="1" si="23"/>
        <v>400</v>
      </c>
      <c r="N359" t="str">
        <f t="shared" si="20"/>
        <v>Bristol, City of65Discharge Bed Capacity - ReablementBed based intermediate Care Services (Reablement, rehabilitation, wider short-term services supporting recovery)Bed-based intermediate care with reablement (to support admissions avoidance)</v>
      </c>
      <c r="O359" t="s">
        <v>95</v>
      </c>
      <c r="P359" t="s">
        <v>976</v>
      </c>
      <c r="Q359">
        <v>65</v>
      </c>
      <c r="R359" t="s">
        <v>1607</v>
      </c>
      <c r="S359" t="s">
        <v>1726</v>
      </c>
      <c r="T359" t="s">
        <v>877</v>
      </c>
      <c r="U359" t="s">
        <v>995</v>
      </c>
      <c r="W359">
        <v>0.05</v>
      </c>
      <c r="X359">
        <v>0.05</v>
      </c>
      <c r="Y359" t="s">
        <v>879</v>
      </c>
      <c r="Z359" t="s">
        <v>823</v>
      </c>
      <c r="AB359" t="s">
        <v>824</v>
      </c>
      <c r="AD359" t="s">
        <v>794</v>
      </c>
      <c r="AE359" t="s">
        <v>832</v>
      </c>
      <c r="AF359" t="s">
        <v>860</v>
      </c>
      <c r="AG359" t="s">
        <v>861</v>
      </c>
      <c r="AH359">
        <v>1857000</v>
      </c>
      <c r="AI359">
        <v>1857000</v>
      </c>
      <c r="AJ359">
        <v>1.9473059839643283E-2</v>
      </c>
    </row>
    <row r="360" spans="1:36" x14ac:dyDescent="0.3">
      <c r="A360">
        <f>COUNTIF($D$2:D360,D360)</f>
        <v>5</v>
      </c>
      <c r="B360" t="str">
        <f t="shared" si="21"/>
        <v>5Calderdale</v>
      </c>
      <c r="C360" t="s">
        <v>1727</v>
      </c>
      <c r="D360" t="s">
        <v>103</v>
      </c>
      <c r="E360">
        <v>8</v>
      </c>
      <c r="F360" t="s">
        <v>1728</v>
      </c>
      <c r="G360" t="s">
        <v>834</v>
      </c>
      <c r="H360" t="s">
        <v>835</v>
      </c>
      <c r="I360" t="s">
        <v>836</v>
      </c>
      <c r="J360">
        <f t="shared" ca="1" si="22"/>
        <v>100770</v>
      </c>
      <c r="K360">
        <f t="shared" ca="1" si="23"/>
        <v>120</v>
      </c>
      <c r="N360" t="str">
        <f t="shared" si="20"/>
        <v>Bristol, City of67Therapy Bed supportBed based intermediate Care Services (Reablement, rehabilitation, wider short-term services supporting recovery)Bed-based intermediate care with reablement (to support discharge)</v>
      </c>
      <c r="O360" t="s">
        <v>95</v>
      </c>
      <c r="P360" t="s">
        <v>976</v>
      </c>
      <c r="Q360">
        <v>67</v>
      </c>
      <c r="R360" t="s">
        <v>1610</v>
      </c>
      <c r="S360" t="s">
        <v>1729</v>
      </c>
      <c r="T360" t="s">
        <v>877</v>
      </c>
      <c r="U360" t="s">
        <v>878</v>
      </c>
      <c r="W360">
        <v>0.05</v>
      </c>
      <c r="X360">
        <v>0.05</v>
      </c>
      <c r="Y360" t="s">
        <v>879</v>
      </c>
      <c r="Z360" t="s">
        <v>823</v>
      </c>
      <c r="AB360" t="s">
        <v>824</v>
      </c>
      <c r="AD360" t="s">
        <v>794</v>
      </c>
      <c r="AE360" t="s">
        <v>832</v>
      </c>
      <c r="AF360" t="s">
        <v>860</v>
      </c>
      <c r="AG360" t="s">
        <v>861</v>
      </c>
      <c r="AH360">
        <v>345000</v>
      </c>
      <c r="AI360">
        <v>345000</v>
      </c>
      <c r="AJ360">
        <v>3.6177736374135342E-3</v>
      </c>
    </row>
    <row r="361" spans="1:36" x14ac:dyDescent="0.3">
      <c r="A361">
        <f>COUNTIF($D$2:D361,D361)</f>
        <v>6</v>
      </c>
      <c r="B361" t="str">
        <f t="shared" si="21"/>
        <v>6Calderdale</v>
      </c>
      <c r="C361" t="s">
        <v>1730</v>
      </c>
      <c r="D361" t="s">
        <v>103</v>
      </c>
      <c r="E361">
        <v>9</v>
      </c>
      <c r="F361" t="s">
        <v>1731</v>
      </c>
      <c r="G361" t="s">
        <v>834</v>
      </c>
      <c r="H361" t="s">
        <v>1732</v>
      </c>
      <c r="I361" t="s">
        <v>836</v>
      </c>
      <c r="J361">
        <f t="shared" ca="1" si="22"/>
        <v>17040</v>
      </c>
      <c r="K361">
        <f t="shared" ca="1" si="23"/>
        <v>900</v>
      </c>
      <c r="N361" t="str">
        <f t="shared" si="20"/>
        <v>Bristol, City of69Discharge Bed Capacity - ReablementBed based intermediate Care Services (Reablement, rehabilitation, wider short-term services supporting recovery)Bed-based intermediate care with reablement (to support discharge)</v>
      </c>
      <c r="O361" t="s">
        <v>95</v>
      </c>
      <c r="P361" t="s">
        <v>976</v>
      </c>
      <c r="Q361">
        <v>69</v>
      </c>
      <c r="R361" t="s">
        <v>1607</v>
      </c>
      <c r="S361" t="s">
        <v>1733</v>
      </c>
      <c r="T361" t="s">
        <v>877</v>
      </c>
      <c r="U361" t="s">
        <v>878</v>
      </c>
      <c r="W361">
        <v>0.05</v>
      </c>
      <c r="X361">
        <v>0.05</v>
      </c>
      <c r="Y361" t="s">
        <v>879</v>
      </c>
      <c r="Z361" t="s">
        <v>823</v>
      </c>
      <c r="AB361" t="s">
        <v>793</v>
      </c>
      <c r="AD361" t="s">
        <v>794</v>
      </c>
      <c r="AE361" t="s">
        <v>795</v>
      </c>
      <c r="AF361" t="s">
        <v>860</v>
      </c>
      <c r="AG361" t="s">
        <v>861</v>
      </c>
      <c r="AH361">
        <v>360000</v>
      </c>
      <c r="AI361">
        <v>360000</v>
      </c>
      <c r="AJ361">
        <v>3.7750681433880362E-3</v>
      </c>
    </row>
    <row r="362" spans="1:36" x14ac:dyDescent="0.3">
      <c r="A362">
        <f>COUNTIF($D$2:D362,D362)</f>
        <v>7</v>
      </c>
      <c r="B362" t="str">
        <f t="shared" si="21"/>
        <v>7Calderdale</v>
      </c>
      <c r="C362" t="s">
        <v>1734</v>
      </c>
      <c r="D362" t="s">
        <v>103</v>
      </c>
      <c r="E362">
        <v>10</v>
      </c>
      <c r="F362" t="s">
        <v>1735</v>
      </c>
      <c r="G362" t="s">
        <v>834</v>
      </c>
      <c r="H362" t="s">
        <v>835</v>
      </c>
      <c r="I362" t="s">
        <v>836</v>
      </c>
      <c r="J362">
        <f t="shared" ca="1" si="22"/>
        <v>3033013</v>
      </c>
      <c r="K362">
        <f t="shared" ca="1" si="23"/>
        <v>310</v>
      </c>
      <c r="N362" t="str">
        <f t="shared" si="20"/>
        <v>Bromley6EquipmentAssistive Technologies and EquipmentOther</v>
      </c>
      <c r="O362" t="s">
        <v>97</v>
      </c>
      <c r="P362" t="s">
        <v>790</v>
      </c>
      <c r="Q362">
        <v>6</v>
      </c>
      <c r="R362" t="s">
        <v>1034</v>
      </c>
      <c r="S362" t="s">
        <v>1736</v>
      </c>
      <c r="T362" t="s">
        <v>800</v>
      </c>
      <c r="U362" t="s">
        <v>812</v>
      </c>
      <c r="V362" t="s">
        <v>1737</v>
      </c>
      <c r="W362">
        <v>553</v>
      </c>
      <c r="X362">
        <v>553</v>
      </c>
      <c r="Y362" t="s">
        <v>802</v>
      </c>
      <c r="Z362" t="s">
        <v>812</v>
      </c>
      <c r="AA362" t="s">
        <v>1738</v>
      </c>
      <c r="AB362" t="s">
        <v>1739</v>
      </c>
      <c r="AC362">
        <v>0.39</v>
      </c>
      <c r="AD362">
        <v>0.61</v>
      </c>
      <c r="AE362" t="s">
        <v>795</v>
      </c>
      <c r="AF362" t="s">
        <v>860</v>
      </c>
      <c r="AG362" t="s">
        <v>861</v>
      </c>
      <c r="AH362">
        <v>155102</v>
      </c>
      <c r="AI362">
        <v>155102</v>
      </c>
      <c r="AJ362">
        <v>0.05</v>
      </c>
    </row>
    <row r="363" spans="1:36" x14ac:dyDescent="0.3">
      <c r="A363">
        <f>COUNTIF($D$2:D363,D363)</f>
        <v>8</v>
      </c>
      <c r="B363" t="str">
        <f t="shared" si="21"/>
        <v>8Calderdale</v>
      </c>
      <c r="C363" t="s">
        <v>1740</v>
      </c>
      <c r="D363" t="s">
        <v>103</v>
      </c>
      <c r="E363">
        <v>15</v>
      </c>
      <c r="F363" t="s">
        <v>1741</v>
      </c>
      <c r="G363" t="s">
        <v>877</v>
      </c>
      <c r="H363" t="s">
        <v>1015</v>
      </c>
      <c r="I363" t="s">
        <v>879</v>
      </c>
      <c r="J363">
        <f t="shared" ca="1" si="22"/>
        <v>203020</v>
      </c>
      <c r="K363">
        <f t="shared" ca="1" si="23"/>
        <v>10</v>
      </c>
      <c r="N363" t="str">
        <f t="shared" si="20"/>
        <v>Bromley9EquipmentAssistive Technologies and EquipmentCommunity based equipment</v>
      </c>
      <c r="O363" t="s">
        <v>97</v>
      </c>
      <c r="P363" t="s">
        <v>790</v>
      </c>
      <c r="Q363">
        <v>9</v>
      </c>
      <c r="R363" t="s">
        <v>1034</v>
      </c>
      <c r="S363" t="s">
        <v>1578</v>
      </c>
      <c r="T363" t="s">
        <v>800</v>
      </c>
      <c r="U363" t="s">
        <v>903</v>
      </c>
      <c r="W363">
        <v>7000</v>
      </c>
      <c r="X363">
        <v>7000</v>
      </c>
      <c r="Y363" t="s">
        <v>802</v>
      </c>
      <c r="Z363" t="s">
        <v>792</v>
      </c>
      <c r="AB363" t="s">
        <v>793</v>
      </c>
      <c r="AD363" t="s">
        <v>794</v>
      </c>
      <c r="AE363" t="s">
        <v>804</v>
      </c>
      <c r="AF363" t="s">
        <v>845</v>
      </c>
      <c r="AG363" t="s">
        <v>797</v>
      </c>
      <c r="AH363">
        <v>214000</v>
      </c>
      <c r="AI363">
        <v>214000</v>
      </c>
      <c r="AJ363">
        <v>7.0000000000000007E-2</v>
      </c>
    </row>
    <row r="364" spans="1:36" x14ac:dyDescent="0.3">
      <c r="A364">
        <f>COUNTIF($D$2:D364,D364)</f>
        <v>9</v>
      </c>
      <c r="B364" t="str">
        <f t="shared" si="21"/>
        <v>9Calderdale</v>
      </c>
      <c r="C364" t="s">
        <v>1742</v>
      </c>
      <c r="D364" t="s">
        <v>103</v>
      </c>
      <c r="E364">
        <v>16</v>
      </c>
      <c r="F364" t="s">
        <v>1743</v>
      </c>
      <c r="G364" t="s">
        <v>877</v>
      </c>
      <c r="H364" t="s">
        <v>1015</v>
      </c>
      <c r="I364" t="s">
        <v>879</v>
      </c>
      <c r="J364">
        <f t="shared" ca="1" si="22"/>
        <v>933214</v>
      </c>
      <c r="K364">
        <f t="shared" ca="1" si="23"/>
        <v>20</v>
      </c>
      <c r="N364" t="str">
        <f t="shared" si="20"/>
        <v>Bromley10Dom CareHome Care or Domiciliary CareDomiciliary care packages</v>
      </c>
      <c r="O364" t="s">
        <v>97</v>
      </c>
      <c r="P364" t="s">
        <v>790</v>
      </c>
      <c r="Q364">
        <v>10</v>
      </c>
      <c r="R364" t="s">
        <v>1618</v>
      </c>
      <c r="S364" t="s">
        <v>1744</v>
      </c>
      <c r="T364" t="s">
        <v>842</v>
      </c>
      <c r="U364" t="s">
        <v>843</v>
      </c>
      <c r="W364">
        <v>3000</v>
      </c>
      <c r="X364">
        <v>3000</v>
      </c>
      <c r="Y364" t="s">
        <v>844</v>
      </c>
      <c r="Z364" t="s">
        <v>792</v>
      </c>
      <c r="AB364" t="s">
        <v>793</v>
      </c>
      <c r="AD364" t="s">
        <v>794</v>
      </c>
      <c r="AE364" t="s">
        <v>804</v>
      </c>
      <c r="AF364" t="s">
        <v>845</v>
      </c>
      <c r="AG364" t="s">
        <v>797</v>
      </c>
      <c r="AH364">
        <v>72000</v>
      </c>
      <c r="AI364">
        <v>72000</v>
      </c>
      <c r="AJ364">
        <v>0.01</v>
      </c>
    </row>
    <row r="365" spans="1:36" x14ac:dyDescent="0.3">
      <c r="A365">
        <f>COUNTIF($D$2:D365,D365)</f>
        <v>10</v>
      </c>
      <c r="B365" t="str">
        <f t="shared" si="21"/>
        <v>10Calderdale</v>
      </c>
      <c r="C365" t="s">
        <v>1745</v>
      </c>
      <c r="D365" t="s">
        <v>103</v>
      </c>
      <c r="E365">
        <v>17</v>
      </c>
      <c r="F365" t="s">
        <v>1746</v>
      </c>
      <c r="G365" t="s">
        <v>877</v>
      </c>
      <c r="H365" t="s">
        <v>878</v>
      </c>
      <c r="I365" t="s">
        <v>879</v>
      </c>
      <c r="J365" t="e">
        <f t="shared" si="22"/>
        <v>#VALUE!</v>
      </c>
      <c r="K365" t="e">
        <f t="shared" si="23"/>
        <v>#VALUE!</v>
      </c>
      <c r="N365" t="str">
        <f t="shared" si="20"/>
        <v>Bromley11PlacementsResidential PlacementsLearning disability</v>
      </c>
      <c r="O365" t="s">
        <v>97</v>
      </c>
      <c r="P365" t="s">
        <v>790</v>
      </c>
      <c r="Q365">
        <v>11</v>
      </c>
      <c r="R365" t="s">
        <v>1622</v>
      </c>
      <c r="S365" t="s">
        <v>1747</v>
      </c>
      <c r="T365" t="s">
        <v>806</v>
      </c>
      <c r="U365" t="s">
        <v>854</v>
      </c>
      <c r="W365">
        <v>207</v>
      </c>
      <c r="X365">
        <v>207</v>
      </c>
      <c r="Y365" t="s">
        <v>808</v>
      </c>
      <c r="Z365" t="s">
        <v>792</v>
      </c>
      <c r="AB365" t="s">
        <v>793</v>
      </c>
      <c r="AD365" t="s">
        <v>794</v>
      </c>
      <c r="AE365" t="s">
        <v>804</v>
      </c>
      <c r="AF365" t="s">
        <v>845</v>
      </c>
      <c r="AG365" t="s">
        <v>797</v>
      </c>
      <c r="AH365">
        <v>405460</v>
      </c>
      <c r="AI365">
        <v>405460</v>
      </c>
      <c r="AJ365">
        <v>0.01</v>
      </c>
    </row>
    <row r="366" spans="1:36" x14ac:dyDescent="0.3">
      <c r="A366">
        <f>COUNTIF($D$2:D366,D366)</f>
        <v>11</v>
      </c>
      <c r="B366" t="str">
        <f t="shared" si="21"/>
        <v>11Calderdale</v>
      </c>
      <c r="C366" t="s">
        <v>1748</v>
      </c>
      <c r="D366" t="s">
        <v>103</v>
      </c>
      <c r="E366">
        <v>19</v>
      </c>
      <c r="F366" t="s">
        <v>1749</v>
      </c>
      <c r="G366" t="s">
        <v>842</v>
      </c>
      <c r="H366" t="s">
        <v>843</v>
      </c>
      <c r="I366" t="s">
        <v>844</v>
      </c>
      <c r="J366">
        <f t="shared" ca="1" si="22"/>
        <v>2524890</v>
      </c>
      <c r="K366">
        <f t="shared" ca="1" si="23"/>
        <v>93196</v>
      </c>
      <c r="N366" t="str">
        <f t="shared" si="20"/>
        <v>Bromley12D2A PlacementsHome-based intermediate care servicesRehabilitation at home (to prevent admission to hospital or residential care)</v>
      </c>
      <c r="O366" t="s">
        <v>97</v>
      </c>
      <c r="P366" t="s">
        <v>790</v>
      </c>
      <c r="Q366">
        <v>12</v>
      </c>
      <c r="R366" t="s">
        <v>1625</v>
      </c>
      <c r="S366" t="s">
        <v>1750</v>
      </c>
      <c r="T366" t="s">
        <v>787</v>
      </c>
      <c r="U366" t="s">
        <v>1011</v>
      </c>
      <c r="V366" t="s">
        <v>1751</v>
      </c>
      <c r="W366">
        <v>216</v>
      </c>
      <c r="X366">
        <v>216</v>
      </c>
      <c r="Y366" t="s">
        <v>789</v>
      </c>
      <c r="Z366" t="s">
        <v>823</v>
      </c>
      <c r="AB366" t="s">
        <v>793</v>
      </c>
      <c r="AD366" t="s">
        <v>794</v>
      </c>
      <c r="AE366" t="s">
        <v>804</v>
      </c>
      <c r="AF366" t="s">
        <v>845</v>
      </c>
      <c r="AG366" t="s">
        <v>797</v>
      </c>
      <c r="AH366">
        <v>83000</v>
      </c>
      <c r="AI366">
        <v>83000</v>
      </c>
      <c r="AJ366">
        <v>0.04</v>
      </c>
    </row>
    <row r="367" spans="1:36" x14ac:dyDescent="0.3">
      <c r="A367">
        <f>COUNTIF($D$2:D367,D367)</f>
        <v>12</v>
      </c>
      <c r="B367" t="str">
        <f t="shared" si="21"/>
        <v>12Calderdale</v>
      </c>
      <c r="C367" t="s">
        <v>1752</v>
      </c>
      <c r="D367" t="s">
        <v>103</v>
      </c>
      <c r="E367">
        <v>21</v>
      </c>
      <c r="F367" t="s">
        <v>1753</v>
      </c>
      <c r="G367" t="s">
        <v>842</v>
      </c>
      <c r="H367" t="s">
        <v>843</v>
      </c>
      <c r="I367" t="s">
        <v>844</v>
      </c>
      <c r="J367">
        <f t="shared" ca="1" si="22"/>
        <v>31000</v>
      </c>
      <c r="K367">
        <f t="shared" ca="1" si="23"/>
        <v>1240</v>
      </c>
      <c r="N367" t="str">
        <f t="shared" si="20"/>
        <v>Bromley14DFGDFG Related SchemesAdaptations, including statutory DFG grants</v>
      </c>
      <c r="O367" t="s">
        <v>97</v>
      </c>
      <c r="P367" t="s">
        <v>790</v>
      </c>
      <c r="Q367">
        <v>14</v>
      </c>
      <c r="R367" t="s">
        <v>840</v>
      </c>
      <c r="S367" t="s">
        <v>1479</v>
      </c>
      <c r="T367" t="s">
        <v>834</v>
      </c>
      <c r="U367" t="s">
        <v>835</v>
      </c>
      <c r="W367">
        <v>250</v>
      </c>
      <c r="X367">
        <v>300</v>
      </c>
      <c r="Y367" t="s">
        <v>836</v>
      </c>
      <c r="Z367" t="s">
        <v>792</v>
      </c>
      <c r="AB367" t="s">
        <v>793</v>
      </c>
      <c r="AD367" t="s">
        <v>794</v>
      </c>
      <c r="AE367" t="s">
        <v>804</v>
      </c>
      <c r="AF367" t="s">
        <v>840</v>
      </c>
      <c r="AG367" t="s">
        <v>797</v>
      </c>
      <c r="AH367">
        <v>2442564</v>
      </c>
      <c r="AI367">
        <v>2442564</v>
      </c>
      <c r="AJ367">
        <v>0.89</v>
      </c>
    </row>
    <row r="368" spans="1:36" x14ac:dyDescent="0.3">
      <c r="A368">
        <f>COUNTIF($D$2:D368,D368)</f>
        <v>13</v>
      </c>
      <c r="B368" t="str">
        <f t="shared" si="21"/>
        <v>13Calderdale</v>
      </c>
      <c r="C368" t="s">
        <v>1754</v>
      </c>
      <c r="D368" t="s">
        <v>103</v>
      </c>
      <c r="E368">
        <v>34</v>
      </c>
      <c r="F368" t="s">
        <v>1755</v>
      </c>
      <c r="G368" t="s">
        <v>842</v>
      </c>
      <c r="H368" t="s">
        <v>843</v>
      </c>
      <c r="I368" t="s">
        <v>844</v>
      </c>
      <c r="J368">
        <f t="shared" ca="1" si="22"/>
        <v>425600</v>
      </c>
      <c r="K368">
        <f t="shared" ca="1" si="23"/>
        <v>21280</v>
      </c>
      <c r="N368" t="str">
        <f t="shared" si="20"/>
        <v>Bromley17Assistive TechnologyAssistive Technologies and EquipmentOther</v>
      </c>
      <c r="O368" t="s">
        <v>97</v>
      </c>
      <c r="P368" t="s">
        <v>790</v>
      </c>
      <c r="Q368">
        <v>17</v>
      </c>
      <c r="R368" t="s">
        <v>1578</v>
      </c>
      <c r="S368" t="s">
        <v>1756</v>
      </c>
      <c r="T368" t="s">
        <v>800</v>
      </c>
      <c r="U368" t="s">
        <v>812</v>
      </c>
      <c r="V368" t="s">
        <v>1757</v>
      </c>
      <c r="W368">
        <v>938</v>
      </c>
      <c r="X368">
        <v>938</v>
      </c>
      <c r="Y368" t="s">
        <v>802</v>
      </c>
      <c r="Z368" t="s">
        <v>812</v>
      </c>
      <c r="AA368" t="s">
        <v>1758</v>
      </c>
      <c r="AB368" t="s">
        <v>824</v>
      </c>
      <c r="AD368" t="s">
        <v>794</v>
      </c>
      <c r="AE368" t="s">
        <v>824</v>
      </c>
      <c r="AF368" t="s">
        <v>796</v>
      </c>
      <c r="AG368" t="s">
        <v>797</v>
      </c>
      <c r="AH368">
        <v>413000</v>
      </c>
      <c r="AI368">
        <v>413000</v>
      </c>
      <c r="AJ368">
        <v>0.01</v>
      </c>
    </row>
    <row r="369" spans="1:36" x14ac:dyDescent="0.3">
      <c r="A369">
        <f>COUNTIF($D$2:D369,D369)</f>
        <v>14</v>
      </c>
      <c r="B369" t="str">
        <f t="shared" si="21"/>
        <v>14Calderdale</v>
      </c>
      <c r="C369" t="s">
        <v>1759</v>
      </c>
      <c r="D369" t="s">
        <v>103</v>
      </c>
      <c r="E369">
        <v>35</v>
      </c>
      <c r="F369" t="s">
        <v>1760</v>
      </c>
      <c r="G369" t="s">
        <v>842</v>
      </c>
      <c r="H369" t="s">
        <v>843</v>
      </c>
      <c r="I369" t="s">
        <v>844</v>
      </c>
      <c r="J369">
        <f t="shared" ca="1" si="22"/>
        <v>70000</v>
      </c>
      <c r="K369">
        <f t="shared" ca="1" si="23"/>
        <v>3500</v>
      </c>
      <c r="N369" t="str">
        <f t="shared" si="20"/>
        <v>Bromley20Assistive TechnologyAssistive Technologies and EquipmentCommunity based equipment</v>
      </c>
      <c r="O369" t="s">
        <v>97</v>
      </c>
      <c r="P369" t="s">
        <v>790</v>
      </c>
      <c r="Q369">
        <v>20</v>
      </c>
      <c r="R369" t="s">
        <v>1578</v>
      </c>
      <c r="S369" t="s">
        <v>801</v>
      </c>
      <c r="T369" t="s">
        <v>800</v>
      </c>
      <c r="U369" t="s">
        <v>903</v>
      </c>
      <c r="W369">
        <v>1773</v>
      </c>
      <c r="X369">
        <v>1773</v>
      </c>
      <c r="Y369" t="s">
        <v>802</v>
      </c>
      <c r="Z369" t="s">
        <v>792</v>
      </c>
      <c r="AB369" t="s">
        <v>793</v>
      </c>
      <c r="AD369" t="s">
        <v>794</v>
      </c>
      <c r="AE369" t="s">
        <v>804</v>
      </c>
      <c r="AF369" t="s">
        <v>796</v>
      </c>
      <c r="AG369" t="s">
        <v>797</v>
      </c>
      <c r="AH369">
        <v>461000</v>
      </c>
      <c r="AI369">
        <v>461000</v>
      </c>
      <c r="AJ369">
        <v>0.15</v>
      </c>
    </row>
    <row r="370" spans="1:36" x14ac:dyDescent="0.3">
      <c r="A370">
        <f>COUNTIF($D$2:D370,D370)</f>
        <v>15</v>
      </c>
      <c r="B370" t="str">
        <f t="shared" si="21"/>
        <v>15Calderdale</v>
      </c>
      <c r="C370" t="s">
        <v>1761</v>
      </c>
      <c r="D370" t="s">
        <v>103</v>
      </c>
      <c r="E370">
        <v>40</v>
      </c>
      <c r="F370" t="s">
        <v>1762</v>
      </c>
      <c r="G370" t="s">
        <v>806</v>
      </c>
      <c r="H370" t="s">
        <v>917</v>
      </c>
      <c r="I370" t="s">
        <v>808</v>
      </c>
      <c r="J370">
        <f t="shared" ca="1" si="22"/>
        <v>300000</v>
      </c>
      <c r="K370">
        <f t="shared" ca="1" si="23"/>
        <v>33</v>
      </c>
      <c r="N370" t="str">
        <f t="shared" si="20"/>
        <v>Bromley24Improving Healthcare service to Care Home Care or Domiciliary CareDomiciliary care packages</v>
      </c>
      <c r="O370" t="s">
        <v>97</v>
      </c>
      <c r="P370" t="s">
        <v>790</v>
      </c>
      <c r="Q370">
        <v>24</v>
      </c>
      <c r="R370" t="s">
        <v>1633</v>
      </c>
      <c r="S370" t="s">
        <v>1618</v>
      </c>
      <c r="T370" t="s">
        <v>842</v>
      </c>
      <c r="U370" t="s">
        <v>843</v>
      </c>
      <c r="W370">
        <v>14291</v>
      </c>
      <c r="X370">
        <v>14291</v>
      </c>
      <c r="Y370" t="s">
        <v>844</v>
      </c>
      <c r="Z370" t="s">
        <v>812</v>
      </c>
      <c r="AA370" t="s">
        <v>1758</v>
      </c>
      <c r="AB370" t="s">
        <v>824</v>
      </c>
      <c r="AD370" t="s">
        <v>794</v>
      </c>
      <c r="AE370" t="s">
        <v>824</v>
      </c>
      <c r="AF370" t="s">
        <v>796</v>
      </c>
      <c r="AG370" t="s">
        <v>797</v>
      </c>
      <c r="AH370">
        <v>343000</v>
      </c>
      <c r="AI370">
        <v>343000</v>
      </c>
      <c r="AJ370">
        <v>8.0000000000000002E-3</v>
      </c>
    </row>
    <row r="371" spans="1:36" x14ac:dyDescent="0.3">
      <c r="A371">
        <f>COUNTIF($D$2:D371,D371)</f>
        <v>16</v>
      </c>
      <c r="B371" t="str">
        <f t="shared" si="21"/>
        <v>16Calderdale</v>
      </c>
      <c r="C371" t="s">
        <v>1763</v>
      </c>
      <c r="D371" t="s">
        <v>103</v>
      </c>
      <c r="E371">
        <v>50</v>
      </c>
      <c r="F371" t="s">
        <v>1764</v>
      </c>
      <c r="G371" t="s">
        <v>800</v>
      </c>
      <c r="H371" t="s">
        <v>903</v>
      </c>
      <c r="I371" t="s">
        <v>802</v>
      </c>
      <c r="J371">
        <f t="shared" ca="1" si="22"/>
        <v>200000</v>
      </c>
      <c r="K371">
        <f t="shared" ca="1" si="23"/>
        <v>150</v>
      </c>
      <c r="N371" t="str">
        <f t="shared" si="20"/>
        <v>Bromley29Support for carersCarers ServicesRespite services</v>
      </c>
      <c r="O371" t="s">
        <v>97</v>
      </c>
      <c r="P371" t="s">
        <v>790</v>
      </c>
      <c r="Q371">
        <v>29</v>
      </c>
      <c r="R371" t="s">
        <v>1636</v>
      </c>
      <c r="S371" t="s">
        <v>1765</v>
      </c>
      <c r="T371" t="s">
        <v>811</v>
      </c>
      <c r="U371" t="s">
        <v>830</v>
      </c>
      <c r="W371">
        <v>75</v>
      </c>
      <c r="X371">
        <v>75</v>
      </c>
      <c r="Y371" t="s">
        <v>813</v>
      </c>
      <c r="Z371" t="s">
        <v>812</v>
      </c>
      <c r="AA371" t="s">
        <v>1758</v>
      </c>
      <c r="AB371" t="s">
        <v>824</v>
      </c>
      <c r="AD371" t="s">
        <v>794</v>
      </c>
      <c r="AE371" t="s">
        <v>824</v>
      </c>
      <c r="AF371" t="s">
        <v>796</v>
      </c>
      <c r="AG371" t="s">
        <v>797</v>
      </c>
      <c r="AH371">
        <v>576000</v>
      </c>
      <c r="AI371">
        <v>576000</v>
      </c>
      <c r="AJ371">
        <v>1.4E-2</v>
      </c>
    </row>
    <row r="372" spans="1:36" x14ac:dyDescent="0.3">
      <c r="A372">
        <f>COUNTIF($D$2:D372,D372)</f>
        <v>17</v>
      </c>
      <c r="B372" t="str">
        <f t="shared" si="21"/>
        <v>17Calderdale</v>
      </c>
      <c r="C372" t="s">
        <v>1766</v>
      </c>
      <c r="D372" t="s">
        <v>103</v>
      </c>
      <c r="E372">
        <v>51</v>
      </c>
      <c r="F372" t="s">
        <v>1767</v>
      </c>
      <c r="G372" t="s">
        <v>800</v>
      </c>
      <c r="H372" t="s">
        <v>850</v>
      </c>
      <c r="I372" t="s">
        <v>802</v>
      </c>
      <c r="J372">
        <f t="shared" ca="1" si="22"/>
        <v>100000</v>
      </c>
      <c r="K372">
        <f t="shared" ca="1" si="23"/>
        <v>350</v>
      </c>
      <c r="N372" t="str">
        <f t="shared" si="20"/>
        <v>Bromley30ReablementHome-based intermediate care servicesRehabilitation at home (to support discharge)</v>
      </c>
      <c r="O372" t="s">
        <v>97</v>
      </c>
      <c r="P372" t="s">
        <v>790</v>
      </c>
      <c r="Q372">
        <v>30</v>
      </c>
      <c r="R372" t="s">
        <v>434</v>
      </c>
      <c r="S372" t="s">
        <v>1768</v>
      </c>
      <c r="T372" t="s">
        <v>787</v>
      </c>
      <c r="U372" t="s">
        <v>1195</v>
      </c>
      <c r="W372">
        <v>45</v>
      </c>
      <c r="X372">
        <v>45</v>
      </c>
      <c r="Y372" t="s">
        <v>789</v>
      </c>
      <c r="Z372" t="s">
        <v>823</v>
      </c>
      <c r="AB372" t="s">
        <v>824</v>
      </c>
      <c r="AD372" t="s">
        <v>794</v>
      </c>
      <c r="AE372" t="s">
        <v>824</v>
      </c>
      <c r="AF372" t="s">
        <v>796</v>
      </c>
      <c r="AG372" t="s">
        <v>797</v>
      </c>
      <c r="AH372">
        <v>1040000</v>
      </c>
      <c r="AI372">
        <v>1040000</v>
      </c>
      <c r="AJ372">
        <v>2.5999999999999999E-2</v>
      </c>
    </row>
    <row r="373" spans="1:36" x14ac:dyDescent="0.3">
      <c r="A373">
        <f>COUNTIF($D$2:D373,D373)</f>
        <v>18</v>
      </c>
      <c r="B373" t="str">
        <f t="shared" si="21"/>
        <v>18Calderdale</v>
      </c>
      <c r="C373" t="s">
        <v>1769</v>
      </c>
      <c r="D373" t="s">
        <v>103</v>
      </c>
      <c r="E373">
        <v>52</v>
      </c>
      <c r="F373" t="s">
        <v>1770</v>
      </c>
      <c r="G373" t="s">
        <v>842</v>
      </c>
      <c r="H373" t="s">
        <v>856</v>
      </c>
      <c r="I373" t="s">
        <v>844</v>
      </c>
      <c r="J373">
        <f t="shared" ca="1" si="22"/>
        <v>412770</v>
      </c>
      <c r="K373">
        <f t="shared" ca="1" si="23"/>
        <v>225</v>
      </c>
      <c r="N373" t="str">
        <f t="shared" si="20"/>
        <v xml:space="preserve">Bromley31ReablementHome-based intermediate care servicesReablement at home (to support discharge) </v>
      </c>
      <c r="O373" t="s">
        <v>97</v>
      </c>
      <c r="P373" t="s">
        <v>790</v>
      </c>
      <c r="Q373">
        <v>31</v>
      </c>
      <c r="R373" t="s">
        <v>434</v>
      </c>
      <c r="S373" t="s">
        <v>1768</v>
      </c>
      <c r="T373" t="s">
        <v>787</v>
      </c>
      <c r="U373" t="s">
        <v>788</v>
      </c>
      <c r="W373">
        <v>45</v>
      </c>
      <c r="X373">
        <v>45</v>
      </c>
      <c r="Y373" t="s">
        <v>789</v>
      </c>
      <c r="Z373" t="s">
        <v>792</v>
      </c>
      <c r="AB373" t="s">
        <v>793</v>
      </c>
      <c r="AD373" t="s">
        <v>794</v>
      </c>
      <c r="AE373" t="s">
        <v>795</v>
      </c>
      <c r="AF373" t="s">
        <v>796</v>
      </c>
      <c r="AG373" t="s">
        <v>797</v>
      </c>
      <c r="AH373">
        <v>1276000</v>
      </c>
      <c r="AI373">
        <v>1276000</v>
      </c>
      <c r="AJ373">
        <v>0.74</v>
      </c>
    </row>
    <row r="374" spans="1:36" x14ac:dyDescent="0.3">
      <c r="A374">
        <f>COUNTIF($D$2:D374,D374)</f>
        <v>19</v>
      </c>
      <c r="B374" t="str">
        <f t="shared" si="21"/>
        <v>19Calderdale</v>
      </c>
      <c r="C374" t="s">
        <v>1771</v>
      </c>
      <c r="D374" t="s">
        <v>103</v>
      </c>
      <c r="E374">
        <v>53</v>
      </c>
      <c r="F374" t="s">
        <v>1772</v>
      </c>
      <c r="G374" t="s">
        <v>806</v>
      </c>
      <c r="H374" t="s">
        <v>807</v>
      </c>
      <c r="I374" t="s">
        <v>808</v>
      </c>
      <c r="J374">
        <f t="shared" ca="1" si="22"/>
        <v>470000</v>
      </c>
      <c r="K374">
        <f t="shared" ca="1" si="23"/>
        <v>60</v>
      </c>
      <c r="N374" t="str">
        <f t="shared" si="20"/>
        <v>Bromley44Enhanced Care Home Care or Domiciliary CareDomiciliary care to support hospital discharge (Discharge to Assess pathway 1)</v>
      </c>
      <c r="O374" t="s">
        <v>97</v>
      </c>
      <c r="P374" t="s">
        <v>790</v>
      </c>
      <c r="Q374">
        <v>44</v>
      </c>
      <c r="R374" t="s">
        <v>1642</v>
      </c>
      <c r="S374" t="s">
        <v>1773</v>
      </c>
      <c r="T374" t="s">
        <v>842</v>
      </c>
      <c r="U374" t="s">
        <v>856</v>
      </c>
      <c r="W374">
        <v>13212</v>
      </c>
      <c r="X374">
        <v>11408</v>
      </c>
      <c r="Y374" t="s">
        <v>844</v>
      </c>
      <c r="Z374" t="s">
        <v>792</v>
      </c>
      <c r="AB374" t="s">
        <v>1739</v>
      </c>
      <c r="AC374">
        <v>0.81499999999999995</v>
      </c>
      <c r="AD374">
        <v>0.18500000000000005</v>
      </c>
      <c r="AE374" t="s">
        <v>804</v>
      </c>
      <c r="AF374" t="s">
        <v>864</v>
      </c>
      <c r="AG374" t="s">
        <v>797</v>
      </c>
      <c r="AH374">
        <v>207089</v>
      </c>
      <c r="AI374">
        <v>513567</v>
      </c>
      <c r="AJ374">
        <v>0.04</v>
      </c>
    </row>
    <row r="375" spans="1:36" x14ac:dyDescent="0.3">
      <c r="A375">
        <f>COUNTIF($D$2:D375,D375)</f>
        <v>1</v>
      </c>
      <c r="B375" t="str">
        <f t="shared" si="21"/>
        <v>1Cambridgeshire</v>
      </c>
      <c r="C375" t="s">
        <v>1774</v>
      </c>
      <c r="D375" t="s">
        <v>105</v>
      </c>
      <c r="E375">
        <v>1</v>
      </c>
      <c r="F375" t="s">
        <v>1775</v>
      </c>
      <c r="G375" t="s">
        <v>800</v>
      </c>
      <c r="H375" t="s">
        <v>850</v>
      </c>
      <c r="I375" t="s">
        <v>802</v>
      </c>
      <c r="J375">
        <f t="shared" ca="1" si="22"/>
        <v>125000</v>
      </c>
      <c r="K375">
        <f t="shared" ca="1" si="23"/>
        <v>580</v>
      </c>
      <c r="N375" t="str">
        <f t="shared" si="20"/>
        <v>Bromley45Discharge to Assess BedsResidential PlacementsNursing home</v>
      </c>
      <c r="O375" t="s">
        <v>97</v>
      </c>
      <c r="P375" t="s">
        <v>790</v>
      </c>
      <c r="Q375">
        <v>45</v>
      </c>
      <c r="R375" t="s">
        <v>1646</v>
      </c>
      <c r="S375" t="s">
        <v>1776</v>
      </c>
      <c r="T375" t="s">
        <v>806</v>
      </c>
      <c r="U375" t="s">
        <v>917</v>
      </c>
      <c r="W375">
        <v>7</v>
      </c>
      <c r="X375">
        <v>7</v>
      </c>
      <c r="Y375" t="s">
        <v>808</v>
      </c>
      <c r="Z375" t="s">
        <v>792</v>
      </c>
      <c r="AB375" t="s">
        <v>1739</v>
      </c>
      <c r="AC375">
        <v>0.41</v>
      </c>
      <c r="AD375">
        <v>0.59000000000000008</v>
      </c>
      <c r="AE375" t="s">
        <v>804</v>
      </c>
      <c r="AF375" t="s">
        <v>864</v>
      </c>
      <c r="AG375" t="s">
        <v>861</v>
      </c>
      <c r="AH375">
        <v>170000</v>
      </c>
      <c r="AI375">
        <v>269200</v>
      </c>
      <c r="AJ375">
        <v>0.06</v>
      </c>
    </row>
    <row r="376" spans="1:36" x14ac:dyDescent="0.3">
      <c r="A376">
        <f>COUNTIF($D$2:D376,D376)</f>
        <v>2</v>
      </c>
      <c r="B376" t="str">
        <f t="shared" si="21"/>
        <v>2Cambridgeshire</v>
      </c>
      <c r="C376" t="s">
        <v>1777</v>
      </c>
      <c r="D376" t="s">
        <v>105</v>
      </c>
      <c r="E376">
        <v>2</v>
      </c>
      <c r="F376" t="s">
        <v>1778</v>
      </c>
      <c r="G376" t="s">
        <v>877</v>
      </c>
      <c r="H376" t="s">
        <v>968</v>
      </c>
      <c r="I376" t="s">
        <v>879</v>
      </c>
      <c r="J376">
        <f t="shared" ca="1" si="22"/>
        <v>4119498</v>
      </c>
      <c r="K376">
        <f t="shared" ca="1" si="23"/>
        <v>400</v>
      </c>
      <c r="N376" t="str">
        <f t="shared" si="20"/>
        <v>Bromley46EquipmentAssistive Technologies and EquipmentOther</v>
      </c>
      <c r="O376" t="s">
        <v>97</v>
      </c>
      <c r="P376" t="s">
        <v>790</v>
      </c>
      <c r="Q376">
        <v>46</v>
      </c>
      <c r="R376" t="s">
        <v>1034</v>
      </c>
      <c r="S376" t="s">
        <v>1736</v>
      </c>
      <c r="T376" t="s">
        <v>800</v>
      </c>
      <c r="U376" t="s">
        <v>812</v>
      </c>
      <c r="V376" t="s">
        <v>1779</v>
      </c>
      <c r="W376">
        <v>383</v>
      </c>
      <c r="X376">
        <v>383</v>
      </c>
      <c r="Y376" t="s">
        <v>802</v>
      </c>
      <c r="Z376" t="s">
        <v>812</v>
      </c>
      <c r="AA376" t="s">
        <v>1738</v>
      </c>
      <c r="AB376" t="s">
        <v>1739</v>
      </c>
      <c r="AC376">
        <v>0.39</v>
      </c>
      <c r="AD376">
        <v>0.61</v>
      </c>
      <c r="AE376" t="s">
        <v>804</v>
      </c>
      <c r="AF376" t="s">
        <v>864</v>
      </c>
      <c r="AG376" t="s">
        <v>861</v>
      </c>
      <c r="AH376">
        <v>99586</v>
      </c>
      <c r="AI376">
        <v>165313</v>
      </c>
      <c r="AJ376">
        <v>0.03</v>
      </c>
    </row>
    <row r="377" spans="1:36" x14ac:dyDescent="0.3">
      <c r="A377">
        <f>COUNTIF($D$2:D377,D377)</f>
        <v>3</v>
      </c>
      <c r="B377" t="str">
        <f t="shared" si="21"/>
        <v>3Cambridgeshire</v>
      </c>
      <c r="C377" t="s">
        <v>1780</v>
      </c>
      <c r="D377" t="s">
        <v>105</v>
      </c>
      <c r="E377">
        <v>4</v>
      </c>
      <c r="F377" t="s">
        <v>1781</v>
      </c>
      <c r="G377" t="s">
        <v>811</v>
      </c>
      <c r="H377" t="s">
        <v>812</v>
      </c>
      <c r="I377" t="s">
        <v>813</v>
      </c>
      <c r="J377">
        <f t="shared" ca="1" si="22"/>
        <v>345770</v>
      </c>
      <c r="K377">
        <f t="shared" ca="1" si="23"/>
        <v>304</v>
      </c>
      <c r="N377" t="str">
        <f t="shared" si="20"/>
        <v>Bromley49ECHResidential PlacementsSupported housing</v>
      </c>
      <c r="O377" t="s">
        <v>97</v>
      </c>
      <c r="P377" t="s">
        <v>790</v>
      </c>
      <c r="Q377">
        <v>49</v>
      </c>
      <c r="R377" t="s">
        <v>1650</v>
      </c>
      <c r="S377" t="s">
        <v>1782</v>
      </c>
      <c r="T377" t="s">
        <v>806</v>
      </c>
      <c r="U377" t="s">
        <v>873</v>
      </c>
      <c r="W377">
        <v>62</v>
      </c>
      <c r="X377">
        <v>62</v>
      </c>
      <c r="Y377" t="s">
        <v>808</v>
      </c>
      <c r="Z377" t="s">
        <v>792</v>
      </c>
      <c r="AB377" t="s">
        <v>793</v>
      </c>
      <c r="AD377" t="s">
        <v>794</v>
      </c>
      <c r="AE377" t="s">
        <v>804</v>
      </c>
      <c r="AF377" t="s">
        <v>864</v>
      </c>
      <c r="AG377" t="s">
        <v>797</v>
      </c>
      <c r="AH377">
        <v>57131</v>
      </c>
      <c r="AI377">
        <v>94837</v>
      </c>
      <c r="AJ377">
        <v>0.01</v>
      </c>
    </row>
    <row r="378" spans="1:36" x14ac:dyDescent="0.3">
      <c r="A378">
        <f>COUNTIF($D$2:D378,D378)</f>
        <v>4</v>
      </c>
      <c r="B378" t="str">
        <f t="shared" si="21"/>
        <v>4Cambridgeshire</v>
      </c>
      <c r="C378" t="s">
        <v>1783</v>
      </c>
      <c r="D378" t="s">
        <v>105</v>
      </c>
      <c r="E378">
        <v>5</v>
      </c>
      <c r="F378" t="s">
        <v>823</v>
      </c>
      <c r="G378" t="s">
        <v>787</v>
      </c>
      <c r="H378" t="s">
        <v>1688</v>
      </c>
      <c r="I378" t="s">
        <v>789</v>
      </c>
      <c r="J378">
        <f t="shared" ca="1" si="22"/>
        <v>2506946</v>
      </c>
      <c r="K378">
        <f t="shared" ca="1" si="23"/>
        <v>1916</v>
      </c>
      <c r="N378" t="str">
        <f t="shared" si="20"/>
        <v>Buckinghamshire2Assistive TechnologyAssistive Technologies and EquipmentAssistive technologies including telecare</v>
      </c>
      <c r="O378" t="s">
        <v>99</v>
      </c>
      <c r="P378" t="s">
        <v>1437</v>
      </c>
      <c r="Q378">
        <v>2</v>
      </c>
      <c r="R378" t="s">
        <v>1578</v>
      </c>
      <c r="S378" t="s">
        <v>1784</v>
      </c>
      <c r="T378" t="s">
        <v>800</v>
      </c>
      <c r="U378" t="s">
        <v>850</v>
      </c>
      <c r="W378">
        <v>7980</v>
      </c>
      <c r="X378">
        <v>7980</v>
      </c>
      <c r="Y378" t="s">
        <v>802</v>
      </c>
      <c r="Z378" t="s">
        <v>792</v>
      </c>
      <c r="AB378" t="s">
        <v>793</v>
      </c>
      <c r="AD378" t="s">
        <v>794</v>
      </c>
      <c r="AE378" t="s">
        <v>804</v>
      </c>
      <c r="AF378" t="s">
        <v>796</v>
      </c>
      <c r="AG378" t="s">
        <v>797</v>
      </c>
      <c r="AH378">
        <v>875660</v>
      </c>
      <c r="AI378">
        <v>875660</v>
      </c>
      <c r="AJ378">
        <v>0.74</v>
      </c>
    </row>
    <row r="379" spans="1:36" x14ac:dyDescent="0.3">
      <c r="A379">
        <f>COUNTIF($D$2:D379,D379)</f>
        <v>5</v>
      </c>
      <c r="B379" t="str">
        <f t="shared" si="21"/>
        <v>5Cambridgeshire</v>
      </c>
      <c r="C379" t="s">
        <v>1785</v>
      </c>
      <c r="D379" t="s">
        <v>105</v>
      </c>
      <c r="E379">
        <v>6</v>
      </c>
      <c r="F379" t="s">
        <v>1786</v>
      </c>
      <c r="G379" t="s">
        <v>877</v>
      </c>
      <c r="H379" t="s">
        <v>1259</v>
      </c>
      <c r="I379" t="s">
        <v>879</v>
      </c>
      <c r="J379">
        <f t="shared" ca="1" si="22"/>
        <v>2209743</v>
      </c>
      <c r="K379">
        <f t="shared" ca="1" si="23"/>
        <v>912</v>
      </c>
      <c r="N379" t="str">
        <f t="shared" si="20"/>
        <v>Buckinghamshire4Integrated Carers ServiceCarers ServicesCarer advice and support related to Care Act duties</v>
      </c>
      <c r="O379" t="s">
        <v>99</v>
      </c>
      <c r="P379" t="s">
        <v>1437</v>
      </c>
      <c r="Q379">
        <v>4</v>
      </c>
      <c r="R379" t="s">
        <v>1654</v>
      </c>
      <c r="S379" t="s">
        <v>1787</v>
      </c>
      <c r="T379" t="s">
        <v>811</v>
      </c>
      <c r="U379" t="s">
        <v>895</v>
      </c>
      <c r="W379">
        <v>3500</v>
      </c>
      <c r="X379">
        <v>3500</v>
      </c>
      <c r="Y379" t="s">
        <v>813</v>
      </c>
      <c r="Z379" t="s">
        <v>792</v>
      </c>
      <c r="AB379" t="s">
        <v>793</v>
      </c>
      <c r="AD379" t="s">
        <v>794</v>
      </c>
      <c r="AE379" t="s">
        <v>795</v>
      </c>
      <c r="AF379" t="s">
        <v>796</v>
      </c>
      <c r="AG379" t="s">
        <v>797</v>
      </c>
      <c r="AH379">
        <v>543219</v>
      </c>
      <c r="AI379">
        <v>543219</v>
      </c>
      <c r="AJ379">
        <v>0.66</v>
      </c>
    </row>
    <row r="380" spans="1:36" x14ac:dyDescent="0.3">
      <c r="A380">
        <f>COUNTIF($D$2:D380,D380)</f>
        <v>6</v>
      </c>
      <c r="B380" t="str">
        <f t="shared" si="21"/>
        <v>6Cambridgeshire</v>
      </c>
      <c r="C380" t="s">
        <v>1788</v>
      </c>
      <c r="D380" t="s">
        <v>105</v>
      </c>
      <c r="E380">
        <v>7</v>
      </c>
      <c r="F380" t="s">
        <v>1051</v>
      </c>
      <c r="G380" t="s">
        <v>800</v>
      </c>
      <c r="H380" t="s">
        <v>903</v>
      </c>
      <c r="I380" t="s">
        <v>802</v>
      </c>
      <c r="J380">
        <f t="shared" ca="1" si="22"/>
        <v>1603959</v>
      </c>
      <c r="K380">
        <f t="shared" ca="1" si="23"/>
        <v>14700</v>
      </c>
      <c r="N380" t="str">
        <f t="shared" si="20"/>
        <v>Buckinghamshire6BC Home Independence TeamHome-based intermediate care servicesReablement at home (to prevent admission to hospital or residential care)</v>
      </c>
      <c r="O380" t="s">
        <v>99</v>
      </c>
      <c r="P380" t="s">
        <v>1437</v>
      </c>
      <c r="Q380">
        <v>6</v>
      </c>
      <c r="R380" t="s">
        <v>1656</v>
      </c>
      <c r="S380" t="s">
        <v>1789</v>
      </c>
      <c r="T380" t="s">
        <v>787</v>
      </c>
      <c r="U380" t="s">
        <v>886</v>
      </c>
      <c r="W380">
        <v>652</v>
      </c>
      <c r="X380">
        <v>652</v>
      </c>
      <c r="Y380" t="s">
        <v>789</v>
      </c>
      <c r="Z380" t="s">
        <v>792</v>
      </c>
      <c r="AB380" t="s">
        <v>793</v>
      </c>
      <c r="AD380" t="s">
        <v>794</v>
      </c>
      <c r="AE380" t="s">
        <v>795</v>
      </c>
      <c r="AF380" t="s">
        <v>796</v>
      </c>
      <c r="AG380" t="s">
        <v>797</v>
      </c>
      <c r="AH380">
        <v>2118666</v>
      </c>
      <c r="AI380">
        <v>2118666</v>
      </c>
      <c r="AJ380">
        <v>1</v>
      </c>
    </row>
    <row r="381" spans="1:36" x14ac:dyDescent="0.3">
      <c r="A381">
        <f>COUNTIF($D$2:D381,D381)</f>
        <v>7</v>
      </c>
      <c r="B381" t="str">
        <f t="shared" si="21"/>
        <v>7Cambridgeshire</v>
      </c>
      <c r="C381" t="s">
        <v>1790</v>
      </c>
      <c r="D381" t="s">
        <v>105</v>
      </c>
      <c r="E381">
        <v>8</v>
      </c>
      <c r="F381" t="s">
        <v>1051</v>
      </c>
      <c r="G381" t="s">
        <v>800</v>
      </c>
      <c r="H381" t="s">
        <v>903</v>
      </c>
      <c r="I381" t="s">
        <v>802</v>
      </c>
      <c r="J381">
        <f t="shared" ca="1" si="22"/>
        <v>663049</v>
      </c>
      <c r="K381">
        <f t="shared" ca="1" si="23"/>
        <v>7850</v>
      </c>
      <c r="N381" t="str">
        <f t="shared" si="20"/>
        <v>Buckinghamshire9LA Additional Placement Pressures Home Care or Domiciliary CareDomiciliary care packages</v>
      </c>
      <c r="O381" t="s">
        <v>99</v>
      </c>
      <c r="P381" t="s">
        <v>1437</v>
      </c>
      <c r="Q381">
        <v>9</v>
      </c>
      <c r="R381" t="s">
        <v>1658</v>
      </c>
      <c r="S381" t="s">
        <v>1791</v>
      </c>
      <c r="T381" t="s">
        <v>842</v>
      </c>
      <c r="U381" t="s">
        <v>843</v>
      </c>
      <c r="W381">
        <v>17093</v>
      </c>
      <c r="X381">
        <v>16380</v>
      </c>
      <c r="Y381" t="s">
        <v>844</v>
      </c>
      <c r="Z381" t="s">
        <v>792</v>
      </c>
      <c r="AB381" t="s">
        <v>793</v>
      </c>
      <c r="AD381" t="s">
        <v>794</v>
      </c>
      <c r="AE381" t="s">
        <v>795</v>
      </c>
      <c r="AF381" t="s">
        <v>796</v>
      </c>
      <c r="AG381" t="s">
        <v>797</v>
      </c>
      <c r="AH381">
        <v>393139</v>
      </c>
      <c r="AI381">
        <v>393139</v>
      </c>
      <c r="AJ381">
        <v>0.01</v>
      </c>
    </row>
    <row r="382" spans="1:36" x14ac:dyDescent="0.3">
      <c r="A382">
        <f>COUNTIF($D$2:D382,D382)</f>
        <v>8</v>
      </c>
      <c r="B382" t="str">
        <f t="shared" si="21"/>
        <v>8Cambridgeshire</v>
      </c>
      <c r="C382" t="s">
        <v>1792</v>
      </c>
      <c r="D382" t="s">
        <v>105</v>
      </c>
      <c r="E382">
        <v>14</v>
      </c>
      <c r="F382" t="s">
        <v>1793</v>
      </c>
      <c r="G382" t="s">
        <v>842</v>
      </c>
      <c r="H382" t="s">
        <v>856</v>
      </c>
      <c r="I382" t="s">
        <v>844</v>
      </c>
      <c r="J382">
        <f t="shared" ca="1" si="22"/>
        <v>10087</v>
      </c>
      <c r="K382">
        <f t="shared" ca="1" si="23"/>
        <v>144</v>
      </c>
      <c r="N382" t="str">
        <f t="shared" si="20"/>
        <v>Buckinghamshire10LA Additional Placement Pressures Residential PlacementsNursing home</v>
      </c>
      <c r="O382" t="s">
        <v>99</v>
      </c>
      <c r="P382" t="s">
        <v>1437</v>
      </c>
      <c r="Q382">
        <v>10</v>
      </c>
      <c r="R382" t="s">
        <v>1658</v>
      </c>
      <c r="S382" t="s">
        <v>1794</v>
      </c>
      <c r="T382" t="s">
        <v>806</v>
      </c>
      <c r="U382" t="s">
        <v>917</v>
      </c>
      <c r="W382">
        <v>17</v>
      </c>
      <c r="X382">
        <v>16</v>
      </c>
      <c r="Y382" t="s">
        <v>808</v>
      </c>
      <c r="Z382" t="s">
        <v>792</v>
      </c>
      <c r="AB382" t="s">
        <v>793</v>
      </c>
      <c r="AD382" t="s">
        <v>794</v>
      </c>
      <c r="AE382" t="s">
        <v>795</v>
      </c>
      <c r="AF382" t="s">
        <v>796</v>
      </c>
      <c r="AG382" t="s">
        <v>797</v>
      </c>
      <c r="AH382">
        <v>970592</v>
      </c>
      <c r="AI382">
        <v>970592</v>
      </c>
      <c r="AJ382">
        <v>0.01</v>
      </c>
    </row>
    <row r="383" spans="1:36" x14ac:dyDescent="0.3">
      <c r="A383">
        <f>COUNTIF($D$2:D383,D383)</f>
        <v>9</v>
      </c>
      <c r="B383" t="str">
        <f t="shared" si="21"/>
        <v>9Cambridgeshire</v>
      </c>
      <c r="C383" t="s">
        <v>1795</v>
      </c>
      <c r="D383" t="s">
        <v>105</v>
      </c>
      <c r="E383">
        <v>18</v>
      </c>
      <c r="F383" t="s">
        <v>1778</v>
      </c>
      <c r="G383" t="s">
        <v>787</v>
      </c>
      <c r="H383" t="s">
        <v>930</v>
      </c>
      <c r="I383" t="s">
        <v>789</v>
      </c>
      <c r="J383">
        <f t="shared" ca="1" si="22"/>
        <v>8798111</v>
      </c>
      <c r="K383">
        <f t="shared" ca="1" si="23"/>
        <v>3200</v>
      </c>
      <c r="N383" t="str">
        <f t="shared" si="20"/>
        <v>Buckinghamshire11NRS - Bucks Integrated Sensory Service EquipmentAssistive Technologies and EquipmentCommunity based equipment</v>
      </c>
      <c r="O383" t="s">
        <v>99</v>
      </c>
      <c r="P383" t="s">
        <v>1437</v>
      </c>
      <c r="Q383">
        <v>11</v>
      </c>
      <c r="R383" t="s">
        <v>1661</v>
      </c>
      <c r="S383" t="s">
        <v>1796</v>
      </c>
      <c r="T383" t="s">
        <v>800</v>
      </c>
      <c r="U383" t="s">
        <v>903</v>
      </c>
      <c r="W383">
        <v>154</v>
      </c>
      <c r="X383">
        <v>154</v>
      </c>
      <c r="Y383" t="s">
        <v>802</v>
      </c>
      <c r="Z383" t="s">
        <v>792</v>
      </c>
      <c r="AB383" t="s">
        <v>793</v>
      </c>
      <c r="AD383" t="s">
        <v>794</v>
      </c>
      <c r="AE383" t="s">
        <v>795</v>
      </c>
      <c r="AF383" t="s">
        <v>796</v>
      </c>
      <c r="AG383" t="s">
        <v>797</v>
      </c>
      <c r="AH383">
        <v>52000</v>
      </c>
      <c r="AI383">
        <v>52000</v>
      </c>
      <c r="AJ383">
        <v>0.23</v>
      </c>
    </row>
    <row r="384" spans="1:36" x14ac:dyDescent="0.3">
      <c r="A384">
        <f>COUNTIF($D$2:D384,D384)</f>
        <v>10</v>
      </c>
      <c r="B384" t="str">
        <f t="shared" si="21"/>
        <v>10Cambridgeshire</v>
      </c>
      <c r="C384" t="s">
        <v>1797</v>
      </c>
      <c r="D384" t="s">
        <v>105</v>
      </c>
      <c r="E384">
        <v>19</v>
      </c>
      <c r="F384" t="s">
        <v>1781</v>
      </c>
      <c r="G384" t="s">
        <v>811</v>
      </c>
      <c r="H384" t="s">
        <v>895</v>
      </c>
      <c r="I384" t="s">
        <v>813</v>
      </c>
      <c r="J384">
        <f t="shared" ca="1" si="22"/>
        <v>1584900</v>
      </c>
      <c r="K384">
        <f t="shared" ca="1" si="23"/>
        <v>3014</v>
      </c>
      <c r="N384" t="str">
        <f t="shared" si="20"/>
        <v>Buckinghamshire20Disabled Facilities GrantDFG Related SchemesAdaptations, including statutory DFG grants</v>
      </c>
      <c r="O384" t="s">
        <v>99</v>
      </c>
      <c r="P384" t="s">
        <v>1437</v>
      </c>
      <c r="Q384">
        <v>20</v>
      </c>
      <c r="R384" t="s">
        <v>891</v>
      </c>
      <c r="S384" t="s">
        <v>1798</v>
      </c>
      <c r="T384" t="s">
        <v>834</v>
      </c>
      <c r="U384" t="s">
        <v>835</v>
      </c>
      <c r="W384">
        <v>221</v>
      </c>
      <c r="X384">
        <v>221</v>
      </c>
      <c r="Y384" t="s">
        <v>836</v>
      </c>
      <c r="Z384" t="s">
        <v>792</v>
      </c>
      <c r="AB384" t="s">
        <v>793</v>
      </c>
      <c r="AD384" t="s">
        <v>794</v>
      </c>
      <c r="AE384" t="s">
        <v>795</v>
      </c>
      <c r="AF384" t="s">
        <v>840</v>
      </c>
      <c r="AG384" t="s">
        <v>797</v>
      </c>
      <c r="AH384">
        <v>3895961</v>
      </c>
      <c r="AI384">
        <v>3895961</v>
      </c>
      <c r="AJ384">
        <v>1</v>
      </c>
    </row>
    <row r="385" spans="1:36" x14ac:dyDescent="0.3">
      <c r="A385">
        <f>COUNTIF($D$2:D385,D385)</f>
        <v>11</v>
      </c>
      <c r="B385" t="str">
        <f t="shared" si="21"/>
        <v>11Cambridgeshire</v>
      </c>
      <c r="C385" t="s">
        <v>1799</v>
      </c>
      <c r="D385" t="s">
        <v>105</v>
      </c>
      <c r="E385">
        <v>24</v>
      </c>
      <c r="F385" t="s">
        <v>891</v>
      </c>
      <c r="G385" t="s">
        <v>834</v>
      </c>
      <c r="H385" t="s">
        <v>835</v>
      </c>
      <c r="I385" t="s">
        <v>836</v>
      </c>
      <c r="J385">
        <f t="shared" ca="1" si="22"/>
        <v>5069550</v>
      </c>
      <c r="K385">
        <f t="shared" ca="1" si="23"/>
        <v>424</v>
      </c>
      <c r="N385" t="str">
        <f t="shared" si="20"/>
        <v>Buckinghamshire21Healthy Homes on PrescriptionDFG Related SchemesDiscretionary use of DFG</v>
      </c>
      <c r="O385" t="s">
        <v>99</v>
      </c>
      <c r="P385" t="s">
        <v>1437</v>
      </c>
      <c r="Q385">
        <v>21</v>
      </c>
      <c r="R385" t="s">
        <v>1665</v>
      </c>
      <c r="S385" t="s">
        <v>1800</v>
      </c>
      <c r="T385" t="s">
        <v>834</v>
      </c>
      <c r="U385" t="s">
        <v>1293</v>
      </c>
      <c r="W385">
        <v>15</v>
      </c>
      <c r="X385">
        <v>15</v>
      </c>
      <c r="Y385" t="s">
        <v>836</v>
      </c>
      <c r="Z385" t="s">
        <v>792</v>
      </c>
      <c r="AB385" t="s">
        <v>793</v>
      </c>
      <c r="AD385" t="s">
        <v>794</v>
      </c>
      <c r="AE385" t="s">
        <v>795</v>
      </c>
      <c r="AF385" t="s">
        <v>840</v>
      </c>
      <c r="AG385" t="s">
        <v>797</v>
      </c>
      <c r="AH385">
        <v>170000</v>
      </c>
      <c r="AI385">
        <v>170000</v>
      </c>
      <c r="AJ385">
        <v>1</v>
      </c>
    </row>
    <row r="386" spans="1:36" x14ac:dyDescent="0.3">
      <c r="A386">
        <f>COUNTIF($D$2:D386,D386)</f>
        <v>12</v>
      </c>
      <c r="B386" t="str">
        <f t="shared" si="21"/>
        <v>12Cambridgeshire</v>
      </c>
      <c r="C386" t="s">
        <v>1801</v>
      </c>
      <c r="D386" t="s">
        <v>105</v>
      </c>
      <c r="E386">
        <v>27</v>
      </c>
      <c r="F386" t="s">
        <v>1802</v>
      </c>
      <c r="G386" t="s">
        <v>806</v>
      </c>
      <c r="H386" t="s">
        <v>807</v>
      </c>
      <c r="I386" t="s">
        <v>808</v>
      </c>
      <c r="J386">
        <f t="shared" ca="1" si="22"/>
        <v>9501549</v>
      </c>
      <c r="K386">
        <f t="shared" ca="1" si="23"/>
        <v>251</v>
      </c>
      <c r="N386" t="str">
        <f t="shared" ref="N386:N449" si="24">O386&amp;Q386&amp;R386&amp;T386&amp;U386</f>
        <v>Buckinghamshire23Residential PlacementsResidential PlacementsCare home</v>
      </c>
      <c r="O386" t="s">
        <v>99</v>
      </c>
      <c r="P386" t="s">
        <v>1437</v>
      </c>
      <c r="Q386">
        <v>23</v>
      </c>
      <c r="R386" t="s">
        <v>806</v>
      </c>
      <c r="S386" t="s">
        <v>1803</v>
      </c>
      <c r="T386" t="s">
        <v>806</v>
      </c>
      <c r="U386" t="s">
        <v>807</v>
      </c>
      <c r="W386">
        <v>7</v>
      </c>
      <c r="X386">
        <v>7</v>
      </c>
      <c r="Y386" t="s">
        <v>808</v>
      </c>
      <c r="Z386" t="s">
        <v>792</v>
      </c>
      <c r="AB386" t="s">
        <v>793</v>
      </c>
      <c r="AD386" t="s">
        <v>794</v>
      </c>
      <c r="AE386" t="s">
        <v>795</v>
      </c>
      <c r="AF386" t="s">
        <v>845</v>
      </c>
      <c r="AG386" t="s">
        <v>797</v>
      </c>
      <c r="AH386">
        <v>336589</v>
      </c>
      <c r="AI386">
        <v>336589</v>
      </c>
      <c r="AJ386">
        <v>0</v>
      </c>
    </row>
    <row r="387" spans="1:36" x14ac:dyDescent="0.3">
      <c r="A387">
        <f>COUNTIF($D$2:D387,D387)</f>
        <v>13</v>
      </c>
      <c r="B387" t="str">
        <f t="shared" ref="B387:B450" si="25">A387&amp;D387</f>
        <v>13Cambridgeshire</v>
      </c>
      <c r="C387" t="s">
        <v>1804</v>
      </c>
      <c r="D387" t="s">
        <v>105</v>
      </c>
      <c r="E387">
        <v>28</v>
      </c>
      <c r="F387" t="s">
        <v>434</v>
      </c>
      <c r="G387" t="s">
        <v>787</v>
      </c>
      <c r="H387" t="s">
        <v>788</v>
      </c>
      <c r="I387" t="s">
        <v>789</v>
      </c>
      <c r="J387">
        <f t="shared" ref="J387:J450" ca="1" si="26">SUMIF($N:$AI,C387,AH:AH)</f>
        <v>300000</v>
      </c>
      <c r="K387">
        <f t="shared" ref="K387:K450" ca="1" si="27">SUMIF($N:$AI,C387,W:W)</f>
        <v>200</v>
      </c>
      <c r="N387" t="str">
        <f t="shared" si="24"/>
        <v>Buckinghamshire24Home or domiciliary care and live in careHome Care or Domiciliary CareDomiciliary care packages</v>
      </c>
      <c r="O387" t="s">
        <v>99</v>
      </c>
      <c r="P387" t="s">
        <v>1437</v>
      </c>
      <c r="Q387">
        <v>24</v>
      </c>
      <c r="R387" t="s">
        <v>1669</v>
      </c>
      <c r="S387" t="s">
        <v>1803</v>
      </c>
      <c r="T387" t="s">
        <v>842</v>
      </c>
      <c r="U387" t="s">
        <v>843</v>
      </c>
      <c r="W387">
        <v>54423</v>
      </c>
      <c r="X387">
        <v>52155</v>
      </c>
      <c r="Y387" t="s">
        <v>844</v>
      </c>
      <c r="Z387" t="s">
        <v>792</v>
      </c>
      <c r="AB387" t="s">
        <v>793</v>
      </c>
      <c r="AD387" t="s">
        <v>794</v>
      </c>
      <c r="AE387" t="s">
        <v>795</v>
      </c>
      <c r="AF387" t="s">
        <v>845</v>
      </c>
      <c r="AG387" t="s">
        <v>797</v>
      </c>
      <c r="AH387">
        <v>1251730</v>
      </c>
      <c r="AI387">
        <v>1251730</v>
      </c>
      <c r="AJ387">
        <v>0.05</v>
      </c>
    </row>
    <row r="388" spans="1:36" x14ac:dyDescent="0.3">
      <c r="A388">
        <f>COUNTIF($D$2:D388,D388)</f>
        <v>14</v>
      </c>
      <c r="B388" t="str">
        <f t="shared" si="25"/>
        <v>14Cambridgeshire</v>
      </c>
      <c r="C388" t="s">
        <v>1805</v>
      </c>
      <c r="D388" t="s">
        <v>105</v>
      </c>
      <c r="E388">
        <v>29</v>
      </c>
      <c r="F388" t="s">
        <v>1806</v>
      </c>
      <c r="G388" t="s">
        <v>842</v>
      </c>
      <c r="H388" t="s">
        <v>856</v>
      </c>
      <c r="I388" t="s">
        <v>844</v>
      </c>
      <c r="J388">
        <f t="shared" ca="1" si="26"/>
        <v>1693961</v>
      </c>
      <c r="K388">
        <f t="shared" ca="1" si="27"/>
        <v>281554</v>
      </c>
      <c r="N388" t="str">
        <f t="shared" si="24"/>
        <v>Buckinghamshire26RespiteCarers ServicesRespite services</v>
      </c>
      <c r="O388" t="s">
        <v>99</v>
      </c>
      <c r="P388" t="s">
        <v>1437</v>
      </c>
      <c r="Q388">
        <v>26</v>
      </c>
      <c r="R388" t="s">
        <v>1673</v>
      </c>
      <c r="S388" t="s">
        <v>1807</v>
      </c>
      <c r="T388" t="s">
        <v>811</v>
      </c>
      <c r="U388" t="s">
        <v>830</v>
      </c>
      <c r="W388">
        <v>160</v>
      </c>
      <c r="X388">
        <v>160</v>
      </c>
      <c r="Y388" t="s">
        <v>813</v>
      </c>
      <c r="Z388" t="s">
        <v>792</v>
      </c>
      <c r="AB388" t="s">
        <v>793</v>
      </c>
      <c r="AD388" t="s">
        <v>794</v>
      </c>
      <c r="AE388" t="s">
        <v>795</v>
      </c>
      <c r="AF388" t="s">
        <v>845</v>
      </c>
      <c r="AG388" t="s">
        <v>797</v>
      </c>
      <c r="AH388">
        <v>659464</v>
      </c>
      <c r="AI388">
        <v>659464</v>
      </c>
      <c r="AJ388">
        <v>0.23</v>
      </c>
    </row>
    <row r="389" spans="1:36" x14ac:dyDescent="0.3">
      <c r="A389">
        <f>COUNTIF($D$2:D389,D389)</f>
        <v>15</v>
      </c>
      <c r="B389" t="str">
        <f t="shared" si="25"/>
        <v>15Cambridgeshire</v>
      </c>
      <c r="C389" t="s">
        <v>1808</v>
      </c>
      <c r="D389" t="s">
        <v>105</v>
      </c>
      <c r="E389">
        <v>30</v>
      </c>
      <c r="F389" t="s">
        <v>1809</v>
      </c>
      <c r="G389" t="s">
        <v>806</v>
      </c>
      <c r="H389" t="s">
        <v>917</v>
      </c>
      <c r="I389" t="s">
        <v>808</v>
      </c>
      <c r="J389">
        <f t="shared" ca="1" si="26"/>
        <v>1072125</v>
      </c>
      <c r="K389">
        <f t="shared" ca="1" si="27"/>
        <v>25</v>
      </c>
      <c r="N389" t="str">
        <f t="shared" si="24"/>
        <v>Buckinghamshire27Admission Avoidance Beds Bed based intermediate Care Services (Reablement, rehabilitation, wider short-term services supporting recovery)Other</v>
      </c>
      <c r="O389" t="s">
        <v>99</v>
      </c>
      <c r="P389" t="s">
        <v>1437</v>
      </c>
      <c r="Q389">
        <v>27</v>
      </c>
      <c r="R389" t="s">
        <v>1675</v>
      </c>
      <c r="S389" t="s">
        <v>1810</v>
      </c>
      <c r="T389" t="s">
        <v>877</v>
      </c>
      <c r="U389" t="s">
        <v>812</v>
      </c>
      <c r="V389" t="s">
        <v>1811</v>
      </c>
      <c r="W389">
        <v>120</v>
      </c>
      <c r="X389">
        <v>120</v>
      </c>
      <c r="Y389" t="s">
        <v>879</v>
      </c>
      <c r="Z389" t="s">
        <v>792</v>
      </c>
      <c r="AB389" t="s">
        <v>793</v>
      </c>
      <c r="AD389" t="s">
        <v>794</v>
      </c>
      <c r="AE389" t="s">
        <v>795</v>
      </c>
      <c r="AF389" t="s">
        <v>845</v>
      </c>
      <c r="AG389" t="s">
        <v>797</v>
      </c>
      <c r="AH389">
        <v>650000</v>
      </c>
      <c r="AI389">
        <v>650000</v>
      </c>
      <c r="AJ389">
        <v>1</v>
      </c>
    </row>
    <row r="390" spans="1:36" x14ac:dyDescent="0.3">
      <c r="A390">
        <f>COUNTIF($D$2:D390,D390)</f>
        <v>16</v>
      </c>
      <c r="B390" t="str">
        <f t="shared" si="25"/>
        <v>16Cambridgeshire</v>
      </c>
      <c r="C390" t="s">
        <v>1812</v>
      </c>
      <c r="D390" t="s">
        <v>105</v>
      </c>
      <c r="E390">
        <v>42</v>
      </c>
      <c r="F390" t="s">
        <v>1813</v>
      </c>
      <c r="G390" t="s">
        <v>787</v>
      </c>
      <c r="H390" t="s">
        <v>788</v>
      </c>
      <c r="I390" t="s">
        <v>789</v>
      </c>
      <c r="J390">
        <f t="shared" ca="1" si="26"/>
        <v>186752</v>
      </c>
      <c r="K390">
        <f t="shared" ca="1" si="27"/>
        <v>120</v>
      </c>
      <c r="N390" t="str">
        <f t="shared" si="24"/>
        <v>Buckinghamshire28Nursing PlacementsResidential PlacementsNursing home</v>
      </c>
      <c r="O390" t="s">
        <v>99</v>
      </c>
      <c r="P390" t="s">
        <v>1437</v>
      </c>
      <c r="Q390">
        <v>28</v>
      </c>
      <c r="R390" t="s">
        <v>1678</v>
      </c>
      <c r="S390" t="s">
        <v>1814</v>
      </c>
      <c r="T390" t="s">
        <v>806</v>
      </c>
      <c r="U390" t="s">
        <v>917</v>
      </c>
      <c r="W390">
        <v>16</v>
      </c>
      <c r="X390">
        <v>15</v>
      </c>
      <c r="Y390" t="s">
        <v>808</v>
      </c>
      <c r="Z390" t="s">
        <v>792</v>
      </c>
      <c r="AB390" t="s">
        <v>793</v>
      </c>
      <c r="AD390" t="s">
        <v>794</v>
      </c>
      <c r="AE390" t="s">
        <v>795</v>
      </c>
      <c r="AF390" t="s">
        <v>845</v>
      </c>
      <c r="AG390" t="s">
        <v>797</v>
      </c>
      <c r="AH390">
        <v>932796</v>
      </c>
      <c r="AI390">
        <v>932796</v>
      </c>
      <c r="AJ390">
        <v>0.02</v>
      </c>
    </row>
    <row r="391" spans="1:36" x14ac:dyDescent="0.3">
      <c r="A391">
        <f>COUNTIF($D$2:D391,D391)</f>
        <v>17</v>
      </c>
      <c r="B391" t="str">
        <f t="shared" si="25"/>
        <v>17Cambridgeshire</v>
      </c>
      <c r="C391" t="s">
        <v>1815</v>
      </c>
      <c r="D391" t="s">
        <v>105</v>
      </c>
      <c r="E391">
        <v>44</v>
      </c>
      <c r="F391" t="s">
        <v>1816</v>
      </c>
      <c r="G391" t="s">
        <v>800</v>
      </c>
      <c r="H391" t="s">
        <v>850</v>
      </c>
      <c r="I391" t="s">
        <v>802</v>
      </c>
      <c r="J391">
        <f t="shared" ca="1" si="26"/>
        <v>67733</v>
      </c>
      <c r="K391">
        <f t="shared" ca="1" si="27"/>
        <v>3543</v>
      </c>
      <c r="N391" t="str">
        <f t="shared" si="24"/>
        <v>Buckinghamshire29Supported LivingResidential PlacementsSupported housing</v>
      </c>
      <c r="O391" t="s">
        <v>99</v>
      </c>
      <c r="P391" t="s">
        <v>1437</v>
      </c>
      <c r="Q391">
        <v>29</v>
      </c>
      <c r="R391" t="s">
        <v>872</v>
      </c>
      <c r="S391" t="s">
        <v>1814</v>
      </c>
      <c r="T391" t="s">
        <v>806</v>
      </c>
      <c r="U391" t="s">
        <v>873</v>
      </c>
      <c r="W391">
        <v>5</v>
      </c>
      <c r="X391">
        <v>5</v>
      </c>
      <c r="Y391" t="s">
        <v>808</v>
      </c>
      <c r="Z391" t="s">
        <v>792</v>
      </c>
      <c r="AB391" t="s">
        <v>793</v>
      </c>
      <c r="AD391" t="s">
        <v>794</v>
      </c>
      <c r="AE391" t="s">
        <v>795</v>
      </c>
      <c r="AF391" t="s">
        <v>845</v>
      </c>
      <c r="AG391" t="s">
        <v>797</v>
      </c>
      <c r="AH391">
        <v>328377</v>
      </c>
      <c r="AI391">
        <v>328377</v>
      </c>
      <c r="AJ391">
        <v>0.01</v>
      </c>
    </row>
    <row r="392" spans="1:36" x14ac:dyDescent="0.3">
      <c r="A392">
        <f>COUNTIF($D$2:D392,D392)</f>
        <v>1</v>
      </c>
      <c r="B392" t="str">
        <f t="shared" si="25"/>
        <v>1Camden</v>
      </c>
      <c r="C392" t="s">
        <v>1817</v>
      </c>
      <c r="D392" t="s">
        <v>107</v>
      </c>
      <c r="E392">
        <v>14</v>
      </c>
      <c r="F392" t="s">
        <v>1818</v>
      </c>
      <c r="G392" t="s">
        <v>842</v>
      </c>
      <c r="H392" t="s">
        <v>843</v>
      </c>
      <c r="I392" t="s">
        <v>844</v>
      </c>
      <c r="J392">
        <f t="shared" ca="1" si="26"/>
        <v>9161679.1000000015</v>
      </c>
      <c r="K392">
        <f t="shared" ca="1" si="27"/>
        <v>452000</v>
      </c>
      <c r="N392" t="str">
        <f t="shared" si="24"/>
        <v>Buckinghamshire37Care Home Discharge Hub -Intermediate Care BedsBed based intermediate Care Services (Reablement, rehabilitation, wider short-term services supporting recovery)Bed-based intermediate care with rehabilitation (to support discharge)</v>
      </c>
      <c r="O392" t="s">
        <v>99</v>
      </c>
      <c r="P392" t="s">
        <v>1437</v>
      </c>
      <c r="Q392">
        <v>37</v>
      </c>
      <c r="R392" t="s">
        <v>1682</v>
      </c>
      <c r="S392" t="s">
        <v>1819</v>
      </c>
      <c r="T392" t="s">
        <v>877</v>
      </c>
      <c r="U392" t="s">
        <v>968</v>
      </c>
      <c r="W392">
        <v>151</v>
      </c>
      <c r="X392">
        <v>268</v>
      </c>
      <c r="Y392" t="s">
        <v>879</v>
      </c>
      <c r="Z392" t="s">
        <v>1118</v>
      </c>
      <c r="AB392" t="s">
        <v>824</v>
      </c>
      <c r="AD392" t="s">
        <v>794</v>
      </c>
      <c r="AE392" t="s">
        <v>824</v>
      </c>
      <c r="AF392" t="s">
        <v>860</v>
      </c>
      <c r="AG392" t="s">
        <v>861</v>
      </c>
      <c r="AH392">
        <v>984350</v>
      </c>
      <c r="AI392">
        <v>1739340</v>
      </c>
      <c r="AJ392">
        <v>0.57999999999999996</v>
      </c>
    </row>
    <row r="393" spans="1:36" x14ac:dyDescent="0.3">
      <c r="A393">
        <f>COUNTIF($D$2:D393,D393)</f>
        <v>2</v>
      </c>
      <c r="B393" t="str">
        <f t="shared" si="25"/>
        <v>2Camden</v>
      </c>
      <c r="C393" t="s">
        <v>1820</v>
      </c>
      <c r="D393" t="s">
        <v>107</v>
      </c>
      <c r="E393">
        <v>39</v>
      </c>
      <c r="F393" t="s">
        <v>1084</v>
      </c>
      <c r="G393" t="s">
        <v>800</v>
      </c>
      <c r="H393" t="s">
        <v>903</v>
      </c>
      <c r="I393" t="s">
        <v>802</v>
      </c>
      <c r="J393">
        <f t="shared" ca="1" si="26"/>
        <v>1667748</v>
      </c>
      <c r="K393">
        <f t="shared" ca="1" si="27"/>
        <v>6160</v>
      </c>
      <c r="N393" t="str">
        <f t="shared" si="24"/>
        <v>Buckinghamshire39Home First - Home CareHome Care or Domiciliary CareDomiciliary care to support hospital discharge (Discharge to Assess pathway 1)</v>
      </c>
      <c r="O393" t="s">
        <v>99</v>
      </c>
      <c r="P393" t="s">
        <v>1437</v>
      </c>
      <c r="Q393">
        <v>39</v>
      </c>
      <c r="R393" t="s">
        <v>1684</v>
      </c>
      <c r="S393" t="s">
        <v>1821</v>
      </c>
      <c r="T393" t="s">
        <v>842</v>
      </c>
      <c r="U393" t="s">
        <v>856</v>
      </c>
      <c r="W393">
        <v>22724</v>
      </c>
      <c r="X393">
        <v>40154</v>
      </c>
      <c r="Y393" t="s">
        <v>844</v>
      </c>
      <c r="Z393" t="s">
        <v>1118</v>
      </c>
      <c r="AB393" t="s">
        <v>824</v>
      </c>
      <c r="AD393" t="s">
        <v>794</v>
      </c>
      <c r="AE393" t="s">
        <v>824</v>
      </c>
      <c r="AF393" t="s">
        <v>860</v>
      </c>
      <c r="AG393" t="s">
        <v>861</v>
      </c>
      <c r="AH393">
        <v>522663</v>
      </c>
      <c r="AI393">
        <v>923543</v>
      </c>
      <c r="AJ393">
        <v>0.57999999999999996</v>
      </c>
    </row>
    <row r="394" spans="1:36" x14ac:dyDescent="0.3">
      <c r="A394">
        <f>COUNTIF($D$2:D394,D394)</f>
        <v>3</v>
      </c>
      <c r="B394" t="str">
        <f t="shared" si="25"/>
        <v>3Camden</v>
      </c>
      <c r="C394" t="s">
        <v>1822</v>
      </c>
      <c r="D394" t="s">
        <v>107</v>
      </c>
      <c r="E394">
        <v>59</v>
      </c>
      <c r="F394" t="s">
        <v>1823</v>
      </c>
      <c r="G394" t="s">
        <v>787</v>
      </c>
      <c r="H394" t="s">
        <v>788</v>
      </c>
      <c r="I394" t="s">
        <v>789</v>
      </c>
      <c r="J394">
        <f t="shared" ca="1" si="26"/>
        <v>1437465</v>
      </c>
      <c r="K394">
        <f t="shared" ca="1" si="27"/>
        <v>970</v>
      </c>
      <c r="N394" t="str">
        <f t="shared" si="24"/>
        <v>Bury2Integrated Intermediate CareBed based intermediate Care Services (Reablement, rehabilitation, wider short-term services supporting recovery)Bed-based intermediate care with reablement accepting step up and step down users</v>
      </c>
      <c r="O394" t="s">
        <v>101</v>
      </c>
      <c r="P394" t="s">
        <v>1201</v>
      </c>
      <c r="Q394">
        <v>2</v>
      </c>
      <c r="R394" t="s">
        <v>1171</v>
      </c>
      <c r="S394" t="s">
        <v>1824</v>
      </c>
      <c r="T394" t="s">
        <v>877</v>
      </c>
      <c r="U394" t="s">
        <v>1259</v>
      </c>
      <c r="W394">
        <v>540</v>
      </c>
      <c r="X394">
        <v>540</v>
      </c>
      <c r="Y394" t="s">
        <v>879</v>
      </c>
      <c r="Z394" t="s">
        <v>792</v>
      </c>
      <c r="AB394" t="s">
        <v>793</v>
      </c>
      <c r="AD394" t="s">
        <v>794</v>
      </c>
      <c r="AE394" t="s">
        <v>795</v>
      </c>
      <c r="AF394" t="s">
        <v>1042</v>
      </c>
      <c r="AG394" t="s">
        <v>797</v>
      </c>
      <c r="AH394">
        <v>1270665</v>
      </c>
      <c r="AI394">
        <v>1342585</v>
      </c>
      <c r="AJ394">
        <v>0.04</v>
      </c>
    </row>
    <row r="395" spans="1:36" x14ac:dyDescent="0.3">
      <c r="A395">
        <f>COUNTIF($D$2:D395,D395)</f>
        <v>4</v>
      </c>
      <c r="B395" t="str">
        <f t="shared" si="25"/>
        <v>4Camden</v>
      </c>
      <c r="C395" t="s">
        <v>1825</v>
      </c>
      <c r="D395" t="s">
        <v>107</v>
      </c>
      <c r="E395">
        <v>2</v>
      </c>
      <c r="F395" t="s">
        <v>1826</v>
      </c>
      <c r="G395" t="s">
        <v>800</v>
      </c>
      <c r="H395" t="s">
        <v>850</v>
      </c>
      <c r="I395" t="s">
        <v>802</v>
      </c>
      <c r="J395">
        <f t="shared" ca="1" si="26"/>
        <v>1180426</v>
      </c>
      <c r="K395">
        <f t="shared" ca="1" si="27"/>
        <v>5300</v>
      </c>
      <c r="N395" t="str">
        <f t="shared" si="24"/>
        <v>Bury3Reablement ServiceHome-based intermediate care servicesRehabilitation at home (accepting step up and step down users)</v>
      </c>
      <c r="O395" t="s">
        <v>101</v>
      </c>
      <c r="P395" t="s">
        <v>1201</v>
      </c>
      <c r="Q395">
        <v>3</v>
      </c>
      <c r="R395" t="s">
        <v>1396</v>
      </c>
      <c r="S395" t="s">
        <v>1824</v>
      </c>
      <c r="T395" t="s">
        <v>787</v>
      </c>
      <c r="U395" t="s">
        <v>1688</v>
      </c>
      <c r="W395">
        <v>648</v>
      </c>
      <c r="X395">
        <v>840</v>
      </c>
      <c r="Y395" t="s">
        <v>789</v>
      </c>
      <c r="Z395" t="s">
        <v>792</v>
      </c>
      <c r="AB395" t="s">
        <v>793</v>
      </c>
      <c r="AD395" t="s">
        <v>794</v>
      </c>
      <c r="AE395" t="s">
        <v>795</v>
      </c>
      <c r="AF395" t="s">
        <v>796</v>
      </c>
      <c r="AG395" t="s">
        <v>797</v>
      </c>
      <c r="AH395">
        <v>3588650</v>
      </c>
      <c r="AI395">
        <v>3791368</v>
      </c>
      <c r="AJ395">
        <v>0.12</v>
      </c>
    </row>
    <row r="396" spans="1:36" x14ac:dyDescent="0.3">
      <c r="A396">
        <f>COUNTIF($D$2:D396,D396)</f>
        <v>5</v>
      </c>
      <c r="B396" t="str">
        <f t="shared" si="25"/>
        <v>5Camden</v>
      </c>
      <c r="C396" t="s">
        <v>1827</v>
      </c>
      <c r="D396" t="s">
        <v>107</v>
      </c>
      <c r="E396">
        <v>16</v>
      </c>
      <c r="F396" t="s">
        <v>1828</v>
      </c>
      <c r="G396" t="s">
        <v>877</v>
      </c>
      <c r="H396" t="s">
        <v>812</v>
      </c>
      <c r="I396" t="s">
        <v>879</v>
      </c>
      <c r="J396">
        <f t="shared" ca="1" si="26"/>
        <v>699866</v>
      </c>
      <c r="K396">
        <f t="shared" ca="1" si="27"/>
        <v>130</v>
      </c>
      <c r="N396" t="str">
        <f t="shared" si="24"/>
        <v>Bury10Protection of Social CareHome Care or Domiciliary CareDomiciliary care packages</v>
      </c>
      <c r="O396" t="s">
        <v>101</v>
      </c>
      <c r="P396" t="s">
        <v>1201</v>
      </c>
      <c r="Q396">
        <v>10</v>
      </c>
      <c r="R396" t="s">
        <v>975</v>
      </c>
      <c r="S396" t="s">
        <v>1829</v>
      </c>
      <c r="T396" t="s">
        <v>842</v>
      </c>
      <c r="U396" t="s">
        <v>843</v>
      </c>
      <c r="W396">
        <v>9556.5</v>
      </c>
      <c r="X396">
        <v>10350</v>
      </c>
      <c r="Y396" t="s">
        <v>844</v>
      </c>
      <c r="Z396" t="s">
        <v>792</v>
      </c>
      <c r="AB396" t="s">
        <v>793</v>
      </c>
      <c r="AD396" t="s">
        <v>794</v>
      </c>
      <c r="AE396" t="s">
        <v>804</v>
      </c>
      <c r="AF396" t="s">
        <v>796</v>
      </c>
      <c r="AG396" t="s">
        <v>797</v>
      </c>
      <c r="AH396">
        <v>1084040</v>
      </c>
      <c r="AI396">
        <v>1145396</v>
      </c>
      <c r="AJ396">
        <v>0.05</v>
      </c>
    </row>
    <row r="397" spans="1:36" x14ac:dyDescent="0.3">
      <c r="A397">
        <f>COUNTIF($D$2:D397,D397)</f>
        <v>6</v>
      </c>
      <c r="B397" t="str">
        <f t="shared" si="25"/>
        <v>6Camden</v>
      </c>
      <c r="C397" t="s">
        <v>1830</v>
      </c>
      <c r="D397" t="s">
        <v>107</v>
      </c>
      <c r="E397">
        <v>69</v>
      </c>
      <c r="F397" t="s">
        <v>1094</v>
      </c>
      <c r="G397" t="s">
        <v>800</v>
      </c>
      <c r="H397" t="s">
        <v>812</v>
      </c>
      <c r="I397" t="s">
        <v>802</v>
      </c>
      <c r="J397">
        <f t="shared" ca="1" si="26"/>
        <v>595081</v>
      </c>
      <c r="K397">
        <f t="shared" ca="1" si="27"/>
        <v>2100</v>
      </c>
      <c r="N397" t="str">
        <f t="shared" si="24"/>
        <v>Bury11Protection of Social CareResidential PlacementsCare home</v>
      </c>
      <c r="O397" t="s">
        <v>101</v>
      </c>
      <c r="P397" t="s">
        <v>1201</v>
      </c>
      <c r="Q397">
        <v>11</v>
      </c>
      <c r="R397" t="s">
        <v>975</v>
      </c>
      <c r="S397" t="s">
        <v>1829</v>
      </c>
      <c r="T397" t="s">
        <v>806</v>
      </c>
      <c r="U397" t="s">
        <v>807</v>
      </c>
      <c r="W397">
        <v>584</v>
      </c>
      <c r="X397">
        <v>565</v>
      </c>
      <c r="Y397" t="s">
        <v>808</v>
      </c>
      <c r="Z397" t="s">
        <v>792</v>
      </c>
      <c r="AB397" t="s">
        <v>793</v>
      </c>
      <c r="AD397" t="s">
        <v>794</v>
      </c>
      <c r="AE397" t="s">
        <v>804</v>
      </c>
      <c r="AF397" t="s">
        <v>796</v>
      </c>
      <c r="AG397" t="s">
        <v>797</v>
      </c>
      <c r="AH397">
        <v>1084040</v>
      </c>
      <c r="AI397">
        <v>1145396</v>
      </c>
      <c r="AJ397">
        <v>0.05</v>
      </c>
    </row>
    <row r="398" spans="1:36" x14ac:dyDescent="0.3">
      <c r="A398">
        <f>COUNTIF($D$2:D398,D398)</f>
        <v>7</v>
      </c>
      <c r="B398" t="str">
        <f t="shared" si="25"/>
        <v>7Camden</v>
      </c>
      <c r="C398" t="s">
        <v>1831</v>
      </c>
      <c r="D398" t="s">
        <v>107</v>
      </c>
      <c r="E398">
        <v>61</v>
      </c>
      <c r="F398" t="s">
        <v>1832</v>
      </c>
      <c r="G398" t="s">
        <v>787</v>
      </c>
      <c r="H398" t="s">
        <v>1195</v>
      </c>
      <c r="I398" t="s">
        <v>789</v>
      </c>
      <c r="J398">
        <f t="shared" ca="1" si="26"/>
        <v>503090</v>
      </c>
      <c r="K398">
        <f t="shared" ca="1" si="27"/>
        <v>4000</v>
      </c>
      <c r="N398" t="str">
        <f t="shared" si="24"/>
        <v>Bury12Protection of Social CareResidential PlacementsNursing home</v>
      </c>
      <c r="O398" t="s">
        <v>101</v>
      </c>
      <c r="P398" t="s">
        <v>1201</v>
      </c>
      <c r="Q398">
        <v>12</v>
      </c>
      <c r="R398" t="s">
        <v>975</v>
      </c>
      <c r="S398" t="s">
        <v>1829</v>
      </c>
      <c r="T398" t="s">
        <v>806</v>
      </c>
      <c r="U398" t="s">
        <v>917</v>
      </c>
      <c r="W398">
        <v>153</v>
      </c>
      <c r="X398">
        <v>160</v>
      </c>
      <c r="Y398" t="s">
        <v>808</v>
      </c>
      <c r="Z398" t="s">
        <v>792</v>
      </c>
      <c r="AB398" t="s">
        <v>793</v>
      </c>
      <c r="AD398" t="s">
        <v>794</v>
      </c>
      <c r="AE398" t="s">
        <v>804</v>
      </c>
      <c r="AF398" t="s">
        <v>796</v>
      </c>
      <c r="AG398" t="s">
        <v>797</v>
      </c>
      <c r="AH398">
        <v>1084040</v>
      </c>
      <c r="AI398">
        <v>1145396</v>
      </c>
      <c r="AJ398">
        <v>0.05</v>
      </c>
    </row>
    <row r="399" spans="1:36" x14ac:dyDescent="0.3">
      <c r="A399">
        <f>COUNTIF($D$2:D399,D399)</f>
        <v>8</v>
      </c>
      <c r="B399" t="str">
        <f t="shared" si="25"/>
        <v>8Camden</v>
      </c>
      <c r="C399" t="s">
        <v>1833</v>
      </c>
      <c r="D399" t="s">
        <v>107</v>
      </c>
      <c r="E399">
        <v>10</v>
      </c>
      <c r="F399" t="s">
        <v>1834</v>
      </c>
      <c r="G399" t="s">
        <v>811</v>
      </c>
      <c r="H399" t="s">
        <v>830</v>
      </c>
      <c r="I399" t="s">
        <v>813</v>
      </c>
      <c r="J399">
        <f t="shared" ca="1" si="26"/>
        <v>352007</v>
      </c>
      <c r="K399">
        <f t="shared" ca="1" si="27"/>
        <v>1100</v>
      </c>
      <c r="N399" t="str">
        <f t="shared" si="24"/>
        <v>Bury13Protection of Social CareResidential PlacementsSupported housing</v>
      </c>
      <c r="O399" t="s">
        <v>101</v>
      </c>
      <c r="P399" t="s">
        <v>1201</v>
      </c>
      <c r="Q399">
        <v>13</v>
      </c>
      <c r="R399" t="s">
        <v>975</v>
      </c>
      <c r="S399" t="s">
        <v>1829</v>
      </c>
      <c r="T399" t="s">
        <v>806</v>
      </c>
      <c r="U399" t="s">
        <v>873</v>
      </c>
      <c r="W399">
        <v>29</v>
      </c>
      <c r="X399">
        <v>31</v>
      </c>
      <c r="Y399" t="s">
        <v>808</v>
      </c>
      <c r="Z399" t="s">
        <v>792</v>
      </c>
      <c r="AB399" t="s">
        <v>793</v>
      </c>
      <c r="AD399" t="s">
        <v>794</v>
      </c>
      <c r="AE399" t="s">
        <v>804</v>
      </c>
      <c r="AF399" t="s">
        <v>796</v>
      </c>
      <c r="AG399" t="s">
        <v>797</v>
      </c>
      <c r="AH399">
        <v>1084040</v>
      </c>
      <c r="AI399">
        <v>1145396</v>
      </c>
      <c r="AJ399">
        <v>0.05</v>
      </c>
    </row>
    <row r="400" spans="1:36" x14ac:dyDescent="0.3">
      <c r="A400">
        <f>COUNTIF($D$2:D400,D400)</f>
        <v>9</v>
      </c>
      <c r="B400" t="str">
        <f t="shared" si="25"/>
        <v>9Camden</v>
      </c>
      <c r="C400" t="s">
        <v>1835</v>
      </c>
      <c r="D400" t="s">
        <v>107</v>
      </c>
      <c r="E400">
        <v>9</v>
      </c>
      <c r="F400" t="s">
        <v>1836</v>
      </c>
      <c r="G400" t="s">
        <v>811</v>
      </c>
      <c r="H400" t="s">
        <v>895</v>
      </c>
      <c r="I400" t="s">
        <v>813</v>
      </c>
      <c r="J400">
        <f t="shared" ca="1" si="26"/>
        <v>333593</v>
      </c>
      <c r="K400">
        <f t="shared" ca="1" si="27"/>
        <v>4100</v>
      </c>
      <c r="N400" t="str">
        <f t="shared" si="24"/>
        <v>Bury14Assistive Technologies and EquipmentAssistive Technologies and EquipmentAssistive technologies including telecare</v>
      </c>
      <c r="O400" t="s">
        <v>101</v>
      </c>
      <c r="P400" t="s">
        <v>1201</v>
      </c>
      <c r="Q400">
        <v>14</v>
      </c>
      <c r="R400" t="s">
        <v>800</v>
      </c>
      <c r="S400" t="s">
        <v>1837</v>
      </c>
      <c r="T400" t="s">
        <v>800</v>
      </c>
      <c r="U400" t="s">
        <v>850</v>
      </c>
      <c r="W400">
        <v>2219</v>
      </c>
      <c r="X400">
        <v>2300</v>
      </c>
      <c r="Y400" t="s">
        <v>802</v>
      </c>
      <c r="Z400" t="s">
        <v>792</v>
      </c>
      <c r="AB400" t="s">
        <v>793</v>
      </c>
      <c r="AD400" t="s">
        <v>794</v>
      </c>
      <c r="AE400" t="s">
        <v>795</v>
      </c>
      <c r="AF400" t="s">
        <v>1042</v>
      </c>
      <c r="AG400" t="s">
        <v>797</v>
      </c>
      <c r="AH400">
        <v>66276</v>
      </c>
      <c r="AI400">
        <v>70027</v>
      </c>
      <c r="AJ400">
        <v>0</v>
      </c>
    </row>
    <row r="401" spans="1:36" x14ac:dyDescent="0.3">
      <c r="A401">
        <f>COUNTIF($D$2:D401,D401)</f>
        <v>10</v>
      </c>
      <c r="B401" t="str">
        <f t="shared" si="25"/>
        <v>10Camden</v>
      </c>
      <c r="C401" t="s">
        <v>1838</v>
      </c>
      <c r="D401" t="s">
        <v>107</v>
      </c>
      <c r="E401">
        <v>58</v>
      </c>
      <c r="F401" t="s">
        <v>1839</v>
      </c>
      <c r="G401" t="s">
        <v>877</v>
      </c>
      <c r="H401" t="s">
        <v>878</v>
      </c>
      <c r="I401" t="s">
        <v>879</v>
      </c>
      <c r="J401">
        <f t="shared" ca="1" si="26"/>
        <v>275000</v>
      </c>
      <c r="K401">
        <f t="shared" ca="1" si="27"/>
        <v>84</v>
      </c>
      <c r="N401" t="str">
        <f t="shared" si="24"/>
        <v>Bury15IBCF Building Resilience and Enabling Systems Home Care or Domiciliary CareDomiciliary care packages</v>
      </c>
      <c r="O401" t="s">
        <v>101</v>
      </c>
      <c r="P401" t="s">
        <v>1201</v>
      </c>
      <c r="Q401">
        <v>15</v>
      </c>
      <c r="R401" t="s">
        <v>1701</v>
      </c>
      <c r="S401" t="s">
        <v>1829</v>
      </c>
      <c r="T401" t="s">
        <v>842</v>
      </c>
      <c r="U401" t="s">
        <v>843</v>
      </c>
      <c r="W401">
        <v>9556.5</v>
      </c>
      <c r="X401">
        <v>10350</v>
      </c>
      <c r="Y401" t="s">
        <v>844</v>
      </c>
      <c r="Z401" t="s">
        <v>792</v>
      </c>
      <c r="AB401" t="s">
        <v>793</v>
      </c>
      <c r="AD401" t="s">
        <v>794</v>
      </c>
      <c r="AE401" t="s">
        <v>804</v>
      </c>
      <c r="AF401" t="s">
        <v>845</v>
      </c>
      <c r="AG401" t="s">
        <v>797</v>
      </c>
      <c r="AH401">
        <v>5781385</v>
      </c>
      <c r="AI401">
        <v>5781385</v>
      </c>
      <c r="AJ401">
        <v>0.31</v>
      </c>
    </row>
    <row r="402" spans="1:36" x14ac:dyDescent="0.3">
      <c r="A402">
        <f>COUNTIF($D$2:D402,D402)</f>
        <v>11</v>
      </c>
      <c r="B402" t="str">
        <f t="shared" si="25"/>
        <v>11Camden</v>
      </c>
      <c r="C402" t="s">
        <v>1840</v>
      </c>
      <c r="D402" t="s">
        <v>107</v>
      </c>
      <c r="E402">
        <v>34</v>
      </c>
      <c r="F402" t="s">
        <v>1841</v>
      </c>
      <c r="G402" t="s">
        <v>834</v>
      </c>
      <c r="H402" t="s">
        <v>1732</v>
      </c>
      <c r="I402" t="s">
        <v>836</v>
      </c>
      <c r="J402">
        <f t="shared" ca="1" si="26"/>
        <v>26000</v>
      </c>
      <c r="K402">
        <f t="shared" ca="1" si="27"/>
        <v>1100</v>
      </c>
      <c r="N402" t="str">
        <f t="shared" si="24"/>
        <v>Bury18Disabled Facilities GrantDFG Related SchemesAdaptations, including statutory DFG grants</v>
      </c>
      <c r="O402" t="s">
        <v>101</v>
      </c>
      <c r="P402" t="s">
        <v>1201</v>
      </c>
      <c r="Q402">
        <v>18</v>
      </c>
      <c r="R402" t="s">
        <v>891</v>
      </c>
      <c r="S402" t="s">
        <v>1842</v>
      </c>
      <c r="T402" t="s">
        <v>834</v>
      </c>
      <c r="U402" t="s">
        <v>835</v>
      </c>
      <c r="W402">
        <v>170</v>
      </c>
      <c r="X402">
        <v>170</v>
      </c>
      <c r="Y402" t="s">
        <v>836</v>
      </c>
      <c r="Z402" t="s">
        <v>792</v>
      </c>
      <c r="AB402" t="s">
        <v>793</v>
      </c>
      <c r="AD402" t="s">
        <v>794</v>
      </c>
      <c r="AE402" t="s">
        <v>795</v>
      </c>
      <c r="AF402" t="s">
        <v>840</v>
      </c>
      <c r="AG402" t="s">
        <v>797</v>
      </c>
      <c r="AH402">
        <v>2076611</v>
      </c>
      <c r="AI402">
        <v>2076611</v>
      </c>
      <c r="AJ402">
        <v>0.19</v>
      </c>
    </row>
    <row r="403" spans="1:36" x14ac:dyDescent="0.3">
      <c r="A403">
        <f>COUNTIF($D$2:D403,D403)</f>
        <v>12</v>
      </c>
      <c r="B403" t="str">
        <f t="shared" si="25"/>
        <v>12Camden</v>
      </c>
      <c r="C403" t="s">
        <v>1843</v>
      </c>
      <c r="D403" t="s">
        <v>107</v>
      </c>
      <c r="E403">
        <v>23</v>
      </c>
      <c r="F403" t="s">
        <v>1844</v>
      </c>
      <c r="G403" t="s">
        <v>834</v>
      </c>
      <c r="H403" t="s">
        <v>835</v>
      </c>
      <c r="I403" t="s">
        <v>836</v>
      </c>
      <c r="J403">
        <f t="shared" ca="1" si="26"/>
        <v>1046736</v>
      </c>
      <c r="K403">
        <f t="shared" ca="1" si="27"/>
        <v>121</v>
      </c>
      <c r="N403" t="str">
        <f t="shared" si="24"/>
        <v>Bury19Nursing Discharge to Assess BedsBed based intermediate Care Services (Reablement, rehabilitation, wider short-term services supporting recovery)Bed-based intermediate care with rehabilitation (to support discharge)</v>
      </c>
      <c r="O403" t="s">
        <v>101</v>
      </c>
      <c r="P403" t="s">
        <v>1201</v>
      </c>
      <c r="Q403">
        <v>19</v>
      </c>
      <c r="R403" t="s">
        <v>1706</v>
      </c>
      <c r="S403" t="s">
        <v>1845</v>
      </c>
      <c r="T403" t="s">
        <v>877</v>
      </c>
      <c r="U403" t="s">
        <v>968</v>
      </c>
      <c r="W403">
        <v>80</v>
      </c>
      <c r="X403">
        <v>80</v>
      </c>
      <c r="Y403" t="s">
        <v>879</v>
      </c>
      <c r="Z403" t="s">
        <v>792</v>
      </c>
      <c r="AB403" t="s">
        <v>793</v>
      </c>
      <c r="AD403" t="s">
        <v>794</v>
      </c>
      <c r="AE403" t="s">
        <v>804</v>
      </c>
      <c r="AF403" t="s">
        <v>864</v>
      </c>
      <c r="AG403" t="s">
        <v>861</v>
      </c>
      <c r="AH403">
        <v>407497</v>
      </c>
      <c r="AI403">
        <v>678973</v>
      </c>
      <c r="AJ403">
        <v>0.05</v>
      </c>
    </row>
    <row r="404" spans="1:36" x14ac:dyDescent="0.3">
      <c r="A404">
        <f>COUNTIF($D$2:D404,D404)</f>
        <v>13</v>
      </c>
      <c r="B404" t="str">
        <f t="shared" si="25"/>
        <v>13Camden</v>
      </c>
      <c r="C404" t="s">
        <v>1846</v>
      </c>
      <c r="D404" t="s">
        <v>107</v>
      </c>
      <c r="E404">
        <v>35</v>
      </c>
      <c r="F404" t="s">
        <v>1847</v>
      </c>
      <c r="G404" t="s">
        <v>842</v>
      </c>
      <c r="H404" t="s">
        <v>843</v>
      </c>
      <c r="I404" t="s">
        <v>844</v>
      </c>
      <c r="J404">
        <f t="shared" ca="1" si="26"/>
        <v>1629922</v>
      </c>
      <c r="K404">
        <f t="shared" ca="1" si="27"/>
        <v>80400</v>
      </c>
      <c r="N404" t="str">
        <f t="shared" si="24"/>
        <v>Bury20Step Down Nursing BedsBed based intermediate Care Services (Reablement, rehabilitation, wider short-term services supporting recovery)Bed-based intermediate care with rehabilitation (to support discharge)</v>
      </c>
      <c r="O404" t="s">
        <v>101</v>
      </c>
      <c r="P404" t="s">
        <v>1201</v>
      </c>
      <c r="Q404">
        <v>20</v>
      </c>
      <c r="R404" t="s">
        <v>1709</v>
      </c>
      <c r="S404" t="s">
        <v>1848</v>
      </c>
      <c r="T404" t="s">
        <v>877</v>
      </c>
      <c r="U404" t="s">
        <v>968</v>
      </c>
      <c r="W404">
        <v>35</v>
      </c>
      <c r="X404">
        <v>35</v>
      </c>
      <c r="Y404" t="s">
        <v>879</v>
      </c>
      <c r="Z404" t="s">
        <v>792</v>
      </c>
      <c r="AB404" t="s">
        <v>793</v>
      </c>
      <c r="AD404" t="s">
        <v>794</v>
      </c>
      <c r="AE404" t="s">
        <v>804</v>
      </c>
      <c r="AF404" t="s">
        <v>864</v>
      </c>
      <c r="AG404" t="s">
        <v>861</v>
      </c>
      <c r="AH404">
        <v>662000</v>
      </c>
      <c r="AI404">
        <v>1103027</v>
      </c>
      <c r="AJ404">
        <v>0.08</v>
      </c>
    </row>
    <row r="405" spans="1:36" x14ac:dyDescent="0.3">
      <c r="A405">
        <f>COUNTIF($D$2:D405,D405)</f>
        <v>14</v>
      </c>
      <c r="B405" t="str">
        <f t="shared" si="25"/>
        <v>14Camden</v>
      </c>
      <c r="C405" t="s">
        <v>1849</v>
      </c>
      <c r="D405" t="s">
        <v>107</v>
      </c>
      <c r="E405">
        <v>56</v>
      </c>
      <c r="F405" t="s">
        <v>1850</v>
      </c>
      <c r="G405" t="s">
        <v>811</v>
      </c>
      <c r="H405" t="s">
        <v>812</v>
      </c>
      <c r="I405" t="s">
        <v>813</v>
      </c>
      <c r="J405">
        <f t="shared" ca="1" si="26"/>
        <v>60000</v>
      </c>
      <c r="K405">
        <f t="shared" ca="1" si="27"/>
        <v>50</v>
      </c>
      <c r="N405" t="str">
        <f t="shared" si="24"/>
        <v>Bury25Additional G&amp;A bedsBed based intermediate Care Services (Reablement, rehabilitation, wider short-term services supporting recovery)Bed-based intermediate care with rehabilitation (to support discharge)</v>
      </c>
      <c r="O405" t="s">
        <v>101</v>
      </c>
      <c r="P405" t="s">
        <v>1201</v>
      </c>
      <c r="Q405">
        <v>25</v>
      </c>
      <c r="R405" t="s">
        <v>1712</v>
      </c>
      <c r="S405" t="s">
        <v>1851</v>
      </c>
      <c r="T405" t="s">
        <v>877</v>
      </c>
      <c r="U405" t="s">
        <v>968</v>
      </c>
      <c r="W405">
        <v>160</v>
      </c>
      <c r="X405">
        <v>160</v>
      </c>
      <c r="Y405" t="s">
        <v>879</v>
      </c>
      <c r="Z405" t="s">
        <v>812</v>
      </c>
      <c r="AA405" t="s">
        <v>1852</v>
      </c>
      <c r="AB405" t="s">
        <v>824</v>
      </c>
      <c r="AD405" t="s">
        <v>794</v>
      </c>
      <c r="AE405" t="s">
        <v>804</v>
      </c>
      <c r="AF405" t="s">
        <v>860</v>
      </c>
      <c r="AG405" t="s">
        <v>861</v>
      </c>
      <c r="AH405">
        <v>102000</v>
      </c>
      <c r="AI405">
        <v>571698</v>
      </c>
      <c r="AJ405">
        <v>0.01</v>
      </c>
    </row>
    <row r="406" spans="1:36" x14ac:dyDescent="0.3">
      <c r="A406">
        <f>COUNTIF($D$2:D406,D406)</f>
        <v>15</v>
      </c>
      <c r="B406" t="str">
        <f t="shared" si="25"/>
        <v>15Camden</v>
      </c>
      <c r="C406" t="s">
        <v>1853</v>
      </c>
      <c r="D406" t="s">
        <v>107</v>
      </c>
      <c r="E406">
        <v>62</v>
      </c>
      <c r="F406" t="s">
        <v>1854</v>
      </c>
      <c r="G406" t="s">
        <v>806</v>
      </c>
      <c r="H406" t="s">
        <v>917</v>
      </c>
      <c r="I406" t="s">
        <v>808</v>
      </c>
      <c r="J406">
        <f t="shared" ca="1" si="26"/>
        <v>2190000</v>
      </c>
      <c r="K406">
        <f t="shared" ca="1" si="27"/>
        <v>36</v>
      </c>
      <c r="N406" t="str">
        <f t="shared" si="24"/>
        <v xml:space="preserve">Bury28Crisis Response CommunityHome-based intermediate care servicesJoint reablement and rehabilitation service (to support discharge) </v>
      </c>
      <c r="O406" t="s">
        <v>101</v>
      </c>
      <c r="P406" t="s">
        <v>1201</v>
      </c>
      <c r="Q406">
        <v>28</v>
      </c>
      <c r="R406" t="s">
        <v>1715</v>
      </c>
      <c r="S406" t="s">
        <v>1855</v>
      </c>
      <c r="T406" t="s">
        <v>787</v>
      </c>
      <c r="U406" t="s">
        <v>1551</v>
      </c>
      <c r="W406">
        <v>3636</v>
      </c>
      <c r="X406">
        <v>4200</v>
      </c>
      <c r="Y406" t="s">
        <v>789</v>
      </c>
      <c r="Z406" t="s">
        <v>823</v>
      </c>
      <c r="AB406" t="s">
        <v>824</v>
      </c>
      <c r="AD406" t="s">
        <v>794</v>
      </c>
      <c r="AE406" t="s">
        <v>832</v>
      </c>
      <c r="AF406" t="s">
        <v>796</v>
      </c>
      <c r="AG406" t="s">
        <v>797</v>
      </c>
      <c r="AH406">
        <v>1506413</v>
      </c>
      <c r="AI406">
        <v>1591676</v>
      </c>
      <c r="AJ406">
        <v>0.24</v>
      </c>
    </row>
    <row r="407" spans="1:36" x14ac:dyDescent="0.3">
      <c r="A407">
        <f>COUNTIF($D$2:D407,D407)</f>
        <v>16</v>
      </c>
      <c r="B407" t="str">
        <f t="shared" si="25"/>
        <v>16Camden</v>
      </c>
      <c r="C407" t="s">
        <v>1856</v>
      </c>
      <c r="D407" t="s">
        <v>107</v>
      </c>
      <c r="E407">
        <v>39</v>
      </c>
      <c r="F407" t="s">
        <v>1857</v>
      </c>
      <c r="G407" t="s">
        <v>800</v>
      </c>
      <c r="H407" t="s">
        <v>903</v>
      </c>
      <c r="I407" t="s">
        <v>802</v>
      </c>
      <c r="J407">
        <f t="shared" ca="1" si="26"/>
        <v>714749.89000000013</v>
      </c>
      <c r="K407">
        <f t="shared" ca="1" si="27"/>
        <v>2640</v>
      </c>
      <c r="N407" t="str">
        <f t="shared" si="24"/>
        <v>Calderdale2Self-Care Assistive Technology for Independent Living (S1PO3)Assistive Technologies and EquipmentAssistive technologies including telecare</v>
      </c>
      <c r="O407" t="s">
        <v>103</v>
      </c>
      <c r="P407" t="s">
        <v>922</v>
      </c>
      <c r="Q407">
        <v>2</v>
      </c>
      <c r="R407" t="s">
        <v>1718</v>
      </c>
      <c r="S407" t="s">
        <v>1858</v>
      </c>
      <c r="T407" t="s">
        <v>800</v>
      </c>
      <c r="U407" t="s">
        <v>850</v>
      </c>
      <c r="W407">
        <v>3000</v>
      </c>
      <c r="X407">
        <v>3000</v>
      </c>
      <c r="Y407" t="s">
        <v>802</v>
      </c>
      <c r="Z407" t="s">
        <v>792</v>
      </c>
      <c r="AB407" t="s">
        <v>793</v>
      </c>
      <c r="AD407" t="s">
        <v>794</v>
      </c>
      <c r="AE407" t="s">
        <v>795</v>
      </c>
      <c r="AF407" t="s">
        <v>796</v>
      </c>
      <c r="AG407" t="s">
        <v>797</v>
      </c>
      <c r="AH407">
        <v>250780</v>
      </c>
      <c r="AI407">
        <v>264974</v>
      </c>
      <c r="AJ407">
        <v>0.35</v>
      </c>
    </row>
    <row r="408" spans="1:36" x14ac:dyDescent="0.3">
      <c r="A408">
        <f>COUNTIF($D$2:D408,D408)</f>
        <v>17</v>
      </c>
      <c r="B408" t="str">
        <f t="shared" si="25"/>
        <v>17Camden</v>
      </c>
      <c r="C408" t="s">
        <v>1859</v>
      </c>
      <c r="D408" t="s">
        <v>107</v>
      </c>
      <c r="E408">
        <v>30</v>
      </c>
      <c r="F408" t="s">
        <v>1860</v>
      </c>
      <c r="G408" t="s">
        <v>806</v>
      </c>
      <c r="H408" t="s">
        <v>934</v>
      </c>
      <c r="I408" t="s">
        <v>808</v>
      </c>
      <c r="J408">
        <f t="shared" ca="1" si="26"/>
        <v>650000</v>
      </c>
      <c r="K408">
        <f t="shared" ca="1" si="27"/>
        <v>25</v>
      </c>
      <c r="N408" t="str">
        <f t="shared" si="24"/>
        <v>Calderdale5Carers OfferCarers ServicesRespite services</v>
      </c>
      <c r="O408" t="s">
        <v>103</v>
      </c>
      <c r="P408" t="s">
        <v>922</v>
      </c>
      <c r="Q408">
        <v>5</v>
      </c>
      <c r="R408" t="s">
        <v>1721</v>
      </c>
      <c r="S408" t="s">
        <v>1861</v>
      </c>
      <c r="T408" t="s">
        <v>811</v>
      </c>
      <c r="U408" t="s">
        <v>830</v>
      </c>
      <c r="W408">
        <v>2287</v>
      </c>
      <c r="X408">
        <v>2287</v>
      </c>
      <c r="Y408" t="s">
        <v>813</v>
      </c>
      <c r="Z408" t="s">
        <v>823</v>
      </c>
      <c r="AB408" t="s">
        <v>793</v>
      </c>
      <c r="AD408" t="s">
        <v>794</v>
      </c>
      <c r="AE408" t="s">
        <v>795</v>
      </c>
      <c r="AF408" t="s">
        <v>796</v>
      </c>
      <c r="AG408" t="s">
        <v>797</v>
      </c>
      <c r="AH408">
        <v>910150</v>
      </c>
      <c r="AI408">
        <v>961664</v>
      </c>
      <c r="AJ408">
        <v>1</v>
      </c>
    </row>
    <row r="409" spans="1:36" x14ac:dyDescent="0.3">
      <c r="A409">
        <f>COUNTIF($D$2:D409,D409)</f>
        <v>18</v>
      </c>
      <c r="B409" t="str">
        <f t="shared" si="25"/>
        <v>18Camden</v>
      </c>
      <c r="C409" t="s">
        <v>1862</v>
      </c>
      <c r="D409" t="s">
        <v>107</v>
      </c>
      <c r="E409">
        <v>59</v>
      </c>
      <c r="F409" t="s">
        <v>1823</v>
      </c>
      <c r="G409" t="s">
        <v>787</v>
      </c>
      <c r="H409" t="s">
        <v>886</v>
      </c>
      <c r="I409" t="s">
        <v>789</v>
      </c>
      <c r="J409">
        <f t="shared" ca="1" si="26"/>
        <v>410000</v>
      </c>
      <c r="K409">
        <f t="shared" ca="1" si="27"/>
        <v>280</v>
      </c>
      <c r="N409" t="str">
        <f t="shared" si="24"/>
        <v>Calderdale6Community Equipment (including the Loan Store)Assistive Technologies and EquipmentCommunity based equipment</v>
      </c>
      <c r="O409" t="s">
        <v>103</v>
      </c>
      <c r="P409" t="s">
        <v>922</v>
      </c>
      <c r="Q409">
        <v>6</v>
      </c>
      <c r="R409" t="s">
        <v>1723</v>
      </c>
      <c r="S409" t="s">
        <v>1863</v>
      </c>
      <c r="T409" t="s">
        <v>800</v>
      </c>
      <c r="U409" t="s">
        <v>903</v>
      </c>
      <c r="W409">
        <v>250</v>
      </c>
      <c r="X409">
        <v>250</v>
      </c>
      <c r="Y409" t="s">
        <v>802</v>
      </c>
      <c r="Z409" t="s">
        <v>823</v>
      </c>
      <c r="AB409" t="s">
        <v>793</v>
      </c>
      <c r="AD409" t="s">
        <v>794</v>
      </c>
      <c r="AE409" t="s">
        <v>832</v>
      </c>
      <c r="AF409" t="s">
        <v>796</v>
      </c>
      <c r="AG409" t="s">
        <v>797</v>
      </c>
      <c r="AH409">
        <v>513570</v>
      </c>
      <c r="AI409">
        <v>542638</v>
      </c>
      <c r="AJ409">
        <v>0.19</v>
      </c>
    </row>
    <row r="410" spans="1:36" x14ac:dyDescent="0.3">
      <c r="A410">
        <f>COUNTIF($D$2:D410,D410)</f>
        <v>19</v>
      </c>
      <c r="B410" t="str">
        <f t="shared" si="25"/>
        <v>19Camden</v>
      </c>
      <c r="C410" t="s">
        <v>1864</v>
      </c>
      <c r="D410" t="s">
        <v>107</v>
      </c>
      <c r="E410">
        <v>61</v>
      </c>
      <c r="F410" t="s">
        <v>1832</v>
      </c>
      <c r="G410" t="s">
        <v>787</v>
      </c>
      <c r="H410" t="s">
        <v>788</v>
      </c>
      <c r="I410" t="s">
        <v>789</v>
      </c>
      <c r="J410">
        <f t="shared" ca="1" si="26"/>
        <v>166345</v>
      </c>
      <c r="K410">
        <f t="shared" ca="1" si="27"/>
        <v>1500</v>
      </c>
      <c r="N410" t="str">
        <f t="shared" si="24"/>
        <v>Calderdale7Community Equipment (including the Loan Store)Assistive Technologies and EquipmentCommunity based equipment</v>
      </c>
      <c r="O410" t="s">
        <v>103</v>
      </c>
      <c r="P410" t="s">
        <v>922</v>
      </c>
      <c r="Q410">
        <v>7</v>
      </c>
      <c r="R410" t="s">
        <v>1723</v>
      </c>
      <c r="S410" t="s">
        <v>1863</v>
      </c>
      <c r="T410" t="s">
        <v>800</v>
      </c>
      <c r="U410" t="s">
        <v>903</v>
      </c>
      <c r="W410">
        <v>400</v>
      </c>
      <c r="X410">
        <v>400</v>
      </c>
      <c r="Y410" t="s">
        <v>802</v>
      </c>
      <c r="Z410" t="s">
        <v>823</v>
      </c>
      <c r="AB410" t="s">
        <v>824</v>
      </c>
      <c r="AD410" t="s">
        <v>794</v>
      </c>
      <c r="AE410" t="s">
        <v>832</v>
      </c>
      <c r="AF410" t="s">
        <v>796</v>
      </c>
      <c r="AG410" t="s">
        <v>797</v>
      </c>
      <c r="AH410">
        <v>1072440</v>
      </c>
      <c r="AI410">
        <v>1133140</v>
      </c>
      <c r="AJ410">
        <v>0.39</v>
      </c>
    </row>
    <row r="411" spans="1:36" x14ac:dyDescent="0.3">
      <c r="A411">
        <f>COUNTIF($D$2:D411,D411)</f>
        <v>20</v>
      </c>
      <c r="B411" t="str">
        <f t="shared" si="25"/>
        <v>20Camden</v>
      </c>
      <c r="C411" t="s">
        <v>1865</v>
      </c>
      <c r="D411" t="s">
        <v>107</v>
      </c>
      <c r="E411">
        <v>19</v>
      </c>
      <c r="F411" t="s">
        <v>1866</v>
      </c>
      <c r="G411" t="s">
        <v>842</v>
      </c>
      <c r="H411" t="s">
        <v>856</v>
      </c>
      <c r="I411" t="s">
        <v>844</v>
      </c>
      <c r="J411">
        <f t="shared" ca="1" si="26"/>
        <v>186000</v>
      </c>
      <c r="K411">
        <f t="shared" ca="1" si="27"/>
        <v>8432</v>
      </c>
      <c r="N411" t="str">
        <f t="shared" si="24"/>
        <v>Calderdale8Home Improvement AgencyDFG Related SchemesAdaptations, including statutory DFG grants</v>
      </c>
      <c r="O411" t="s">
        <v>103</v>
      </c>
      <c r="P411" t="s">
        <v>922</v>
      </c>
      <c r="Q411">
        <v>8</v>
      </c>
      <c r="R411" t="s">
        <v>1728</v>
      </c>
      <c r="S411" t="s">
        <v>1867</v>
      </c>
      <c r="T411" t="s">
        <v>834</v>
      </c>
      <c r="U411" t="s">
        <v>835</v>
      </c>
      <c r="W411">
        <v>120</v>
      </c>
      <c r="X411">
        <v>120</v>
      </c>
      <c r="Y411" t="s">
        <v>836</v>
      </c>
      <c r="Z411" t="s">
        <v>792</v>
      </c>
      <c r="AB411" t="s">
        <v>793</v>
      </c>
      <c r="AD411" t="s">
        <v>794</v>
      </c>
      <c r="AE411" t="s">
        <v>795</v>
      </c>
      <c r="AF411" t="s">
        <v>796</v>
      </c>
      <c r="AG411" t="s">
        <v>797</v>
      </c>
      <c r="AH411">
        <v>100770</v>
      </c>
      <c r="AI411">
        <v>106474</v>
      </c>
      <c r="AJ411">
        <v>1</v>
      </c>
    </row>
    <row r="412" spans="1:36" x14ac:dyDescent="0.3">
      <c r="A412">
        <f>COUNTIF($D$2:D412,D412)</f>
        <v>1</v>
      </c>
      <c r="B412" t="str">
        <f t="shared" si="25"/>
        <v>1Central Bedfordshire</v>
      </c>
      <c r="C412" t="s">
        <v>1868</v>
      </c>
      <c r="D412" t="s">
        <v>109</v>
      </c>
      <c r="E412">
        <v>5</v>
      </c>
      <c r="F412" t="s">
        <v>1869</v>
      </c>
      <c r="G412" t="s">
        <v>787</v>
      </c>
      <c r="H412" t="s">
        <v>788</v>
      </c>
      <c r="I412" t="s">
        <v>789</v>
      </c>
      <c r="J412">
        <f t="shared" ca="1" si="26"/>
        <v>1072881</v>
      </c>
      <c r="K412">
        <f t="shared" ca="1" si="27"/>
        <v>300</v>
      </c>
      <c r="N412" t="str">
        <f t="shared" si="24"/>
        <v>Calderdale9Handyperson Prevention SchemeDFG Related SchemesHandyperson services</v>
      </c>
      <c r="O412" t="s">
        <v>103</v>
      </c>
      <c r="P412" t="s">
        <v>922</v>
      </c>
      <c r="Q412">
        <v>9</v>
      </c>
      <c r="R412" t="s">
        <v>1731</v>
      </c>
      <c r="S412" t="s">
        <v>1870</v>
      </c>
      <c r="T412" t="s">
        <v>834</v>
      </c>
      <c r="U412" t="s">
        <v>1732</v>
      </c>
      <c r="W412">
        <v>900</v>
      </c>
      <c r="X412">
        <v>900</v>
      </c>
      <c r="Y412" t="s">
        <v>836</v>
      </c>
      <c r="Z412" t="s">
        <v>792</v>
      </c>
      <c r="AB412" t="s">
        <v>793</v>
      </c>
      <c r="AD412" t="s">
        <v>794</v>
      </c>
      <c r="AE412" t="s">
        <v>795</v>
      </c>
      <c r="AF412" t="s">
        <v>796</v>
      </c>
      <c r="AG412" t="s">
        <v>797</v>
      </c>
      <c r="AH412">
        <v>17040</v>
      </c>
      <c r="AI412">
        <v>18004</v>
      </c>
      <c r="AJ412">
        <v>1</v>
      </c>
    </row>
    <row r="413" spans="1:36" x14ac:dyDescent="0.3">
      <c r="A413">
        <f>COUNTIF($D$2:D413,D413)</f>
        <v>2</v>
      </c>
      <c r="B413" t="str">
        <f t="shared" si="25"/>
        <v>2Central Bedfordshire</v>
      </c>
      <c r="C413" t="s">
        <v>1871</v>
      </c>
      <c r="D413" t="s">
        <v>109</v>
      </c>
      <c r="E413">
        <v>6</v>
      </c>
      <c r="F413" t="s">
        <v>1872</v>
      </c>
      <c r="G413" t="s">
        <v>787</v>
      </c>
      <c r="H413" t="s">
        <v>788</v>
      </c>
      <c r="I413" t="s">
        <v>789</v>
      </c>
      <c r="J413">
        <f t="shared" ca="1" si="26"/>
        <v>1072881</v>
      </c>
      <c r="K413">
        <f t="shared" ca="1" si="27"/>
        <v>150</v>
      </c>
      <c r="N413" t="str">
        <f t="shared" si="24"/>
        <v>Calderdale10Disabled facilities grant (DFG)  for adaptations  S2P07DFG Related SchemesAdaptations, including statutory DFG grants</v>
      </c>
      <c r="O413" t="s">
        <v>103</v>
      </c>
      <c r="P413" t="s">
        <v>922</v>
      </c>
      <c r="Q413">
        <v>10</v>
      </c>
      <c r="R413" t="s">
        <v>1735</v>
      </c>
      <c r="S413" t="s">
        <v>1873</v>
      </c>
      <c r="T413" t="s">
        <v>834</v>
      </c>
      <c r="U413" t="s">
        <v>835</v>
      </c>
      <c r="W413">
        <v>310</v>
      </c>
      <c r="X413">
        <v>310</v>
      </c>
      <c r="Y413" t="s">
        <v>836</v>
      </c>
      <c r="Z413" t="s">
        <v>792</v>
      </c>
      <c r="AB413" t="s">
        <v>793</v>
      </c>
      <c r="AD413" t="s">
        <v>794</v>
      </c>
      <c r="AE413" t="s">
        <v>795</v>
      </c>
      <c r="AF413" t="s">
        <v>840</v>
      </c>
      <c r="AG413" t="s">
        <v>797</v>
      </c>
      <c r="AH413">
        <v>3033013</v>
      </c>
      <c r="AI413">
        <v>3033013</v>
      </c>
      <c r="AJ413">
        <v>1</v>
      </c>
    </row>
    <row r="414" spans="1:36" x14ac:dyDescent="0.3">
      <c r="A414">
        <f>COUNTIF($D$2:D414,D414)</f>
        <v>3</v>
      </c>
      <c r="B414" t="str">
        <f t="shared" si="25"/>
        <v>3Central Bedfordshire</v>
      </c>
      <c r="C414" t="s">
        <v>1874</v>
      </c>
      <c r="D414" t="s">
        <v>109</v>
      </c>
      <c r="E414">
        <v>7</v>
      </c>
      <c r="F414" t="s">
        <v>1875</v>
      </c>
      <c r="G414" t="s">
        <v>877</v>
      </c>
      <c r="H414" t="s">
        <v>1259</v>
      </c>
      <c r="I414" t="s">
        <v>879</v>
      </c>
      <c r="J414" t="e">
        <f t="shared" si="26"/>
        <v>#VALUE!</v>
      </c>
      <c r="K414" t="e">
        <f t="shared" si="27"/>
        <v>#VALUE!</v>
      </c>
      <c r="N414" t="str">
        <f t="shared" si="24"/>
        <v>Calderdale15Residential Transitional Beds (S4P01)Bed based intermediate Care Services (Reablement, rehabilitation, wider short-term services supporting recovery)Bed-based intermediate care with rehabilitation accepting step up and step down users</v>
      </c>
      <c r="O414" t="s">
        <v>103</v>
      </c>
      <c r="P414" t="s">
        <v>922</v>
      </c>
      <c r="Q414">
        <v>15</v>
      </c>
      <c r="R414" t="s">
        <v>1741</v>
      </c>
      <c r="S414" t="s">
        <v>1876</v>
      </c>
      <c r="T414" t="s">
        <v>877</v>
      </c>
      <c r="U414" t="s">
        <v>1015</v>
      </c>
      <c r="W414">
        <v>10</v>
      </c>
      <c r="X414">
        <v>10</v>
      </c>
      <c r="Y414" t="s">
        <v>879</v>
      </c>
      <c r="Z414" t="s">
        <v>792</v>
      </c>
      <c r="AB414" t="s">
        <v>793</v>
      </c>
      <c r="AD414" t="s">
        <v>794</v>
      </c>
      <c r="AE414" t="s">
        <v>804</v>
      </c>
      <c r="AF414" t="s">
        <v>796</v>
      </c>
      <c r="AG414" t="s">
        <v>797</v>
      </c>
      <c r="AH414">
        <v>203020</v>
      </c>
      <c r="AI414">
        <v>214511</v>
      </c>
      <c r="AJ414">
        <v>7.0000000000000007E-2</v>
      </c>
    </row>
    <row r="415" spans="1:36" x14ac:dyDescent="0.3">
      <c r="A415">
        <f>COUNTIF($D$2:D415,D415)</f>
        <v>4</v>
      </c>
      <c r="B415" t="str">
        <f t="shared" si="25"/>
        <v>4Central Bedfordshire</v>
      </c>
      <c r="C415" t="s">
        <v>1877</v>
      </c>
      <c r="D415" t="s">
        <v>109</v>
      </c>
      <c r="E415">
        <v>11</v>
      </c>
      <c r="F415" t="s">
        <v>1878</v>
      </c>
      <c r="G415" t="s">
        <v>800</v>
      </c>
      <c r="H415" t="s">
        <v>903</v>
      </c>
      <c r="I415" t="s">
        <v>802</v>
      </c>
      <c r="J415">
        <f t="shared" ca="1" si="26"/>
        <v>225413</v>
      </c>
      <c r="K415">
        <f t="shared" ca="1" si="27"/>
        <v>30</v>
      </c>
      <c r="N415" t="str">
        <f t="shared" si="24"/>
        <v>Calderdale16Intermediate Care Community Beds (S4P02)Bed based intermediate Care Services (Reablement, rehabilitation, wider short-term services supporting recovery)Bed-based intermediate care with rehabilitation accepting step up and step down users</v>
      </c>
      <c r="O415" t="s">
        <v>103</v>
      </c>
      <c r="P415" t="s">
        <v>922</v>
      </c>
      <c r="Q415">
        <v>16</v>
      </c>
      <c r="R415" t="s">
        <v>1743</v>
      </c>
      <c r="S415" t="s">
        <v>1879</v>
      </c>
      <c r="T415" t="s">
        <v>877</v>
      </c>
      <c r="U415" t="s">
        <v>1015</v>
      </c>
      <c r="W415">
        <v>20</v>
      </c>
      <c r="X415">
        <v>20</v>
      </c>
      <c r="Y415" t="s">
        <v>879</v>
      </c>
      <c r="Z415" t="s">
        <v>1061</v>
      </c>
      <c r="AB415" t="s">
        <v>824</v>
      </c>
      <c r="AD415" t="s">
        <v>794</v>
      </c>
      <c r="AE415" t="s">
        <v>804</v>
      </c>
      <c r="AF415" t="s">
        <v>796</v>
      </c>
      <c r="AG415" t="s">
        <v>797</v>
      </c>
      <c r="AH415">
        <v>933214</v>
      </c>
      <c r="AI415">
        <v>986034</v>
      </c>
      <c r="AJ415">
        <v>1</v>
      </c>
    </row>
    <row r="416" spans="1:36" x14ac:dyDescent="0.3">
      <c r="A416">
        <f>COUNTIF($D$2:D416,D416)</f>
        <v>5</v>
      </c>
      <c r="B416" t="str">
        <f t="shared" si="25"/>
        <v>5Central Bedfordshire</v>
      </c>
      <c r="C416" t="s">
        <v>1880</v>
      </c>
      <c r="D416" t="s">
        <v>109</v>
      </c>
      <c r="E416">
        <v>12</v>
      </c>
      <c r="F416" t="s">
        <v>1881</v>
      </c>
      <c r="G416" t="s">
        <v>800</v>
      </c>
      <c r="H416" t="s">
        <v>903</v>
      </c>
      <c r="I416" t="s">
        <v>802</v>
      </c>
      <c r="J416">
        <f t="shared" ca="1" si="26"/>
        <v>719077</v>
      </c>
      <c r="K416">
        <f t="shared" ca="1" si="27"/>
        <v>500</v>
      </c>
      <c r="N416" t="str">
        <f t="shared" si="24"/>
        <v>Calderdale17Intermediate Supported Care (Heatherstones Reablement Unit) (S4P03)Bed based intermediate Care Services (Reablement, rehabilitation, wider short-term services supporting recovery)Bed-based intermediate care with reablement (to support discharge)</v>
      </c>
      <c r="O416" t="s">
        <v>103</v>
      </c>
      <c r="P416" t="s">
        <v>922</v>
      </c>
      <c r="Q416">
        <v>17</v>
      </c>
      <c r="R416" t="s">
        <v>1746</v>
      </c>
      <c r="S416" t="s">
        <v>1882</v>
      </c>
      <c r="T416" t="s">
        <v>877</v>
      </c>
      <c r="U416" t="s">
        <v>878</v>
      </c>
      <c r="W416">
        <v>12</v>
      </c>
      <c r="X416">
        <v>12</v>
      </c>
      <c r="Y416" t="s">
        <v>879</v>
      </c>
      <c r="Z416" t="s">
        <v>823</v>
      </c>
      <c r="AB416" t="s">
        <v>793</v>
      </c>
      <c r="AD416" t="s">
        <v>794</v>
      </c>
      <c r="AE416" t="s">
        <v>795</v>
      </c>
      <c r="AF416" t="s">
        <v>796</v>
      </c>
      <c r="AG416" t="s">
        <v>797</v>
      </c>
      <c r="AH416">
        <v>454780</v>
      </c>
      <c r="AI416">
        <v>480521</v>
      </c>
      <c r="AJ416">
        <v>0.5</v>
      </c>
    </row>
    <row r="417" spans="1:36" x14ac:dyDescent="0.3">
      <c r="A417">
        <f>COUNTIF($D$2:D417,D417)</f>
        <v>6</v>
      </c>
      <c r="B417" t="str">
        <f t="shared" si="25"/>
        <v>6Central Bedfordshire</v>
      </c>
      <c r="C417" t="s">
        <v>1883</v>
      </c>
      <c r="D417" t="s">
        <v>109</v>
      </c>
      <c r="E417">
        <v>13</v>
      </c>
      <c r="F417" t="s">
        <v>1884</v>
      </c>
      <c r="G417" t="s">
        <v>800</v>
      </c>
      <c r="H417" t="s">
        <v>850</v>
      </c>
      <c r="I417" t="s">
        <v>802</v>
      </c>
      <c r="J417">
        <f t="shared" ca="1" si="26"/>
        <v>205625</v>
      </c>
      <c r="K417">
        <f t="shared" ca="1" si="27"/>
        <v>1000</v>
      </c>
      <c r="N417" t="str">
        <f t="shared" si="24"/>
        <v>Calderdale19Reablement &amp; Coordinated Support at Home (S4PO5)Home Care or Domiciliary CareDomiciliary care packages</v>
      </c>
      <c r="O417" t="s">
        <v>103</v>
      </c>
      <c r="P417" t="s">
        <v>922</v>
      </c>
      <c r="Q417">
        <v>19</v>
      </c>
      <c r="R417" t="s">
        <v>1749</v>
      </c>
      <c r="S417" t="s">
        <v>1885</v>
      </c>
      <c r="T417" t="s">
        <v>842</v>
      </c>
      <c r="U417" t="s">
        <v>843</v>
      </c>
      <c r="W417">
        <v>93196</v>
      </c>
      <c r="X417">
        <v>93196</v>
      </c>
      <c r="Y417" t="s">
        <v>844</v>
      </c>
      <c r="Z417" t="s">
        <v>823</v>
      </c>
      <c r="AB417" t="s">
        <v>793</v>
      </c>
      <c r="AD417" t="s">
        <v>794</v>
      </c>
      <c r="AE417" t="s">
        <v>795</v>
      </c>
      <c r="AF417" t="s">
        <v>796</v>
      </c>
      <c r="AG417" t="s">
        <v>797</v>
      </c>
      <c r="AH417">
        <v>2524890</v>
      </c>
      <c r="AI417">
        <v>2667799</v>
      </c>
      <c r="AJ417">
        <v>0.25</v>
      </c>
    </row>
    <row r="418" spans="1:36" x14ac:dyDescent="0.3">
      <c r="A418">
        <f>COUNTIF($D$2:D418,D418)</f>
        <v>7</v>
      </c>
      <c r="B418" t="str">
        <f t="shared" si="25"/>
        <v>7Central Bedfordshire</v>
      </c>
      <c r="C418" t="s">
        <v>1886</v>
      </c>
      <c r="D418" t="s">
        <v>109</v>
      </c>
      <c r="E418">
        <v>16</v>
      </c>
      <c r="F418" t="s">
        <v>1887</v>
      </c>
      <c r="G418" t="s">
        <v>811</v>
      </c>
      <c r="H418" t="s">
        <v>895</v>
      </c>
      <c r="I418" t="s">
        <v>813</v>
      </c>
      <c r="J418">
        <f t="shared" ca="1" si="26"/>
        <v>37377</v>
      </c>
      <c r="K418">
        <f t="shared" ca="1" si="27"/>
        <v>3200</v>
      </c>
      <c r="N418" t="str">
        <f t="shared" si="24"/>
        <v>Calderdale21Rapid Response (S4PO7)Home Care or Domiciliary CareDomiciliary care packages</v>
      </c>
      <c r="O418" t="s">
        <v>103</v>
      </c>
      <c r="P418" t="s">
        <v>922</v>
      </c>
      <c r="Q418">
        <v>21</v>
      </c>
      <c r="R418" t="s">
        <v>1753</v>
      </c>
      <c r="S418" t="s">
        <v>1888</v>
      </c>
      <c r="T418" t="s">
        <v>842</v>
      </c>
      <c r="U418" t="s">
        <v>843</v>
      </c>
      <c r="W418">
        <v>1240</v>
      </c>
      <c r="X418">
        <v>1240</v>
      </c>
      <c r="Y418" t="s">
        <v>844</v>
      </c>
      <c r="Z418" t="s">
        <v>792</v>
      </c>
      <c r="AB418" t="s">
        <v>793</v>
      </c>
      <c r="AD418" t="s">
        <v>794</v>
      </c>
      <c r="AE418" t="s">
        <v>795</v>
      </c>
      <c r="AF418" t="s">
        <v>796</v>
      </c>
      <c r="AG418" t="s">
        <v>797</v>
      </c>
      <c r="AH418">
        <v>31000</v>
      </c>
      <c r="AI418">
        <v>32755</v>
      </c>
      <c r="AJ418">
        <v>5.0000000000000001E-3</v>
      </c>
    </row>
    <row r="419" spans="1:36" x14ac:dyDescent="0.3">
      <c r="A419">
        <f>COUNTIF($D$2:D419,D419)</f>
        <v>8</v>
      </c>
      <c r="B419" t="str">
        <f t="shared" si="25"/>
        <v>8Central Bedfordshire</v>
      </c>
      <c r="C419" t="s">
        <v>1889</v>
      </c>
      <c r="D419" t="s">
        <v>109</v>
      </c>
      <c r="E419">
        <v>17</v>
      </c>
      <c r="F419" t="s">
        <v>1049</v>
      </c>
      <c r="G419" t="s">
        <v>811</v>
      </c>
      <c r="H419" t="s">
        <v>895</v>
      </c>
      <c r="I419" t="s">
        <v>813</v>
      </c>
      <c r="J419">
        <f t="shared" ca="1" si="26"/>
        <v>204322</v>
      </c>
      <c r="K419">
        <f t="shared" ca="1" si="27"/>
        <v>3200</v>
      </c>
      <c r="N419" t="str">
        <f t="shared" si="24"/>
        <v>Calderdale34Increased Home Care Capacity (2C)Home Care or Domiciliary CareDomiciliary care packages</v>
      </c>
      <c r="O419" t="s">
        <v>103</v>
      </c>
      <c r="P419" t="s">
        <v>922</v>
      </c>
      <c r="Q419">
        <v>34</v>
      </c>
      <c r="R419" t="s">
        <v>1755</v>
      </c>
      <c r="S419" t="s">
        <v>1890</v>
      </c>
      <c r="T419" t="s">
        <v>842</v>
      </c>
      <c r="U419" t="s">
        <v>843</v>
      </c>
      <c r="W419">
        <v>21280</v>
      </c>
      <c r="X419">
        <v>21280</v>
      </c>
      <c r="Y419" t="s">
        <v>844</v>
      </c>
      <c r="Z419" t="s">
        <v>792</v>
      </c>
      <c r="AB419" t="s">
        <v>793</v>
      </c>
      <c r="AD419" t="s">
        <v>794</v>
      </c>
      <c r="AE419" t="s">
        <v>804</v>
      </c>
      <c r="AF419" t="s">
        <v>845</v>
      </c>
      <c r="AG419" t="s">
        <v>797</v>
      </c>
      <c r="AH419">
        <v>425600</v>
      </c>
      <c r="AI419">
        <v>425600</v>
      </c>
      <c r="AJ419">
        <v>7.0000000000000007E-2</v>
      </c>
    </row>
    <row r="420" spans="1:36" x14ac:dyDescent="0.3">
      <c r="A420">
        <f>COUNTIF($D$2:D420,D420)</f>
        <v>9</v>
      </c>
      <c r="B420" t="str">
        <f t="shared" si="25"/>
        <v>9Central Bedfordshire</v>
      </c>
      <c r="C420" t="s">
        <v>1891</v>
      </c>
      <c r="D420" t="s">
        <v>109</v>
      </c>
      <c r="E420">
        <v>19</v>
      </c>
      <c r="F420" t="s">
        <v>1892</v>
      </c>
      <c r="G420" t="s">
        <v>787</v>
      </c>
      <c r="H420" t="s">
        <v>1688</v>
      </c>
      <c r="I420" t="s">
        <v>789</v>
      </c>
      <c r="J420">
        <f t="shared" ca="1" si="26"/>
        <v>577009</v>
      </c>
      <c r="K420">
        <f t="shared" ca="1" si="27"/>
        <v>100</v>
      </c>
      <c r="N420" t="str">
        <f t="shared" si="24"/>
        <v>Calderdale35Out of Hours Home Support (2B)Home Care or Domiciliary CareDomiciliary care packages</v>
      </c>
      <c r="O420" t="s">
        <v>103</v>
      </c>
      <c r="P420" t="s">
        <v>922</v>
      </c>
      <c r="Q420">
        <v>35</v>
      </c>
      <c r="R420" t="s">
        <v>1760</v>
      </c>
      <c r="S420" t="s">
        <v>1893</v>
      </c>
      <c r="T420" t="s">
        <v>842</v>
      </c>
      <c r="U420" t="s">
        <v>843</v>
      </c>
      <c r="W420">
        <v>3500</v>
      </c>
      <c r="X420">
        <v>3500</v>
      </c>
      <c r="Y420" t="s">
        <v>844</v>
      </c>
      <c r="Z420" t="s">
        <v>792</v>
      </c>
      <c r="AB420" t="s">
        <v>793</v>
      </c>
      <c r="AD420" t="s">
        <v>794</v>
      </c>
      <c r="AE420" t="s">
        <v>795</v>
      </c>
      <c r="AF420" t="s">
        <v>845</v>
      </c>
      <c r="AG420" t="s">
        <v>797</v>
      </c>
      <c r="AH420">
        <v>70000</v>
      </c>
      <c r="AI420">
        <v>70000</v>
      </c>
      <c r="AJ420">
        <v>0.02</v>
      </c>
    </row>
    <row r="421" spans="1:36" x14ac:dyDescent="0.3">
      <c r="A421">
        <f>COUNTIF($D$2:D421,D421)</f>
        <v>10</v>
      </c>
      <c r="B421" t="str">
        <f t="shared" si="25"/>
        <v>10Central Bedfordshire</v>
      </c>
      <c r="C421" t="s">
        <v>1894</v>
      </c>
      <c r="D421" t="s">
        <v>109</v>
      </c>
      <c r="E421">
        <v>21</v>
      </c>
      <c r="F421" t="s">
        <v>1895</v>
      </c>
      <c r="G421" t="s">
        <v>834</v>
      </c>
      <c r="H421" t="s">
        <v>1293</v>
      </c>
      <c r="I421" t="s">
        <v>836</v>
      </c>
      <c r="J421">
        <f t="shared" ca="1" si="26"/>
        <v>630625</v>
      </c>
      <c r="K421">
        <f t="shared" ca="1" si="27"/>
        <v>350</v>
      </c>
      <c r="N421" t="str">
        <f t="shared" si="24"/>
        <v>Calderdale40D2A Contribution to Nursing Placements (S4P09)Residential PlacementsNursing home</v>
      </c>
      <c r="O421" t="s">
        <v>103</v>
      </c>
      <c r="P421" t="s">
        <v>922</v>
      </c>
      <c r="Q421">
        <v>40</v>
      </c>
      <c r="R421" t="s">
        <v>1762</v>
      </c>
      <c r="S421" t="s">
        <v>1896</v>
      </c>
      <c r="T421" t="s">
        <v>806</v>
      </c>
      <c r="U421" t="s">
        <v>917</v>
      </c>
      <c r="W421">
        <v>33</v>
      </c>
      <c r="X421">
        <v>33</v>
      </c>
      <c r="Y421" t="s">
        <v>808</v>
      </c>
      <c r="Z421" t="s">
        <v>792</v>
      </c>
      <c r="AB421" t="s">
        <v>793</v>
      </c>
      <c r="AD421" t="s">
        <v>794</v>
      </c>
      <c r="AE421" t="s">
        <v>795</v>
      </c>
      <c r="AF421" t="s">
        <v>796</v>
      </c>
      <c r="AG421" t="s">
        <v>861</v>
      </c>
      <c r="AH421">
        <v>300000</v>
      </c>
      <c r="AI421">
        <v>316980</v>
      </c>
      <c r="AJ421">
        <v>0.05</v>
      </c>
    </row>
    <row r="422" spans="1:36" x14ac:dyDescent="0.3">
      <c r="A422">
        <f>COUNTIF($D$2:D422,D422)</f>
        <v>11</v>
      </c>
      <c r="B422" t="str">
        <f t="shared" si="25"/>
        <v>11Central Bedfordshire</v>
      </c>
      <c r="C422" t="s">
        <v>1897</v>
      </c>
      <c r="D422" t="s">
        <v>109</v>
      </c>
      <c r="E422">
        <v>35</v>
      </c>
      <c r="F422" t="s">
        <v>1898</v>
      </c>
      <c r="G422" t="s">
        <v>834</v>
      </c>
      <c r="H422" t="s">
        <v>1293</v>
      </c>
      <c r="I422" t="s">
        <v>836</v>
      </c>
      <c r="J422">
        <f t="shared" ca="1" si="26"/>
        <v>1174926</v>
      </c>
      <c r="K422">
        <f t="shared" ca="1" si="27"/>
        <v>250</v>
      </c>
      <c r="N422" t="str">
        <f t="shared" si="24"/>
        <v>Calderdale50Community Loan Store Equipment to facilitate discharge from hospitalAssistive Technologies and EquipmentCommunity based equipment</v>
      </c>
      <c r="O422" t="s">
        <v>103</v>
      </c>
      <c r="P422" t="s">
        <v>922</v>
      </c>
      <c r="Q422">
        <v>50</v>
      </c>
      <c r="R422" t="s">
        <v>1764</v>
      </c>
      <c r="S422" t="s">
        <v>1899</v>
      </c>
      <c r="T422" t="s">
        <v>800</v>
      </c>
      <c r="U422" t="s">
        <v>903</v>
      </c>
      <c r="W422">
        <v>150</v>
      </c>
      <c r="X422">
        <v>200</v>
      </c>
      <c r="Y422" t="s">
        <v>802</v>
      </c>
      <c r="Z422" t="s">
        <v>792</v>
      </c>
      <c r="AB422" t="s">
        <v>793</v>
      </c>
      <c r="AD422" t="s">
        <v>794</v>
      </c>
      <c r="AE422" t="s">
        <v>832</v>
      </c>
      <c r="AF422" t="s">
        <v>864</v>
      </c>
      <c r="AG422" t="s">
        <v>797</v>
      </c>
      <c r="AH422">
        <v>200000</v>
      </c>
      <c r="AI422">
        <v>400000</v>
      </c>
      <c r="AJ422">
        <v>0.15</v>
      </c>
    </row>
    <row r="423" spans="1:36" x14ac:dyDescent="0.3">
      <c r="A423">
        <f>COUNTIF($D$2:D423,D423)</f>
        <v>12</v>
      </c>
      <c r="B423" t="str">
        <f t="shared" si="25"/>
        <v>12Central Bedfordshire</v>
      </c>
      <c r="C423" t="s">
        <v>1900</v>
      </c>
      <c r="D423" t="s">
        <v>109</v>
      </c>
      <c r="E423">
        <v>36</v>
      </c>
      <c r="F423" t="s">
        <v>1901</v>
      </c>
      <c r="G423" t="s">
        <v>800</v>
      </c>
      <c r="H423" t="s">
        <v>907</v>
      </c>
      <c r="I423" t="s">
        <v>802</v>
      </c>
      <c r="J423">
        <f t="shared" ca="1" si="26"/>
        <v>350000</v>
      </c>
      <c r="K423">
        <f t="shared" ca="1" si="27"/>
        <v>1500</v>
      </c>
      <c r="N423" t="str">
        <f t="shared" si="24"/>
        <v>Calderdale51Self-Care Assistive Technology for dischargeAssistive Technologies and EquipmentAssistive technologies including telecare</v>
      </c>
      <c r="O423" t="s">
        <v>103</v>
      </c>
      <c r="P423" t="s">
        <v>922</v>
      </c>
      <c r="Q423">
        <v>51</v>
      </c>
      <c r="R423" t="s">
        <v>1767</v>
      </c>
      <c r="S423" t="s">
        <v>1902</v>
      </c>
      <c r="T423" t="s">
        <v>800</v>
      </c>
      <c r="U423" t="s">
        <v>850</v>
      </c>
      <c r="W423">
        <v>350</v>
      </c>
      <c r="X423">
        <v>350</v>
      </c>
      <c r="Y423" t="s">
        <v>802</v>
      </c>
      <c r="Z423" t="s">
        <v>792</v>
      </c>
      <c r="AB423" t="s">
        <v>793</v>
      </c>
      <c r="AD423" t="s">
        <v>794</v>
      </c>
      <c r="AE423" t="s">
        <v>804</v>
      </c>
      <c r="AF423" t="s">
        <v>864</v>
      </c>
      <c r="AG423" t="s">
        <v>797</v>
      </c>
      <c r="AH423">
        <v>100000</v>
      </c>
      <c r="AI423">
        <v>100000</v>
      </c>
      <c r="AJ423">
        <v>1</v>
      </c>
    </row>
    <row r="424" spans="1:36" x14ac:dyDescent="0.3">
      <c r="A424">
        <f>COUNTIF($D$2:D424,D424)</f>
        <v>13</v>
      </c>
      <c r="B424" t="str">
        <f t="shared" si="25"/>
        <v>13Central Bedfordshire</v>
      </c>
      <c r="C424" t="s">
        <v>1903</v>
      </c>
      <c r="D424" t="s">
        <v>109</v>
      </c>
      <c r="E424">
        <v>37</v>
      </c>
      <c r="F424" t="s">
        <v>1160</v>
      </c>
      <c r="G424" t="s">
        <v>800</v>
      </c>
      <c r="H424" t="s">
        <v>850</v>
      </c>
      <c r="I424" t="s">
        <v>802</v>
      </c>
      <c r="J424">
        <f t="shared" ca="1" si="26"/>
        <v>480000</v>
      </c>
      <c r="K424">
        <f t="shared" ca="1" si="27"/>
        <v>2000</v>
      </c>
      <c r="N424" t="str">
        <f t="shared" si="24"/>
        <v>Calderdale52Increased Home Care CapacityHome Care or Domiciliary CareDomiciliary care to support hospital discharge (Discharge to Assess pathway 1)</v>
      </c>
      <c r="O424" t="s">
        <v>103</v>
      </c>
      <c r="P424" t="s">
        <v>922</v>
      </c>
      <c r="Q424">
        <v>52</v>
      </c>
      <c r="R424" t="s">
        <v>1770</v>
      </c>
      <c r="S424" t="s">
        <v>1904</v>
      </c>
      <c r="T424" t="s">
        <v>842</v>
      </c>
      <c r="U424" t="s">
        <v>856</v>
      </c>
      <c r="W424">
        <v>225</v>
      </c>
      <c r="X424">
        <v>300</v>
      </c>
      <c r="Y424" t="s">
        <v>844</v>
      </c>
      <c r="Z424" t="s">
        <v>792</v>
      </c>
      <c r="AB424" t="s">
        <v>793</v>
      </c>
      <c r="AD424" t="s">
        <v>794</v>
      </c>
      <c r="AE424" t="s">
        <v>804</v>
      </c>
      <c r="AF424" t="s">
        <v>864</v>
      </c>
      <c r="AG424" t="s">
        <v>797</v>
      </c>
      <c r="AH424">
        <v>412770</v>
      </c>
      <c r="AI424">
        <v>600000</v>
      </c>
      <c r="AJ424">
        <v>0.08</v>
      </c>
    </row>
    <row r="425" spans="1:36" x14ac:dyDescent="0.3">
      <c r="A425">
        <f>COUNTIF($D$2:D425,D425)</f>
        <v>14</v>
      </c>
      <c r="B425" t="str">
        <f t="shared" si="25"/>
        <v>14Central Bedfordshire</v>
      </c>
      <c r="C425" t="s">
        <v>1905</v>
      </c>
      <c r="D425" t="s">
        <v>109</v>
      </c>
      <c r="E425">
        <v>38</v>
      </c>
      <c r="F425" t="s">
        <v>1906</v>
      </c>
      <c r="G425" t="s">
        <v>800</v>
      </c>
      <c r="H425" t="s">
        <v>907</v>
      </c>
      <c r="I425" t="s">
        <v>802</v>
      </c>
      <c r="J425">
        <f t="shared" ca="1" si="26"/>
        <v>65509</v>
      </c>
      <c r="K425">
        <f t="shared" ca="1" si="27"/>
        <v>3200</v>
      </c>
      <c r="N425" t="str">
        <f t="shared" si="24"/>
        <v>Calderdale53Residential bed capacityResidential PlacementsCare home</v>
      </c>
      <c r="O425" t="s">
        <v>103</v>
      </c>
      <c r="P425" t="s">
        <v>922</v>
      </c>
      <c r="Q425">
        <v>53</v>
      </c>
      <c r="R425" t="s">
        <v>1772</v>
      </c>
      <c r="S425" t="s">
        <v>1907</v>
      </c>
      <c r="T425" t="s">
        <v>806</v>
      </c>
      <c r="U425" t="s">
        <v>807</v>
      </c>
      <c r="W425">
        <v>60</v>
      </c>
      <c r="X425">
        <v>60</v>
      </c>
      <c r="Y425" t="s">
        <v>808</v>
      </c>
      <c r="Z425" t="s">
        <v>792</v>
      </c>
      <c r="AB425" t="s">
        <v>793</v>
      </c>
      <c r="AD425" t="s">
        <v>794</v>
      </c>
      <c r="AE425" t="s">
        <v>804</v>
      </c>
      <c r="AF425" t="s">
        <v>864</v>
      </c>
      <c r="AG425" t="s">
        <v>797</v>
      </c>
      <c r="AH425">
        <v>470000</v>
      </c>
      <c r="AI425">
        <v>540000</v>
      </c>
      <c r="AJ425">
        <v>0.13</v>
      </c>
    </row>
    <row r="426" spans="1:36" x14ac:dyDescent="0.3">
      <c r="A426">
        <f>COUNTIF($D$2:D426,D426)</f>
        <v>15</v>
      </c>
      <c r="B426" t="str">
        <f t="shared" si="25"/>
        <v>15Central Bedfordshire</v>
      </c>
      <c r="C426" t="s">
        <v>1908</v>
      </c>
      <c r="D426" t="s">
        <v>109</v>
      </c>
      <c r="E426">
        <v>46</v>
      </c>
      <c r="F426" t="s">
        <v>1909</v>
      </c>
      <c r="G426" t="s">
        <v>877</v>
      </c>
      <c r="H426" t="s">
        <v>968</v>
      </c>
      <c r="I426" t="s">
        <v>879</v>
      </c>
      <c r="J426">
        <f t="shared" ca="1" si="26"/>
        <v>510563</v>
      </c>
      <c r="K426">
        <f t="shared" ca="1" si="27"/>
        <v>10</v>
      </c>
      <c r="N426" t="str">
        <f t="shared" si="24"/>
        <v>Cambridgeshire1Promoting IndependenceAssistive Technologies and EquipmentAssistive technologies including telecare</v>
      </c>
      <c r="O426" t="s">
        <v>105</v>
      </c>
      <c r="P426" t="s">
        <v>1056</v>
      </c>
      <c r="Q426">
        <v>1</v>
      </c>
      <c r="R426" t="s">
        <v>1775</v>
      </c>
      <c r="S426" t="s">
        <v>1910</v>
      </c>
      <c r="T426" t="s">
        <v>800</v>
      </c>
      <c r="U426" t="s">
        <v>850</v>
      </c>
      <c r="W426">
        <v>580</v>
      </c>
      <c r="X426">
        <v>580</v>
      </c>
      <c r="Y426" t="s">
        <v>802</v>
      </c>
      <c r="Z426" t="s">
        <v>823</v>
      </c>
      <c r="AB426" t="s">
        <v>824</v>
      </c>
      <c r="AD426" t="s">
        <v>794</v>
      </c>
      <c r="AE426" t="s">
        <v>825</v>
      </c>
      <c r="AF426" t="s">
        <v>1042</v>
      </c>
      <c r="AG426" t="s">
        <v>797</v>
      </c>
      <c r="AH426">
        <v>125000</v>
      </c>
      <c r="AI426">
        <v>125000</v>
      </c>
      <c r="AJ426">
        <v>0.12</v>
      </c>
    </row>
    <row r="427" spans="1:36" x14ac:dyDescent="0.3">
      <c r="A427">
        <f>COUNTIF($D$2:D427,D427)</f>
        <v>16</v>
      </c>
      <c r="B427" t="str">
        <f t="shared" si="25"/>
        <v>16Central Bedfordshire</v>
      </c>
      <c r="C427" t="s">
        <v>1911</v>
      </c>
      <c r="D427" t="s">
        <v>109</v>
      </c>
      <c r="E427">
        <v>60</v>
      </c>
      <c r="F427" t="s">
        <v>1912</v>
      </c>
      <c r="G427" t="s">
        <v>842</v>
      </c>
      <c r="H427" t="s">
        <v>856</v>
      </c>
      <c r="I427" t="s">
        <v>844</v>
      </c>
      <c r="J427">
        <f t="shared" ca="1" si="26"/>
        <v>393667</v>
      </c>
      <c r="K427">
        <f t="shared" ca="1" si="27"/>
        <v>3000</v>
      </c>
      <c r="N427" t="str">
        <f t="shared" si="24"/>
        <v>Cambridgeshire2Intermediate Care and ReablementBed based intermediate Care Services (Reablement, rehabilitation, wider short-term services supporting recovery)Bed-based intermediate care with rehabilitation (to support discharge)</v>
      </c>
      <c r="O427" t="s">
        <v>105</v>
      </c>
      <c r="P427" t="s">
        <v>1056</v>
      </c>
      <c r="Q427">
        <v>2</v>
      </c>
      <c r="R427" t="s">
        <v>1778</v>
      </c>
      <c r="S427" t="s">
        <v>1913</v>
      </c>
      <c r="T427" t="s">
        <v>877</v>
      </c>
      <c r="U427" t="s">
        <v>968</v>
      </c>
      <c r="W427">
        <v>400</v>
      </c>
      <c r="X427">
        <v>400</v>
      </c>
      <c r="Y427" t="s">
        <v>879</v>
      </c>
      <c r="Z427" t="s">
        <v>823</v>
      </c>
      <c r="AB427" t="s">
        <v>824</v>
      </c>
      <c r="AD427" t="s">
        <v>794</v>
      </c>
      <c r="AE427" t="s">
        <v>832</v>
      </c>
      <c r="AF427" t="s">
        <v>796</v>
      </c>
      <c r="AG427" t="s">
        <v>797</v>
      </c>
      <c r="AH427">
        <v>4119498</v>
      </c>
      <c r="AI427">
        <v>4119498</v>
      </c>
      <c r="AJ427">
        <v>0.35</v>
      </c>
    </row>
    <row r="428" spans="1:36" x14ac:dyDescent="0.3">
      <c r="A428">
        <f>COUNTIF($D$2:D428,D428)</f>
        <v>17</v>
      </c>
      <c r="B428" t="str">
        <f t="shared" si="25"/>
        <v>17Central Bedfordshire</v>
      </c>
      <c r="C428" t="s">
        <v>1914</v>
      </c>
      <c r="D428" t="s">
        <v>109</v>
      </c>
      <c r="E428">
        <v>72</v>
      </c>
      <c r="F428" t="s">
        <v>1049</v>
      </c>
      <c r="G428" t="s">
        <v>811</v>
      </c>
      <c r="H428" t="s">
        <v>812</v>
      </c>
      <c r="I428" t="s">
        <v>813</v>
      </c>
      <c r="J428">
        <f t="shared" ca="1" si="26"/>
        <v>281114</v>
      </c>
      <c r="K428">
        <f t="shared" ca="1" si="27"/>
        <v>3200</v>
      </c>
      <c r="N428" t="str">
        <f t="shared" si="24"/>
        <v>Cambridgeshire4Carers SupportCarers ServicesOther</v>
      </c>
      <c r="O428" t="s">
        <v>105</v>
      </c>
      <c r="P428" t="s">
        <v>1056</v>
      </c>
      <c r="Q428">
        <v>4</v>
      </c>
      <c r="R428" t="s">
        <v>1781</v>
      </c>
      <c r="S428" t="s">
        <v>1915</v>
      </c>
      <c r="T428" t="s">
        <v>811</v>
      </c>
      <c r="U428" t="s">
        <v>812</v>
      </c>
      <c r="V428" t="s">
        <v>1399</v>
      </c>
      <c r="W428">
        <v>304</v>
      </c>
      <c r="X428">
        <v>304</v>
      </c>
      <c r="Y428" t="s">
        <v>813</v>
      </c>
      <c r="Z428" t="s">
        <v>823</v>
      </c>
      <c r="AB428" t="s">
        <v>824</v>
      </c>
      <c r="AD428" t="s">
        <v>794</v>
      </c>
      <c r="AE428" t="s">
        <v>825</v>
      </c>
      <c r="AF428" t="s">
        <v>796</v>
      </c>
      <c r="AG428" t="s">
        <v>797</v>
      </c>
      <c r="AH428">
        <v>345770</v>
      </c>
      <c r="AI428">
        <v>345770</v>
      </c>
      <c r="AJ428">
        <v>0.13</v>
      </c>
    </row>
    <row r="429" spans="1:36" x14ac:dyDescent="0.3">
      <c r="A429">
        <f>COUNTIF($D$2:D429,D429)</f>
        <v>18</v>
      </c>
      <c r="B429" t="str">
        <f t="shared" si="25"/>
        <v>18Central Bedfordshire</v>
      </c>
      <c r="C429" t="s">
        <v>1916</v>
      </c>
      <c r="D429" t="s">
        <v>109</v>
      </c>
      <c r="E429">
        <v>74</v>
      </c>
      <c r="F429" t="s">
        <v>1917</v>
      </c>
      <c r="G429" t="s">
        <v>800</v>
      </c>
      <c r="H429" t="s">
        <v>850</v>
      </c>
      <c r="I429" t="s">
        <v>802</v>
      </c>
      <c r="J429">
        <f t="shared" ca="1" si="26"/>
        <v>30026</v>
      </c>
      <c r="K429">
        <f t="shared" ca="1" si="27"/>
        <v>900</v>
      </c>
      <c r="N429" t="str">
        <f t="shared" si="24"/>
        <v>Cambridgeshire5Community HealthHome-based intermediate care servicesRehabilitation at home (accepting step up and step down users)</v>
      </c>
      <c r="O429" t="s">
        <v>105</v>
      </c>
      <c r="P429" t="s">
        <v>1056</v>
      </c>
      <c r="Q429">
        <v>5</v>
      </c>
      <c r="R429" t="s">
        <v>823</v>
      </c>
      <c r="S429" t="s">
        <v>1918</v>
      </c>
      <c r="T429" t="s">
        <v>787</v>
      </c>
      <c r="U429" t="s">
        <v>1688</v>
      </c>
      <c r="W429">
        <v>1916</v>
      </c>
      <c r="X429">
        <v>1935</v>
      </c>
      <c r="Y429" t="s">
        <v>789</v>
      </c>
      <c r="Z429" t="s">
        <v>823</v>
      </c>
      <c r="AB429" t="s">
        <v>824</v>
      </c>
      <c r="AD429" t="s">
        <v>794</v>
      </c>
      <c r="AE429" t="s">
        <v>832</v>
      </c>
      <c r="AF429" t="s">
        <v>796</v>
      </c>
      <c r="AG429" t="s">
        <v>797</v>
      </c>
      <c r="AH429">
        <v>2506946</v>
      </c>
      <c r="AI429">
        <v>2506946</v>
      </c>
      <c r="AJ429">
        <v>0.14000000000000001</v>
      </c>
    </row>
    <row r="430" spans="1:36" x14ac:dyDescent="0.3">
      <c r="A430">
        <f>COUNTIF($D$2:D430,D430)</f>
        <v>19</v>
      </c>
      <c r="B430" t="str">
        <f t="shared" si="25"/>
        <v>19Central Bedfordshire</v>
      </c>
      <c r="C430" t="s">
        <v>1919</v>
      </c>
      <c r="D430" t="s">
        <v>109</v>
      </c>
      <c r="E430">
        <v>75</v>
      </c>
      <c r="F430" t="s">
        <v>1051</v>
      </c>
      <c r="G430" t="s">
        <v>800</v>
      </c>
      <c r="H430" t="s">
        <v>903</v>
      </c>
      <c r="I430" t="s">
        <v>802</v>
      </c>
      <c r="J430">
        <f t="shared" ca="1" si="26"/>
        <v>1186538</v>
      </c>
      <c r="K430">
        <f t="shared" ca="1" si="27"/>
        <v>500</v>
      </c>
      <c r="N430" t="str">
        <f t="shared" si="24"/>
        <v>Cambridgeshire6Discharge to AssessBed based intermediate Care Services (Reablement, rehabilitation, wider short-term services supporting recovery)Bed-based intermediate care with reablement accepting step up and step down users</v>
      </c>
      <c r="O430" t="s">
        <v>105</v>
      </c>
      <c r="P430" t="s">
        <v>1056</v>
      </c>
      <c r="Q430">
        <v>6</v>
      </c>
      <c r="R430" t="s">
        <v>1786</v>
      </c>
      <c r="S430" t="s">
        <v>1920</v>
      </c>
      <c r="T430" t="s">
        <v>877</v>
      </c>
      <c r="U430" t="s">
        <v>1259</v>
      </c>
      <c r="W430">
        <v>912</v>
      </c>
      <c r="X430">
        <v>912</v>
      </c>
      <c r="Y430" t="s">
        <v>879</v>
      </c>
      <c r="Z430" t="s">
        <v>823</v>
      </c>
      <c r="AB430" t="s">
        <v>824</v>
      </c>
      <c r="AD430" t="s">
        <v>794</v>
      </c>
      <c r="AE430" t="s">
        <v>804</v>
      </c>
      <c r="AF430" t="s">
        <v>796</v>
      </c>
      <c r="AG430" t="s">
        <v>797</v>
      </c>
      <c r="AH430">
        <v>2209743</v>
      </c>
      <c r="AI430">
        <v>2209743</v>
      </c>
      <c r="AJ430">
        <v>0.19</v>
      </c>
    </row>
    <row r="431" spans="1:36" x14ac:dyDescent="0.3">
      <c r="A431">
        <f>COUNTIF($D$2:D431,D431)</f>
        <v>1</v>
      </c>
      <c r="B431" t="str">
        <f t="shared" si="25"/>
        <v>1Cheshire East</v>
      </c>
      <c r="C431" t="s">
        <v>1921</v>
      </c>
      <c r="D431" t="s">
        <v>111</v>
      </c>
      <c r="E431">
        <v>3</v>
      </c>
      <c r="F431" t="s">
        <v>1922</v>
      </c>
      <c r="G431" t="s">
        <v>800</v>
      </c>
      <c r="H431" t="s">
        <v>850</v>
      </c>
      <c r="I431" t="s">
        <v>802</v>
      </c>
      <c r="J431">
        <f t="shared" ca="1" si="26"/>
        <v>50000</v>
      </c>
      <c r="K431">
        <f t="shared" ca="1" si="27"/>
        <v>2600</v>
      </c>
      <c r="N431" t="str">
        <f t="shared" si="24"/>
        <v>Cambridgeshire7Community EquipmentAssistive Technologies and EquipmentCommunity based equipment</v>
      </c>
      <c r="O431" t="s">
        <v>105</v>
      </c>
      <c r="P431" t="s">
        <v>1056</v>
      </c>
      <c r="Q431">
        <v>7</v>
      </c>
      <c r="R431" t="s">
        <v>1051</v>
      </c>
      <c r="S431" t="s">
        <v>1923</v>
      </c>
      <c r="T431" t="s">
        <v>800</v>
      </c>
      <c r="U431" t="s">
        <v>903</v>
      </c>
      <c r="W431">
        <v>14700</v>
      </c>
      <c r="X431">
        <v>14850</v>
      </c>
      <c r="Y431" t="s">
        <v>802</v>
      </c>
      <c r="Z431" t="s">
        <v>823</v>
      </c>
      <c r="AB431" t="s">
        <v>1739</v>
      </c>
      <c r="AC431">
        <v>0.51800000000000002</v>
      </c>
      <c r="AD431">
        <v>0.48199999999999998</v>
      </c>
      <c r="AE431" t="s">
        <v>804</v>
      </c>
      <c r="AF431" t="s">
        <v>796</v>
      </c>
      <c r="AG431" t="s">
        <v>797</v>
      </c>
      <c r="AH431">
        <v>1603959</v>
      </c>
      <c r="AI431">
        <v>1603959</v>
      </c>
      <c r="AJ431">
        <v>0.09</v>
      </c>
    </row>
    <row r="432" spans="1:36" x14ac:dyDescent="0.3">
      <c r="A432">
        <f>COUNTIF($D$2:D432,D432)</f>
        <v>2</v>
      </c>
      <c r="B432" t="str">
        <f t="shared" si="25"/>
        <v>2Cheshire East</v>
      </c>
      <c r="C432" t="s">
        <v>1924</v>
      </c>
      <c r="D432" t="s">
        <v>111</v>
      </c>
      <c r="E432">
        <v>4</v>
      </c>
      <c r="F432" t="s">
        <v>1925</v>
      </c>
      <c r="G432" t="s">
        <v>842</v>
      </c>
      <c r="H432" t="s">
        <v>843</v>
      </c>
      <c r="I432" t="s">
        <v>844</v>
      </c>
      <c r="J432">
        <f t="shared" ca="1" si="26"/>
        <v>1220549</v>
      </c>
      <c r="K432">
        <f t="shared" ca="1" si="27"/>
        <v>27600</v>
      </c>
      <c r="N432" t="str">
        <f t="shared" si="24"/>
        <v>Cambridgeshire8Community EquipmentAssistive Technologies and EquipmentCommunity based equipment</v>
      </c>
      <c r="O432" t="s">
        <v>105</v>
      </c>
      <c r="P432" t="s">
        <v>1056</v>
      </c>
      <c r="Q432">
        <v>8</v>
      </c>
      <c r="R432" t="s">
        <v>1051</v>
      </c>
      <c r="S432" t="s">
        <v>1923</v>
      </c>
      <c r="T432" t="s">
        <v>800</v>
      </c>
      <c r="U432" t="s">
        <v>903</v>
      </c>
      <c r="W432">
        <v>7850</v>
      </c>
      <c r="X432">
        <v>7930</v>
      </c>
      <c r="Y432" t="s">
        <v>802</v>
      </c>
      <c r="Z432" t="s">
        <v>823</v>
      </c>
      <c r="AB432" t="s">
        <v>1739</v>
      </c>
      <c r="AC432">
        <v>0.51800000000000002</v>
      </c>
      <c r="AD432">
        <v>0.48199999999999998</v>
      </c>
      <c r="AE432" t="s">
        <v>804</v>
      </c>
      <c r="AF432" t="s">
        <v>1042</v>
      </c>
      <c r="AG432" t="s">
        <v>797</v>
      </c>
      <c r="AH432">
        <v>663049</v>
      </c>
      <c r="AI432">
        <v>663049</v>
      </c>
      <c r="AJ432">
        <v>0.02</v>
      </c>
    </row>
    <row r="433" spans="1:36" x14ac:dyDescent="0.3">
      <c r="A433">
        <f>COUNTIF($D$2:D433,D433)</f>
        <v>3</v>
      </c>
      <c r="B433" t="str">
        <f t="shared" si="25"/>
        <v>3Cheshire East</v>
      </c>
      <c r="C433" t="s">
        <v>1926</v>
      </c>
      <c r="D433" t="s">
        <v>111</v>
      </c>
      <c r="E433">
        <v>5</v>
      </c>
      <c r="F433" t="s">
        <v>1927</v>
      </c>
      <c r="G433" t="s">
        <v>811</v>
      </c>
      <c r="H433" t="s">
        <v>895</v>
      </c>
      <c r="I433" t="s">
        <v>813</v>
      </c>
      <c r="J433">
        <f t="shared" ca="1" si="26"/>
        <v>30000</v>
      </c>
      <c r="K433">
        <f t="shared" ca="1" si="27"/>
        <v>393</v>
      </c>
      <c r="N433" t="str">
        <f t="shared" si="24"/>
        <v>Cambridgeshire14Support of DischargeHome Care or Domiciliary CareDomiciliary care to support hospital discharge (Discharge to Assess pathway 1)</v>
      </c>
      <c r="O433" t="s">
        <v>105</v>
      </c>
      <c r="P433" t="s">
        <v>1056</v>
      </c>
      <c r="Q433">
        <v>14</v>
      </c>
      <c r="R433" t="s">
        <v>1793</v>
      </c>
      <c r="S433" t="s">
        <v>1928</v>
      </c>
      <c r="T433" t="s">
        <v>842</v>
      </c>
      <c r="U433" t="s">
        <v>856</v>
      </c>
      <c r="W433">
        <v>144</v>
      </c>
      <c r="X433">
        <v>144</v>
      </c>
      <c r="Y433" t="s">
        <v>844</v>
      </c>
      <c r="Z433" t="s">
        <v>823</v>
      </c>
      <c r="AB433" t="s">
        <v>824</v>
      </c>
      <c r="AD433" t="s">
        <v>794</v>
      </c>
      <c r="AE433" t="s">
        <v>825</v>
      </c>
      <c r="AF433" t="s">
        <v>1042</v>
      </c>
      <c r="AG433" t="s">
        <v>797</v>
      </c>
      <c r="AH433">
        <v>10087</v>
      </c>
      <c r="AI433">
        <v>10087</v>
      </c>
      <c r="AJ433">
        <v>0</v>
      </c>
    </row>
    <row r="434" spans="1:36" x14ac:dyDescent="0.3">
      <c r="A434">
        <f>COUNTIF($D$2:D434,D434)</f>
        <v>4</v>
      </c>
      <c r="B434" t="str">
        <f t="shared" si="25"/>
        <v>4Cheshire East</v>
      </c>
      <c r="C434" t="s">
        <v>1929</v>
      </c>
      <c r="D434" t="s">
        <v>111</v>
      </c>
      <c r="E434">
        <v>7</v>
      </c>
      <c r="F434" t="s">
        <v>1930</v>
      </c>
      <c r="G434" t="s">
        <v>806</v>
      </c>
      <c r="H434" t="s">
        <v>955</v>
      </c>
      <c r="I434" t="s">
        <v>808</v>
      </c>
      <c r="J434">
        <f t="shared" ca="1" si="26"/>
        <v>90000</v>
      </c>
      <c r="K434">
        <f t="shared" ca="1" si="27"/>
        <v>2</v>
      </c>
      <c r="N434" t="str">
        <f t="shared" si="24"/>
        <v>Cambridgeshire18Intermediate Care and ReablementHome-based intermediate care servicesReablement at home (accepting step up and step down users)</v>
      </c>
      <c r="O434" t="s">
        <v>105</v>
      </c>
      <c r="P434" t="s">
        <v>1056</v>
      </c>
      <c r="Q434">
        <v>18</v>
      </c>
      <c r="R434" t="s">
        <v>1778</v>
      </c>
      <c r="S434" t="s">
        <v>434</v>
      </c>
      <c r="T434" t="s">
        <v>787</v>
      </c>
      <c r="U434" t="s">
        <v>930</v>
      </c>
      <c r="W434">
        <v>3200</v>
      </c>
      <c r="X434">
        <v>3200</v>
      </c>
      <c r="Y434" t="s">
        <v>789</v>
      </c>
      <c r="Z434" t="s">
        <v>792</v>
      </c>
      <c r="AB434" t="s">
        <v>793</v>
      </c>
      <c r="AD434" t="s">
        <v>794</v>
      </c>
      <c r="AE434" t="s">
        <v>795</v>
      </c>
      <c r="AF434" t="s">
        <v>796</v>
      </c>
      <c r="AG434" t="s">
        <v>797</v>
      </c>
      <c r="AH434">
        <v>8798111</v>
      </c>
      <c r="AI434">
        <v>8798111</v>
      </c>
      <c r="AJ434">
        <v>0.48</v>
      </c>
    </row>
    <row r="435" spans="1:36" x14ac:dyDescent="0.3">
      <c r="A435">
        <f>COUNTIF($D$2:D435,D435)</f>
        <v>5</v>
      </c>
      <c r="B435" t="str">
        <f t="shared" si="25"/>
        <v>5Cheshire East</v>
      </c>
      <c r="C435" t="s">
        <v>1931</v>
      </c>
      <c r="D435" t="s">
        <v>111</v>
      </c>
      <c r="E435">
        <v>9</v>
      </c>
      <c r="F435" t="s">
        <v>1932</v>
      </c>
      <c r="G435" t="s">
        <v>787</v>
      </c>
      <c r="H435" t="s">
        <v>1195</v>
      </c>
      <c r="I435" t="s">
        <v>789</v>
      </c>
      <c r="J435">
        <f t="shared" ca="1" si="26"/>
        <v>125000</v>
      </c>
      <c r="K435">
        <f t="shared" ca="1" si="27"/>
        <v>5197</v>
      </c>
      <c r="N435" t="str">
        <f t="shared" si="24"/>
        <v>Cambridgeshire19Carers SupportCarers ServicesCarer advice and support related to Care Act duties</v>
      </c>
      <c r="O435" t="s">
        <v>105</v>
      </c>
      <c r="P435" t="s">
        <v>1056</v>
      </c>
      <c r="Q435">
        <v>19</v>
      </c>
      <c r="R435" t="s">
        <v>1781</v>
      </c>
      <c r="S435" t="s">
        <v>811</v>
      </c>
      <c r="T435" t="s">
        <v>811</v>
      </c>
      <c r="U435" t="s">
        <v>895</v>
      </c>
      <c r="W435">
        <v>3014</v>
      </c>
      <c r="X435">
        <v>3014</v>
      </c>
      <c r="Y435" t="s">
        <v>813</v>
      </c>
      <c r="Z435" t="s">
        <v>792</v>
      </c>
      <c r="AB435" t="s">
        <v>793</v>
      </c>
      <c r="AD435" t="s">
        <v>794</v>
      </c>
      <c r="AE435" t="s">
        <v>795</v>
      </c>
      <c r="AF435" t="s">
        <v>796</v>
      </c>
      <c r="AG435" t="s">
        <v>797</v>
      </c>
      <c r="AH435">
        <v>1584900</v>
      </c>
      <c r="AI435">
        <v>1584900</v>
      </c>
      <c r="AJ435">
        <v>0.62</v>
      </c>
    </row>
    <row r="436" spans="1:36" x14ac:dyDescent="0.3">
      <c r="A436">
        <f>COUNTIF($D$2:D436,D436)</f>
        <v>6</v>
      </c>
      <c r="B436" t="str">
        <f t="shared" si="25"/>
        <v>6Cheshire East</v>
      </c>
      <c r="C436" t="s">
        <v>1933</v>
      </c>
      <c r="D436" t="s">
        <v>111</v>
      </c>
      <c r="E436">
        <v>10</v>
      </c>
      <c r="F436" t="s">
        <v>1934</v>
      </c>
      <c r="G436" t="s">
        <v>787</v>
      </c>
      <c r="H436" t="s">
        <v>1688</v>
      </c>
      <c r="I436" t="s">
        <v>789</v>
      </c>
      <c r="J436">
        <f t="shared" ca="1" si="26"/>
        <v>25000</v>
      </c>
      <c r="K436">
        <f t="shared" ca="1" si="27"/>
        <v>240</v>
      </c>
      <c r="N436" t="str">
        <f t="shared" si="24"/>
        <v>Cambridgeshire24Disabled Facilities GrantDFG Related SchemesAdaptations, including statutory DFG grants</v>
      </c>
      <c r="O436" t="s">
        <v>105</v>
      </c>
      <c r="P436" t="s">
        <v>1056</v>
      </c>
      <c r="Q436">
        <v>24</v>
      </c>
      <c r="R436" t="s">
        <v>891</v>
      </c>
      <c r="S436" t="s">
        <v>1098</v>
      </c>
      <c r="T436" t="s">
        <v>834</v>
      </c>
      <c r="U436" t="s">
        <v>835</v>
      </c>
      <c r="W436">
        <v>424</v>
      </c>
      <c r="X436">
        <v>424</v>
      </c>
      <c r="Y436" t="s">
        <v>836</v>
      </c>
      <c r="Z436" t="s">
        <v>792</v>
      </c>
      <c r="AB436" t="s">
        <v>793</v>
      </c>
      <c r="AD436" t="s">
        <v>794</v>
      </c>
      <c r="AE436" t="s">
        <v>795</v>
      </c>
      <c r="AF436" t="s">
        <v>840</v>
      </c>
      <c r="AG436" t="s">
        <v>797</v>
      </c>
      <c r="AH436">
        <v>5069550</v>
      </c>
      <c r="AI436">
        <v>5069550</v>
      </c>
      <c r="AJ436">
        <v>1</v>
      </c>
    </row>
    <row r="437" spans="1:36" x14ac:dyDescent="0.3">
      <c r="A437">
        <f>COUNTIF($D$2:D437,D437)</f>
        <v>7</v>
      </c>
      <c r="B437" t="str">
        <f t="shared" si="25"/>
        <v>7Cheshire East</v>
      </c>
      <c r="C437" t="s">
        <v>1935</v>
      </c>
      <c r="D437" t="s">
        <v>111</v>
      </c>
      <c r="E437">
        <v>13</v>
      </c>
      <c r="F437" t="s">
        <v>1936</v>
      </c>
      <c r="G437" t="s">
        <v>806</v>
      </c>
      <c r="H437" t="s">
        <v>955</v>
      </c>
      <c r="I437" t="s">
        <v>808</v>
      </c>
      <c r="J437">
        <f t="shared" ca="1" si="26"/>
        <v>1450638</v>
      </c>
      <c r="K437">
        <f t="shared" ca="1" si="27"/>
        <v>23</v>
      </c>
      <c r="N437" t="str">
        <f t="shared" si="24"/>
        <v>Cambridgeshire27Protection of Adult Social CareResidential PlacementsCare home</v>
      </c>
      <c r="O437" t="s">
        <v>105</v>
      </c>
      <c r="P437" t="s">
        <v>1056</v>
      </c>
      <c r="Q437">
        <v>27</v>
      </c>
      <c r="R437" t="s">
        <v>1802</v>
      </c>
      <c r="S437" t="s">
        <v>1937</v>
      </c>
      <c r="T437" t="s">
        <v>806</v>
      </c>
      <c r="U437" t="s">
        <v>807</v>
      </c>
      <c r="W437">
        <v>251</v>
      </c>
      <c r="X437">
        <v>251</v>
      </c>
      <c r="Y437" t="s">
        <v>808</v>
      </c>
      <c r="Z437" t="s">
        <v>792</v>
      </c>
      <c r="AB437" t="s">
        <v>793</v>
      </c>
      <c r="AD437" t="s">
        <v>794</v>
      </c>
      <c r="AE437" t="s">
        <v>795</v>
      </c>
      <c r="AF437" t="s">
        <v>845</v>
      </c>
      <c r="AG437" t="s">
        <v>797</v>
      </c>
      <c r="AH437">
        <v>9501549</v>
      </c>
      <c r="AI437">
        <v>9501549</v>
      </c>
      <c r="AJ437">
        <v>0.06</v>
      </c>
    </row>
    <row r="438" spans="1:36" x14ac:dyDescent="0.3">
      <c r="A438">
        <f>COUNTIF($D$2:D438,D438)</f>
        <v>8</v>
      </c>
      <c r="B438" t="str">
        <f t="shared" si="25"/>
        <v>8Cheshire East</v>
      </c>
      <c r="C438" t="s">
        <v>1938</v>
      </c>
      <c r="D438" t="s">
        <v>111</v>
      </c>
      <c r="E438">
        <v>14</v>
      </c>
      <c r="F438" t="s">
        <v>1939</v>
      </c>
      <c r="G438" t="s">
        <v>842</v>
      </c>
      <c r="H438" t="s">
        <v>856</v>
      </c>
      <c r="I438" t="s">
        <v>844</v>
      </c>
      <c r="J438">
        <f t="shared" ca="1" si="26"/>
        <v>47250</v>
      </c>
      <c r="K438">
        <f t="shared" ca="1" si="27"/>
        <v>4840</v>
      </c>
      <c r="N438" t="str">
        <f t="shared" si="24"/>
        <v xml:space="preserve">Cambridgeshire28ReablementHome-based intermediate care servicesReablement at home (to support discharge) </v>
      </c>
      <c r="O438" t="s">
        <v>105</v>
      </c>
      <c r="P438" t="s">
        <v>1056</v>
      </c>
      <c r="Q438">
        <v>28</v>
      </c>
      <c r="R438" t="s">
        <v>434</v>
      </c>
      <c r="S438" t="s">
        <v>1940</v>
      </c>
      <c r="T438" t="s">
        <v>787</v>
      </c>
      <c r="U438" t="s">
        <v>788</v>
      </c>
      <c r="W438">
        <v>200</v>
      </c>
      <c r="X438">
        <v>200</v>
      </c>
      <c r="Y438" t="s">
        <v>789</v>
      </c>
      <c r="Z438" t="s">
        <v>792</v>
      </c>
      <c r="AB438" t="s">
        <v>793</v>
      </c>
      <c r="AD438" t="s">
        <v>794</v>
      </c>
      <c r="AE438" t="s">
        <v>795</v>
      </c>
      <c r="AF438" t="s">
        <v>845</v>
      </c>
      <c r="AG438" t="s">
        <v>797</v>
      </c>
      <c r="AH438">
        <v>300000</v>
      </c>
      <c r="AI438">
        <v>300000</v>
      </c>
      <c r="AJ438">
        <v>0.02</v>
      </c>
    </row>
    <row r="439" spans="1:36" x14ac:dyDescent="0.3">
      <c r="A439">
        <f>COUNTIF($D$2:D439,D439)</f>
        <v>9</v>
      </c>
      <c r="B439" t="str">
        <f t="shared" si="25"/>
        <v>9Cheshire East</v>
      </c>
      <c r="C439" t="s">
        <v>1941</v>
      </c>
      <c r="D439" t="s">
        <v>111</v>
      </c>
      <c r="E439">
        <v>15</v>
      </c>
      <c r="F439" t="s">
        <v>1942</v>
      </c>
      <c r="G439" t="s">
        <v>842</v>
      </c>
      <c r="H439" t="s">
        <v>856</v>
      </c>
      <c r="I439" t="s">
        <v>844</v>
      </c>
      <c r="J439">
        <f t="shared" ca="1" si="26"/>
        <v>613000</v>
      </c>
      <c r="K439">
        <f t="shared" ca="1" si="27"/>
        <v>400</v>
      </c>
      <c r="N439" t="str">
        <f t="shared" si="24"/>
        <v>Cambridgeshire29Domiciliary CareHome Care or Domiciliary CareDomiciliary care to support hospital discharge (Discharge to Assess pathway 1)</v>
      </c>
      <c r="O439" t="s">
        <v>105</v>
      </c>
      <c r="P439" t="s">
        <v>1056</v>
      </c>
      <c r="Q439">
        <v>29</v>
      </c>
      <c r="R439" t="s">
        <v>1806</v>
      </c>
      <c r="S439" t="s">
        <v>1943</v>
      </c>
      <c r="T439" t="s">
        <v>842</v>
      </c>
      <c r="U439" t="s">
        <v>856</v>
      </c>
      <c r="W439">
        <v>281554</v>
      </c>
      <c r="X439">
        <v>281554</v>
      </c>
      <c r="Y439" t="s">
        <v>844</v>
      </c>
      <c r="Z439" t="s">
        <v>792</v>
      </c>
      <c r="AB439" t="s">
        <v>793</v>
      </c>
      <c r="AD439" t="s">
        <v>794</v>
      </c>
      <c r="AE439" t="s">
        <v>795</v>
      </c>
      <c r="AF439" t="s">
        <v>845</v>
      </c>
      <c r="AG439" t="s">
        <v>797</v>
      </c>
      <c r="AH439">
        <v>1693961</v>
      </c>
      <c r="AI439">
        <v>1693961</v>
      </c>
      <c r="AJ439">
        <v>0.02</v>
      </c>
    </row>
    <row r="440" spans="1:36" x14ac:dyDescent="0.3">
      <c r="A440">
        <f>COUNTIF($D$2:D440,D440)</f>
        <v>10</v>
      </c>
      <c r="B440" t="str">
        <f t="shared" si="25"/>
        <v>10Cheshire East</v>
      </c>
      <c r="C440" t="s">
        <v>1944</v>
      </c>
      <c r="D440" t="s">
        <v>111</v>
      </c>
      <c r="E440">
        <v>19</v>
      </c>
      <c r="F440" t="s">
        <v>1945</v>
      </c>
      <c r="G440" t="s">
        <v>787</v>
      </c>
      <c r="H440" t="s">
        <v>1195</v>
      </c>
      <c r="I440" t="s">
        <v>789</v>
      </c>
      <c r="J440">
        <f t="shared" ca="1" si="26"/>
        <v>315000</v>
      </c>
      <c r="K440">
        <f t="shared" ca="1" si="27"/>
        <v>5197</v>
      </c>
      <c r="N440" t="str">
        <f t="shared" si="24"/>
        <v>Cambridgeshire30Protection of Adult Social Care - Uplift Residential PlacementsNursing home</v>
      </c>
      <c r="O440" t="s">
        <v>105</v>
      </c>
      <c r="P440" t="s">
        <v>1056</v>
      </c>
      <c r="Q440">
        <v>30</v>
      </c>
      <c r="R440" t="s">
        <v>1809</v>
      </c>
      <c r="S440" t="s">
        <v>1946</v>
      </c>
      <c r="T440" t="s">
        <v>806</v>
      </c>
      <c r="U440" t="s">
        <v>917</v>
      </c>
      <c r="W440">
        <v>25</v>
      </c>
      <c r="X440">
        <v>51</v>
      </c>
      <c r="Y440" t="s">
        <v>808</v>
      </c>
      <c r="Z440" t="s">
        <v>792</v>
      </c>
      <c r="AB440" t="s">
        <v>793</v>
      </c>
      <c r="AD440" t="s">
        <v>794</v>
      </c>
      <c r="AE440" t="s">
        <v>795</v>
      </c>
      <c r="AF440" t="s">
        <v>796</v>
      </c>
      <c r="AG440" t="s">
        <v>861</v>
      </c>
      <c r="AH440">
        <v>1072125</v>
      </c>
      <c r="AI440">
        <v>2204932</v>
      </c>
      <c r="AJ440">
        <v>0.01</v>
      </c>
    </row>
    <row r="441" spans="1:36" x14ac:dyDescent="0.3">
      <c r="A441">
        <f>COUNTIF($D$2:D441,D441)</f>
        <v>11</v>
      </c>
      <c r="B441" t="str">
        <f t="shared" si="25"/>
        <v>11Cheshire East</v>
      </c>
      <c r="C441" t="s">
        <v>1947</v>
      </c>
      <c r="D441" t="s">
        <v>111</v>
      </c>
      <c r="E441">
        <v>21</v>
      </c>
      <c r="F441" t="s">
        <v>1948</v>
      </c>
      <c r="G441" t="s">
        <v>834</v>
      </c>
      <c r="H441" t="s">
        <v>835</v>
      </c>
      <c r="I441" t="s">
        <v>836</v>
      </c>
      <c r="J441">
        <f t="shared" ca="1" si="26"/>
        <v>2342241</v>
      </c>
      <c r="K441">
        <f t="shared" ca="1" si="27"/>
        <v>440</v>
      </c>
      <c r="N441" t="str">
        <f t="shared" si="24"/>
        <v xml:space="preserve">Cambridgeshire42Reablement and occupational therapy capacityHome-based intermediate care servicesReablement at home (to support discharge) </v>
      </c>
      <c r="O441" t="s">
        <v>105</v>
      </c>
      <c r="P441" t="s">
        <v>1056</v>
      </c>
      <c r="Q441">
        <v>42</v>
      </c>
      <c r="R441" t="s">
        <v>1813</v>
      </c>
      <c r="S441" t="s">
        <v>1949</v>
      </c>
      <c r="T441" t="s">
        <v>787</v>
      </c>
      <c r="U441" t="s">
        <v>788</v>
      </c>
      <c r="W441">
        <v>120</v>
      </c>
      <c r="X441">
        <v>150</v>
      </c>
      <c r="Y441" t="s">
        <v>789</v>
      </c>
      <c r="Z441" t="s">
        <v>792</v>
      </c>
      <c r="AB441" t="s">
        <v>793</v>
      </c>
      <c r="AD441" t="s">
        <v>794</v>
      </c>
      <c r="AE441" t="s">
        <v>795</v>
      </c>
      <c r="AF441" t="s">
        <v>864</v>
      </c>
      <c r="AG441" t="s">
        <v>797</v>
      </c>
      <c r="AH441">
        <v>186752</v>
      </c>
      <c r="AI441">
        <v>206643</v>
      </c>
      <c r="AJ441">
        <v>0.01</v>
      </c>
    </row>
    <row r="442" spans="1:36" x14ac:dyDescent="0.3">
      <c r="A442">
        <f>COUNTIF($D$2:D442,D442)</f>
        <v>12</v>
      </c>
      <c r="B442" t="str">
        <f t="shared" si="25"/>
        <v>12Cheshire East</v>
      </c>
      <c r="C442" t="s">
        <v>1950</v>
      </c>
      <c r="D442" t="s">
        <v>111</v>
      </c>
      <c r="E442">
        <v>22</v>
      </c>
      <c r="F442" t="s">
        <v>1951</v>
      </c>
      <c r="G442" t="s">
        <v>800</v>
      </c>
      <c r="H442" t="s">
        <v>850</v>
      </c>
      <c r="I442" t="s">
        <v>802</v>
      </c>
      <c r="J442">
        <f t="shared" ca="1" si="26"/>
        <v>757000</v>
      </c>
      <c r="K442">
        <f t="shared" ca="1" si="27"/>
        <v>2600</v>
      </c>
      <c r="N442" t="str">
        <f t="shared" si="24"/>
        <v>Cambridgeshire44Community equipmentAssistive Technologies and EquipmentAssistive technologies including telecare</v>
      </c>
      <c r="O442" t="s">
        <v>105</v>
      </c>
      <c r="P442" t="s">
        <v>1056</v>
      </c>
      <c r="Q442">
        <v>44</v>
      </c>
      <c r="R442" t="s">
        <v>1816</v>
      </c>
      <c r="S442" t="s">
        <v>1952</v>
      </c>
      <c r="T442" t="s">
        <v>800</v>
      </c>
      <c r="U442" t="s">
        <v>850</v>
      </c>
      <c r="W442">
        <v>3543</v>
      </c>
      <c r="X442">
        <v>3543</v>
      </c>
      <c r="Y442" t="s">
        <v>802</v>
      </c>
      <c r="Z442" t="s">
        <v>792</v>
      </c>
      <c r="AB442" t="s">
        <v>793</v>
      </c>
      <c r="AD442" t="s">
        <v>794</v>
      </c>
      <c r="AE442" t="s">
        <v>795</v>
      </c>
      <c r="AF442" t="s">
        <v>864</v>
      </c>
      <c r="AG442" t="s">
        <v>861</v>
      </c>
      <c r="AH442">
        <v>67733</v>
      </c>
      <c r="AI442">
        <v>85344</v>
      </c>
      <c r="AJ442">
        <v>0.03</v>
      </c>
    </row>
    <row r="443" spans="1:36" x14ac:dyDescent="0.3">
      <c r="A443">
        <f>COUNTIF($D$2:D443,D443)</f>
        <v>13</v>
      </c>
      <c r="B443" t="str">
        <f t="shared" si="25"/>
        <v>13Cheshire East</v>
      </c>
      <c r="C443" t="s">
        <v>1953</v>
      </c>
      <c r="D443" t="s">
        <v>111</v>
      </c>
      <c r="E443">
        <v>24</v>
      </c>
      <c r="F443" t="s">
        <v>1954</v>
      </c>
      <c r="G443" t="s">
        <v>787</v>
      </c>
      <c r="H443" t="s">
        <v>1551</v>
      </c>
      <c r="I443" t="s">
        <v>789</v>
      </c>
      <c r="J443">
        <f t="shared" ca="1" si="26"/>
        <v>5084860</v>
      </c>
      <c r="K443">
        <f t="shared" ca="1" si="27"/>
        <v>346</v>
      </c>
      <c r="N443" t="str">
        <f t="shared" si="24"/>
        <v>Camden14Community Care Support PackagesHome Care or Domiciliary CareDomiciliary care packages</v>
      </c>
      <c r="O443" t="s">
        <v>107</v>
      </c>
      <c r="P443" t="s">
        <v>790</v>
      </c>
      <c r="Q443">
        <v>14</v>
      </c>
      <c r="R443" t="s">
        <v>1818</v>
      </c>
      <c r="S443" t="s">
        <v>1955</v>
      </c>
      <c r="T443" t="s">
        <v>842</v>
      </c>
      <c r="U443" t="s">
        <v>843</v>
      </c>
      <c r="W443">
        <v>264000</v>
      </c>
      <c r="X443">
        <v>287000</v>
      </c>
      <c r="Y443" t="s">
        <v>844</v>
      </c>
      <c r="Z443" t="s">
        <v>792</v>
      </c>
      <c r="AB443" t="s">
        <v>793</v>
      </c>
      <c r="AD443" t="s">
        <v>794</v>
      </c>
      <c r="AE443" t="s">
        <v>795</v>
      </c>
      <c r="AF443" t="s">
        <v>796</v>
      </c>
      <c r="AG443" t="s">
        <v>797</v>
      </c>
      <c r="AH443">
        <v>5352134.1000000006</v>
      </c>
      <c r="AI443">
        <v>5816820.8050000006</v>
      </c>
      <c r="AJ443">
        <v>0.25</v>
      </c>
    </row>
    <row r="444" spans="1:36" x14ac:dyDescent="0.3">
      <c r="A444">
        <f>COUNTIF($D$2:D444,D444)</f>
        <v>14</v>
      </c>
      <c r="B444" t="str">
        <f t="shared" si="25"/>
        <v>14Cheshire East</v>
      </c>
      <c r="C444" t="s">
        <v>1956</v>
      </c>
      <c r="D444" t="s">
        <v>111</v>
      </c>
      <c r="E444">
        <v>26</v>
      </c>
      <c r="F444" t="s">
        <v>1957</v>
      </c>
      <c r="G444" t="s">
        <v>811</v>
      </c>
      <c r="H444" t="s">
        <v>895</v>
      </c>
      <c r="I444" t="s">
        <v>813</v>
      </c>
      <c r="J444">
        <f t="shared" ca="1" si="26"/>
        <v>389000</v>
      </c>
      <c r="K444">
        <f t="shared" ca="1" si="27"/>
        <v>2400</v>
      </c>
      <c r="N444" t="str">
        <f t="shared" si="24"/>
        <v>Camden39Integrated Community Equipment ServiceAssistive Technologies and EquipmentCommunity based equipment</v>
      </c>
      <c r="O444" t="s">
        <v>107</v>
      </c>
      <c r="P444" t="s">
        <v>790</v>
      </c>
      <c r="Q444">
        <v>39</v>
      </c>
      <c r="R444" t="s">
        <v>1084</v>
      </c>
      <c r="S444" t="s">
        <v>1958</v>
      </c>
      <c r="T444" t="s">
        <v>800</v>
      </c>
      <c r="U444" t="s">
        <v>903</v>
      </c>
      <c r="W444">
        <v>6160</v>
      </c>
      <c r="X444">
        <v>7349.9999999999982</v>
      </c>
      <c r="Y444" t="s">
        <v>802</v>
      </c>
      <c r="Z444" t="s">
        <v>792</v>
      </c>
      <c r="AB444" t="s">
        <v>793</v>
      </c>
      <c r="AD444" t="s">
        <v>794</v>
      </c>
      <c r="AE444" t="s">
        <v>804</v>
      </c>
      <c r="AF444" t="s">
        <v>796</v>
      </c>
      <c r="AG444" t="s">
        <v>797</v>
      </c>
      <c r="AH444">
        <v>1667748</v>
      </c>
      <c r="AI444">
        <v>1751136</v>
      </c>
      <c r="AJ444">
        <v>1</v>
      </c>
    </row>
    <row r="445" spans="1:36" x14ac:dyDescent="0.3">
      <c r="A445">
        <f>COUNTIF($D$2:D445,D445)</f>
        <v>15</v>
      </c>
      <c r="B445" t="str">
        <f t="shared" si="25"/>
        <v>15Cheshire East</v>
      </c>
      <c r="C445" t="s">
        <v>1959</v>
      </c>
      <c r="D445" t="s">
        <v>111</v>
      </c>
      <c r="E445">
        <v>28</v>
      </c>
      <c r="F445" t="s">
        <v>1960</v>
      </c>
      <c r="G445" t="s">
        <v>877</v>
      </c>
      <c r="H445" t="s">
        <v>1015</v>
      </c>
      <c r="I445" t="s">
        <v>879</v>
      </c>
      <c r="J445">
        <f t="shared" ca="1" si="26"/>
        <v>588903</v>
      </c>
      <c r="K445">
        <f t="shared" ca="1" si="27"/>
        <v>100</v>
      </c>
      <c r="N445" t="str">
        <f t="shared" si="24"/>
        <v xml:space="preserve">Camden59Reablement - HomecareHome-based intermediate care servicesReablement at home (to support discharge) </v>
      </c>
      <c r="O445" t="s">
        <v>107</v>
      </c>
      <c r="P445" t="s">
        <v>790</v>
      </c>
      <c r="Q445">
        <v>59</v>
      </c>
      <c r="R445" t="s">
        <v>1823</v>
      </c>
      <c r="S445" t="s">
        <v>1961</v>
      </c>
      <c r="T445" t="s">
        <v>787</v>
      </c>
      <c r="U445" t="s">
        <v>788</v>
      </c>
      <c r="W445">
        <v>970</v>
      </c>
      <c r="X445">
        <v>970</v>
      </c>
      <c r="Y445" t="s">
        <v>789</v>
      </c>
      <c r="Z445" t="s">
        <v>792</v>
      </c>
      <c r="AB445" t="s">
        <v>793</v>
      </c>
      <c r="AD445" t="s">
        <v>794</v>
      </c>
      <c r="AE445" t="s">
        <v>825</v>
      </c>
      <c r="AF445" t="s">
        <v>796</v>
      </c>
      <c r="AG445" t="s">
        <v>797</v>
      </c>
      <c r="AH445">
        <v>1437465</v>
      </c>
      <c r="AI445">
        <v>1437465</v>
      </c>
      <c r="AJ445">
        <v>0.9</v>
      </c>
    </row>
    <row r="446" spans="1:36" x14ac:dyDescent="0.3">
      <c r="A446">
        <f>COUNTIF($D$2:D446,D446)</f>
        <v>16</v>
      </c>
      <c r="B446" t="str">
        <f t="shared" si="25"/>
        <v>16Cheshire East</v>
      </c>
      <c r="C446" t="s">
        <v>1962</v>
      </c>
      <c r="D446" t="s">
        <v>111</v>
      </c>
      <c r="E446">
        <v>31</v>
      </c>
      <c r="F446" t="s">
        <v>1957</v>
      </c>
      <c r="G446" t="s">
        <v>811</v>
      </c>
      <c r="H446" t="s">
        <v>895</v>
      </c>
      <c r="I446" t="s">
        <v>813</v>
      </c>
      <c r="J446">
        <f t="shared" ca="1" si="26"/>
        <v>324000</v>
      </c>
      <c r="K446">
        <f t="shared" ca="1" si="27"/>
        <v>2400</v>
      </c>
      <c r="N446" t="str">
        <f t="shared" si="24"/>
        <v>Camden2Assistive Technology - CarelineAssistive Technologies and EquipmentAssistive technologies including telecare</v>
      </c>
      <c r="O446" t="s">
        <v>107</v>
      </c>
      <c r="P446" t="s">
        <v>790</v>
      </c>
      <c r="Q446">
        <v>2</v>
      </c>
      <c r="R446" t="s">
        <v>1826</v>
      </c>
      <c r="S446" t="s">
        <v>1963</v>
      </c>
      <c r="T446" t="s">
        <v>800</v>
      </c>
      <c r="U446" t="s">
        <v>850</v>
      </c>
      <c r="W446">
        <v>5300</v>
      </c>
      <c r="X446">
        <v>5300</v>
      </c>
      <c r="Y446" t="s">
        <v>802</v>
      </c>
      <c r="Z446" t="s">
        <v>792</v>
      </c>
      <c r="AB446" t="s">
        <v>793</v>
      </c>
      <c r="AD446" t="s">
        <v>794</v>
      </c>
      <c r="AE446" t="s">
        <v>795</v>
      </c>
      <c r="AF446" t="s">
        <v>796</v>
      </c>
      <c r="AG446" t="s">
        <v>797</v>
      </c>
      <c r="AH446">
        <v>1180426</v>
      </c>
      <c r="AI446">
        <v>1239448</v>
      </c>
      <c r="AJ446">
        <v>0.65</v>
      </c>
    </row>
    <row r="447" spans="1:36" x14ac:dyDescent="0.3">
      <c r="A447">
        <f>COUNTIF($D$2:D447,D447)</f>
        <v>17</v>
      </c>
      <c r="B447" t="str">
        <f t="shared" si="25"/>
        <v>17Cheshire East</v>
      </c>
      <c r="C447" t="s">
        <v>1964</v>
      </c>
      <c r="D447" t="s">
        <v>111</v>
      </c>
      <c r="E447">
        <v>32</v>
      </c>
      <c r="F447" t="s">
        <v>1965</v>
      </c>
      <c r="G447" t="s">
        <v>800</v>
      </c>
      <c r="H447" t="s">
        <v>903</v>
      </c>
      <c r="I447" t="s">
        <v>802</v>
      </c>
      <c r="J447">
        <f t="shared" ca="1" si="26"/>
        <v>550000</v>
      </c>
      <c r="K447">
        <f t="shared" ca="1" si="27"/>
        <v>2600</v>
      </c>
      <c r="N447" t="str">
        <f t="shared" si="24"/>
        <v>Camden16Crisis HouseBed based intermediate Care Services (Reablement, rehabilitation, wider short-term services supporting recovery)Other</v>
      </c>
      <c r="O447" t="s">
        <v>107</v>
      </c>
      <c r="P447" t="s">
        <v>790</v>
      </c>
      <c r="Q447">
        <v>16</v>
      </c>
      <c r="R447" t="s">
        <v>1828</v>
      </c>
      <c r="S447" t="s">
        <v>1966</v>
      </c>
      <c r="T447" t="s">
        <v>877</v>
      </c>
      <c r="U447" t="s">
        <v>812</v>
      </c>
      <c r="V447" t="s">
        <v>1330</v>
      </c>
      <c r="W447">
        <v>130</v>
      </c>
      <c r="X447">
        <v>130</v>
      </c>
      <c r="Y447" t="s">
        <v>879</v>
      </c>
      <c r="Z447" t="s">
        <v>1006</v>
      </c>
      <c r="AB447" t="s">
        <v>824</v>
      </c>
      <c r="AD447" t="s">
        <v>794</v>
      </c>
      <c r="AE447" t="s">
        <v>1107</v>
      </c>
      <c r="AF447" t="s">
        <v>796</v>
      </c>
      <c r="AG447" t="s">
        <v>797</v>
      </c>
      <c r="AH447">
        <v>699866</v>
      </c>
      <c r="AI447">
        <v>718692</v>
      </c>
      <c r="AJ447">
        <v>0.85</v>
      </c>
    </row>
    <row r="448" spans="1:36" x14ac:dyDescent="0.3">
      <c r="A448">
        <f>COUNTIF($D$2:D448,D448)</f>
        <v>18</v>
      </c>
      <c r="B448" t="str">
        <f t="shared" si="25"/>
        <v>18Cheshire East</v>
      </c>
      <c r="C448" t="s">
        <v>1967</v>
      </c>
      <c r="D448" t="s">
        <v>111</v>
      </c>
      <c r="E448">
        <v>33</v>
      </c>
      <c r="F448" t="s">
        <v>1965</v>
      </c>
      <c r="G448" t="s">
        <v>800</v>
      </c>
      <c r="H448" t="s">
        <v>903</v>
      </c>
      <c r="I448" t="s">
        <v>802</v>
      </c>
      <c r="J448">
        <f t="shared" ca="1" si="26"/>
        <v>2112086</v>
      </c>
      <c r="K448">
        <f t="shared" ca="1" si="27"/>
        <v>2600</v>
      </c>
      <c r="N448" t="str">
        <f t="shared" si="24"/>
        <v>Camden69Wheelchair ServiceAssistive Technologies and EquipmentOther</v>
      </c>
      <c r="O448" t="s">
        <v>107</v>
      </c>
      <c r="P448" t="s">
        <v>790</v>
      </c>
      <c r="Q448">
        <v>69</v>
      </c>
      <c r="R448" t="s">
        <v>1094</v>
      </c>
      <c r="S448" t="s">
        <v>1968</v>
      </c>
      <c r="T448" t="s">
        <v>800</v>
      </c>
      <c r="U448" t="s">
        <v>812</v>
      </c>
      <c r="V448" t="s">
        <v>1969</v>
      </c>
      <c r="W448">
        <v>2100</v>
      </c>
      <c r="X448">
        <v>2200</v>
      </c>
      <c r="Y448" t="s">
        <v>802</v>
      </c>
      <c r="Z448" t="s">
        <v>792</v>
      </c>
      <c r="AB448" t="s">
        <v>824</v>
      </c>
      <c r="AD448" t="s">
        <v>794</v>
      </c>
      <c r="AE448" t="s">
        <v>824</v>
      </c>
      <c r="AF448" t="s">
        <v>796</v>
      </c>
      <c r="AG448" t="s">
        <v>797</v>
      </c>
      <c r="AH448">
        <v>595081</v>
      </c>
      <c r="AI448">
        <v>627155</v>
      </c>
      <c r="AJ448">
        <v>0.65</v>
      </c>
    </row>
    <row r="449" spans="1:36" x14ac:dyDescent="0.3">
      <c r="A449">
        <f>COUNTIF($D$2:D449,D449)</f>
        <v>19</v>
      </c>
      <c r="B449" t="str">
        <f t="shared" si="25"/>
        <v>19Cheshire East</v>
      </c>
      <c r="C449" t="s">
        <v>1970</v>
      </c>
      <c r="D449" t="s">
        <v>111</v>
      </c>
      <c r="E449">
        <v>35</v>
      </c>
      <c r="F449" t="s">
        <v>1971</v>
      </c>
      <c r="G449" t="s">
        <v>877</v>
      </c>
      <c r="H449" t="s">
        <v>968</v>
      </c>
      <c r="I449" t="s">
        <v>879</v>
      </c>
      <c r="J449">
        <f t="shared" ca="1" si="26"/>
        <v>1315414</v>
      </c>
      <c r="K449">
        <f t="shared" ca="1" si="27"/>
        <v>165</v>
      </c>
      <c r="N449" t="str">
        <f t="shared" si="24"/>
        <v>Camden61Rehabilitation Service - CarelinkHome-based intermediate care servicesRehabilitation at home (to support discharge)</v>
      </c>
      <c r="O449" t="s">
        <v>107</v>
      </c>
      <c r="P449" t="s">
        <v>790</v>
      </c>
      <c r="Q449">
        <v>61</v>
      </c>
      <c r="R449" t="s">
        <v>1832</v>
      </c>
      <c r="S449" t="s">
        <v>1972</v>
      </c>
      <c r="T449" t="s">
        <v>787</v>
      </c>
      <c r="U449" t="s">
        <v>1195</v>
      </c>
      <c r="W449">
        <v>4000</v>
      </c>
      <c r="X449">
        <v>4000</v>
      </c>
      <c r="Y449" t="s">
        <v>789</v>
      </c>
      <c r="Z449" t="s">
        <v>792</v>
      </c>
      <c r="AB449" t="s">
        <v>824</v>
      </c>
      <c r="AD449" t="s">
        <v>794</v>
      </c>
      <c r="AE449" t="s">
        <v>832</v>
      </c>
      <c r="AF449" t="s">
        <v>796</v>
      </c>
      <c r="AG449" t="s">
        <v>797</v>
      </c>
      <c r="AH449">
        <v>503090</v>
      </c>
      <c r="AI449">
        <v>530208</v>
      </c>
      <c r="AJ449">
        <v>0.75</v>
      </c>
    </row>
    <row r="450" spans="1:36" x14ac:dyDescent="0.3">
      <c r="A450">
        <f>COUNTIF($D$2:D450,D450)</f>
        <v>1</v>
      </c>
      <c r="B450" t="str">
        <f t="shared" si="25"/>
        <v>1Cheshire West and Chester</v>
      </c>
      <c r="C450" t="s">
        <v>1973</v>
      </c>
      <c r="D450" t="s">
        <v>113</v>
      </c>
      <c r="E450">
        <v>1</v>
      </c>
      <c r="F450" t="s">
        <v>1974</v>
      </c>
      <c r="G450" t="s">
        <v>811</v>
      </c>
      <c r="H450" t="s">
        <v>830</v>
      </c>
      <c r="I450" t="s">
        <v>813</v>
      </c>
      <c r="J450">
        <f t="shared" ca="1" si="26"/>
        <v>456702</v>
      </c>
      <c r="K450">
        <f t="shared" ca="1" si="27"/>
        <v>4953</v>
      </c>
      <c r="N450" t="str">
        <f t="shared" ref="N450:N513" si="28">O450&amp;Q450&amp;R450&amp;T450&amp;U450</f>
        <v>Camden10Carers BreaksCarers ServicesRespite services</v>
      </c>
      <c r="O450" t="s">
        <v>107</v>
      </c>
      <c r="P450" t="s">
        <v>790</v>
      </c>
      <c r="Q450">
        <v>10</v>
      </c>
      <c r="R450" t="s">
        <v>1834</v>
      </c>
      <c r="S450" t="s">
        <v>1975</v>
      </c>
      <c r="T450" t="s">
        <v>811</v>
      </c>
      <c r="U450" t="s">
        <v>830</v>
      </c>
      <c r="W450">
        <v>1100</v>
      </c>
      <c r="X450">
        <v>1100</v>
      </c>
      <c r="Y450" t="s">
        <v>813</v>
      </c>
      <c r="Z450" t="s">
        <v>792</v>
      </c>
      <c r="AB450" t="s">
        <v>793</v>
      </c>
      <c r="AD450" t="s">
        <v>794</v>
      </c>
      <c r="AE450" t="s">
        <v>795</v>
      </c>
      <c r="AF450" t="s">
        <v>796</v>
      </c>
      <c r="AG450" t="s">
        <v>797</v>
      </c>
      <c r="AH450">
        <v>352007</v>
      </c>
      <c r="AI450">
        <v>352007</v>
      </c>
      <c r="AJ450">
        <v>0.2</v>
      </c>
    </row>
    <row r="451" spans="1:36" x14ac:dyDescent="0.3">
      <c r="A451">
        <f>COUNTIF($D$2:D451,D451)</f>
        <v>2</v>
      </c>
      <c r="B451" t="str">
        <f t="shared" ref="B451:B514" si="29">A451&amp;D451</f>
        <v>2Cheshire West and Chester</v>
      </c>
      <c r="C451" t="s">
        <v>1976</v>
      </c>
      <c r="D451" t="s">
        <v>113</v>
      </c>
      <c r="E451">
        <v>4</v>
      </c>
      <c r="F451" t="s">
        <v>1977</v>
      </c>
      <c r="G451" t="s">
        <v>842</v>
      </c>
      <c r="H451" t="s">
        <v>843</v>
      </c>
      <c r="I451" t="s">
        <v>844</v>
      </c>
      <c r="J451">
        <f t="shared" ref="J451:J514" ca="1" si="30">SUMIF($N:$AI,C451,AH:AH)</f>
        <v>13196620.130000001</v>
      </c>
      <c r="K451">
        <f t="shared" ref="K451:K514" ca="1" si="31">SUMIF($N:$AI,C451,W:W)</f>
        <v>1434000</v>
      </c>
      <c r="N451" t="str">
        <f t="shared" si="28"/>
        <v>Camden9Carer Support - Information and AdviceCarers ServicesCarer advice and support related to Care Act duties</v>
      </c>
      <c r="O451" t="s">
        <v>107</v>
      </c>
      <c r="P451" t="s">
        <v>790</v>
      </c>
      <c r="Q451">
        <v>9</v>
      </c>
      <c r="R451" t="s">
        <v>1836</v>
      </c>
      <c r="S451" t="s">
        <v>1978</v>
      </c>
      <c r="T451" t="s">
        <v>811</v>
      </c>
      <c r="U451" t="s">
        <v>895</v>
      </c>
      <c r="W451">
        <v>4100</v>
      </c>
      <c r="X451">
        <v>4100</v>
      </c>
      <c r="Y451" t="s">
        <v>813</v>
      </c>
      <c r="Z451" t="s">
        <v>792</v>
      </c>
      <c r="AB451" t="s">
        <v>793</v>
      </c>
      <c r="AD451" t="s">
        <v>794</v>
      </c>
      <c r="AE451" t="s">
        <v>825</v>
      </c>
      <c r="AF451" t="s">
        <v>796</v>
      </c>
      <c r="AG451" t="s">
        <v>797</v>
      </c>
      <c r="AH451">
        <v>333593</v>
      </c>
      <c r="AI451">
        <v>340265</v>
      </c>
      <c r="AJ451">
        <v>0.5</v>
      </c>
    </row>
    <row r="452" spans="1:36" x14ac:dyDescent="0.3">
      <c r="A452">
        <f>COUNTIF($D$2:D452,D452)</f>
        <v>3</v>
      </c>
      <c r="B452" t="str">
        <f t="shared" si="29"/>
        <v>3Cheshire West and Chester</v>
      </c>
      <c r="C452" t="s">
        <v>1979</v>
      </c>
      <c r="D452" t="s">
        <v>113</v>
      </c>
      <c r="E452">
        <v>4</v>
      </c>
      <c r="F452" t="s">
        <v>1977</v>
      </c>
      <c r="G452" t="s">
        <v>800</v>
      </c>
      <c r="H452" t="s">
        <v>850</v>
      </c>
      <c r="I452" t="s">
        <v>802</v>
      </c>
      <c r="J452">
        <f t="shared" ca="1" si="30"/>
        <v>105463</v>
      </c>
      <c r="K452">
        <f t="shared" ca="1" si="31"/>
        <v>1110</v>
      </c>
      <c r="N452" t="str">
        <f t="shared" si="28"/>
        <v>Camden58Reablement - Flats (housing cost)Bed based intermediate Care Services (Reablement, rehabilitation, wider short-term services supporting recovery)Bed-based intermediate care with reablement (to support discharge)</v>
      </c>
      <c r="O452" t="s">
        <v>107</v>
      </c>
      <c r="P452" t="s">
        <v>790</v>
      </c>
      <c r="Q452">
        <v>58</v>
      </c>
      <c r="R452" t="s">
        <v>1839</v>
      </c>
      <c r="S452" t="s">
        <v>1980</v>
      </c>
      <c r="T452" t="s">
        <v>877</v>
      </c>
      <c r="U452" t="s">
        <v>878</v>
      </c>
      <c r="W452">
        <v>84</v>
      </c>
      <c r="X452">
        <v>84</v>
      </c>
      <c r="Y452" t="s">
        <v>879</v>
      </c>
      <c r="Z452" t="s">
        <v>792</v>
      </c>
      <c r="AB452" t="s">
        <v>793</v>
      </c>
      <c r="AD452" t="s">
        <v>794</v>
      </c>
      <c r="AE452" t="s">
        <v>795</v>
      </c>
      <c r="AF452" t="s">
        <v>796</v>
      </c>
      <c r="AG452" t="s">
        <v>797</v>
      </c>
      <c r="AH452">
        <v>275000</v>
      </c>
      <c r="AI452">
        <v>275000</v>
      </c>
      <c r="AJ452">
        <v>1</v>
      </c>
    </row>
    <row r="453" spans="1:36" x14ac:dyDescent="0.3">
      <c r="A453">
        <f>COUNTIF($D$2:D453,D453)</f>
        <v>4</v>
      </c>
      <c r="B453" t="str">
        <f t="shared" si="29"/>
        <v>4Cheshire West and Chester</v>
      </c>
      <c r="C453" t="s">
        <v>1981</v>
      </c>
      <c r="D453" t="s">
        <v>113</v>
      </c>
      <c r="E453">
        <v>4</v>
      </c>
      <c r="F453" t="s">
        <v>1977</v>
      </c>
      <c r="G453" t="s">
        <v>834</v>
      </c>
      <c r="H453" t="s">
        <v>835</v>
      </c>
      <c r="I453" t="s">
        <v>836</v>
      </c>
      <c r="J453">
        <f t="shared" ca="1" si="30"/>
        <v>3688301</v>
      </c>
      <c r="K453">
        <f t="shared" ca="1" si="31"/>
        <v>2650</v>
      </c>
      <c r="N453" t="str">
        <f t="shared" si="28"/>
        <v>Camden34Home Improvement ServiceDFG Related SchemesHandyperson services</v>
      </c>
      <c r="O453" t="s">
        <v>107</v>
      </c>
      <c r="P453" t="s">
        <v>790</v>
      </c>
      <c r="Q453">
        <v>34</v>
      </c>
      <c r="R453" t="s">
        <v>1841</v>
      </c>
      <c r="S453" t="s">
        <v>1982</v>
      </c>
      <c r="T453" t="s">
        <v>834</v>
      </c>
      <c r="U453" t="s">
        <v>1732</v>
      </c>
      <c r="W453">
        <v>1100</v>
      </c>
      <c r="X453">
        <v>1100</v>
      </c>
      <c r="Y453" t="s">
        <v>836</v>
      </c>
      <c r="Z453" t="s">
        <v>792</v>
      </c>
      <c r="AB453" t="s">
        <v>793</v>
      </c>
      <c r="AD453" t="s">
        <v>794</v>
      </c>
      <c r="AE453" t="s">
        <v>825</v>
      </c>
      <c r="AF453" t="s">
        <v>796</v>
      </c>
      <c r="AG453" t="s">
        <v>797</v>
      </c>
      <c r="AH453">
        <v>26000</v>
      </c>
      <c r="AI453">
        <v>26000</v>
      </c>
      <c r="AJ453">
        <v>0.1</v>
      </c>
    </row>
    <row r="454" spans="1:36" x14ac:dyDescent="0.3">
      <c r="A454">
        <f>COUNTIF($D$2:D454,D454)</f>
        <v>5</v>
      </c>
      <c r="B454" t="str">
        <f t="shared" si="29"/>
        <v>5Cheshire West and Chester</v>
      </c>
      <c r="C454" t="s">
        <v>1983</v>
      </c>
      <c r="D454" t="s">
        <v>113</v>
      </c>
      <c r="E454">
        <v>4</v>
      </c>
      <c r="F454" t="s">
        <v>1977</v>
      </c>
      <c r="G454" t="s">
        <v>800</v>
      </c>
      <c r="H454" t="s">
        <v>903</v>
      </c>
      <c r="I454" t="s">
        <v>802</v>
      </c>
      <c r="J454">
        <f t="shared" ca="1" si="30"/>
        <v>2102000</v>
      </c>
      <c r="K454">
        <f t="shared" ca="1" si="31"/>
        <v>17200</v>
      </c>
      <c r="N454" t="str">
        <f t="shared" si="28"/>
        <v>Camden23Disabled Facilities Grant (DFG)DFG Related SchemesAdaptations, including statutory DFG grants</v>
      </c>
      <c r="O454" t="s">
        <v>107</v>
      </c>
      <c r="P454" t="s">
        <v>790</v>
      </c>
      <c r="Q454">
        <v>23</v>
      </c>
      <c r="R454" t="s">
        <v>1844</v>
      </c>
      <c r="S454" t="s">
        <v>1984</v>
      </c>
      <c r="T454" t="s">
        <v>834</v>
      </c>
      <c r="U454" t="s">
        <v>835</v>
      </c>
      <c r="W454">
        <v>121</v>
      </c>
      <c r="X454">
        <v>121</v>
      </c>
      <c r="Y454" t="s">
        <v>836</v>
      </c>
      <c r="Z454" t="s">
        <v>792</v>
      </c>
      <c r="AB454" t="s">
        <v>793</v>
      </c>
      <c r="AD454" t="s">
        <v>794</v>
      </c>
      <c r="AE454" t="s">
        <v>795</v>
      </c>
      <c r="AF454" t="s">
        <v>840</v>
      </c>
      <c r="AG454" t="s">
        <v>797</v>
      </c>
      <c r="AH454">
        <v>1046736</v>
      </c>
      <c r="AI454">
        <v>1046736</v>
      </c>
      <c r="AJ454">
        <v>1</v>
      </c>
    </row>
    <row r="455" spans="1:36" x14ac:dyDescent="0.3">
      <c r="A455">
        <f>COUNTIF($D$2:D455,D455)</f>
        <v>6</v>
      </c>
      <c r="B455" t="str">
        <f t="shared" si="29"/>
        <v>6Cheshire West and Chester</v>
      </c>
      <c r="C455" t="s">
        <v>1985</v>
      </c>
      <c r="D455" t="s">
        <v>113</v>
      </c>
      <c r="E455">
        <v>4</v>
      </c>
      <c r="F455" t="s">
        <v>1977</v>
      </c>
      <c r="G455" t="s">
        <v>787</v>
      </c>
      <c r="H455" t="s">
        <v>788</v>
      </c>
      <c r="I455" t="s">
        <v>789</v>
      </c>
      <c r="J455">
        <f t="shared" ca="1" si="30"/>
        <v>2893688</v>
      </c>
      <c r="K455">
        <f t="shared" ca="1" si="31"/>
        <v>573</v>
      </c>
      <c r="N455" t="str">
        <f t="shared" si="28"/>
        <v>Camden35HomecareHome Care or Domiciliary CareDomiciliary care packages</v>
      </c>
      <c r="O455" t="s">
        <v>107</v>
      </c>
      <c r="P455" t="s">
        <v>790</v>
      </c>
      <c r="Q455">
        <v>35</v>
      </c>
      <c r="R455" t="s">
        <v>1847</v>
      </c>
      <c r="S455" t="s">
        <v>1986</v>
      </c>
      <c r="T455" t="s">
        <v>842</v>
      </c>
      <c r="U455" t="s">
        <v>843</v>
      </c>
      <c r="W455">
        <v>80400</v>
      </c>
      <c r="X455">
        <v>134000</v>
      </c>
      <c r="Y455" t="s">
        <v>844</v>
      </c>
      <c r="Z455" t="s">
        <v>792</v>
      </c>
      <c r="AB455" t="s">
        <v>793</v>
      </c>
      <c r="AD455" t="s">
        <v>794</v>
      </c>
      <c r="AE455" t="s">
        <v>825</v>
      </c>
      <c r="AF455" t="s">
        <v>864</v>
      </c>
      <c r="AG455" t="s">
        <v>797</v>
      </c>
      <c r="AH455">
        <v>1629922</v>
      </c>
      <c r="AI455">
        <v>2716171</v>
      </c>
      <c r="AJ455">
        <v>7.0000000000000007E-2</v>
      </c>
    </row>
    <row r="456" spans="1:36" x14ac:dyDescent="0.3">
      <c r="A456">
        <f>COUNTIF($D$2:D456,D456)</f>
        <v>7</v>
      </c>
      <c r="B456" t="str">
        <f t="shared" si="29"/>
        <v>7Cheshire West and Chester</v>
      </c>
      <c r="C456" t="s">
        <v>1987</v>
      </c>
      <c r="D456" t="s">
        <v>113</v>
      </c>
      <c r="E456">
        <v>4</v>
      </c>
      <c r="F456" t="s">
        <v>1977</v>
      </c>
      <c r="G456" t="s">
        <v>877</v>
      </c>
      <c r="H456" t="s">
        <v>968</v>
      </c>
      <c r="I456" t="s">
        <v>879</v>
      </c>
      <c r="J456">
        <f t="shared" ca="1" si="30"/>
        <v>8065173.9711816004</v>
      </c>
      <c r="K456">
        <f t="shared" ca="1" si="31"/>
        <v>1378</v>
      </c>
      <c r="N456" t="str">
        <f t="shared" si="28"/>
        <v>Camden56Rapid access to support for unpaid carersCarers ServicesOther</v>
      </c>
      <c r="O456" t="s">
        <v>107</v>
      </c>
      <c r="P456" t="s">
        <v>790</v>
      </c>
      <c r="Q456">
        <v>56</v>
      </c>
      <c r="R456" t="s">
        <v>1850</v>
      </c>
      <c r="S456" t="s">
        <v>1978</v>
      </c>
      <c r="T456" t="s">
        <v>811</v>
      </c>
      <c r="U456" t="s">
        <v>812</v>
      </c>
      <c r="V456" t="s">
        <v>1988</v>
      </c>
      <c r="W456">
        <v>50</v>
      </c>
      <c r="X456">
        <v>50</v>
      </c>
      <c r="Y456" t="s">
        <v>813</v>
      </c>
      <c r="Z456" t="s">
        <v>792</v>
      </c>
      <c r="AB456" t="s">
        <v>793</v>
      </c>
      <c r="AD456" t="s">
        <v>794</v>
      </c>
      <c r="AE456" t="s">
        <v>825</v>
      </c>
      <c r="AF456" t="s">
        <v>864</v>
      </c>
      <c r="AG456" t="s">
        <v>861</v>
      </c>
      <c r="AH456">
        <v>60000</v>
      </c>
      <c r="AI456">
        <v>75000</v>
      </c>
      <c r="AJ456">
        <v>1</v>
      </c>
    </row>
    <row r="457" spans="1:36" x14ac:dyDescent="0.3">
      <c r="A457">
        <f>COUNTIF($D$2:D457,D457)</f>
        <v>8</v>
      </c>
      <c r="B457" t="str">
        <f t="shared" si="29"/>
        <v>8Cheshire West and Chester</v>
      </c>
      <c r="C457" t="s">
        <v>1989</v>
      </c>
      <c r="D457" t="s">
        <v>113</v>
      </c>
      <c r="E457">
        <v>4</v>
      </c>
      <c r="F457" t="s">
        <v>1977</v>
      </c>
      <c r="G457" t="s">
        <v>787</v>
      </c>
      <c r="H457" t="s">
        <v>1688</v>
      </c>
      <c r="I457" t="s">
        <v>789</v>
      </c>
      <c r="J457">
        <f t="shared" ca="1" si="30"/>
        <v>3464243.1254306324</v>
      </c>
      <c r="K457">
        <f t="shared" ca="1" si="31"/>
        <v>4248</v>
      </c>
      <c r="N457" t="str">
        <f t="shared" si="28"/>
        <v>Camden14Community Care Support PackagesHome Care or Domiciliary CareDomiciliary care packages</v>
      </c>
      <c r="O457" t="s">
        <v>107</v>
      </c>
      <c r="P457" t="s">
        <v>790</v>
      </c>
      <c r="Q457">
        <v>14</v>
      </c>
      <c r="R457" t="s">
        <v>1818</v>
      </c>
      <c r="S457" t="s">
        <v>1955</v>
      </c>
      <c r="T457" t="s">
        <v>842</v>
      </c>
      <c r="U457" t="s">
        <v>843</v>
      </c>
      <c r="W457">
        <v>188000</v>
      </c>
      <c r="X457">
        <v>193000</v>
      </c>
      <c r="Y457" t="s">
        <v>844</v>
      </c>
      <c r="Z457" t="s">
        <v>792</v>
      </c>
      <c r="AB457" t="s">
        <v>793</v>
      </c>
      <c r="AD457" t="s">
        <v>794</v>
      </c>
      <c r="AE457" t="s">
        <v>825</v>
      </c>
      <c r="AF457" t="s">
        <v>845</v>
      </c>
      <c r="AG457" t="s">
        <v>797</v>
      </c>
      <c r="AH457">
        <v>3809545</v>
      </c>
      <c r="AI457">
        <v>3912351</v>
      </c>
      <c r="AJ457">
        <v>0.2</v>
      </c>
    </row>
    <row r="458" spans="1:36" x14ac:dyDescent="0.3">
      <c r="A458">
        <f>COUNTIF($D$2:D458,D458)</f>
        <v>9</v>
      </c>
      <c r="B458" t="str">
        <f t="shared" si="29"/>
        <v>9Cheshire West and Chester</v>
      </c>
      <c r="C458" t="s">
        <v>1990</v>
      </c>
      <c r="D458" t="s">
        <v>113</v>
      </c>
      <c r="E458">
        <v>4</v>
      </c>
      <c r="F458" t="s">
        <v>1977</v>
      </c>
      <c r="G458" t="s">
        <v>877</v>
      </c>
      <c r="H458" t="s">
        <v>1259</v>
      </c>
      <c r="I458" t="s">
        <v>879</v>
      </c>
      <c r="J458">
        <f t="shared" ca="1" si="30"/>
        <v>1624242.08010346</v>
      </c>
      <c r="K458">
        <f t="shared" ca="1" si="31"/>
        <v>226</v>
      </c>
      <c r="N458" t="str">
        <f t="shared" si="28"/>
        <v>Camden62Residential and Nursing CareResidential PlacementsNursing home</v>
      </c>
      <c r="O458" t="s">
        <v>107</v>
      </c>
      <c r="P458" t="s">
        <v>790</v>
      </c>
      <c r="Q458">
        <v>62</v>
      </c>
      <c r="R458" t="s">
        <v>1854</v>
      </c>
      <c r="S458" t="s">
        <v>1991</v>
      </c>
      <c r="T458" t="s">
        <v>806</v>
      </c>
      <c r="U458" t="s">
        <v>917</v>
      </c>
      <c r="W458">
        <v>36</v>
      </c>
      <c r="X458">
        <v>36</v>
      </c>
      <c r="Y458" t="s">
        <v>808</v>
      </c>
      <c r="Z458" t="s">
        <v>792</v>
      </c>
      <c r="AB458" t="s">
        <v>793</v>
      </c>
      <c r="AD458" t="s">
        <v>794</v>
      </c>
      <c r="AE458" t="s">
        <v>804</v>
      </c>
      <c r="AF458" t="s">
        <v>845</v>
      </c>
      <c r="AG458" t="s">
        <v>797</v>
      </c>
      <c r="AH458">
        <v>2190000</v>
      </c>
      <c r="AI458">
        <v>2190000</v>
      </c>
      <c r="AJ458">
        <v>0.05</v>
      </c>
    </row>
    <row r="459" spans="1:36" x14ac:dyDescent="0.3">
      <c r="A459">
        <f>COUNTIF($D$2:D459,D459)</f>
        <v>1</v>
      </c>
      <c r="B459" t="str">
        <f t="shared" si="29"/>
        <v>1City of London</v>
      </c>
      <c r="C459" t="s">
        <v>1992</v>
      </c>
      <c r="D459" t="s">
        <v>115</v>
      </c>
      <c r="E459">
        <v>2</v>
      </c>
      <c r="F459" t="s">
        <v>1993</v>
      </c>
      <c r="G459" t="s">
        <v>811</v>
      </c>
      <c r="H459" t="s">
        <v>812</v>
      </c>
      <c r="I459" t="s">
        <v>813</v>
      </c>
      <c r="J459">
        <f t="shared" ca="1" si="30"/>
        <v>14352</v>
      </c>
      <c r="K459">
        <f t="shared" ca="1" si="31"/>
        <v>50</v>
      </c>
      <c r="N459" t="str">
        <f t="shared" si="28"/>
        <v>Camden39Integrated Community Equipment Service (ICES) (Council)Assistive Technologies and EquipmentCommunity based equipment</v>
      </c>
      <c r="O459" t="s">
        <v>107</v>
      </c>
      <c r="P459" t="s">
        <v>790</v>
      </c>
      <c r="Q459">
        <v>39</v>
      </c>
      <c r="R459" t="s">
        <v>1857</v>
      </c>
      <c r="S459" t="s">
        <v>1958</v>
      </c>
      <c r="T459" t="s">
        <v>800</v>
      </c>
      <c r="U459" t="s">
        <v>903</v>
      </c>
      <c r="W459">
        <v>2640</v>
      </c>
      <c r="X459">
        <v>3150</v>
      </c>
      <c r="Y459" t="s">
        <v>802</v>
      </c>
      <c r="Z459" t="s">
        <v>792</v>
      </c>
      <c r="AB459" t="s">
        <v>793</v>
      </c>
      <c r="AD459" t="s">
        <v>794</v>
      </c>
      <c r="AE459" t="s">
        <v>804</v>
      </c>
      <c r="AF459" t="s">
        <v>845</v>
      </c>
      <c r="AG459" t="s">
        <v>797</v>
      </c>
      <c r="AH459">
        <v>714749.89000000013</v>
      </c>
      <c r="AI459">
        <v>750487.38450000016</v>
      </c>
      <c r="AJ459">
        <v>1</v>
      </c>
    </row>
    <row r="460" spans="1:36" x14ac:dyDescent="0.3">
      <c r="A460">
        <f>COUNTIF($D$2:D460,D460)</f>
        <v>2</v>
      </c>
      <c r="B460" t="str">
        <f t="shared" si="29"/>
        <v>2City of London</v>
      </c>
      <c r="C460" t="s">
        <v>1994</v>
      </c>
      <c r="D460" t="s">
        <v>115</v>
      </c>
      <c r="E460">
        <v>3</v>
      </c>
      <c r="F460" t="s">
        <v>1995</v>
      </c>
      <c r="G460" t="s">
        <v>806</v>
      </c>
      <c r="H460" t="s">
        <v>812</v>
      </c>
      <c r="I460" t="s">
        <v>808</v>
      </c>
      <c r="J460">
        <f t="shared" ca="1" si="30"/>
        <v>50000</v>
      </c>
      <c r="K460">
        <f t="shared" ca="1" si="31"/>
        <v>12</v>
      </c>
      <c r="N460" t="str">
        <f t="shared" si="28"/>
        <v>Camden30Extra CareResidential PlacementsExtra care</v>
      </c>
      <c r="O460" t="s">
        <v>107</v>
      </c>
      <c r="P460" t="s">
        <v>790</v>
      </c>
      <c r="Q460">
        <v>30</v>
      </c>
      <c r="R460" t="s">
        <v>1860</v>
      </c>
      <c r="S460" t="s">
        <v>1996</v>
      </c>
      <c r="T460" t="s">
        <v>806</v>
      </c>
      <c r="U460" t="s">
        <v>934</v>
      </c>
      <c r="W460">
        <v>25</v>
      </c>
      <c r="X460">
        <v>25</v>
      </c>
      <c r="Y460" t="s">
        <v>808</v>
      </c>
      <c r="Z460" t="s">
        <v>792</v>
      </c>
      <c r="AB460" t="s">
        <v>793</v>
      </c>
      <c r="AD460" t="s">
        <v>794</v>
      </c>
      <c r="AE460" t="s">
        <v>825</v>
      </c>
      <c r="AF460" t="s">
        <v>845</v>
      </c>
      <c r="AG460" t="s">
        <v>797</v>
      </c>
      <c r="AH460">
        <v>650000</v>
      </c>
      <c r="AI460">
        <v>650000</v>
      </c>
      <c r="AJ460">
        <v>0.15</v>
      </c>
    </row>
    <row r="461" spans="1:36" x14ac:dyDescent="0.3">
      <c r="A461">
        <f>COUNTIF($D$2:D461,D461)</f>
        <v>3</v>
      </c>
      <c r="B461" t="str">
        <f t="shared" si="29"/>
        <v>3City of London</v>
      </c>
      <c r="C461" t="s">
        <v>1997</v>
      </c>
      <c r="D461" t="s">
        <v>115</v>
      </c>
      <c r="E461">
        <v>5</v>
      </c>
      <c r="F461" t="s">
        <v>891</v>
      </c>
      <c r="G461" t="s">
        <v>834</v>
      </c>
      <c r="H461" t="s">
        <v>835</v>
      </c>
      <c r="I461" t="s">
        <v>836</v>
      </c>
      <c r="J461">
        <f t="shared" ca="1" si="30"/>
        <v>37091</v>
      </c>
      <c r="K461">
        <f t="shared" ca="1" si="31"/>
        <v>10</v>
      </c>
      <c r="N461" t="str">
        <f t="shared" si="28"/>
        <v>Camden59Reablement - HomecareHome-based intermediate care servicesReablement at home (to prevent admission to hospital or residential care)</v>
      </c>
      <c r="O461" t="s">
        <v>107</v>
      </c>
      <c r="P461" t="s">
        <v>790</v>
      </c>
      <c r="Q461">
        <v>59</v>
      </c>
      <c r="R461" t="s">
        <v>1823</v>
      </c>
      <c r="S461" t="s">
        <v>1961</v>
      </c>
      <c r="T461" t="s">
        <v>787</v>
      </c>
      <c r="U461" t="s">
        <v>886</v>
      </c>
      <c r="W461">
        <v>280</v>
      </c>
      <c r="X461">
        <v>280</v>
      </c>
      <c r="Y461" t="s">
        <v>789</v>
      </c>
      <c r="Z461" t="s">
        <v>792</v>
      </c>
      <c r="AB461" t="s">
        <v>793</v>
      </c>
      <c r="AD461" t="s">
        <v>794</v>
      </c>
      <c r="AE461" t="s">
        <v>804</v>
      </c>
      <c r="AF461" t="s">
        <v>845</v>
      </c>
      <c r="AG461" t="s">
        <v>797</v>
      </c>
      <c r="AH461">
        <v>410000</v>
      </c>
      <c r="AI461">
        <v>410000</v>
      </c>
      <c r="AJ461">
        <v>0.3</v>
      </c>
    </row>
    <row r="462" spans="1:36" x14ac:dyDescent="0.3">
      <c r="A462">
        <f>COUNTIF($D$2:D462,D462)</f>
        <v>1</v>
      </c>
      <c r="B462" t="str">
        <f t="shared" si="29"/>
        <v>1Cornwall &amp; Scilly</v>
      </c>
      <c r="C462" t="s">
        <v>1998</v>
      </c>
      <c r="D462" t="s">
        <v>117</v>
      </c>
      <c r="E462">
        <v>1</v>
      </c>
      <c r="F462" t="s">
        <v>1999</v>
      </c>
      <c r="G462" t="s">
        <v>811</v>
      </c>
      <c r="H462" t="s">
        <v>812</v>
      </c>
      <c r="I462" t="s">
        <v>813</v>
      </c>
      <c r="J462">
        <f t="shared" ca="1" si="30"/>
        <v>684000</v>
      </c>
      <c r="K462">
        <f t="shared" ca="1" si="31"/>
        <v>2015</v>
      </c>
      <c r="N462" t="str">
        <f t="shared" si="28"/>
        <v xml:space="preserve">Camden61Rehabilitation Service - CarelinkHome-based intermediate care servicesReablement at home (to support discharge) </v>
      </c>
      <c r="O462" t="s">
        <v>107</v>
      </c>
      <c r="P462" t="s">
        <v>790</v>
      </c>
      <c r="Q462">
        <v>61</v>
      </c>
      <c r="R462" t="s">
        <v>1832</v>
      </c>
      <c r="S462" t="s">
        <v>1972</v>
      </c>
      <c r="T462" t="s">
        <v>787</v>
      </c>
      <c r="U462" t="s">
        <v>788</v>
      </c>
      <c r="W462">
        <v>1500</v>
      </c>
      <c r="X462">
        <v>1500</v>
      </c>
      <c r="Y462" t="s">
        <v>789</v>
      </c>
      <c r="Z462" t="s">
        <v>792</v>
      </c>
      <c r="AB462" t="s">
        <v>824</v>
      </c>
      <c r="AD462" t="s">
        <v>794</v>
      </c>
      <c r="AE462" t="s">
        <v>832</v>
      </c>
      <c r="AF462" t="s">
        <v>845</v>
      </c>
      <c r="AG462" t="s">
        <v>797</v>
      </c>
      <c r="AH462">
        <v>166345</v>
      </c>
      <c r="AI462">
        <v>0</v>
      </c>
      <c r="AJ462">
        <v>0.25</v>
      </c>
    </row>
    <row r="463" spans="1:36" x14ac:dyDescent="0.3">
      <c r="A463">
        <f>COUNTIF($D$2:D463,D463)</f>
        <v>2</v>
      </c>
      <c r="B463" t="str">
        <f t="shared" si="29"/>
        <v>2Cornwall &amp; Scilly</v>
      </c>
      <c r="C463" t="s">
        <v>2000</v>
      </c>
      <c r="D463" t="s">
        <v>117</v>
      </c>
      <c r="E463">
        <v>2</v>
      </c>
      <c r="F463" t="s">
        <v>2001</v>
      </c>
      <c r="G463" t="s">
        <v>811</v>
      </c>
      <c r="H463" t="s">
        <v>812</v>
      </c>
      <c r="I463" t="s">
        <v>813</v>
      </c>
      <c r="J463">
        <f t="shared" ca="1" si="30"/>
        <v>1522452</v>
      </c>
      <c r="K463">
        <f t="shared" ca="1" si="31"/>
        <v>4485</v>
      </c>
      <c r="N463" t="str">
        <f t="shared" si="28"/>
        <v>Camden19D2A Plan (P1)Home Care or Domiciliary CareDomiciliary care to support hospital discharge (Discharge to Assess pathway 1)</v>
      </c>
      <c r="O463" t="s">
        <v>107</v>
      </c>
      <c r="P463" t="s">
        <v>790</v>
      </c>
      <c r="Q463">
        <v>19</v>
      </c>
      <c r="R463" t="s">
        <v>1866</v>
      </c>
      <c r="S463" t="s">
        <v>856</v>
      </c>
      <c r="T463" t="s">
        <v>842</v>
      </c>
      <c r="U463" t="s">
        <v>856</v>
      </c>
      <c r="W463">
        <v>8432</v>
      </c>
      <c r="X463">
        <v>19000</v>
      </c>
      <c r="Y463" t="s">
        <v>844</v>
      </c>
      <c r="Z463" t="s">
        <v>823</v>
      </c>
      <c r="AB463" t="s">
        <v>824</v>
      </c>
      <c r="AD463" t="s">
        <v>794</v>
      </c>
      <c r="AE463" t="s">
        <v>804</v>
      </c>
      <c r="AF463" t="s">
        <v>860</v>
      </c>
      <c r="AG463" t="s">
        <v>861</v>
      </c>
      <c r="AH463">
        <v>186000</v>
      </c>
      <c r="AI463">
        <v>0</v>
      </c>
      <c r="AJ463">
        <v>0.24</v>
      </c>
    </row>
    <row r="464" spans="1:36" x14ac:dyDescent="0.3">
      <c r="A464">
        <f>COUNTIF($D$2:D464,D464)</f>
        <v>3</v>
      </c>
      <c r="B464" t="str">
        <f t="shared" si="29"/>
        <v>3Cornwall &amp; Scilly</v>
      </c>
      <c r="C464" t="s">
        <v>2002</v>
      </c>
      <c r="D464" t="s">
        <v>117</v>
      </c>
      <c r="E464">
        <v>4</v>
      </c>
      <c r="F464" t="s">
        <v>2003</v>
      </c>
      <c r="G464" t="s">
        <v>787</v>
      </c>
      <c r="H464" t="s">
        <v>930</v>
      </c>
      <c r="I464" t="s">
        <v>789</v>
      </c>
      <c r="J464">
        <f t="shared" ca="1" si="30"/>
        <v>5577512</v>
      </c>
      <c r="K464">
        <f t="shared" ca="1" si="31"/>
        <v>3300</v>
      </c>
      <c r="N464" t="str">
        <f t="shared" si="28"/>
        <v xml:space="preserve">Central Bedfordshire5Reablement (Protecting Social Care) - NHS fundedHome-based intermediate care servicesReablement at home (to support discharge) </v>
      </c>
      <c r="O464" t="s">
        <v>109</v>
      </c>
      <c r="P464" t="s">
        <v>1056</v>
      </c>
      <c r="Q464">
        <v>5</v>
      </c>
      <c r="R464" t="s">
        <v>1869</v>
      </c>
      <c r="S464" t="s">
        <v>2004</v>
      </c>
      <c r="T464" t="s">
        <v>787</v>
      </c>
      <c r="U464" t="s">
        <v>788</v>
      </c>
      <c r="W464">
        <v>300</v>
      </c>
      <c r="X464">
        <v>300</v>
      </c>
      <c r="Y464" t="s">
        <v>789</v>
      </c>
      <c r="Z464" t="s">
        <v>792</v>
      </c>
      <c r="AB464" t="s">
        <v>793</v>
      </c>
      <c r="AD464" t="s">
        <v>794</v>
      </c>
      <c r="AE464" t="s">
        <v>795</v>
      </c>
      <c r="AF464" t="s">
        <v>796</v>
      </c>
      <c r="AG464" t="s">
        <v>797</v>
      </c>
      <c r="AH464">
        <v>1072881</v>
      </c>
      <c r="AI464">
        <v>1136961</v>
      </c>
      <c r="AJ464">
        <v>0.6</v>
      </c>
    </row>
    <row r="465" spans="1:36" x14ac:dyDescent="0.3">
      <c r="A465">
        <f>COUNTIF($D$2:D465,D465)</f>
        <v>4</v>
      </c>
      <c r="B465" t="str">
        <f t="shared" si="29"/>
        <v>4Cornwall &amp; Scilly</v>
      </c>
      <c r="C465" t="s">
        <v>2005</v>
      </c>
      <c r="D465" t="s">
        <v>117</v>
      </c>
      <c r="E465">
        <v>7</v>
      </c>
      <c r="F465" t="s">
        <v>2006</v>
      </c>
      <c r="G465" t="s">
        <v>787</v>
      </c>
      <c r="H465" t="s">
        <v>788</v>
      </c>
      <c r="I465" t="s">
        <v>789</v>
      </c>
      <c r="J465">
        <f t="shared" ca="1" si="30"/>
        <v>3800449.6721999999</v>
      </c>
      <c r="K465">
        <f t="shared" ca="1" si="31"/>
        <v>1908</v>
      </c>
      <c r="N465" t="str">
        <f t="shared" si="28"/>
        <v xml:space="preserve">Central Bedfordshire6Reablement (Protecting Social Care) - LA funding top upHome-based intermediate care servicesReablement at home (to support discharge) </v>
      </c>
      <c r="O465" t="s">
        <v>109</v>
      </c>
      <c r="P465" t="s">
        <v>1056</v>
      </c>
      <c r="Q465">
        <v>6</v>
      </c>
      <c r="R465" t="s">
        <v>1872</v>
      </c>
      <c r="S465" t="s">
        <v>2004</v>
      </c>
      <c r="T465" t="s">
        <v>787</v>
      </c>
      <c r="U465" t="s">
        <v>788</v>
      </c>
      <c r="W465">
        <v>150</v>
      </c>
      <c r="X465">
        <v>150</v>
      </c>
      <c r="Y465" t="s">
        <v>789</v>
      </c>
      <c r="Z465" t="s">
        <v>792</v>
      </c>
      <c r="AB465" t="s">
        <v>793</v>
      </c>
      <c r="AD465" t="s">
        <v>794</v>
      </c>
      <c r="AE465" t="s">
        <v>795</v>
      </c>
      <c r="AF465" t="s">
        <v>1029</v>
      </c>
      <c r="AG465" t="s">
        <v>797</v>
      </c>
      <c r="AH465">
        <v>1072881</v>
      </c>
      <c r="AI465">
        <v>0</v>
      </c>
      <c r="AJ465">
        <v>0.2</v>
      </c>
    </row>
    <row r="466" spans="1:36" x14ac:dyDescent="0.3">
      <c r="A466">
        <f>COUNTIF($D$2:D466,D466)</f>
        <v>5</v>
      </c>
      <c r="B466" t="str">
        <f t="shared" si="29"/>
        <v>5Cornwall &amp; Scilly</v>
      </c>
      <c r="C466" t="s">
        <v>2007</v>
      </c>
      <c r="D466" t="s">
        <v>117</v>
      </c>
      <c r="E466">
        <v>9</v>
      </c>
      <c r="F466" t="s">
        <v>2008</v>
      </c>
      <c r="G466" t="s">
        <v>877</v>
      </c>
      <c r="H466" t="s">
        <v>968</v>
      </c>
      <c r="I466" t="s">
        <v>879</v>
      </c>
      <c r="J466">
        <f t="shared" ca="1" si="30"/>
        <v>12000000</v>
      </c>
      <c r="K466">
        <f t="shared" ca="1" si="31"/>
        <v>3432</v>
      </c>
      <c r="N466" t="str">
        <f t="shared" si="28"/>
        <v>Central Bedfordshire7Access to community beds (Step up/Step Down)Bed based intermediate Care Services (Reablement, rehabilitation, wider short-term services supporting recovery)Bed-based intermediate care with reablement accepting step up and step down users</v>
      </c>
      <c r="O466" t="s">
        <v>109</v>
      </c>
      <c r="P466" t="s">
        <v>1056</v>
      </c>
      <c r="Q466">
        <v>7</v>
      </c>
      <c r="R466" t="s">
        <v>1875</v>
      </c>
      <c r="S466" t="s">
        <v>2009</v>
      </c>
      <c r="T466" t="s">
        <v>877</v>
      </c>
      <c r="U466" t="s">
        <v>1259</v>
      </c>
      <c r="W466">
        <v>14</v>
      </c>
      <c r="X466">
        <v>14</v>
      </c>
      <c r="Y466" t="s">
        <v>879</v>
      </c>
      <c r="Z466" t="s">
        <v>792</v>
      </c>
      <c r="AB466" t="s">
        <v>793</v>
      </c>
      <c r="AD466" t="s">
        <v>794</v>
      </c>
      <c r="AE466" t="s">
        <v>795</v>
      </c>
      <c r="AF466" t="s">
        <v>796</v>
      </c>
      <c r="AG466" t="s">
        <v>797</v>
      </c>
      <c r="AH466">
        <v>1045271</v>
      </c>
      <c r="AI466">
        <v>1104433</v>
      </c>
      <c r="AJ466">
        <v>0.3</v>
      </c>
    </row>
    <row r="467" spans="1:36" x14ac:dyDescent="0.3">
      <c r="A467">
        <f>COUNTIF($D$2:D467,D467)</f>
        <v>6</v>
      </c>
      <c r="B467" t="str">
        <f t="shared" si="29"/>
        <v>6Cornwall &amp; Scilly</v>
      </c>
      <c r="C467" t="s">
        <v>2010</v>
      </c>
      <c r="D467" t="s">
        <v>117</v>
      </c>
      <c r="E467">
        <v>10</v>
      </c>
      <c r="F467" t="s">
        <v>2011</v>
      </c>
      <c r="G467" t="s">
        <v>800</v>
      </c>
      <c r="H467" t="s">
        <v>903</v>
      </c>
      <c r="I467" t="s">
        <v>802</v>
      </c>
      <c r="J467">
        <f t="shared" ca="1" si="30"/>
        <v>1674605</v>
      </c>
      <c r="K467">
        <f t="shared" ca="1" si="31"/>
        <v>12627</v>
      </c>
      <c r="N467" t="str">
        <f t="shared" si="28"/>
        <v>Central Bedfordshire11Care home speciaist equipment (DFG)Assistive Technologies and EquipmentCommunity based equipment</v>
      </c>
      <c r="O467" t="s">
        <v>109</v>
      </c>
      <c r="P467" t="s">
        <v>1056</v>
      </c>
      <c r="Q467">
        <v>11</v>
      </c>
      <c r="R467" t="s">
        <v>1878</v>
      </c>
      <c r="S467" t="s">
        <v>2012</v>
      </c>
      <c r="T467" t="s">
        <v>800</v>
      </c>
      <c r="U467" t="s">
        <v>903</v>
      </c>
      <c r="W467">
        <v>30</v>
      </c>
      <c r="X467">
        <v>30</v>
      </c>
      <c r="Y467" t="s">
        <v>802</v>
      </c>
      <c r="Z467" t="s">
        <v>792</v>
      </c>
      <c r="AB467" t="s">
        <v>793</v>
      </c>
      <c r="AD467" t="s">
        <v>794</v>
      </c>
      <c r="AE467" t="s">
        <v>804</v>
      </c>
      <c r="AF467" t="s">
        <v>840</v>
      </c>
      <c r="AG467" t="s">
        <v>797</v>
      </c>
      <c r="AH467">
        <v>225413</v>
      </c>
      <c r="AI467">
        <v>225413</v>
      </c>
      <c r="AJ467">
        <v>0.09</v>
      </c>
    </row>
    <row r="468" spans="1:36" x14ac:dyDescent="0.3">
      <c r="A468">
        <f>COUNTIF($D$2:D468,D468)</f>
        <v>7</v>
      </c>
      <c r="B468" t="str">
        <f t="shared" si="29"/>
        <v>7Cornwall &amp; Scilly</v>
      </c>
      <c r="C468" t="s">
        <v>2013</v>
      </c>
      <c r="D468" t="s">
        <v>117</v>
      </c>
      <c r="E468">
        <v>11</v>
      </c>
      <c r="F468" t="s">
        <v>2014</v>
      </c>
      <c r="G468" t="s">
        <v>800</v>
      </c>
      <c r="H468" t="s">
        <v>903</v>
      </c>
      <c r="I468" t="s">
        <v>802</v>
      </c>
      <c r="J468">
        <f t="shared" ca="1" si="30"/>
        <v>4099896.4517999999</v>
      </c>
      <c r="K468">
        <f t="shared" ca="1" si="31"/>
        <v>30914.82</v>
      </c>
      <c r="N468" t="str">
        <f t="shared" si="28"/>
        <v>Central Bedfordshire12Community Equipment ServiceAssistive Technologies and EquipmentCommunity based equipment</v>
      </c>
      <c r="O468" t="s">
        <v>109</v>
      </c>
      <c r="P468" t="s">
        <v>1056</v>
      </c>
      <c r="Q468">
        <v>12</v>
      </c>
      <c r="R468" t="s">
        <v>1881</v>
      </c>
      <c r="S468" t="s">
        <v>2015</v>
      </c>
      <c r="T468" t="s">
        <v>800</v>
      </c>
      <c r="U468" t="s">
        <v>903</v>
      </c>
      <c r="W468">
        <v>500</v>
      </c>
      <c r="X468">
        <v>500</v>
      </c>
      <c r="Y468" t="s">
        <v>802</v>
      </c>
      <c r="Z468" t="s">
        <v>792</v>
      </c>
      <c r="AB468" t="s">
        <v>793</v>
      </c>
      <c r="AD468" t="s">
        <v>794</v>
      </c>
      <c r="AE468" t="s">
        <v>804</v>
      </c>
      <c r="AF468" t="s">
        <v>796</v>
      </c>
      <c r="AG468" t="s">
        <v>797</v>
      </c>
      <c r="AH468">
        <v>719077</v>
      </c>
      <c r="AI468">
        <v>759777</v>
      </c>
      <c r="AJ468">
        <v>0.25</v>
      </c>
    </row>
    <row r="469" spans="1:36" x14ac:dyDescent="0.3">
      <c r="A469">
        <f>COUNTIF($D$2:D469,D469)</f>
        <v>8</v>
      </c>
      <c r="B469" t="str">
        <f t="shared" si="29"/>
        <v>8Cornwall &amp; Scilly</v>
      </c>
      <c r="C469" t="s">
        <v>2016</v>
      </c>
      <c r="D469" t="s">
        <v>117</v>
      </c>
      <c r="E469">
        <v>12</v>
      </c>
      <c r="F469" t="s">
        <v>2017</v>
      </c>
      <c r="G469" t="s">
        <v>800</v>
      </c>
      <c r="H469" t="s">
        <v>903</v>
      </c>
      <c r="I469" t="s">
        <v>802</v>
      </c>
      <c r="J469">
        <f t="shared" ca="1" si="30"/>
        <v>2218860</v>
      </c>
      <c r="K469">
        <f t="shared" ca="1" si="31"/>
        <v>1400</v>
      </c>
      <c r="N469" t="str">
        <f t="shared" si="28"/>
        <v>Central Bedfordshire13Self care management (Telecare)Assistive Technologies and EquipmentAssistive technologies including telecare</v>
      </c>
      <c r="O469" t="s">
        <v>109</v>
      </c>
      <c r="P469" t="s">
        <v>1056</v>
      </c>
      <c r="Q469">
        <v>13</v>
      </c>
      <c r="R469" t="s">
        <v>1884</v>
      </c>
      <c r="S469" t="s">
        <v>2018</v>
      </c>
      <c r="T469" t="s">
        <v>800</v>
      </c>
      <c r="U469" t="s">
        <v>850</v>
      </c>
      <c r="W469">
        <v>1000</v>
      </c>
      <c r="X469">
        <v>1000</v>
      </c>
      <c r="Y469" t="s">
        <v>802</v>
      </c>
      <c r="Z469" t="s">
        <v>792</v>
      </c>
      <c r="AB469" t="s">
        <v>793</v>
      </c>
      <c r="AD469" t="s">
        <v>794</v>
      </c>
      <c r="AE469" t="s">
        <v>804</v>
      </c>
      <c r="AF469" t="s">
        <v>796</v>
      </c>
      <c r="AG469" t="s">
        <v>797</v>
      </c>
      <c r="AH469">
        <v>205625</v>
      </c>
      <c r="AI469">
        <v>217263</v>
      </c>
      <c r="AJ469">
        <v>0.1</v>
      </c>
    </row>
    <row r="470" spans="1:36" x14ac:dyDescent="0.3">
      <c r="A470">
        <f>COUNTIF($D$2:D470,D470)</f>
        <v>9</v>
      </c>
      <c r="B470" t="str">
        <f t="shared" si="29"/>
        <v>9Cornwall &amp; Scilly</v>
      </c>
      <c r="C470" t="s">
        <v>2019</v>
      </c>
      <c r="D470" t="s">
        <v>117</v>
      </c>
      <c r="E470">
        <v>21</v>
      </c>
      <c r="F470" t="s">
        <v>2020</v>
      </c>
      <c r="G470" t="s">
        <v>787</v>
      </c>
      <c r="H470" t="s">
        <v>812</v>
      </c>
      <c r="I470" t="s">
        <v>789</v>
      </c>
      <c r="J470">
        <f t="shared" ca="1" si="30"/>
        <v>73962</v>
      </c>
      <c r="K470">
        <f t="shared" ca="1" si="31"/>
        <v>30</v>
      </c>
      <c r="N470" t="str">
        <f t="shared" si="28"/>
        <v>Central Bedfordshire16Carers Support (CiB Dementia)Carers ServicesCarer advice and support related to Care Act duties</v>
      </c>
      <c r="O470" t="s">
        <v>109</v>
      </c>
      <c r="P470" t="s">
        <v>1056</v>
      </c>
      <c r="Q470">
        <v>16</v>
      </c>
      <c r="R470" t="s">
        <v>1887</v>
      </c>
      <c r="S470" t="s">
        <v>2021</v>
      </c>
      <c r="T470" t="s">
        <v>811</v>
      </c>
      <c r="U470" t="s">
        <v>895</v>
      </c>
      <c r="W470">
        <v>3200</v>
      </c>
      <c r="X470">
        <v>3200</v>
      </c>
      <c r="Y470" t="s">
        <v>813</v>
      </c>
      <c r="Z470" t="s">
        <v>792</v>
      </c>
      <c r="AB470" t="s">
        <v>793</v>
      </c>
      <c r="AD470" t="s">
        <v>794</v>
      </c>
      <c r="AE470" t="s">
        <v>825</v>
      </c>
      <c r="AF470" t="s">
        <v>796</v>
      </c>
      <c r="AG470" t="s">
        <v>797</v>
      </c>
      <c r="AH470">
        <v>37377</v>
      </c>
      <c r="AI470">
        <v>39492</v>
      </c>
      <c r="AJ470">
        <v>0.1</v>
      </c>
    </row>
    <row r="471" spans="1:36" x14ac:dyDescent="0.3">
      <c r="A471">
        <f>COUNTIF($D$2:D471,D471)</f>
        <v>10</v>
      </c>
      <c r="B471" t="str">
        <f t="shared" si="29"/>
        <v>10Cornwall &amp; Scilly</v>
      </c>
      <c r="C471" t="s">
        <v>2022</v>
      </c>
      <c r="D471" t="s">
        <v>117</v>
      </c>
      <c r="E471">
        <v>22</v>
      </c>
      <c r="F471" t="s">
        <v>2023</v>
      </c>
      <c r="G471" t="s">
        <v>1453</v>
      </c>
      <c r="H471" t="s">
        <v>1460</v>
      </c>
      <c r="I471" t="s">
        <v>794</v>
      </c>
      <c r="J471">
        <f t="shared" ca="1" si="30"/>
        <v>58113</v>
      </c>
      <c r="K471">
        <f t="shared" ca="1" si="31"/>
        <v>96</v>
      </c>
      <c r="N471" t="str">
        <f t="shared" si="28"/>
        <v>Central Bedfordshire17Carers Support (CiB)Carers ServicesCarer advice and support related to Care Act duties</v>
      </c>
      <c r="O471" t="s">
        <v>109</v>
      </c>
      <c r="P471" t="s">
        <v>1056</v>
      </c>
      <c r="Q471">
        <v>17</v>
      </c>
      <c r="R471" t="s">
        <v>1049</v>
      </c>
      <c r="S471" t="s">
        <v>2024</v>
      </c>
      <c r="T471" t="s">
        <v>811</v>
      </c>
      <c r="U471" t="s">
        <v>895</v>
      </c>
      <c r="W471">
        <v>3200</v>
      </c>
      <c r="X471">
        <v>3200</v>
      </c>
      <c r="Y471" t="s">
        <v>813</v>
      </c>
      <c r="Z471" t="s">
        <v>792</v>
      </c>
      <c r="AB471" t="s">
        <v>793</v>
      </c>
      <c r="AD471" t="s">
        <v>794</v>
      </c>
      <c r="AE471" t="s">
        <v>825</v>
      </c>
      <c r="AF471" t="s">
        <v>796</v>
      </c>
      <c r="AG471" t="s">
        <v>797</v>
      </c>
      <c r="AH471">
        <v>204322</v>
      </c>
      <c r="AI471">
        <v>0</v>
      </c>
      <c r="AJ471">
        <v>0.2</v>
      </c>
    </row>
    <row r="472" spans="1:36" x14ac:dyDescent="0.3">
      <c r="A472">
        <f>COUNTIF($D$2:D472,D472)</f>
        <v>11</v>
      </c>
      <c r="B472" t="str">
        <f t="shared" si="29"/>
        <v>11Cornwall &amp; Scilly</v>
      </c>
      <c r="C472" t="s">
        <v>2025</v>
      </c>
      <c r="D472" t="s">
        <v>117</v>
      </c>
      <c r="E472">
        <v>23</v>
      </c>
      <c r="F472" t="s">
        <v>2026</v>
      </c>
      <c r="G472" t="s">
        <v>1431</v>
      </c>
      <c r="H472" t="s">
        <v>2027</v>
      </c>
      <c r="I472" t="s">
        <v>794</v>
      </c>
      <c r="J472">
        <f t="shared" ca="1" si="30"/>
        <v>27472</v>
      </c>
      <c r="K472">
        <f t="shared" ca="1" si="31"/>
        <v>2271</v>
      </c>
      <c r="N472" t="str">
        <f t="shared" si="28"/>
        <v>Central Bedfordshire19Rehabilitation (ELFT Contracts)Home-based intermediate care servicesRehabilitation at home (accepting step up and step down users)</v>
      </c>
      <c r="O472" t="s">
        <v>109</v>
      </c>
      <c r="P472" t="s">
        <v>1056</v>
      </c>
      <c r="Q472">
        <v>19</v>
      </c>
      <c r="R472" t="s">
        <v>1892</v>
      </c>
      <c r="S472" t="s">
        <v>2028</v>
      </c>
      <c r="T472" t="s">
        <v>787</v>
      </c>
      <c r="U472" t="s">
        <v>1688</v>
      </c>
      <c r="W472">
        <v>100</v>
      </c>
      <c r="X472">
        <v>100</v>
      </c>
      <c r="Y472" t="s">
        <v>789</v>
      </c>
      <c r="Z472" t="s">
        <v>792</v>
      </c>
      <c r="AB472" t="s">
        <v>793</v>
      </c>
      <c r="AD472" t="s">
        <v>794</v>
      </c>
      <c r="AE472" t="s">
        <v>832</v>
      </c>
      <c r="AF472" t="s">
        <v>1029</v>
      </c>
      <c r="AG472" t="s">
        <v>797</v>
      </c>
      <c r="AH472">
        <v>577009</v>
      </c>
      <c r="AI472">
        <v>0</v>
      </c>
      <c r="AJ472">
        <v>0.1</v>
      </c>
    </row>
    <row r="473" spans="1:36" x14ac:dyDescent="0.3">
      <c r="A473">
        <f>COUNTIF($D$2:D473,D473)</f>
        <v>12</v>
      </c>
      <c r="B473" t="str">
        <f t="shared" si="29"/>
        <v>12Cornwall &amp; Scilly</v>
      </c>
      <c r="C473" t="s">
        <v>2029</v>
      </c>
      <c r="D473" t="s">
        <v>117</v>
      </c>
      <c r="E473">
        <v>24</v>
      </c>
      <c r="F473" t="s">
        <v>2030</v>
      </c>
      <c r="G473" t="s">
        <v>2031</v>
      </c>
      <c r="H473" t="s">
        <v>2032</v>
      </c>
      <c r="I473" t="s">
        <v>794</v>
      </c>
      <c r="J473">
        <f t="shared" ca="1" si="30"/>
        <v>31698</v>
      </c>
      <c r="K473">
        <f t="shared" ca="1" si="31"/>
        <v>2271</v>
      </c>
      <c r="N473" t="str">
        <f t="shared" si="28"/>
        <v>Central Bedfordshire21DFG and Minor WorksDFG Related SchemesDiscretionary use of DFG</v>
      </c>
      <c r="O473" t="s">
        <v>109</v>
      </c>
      <c r="P473" t="s">
        <v>1056</v>
      </c>
      <c r="Q473">
        <v>21</v>
      </c>
      <c r="R473" t="s">
        <v>1895</v>
      </c>
      <c r="S473" t="s">
        <v>2033</v>
      </c>
      <c r="T473" t="s">
        <v>834</v>
      </c>
      <c r="U473" t="s">
        <v>1293</v>
      </c>
      <c r="W473">
        <v>350</v>
      </c>
      <c r="X473">
        <v>350</v>
      </c>
      <c r="Y473" t="s">
        <v>836</v>
      </c>
      <c r="Z473" t="s">
        <v>792</v>
      </c>
      <c r="AB473" t="s">
        <v>793</v>
      </c>
      <c r="AD473" t="s">
        <v>794</v>
      </c>
      <c r="AE473" t="s">
        <v>804</v>
      </c>
      <c r="AF473" t="s">
        <v>840</v>
      </c>
      <c r="AG473" t="s">
        <v>797</v>
      </c>
      <c r="AH473">
        <v>630625</v>
      </c>
      <c r="AI473">
        <v>630625</v>
      </c>
      <c r="AJ473">
        <v>0.55000000000000004</v>
      </c>
    </row>
    <row r="474" spans="1:36" x14ac:dyDescent="0.3">
      <c r="A474">
        <f>COUNTIF($D$2:D474,D474)</f>
        <v>13</v>
      </c>
      <c r="B474" t="str">
        <f t="shared" si="29"/>
        <v>13Cornwall &amp; Scilly</v>
      </c>
      <c r="C474" t="s">
        <v>2034</v>
      </c>
      <c r="D474" t="s">
        <v>117</v>
      </c>
      <c r="E474">
        <v>25</v>
      </c>
      <c r="F474" t="s">
        <v>2035</v>
      </c>
      <c r="G474" t="s">
        <v>2031</v>
      </c>
      <c r="H474" t="s">
        <v>2032</v>
      </c>
      <c r="I474" t="s">
        <v>794</v>
      </c>
      <c r="J474">
        <f t="shared" ca="1" si="30"/>
        <v>10566</v>
      </c>
      <c r="K474">
        <f t="shared" ca="1" si="31"/>
        <v>20</v>
      </c>
      <c r="N474" t="str">
        <f t="shared" si="28"/>
        <v>Central Bedfordshire35DFGs and Minor WorksDFG Related SchemesDiscretionary use of DFG</v>
      </c>
      <c r="O474" t="s">
        <v>109</v>
      </c>
      <c r="P474" t="s">
        <v>1056</v>
      </c>
      <c r="Q474">
        <v>35</v>
      </c>
      <c r="R474" t="s">
        <v>1898</v>
      </c>
      <c r="S474" t="s">
        <v>2036</v>
      </c>
      <c r="T474" t="s">
        <v>834</v>
      </c>
      <c r="U474" t="s">
        <v>1293</v>
      </c>
      <c r="W474">
        <v>250</v>
      </c>
      <c r="X474">
        <v>250</v>
      </c>
      <c r="Y474" t="s">
        <v>836</v>
      </c>
      <c r="Z474" t="s">
        <v>792</v>
      </c>
      <c r="AB474" t="s">
        <v>793</v>
      </c>
      <c r="AD474" t="s">
        <v>794</v>
      </c>
      <c r="AE474" t="s">
        <v>804</v>
      </c>
      <c r="AF474" t="s">
        <v>1029</v>
      </c>
      <c r="AG474" t="s">
        <v>797</v>
      </c>
      <c r="AH474">
        <v>1174926</v>
      </c>
      <c r="AI474">
        <v>0</v>
      </c>
      <c r="AJ474">
        <v>0.45</v>
      </c>
    </row>
    <row r="475" spans="1:36" x14ac:dyDescent="0.3">
      <c r="A475">
        <f>COUNTIF($D$2:D475,D475)</f>
        <v>14</v>
      </c>
      <c r="B475" t="str">
        <f t="shared" si="29"/>
        <v>14Cornwall &amp; Scilly</v>
      </c>
      <c r="C475" t="s">
        <v>2037</v>
      </c>
      <c r="D475" t="s">
        <v>117</v>
      </c>
      <c r="E475">
        <v>26</v>
      </c>
      <c r="F475" t="s">
        <v>2038</v>
      </c>
      <c r="G475" t="s">
        <v>1453</v>
      </c>
      <c r="H475" t="s">
        <v>1454</v>
      </c>
      <c r="I475" t="s">
        <v>794</v>
      </c>
      <c r="J475">
        <f t="shared" ca="1" si="30"/>
        <v>7396</v>
      </c>
      <c r="K475">
        <f t="shared" ca="1" si="31"/>
        <v>15</v>
      </c>
      <c r="N475" t="str">
        <f t="shared" si="28"/>
        <v>Central Bedfordshire36Domiciliary Care DigitisationAssistive Technologies and EquipmentDigital participation services</v>
      </c>
      <c r="O475" t="s">
        <v>109</v>
      </c>
      <c r="P475" t="s">
        <v>1056</v>
      </c>
      <c r="Q475">
        <v>36</v>
      </c>
      <c r="R475" t="s">
        <v>1901</v>
      </c>
      <c r="S475" t="s">
        <v>2039</v>
      </c>
      <c r="T475" t="s">
        <v>800</v>
      </c>
      <c r="U475" t="s">
        <v>907</v>
      </c>
      <c r="W475">
        <v>1500</v>
      </c>
      <c r="X475">
        <v>1500</v>
      </c>
      <c r="Y475" t="s">
        <v>802</v>
      </c>
      <c r="Z475" t="s">
        <v>792</v>
      </c>
      <c r="AB475" t="s">
        <v>793</v>
      </c>
      <c r="AD475" t="s">
        <v>794</v>
      </c>
      <c r="AE475" t="s">
        <v>804</v>
      </c>
      <c r="AF475" t="s">
        <v>1029</v>
      </c>
      <c r="AG475" t="s">
        <v>797</v>
      </c>
      <c r="AH475">
        <v>350000</v>
      </c>
      <c r="AI475">
        <v>0</v>
      </c>
      <c r="AJ475">
        <v>0.14000000000000001</v>
      </c>
    </row>
    <row r="476" spans="1:36" x14ac:dyDescent="0.3">
      <c r="A476">
        <f>COUNTIF($D$2:D476,D476)</f>
        <v>15</v>
      </c>
      <c r="B476" t="str">
        <f t="shared" si="29"/>
        <v>15Cornwall &amp; Scilly</v>
      </c>
      <c r="C476" t="s">
        <v>2040</v>
      </c>
      <c r="D476" t="s">
        <v>117</v>
      </c>
      <c r="E476">
        <v>29</v>
      </c>
      <c r="F476" t="s">
        <v>2041</v>
      </c>
      <c r="G476" t="s">
        <v>1431</v>
      </c>
      <c r="H476" t="s">
        <v>1432</v>
      </c>
      <c r="I476" t="s">
        <v>794</v>
      </c>
      <c r="J476">
        <f t="shared" ca="1" si="30"/>
        <v>81490</v>
      </c>
      <c r="K476">
        <f t="shared" ca="1" si="31"/>
        <v>20</v>
      </c>
      <c r="N476" t="str">
        <f t="shared" si="28"/>
        <v>Central Bedfordshire37Technology Enabled CareAssistive Technologies and EquipmentAssistive technologies including telecare</v>
      </c>
      <c r="O476" t="s">
        <v>109</v>
      </c>
      <c r="P476" t="s">
        <v>1056</v>
      </c>
      <c r="Q476">
        <v>37</v>
      </c>
      <c r="R476" t="s">
        <v>1160</v>
      </c>
      <c r="S476" t="s">
        <v>2042</v>
      </c>
      <c r="T476" t="s">
        <v>800</v>
      </c>
      <c r="U476" t="s">
        <v>850</v>
      </c>
      <c r="W476">
        <v>2000</v>
      </c>
      <c r="X476">
        <v>2000</v>
      </c>
      <c r="Y476" t="s">
        <v>802</v>
      </c>
      <c r="Z476" t="s">
        <v>792</v>
      </c>
      <c r="AB476" t="s">
        <v>793</v>
      </c>
      <c r="AD476" t="s">
        <v>794</v>
      </c>
      <c r="AE476" t="s">
        <v>804</v>
      </c>
      <c r="AF476" t="s">
        <v>1029</v>
      </c>
      <c r="AG476" t="s">
        <v>797</v>
      </c>
      <c r="AH476">
        <v>480000</v>
      </c>
      <c r="AI476">
        <v>0</v>
      </c>
      <c r="AJ476">
        <v>0.1</v>
      </c>
    </row>
    <row r="477" spans="1:36" x14ac:dyDescent="0.3">
      <c r="A477">
        <f>COUNTIF($D$2:D477,D477)</f>
        <v>16</v>
      </c>
      <c r="B477" t="str">
        <f t="shared" si="29"/>
        <v>16Cornwall &amp; Scilly</v>
      </c>
      <c r="C477" t="s">
        <v>2043</v>
      </c>
      <c r="D477" t="s">
        <v>117</v>
      </c>
      <c r="E477">
        <v>42</v>
      </c>
      <c r="F477" t="s">
        <v>2044</v>
      </c>
      <c r="G477" t="s">
        <v>787</v>
      </c>
      <c r="H477" t="s">
        <v>788</v>
      </c>
      <c r="I477" t="s">
        <v>789</v>
      </c>
      <c r="J477">
        <f t="shared" ca="1" si="30"/>
        <v>2228000</v>
      </c>
      <c r="K477">
        <f t="shared" ca="1" si="31"/>
        <v>3640</v>
      </c>
      <c r="N477" t="str">
        <f t="shared" si="28"/>
        <v>Central Bedfordshire38Mobilise Digital Support for CarersAssistive Technologies and EquipmentDigital participation services</v>
      </c>
      <c r="O477" t="s">
        <v>109</v>
      </c>
      <c r="P477" t="s">
        <v>1056</v>
      </c>
      <c r="Q477">
        <v>38</v>
      </c>
      <c r="R477" t="s">
        <v>1906</v>
      </c>
      <c r="S477" t="s">
        <v>2045</v>
      </c>
      <c r="T477" t="s">
        <v>800</v>
      </c>
      <c r="U477" t="s">
        <v>907</v>
      </c>
      <c r="W477">
        <v>3200</v>
      </c>
      <c r="X477">
        <v>3200</v>
      </c>
      <c r="Y477" t="s">
        <v>802</v>
      </c>
      <c r="Z477" t="s">
        <v>792</v>
      </c>
      <c r="AB477" t="s">
        <v>793</v>
      </c>
      <c r="AD477" t="s">
        <v>794</v>
      </c>
      <c r="AE477" t="s">
        <v>804</v>
      </c>
      <c r="AF477" t="s">
        <v>796</v>
      </c>
      <c r="AG477" t="s">
        <v>797</v>
      </c>
      <c r="AH477">
        <v>65509</v>
      </c>
      <c r="AI477">
        <v>65509</v>
      </c>
      <c r="AJ477">
        <v>0.05</v>
      </c>
    </row>
    <row r="478" spans="1:36" x14ac:dyDescent="0.3">
      <c r="A478">
        <f>COUNTIF($D$2:D478,D478)</f>
        <v>1</v>
      </c>
      <c r="B478" t="str">
        <f t="shared" si="29"/>
        <v>1County Durham</v>
      </c>
      <c r="C478" t="s">
        <v>2046</v>
      </c>
      <c r="D478" t="s">
        <v>119</v>
      </c>
      <c r="E478">
        <v>3</v>
      </c>
      <c r="F478" t="s">
        <v>2047</v>
      </c>
      <c r="G478" t="s">
        <v>787</v>
      </c>
      <c r="H478" t="s">
        <v>788</v>
      </c>
      <c r="I478" t="s">
        <v>789</v>
      </c>
      <c r="J478">
        <f t="shared" ca="1" si="30"/>
        <v>1500409</v>
      </c>
      <c r="K478">
        <f t="shared" ca="1" si="31"/>
        <v>2117</v>
      </c>
      <c r="N478" t="str">
        <f t="shared" si="28"/>
        <v>Central Bedfordshire46CCG Commissioned BedsBed based intermediate Care Services (Reablement, rehabilitation, wider short-term services supporting recovery)Bed-based intermediate care with rehabilitation (to support discharge)</v>
      </c>
      <c r="O478" t="s">
        <v>109</v>
      </c>
      <c r="P478" t="s">
        <v>1056</v>
      </c>
      <c r="Q478">
        <v>46</v>
      </c>
      <c r="R478" t="s">
        <v>1909</v>
      </c>
      <c r="S478" t="s">
        <v>2048</v>
      </c>
      <c r="T478" t="s">
        <v>877</v>
      </c>
      <c r="U478" t="s">
        <v>968</v>
      </c>
      <c r="W478">
        <v>10</v>
      </c>
      <c r="X478">
        <v>10</v>
      </c>
      <c r="Y478" t="s">
        <v>879</v>
      </c>
      <c r="Z478" t="s">
        <v>792</v>
      </c>
      <c r="AB478" t="s">
        <v>824</v>
      </c>
      <c r="AD478" t="s">
        <v>794</v>
      </c>
      <c r="AE478" t="s">
        <v>804</v>
      </c>
      <c r="AF478" t="s">
        <v>860</v>
      </c>
      <c r="AG478" t="s">
        <v>861</v>
      </c>
      <c r="AH478">
        <v>510563</v>
      </c>
      <c r="AI478">
        <v>711536</v>
      </c>
      <c r="AJ478">
        <v>0.2</v>
      </c>
    </row>
    <row r="479" spans="1:36" x14ac:dyDescent="0.3">
      <c r="A479">
        <f>COUNTIF($D$2:D479,D479)</f>
        <v>2</v>
      </c>
      <c r="B479" t="str">
        <f t="shared" si="29"/>
        <v>2County Durham</v>
      </c>
      <c r="C479" t="s">
        <v>2049</v>
      </c>
      <c r="D479" t="s">
        <v>119</v>
      </c>
      <c r="E479">
        <v>6</v>
      </c>
      <c r="F479" t="s">
        <v>2050</v>
      </c>
      <c r="G479" t="s">
        <v>834</v>
      </c>
      <c r="H479" t="s">
        <v>835</v>
      </c>
      <c r="I479" t="s">
        <v>836</v>
      </c>
      <c r="J479">
        <f t="shared" ca="1" si="30"/>
        <v>6988139</v>
      </c>
      <c r="K479">
        <f t="shared" ca="1" si="31"/>
        <v>956</v>
      </c>
      <c r="N479" t="str">
        <f t="shared" si="28"/>
        <v>Central Bedfordshire60Domicilary Care ELFTHome Care or Domiciliary CareDomiciliary care to support hospital discharge (Discharge to Assess pathway 1)</v>
      </c>
      <c r="O479" t="s">
        <v>109</v>
      </c>
      <c r="P479" t="s">
        <v>1056</v>
      </c>
      <c r="Q479">
        <v>60</v>
      </c>
      <c r="R479" t="s">
        <v>1912</v>
      </c>
      <c r="S479" t="s">
        <v>2051</v>
      </c>
      <c r="T479" t="s">
        <v>842</v>
      </c>
      <c r="U479" t="s">
        <v>856</v>
      </c>
      <c r="W479">
        <v>3000</v>
      </c>
      <c r="X479">
        <v>3000</v>
      </c>
      <c r="Y479" t="s">
        <v>844</v>
      </c>
      <c r="Z479" t="s">
        <v>792</v>
      </c>
      <c r="AB479" t="s">
        <v>824</v>
      </c>
      <c r="AD479" t="s">
        <v>794</v>
      </c>
      <c r="AE479" t="s">
        <v>804</v>
      </c>
      <c r="AF479" t="s">
        <v>860</v>
      </c>
      <c r="AG479" t="s">
        <v>861</v>
      </c>
      <c r="AH479">
        <v>393667</v>
      </c>
      <c r="AI479">
        <v>202709</v>
      </c>
      <c r="AJ479">
        <v>0.2</v>
      </c>
    </row>
    <row r="480" spans="1:36" x14ac:dyDescent="0.3">
      <c r="A480">
        <f>COUNTIF($D$2:D480,D480)</f>
        <v>3</v>
      </c>
      <c r="B480" t="str">
        <f t="shared" si="29"/>
        <v>3County Durham</v>
      </c>
      <c r="C480" t="s">
        <v>2052</v>
      </c>
      <c r="D480" t="s">
        <v>119</v>
      </c>
      <c r="E480">
        <v>8</v>
      </c>
      <c r="F480" t="s">
        <v>2050</v>
      </c>
      <c r="G480" t="s">
        <v>800</v>
      </c>
      <c r="H480" t="s">
        <v>850</v>
      </c>
      <c r="I480" t="s">
        <v>802</v>
      </c>
      <c r="J480">
        <f t="shared" ca="1" si="30"/>
        <v>500000</v>
      </c>
      <c r="K480">
        <f t="shared" ca="1" si="31"/>
        <v>3230</v>
      </c>
      <c r="N480" t="str">
        <f t="shared" si="28"/>
        <v>Central Bedfordshire72Carers Support (CiB)Carers ServicesOther</v>
      </c>
      <c r="O480" t="s">
        <v>109</v>
      </c>
      <c r="P480" t="s">
        <v>1056</v>
      </c>
      <c r="Q480">
        <v>72</v>
      </c>
      <c r="R480" t="s">
        <v>1049</v>
      </c>
      <c r="S480" t="s">
        <v>1089</v>
      </c>
      <c r="T480" t="s">
        <v>811</v>
      </c>
      <c r="U480" t="s">
        <v>812</v>
      </c>
      <c r="V480" t="s">
        <v>2053</v>
      </c>
      <c r="W480">
        <v>3200</v>
      </c>
      <c r="X480">
        <v>3200</v>
      </c>
      <c r="Y480" t="s">
        <v>813</v>
      </c>
      <c r="Z480" t="s">
        <v>823</v>
      </c>
      <c r="AB480" t="s">
        <v>824</v>
      </c>
      <c r="AD480" t="s">
        <v>794</v>
      </c>
      <c r="AE480" t="s">
        <v>825</v>
      </c>
      <c r="AF480" t="s">
        <v>796</v>
      </c>
      <c r="AG480" t="s">
        <v>797</v>
      </c>
      <c r="AH480">
        <v>281114</v>
      </c>
      <c r="AI480">
        <v>297025</v>
      </c>
      <c r="AJ480">
        <v>0.7</v>
      </c>
    </row>
    <row r="481" spans="1:36" x14ac:dyDescent="0.3">
      <c r="A481">
        <f>COUNTIF($D$2:D481,D481)</f>
        <v>4</v>
      </c>
      <c r="B481" t="str">
        <f t="shared" si="29"/>
        <v>4County Durham</v>
      </c>
      <c r="C481" t="s">
        <v>2054</v>
      </c>
      <c r="D481" t="s">
        <v>119</v>
      </c>
      <c r="E481">
        <v>11</v>
      </c>
      <c r="F481" t="s">
        <v>2055</v>
      </c>
      <c r="G481" t="s">
        <v>811</v>
      </c>
      <c r="H481" t="s">
        <v>812</v>
      </c>
      <c r="I481" t="s">
        <v>813</v>
      </c>
      <c r="J481">
        <f t="shared" ca="1" si="30"/>
        <v>1355785</v>
      </c>
      <c r="K481">
        <f t="shared" ca="1" si="31"/>
        <v>25662</v>
      </c>
      <c r="N481" t="str">
        <f t="shared" si="28"/>
        <v>Central Bedfordshire74Telemedicine - Complex Health CareAssistive Technologies and EquipmentAssistive technologies including telecare</v>
      </c>
      <c r="O481" t="s">
        <v>109</v>
      </c>
      <c r="P481" t="s">
        <v>1056</v>
      </c>
      <c r="Q481">
        <v>74</v>
      </c>
      <c r="R481" t="s">
        <v>1917</v>
      </c>
      <c r="S481" t="s">
        <v>2056</v>
      </c>
      <c r="T481" t="s">
        <v>800</v>
      </c>
      <c r="U481" t="s">
        <v>850</v>
      </c>
      <c r="W481">
        <v>900</v>
      </c>
      <c r="X481">
        <v>900</v>
      </c>
      <c r="Y481" t="s">
        <v>802</v>
      </c>
      <c r="Z481" t="s">
        <v>823</v>
      </c>
      <c r="AB481" t="s">
        <v>824</v>
      </c>
      <c r="AD481" t="s">
        <v>794</v>
      </c>
      <c r="AE481" t="s">
        <v>832</v>
      </c>
      <c r="AF481" t="s">
        <v>796</v>
      </c>
      <c r="AG481" t="s">
        <v>797</v>
      </c>
      <c r="AH481">
        <v>30026</v>
      </c>
      <c r="AI481">
        <v>31725</v>
      </c>
      <c r="AJ481">
        <v>0.02</v>
      </c>
    </row>
    <row r="482" spans="1:36" x14ac:dyDescent="0.3">
      <c r="A482">
        <f>COUNTIF($D$2:D482,D482)</f>
        <v>5</v>
      </c>
      <c r="B482" t="str">
        <f t="shared" si="29"/>
        <v>5County Durham</v>
      </c>
      <c r="C482" t="s">
        <v>2057</v>
      </c>
      <c r="D482" t="s">
        <v>119</v>
      </c>
      <c r="E482">
        <v>25</v>
      </c>
      <c r="F482" t="s">
        <v>2058</v>
      </c>
      <c r="G482" t="s">
        <v>877</v>
      </c>
      <c r="H482" t="s">
        <v>968</v>
      </c>
      <c r="I482" t="s">
        <v>879</v>
      </c>
      <c r="J482">
        <f t="shared" ca="1" si="30"/>
        <v>1480580</v>
      </c>
      <c r="K482">
        <f t="shared" ca="1" si="31"/>
        <v>852</v>
      </c>
      <c r="N482" t="str">
        <f t="shared" si="28"/>
        <v>Central Bedfordshire75Community EquipmentAssistive Technologies and EquipmentCommunity based equipment</v>
      </c>
      <c r="O482" t="s">
        <v>109</v>
      </c>
      <c r="P482" t="s">
        <v>1056</v>
      </c>
      <c r="Q482">
        <v>75</v>
      </c>
      <c r="R482" t="s">
        <v>1051</v>
      </c>
      <c r="S482" t="s">
        <v>1092</v>
      </c>
      <c r="T482" t="s">
        <v>800</v>
      </c>
      <c r="U482" t="s">
        <v>903</v>
      </c>
      <c r="W482">
        <v>500</v>
      </c>
      <c r="X482">
        <v>500</v>
      </c>
      <c r="Y482" t="s">
        <v>802</v>
      </c>
      <c r="Z482" t="s">
        <v>823</v>
      </c>
      <c r="AB482" t="s">
        <v>824</v>
      </c>
      <c r="AD482" t="s">
        <v>794</v>
      </c>
      <c r="AE482" t="s">
        <v>804</v>
      </c>
      <c r="AF482" t="s">
        <v>796</v>
      </c>
      <c r="AG482" t="s">
        <v>797</v>
      </c>
      <c r="AH482">
        <v>1186538</v>
      </c>
      <c r="AI482">
        <v>1253696</v>
      </c>
      <c r="AJ482">
        <v>0.25</v>
      </c>
    </row>
    <row r="483" spans="1:36" x14ac:dyDescent="0.3">
      <c r="A483">
        <f>COUNTIF($D$2:D483,D483)</f>
        <v>6</v>
      </c>
      <c r="B483" t="str">
        <f t="shared" si="29"/>
        <v>6County Durham</v>
      </c>
      <c r="C483" t="s">
        <v>2059</v>
      </c>
      <c r="D483" t="s">
        <v>119</v>
      </c>
      <c r="E483">
        <v>30</v>
      </c>
      <c r="F483" t="s">
        <v>2058</v>
      </c>
      <c r="G483" t="s">
        <v>877</v>
      </c>
      <c r="H483" t="s">
        <v>968</v>
      </c>
      <c r="I483" t="s">
        <v>879</v>
      </c>
      <c r="J483">
        <f t="shared" ca="1" si="30"/>
        <v>1621937</v>
      </c>
      <c r="K483">
        <f t="shared" ca="1" si="31"/>
        <v>939</v>
      </c>
      <c r="N483" t="str">
        <f t="shared" si="28"/>
        <v>Cheshire East3Assistive Technology &amp; Gantry Hoists to reduce double handling care packagesAssistive Technologies and EquipmentAssistive technologies including telecare</v>
      </c>
      <c r="O483" t="s">
        <v>111</v>
      </c>
      <c r="P483" t="s">
        <v>1201</v>
      </c>
      <c r="Q483">
        <v>3</v>
      </c>
      <c r="R483" t="s">
        <v>1922</v>
      </c>
      <c r="S483" t="s">
        <v>2060</v>
      </c>
      <c r="T483" t="s">
        <v>800</v>
      </c>
      <c r="U483" t="s">
        <v>850</v>
      </c>
      <c r="W483">
        <v>2600</v>
      </c>
      <c r="X483">
        <v>2743</v>
      </c>
      <c r="Y483" t="s">
        <v>802</v>
      </c>
      <c r="Z483" t="s">
        <v>792</v>
      </c>
      <c r="AB483" t="s">
        <v>793</v>
      </c>
      <c r="AD483" t="s">
        <v>794</v>
      </c>
      <c r="AE483" t="s">
        <v>804</v>
      </c>
      <c r="AF483" t="s">
        <v>860</v>
      </c>
      <c r="AG483" t="s">
        <v>797</v>
      </c>
      <c r="AH483">
        <v>50000</v>
      </c>
      <c r="AI483">
        <v>50000</v>
      </c>
      <c r="AJ483">
        <v>1.4E-2</v>
      </c>
    </row>
    <row r="484" spans="1:36" x14ac:dyDescent="0.3">
      <c r="A484">
        <f>COUNTIF($D$2:D484,D484)</f>
        <v>1</v>
      </c>
      <c r="B484" t="str">
        <f t="shared" si="29"/>
        <v>1Coventry</v>
      </c>
      <c r="C484" t="s">
        <v>2061</v>
      </c>
      <c r="D484" t="s">
        <v>121</v>
      </c>
      <c r="E484">
        <v>1</v>
      </c>
      <c r="F484" t="s">
        <v>2062</v>
      </c>
      <c r="G484" t="s">
        <v>811</v>
      </c>
      <c r="H484" t="s">
        <v>830</v>
      </c>
      <c r="I484" t="s">
        <v>813</v>
      </c>
      <c r="J484">
        <f t="shared" ca="1" si="30"/>
        <v>299523</v>
      </c>
      <c r="K484">
        <f t="shared" ca="1" si="31"/>
        <v>125</v>
      </c>
      <c r="N484" t="str">
        <f t="shared" si="28"/>
        <v>Cheshire East4Care at Home Investment IncreaseHome Care or Domiciliary CareDomiciliary care packages</v>
      </c>
      <c r="O484" t="s">
        <v>111</v>
      </c>
      <c r="P484" t="s">
        <v>1201</v>
      </c>
      <c r="Q484">
        <v>4</v>
      </c>
      <c r="R484" t="s">
        <v>1925</v>
      </c>
      <c r="S484" t="s">
        <v>2060</v>
      </c>
      <c r="T484" t="s">
        <v>842</v>
      </c>
      <c r="U484" t="s">
        <v>843</v>
      </c>
      <c r="W484">
        <v>27600</v>
      </c>
      <c r="X484">
        <v>29118</v>
      </c>
      <c r="Y484" t="s">
        <v>844</v>
      </c>
      <c r="Z484" t="s">
        <v>792</v>
      </c>
      <c r="AB484" t="s">
        <v>793</v>
      </c>
      <c r="AD484" t="s">
        <v>794</v>
      </c>
      <c r="AE484" t="s">
        <v>804</v>
      </c>
      <c r="AF484" t="s">
        <v>864</v>
      </c>
      <c r="AG484" t="s">
        <v>797</v>
      </c>
      <c r="AH484">
        <v>1220549</v>
      </c>
      <c r="AI484">
        <v>2026112</v>
      </c>
      <c r="AJ484">
        <v>7.0999999999999994E-2</v>
      </c>
    </row>
    <row r="485" spans="1:36" x14ac:dyDescent="0.3">
      <c r="A485">
        <f>COUNTIF($D$2:D485,D485)</f>
        <v>2</v>
      </c>
      <c r="B485" t="str">
        <f t="shared" si="29"/>
        <v>2Coventry</v>
      </c>
      <c r="C485" t="s">
        <v>2063</v>
      </c>
      <c r="D485" t="s">
        <v>121</v>
      </c>
      <c r="E485">
        <v>1</v>
      </c>
      <c r="F485" t="s">
        <v>2062</v>
      </c>
      <c r="G485" t="s">
        <v>811</v>
      </c>
      <c r="H485" t="s">
        <v>895</v>
      </c>
      <c r="I485" t="s">
        <v>813</v>
      </c>
      <c r="J485">
        <f t="shared" ca="1" si="30"/>
        <v>50731</v>
      </c>
      <c r="K485">
        <f t="shared" ca="1" si="31"/>
        <v>146</v>
      </c>
      <c r="N485" t="str">
        <f t="shared" si="28"/>
        <v>Cheshire East5Carers Payments to facilitate rapid dischargeCarers ServicesCarer advice and support related to Care Act duties</v>
      </c>
      <c r="O485" t="s">
        <v>111</v>
      </c>
      <c r="P485" t="s">
        <v>1201</v>
      </c>
      <c r="Q485">
        <v>5</v>
      </c>
      <c r="R485" t="s">
        <v>1927</v>
      </c>
      <c r="S485" t="s">
        <v>2060</v>
      </c>
      <c r="T485" t="s">
        <v>811</v>
      </c>
      <c r="U485" t="s">
        <v>895</v>
      </c>
      <c r="W485">
        <v>393</v>
      </c>
      <c r="X485">
        <v>415</v>
      </c>
      <c r="Y485" t="s">
        <v>813</v>
      </c>
      <c r="Z485" t="s">
        <v>792</v>
      </c>
      <c r="AA485" t="s">
        <v>2064</v>
      </c>
      <c r="AB485" t="s">
        <v>793</v>
      </c>
      <c r="AD485" t="s">
        <v>794</v>
      </c>
      <c r="AE485" t="s">
        <v>795</v>
      </c>
      <c r="AF485" t="s">
        <v>860</v>
      </c>
      <c r="AG485" t="s">
        <v>797</v>
      </c>
      <c r="AH485">
        <v>30000</v>
      </c>
      <c r="AI485">
        <v>30000</v>
      </c>
      <c r="AJ485">
        <v>2.5000000000000001E-2</v>
      </c>
    </row>
    <row r="486" spans="1:36" x14ac:dyDescent="0.3">
      <c r="A486">
        <f>COUNTIF($D$2:D486,D486)</f>
        <v>3</v>
      </c>
      <c r="B486" t="str">
        <f t="shared" si="29"/>
        <v>3Coventry</v>
      </c>
      <c r="C486" t="s">
        <v>2065</v>
      </c>
      <c r="D486" t="s">
        <v>121</v>
      </c>
      <c r="E486">
        <v>10</v>
      </c>
      <c r="F486" t="s">
        <v>2066</v>
      </c>
      <c r="G486" t="s">
        <v>806</v>
      </c>
      <c r="H486" t="s">
        <v>807</v>
      </c>
      <c r="I486" t="s">
        <v>808</v>
      </c>
      <c r="J486">
        <f t="shared" ca="1" si="30"/>
        <v>9092088</v>
      </c>
      <c r="K486">
        <f t="shared" ca="1" si="31"/>
        <v>232</v>
      </c>
      <c r="N486" t="str">
        <f t="shared" si="28"/>
        <v>Cheshire East7Hospice Beds (East Cheshire Hospice).  (Winter Support - Oct 2023 to Mar 2024)Residential PlacementsShort term residential care (without rehabilitation or reablement input)</v>
      </c>
      <c r="O486" t="s">
        <v>111</v>
      </c>
      <c r="P486" t="s">
        <v>1201</v>
      </c>
      <c r="Q486">
        <v>7</v>
      </c>
      <c r="R486" t="s">
        <v>1930</v>
      </c>
      <c r="S486" t="s">
        <v>2060</v>
      </c>
      <c r="T486" t="s">
        <v>806</v>
      </c>
      <c r="U486" t="s">
        <v>955</v>
      </c>
      <c r="W486">
        <v>2</v>
      </c>
      <c r="X486">
        <v>2</v>
      </c>
      <c r="Y486" t="s">
        <v>808</v>
      </c>
      <c r="Z486" t="s">
        <v>823</v>
      </c>
      <c r="AB486" t="s">
        <v>824</v>
      </c>
      <c r="AD486" t="s">
        <v>794</v>
      </c>
      <c r="AE486" t="s">
        <v>825</v>
      </c>
      <c r="AF486" t="s">
        <v>860</v>
      </c>
      <c r="AG486" t="s">
        <v>797</v>
      </c>
      <c r="AH486">
        <v>90000</v>
      </c>
      <c r="AI486">
        <v>90000</v>
      </c>
      <c r="AJ486">
        <v>1E-3</v>
      </c>
    </row>
    <row r="487" spans="1:36" x14ac:dyDescent="0.3">
      <c r="A487">
        <f>COUNTIF($D$2:D487,D487)</f>
        <v>4</v>
      </c>
      <c r="B487" t="str">
        <f t="shared" si="29"/>
        <v>4Coventry</v>
      </c>
      <c r="C487" t="s">
        <v>2067</v>
      </c>
      <c r="D487" t="s">
        <v>121</v>
      </c>
      <c r="E487">
        <v>10</v>
      </c>
      <c r="F487" t="s">
        <v>2066</v>
      </c>
      <c r="G487" t="s">
        <v>842</v>
      </c>
      <c r="H487" t="s">
        <v>812</v>
      </c>
      <c r="I487" t="s">
        <v>844</v>
      </c>
      <c r="J487">
        <f t="shared" ca="1" si="30"/>
        <v>206729</v>
      </c>
      <c r="K487">
        <f t="shared" ca="1" si="31"/>
        <v>3900</v>
      </c>
      <c r="N487" t="str">
        <f t="shared" si="28"/>
        <v>Cheshire East9Increase General Nursing Assistant Capacity care at home via CCICPHome-based intermediate care servicesRehabilitation at home (to support discharge)</v>
      </c>
      <c r="O487" t="s">
        <v>111</v>
      </c>
      <c r="P487" t="s">
        <v>1201</v>
      </c>
      <c r="Q487">
        <v>9</v>
      </c>
      <c r="R487" t="s">
        <v>1932</v>
      </c>
      <c r="S487" t="s">
        <v>2060</v>
      </c>
      <c r="T487" t="s">
        <v>787</v>
      </c>
      <c r="U487" t="s">
        <v>1195</v>
      </c>
      <c r="W487">
        <v>5197</v>
      </c>
      <c r="X487">
        <v>5483</v>
      </c>
      <c r="Y487" t="s">
        <v>789</v>
      </c>
      <c r="Z487" t="s">
        <v>823</v>
      </c>
      <c r="AB487" t="s">
        <v>824</v>
      </c>
      <c r="AD487" t="s">
        <v>794</v>
      </c>
      <c r="AE487" t="s">
        <v>832</v>
      </c>
      <c r="AF487" t="s">
        <v>860</v>
      </c>
      <c r="AG487" t="s">
        <v>797</v>
      </c>
      <c r="AH487">
        <v>125000</v>
      </c>
      <c r="AI487">
        <v>125000</v>
      </c>
      <c r="AJ487">
        <v>2.3E-2</v>
      </c>
    </row>
    <row r="488" spans="1:36" x14ac:dyDescent="0.3">
      <c r="A488">
        <f>COUNTIF($D$2:D488,D488)</f>
        <v>5</v>
      </c>
      <c r="B488" t="str">
        <f t="shared" si="29"/>
        <v>5Coventry</v>
      </c>
      <c r="C488" t="s">
        <v>2068</v>
      </c>
      <c r="D488" t="s">
        <v>121</v>
      </c>
      <c r="E488">
        <v>11</v>
      </c>
      <c r="F488" t="s">
        <v>2069</v>
      </c>
      <c r="G488" t="s">
        <v>842</v>
      </c>
      <c r="H488" t="s">
        <v>812</v>
      </c>
      <c r="I488" t="s">
        <v>844</v>
      </c>
      <c r="J488">
        <f t="shared" ca="1" si="30"/>
        <v>629249</v>
      </c>
      <c r="K488">
        <f t="shared" ca="1" si="31"/>
        <v>11700</v>
      </c>
      <c r="N488" t="str">
        <f t="shared" si="28"/>
        <v>Cheshire East10Mental Health Reablement – Rapid Response ServiceHome-based intermediate care servicesRehabilitation at home (accepting step up and step down users)</v>
      </c>
      <c r="O488" t="s">
        <v>111</v>
      </c>
      <c r="P488" t="s">
        <v>1201</v>
      </c>
      <c r="Q488">
        <v>10</v>
      </c>
      <c r="R488" t="s">
        <v>1934</v>
      </c>
      <c r="S488" t="s">
        <v>2060</v>
      </c>
      <c r="T488" t="s">
        <v>787</v>
      </c>
      <c r="U488" t="s">
        <v>1688</v>
      </c>
      <c r="W488">
        <v>240</v>
      </c>
      <c r="X488">
        <v>253</v>
      </c>
      <c r="Y488" t="s">
        <v>789</v>
      </c>
      <c r="Z488" t="s">
        <v>792</v>
      </c>
      <c r="AB488" t="s">
        <v>793</v>
      </c>
      <c r="AD488" t="s">
        <v>794</v>
      </c>
      <c r="AE488" t="s">
        <v>804</v>
      </c>
      <c r="AF488" t="s">
        <v>860</v>
      </c>
      <c r="AG488" t="s">
        <v>797</v>
      </c>
      <c r="AH488">
        <v>25000</v>
      </c>
      <c r="AI488">
        <v>25000</v>
      </c>
      <c r="AJ488">
        <v>5.0000000000000001E-3</v>
      </c>
    </row>
    <row r="489" spans="1:36" x14ac:dyDescent="0.3">
      <c r="A489">
        <f>COUNTIF($D$2:D489,D489)</f>
        <v>6</v>
      </c>
      <c r="B489" t="str">
        <f t="shared" si="29"/>
        <v>6Coventry</v>
      </c>
      <c r="C489" t="s">
        <v>2070</v>
      </c>
      <c r="D489" t="s">
        <v>121</v>
      </c>
      <c r="E489">
        <v>11</v>
      </c>
      <c r="F489" t="s">
        <v>2069</v>
      </c>
      <c r="G489" t="s">
        <v>877</v>
      </c>
      <c r="H489" t="s">
        <v>1259</v>
      </c>
      <c r="I489" t="s">
        <v>879</v>
      </c>
      <c r="J489">
        <f t="shared" ca="1" si="30"/>
        <v>2879421</v>
      </c>
      <c r="K489">
        <f t="shared" ca="1" si="31"/>
        <v>638</v>
      </c>
      <c r="N489" t="str">
        <f t="shared" si="28"/>
        <v>Cheshire East13iBCF Block booked bedsResidential PlacementsShort term residential care (without rehabilitation or reablement input)</v>
      </c>
      <c r="O489" t="s">
        <v>111</v>
      </c>
      <c r="P489" t="s">
        <v>1201</v>
      </c>
      <c r="Q489">
        <v>13</v>
      </c>
      <c r="R489" t="s">
        <v>1936</v>
      </c>
      <c r="S489" t="s">
        <v>2071</v>
      </c>
      <c r="T489" t="s">
        <v>806</v>
      </c>
      <c r="U489" t="s">
        <v>955</v>
      </c>
      <c r="W489">
        <v>23</v>
      </c>
      <c r="X489">
        <v>24</v>
      </c>
      <c r="Y489" t="s">
        <v>808</v>
      </c>
      <c r="Z489" t="s">
        <v>792</v>
      </c>
      <c r="AB489" t="s">
        <v>793</v>
      </c>
      <c r="AD489" t="s">
        <v>794</v>
      </c>
      <c r="AE489" t="s">
        <v>804</v>
      </c>
      <c r="AF489" t="s">
        <v>845</v>
      </c>
      <c r="AG489" t="s">
        <v>797</v>
      </c>
      <c r="AH489">
        <v>1450638</v>
      </c>
      <c r="AI489">
        <v>520000</v>
      </c>
      <c r="AJ489">
        <v>1.4E-2</v>
      </c>
    </row>
    <row r="490" spans="1:36" x14ac:dyDescent="0.3">
      <c r="A490">
        <f>COUNTIF($D$2:D490,D490)</f>
        <v>7</v>
      </c>
      <c r="B490" t="str">
        <f t="shared" si="29"/>
        <v>7Coventry</v>
      </c>
      <c r="C490" t="s">
        <v>2072</v>
      </c>
      <c r="D490" t="s">
        <v>121</v>
      </c>
      <c r="E490">
        <v>11</v>
      </c>
      <c r="F490" t="s">
        <v>2069</v>
      </c>
      <c r="G490" t="s">
        <v>787</v>
      </c>
      <c r="H490" t="s">
        <v>930</v>
      </c>
      <c r="I490" t="s">
        <v>789</v>
      </c>
      <c r="J490">
        <f t="shared" ca="1" si="30"/>
        <v>1945095</v>
      </c>
      <c r="K490">
        <f t="shared" ca="1" si="31"/>
        <v>1739</v>
      </c>
      <c r="N490" t="str">
        <f t="shared" si="28"/>
        <v>Cheshire East14iBCF Care at home hospital retainer Home Care or Domiciliary CareDomiciliary care to support hospital discharge (Discharge to Assess pathway 1)</v>
      </c>
      <c r="O490" t="s">
        <v>111</v>
      </c>
      <c r="P490" t="s">
        <v>1201</v>
      </c>
      <c r="Q490">
        <v>14</v>
      </c>
      <c r="R490" t="s">
        <v>1939</v>
      </c>
      <c r="S490" t="s">
        <v>2073</v>
      </c>
      <c r="T490" t="s">
        <v>842</v>
      </c>
      <c r="U490" t="s">
        <v>856</v>
      </c>
      <c r="W490">
        <v>4840</v>
      </c>
      <c r="X490">
        <v>5106</v>
      </c>
      <c r="Y490" t="s">
        <v>844</v>
      </c>
      <c r="Z490" t="s">
        <v>792</v>
      </c>
      <c r="AB490" t="s">
        <v>793</v>
      </c>
      <c r="AD490" t="s">
        <v>794</v>
      </c>
      <c r="AE490" t="s">
        <v>804</v>
      </c>
      <c r="AF490" t="s">
        <v>845</v>
      </c>
      <c r="AG490" t="s">
        <v>797</v>
      </c>
      <c r="AH490">
        <v>47250</v>
      </c>
      <c r="AI490">
        <v>49896</v>
      </c>
      <c r="AJ490">
        <v>3.0000000000000001E-3</v>
      </c>
    </row>
    <row r="491" spans="1:36" x14ac:dyDescent="0.3">
      <c r="A491">
        <f>COUNTIF($D$2:D491,D491)</f>
        <v>8</v>
      </c>
      <c r="B491" t="str">
        <f t="shared" si="29"/>
        <v>8Coventry</v>
      </c>
      <c r="C491" t="s">
        <v>2074</v>
      </c>
      <c r="D491" t="s">
        <v>121</v>
      </c>
      <c r="E491">
        <v>13</v>
      </c>
      <c r="F491" t="s">
        <v>2075</v>
      </c>
      <c r="G491" t="s">
        <v>811</v>
      </c>
      <c r="H491" t="s">
        <v>895</v>
      </c>
      <c r="I491" t="s">
        <v>813</v>
      </c>
      <c r="J491">
        <f t="shared" ca="1" si="30"/>
        <v>83365</v>
      </c>
      <c r="K491">
        <f t="shared" ca="1" si="31"/>
        <v>242</v>
      </c>
      <c r="N491" t="str">
        <f t="shared" si="28"/>
        <v>Cheshire East15iBCF Rapid responseHome Care or Domiciliary CareDomiciliary care to support hospital discharge (Discharge to Assess pathway 1)</v>
      </c>
      <c r="O491" t="s">
        <v>111</v>
      </c>
      <c r="P491" t="s">
        <v>1201</v>
      </c>
      <c r="Q491">
        <v>15</v>
      </c>
      <c r="R491" t="s">
        <v>1942</v>
      </c>
      <c r="S491" t="s">
        <v>2076</v>
      </c>
      <c r="T491" t="s">
        <v>842</v>
      </c>
      <c r="U491" t="s">
        <v>856</v>
      </c>
      <c r="W491">
        <v>400</v>
      </c>
      <c r="X491">
        <v>422</v>
      </c>
      <c r="Y491" t="s">
        <v>844</v>
      </c>
      <c r="Z491" t="s">
        <v>792</v>
      </c>
      <c r="AB491" t="s">
        <v>824</v>
      </c>
      <c r="AD491" t="s">
        <v>794</v>
      </c>
      <c r="AE491" t="s">
        <v>804</v>
      </c>
      <c r="AF491" t="s">
        <v>845</v>
      </c>
      <c r="AG491" t="s">
        <v>797</v>
      </c>
      <c r="AH491">
        <v>613000</v>
      </c>
      <c r="AI491">
        <v>647328</v>
      </c>
      <c r="AJ491">
        <v>3.5999999999999997E-2</v>
      </c>
    </row>
    <row r="492" spans="1:36" x14ac:dyDescent="0.3">
      <c r="A492">
        <f>COUNTIF($D$2:D492,D492)</f>
        <v>9</v>
      </c>
      <c r="B492" t="str">
        <f t="shared" si="29"/>
        <v>9Coventry</v>
      </c>
      <c r="C492" t="s">
        <v>2077</v>
      </c>
      <c r="D492" t="s">
        <v>121</v>
      </c>
      <c r="E492">
        <v>2</v>
      </c>
      <c r="F492" t="s">
        <v>2078</v>
      </c>
      <c r="G492" t="s">
        <v>800</v>
      </c>
      <c r="H492" t="s">
        <v>903</v>
      </c>
      <c r="I492" t="s">
        <v>802</v>
      </c>
      <c r="J492">
        <f t="shared" ca="1" si="30"/>
        <v>4105434</v>
      </c>
      <c r="K492">
        <f t="shared" ca="1" si="31"/>
        <v>7532</v>
      </c>
      <c r="N492" t="str">
        <f t="shared" si="28"/>
        <v>Cheshire East19iBCF General Nursing Assistant (within BCF Early Discharge scheme (with BRC)Home-based intermediate care servicesRehabilitation at home (to support discharge)</v>
      </c>
      <c r="O492" t="s">
        <v>111</v>
      </c>
      <c r="P492" t="s">
        <v>1201</v>
      </c>
      <c r="Q492">
        <v>19</v>
      </c>
      <c r="R492" t="s">
        <v>1945</v>
      </c>
      <c r="S492" t="s">
        <v>2079</v>
      </c>
      <c r="T492" t="s">
        <v>787</v>
      </c>
      <c r="U492" t="s">
        <v>1195</v>
      </c>
      <c r="W492">
        <v>5197</v>
      </c>
      <c r="X492">
        <v>5483</v>
      </c>
      <c r="Y492" t="s">
        <v>789</v>
      </c>
      <c r="Z492" t="s">
        <v>823</v>
      </c>
      <c r="AB492" t="s">
        <v>824</v>
      </c>
      <c r="AD492" t="s">
        <v>794</v>
      </c>
      <c r="AE492" t="s">
        <v>832</v>
      </c>
      <c r="AF492" t="s">
        <v>845</v>
      </c>
      <c r="AG492" t="s">
        <v>797</v>
      </c>
      <c r="AH492">
        <v>315000</v>
      </c>
      <c r="AI492">
        <v>332640</v>
      </c>
      <c r="AJ492">
        <v>5.7000000000000002E-2</v>
      </c>
    </row>
    <row r="493" spans="1:36" x14ac:dyDescent="0.3">
      <c r="A493">
        <f>COUNTIF($D$2:D493,D493)</f>
        <v>10</v>
      </c>
      <c r="B493" t="str">
        <f t="shared" si="29"/>
        <v>10Coventry</v>
      </c>
      <c r="C493" t="s">
        <v>2080</v>
      </c>
      <c r="D493" t="s">
        <v>121</v>
      </c>
      <c r="E493">
        <v>9</v>
      </c>
      <c r="F493" t="s">
        <v>2081</v>
      </c>
      <c r="G493" t="s">
        <v>806</v>
      </c>
      <c r="H493" t="s">
        <v>917</v>
      </c>
      <c r="I493" t="s">
        <v>808</v>
      </c>
      <c r="J493">
        <f t="shared" ca="1" si="30"/>
        <v>13188992</v>
      </c>
      <c r="K493">
        <f t="shared" ca="1" si="31"/>
        <v>4496</v>
      </c>
      <c r="N493" t="str">
        <f t="shared" si="28"/>
        <v>Cheshire East21BCF Disabled Facilities Grant DFG Related SchemesAdaptations, including statutory DFG grants</v>
      </c>
      <c r="O493" t="s">
        <v>111</v>
      </c>
      <c r="P493" t="s">
        <v>1201</v>
      </c>
      <c r="Q493">
        <v>21</v>
      </c>
      <c r="R493" t="s">
        <v>1948</v>
      </c>
      <c r="S493" t="s">
        <v>2082</v>
      </c>
      <c r="T493" t="s">
        <v>834</v>
      </c>
      <c r="U493" t="s">
        <v>835</v>
      </c>
      <c r="W493">
        <v>440</v>
      </c>
      <c r="X493">
        <v>464</v>
      </c>
      <c r="Y493" t="s">
        <v>836</v>
      </c>
      <c r="Z493" t="s">
        <v>792</v>
      </c>
      <c r="AB493" t="s">
        <v>793</v>
      </c>
      <c r="AD493" t="s">
        <v>794</v>
      </c>
      <c r="AE493" t="s">
        <v>804</v>
      </c>
      <c r="AF493" t="s">
        <v>840</v>
      </c>
      <c r="AG493" t="s">
        <v>797</v>
      </c>
      <c r="AH493">
        <v>2342241</v>
      </c>
      <c r="AI493">
        <v>2342241</v>
      </c>
      <c r="AJ493">
        <v>1</v>
      </c>
    </row>
    <row r="494" spans="1:36" x14ac:dyDescent="0.3">
      <c r="A494">
        <f>COUNTIF($D$2:D494,D494)</f>
        <v>11</v>
      </c>
      <c r="B494" t="str">
        <f t="shared" si="29"/>
        <v>11Coventry</v>
      </c>
      <c r="C494" t="s">
        <v>2083</v>
      </c>
      <c r="D494" t="s">
        <v>121</v>
      </c>
      <c r="E494">
        <v>9</v>
      </c>
      <c r="F494" t="s">
        <v>2081</v>
      </c>
      <c r="G494" t="s">
        <v>806</v>
      </c>
      <c r="H494" t="s">
        <v>807</v>
      </c>
      <c r="I494" t="s">
        <v>808</v>
      </c>
      <c r="J494">
        <f t="shared" ca="1" si="30"/>
        <v>19595187</v>
      </c>
      <c r="K494">
        <f t="shared" ca="1" si="31"/>
        <v>3569</v>
      </c>
      <c r="N494" t="str">
        <f t="shared" si="28"/>
        <v>Cheshire East22BCF Assistive technology Assistive Technologies and EquipmentAssistive technologies including telecare</v>
      </c>
      <c r="O494" t="s">
        <v>111</v>
      </c>
      <c r="P494" t="s">
        <v>1201</v>
      </c>
      <c r="Q494">
        <v>22</v>
      </c>
      <c r="R494" t="s">
        <v>1951</v>
      </c>
      <c r="S494" t="s">
        <v>2084</v>
      </c>
      <c r="T494" t="s">
        <v>800</v>
      </c>
      <c r="U494" t="s">
        <v>850</v>
      </c>
      <c r="W494">
        <v>2600</v>
      </c>
      <c r="X494">
        <v>2743</v>
      </c>
      <c r="Y494" t="s">
        <v>802</v>
      </c>
      <c r="Z494" t="s">
        <v>792</v>
      </c>
      <c r="AB494" t="s">
        <v>793</v>
      </c>
      <c r="AD494" t="s">
        <v>794</v>
      </c>
      <c r="AE494" t="s">
        <v>804</v>
      </c>
      <c r="AF494" t="s">
        <v>796</v>
      </c>
      <c r="AG494" t="s">
        <v>797</v>
      </c>
      <c r="AH494">
        <v>757000</v>
      </c>
      <c r="AI494">
        <v>757000</v>
      </c>
      <c r="AJ494">
        <v>0.218</v>
      </c>
    </row>
    <row r="495" spans="1:36" x14ac:dyDescent="0.3">
      <c r="A495">
        <f>COUNTIF($D$2:D495,D495)</f>
        <v>12</v>
      </c>
      <c r="B495" t="str">
        <f t="shared" si="29"/>
        <v>12Coventry</v>
      </c>
      <c r="C495" t="s">
        <v>2085</v>
      </c>
      <c r="D495" t="s">
        <v>121</v>
      </c>
      <c r="E495">
        <v>6</v>
      </c>
      <c r="F495" t="s">
        <v>2086</v>
      </c>
      <c r="G495" t="s">
        <v>806</v>
      </c>
      <c r="H495" t="s">
        <v>854</v>
      </c>
      <c r="I495" t="s">
        <v>808</v>
      </c>
      <c r="J495">
        <f t="shared" ca="1" si="30"/>
        <v>2507085</v>
      </c>
      <c r="K495">
        <f t="shared" ca="1" si="31"/>
        <v>13</v>
      </c>
      <c r="N495" t="str">
        <f t="shared" si="28"/>
        <v xml:space="preserve">Cheshire East24BCF Combined Reablement service Home-based intermediate care servicesJoint reablement and rehabilitation service (to support discharge) </v>
      </c>
      <c r="O495" t="s">
        <v>111</v>
      </c>
      <c r="P495" t="s">
        <v>1201</v>
      </c>
      <c r="Q495">
        <v>24</v>
      </c>
      <c r="R495" t="s">
        <v>1954</v>
      </c>
      <c r="S495" t="s">
        <v>2087</v>
      </c>
      <c r="T495" t="s">
        <v>787</v>
      </c>
      <c r="U495" t="s">
        <v>1551</v>
      </c>
      <c r="W495">
        <v>346</v>
      </c>
      <c r="X495">
        <v>365</v>
      </c>
      <c r="Y495" t="s">
        <v>789</v>
      </c>
      <c r="Z495" t="s">
        <v>792</v>
      </c>
      <c r="AB495" t="s">
        <v>793</v>
      </c>
      <c r="AD495" t="s">
        <v>794</v>
      </c>
      <c r="AE495" t="s">
        <v>795</v>
      </c>
      <c r="AF495" t="s">
        <v>796</v>
      </c>
      <c r="AG495" t="s">
        <v>797</v>
      </c>
      <c r="AH495">
        <v>5084860</v>
      </c>
      <c r="AI495">
        <v>5372663</v>
      </c>
      <c r="AJ495">
        <v>0.91600000000000004</v>
      </c>
    </row>
    <row r="496" spans="1:36" x14ac:dyDescent="0.3">
      <c r="A496">
        <f>COUNTIF($D$2:D496,D496)</f>
        <v>13</v>
      </c>
      <c r="B496" t="str">
        <f t="shared" si="29"/>
        <v>13Coventry</v>
      </c>
      <c r="C496" t="s">
        <v>2088</v>
      </c>
      <c r="D496" t="s">
        <v>121</v>
      </c>
      <c r="E496">
        <v>2</v>
      </c>
      <c r="F496" t="s">
        <v>2078</v>
      </c>
      <c r="G496" t="s">
        <v>811</v>
      </c>
      <c r="H496" t="s">
        <v>812</v>
      </c>
      <c r="I496" t="s">
        <v>813</v>
      </c>
      <c r="J496">
        <f t="shared" ca="1" si="30"/>
        <v>224513</v>
      </c>
      <c r="K496">
        <f t="shared" ca="1" si="31"/>
        <v>2948</v>
      </c>
      <c r="N496" t="str">
        <f t="shared" si="28"/>
        <v>Cheshire East26BCF Carers hub Carers ServicesCarer advice and support related to Care Act duties</v>
      </c>
      <c r="O496" t="s">
        <v>111</v>
      </c>
      <c r="P496" t="s">
        <v>1201</v>
      </c>
      <c r="Q496">
        <v>26</v>
      </c>
      <c r="R496" t="s">
        <v>1957</v>
      </c>
      <c r="S496" t="s">
        <v>2089</v>
      </c>
      <c r="T496" t="s">
        <v>811</v>
      </c>
      <c r="U496" t="s">
        <v>895</v>
      </c>
      <c r="W496">
        <v>2400</v>
      </c>
      <c r="X496">
        <v>2532</v>
      </c>
      <c r="Y496" t="s">
        <v>813</v>
      </c>
      <c r="Z496" t="s">
        <v>792</v>
      </c>
      <c r="AA496" t="s">
        <v>2064</v>
      </c>
      <c r="AB496" t="s">
        <v>793</v>
      </c>
      <c r="AD496" t="s">
        <v>794</v>
      </c>
      <c r="AE496" t="s">
        <v>804</v>
      </c>
      <c r="AF496" t="s">
        <v>796</v>
      </c>
      <c r="AG496" t="s">
        <v>797</v>
      </c>
      <c r="AH496">
        <v>389000</v>
      </c>
      <c r="AI496">
        <v>389000</v>
      </c>
      <c r="AJ496">
        <v>0.32400000000000001</v>
      </c>
    </row>
    <row r="497" spans="1:36" x14ac:dyDescent="0.3">
      <c r="A497">
        <f>COUNTIF($D$2:D497,D497)</f>
        <v>14</v>
      </c>
      <c r="B497" t="str">
        <f t="shared" si="29"/>
        <v>14Coventry</v>
      </c>
      <c r="C497" t="s">
        <v>2090</v>
      </c>
      <c r="D497" t="s">
        <v>121</v>
      </c>
      <c r="E497">
        <v>2</v>
      </c>
      <c r="F497" t="s">
        <v>2078</v>
      </c>
      <c r="G497" t="s">
        <v>811</v>
      </c>
      <c r="H497" t="s">
        <v>895</v>
      </c>
      <c r="I497" t="s">
        <v>813</v>
      </c>
      <c r="J497">
        <f t="shared" ca="1" si="30"/>
        <v>711513</v>
      </c>
      <c r="K497">
        <f t="shared" ca="1" si="31"/>
        <v>2058</v>
      </c>
      <c r="N497" t="str">
        <f t="shared" si="28"/>
        <v>Cheshire East28BCF Winter schemes ICB  Bed based intermediate Care Services (Reablement, rehabilitation, wider short-term services supporting recovery)Bed-based intermediate care with rehabilitation accepting step up and step down users</v>
      </c>
      <c r="O497" t="s">
        <v>111</v>
      </c>
      <c r="P497" t="s">
        <v>1201</v>
      </c>
      <c r="Q497">
        <v>28</v>
      </c>
      <c r="R497" t="s">
        <v>1960</v>
      </c>
      <c r="S497" t="s">
        <v>2091</v>
      </c>
      <c r="T497" t="s">
        <v>877</v>
      </c>
      <c r="U497" t="s">
        <v>1015</v>
      </c>
      <c r="W497">
        <v>100</v>
      </c>
      <c r="X497">
        <v>106</v>
      </c>
      <c r="Y497" t="s">
        <v>879</v>
      </c>
      <c r="Z497" t="s">
        <v>792</v>
      </c>
      <c r="AB497" t="s">
        <v>793</v>
      </c>
      <c r="AD497" t="s">
        <v>794</v>
      </c>
      <c r="AE497" t="s">
        <v>804</v>
      </c>
      <c r="AF497" t="s">
        <v>796</v>
      </c>
      <c r="AG497" t="s">
        <v>797</v>
      </c>
      <c r="AH497">
        <v>588903</v>
      </c>
      <c r="AI497">
        <v>622235</v>
      </c>
      <c r="AJ497">
        <v>5.0999999999999997E-2</v>
      </c>
    </row>
    <row r="498" spans="1:36" x14ac:dyDescent="0.3">
      <c r="A498">
        <f>COUNTIF($D$2:D498,D498)</f>
        <v>15</v>
      </c>
      <c r="B498" t="str">
        <f t="shared" si="29"/>
        <v>15Coventry</v>
      </c>
      <c r="C498" t="s">
        <v>2092</v>
      </c>
      <c r="D498" t="s">
        <v>121</v>
      </c>
      <c r="E498">
        <v>3</v>
      </c>
      <c r="F498" t="s">
        <v>2093</v>
      </c>
      <c r="G498" t="s">
        <v>806</v>
      </c>
      <c r="H498" t="s">
        <v>807</v>
      </c>
      <c r="I498" t="s">
        <v>808</v>
      </c>
      <c r="J498">
        <f t="shared" ca="1" si="30"/>
        <v>6972651</v>
      </c>
      <c r="K498">
        <f t="shared" ca="1" si="31"/>
        <v>178</v>
      </c>
      <c r="N498" t="str">
        <f t="shared" si="28"/>
        <v>Cheshire East31BCF Carers hub Carers ServicesCarer advice and support related to Care Act duties</v>
      </c>
      <c r="O498" t="s">
        <v>111</v>
      </c>
      <c r="P498" t="s">
        <v>1201</v>
      </c>
      <c r="Q498">
        <v>31</v>
      </c>
      <c r="R498" t="s">
        <v>1957</v>
      </c>
      <c r="S498" t="s">
        <v>2089</v>
      </c>
      <c r="T498" t="s">
        <v>811</v>
      </c>
      <c r="U498" t="s">
        <v>895</v>
      </c>
      <c r="W498">
        <v>2400</v>
      </c>
      <c r="X498">
        <v>2532</v>
      </c>
      <c r="Y498" t="s">
        <v>813</v>
      </c>
      <c r="Z498" t="s">
        <v>792</v>
      </c>
      <c r="AA498" t="s">
        <v>2094</v>
      </c>
      <c r="AB498" t="s">
        <v>793</v>
      </c>
      <c r="AD498" t="s">
        <v>794</v>
      </c>
      <c r="AE498" t="s">
        <v>804</v>
      </c>
      <c r="AF498" t="s">
        <v>796</v>
      </c>
      <c r="AG498" t="s">
        <v>797</v>
      </c>
      <c r="AH498">
        <v>324000</v>
      </c>
      <c r="AI498">
        <v>324000</v>
      </c>
      <c r="AJ498">
        <v>0.27</v>
      </c>
    </row>
    <row r="499" spans="1:36" x14ac:dyDescent="0.3">
      <c r="A499">
        <f>COUNTIF($D$2:D499,D499)</f>
        <v>16</v>
      </c>
      <c r="B499" t="str">
        <f t="shared" si="29"/>
        <v>16Coventry</v>
      </c>
      <c r="C499" t="s">
        <v>2095</v>
      </c>
      <c r="D499" t="s">
        <v>121</v>
      </c>
      <c r="E499">
        <v>4</v>
      </c>
      <c r="F499" t="s">
        <v>2096</v>
      </c>
      <c r="G499" t="s">
        <v>834</v>
      </c>
      <c r="H499" t="s">
        <v>835</v>
      </c>
      <c r="I499" t="s">
        <v>836</v>
      </c>
      <c r="J499">
        <f t="shared" ca="1" si="30"/>
        <v>3073045</v>
      </c>
      <c r="K499">
        <f t="shared" ca="1" si="31"/>
        <v>476</v>
      </c>
      <c r="N499" t="str">
        <f t="shared" si="28"/>
        <v>Cheshire East32BCF Community Equipment service Assistive Technologies and EquipmentCommunity based equipment</v>
      </c>
      <c r="O499" t="s">
        <v>111</v>
      </c>
      <c r="P499" t="s">
        <v>1201</v>
      </c>
      <c r="Q499">
        <v>32</v>
      </c>
      <c r="R499" t="s">
        <v>1965</v>
      </c>
      <c r="S499" t="s">
        <v>2097</v>
      </c>
      <c r="T499" t="s">
        <v>800</v>
      </c>
      <c r="U499" t="s">
        <v>903</v>
      </c>
      <c r="W499">
        <v>2600</v>
      </c>
      <c r="X499">
        <v>2743</v>
      </c>
      <c r="Y499" t="s">
        <v>802</v>
      </c>
      <c r="Z499" t="s">
        <v>812</v>
      </c>
      <c r="AA499" t="s">
        <v>2098</v>
      </c>
      <c r="AB499" t="s">
        <v>793</v>
      </c>
      <c r="AD499" t="s">
        <v>794</v>
      </c>
      <c r="AE499" t="s">
        <v>804</v>
      </c>
      <c r="AF499" t="s">
        <v>1029</v>
      </c>
      <c r="AG499" t="s">
        <v>797</v>
      </c>
      <c r="AH499">
        <v>550000</v>
      </c>
      <c r="AI499">
        <v>550000</v>
      </c>
      <c r="AJ499">
        <v>0.159</v>
      </c>
    </row>
    <row r="500" spans="1:36" x14ac:dyDescent="0.3">
      <c r="A500">
        <f>COUNTIF($D$2:D500,D500)</f>
        <v>17</v>
      </c>
      <c r="B500" t="str">
        <f t="shared" si="29"/>
        <v>17Coventry</v>
      </c>
      <c r="C500" t="s">
        <v>2099</v>
      </c>
      <c r="D500" t="s">
        <v>121</v>
      </c>
      <c r="E500">
        <v>4</v>
      </c>
      <c r="F500" t="s">
        <v>2096</v>
      </c>
      <c r="G500" t="s">
        <v>834</v>
      </c>
      <c r="H500" t="s">
        <v>1293</v>
      </c>
      <c r="I500" t="s">
        <v>836</v>
      </c>
      <c r="J500">
        <f t="shared" ca="1" si="30"/>
        <v>353000</v>
      </c>
      <c r="K500">
        <f t="shared" ca="1" si="31"/>
        <v>46</v>
      </c>
      <c r="N500" t="str">
        <f t="shared" si="28"/>
        <v>Cheshire East33BCF Community Equipment service Assistive Technologies and EquipmentCommunity based equipment</v>
      </c>
      <c r="O500" t="s">
        <v>111</v>
      </c>
      <c r="P500" t="s">
        <v>1201</v>
      </c>
      <c r="Q500">
        <v>33</v>
      </c>
      <c r="R500" t="s">
        <v>1965</v>
      </c>
      <c r="S500" t="s">
        <v>2097</v>
      </c>
      <c r="T500" t="s">
        <v>800</v>
      </c>
      <c r="U500" t="s">
        <v>903</v>
      </c>
      <c r="W500">
        <v>2600</v>
      </c>
      <c r="X500">
        <v>2743</v>
      </c>
      <c r="Y500" t="s">
        <v>802</v>
      </c>
      <c r="Z500" t="s">
        <v>812</v>
      </c>
      <c r="AA500" t="s">
        <v>2098</v>
      </c>
      <c r="AB500" t="s">
        <v>824</v>
      </c>
      <c r="AD500" t="s">
        <v>794</v>
      </c>
      <c r="AE500" t="s">
        <v>804</v>
      </c>
      <c r="AF500" t="s">
        <v>796</v>
      </c>
      <c r="AG500" t="s">
        <v>797</v>
      </c>
      <c r="AH500">
        <v>2112086</v>
      </c>
      <c r="AI500">
        <v>2231630</v>
      </c>
      <c r="AJ500">
        <v>0.60899999999999999</v>
      </c>
    </row>
    <row r="501" spans="1:36" x14ac:dyDescent="0.3">
      <c r="A501">
        <f>COUNTIF($D$2:D501,D501)</f>
        <v>18</v>
      </c>
      <c r="B501" t="str">
        <f t="shared" si="29"/>
        <v>18Coventry</v>
      </c>
      <c r="C501" t="s">
        <v>2100</v>
      </c>
      <c r="D501" t="s">
        <v>121</v>
      </c>
      <c r="E501">
        <v>15</v>
      </c>
      <c r="F501" t="s">
        <v>2101</v>
      </c>
      <c r="G501" t="s">
        <v>877</v>
      </c>
      <c r="H501" t="s">
        <v>1259</v>
      </c>
      <c r="I501" t="s">
        <v>879</v>
      </c>
      <c r="J501">
        <f t="shared" ca="1" si="30"/>
        <v>500000</v>
      </c>
      <c r="K501">
        <f t="shared" ca="1" si="31"/>
        <v>75</v>
      </c>
      <c r="N501" t="str">
        <f t="shared" si="28"/>
        <v>Cheshire East35Spot purchase beds and cluster modelBed based intermediate Care Services (Reablement, rehabilitation, wider short-term services supporting recovery)Bed-based intermediate care with rehabilitation (to support discharge)</v>
      </c>
      <c r="O501" t="s">
        <v>111</v>
      </c>
      <c r="P501" t="s">
        <v>1201</v>
      </c>
      <c r="Q501">
        <v>35</v>
      </c>
      <c r="R501" t="s">
        <v>1971</v>
      </c>
      <c r="S501" t="s">
        <v>2060</v>
      </c>
      <c r="T501" t="s">
        <v>877</v>
      </c>
      <c r="U501" t="s">
        <v>968</v>
      </c>
      <c r="W501">
        <v>165</v>
      </c>
      <c r="X501">
        <v>165</v>
      </c>
      <c r="Y501" t="s">
        <v>879</v>
      </c>
      <c r="Z501" t="s">
        <v>823</v>
      </c>
      <c r="AB501" t="s">
        <v>824</v>
      </c>
      <c r="AD501" t="s">
        <v>794</v>
      </c>
      <c r="AE501" t="s">
        <v>804</v>
      </c>
      <c r="AF501" t="s">
        <v>860</v>
      </c>
      <c r="AG501" t="s">
        <v>797</v>
      </c>
      <c r="AH501">
        <v>1315414</v>
      </c>
      <c r="AI501">
        <v>1200000</v>
      </c>
      <c r="AJ501">
        <v>0.114</v>
      </c>
    </row>
    <row r="502" spans="1:36" x14ac:dyDescent="0.3">
      <c r="A502">
        <f>COUNTIF($D$2:D502,D502)</f>
        <v>19</v>
      </c>
      <c r="B502" t="str">
        <f t="shared" si="29"/>
        <v>19Coventry</v>
      </c>
      <c r="C502" t="s">
        <v>2102</v>
      </c>
      <c r="D502" t="s">
        <v>121</v>
      </c>
      <c r="E502">
        <v>15</v>
      </c>
      <c r="F502" t="s">
        <v>2101</v>
      </c>
      <c r="G502" t="s">
        <v>787</v>
      </c>
      <c r="H502" t="s">
        <v>930</v>
      </c>
      <c r="I502" t="s">
        <v>789</v>
      </c>
      <c r="J502">
        <f t="shared" ca="1" si="30"/>
        <v>373484</v>
      </c>
      <c r="K502">
        <f t="shared" ca="1" si="31"/>
        <v>88</v>
      </c>
      <c r="N502" t="str">
        <f t="shared" si="28"/>
        <v>Cheshire West and Chester1Support to Carers Carers ServicesRespite services</v>
      </c>
      <c r="O502" t="s">
        <v>113</v>
      </c>
      <c r="P502" t="s">
        <v>1201</v>
      </c>
      <c r="Q502">
        <v>1</v>
      </c>
      <c r="R502" t="s">
        <v>1974</v>
      </c>
      <c r="S502" t="s">
        <v>2103</v>
      </c>
      <c r="T502" t="s">
        <v>811</v>
      </c>
      <c r="U502" t="s">
        <v>830</v>
      </c>
      <c r="W502">
        <v>4953</v>
      </c>
      <c r="X502">
        <v>5448</v>
      </c>
      <c r="Y502" t="s">
        <v>813</v>
      </c>
      <c r="Z502" t="s">
        <v>792</v>
      </c>
      <c r="AB502" t="s">
        <v>793</v>
      </c>
      <c r="AD502" t="s">
        <v>794</v>
      </c>
      <c r="AE502" t="s">
        <v>795</v>
      </c>
      <c r="AF502" t="s">
        <v>845</v>
      </c>
      <c r="AG502" t="s">
        <v>797</v>
      </c>
      <c r="AH502">
        <v>456702</v>
      </c>
      <c r="AI502">
        <v>456702</v>
      </c>
      <c r="AJ502">
        <v>0.55000000000000004</v>
      </c>
    </row>
    <row r="503" spans="1:36" x14ac:dyDescent="0.3">
      <c r="A503">
        <f>COUNTIF($D$2:D503,D503)</f>
        <v>20</v>
      </c>
      <c r="B503" t="str">
        <f t="shared" si="29"/>
        <v>20Coventry</v>
      </c>
      <c r="C503" t="s">
        <v>2104</v>
      </c>
      <c r="D503" t="s">
        <v>121</v>
      </c>
      <c r="E503">
        <v>10</v>
      </c>
      <c r="F503" t="s">
        <v>2066</v>
      </c>
      <c r="G503" t="s">
        <v>842</v>
      </c>
      <c r="H503" t="s">
        <v>843</v>
      </c>
      <c r="I503" t="s">
        <v>844</v>
      </c>
      <c r="J503">
        <f t="shared" ca="1" si="30"/>
        <v>10454534</v>
      </c>
      <c r="K503">
        <f t="shared" ca="1" si="31"/>
        <v>524037</v>
      </c>
      <c r="N503" t="str">
        <f t="shared" si="28"/>
        <v>Cheshire West and Chester4Home FirstHome Care or Domiciliary CareDomiciliary care packages</v>
      </c>
      <c r="O503" t="s">
        <v>113</v>
      </c>
      <c r="P503" t="s">
        <v>1201</v>
      </c>
      <c r="Q503">
        <v>4</v>
      </c>
      <c r="R503" t="s">
        <v>1977</v>
      </c>
      <c r="S503" t="s">
        <v>2105</v>
      </c>
      <c r="T503" t="s">
        <v>842</v>
      </c>
      <c r="U503" t="s">
        <v>843</v>
      </c>
      <c r="W503">
        <v>717000</v>
      </c>
      <c r="X503">
        <v>538000</v>
      </c>
      <c r="Y503" t="s">
        <v>844</v>
      </c>
      <c r="Z503" t="s">
        <v>792</v>
      </c>
      <c r="AB503" t="s">
        <v>793</v>
      </c>
      <c r="AD503" t="s">
        <v>794</v>
      </c>
      <c r="AE503" t="s">
        <v>795</v>
      </c>
      <c r="AF503" t="s">
        <v>796</v>
      </c>
      <c r="AG503" t="s">
        <v>797</v>
      </c>
      <c r="AH503">
        <v>3658593</v>
      </c>
      <c r="AI503">
        <v>3494334</v>
      </c>
      <c r="AJ503">
        <v>0.25</v>
      </c>
    </row>
    <row r="504" spans="1:36" x14ac:dyDescent="0.3">
      <c r="A504">
        <f>COUNTIF($D$2:D504,D504)</f>
        <v>21</v>
      </c>
      <c r="B504" t="str">
        <f t="shared" si="29"/>
        <v>21Coventry</v>
      </c>
      <c r="C504" t="s">
        <v>2106</v>
      </c>
      <c r="D504" t="s">
        <v>121</v>
      </c>
      <c r="E504">
        <v>10</v>
      </c>
      <c r="F504" t="s">
        <v>2086</v>
      </c>
      <c r="G504" t="s">
        <v>806</v>
      </c>
      <c r="H504" t="s">
        <v>854</v>
      </c>
      <c r="I504" t="s">
        <v>808</v>
      </c>
      <c r="J504">
        <f t="shared" ca="1" si="30"/>
        <v>233535</v>
      </c>
      <c r="K504">
        <f t="shared" ca="1" si="31"/>
        <v>1</v>
      </c>
      <c r="N504" t="str">
        <f t="shared" si="28"/>
        <v>Cheshire West and Chester4Home FirstHome Care or Domiciliary CareDomiciliary care packages</v>
      </c>
      <c r="O504" t="s">
        <v>113</v>
      </c>
      <c r="P504" t="s">
        <v>1201</v>
      </c>
      <c r="Q504">
        <v>4</v>
      </c>
      <c r="R504" t="s">
        <v>1977</v>
      </c>
      <c r="S504" t="s">
        <v>2105</v>
      </c>
      <c r="T504" t="s">
        <v>842</v>
      </c>
      <c r="U504" t="s">
        <v>843</v>
      </c>
      <c r="W504">
        <v>717000</v>
      </c>
      <c r="X504">
        <v>538000</v>
      </c>
      <c r="Y504" t="s">
        <v>844</v>
      </c>
      <c r="Z504" t="s">
        <v>792</v>
      </c>
      <c r="AB504" t="s">
        <v>793</v>
      </c>
      <c r="AD504" t="s">
        <v>794</v>
      </c>
      <c r="AE504" t="s">
        <v>795</v>
      </c>
      <c r="AF504" t="s">
        <v>845</v>
      </c>
      <c r="AG504" t="s">
        <v>797</v>
      </c>
      <c r="AH504">
        <v>9538027.1300000008</v>
      </c>
      <c r="AI504">
        <v>9538027</v>
      </c>
      <c r="AJ504">
        <v>0.65</v>
      </c>
    </row>
    <row r="505" spans="1:36" x14ac:dyDescent="0.3">
      <c r="A505">
        <f>COUNTIF($D$2:D505,D505)</f>
        <v>22</v>
      </c>
      <c r="B505" t="str">
        <f t="shared" si="29"/>
        <v>22Coventry</v>
      </c>
      <c r="C505" t="s">
        <v>2107</v>
      </c>
      <c r="D505" t="s">
        <v>121</v>
      </c>
      <c r="E505">
        <v>19</v>
      </c>
      <c r="F505" t="s">
        <v>1143</v>
      </c>
      <c r="G505" t="s">
        <v>787</v>
      </c>
      <c r="H505" t="s">
        <v>930</v>
      </c>
      <c r="I505" t="s">
        <v>789</v>
      </c>
      <c r="J505">
        <f t="shared" ca="1" si="30"/>
        <v>1082001</v>
      </c>
      <c r="K505">
        <f t="shared" ca="1" si="31"/>
        <v>948</v>
      </c>
      <c r="N505" t="str">
        <f t="shared" si="28"/>
        <v>Cheshire West and Chester4Home FirstAssistive Technologies and EquipmentAssistive technologies including telecare</v>
      </c>
      <c r="O505" t="s">
        <v>113</v>
      </c>
      <c r="P505" t="s">
        <v>1201</v>
      </c>
      <c r="Q505">
        <v>4</v>
      </c>
      <c r="R505" t="s">
        <v>1977</v>
      </c>
      <c r="S505" t="s">
        <v>2108</v>
      </c>
      <c r="T505" t="s">
        <v>800</v>
      </c>
      <c r="U505" t="s">
        <v>850</v>
      </c>
      <c r="W505">
        <v>1110</v>
      </c>
      <c r="X505">
        <v>1200</v>
      </c>
      <c r="Y505" t="s">
        <v>802</v>
      </c>
      <c r="Z505" t="s">
        <v>792</v>
      </c>
      <c r="AB505" t="s">
        <v>793</v>
      </c>
      <c r="AD505" t="s">
        <v>794</v>
      </c>
      <c r="AE505" t="s">
        <v>795</v>
      </c>
      <c r="AF505" t="s">
        <v>796</v>
      </c>
      <c r="AG505" t="s">
        <v>797</v>
      </c>
      <c r="AH505">
        <v>105463</v>
      </c>
      <c r="AI505">
        <v>438463</v>
      </c>
      <c r="AJ505">
        <v>0.24</v>
      </c>
    </row>
    <row r="506" spans="1:36" x14ac:dyDescent="0.3">
      <c r="A506">
        <f>COUNTIF($D$2:D506,D506)</f>
        <v>23</v>
      </c>
      <c r="B506" t="str">
        <f t="shared" si="29"/>
        <v>23Coventry</v>
      </c>
      <c r="C506" t="s">
        <v>2109</v>
      </c>
      <c r="D506" t="s">
        <v>121</v>
      </c>
      <c r="E506">
        <v>19</v>
      </c>
      <c r="F506" t="s">
        <v>1143</v>
      </c>
      <c r="G506" t="s">
        <v>877</v>
      </c>
      <c r="H506" t="s">
        <v>1259</v>
      </c>
      <c r="I506" t="s">
        <v>879</v>
      </c>
      <c r="J506">
        <f t="shared" ca="1" si="30"/>
        <v>875000</v>
      </c>
      <c r="K506">
        <f t="shared" ca="1" si="31"/>
        <v>242</v>
      </c>
      <c r="N506" t="str">
        <f t="shared" si="28"/>
        <v>Cheshire West and Chester4Home FirstDFG Related SchemesAdaptations, including statutory DFG grants</v>
      </c>
      <c r="O506" t="s">
        <v>113</v>
      </c>
      <c r="P506" t="s">
        <v>1201</v>
      </c>
      <c r="Q506">
        <v>4</v>
      </c>
      <c r="R506" t="s">
        <v>1977</v>
      </c>
      <c r="S506" t="s">
        <v>891</v>
      </c>
      <c r="T506" t="s">
        <v>834</v>
      </c>
      <c r="U506" t="s">
        <v>835</v>
      </c>
      <c r="W506">
        <v>2650</v>
      </c>
      <c r="X506">
        <v>2650</v>
      </c>
      <c r="Y506" t="s">
        <v>836</v>
      </c>
      <c r="Z506" t="s">
        <v>792</v>
      </c>
      <c r="AB506" t="s">
        <v>793</v>
      </c>
      <c r="AD506" t="s">
        <v>794</v>
      </c>
      <c r="AE506" t="s">
        <v>795</v>
      </c>
      <c r="AF506" t="s">
        <v>840</v>
      </c>
      <c r="AG506" t="s">
        <v>797</v>
      </c>
      <c r="AH506">
        <v>3688301</v>
      </c>
      <c r="AI506">
        <v>3688301</v>
      </c>
      <c r="AJ506">
        <v>1</v>
      </c>
    </row>
    <row r="507" spans="1:36" x14ac:dyDescent="0.3">
      <c r="A507">
        <f>COUNTIF($D$2:D507,D507)</f>
        <v>1</v>
      </c>
      <c r="B507" t="str">
        <f t="shared" si="29"/>
        <v>1Croydon</v>
      </c>
      <c r="C507" t="s">
        <v>2110</v>
      </c>
      <c r="D507" t="s">
        <v>123</v>
      </c>
      <c r="E507">
        <v>4</v>
      </c>
      <c r="F507" t="s">
        <v>2111</v>
      </c>
      <c r="G507" t="s">
        <v>787</v>
      </c>
      <c r="H507" t="s">
        <v>1688</v>
      </c>
      <c r="I507" t="s">
        <v>789</v>
      </c>
      <c r="J507">
        <f t="shared" ca="1" si="30"/>
        <v>2178530</v>
      </c>
      <c r="K507">
        <f t="shared" ca="1" si="31"/>
        <v>113465</v>
      </c>
      <c r="N507" t="str">
        <f t="shared" si="28"/>
        <v>Cheshire West and Chester4Home FirstAssistive Technologies and EquipmentCommunity based equipment</v>
      </c>
      <c r="O507" t="s">
        <v>113</v>
      </c>
      <c r="P507" t="s">
        <v>1201</v>
      </c>
      <c r="Q507">
        <v>4</v>
      </c>
      <c r="R507" t="s">
        <v>1977</v>
      </c>
      <c r="S507" t="s">
        <v>2112</v>
      </c>
      <c r="T507" t="s">
        <v>800</v>
      </c>
      <c r="U507" t="s">
        <v>903</v>
      </c>
      <c r="W507">
        <v>7000</v>
      </c>
      <c r="X507">
        <v>7000</v>
      </c>
      <c r="Y507" t="s">
        <v>802</v>
      </c>
      <c r="Z507" t="s">
        <v>792</v>
      </c>
      <c r="AB507" t="s">
        <v>793</v>
      </c>
      <c r="AD507" t="s">
        <v>794</v>
      </c>
      <c r="AE507" t="s">
        <v>795</v>
      </c>
      <c r="AF507" t="s">
        <v>796</v>
      </c>
      <c r="AG507" t="s">
        <v>797</v>
      </c>
      <c r="AH507">
        <v>226000</v>
      </c>
      <c r="AI507">
        <v>500000</v>
      </c>
      <c r="AJ507">
        <v>0.45</v>
      </c>
    </row>
    <row r="508" spans="1:36" x14ac:dyDescent="0.3">
      <c r="A508">
        <f>COUNTIF($D$2:D508,D508)</f>
        <v>2</v>
      </c>
      <c r="B508" t="str">
        <f t="shared" si="29"/>
        <v>2Croydon</v>
      </c>
      <c r="C508" t="s">
        <v>2113</v>
      </c>
      <c r="D508" t="s">
        <v>123</v>
      </c>
      <c r="E508">
        <v>5</v>
      </c>
      <c r="F508" t="s">
        <v>2114</v>
      </c>
      <c r="G508" t="s">
        <v>877</v>
      </c>
      <c r="H508" t="s">
        <v>1015</v>
      </c>
      <c r="I508" t="s">
        <v>879</v>
      </c>
      <c r="J508">
        <f t="shared" ca="1" si="30"/>
        <v>663514</v>
      </c>
      <c r="K508">
        <f t="shared" ca="1" si="31"/>
        <v>261</v>
      </c>
      <c r="N508" t="str">
        <f t="shared" si="28"/>
        <v xml:space="preserve">Cheshire West and Chester4Home FirstHome-based intermediate care servicesReablement at home (to support discharge) </v>
      </c>
      <c r="O508" t="s">
        <v>113</v>
      </c>
      <c r="P508" t="s">
        <v>1201</v>
      </c>
      <c r="Q508">
        <v>4</v>
      </c>
      <c r="R508" t="s">
        <v>1977</v>
      </c>
      <c r="S508" t="s">
        <v>2115</v>
      </c>
      <c r="T508" t="s">
        <v>787</v>
      </c>
      <c r="U508" t="s">
        <v>788</v>
      </c>
      <c r="W508">
        <v>573</v>
      </c>
      <c r="X508">
        <v>717</v>
      </c>
      <c r="Y508" t="s">
        <v>789</v>
      </c>
      <c r="Z508" t="s">
        <v>792</v>
      </c>
      <c r="AB508" t="s">
        <v>793</v>
      </c>
      <c r="AD508" t="s">
        <v>794</v>
      </c>
      <c r="AE508" t="s">
        <v>795</v>
      </c>
      <c r="AF508" t="s">
        <v>796</v>
      </c>
      <c r="AG508" t="s">
        <v>797</v>
      </c>
      <c r="AH508">
        <v>2893688</v>
      </c>
      <c r="AI508">
        <v>2958550</v>
      </c>
      <c r="AJ508">
        <v>1</v>
      </c>
    </row>
    <row r="509" spans="1:36" x14ac:dyDescent="0.3">
      <c r="A509">
        <f>COUNTIF($D$2:D509,D509)</f>
        <v>3</v>
      </c>
      <c r="B509" t="str">
        <f t="shared" si="29"/>
        <v>3Croydon</v>
      </c>
      <c r="C509" t="s">
        <v>2116</v>
      </c>
      <c r="D509" t="s">
        <v>123</v>
      </c>
      <c r="E509">
        <v>12</v>
      </c>
      <c r="F509" t="s">
        <v>2117</v>
      </c>
      <c r="G509" t="s">
        <v>811</v>
      </c>
      <c r="H509" t="s">
        <v>830</v>
      </c>
      <c r="I509" t="s">
        <v>813</v>
      </c>
      <c r="J509">
        <f t="shared" ca="1" si="30"/>
        <v>78211.413</v>
      </c>
      <c r="K509">
        <f t="shared" ca="1" si="31"/>
        <v>22</v>
      </c>
      <c r="N509" t="str">
        <f t="shared" si="28"/>
        <v>Cheshire West and Chester4Home FirstAssistive Technologies and EquipmentCommunity based equipment</v>
      </c>
      <c r="O509" t="s">
        <v>113</v>
      </c>
      <c r="P509" t="s">
        <v>1201</v>
      </c>
      <c r="Q509">
        <v>4</v>
      </c>
      <c r="R509" t="s">
        <v>1977</v>
      </c>
      <c r="S509" t="s">
        <v>2118</v>
      </c>
      <c r="T509" t="s">
        <v>800</v>
      </c>
      <c r="U509" t="s">
        <v>903</v>
      </c>
      <c r="W509">
        <v>10200</v>
      </c>
      <c r="X509">
        <v>10383</v>
      </c>
      <c r="Y509" t="s">
        <v>802</v>
      </c>
      <c r="Z509" t="s">
        <v>812</v>
      </c>
      <c r="AA509" t="s">
        <v>1051</v>
      </c>
      <c r="AB509" t="s">
        <v>824</v>
      </c>
      <c r="AD509" t="s">
        <v>794</v>
      </c>
      <c r="AE509" t="s">
        <v>804</v>
      </c>
      <c r="AF509" t="s">
        <v>796</v>
      </c>
      <c r="AG509" t="s">
        <v>797</v>
      </c>
      <c r="AH509">
        <v>1876000</v>
      </c>
      <c r="AI509">
        <v>1982181.6</v>
      </c>
      <c r="AJ509">
        <v>1</v>
      </c>
    </row>
    <row r="510" spans="1:36" x14ac:dyDescent="0.3">
      <c r="A510">
        <f>COUNTIF($D$2:D510,D510)</f>
        <v>4</v>
      </c>
      <c r="B510" t="str">
        <f t="shared" si="29"/>
        <v>4Croydon</v>
      </c>
      <c r="C510" t="s">
        <v>2119</v>
      </c>
      <c r="D510" t="s">
        <v>123</v>
      </c>
      <c r="E510">
        <v>30</v>
      </c>
      <c r="F510" t="s">
        <v>2120</v>
      </c>
      <c r="G510" t="s">
        <v>842</v>
      </c>
      <c r="H510" t="s">
        <v>856</v>
      </c>
      <c r="I510" t="s">
        <v>844</v>
      </c>
      <c r="J510">
        <f t="shared" ca="1" si="30"/>
        <v>347000</v>
      </c>
      <c r="K510">
        <f t="shared" ca="1" si="31"/>
        <v>18148</v>
      </c>
      <c r="N510" t="str">
        <f t="shared" si="28"/>
        <v>Cheshire West and Chester4Home FirstBed based intermediate Care Services (Reablement, rehabilitation, wider short-term services supporting recovery)Bed-based intermediate care with rehabilitation (to support discharge)</v>
      </c>
      <c r="O510" t="s">
        <v>113</v>
      </c>
      <c r="P510" t="s">
        <v>1201</v>
      </c>
      <c r="Q510">
        <v>4</v>
      </c>
      <c r="R510" t="s">
        <v>1977</v>
      </c>
      <c r="S510" t="s">
        <v>2121</v>
      </c>
      <c r="T510" t="s">
        <v>877</v>
      </c>
      <c r="U510" t="s">
        <v>968</v>
      </c>
      <c r="W510">
        <v>1040</v>
      </c>
      <c r="X510">
        <v>1040</v>
      </c>
      <c r="Y510" t="s">
        <v>879</v>
      </c>
      <c r="Z510" t="s">
        <v>1118</v>
      </c>
      <c r="AB510" t="s">
        <v>824</v>
      </c>
      <c r="AD510" t="s">
        <v>794</v>
      </c>
      <c r="AE510" t="s">
        <v>1119</v>
      </c>
      <c r="AF510" t="s">
        <v>796</v>
      </c>
      <c r="AG510" t="s">
        <v>797</v>
      </c>
      <c r="AH510">
        <v>6420723.4556337604</v>
      </c>
      <c r="AI510">
        <v>6784136.4032226307</v>
      </c>
      <c r="AJ510">
        <v>1</v>
      </c>
    </row>
    <row r="511" spans="1:36" x14ac:dyDescent="0.3">
      <c r="A511">
        <f>COUNTIF($D$2:D511,D511)</f>
        <v>5</v>
      </c>
      <c r="B511" t="str">
        <f t="shared" si="29"/>
        <v>5Croydon</v>
      </c>
      <c r="C511" t="s">
        <v>2122</v>
      </c>
      <c r="D511" t="s">
        <v>123</v>
      </c>
      <c r="E511">
        <v>31</v>
      </c>
      <c r="F511" t="s">
        <v>2123</v>
      </c>
      <c r="G511" t="s">
        <v>842</v>
      </c>
      <c r="H511" t="s">
        <v>856</v>
      </c>
      <c r="I511" t="s">
        <v>844</v>
      </c>
      <c r="J511">
        <f t="shared" ca="1" si="30"/>
        <v>181000</v>
      </c>
      <c r="K511">
        <f t="shared" ca="1" si="31"/>
        <v>9466</v>
      </c>
      <c r="N511" t="str">
        <f t="shared" si="28"/>
        <v>Cheshire West and Chester4Home FirstBed based intermediate Care Services (Reablement, rehabilitation, wider short-term services supporting recovery)Bed-based intermediate care with rehabilitation (to support discharge)</v>
      </c>
      <c r="O511" t="s">
        <v>113</v>
      </c>
      <c r="P511" t="s">
        <v>1201</v>
      </c>
      <c r="Q511">
        <v>4</v>
      </c>
      <c r="R511" t="s">
        <v>1977</v>
      </c>
      <c r="S511" t="s">
        <v>2124</v>
      </c>
      <c r="T511" t="s">
        <v>877</v>
      </c>
      <c r="U511" t="s">
        <v>968</v>
      </c>
      <c r="W511">
        <v>150</v>
      </c>
      <c r="X511">
        <v>150</v>
      </c>
      <c r="Y511" t="s">
        <v>879</v>
      </c>
      <c r="Z511" t="s">
        <v>1118</v>
      </c>
      <c r="AB511" t="s">
        <v>824</v>
      </c>
      <c r="AD511" t="s">
        <v>794</v>
      </c>
      <c r="AE511" t="s">
        <v>1119</v>
      </c>
      <c r="AF511" t="s">
        <v>796</v>
      </c>
      <c r="AG511" t="s">
        <v>797</v>
      </c>
      <c r="AH511">
        <v>740977.70265791996</v>
      </c>
      <c r="AI511">
        <v>782917.04062835826</v>
      </c>
      <c r="AJ511">
        <v>1</v>
      </c>
    </row>
    <row r="512" spans="1:36" x14ac:dyDescent="0.3">
      <c r="A512">
        <f>COUNTIF($D$2:D512,D512)</f>
        <v>6</v>
      </c>
      <c r="B512" t="str">
        <f t="shared" si="29"/>
        <v>6Croydon</v>
      </c>
      <c r="C512" t="s">
        <v>2125</v>
      </c>
      <c r="D512" t="s">
        <v>123</v>
      </c>
      <c r="E512">
        <v>32</v>
      </c>
      <c r="F512" t="s">
        <v>2126</v>
      </c>
      <c r="G512" t="s">
        <v>842</v>
      </c>
      <c r="H512" t="s">
        <v>856</v>
      </c>
      <c r="I512" t="s">
        <v>844</v>
      </c>
      <c r="J512">
        <f t="shared" ca="1" si="30"/>
        <v>117000</v>
      </c>
      <c r="K512">
        <f t="shared" ca="1" si="31"/>
        <v>9466</v>
      </c>
      <c r="N512" t="str">
        <f t="shared" si="28"/>
        <v>Cheshire West and Chester4Home FirstBed based intermediate Care Services (Reablement, rehabilitation, wider short-term services supporting recovery)Bed-based intermediate care with rehabilitation (to support discharge)</v>
      </c>
      <c r="O512" t="s">
        <v>113</v>
      </c>
      <c r="P512" t="s">
        <v>1201</v>
      </c>
      <c r="Q512">
        <v>4</v>
      </c>
      <c r="R512" t="s">
        <v>1977</v>
      </c>
      <c r="S512" t="s">
        <v>2127</v>
      </c>
      <c r="T512" t="s">
        <v>877</v>
      </c>
      <c r="U512" t="s">
        <v>968</v>
      </c>
      <c r="W512">
        <v>188</v>
      </c>
      <c r="X512">
        <v>188</v>
      </c>
      <c r="Y512" t="s">
        <v>879</v>
      </c>
      <c r="Z512" t="s">
        <v>1118</v>
      </c>
      <c r="AB512" t="s">
        <v>824</v>
      </c>
      <c r="AD512" t="s">
        <v>794</v>
      </c>
      <c r="AE512" t="s">
        <v>1119</v>
      </c>
      <c r="AF512" t="s">
        <v>796</v>
      </c>
      <c r="AG512" t="s">
        <v>797</v>
      </c>
      <c r="AH512">
        <v>903472.81288991997</v>
      </c>
      <c r="AI512">
        <v>954609.37409948942</v>
      </c>
      <c r="AJ512">
        <v>1</v>
      </c>
    </row>
    <row r="513" spans="1:36" x14ac:dyDescent="0.3">
      <c r="A513">
        <f>COUNTIF($D$2:D513,D513)</f>
        <v>7</v>
      </c>
      <c r="B513" t="str">
        <f t="shared" si="29"/>
        <v>7Croydon</v>
      </c>
      <c r="C513" t="s">
        <v>2128</v>
      </c>
      <c r="D513" t="s">
        <v>123</v>
      </c>
      <c r="E513">
        <v>35</v>
      </c>
      <c r="F513" t="s">
        <v>2129</v>
      </c>
      <c r="G513" t="s">
        <v>842</v>
      </c>
      <c r="H513" t="s">
        <v>843</v>
      </c>
      <c r="I513" t="s">
        <v>844</v>
      </c>
      <c r="J513">
        <f t="shared" ca="1" si="30"/>
        <v>549000</v>
      </c>
      <c r="K513">
        <f t="shared" ca="1" si="31"/>
        <v>28713</v>
      </c>
      <c r="N513" t="str">
        <f t="shared" si="28"/>
        <v>Cheshire West and Chester4Home FirstHome-based intermediate care servicesRehabilitation at home (accepting step up and step down users)</v>
      </c>
      <c r="O513" t="s">
        <v>113</v>
      </c>
      <c r="P513" t="s">
        <v>1201</v>
      </c>
      <c r="Q513">
        <v>4</v>
      </c>
      <c r="R513" t="s">
        <v>1977</v>
      </c>
      <c r="S513" t="s">
        <v>2130</v>
      </c>
      <c r="T513" t="s">
        <v>787</v>
      </c>
      <c r="U513" t="s">
        <v>1688</v>
      </c>
      <c r="W513">
        <v>1224</v>
      </c>
      <c r="X513">
        <v>1224</v>
      </c>
      <c r="Y513" t="s">
        <v>789</v>
      </c>
      <c r="Z513" t="s">
        <v>823</v>
      </c>
      <c r="AB513" t="s">
        <v>824</v>
      </c>
      <c r="AD513" t="s">
        <v>794</v>
      </c>
      <c r="AE513" t="s">
        <v>832</v>
      </c>
      <c r="AF513" t="s">
        <v>796</v>
      </c>
      <c r="AG513" t="s">
        <v>797</v>
      </c>
      <c r="AH513">
        <v>998425.92355799291</v>
      </c>
      <c r="AI513">
        <v>1054936.8308313754</v>
      </c>
      <c r="AJ513">
        <v>1</v>
      </c>
    </row>
    <row r="514" spans="1:36" x14ac:dyDescent="0.3">
      <c r="A514">
        <f>COUNTIF($D$2:D514,D514)</f>
        <v>8</v>
      </c>
      <c r="B514" t="str">
        <f t="shared" si="29"/>
        <v>8Croydon</v>
      </c>
      <c r="C514" t="s">
        <v>2131</v>
      </c>
      <c r="D514" t="s">
        <v>123</v>
      </c>
      <c r="E514">
        <v>39</v>
      </c>
      <c r="F514" t="s">
        <v>2132</v>
      </c>
      <c r="G514" t="s">
        <v>800</v>
      </c>
      <c r="H514" t="s">
        <v>850</v>
      </c>
      <c r="I514" t="s">
        <v>802</v>
      </c>
      <c r="J514">
        <f t="shared" ca="1" si="30"/>
        <v>205000</v>
      </c>
      <c r="K514">
        <f t="shared" ca="1" si="31"/>
        <v>489</v>
      </c>
      <c r="N514" t="str">
        <f t="shared" ref="N514:N577" si="32">O514&amp;Q514&amp;R514&amp;T514&amp;U514</f>
        <v>Cheshire West and Chester4Home FirstHome-based intermediate care servicesRehabilitation at home (accepting step up and step down users)</v>
      </c>
      <c r="O514" t="s">
        <v>113</v>
      </c>
      <c r="P514" t="s">
        <v>1201</v>
      </c>
      <c r="Q514">
        <v>4</v>
      </c>
      <c r="R514" t="s">
        <v>1977</v>
      </c>
      <c r="S514" t="s">
        <v>2133</v>
      </c>
      <c r="T514" t="s">
        <v>787</v>
      </c>
      <c r="U514" t="s">
        <v>1688</v>
      </c>
      <c r="W514">
        <v>2296</v>
      </c>
      <c r="X514">
        <v>2296</v>
      </c>
      <c r="Y514" t="s">
        <v>789</v>
      </c>
      <c r="Z514" t="s">
        <v>823</v>
      </c>
      <c r="AB514" t="s">
        <v>824</v>
      </c>
      <c r="AD514" t="s">
        <v>794</v>
      </c>
      <c r="AE514" t="s">
        <v>1119</v>
      </c>
      <c r="AF514" t="s">
        <v>796</v>
      </c>
      <c r="AG514" t="s">
        <v>797</v>
      </c>
      <c r="AH514">
        <v>1871943.6698726399</v>
      </c>
      <c r="AI514">
        <v>1977895.6815874311</v>
      </c>
      <c r="AJ514">
        <v>0.75</v>
      </c>
    </row>
    <row r="515" spans="1:36" x14ac:dyDescent="0.3">
      <c r="A515">
        <f>COUNTIF($D$2:D515,D515)</f>
        <v>9</v>
      </c>
      <c r="B515" t="str">
        <f t="shared" ref="B515:B578" si="33">A515&amp;D515</f>
        <v>9Croydon</v>
      </c>
      <c r="C515" t="s">
        <v>2134</v>
      </c>
      <c r="D515" t="s">
        <v>123</v>
      </c>
      <c r="E515">
        <v>41</v>
      </c>
      <c r="F515" t="s">
        <v>2135</v>
      </c>
      <c r="G515" t="s">
        <v>842</v>
      </c>
      <c r="H515" t="s">
        <v>843</v>
      </c>
      <c r="I515" t="s">
        <v>844</v>
      </c>
      <c r="J515">
        <f t="shared" ref="J515:J578" ca="1" si="34">SUMIF($N:$AI,C515,AH:AH)</f>
        <v>2386000</v>
      </c>
      <c r="K515">
        <f t="shared" ref="K515:K578" ca="1" si="35">SUMIF($N:$AI,C515,W:W)</f>
        <v>124790</v>
      </c>
      <c r="N515" t="str">
        <f t="shared" si="32"/>
        <v>Cheshire West and Chester4Home FirstBed based intermediate Care Services (Reablement, rehabilitation, wider short-term services supporting recovery)Bed-based intermediate care with reablement accepting step up and step down users</v>
      </c>
      <c r="O515" t="s">
        <v>113</v>
      </c>
      <c r="P515" t="s">
        <v>1201</v>
      </c>
      <c r="Q515">
        <v>4</v>
      </c>
      <c r="R515" t="s">
        <v>1977</v>
      </c>
      <c r="S515" t="s">
        <v>2136</v>
      </c>
      <c r="T515" t="s">
        <v>877</v>
      </c>
      <c r="U515" t="s">
        <v>1259</v>
      </c>
      <c r="W515">
        <v>226</v>
      </c>
      <c r="X515">
        <v>238</v>
      </c>
      <c r="Y515" t="s">
        <v>879</v>
      </c>
      <c r="Z515" t="s">
        <v>823</v>
      </c>
      <c r="AB515" t="s">
        <v>824</v>
      </c>
      <c r="AD515" t="s">
        <v>794</v>
      </c>
      <c r="AE515" t="s">
        <v>804</v>
      </c>
      <c r="AF515" t="s">
        <v>796</v>
      </c>
      <c r="AG515" t="s">
        <v>797</v>
      </c>
      <c r="AH515">
        <v>1624242.08010346</v>
      </c>
      <c r="AI515">
        <v>1716174.1818373159</v>
      </c>
      <c r="AJ515">
        <v>1</v>
      </c>
    </row>
    <row r="516" spans="1:36" x14ac:dyDescent="0.3">
      <c r="A516">
        <f>COUNTIF($D$2:D516,D516)</f>
        <v>10</v>
      </c>
      <c r="B516" t="str">
        <f t="shared" si="33"/>
        <v>10Croydon</v>
      </c>
      <c r="C516" t="s">
        <v>2137</v>
      </c>
      <c r="D516" t="s">
        <v>123</v>
      </c>
      <c r="E516">
        <v>43</v>
      </c>
      <c r="F516" t="s">
        <v>2138</v>
      </c>
      <c r="G516" t="s">
        <v>806</v>
      </c>
      <c r="H516" t="s">
        <v>807</v>
      </c>
      <c r="I516" t="s">
        <v>808</v>
      </c>
      <c r="J516">
        <f t="shared" ca="1" si="34"/>
        <v>1273000</v>
      </c>
      <c r="K516">
        <f t="shared" ca="1" si="35"/>
        <v>27</v>
      </c>
      <c r="N516" t="str">
        <f t="shared" si="32"/>
        <v>Cheshire West and Chester4Home FirstHome-based intermediate care servicesRehabilitation at home (accepting step up and step down users)</v>
      </c>
      <c r="O516" t="s">
        <v>113</v>
      </c>
      <c r="P516" t="s">
        <v>1201</v>
      </c>
      <c r="Q516">
        <v>4</v>
      </c>
      <c r="R516" t="s">
        <v>1977</v>
      </c>
      <c r="S516" t="s">
        <v>2139</v>
      </c>
      <c r="T516" t="s">
        <v>787</v>
      </c>
      <c r="U516" t="s">
        <v>1688</v>
      </c>
      <c r="W516">
        <v>728</v>
      </c>
      <c r="X516">
        <v>728</v>
      </c>
      <c r="Y516" t="s">
        <v>789</v>
      </c>
      <c r="Z516" t="s">
        <v>823</v>
      </c>
      <c r="AB516" t="s">
        <v>824</v>
      </c>
      <c r="AD516" t="s">
        <v>794</v>
      </c>
      <c r="AE516" t="s">
        <v>1119</v>
      </c>
      <c r="AF516" t="s">
        <v>796</v>
      </c>
      <c r="AG516" t="s">
        <v>861</v>
      </c>
      <c r="AH516">
        <v>593873.53199999989</v>
      </c>
      <c r="AI516">
        <v>627486.77391119988</v>
      </c>
      <c r="AJ516">
        <v>0.25</v>
      </c>
    </row>
    <row r="517" spans="1:36" x14ac:dyDescent="0.3">
      <c r="A517">
        <f>COUNTIF($D$2:D517,D517)</f>
        <v>11</v>
      </c>
      <c r="B517" t="str">
        <f t="shared" si="33"/>
        <v>11Croydon</v>
      </c>
      <c r="C517" t="s">
        <v>2140</v>
      </c>
      <c r="D517" t="s">
        <v>123</v>
      </c>
      <c r="E517">
        <v>44</v>
      </c>
      <c r="F517" t="s">
        <v>2141</v>
      </c>
      <c r="G517" t="s">
        <v>800</v>
      </c>
      <c r="H517" t="s">
        <v>850</v>
      </c>
      <c r="I517" t="s">
        <v>802</v>
      </c>
      <c r="J517">
        <f t="shared" ca="1" si="34"/>
        <v>241000</v>
      </c>
      <c r="K517">
        <f t="shared" ca="1" si="35"/>
        <v>374</v>
      </c>
      <c r="N517" t="str">
        <f t="shared" si="32"/>
        <v>City of London2CoL-Carers’ support  Carers ServicesOther</v>
      </c>
      <c r="O517" t="s">
        <v>115</v>
      </c>
      <c r="P517" t="s">
        <v>790</v>
      </c>
      <c r="Q517">
        <v>2</v>
      </c>
      <c r="R517" t="s">
        <v>1993</v>
      </c>
      <c r="S517" t="s">
        <v>2142</v>
      </c>
      <c r="T517" t="s">
        <v>811</v>
      </c>
      <c r="U517" t="s">
        <v>812</v>
      </c>
      <c r="V517" t="s">
        <v>2143</v>
      </c>
      <c r="W517">
        <v>50</v>
      </c>
      <c r="X517">
        <v>55</v>
      </c>
      <c r="Y517" t="s">
        <v>813</v>
      </c>
      <c r="Z517" t="s">
        <v>792</v>
      </c>
      <c r="AB517" t="s">
        <v>793</v>
      </c>
      <c r="AD517" t="s">
        <v>794</v>
      </c>
      <c r="AE517" t="s">
        <v>825</v>
      </c>
      <c r="AF517" t="s">
        <v>796</v>
      </c>
      <c r="AG517" t="s">
        <v>797</v>
      </c>
      <c r="AH517">
        <v>14352</v>
      </c>
      <c r="AI517">
        <v>15175</v>
      </c>
      <c r="AJ517">
        <v>1</v>
      </c>
    </row>
    <row r="518" spans="1:36" x14ac:dyDescent="0.3">
      <c r="A518">
        <f>COUNTIF($D$2:D518,D518)</f>
        <v>12</v>
      </c>
      <c r="B518" t="str">
        <f t="shared" si="33"/>
        <v>12Croydon</v>
      </c>
      <c r="C518" t="s">
        <v>2144</v>
      </c>
      <c r="D518" t="s">
        <v>123</v>
      </c>
      <c r="E518">
        <v>46</v>
      </c>
      <c r="F518" t="s">
        <v>2145</v>
      </c>
      <c r="G518" t="s">
        <v>842</v>
      </c>
      <c r="H518" t="s">
        <v>843</v>
      </c>
      <c r="I518" t="s">
        <v>844</v>
      </c>
      <c r="J518">
        <f t="shared" ca="1" si="34"/>
        <v>1427171</v>
      </c>
      <c r="K518">
        <f t="shared" ca="1" si="35"/>
        <v>74642</v>
      </c>
      <c r="N518" t="str">
        <f t="shared" si="32"/>
        <v>City of London3Brokerage pilot (one-year)Residential PlacementsOther</v>
      </c>
      <c r="O518" t="s">
        <v>115</v>
      </c>
      <c r="P518" t="s">
        <v>790</v>
      </c>
      <c r="Q518">
        <v>3</v>
      </c>
      <c r="R518" t="s">
        <v>1995</v>
      </c>
      <c r="S518" t="s">
        <v>2146</v>
      </c>
      <c r="T518" t="s">
        <v>806</v>
      </c>
      <c r="U518" t="s">
        <v>812</v>
      </c>
      <c r="V518" t="s">
        <v>2147</v>
      </c>
      <c r="W518">
        <v>12</v>
      </c>
      <c r="X518">
        <v>12</v>
      </c>
      <c r="Y518" t="s">
        <v>808</v>
      </c>
      <c r="Z518" t="s">
        <v>792</v>
      </c>
      <c r="AB518" t="s">
        <v>793</v>
      </c>
      <c r="AD518" t="s">
        <v>794</v>
      </c>
      <c r="AE518" t="s">
        <v>795</v>
      </c>
      <c r="AF518" t="s">
        <v>796</v>
      </c>
      <c r="AG518" t="s">
        <v>861</v>
      </c>
      <c r="AH518">
        <v>50000</v>
      </c>
      <c r="AI518">
        <v>52830</v>
      </c>
      <c r="AJ518">
        <v>1</v>
      </c>
    </row>
    <row r="519" spans="1:36" x14ac:dyDescent="0.3">
      <c r="A519">
        <f>COUNTIF($D$2:D519,D519)</f>
        <v>13</v>
      </c>
      <c r="B519" t="str">
        <f t="shared" si="33"/>
        <v>13Croydon</v>
      </c>
      <c r="C519" t="s">
        <v>2148</v>
      </c>
      <c r="D519" t="s">
        <v>123</v>
      </c>
      <c r="E519">
        <v>47</v>
      </c>
      <c r="F519" t="s">
        <v>2149</v>
      </c>
      <c r="G519" t="s">
        <v>842</v>
      </c>
      <c r="H519" t="s">
        <v>856</v>
      </c>
      <c r="I519" t="s">
        <v>844</v>
      </c>
      <c r="J519">
        <f t="shared" ca="1" si="34"/>
        <v>508000</v>
      </c>
      <c r="K519">
        <f t="shared" ca="1" si="35"/>
        <v>26569</v>
      </c>
      <c r="N519" t="str">
        <f t="shared" si="32"/>
        <v>City of London5Disabled Facilities GrantDFG Related SchemesAdaptations, including statutory DFG grants</v>
      </c>
      <c r="O519" t="s">
        <v>115</v>
      </c>
      <c r="P519" t="s">
        <v>790</v>
      </c>
      <c r="Q519">
        <v>5</v>
      </c>
      <c r="R519" t="s">
        <v>891</v>
      </c>
      <c r="S519" t="s">
        <v>2150</v>
      </c>
      <c r="T519" t="s">
        <v>834</v>
      </c>
      <c r="U519" t="s">
        <v>835</v>
      </c>
      <c r="W519">
        <v>10</v>
      </c>
      <c r="X519">
        <v>10</v>
      </c>
      <c r="Y519" t="s">
        <v>836</v>
      </c>
      <c r="Z519" t="s">
        <v>792</v>
      </c>
      <c r="AB519" t="s">
        <v>793</v>
      </c>
      <c r="AD519" t="s">
        <v>794</v>
      </c>
      <c r="AE519" t="s">
        <v>804</v>
      </c>
      <c r="AF519" t="s">
        <v>840</v>
      </c>
      <c r="AG519" t="s">
        <v>797</v>
      </c>
      <c r="AH519">
        <v>37091</v>
      </c>
      <c r="AI519">
        <v>37091</v>
      </c>
      <c r="AJ519">
        <v>1</v>
      </c>
    </row>
    <row r="520" spans="1:36" x14ac:dyDescent="0.3">
      <c r="A520">
        <f>COUNTIF($D$2:D520,D520)</f>
        <v>14</v>
      </c>
      <c r="B520" t="str">
        <f t="shared" si="33"/>
        <v>14Croydon</v>
      </c>
      <c r="C520" t="s">
        <v>2151</v>
      </c>
      <c r="D520" t="s">
        <v>123</v>
      </c>
      <c r="E520">
        <v>48</v>
      </c>
      <c r="F520" t="s">
        <v>840</v>
      </c>
      <c r="G520" t="s">
        <v>834</v>
      </c>
      <c r="H520" t="s">
        <v>835</v>
      </c>
      <c r="I520" t="s">
        <v>836</v>
      </c>
      <c r="J520">
        <f t="shared" ca="1" si="34"/>
        <v>2992679</v>
      </c>
      <c r="K520">
        <f t="shared" ca="1" si="35"/>
        <v>190</v>
      </c>
      <c r="N520" t="str">
        <f t="shared" si="32"/>
        <v>Cornwall &amp; Scilly1C1. Carers (Council Element)Carers ServicesOther</v>
      </c>
      <c r="O520" t="s">
        <v>117</v>
      </c>
      <c r="P520" t="s">
        <v>976</v>
      </c>
      <c r="Q520">
        <v>1</v>
      </c>
      <c r="R520" t="s">
        <v>1999</v>
      </c>
      <c r="S520" t="s">
        <v>2152</v>
      </c>
      <c r="T520" t="s">
        <v>811</v>
      </c>
      <c r="U520" t="s">
        <v>812</v>
      </c>
      <c r="V520" t="s">
        <v>2153</v>
      </c>
      <c r="W520">
        <v>2015</v>
      </c>
      <c r="X520">
        <v>2015</v>
      </c>
      <c r="Y520" t="s">
        <v>813</v>
      </c>
      <c r="Z520" t="s">
        <v>792</v>
      </c>
      <c r="AB520" t="s">
        <v>793</v>
      </c>
      <c r="AD520" t="s">
        <v>794</v>
      </c>
      <c r="AE520" t="s">
        <v>804</v>
      </c>
      <c r="AF520" t="s">
        <v>796</v>
      </c>
      <c r="AG520" t="s">
        <v>797</v>
      </c>
      <c r="AH520">
        <v>684000</v>
      </c>
      <c r="AI520">
        <v>684000</v>
      </c>
      <c r="AJ520">
        <v>7.210282127956439E-3</v>
      </c>
    </row>
    <row r="521" spans="1:36" x14ac:dyDescent="0.3">
      <c r="A521">
        <f>COUNTIF($D$2:D521,D521)</f>
        <v>15</v>
      </c>
      <c r="B521" t="str">
        <f t="shared" si="33"/>
        <v>15Croydon</v>
      </c>
      <c r="C521" t="s">
        <v>2154</v>
      </c>
      <c r="D521" t="s">
        <v>123</v>
      </c>
      <c r="E521">
        <v>49</v>
      </c>
      <c r="F521" t="s">
        <v>1786</v>
      </c>
      <c r="G521" t="s">
        <v>806</v>
      </c>
      <c r="H521" t="s">
        <v>807</v>
      </c>
      <c r="I521" t="s">
        <v>808</v>
      </c>
      <c r="J521">
        <f t="shared" ca="1" si="34"/>
        <v>165633</v>
      </c>
      <c r="K521">
        <f t="shared" ca="1" si="35"/>
        <v>41</v>
      </c>
      <c r="N521" t="str">
        <f t="shared" si="32"/>
        <v>Cornwall &amp; Scilly2C1. Carers (ICB Element)Carers ServicesOther</v>
      </c>
      <c r="O521" t="s">
        <v>117</v>
      </c>
      <c r="P521" t="s">
        <v>976</v>
      </c>
      <c r="Q521">
        <v>2</v>
      </c>
      <c r="R521" t="s">
        <v>2001</v>
      </c>
      <c r="S521" t="s">
        <v>2152</v>
      </c>
      <c r="T521" t="s">
        <v>811</v>
      </c>
      <c r="U521" t="s">
        <v>812</v>
      </c>
      <c r="V521" t="s">
        <v>2153</v>
      </c>
      <c r="W521">
        <v>4485</v>
      </c>
      <c r="X521">
        <v>4485</v>
      </c>
      <c r="Y521" t="s">
        <v>813</v>
      </c>
      <c r="Z521" t="s">
        <v>823</v>
      </c>
      <c r="AB521" t="s">
        <v>793</v>
      </c>
      <c r="AD521" t="s">
        <v>794</v>
      </c>
      <c r="AE521" t="s">
        <v>804</v>
      </c>
      <c r="AF521" t="s">
        <v>796</v>
      </c>
      <c r="AG521" t="s">
        <v>797</v>
      </c>
      <c r="AH521">
        <v>1522452</v>
      </c>
      <c r="AI521">
        <v>1522452</v>
      </c>
      <c r="AJ521">
        <v>1.6048696558876516E-2</v>
      </c>
    </row>
    <row r="522" spans="1:36" x14ac:dyDescent="0.3">
      <c r="A522">
        <f>COUNTIF($D$2:D522,D522)</f>
        <v>16</v>
      </c>
      <c r="B522" t="str">
        <f t="shared" si="33"/>
        <v>16Croydon</v>
      </c>
      <c r="C522" t="s">
        <v>2155</v>
      </c>
      <c r="D522" t="s">
        <v>123</v>
      </c>
      <c r="E522">
        <v>54</v>
      </c>
      <c r="F522" t="s">
        <v>806</v>
      </c>
      <c r="G522" t="s">
        <v>806</v>
      </c>
      <c r="H522" t="s">
        <v>807</v>
      </c>
      <c r="I522" t="s">
        <v>808</v>
      </c>
      <c r="J522">
        <f t="shared" ca="1" si="34"/>
        <v>2829345</v>
      </c>
      <c r="K522">
        <f t="shared" ca="1" si="35"/>
        <v>3065</v>
      </c>
      <c r="N522" t="str">
        <f t="shared" si="32"/>
        <v>Cornwall &amp; Scilly4C2B. IC Home Based (Steps)Home-based intermediate care servicesReablement at home (accepting step up and step down users)</v>
      </c>
      <c r="O522" t="s">
        <v>117</v>
      </c>
      <c r="P522" t="s">
        <v>976</v>
      </c>
      <c r="Q522">
        <v>4</v>
      </c>
      <c r="R522" t="s">
        <v>2003</v>
      </c>
      <c r="S522" t="s">
        <v>2156</v>
      </c>
      <c r="T522" t="s">
        <v>787</v>
      </c>
      <c r="U522" t="s">
        <v>930</v>
      </c>
      <c r="W522">
        <v>3300</v>
      </c>
      <c r="X522">
        <v>3300</v>
      </c>
      <c r="Y522" t="s">
        <v>789</v>
      </c>
      <c r="Z522" t="s">
        <v>792</v>
      </c>
      <c r="AB522" t="s">
        <v>793</v>
      </c>
      <c r="AD522" t="s">
        <v>794</v>
      </c>
      <c r="AE522" t="s">
        <v>795</v>
      </c>
      <c r="AF522" t="s">
        <v>796</v>
      </c>
      <c r="AG522" t="s">
        <v>797</v>
      </c>
      <c r="AH522">
        <v>5577512</v>
      </c>
      <c r="AI522">
        <v>5893199</v>
      </c>
      <c r="AJ522">
        <v>6.0458379033810919E-2</v>
      </c>
    </row>
    <row r="523" spans="1:36" x14ac:dyDescent="0.3">
      <c r="A523">
        <f>COUNTIF($D$2:D523,D523)</f>
        <v>17</v>
      </c>
      <c r="B523" t="str">
        <f t="shared" si="33"/>
        <v>17Croydon</v>
      </c>
      <c r="C523" t="s">
        <v>2157</v>
      </c>
      <c r="D523" t="s">
        <v>123</v>
      </c>
      <c r="E523">
        <v>55</v>
      </c>
      <c r="F523" t="s">
        <v>806</v>
      </c>
      <c r="G523" t="s">
        <v>806</v>
      </c>
      <c r="H523" t="s">
        <v>917</v>
      </c>
      <c r="I523" t="s">
        <v>808</v>
      </c>
      <c r="J523">
        <f t="shared" ca="1" si="34"/>
        <v>1128597</v>
      </c>
      <c r="K523">
        <f t="shared" ca="1" si="35"/>
        <v>940</v>
      </c>
      <c r="N523" t="str">
        <f t="shared" si="32"/>
        <v xml:space="preserve">Cornwall &amp; Scilly7C2B. IC Home Based (Home First - EIS &amp; GSW's)Home-based intermediate care servicesReablement at home (to support discharge) </v>
      </c>
      <c r="O523" t="s">
        <v>117</v>
      </c>
      <c r="P523" t="s">
        <v>976</v>
      </c>
      <c r="Q523">
        <v>7</v>
      </c>
      <c r="R523" t="s">
        <v>2006</v>
      </c>
      <c r="S523" t="s">
        <v>2158</v>
      </c>
      <c r="T523" t="s">
        <v>787</v>
      </c>
      <c r="U523" t="s">
        <v>788</v>
      </c>
      <c r="W523">
        <v>1908</v>
      </c>
      <c r="X523">
        <v>1908</v>
      </c>
      <c r="Y523" t="s">
        <v>789</v>
      </c>
      <c r="Z523" t="s">
        <v>823</v>
      </c>
      <c r="AB523" t="s">
        <v>824</v>
      </c>
      <c r="AD523" t="s">
        <v>794</v>
      </c>
      <c r="AE523" t="s">
        <v>832</v>
      </c>
      <c r="AF523" t="s">
        <v>796</v>
      </c>
      <c r="AG523" t="s">
        <v>797</v>
      </c>
      <c r="AH523">
        <v>3800449.6721999999</v>
      </c>
      <c r="AI523">
        <v>4015555.1236465201</v>
      </c>
      <c r="AJ523">
        <v>4.1195615390788462E-2</v>
      </c>
    </row>
    <row r="524" spans="1:36" x14ac:dyDescent="0.3">
      <c r="A524">
        <f>COUNTIF($D$2:D524,D524)</f>
        <v>18</v>
      </c>
      <c r="B524" t="str">
        <f t="shared" si="33"/>
        <v>18Croydon</v>
      </c>
      <c r="C524" t="s">
        <v>2159</v>
      </c>
      <c r="D524" t="s">
        <v>123</v>
      </c>
      <c r="E524">
        <v>56</v>
      </c>
      <c r="F524" t="s">
        <v>872</v>
      </c>
      <c r="G524" t="s">
        <v>806</v>
      </c>
      <c r="H524" t="s">
        <v>873</v>
      </c>
      <c r="I524" t="s">
        <v>808</v>
      </c>
      <c r="J524">
        <f t="shared" ca="1" si="34"/>
        <v>1166987</v>
      </c>
      <c r="K524">
        <f t="shared" ca="1" si="35"/>
        <v>23</v>
      </c>
      <c r="N524" t="str">
        <f t="shared" si="32"/>
        <v>Cornwall &amp; Scilly9Intermediate Care Beds (Community Hospitals)Bed based intermediate Care Services (Reablement, rehabilitation, wider short-term services supporting recovery)Bed-based intermediate care with rehabilitation (to support discharge)</v>
      </c>
      <c r="O524" t="s">
        <v>117</v>
      </c>
      <c r="P524" t="s">
        <v>976</v>
      </c>
      <c r="Q524">
        <v>9</v>
      </c>
      <c r="R524" t="s">
        <v>2008</v>
      </c>
      <c r="S524" t="s">
        <v>2160</v>
      </c>
      <c r="T524" t="s">
        <v>877</v>
      </c>
      <c r="U524" t="s">
        <v>968</v>
      </c>
      <c r="W524">
        <v>3432</v>
      </c>
      <c r="X524">
        <v>3432</v>
      </c>
      <c r="Y524" t="s">
        <v>879</v>
      </c>
      <c r="Z524" t="s">
        <v>823</v>
      </c>
      <c r="AB524" t="s">
        <v>824</v>
      </c>
      <c r="AD524" t="s">
        <v>794</v>
      </c>
      <c r="AE524" t="s">
        <v>804</v>
      </c>
      <c r="AF524" t="s">
        <v>796</v>
      </c>
      <c r="AG524" t="s">
        <v>861</v>
      </c>
      <c r="AH524">
        <v>12000000</v>
      </c>
      <c r="AI524">
        <v>12000000</v>
      </c>
      <c r="AJ524">
        <v>0.12649617768344629</v>
      </c>
    </row>
    <row r="525" spans="1:36" x14ac:dyDescent="0.3">
      <c r="A525">
        <f>COUNTIF($D$2:D525,D525)</f>
        <v>19</v>
      </c>
      <c r="B525" t="str">
        <f t="shared" si="33"/>
        <v>19Croydon</v>
      </c>
      <c r="C525" t="s">
        <v>2161</v>
      </c>
      <c r="D525" t="s">
        <v>123</v>
      </c>
      <c r="E525">
        <v>59</v>
      </c>
      <c r="F525" t="s">
        <v>2162</v>
      </c>
      <c r="G525" t="s">
        <v>800</v>
      </c>
      <c r="H525" t="s">
        <v>903</v>
      </c>
      <c r="I525" t="s">
        <v>802</v>
      </c>
      <c r="J525">
        <f t="shared" ca="1" si="34"/>
        <v>256953</v>
      </c>
      <c r="K525">
        <f t="shared" ca="1" si="35"/>
        <v>10336</v>
      </c>
      <c r="N525" t="str">
        <f t="shared" si="32"/>
        <v>Cornwall &amp; Scilly10C3. Community Equipment (Council Element)Assistive Technologies and EquipmentCommunity based equipment</v>
      </c>
      <c r="O525" t="s">
        <v>117</v>
      </c>
      <c r="P525" t="s">
        <v>976</v>
      </c>
      <c r="Q525">
        <v>10</v>
      </c>
      <c r="R525" t="s">
        <v>2011</v>
      </c>
      <c r="S525" t="s">
        <v>2163</v>
      </c>
      <c r="T525" t="s">
        <v>800</v>
      </c>
      <c r="U525" t="s">
        <v>903</v>
      </c>
      <c r="W525">
        <v>12627</v>
      </c>
      <c r="X525">
        <v>12627</v>
      </c>
      <c r="Y525" t="s">
        <v>802</v>
      </c>
      <c r="Z525" t="s">
        <v>792</v>
      </c>
      <c r="AB525" t="s">
        <v>793</v>
      </c>
      <c r="AD525" t="s">
        <v>794</v>
      </c>
      <c r="AE525" t="s">
        <v>795</v>
      </c>
      <c r="AF525" t="s">
        <v>796</v>
      </c>
      <c r="AG525" t="s">
        <v>797</v>
      </c>
      <c r="AH525">
        <v>1674605</v>
      </c>
      <c r="AI525">
        <v>1769388</v>
      </c>
      <c r="AJ525">
        <v>1.8152164602856052E-2</v>
      </c>
    </row>
    <row r="526" spans="1:36" x14ac:dyDescent="0.3">
      <c r="A526">
        <f>COUNTIF($D$2:D526,D526)</f>
        <v>20</v>
      </c>
      <c r="B526" t="str">
        <f t="shared" si="33"/>
        <v>20Croydon</v>
      </c>
      <c r="C526" t="s">
        <v>2164</v>
      </c>
      <c r="D526" t="s">
        <v>123</v>
      </c>
      <c r="E526">
        <v>61</v>
      </c>
      <c r="F526" t="s">
        <v>2165</v>
      </c>
      <c r="G526" t="s">
        <v>806</v>
      </c>
      <c r="H526" t="s">
        <v>873</v>
      </c>
      <c r="I526" t="s">
        <v>808</v>
      </c>
      <c r="J526">
        <f t="shared" ca="1" si="34"/>
        <v>30812</v>
      </c>
      <c r="K526">
        <f t="shared" ca="1" si="35"/>
        <v>5</v>
      </c>
      <c r="N526" t="str">
        <f t="shared" si="32"/>
        <v>Cornwall &amp; Scilly11C3. Community Equipment (ICB Element)Assistive Technologies and EquipmentCommunity based equipment</v>
      </c>
      <c r="O526" t="s">
        <v>117</v>
      </c>
      <c r="P526" t="s">
        <v>976</v>
      </c>
      <c r="Q526">
        <v>11</v>
      </c>
      <c r="R526" t="s">
        <v>2014</v>
      </c>
      <c r="S526" t="s">
        <v>2163</v>
      </c>
      <c r="T526" t="s">
        <v>800</v>
      </c>
      <c r="U526" t="s">
        <v>903</v>
      </c>
      <c r="W526">
        <v>30914.82</v>
      </c>
      <c r="X526">
        <v>30914.82</v>
      </c>
      <c r="Y526" t="s">
        <v>802</v>
      </c>
      <c r="Z526" t="s">
        <v>823</v>
      </c>
      <c r="AB526" t="s">
        <v>793</v>
      </c>
      <c r="AD526" t="s">
        <v>794</v>
      </c>
      <c r="AE526" t="s">
        <v>795</v>
      </c>
      <c r="AF526" t="s">
        <v>796</v>
      </c>
      <c r="AG526" t="s">
        <v>797</v>
      </c>
      <c r="AH526">
        <v>4099896.4517999999</v>
      </c>
      <c r="AI526">
        <v>4331950.5909718797</v>
      </c>
      <c r="AJ526">
        <v>4.4441519680024334E-2</v>
      </c>
    </row>
    <row r="527" spans="1:36" x14ac:dyDescent="0.3">
      <c r="A527">
        <f>COUNTIF($D$2:D527,D527)</f>
        <v>21</v>
      </c>
      <c r="B527" t="str">
        <f t="shared" si="33"/>
        <v>21Croydon</v>
      </c>
      <c r="C527" t="s">
        <v>2166</v>
      </c>
      <c r="D527" t="s">
        <v>123</v>
      </c>
      <c r="E527">
        <v>62</v>
      </c>
      <c r="F527" t="s">
        <v>2165</v>
      </c>
      <c r="G527" t="s">
        <v>806</v>
      </c>
      <c r="H527" t="s">
        <v>917</v>
      </c>
      <c r="I527" t="s">
        <v>808</v>
      </c>
      <c r="J527">
        <f t="shared" ca="1" si="34"/>
        <v>44431</v>
      </c>
      <c r="K527">
        <f t="shared" ca="1" si="35"/>
        <v>9</v>
      </c>
      <c r="N527" t="str">
        <f t="shared" si="32"/>
        <v>Cornwall &amp; Scilly12C3. Community Equipment (Bespoke Wheelchairs) ****Assistive Technologies and EquipmentCommunity based equipment</v>
      </c>
      <c r="O527" t="s">
        <v>117</v>
      </c>
      <c r="P527" t="s">
        <v>976</v>
      </c>
      <c r="Q527">
        <v>12</v>
      </c>
      <c r="R527" t="s">
        <v>2017</v>
      </c>
      <c r="S527" t="s">
        <v>2167</v>
      </c>
      <c r="T527" t="s">
        <v>800</v>
      </c>
      <c r="U527" t="s">
        <v>903</v>
      </c>
      <c r="W527">
        <v>1400</v>
      </c>
      <c r="X527">
        <v>1400</v>
      </c>
      <c r="Y527" t="s">
        <v>802</v>
      </c>
      <c r="Z527" t="s">
        <v>823</v>
      </c>
      <c r="AB527" t="s">
        <v>824</v>
      </c>
      <c r="AD527" t="s">
        <v>794</v>
      </c>
      <c r="AE527" t="s">
        <v>804</v>
      </c>
      <c r="AF527" t="s">
        <v>796</v>
      </c>
      <c r="AG527" t="s">
        <v>797</v>
      </c>
      <c r="AH527">
        <v>2218860</v>
      </c>
      <c r="AI527">
        <v>2344447.4759999998</v>
      </c>
      <c r="AJ527">
        <v>2.4051706387845619E-2</v>
      </c>
    </row>
    <row r="528" spans="1:36" x14ac:dyDescent="0.3">
      <c r="A528">
        <f>COUNTIF($D$2:D528,D528)</f>
        <v>22</v>
      </c>
      <c r="B528" t="str">
        <f t="shared" si="33"/>
        <v>22Croydon</v>
      </c>
      <c r="C528" t="s">
        <v>2168</v>
      </c>
      <c r="D528" t="s">
        <v>123</v>
      </c>
      <c r="E528">
        <v>63</v>
      </c>
      <c r="F528" t="s">
        <v>2169</v>
      </c>
      <c r="G528" t="s">
        <v>842</v>
      </c>
      <c r="H528" t="s">
        <v>843</v>
      </c>
      <c r="I528" t="s">
        <v>844</v>
      </c>
      <c r="J528">
        <f t="shared" ca="1" si="34"/>
        <v>583020</v>
      </c>
      <c r="K528">
        <f t="shared" ca="1" si="35"/>
        <v>30492</v>
      </c>
      <c r="N528" t="str">
        <f t="shared" si="32"/>
        <v>Cornwall &amp; Scilly21IOS ReablementHome-based intermediate care servicesOther</v>
      </c>
      <c r="O528" t="s">
        <v>117</v>
      </c>
      <c r="P528" t="s">
        <v>976</v>
      </c>
      <c r="Q528">
        <v>21</v>
      </c>
      <c r="R528" t="s">
        <v>2020</v>
      </c>
      <c r="S528" t="s">
        <v>2170</v>
      </c>
      <c r="T528" t="s">
        <v>787</v>
      </c>
      <c r="U528" t="s">
        <v>812</v>
      </c>
      <c r="V528" t="s">
        <v>2171</v>
      </c>
      <c r="W528">
        <v>30</v>
      </c>
      <c r="X528">
        <v>35</v>
      </c>
      <c r="Y528" t="s">
        <v>789</v>
      </c>
      <c r="Z528" t="s">
        <v>823</v>
      </c>
      <c r="AB528" t="s">
        <v>793</v>
      </c>
      <c r="AD528" t="s">
        <v>794</v>
      </c>
      <c r="AE528" t="s">
        <v>795</v>
      </c>
      <c r="AF528" t="s">
        <v>796</v>
      </c>
      <c r="AG528" t="s">
        <v>797</v>
      </c>
      <c r="AH528">
        <v>73962</v>
      </c>
      <c r="AI528">
        <v>78148</v>
      </c>
      <c r="AJ528">
        <v>8.017222328095422E-4</v>
      </c>
    </row>
    <row r="529" spans="1:36" x14ac:dyDescent="0.3">
      <c r="A529">
        <f>COUNTIF($D$2:D529,D529)</f>
        <v>23</v>
      </c>
      <c r="B529" t="str">
        <f t="shared" si="33"/>
        <v>23Croydon</v>
      </c>
      <c r="C529" t="s">
        <v>2172</v>
      </c>
      <c r="D529" t="s">
        <v>123</v>
      </c>
      <c r="E529">
        <v>67</v>
      </c>
      <c r="F529" t="s">
        <v>2173</v>
      </c>
      <c r="G529" t="s">
        <v>842</v>
      </c>
      <c r="H529" t="s">
        <v>856</v>
      </c>
      <c r="I529" t="s">
        <v>844</v>
      </c>
      <c r="J529">
        <f t="shared" ca="1" si="34"/>
        <v>609686</v>
      </c>
      <c r="K529">
        <f t="shared" ca="1" si="35"/>
        <v>31887</v>
      </c>
      <c r="N529" t="str">
        <f t="shared" si="32"/>
        <v>Cornwall &amp; Scilly22IOS Access to servicesCommunity Based SchemesIntegrated neighbourhood services</v>
      </c>
      <c r="O529" t="s">
        <v>117</v>
      </c>
      <c r="P529" t="s">
        <v>976</v>
      </c>
      <c r="Q529">
        <v>22</v>
      </c>
      <c r="R529" t="s">
        <v>2023</v>
      </c>
      <c r="S529" t="s">
        <v>2174</v>
      </c>
      <c r="T529" t="s">
        <v>1453</v>
      </c>
      <c r="U529" t="s">
        <v>1460</v>
      </c>
      <c r="W529">
        <v>96</v>
      </c>
      <c r="X529">
        <v>100</v>
      </c>
      <c r="Y529" t="s">
        <v>794</v>
      </c>
      <c r="Z529" t="s">
        <v>823</v>
      </c>
      <c r="AB529" t="s">
        <v>793</v>
      </c>
      <c r="AD529" t="s">
        <v>794</v>
      </c>
      <c r="AE529" t="s">
        <v>795</v>
      </c>
      <c r="AF529" t="s">
        <v>796</v>
      </c>
      <c r="AG529" t="s">
        <v>797</v>
      </c>
      <c r="AH529">
        <v>58113</v>
      </c>
      <c r="AI529">
        <v>61402</v>
      </c>
      <c r="AJ529">
        <v>6.2992461149321188E-4</v>
      </c>
    </row>
    <row r="530" spans="1:36" x14ac:dyDescent="0.3">
      <c r="A530">
        <f>COUNTIF($D$2:D530,D530)</f>
        <v>24</v>
      </c>
      <c r="B530" t="str">
        <f t="shared" si="33"/>
        <v>24Croydon</v>
      </c>
      <c r="C530" t="s">
        <v>2175</v>
      </c>
      <c r="D530" t="s">
        <v>123</v>
      </c>
      <c r="E530">
        <v>72</v>
      </c>
      <c r="F530" t="s">
        <v>2176</v>
      </c>
      <c r="G530" t="s">
        <v>800</v>
      </c>
      <c r="H530" t="s">
        <v>903</v>
      </c>
      <c r="I530" t="s">
        <v>802</v>
      </c>
      <c r="J530">
        <f t="shared" ca="1" si="34"/>
        <v>150000</v>
      </c>
      <c r="K530">
        <f t="shared" ca="1" si="35"/>
        <v>125</v>
      </c>
      <c r="N530" t="str">
        <f t="shared" si="32"/>
        <v>Cornwall &amp; Scilly23IOS Health and Social Care Integration capacityEnablers for IntegrationJoint commissioning infrastructure</v>
      </c>
      <c r="O530" t="s">
        <v>117</v>
      </c>
      <c r="P530" t="s">
        <v>976</v>
      </c>
      <c r="Q530">
        <v>23</v>
      </c>
      <c r="R530" t="s">
        <v>2026</v>
      </c>
      <c r="S530" t="s">
        <v>2177</v>
      </c>
      <c r="T530" t="s">
        <v>1431</v>
      </c>
      <c r="U530" t="s">
        <v>2027</v>
      </c>
      <c r="W530">
        <v>2271</v>
      </c>
      <c r="X530">
        <v>2271</v>
      </c>
      <c r="Y530" t="s">
        <v>794</v>
      </c>
      <c r="Z530" t="s">
        <v>792</v>
      </c>
      <c r="AB530" t="s">
        <v>793</v>
      </c>
      <c r="AD530" t="s">
        <v>794</v>
      </c>
      <c r="AE530" t="s">
        <v>825</v>
      </c>
      <c r="AF530" t="s">
        <v>796</v>
      </c>
      <c r="AG530" t="s">
        <v>797</v>
      </c>
      <c r="AH530">
        <v>27472</v>
      </c>
      <c r="AI530">
        <v>29026</v>
      </c>
      <c r="AJ530">
        <v>2.9778254361497288E-4</v>
      </c>
    </row>
    <row r="531" spans="1:36" x14ac:dyDescent="0.3">
      <c r="A531">
        <f>COUNTIF($D$2:D531,D531)</f>
        <v>25</v>
      </c>
      <c r="B531" t="str">
        <f t="shared" si="33"/>
        <v>25Croydon</v>
      </c>
      <c r="C531" t="s">
        <v>2178</v>
      </c>
      <c r="D531" t="s">
        <v>123</v>
      </c>
      <c r="E531">
        <v>77</v>
      </c>
      <c r="F531" t="s">
        <v>2179</v>
      </c>
      <c r="G531" t="s">
        <v>806</v>
      </c>
      <c r="H531" t="s">
        <v>955</v>
      </c>
      <c r="I531" t="s">
        <v>808</v>
      </c>
      <c r="J531">
        <f t="shared" ca="1" si="34"/>
        <v>452000</v>
      </c>
      <c r="K531">
        <f t="shared" ca="1" si="35"/>
        <v>95</v>
      </c>
      <c r="N531" t="str">
        <f t="shared" si="32"/>
        <v>Cornwall &amp; Scilly24IOS Model of care co-ordinationIntegrated Care Planning and NavigationCare navigation and planning</v>
      </c>
      <c r="O531" t="s">
        <v>117</v>
      </c>
      <c r="P531" t="s">
        <v>976</v>
      </c>
      <c r="Q531">
        <v>24</v>
      </c>
      <c r="R531" t="s">
        <v>2030</v>
      </c>
      <c r="S531" t="s">
        <v>2180</v>
      </c>
      <c r="T531" t="s">
        <v>2031</v>
      </c>
      <c r="U531" t="s">
        <v>2032</v>
      </c>
      <c r="W531">
        <v>2271</v>
      </c>
      <c r="X531">
        <v>2271</v>
      </c>
      <c r="Y531" t="s">
        <v>794</v>
      </c>
      <c r="Z531" t="s">
        <v>792</v>
      </c>
      <c r="AB531" t="s">
        <v>793</v>
      </c>
      <c r="AD531" t="s">
        <v>794</v>
      </c>
      <c r="AE531" t="s">
        <v>804</v>
      </c>
      <c r="AF531" t="s">
        <v>796</v>
      </c>
      <c r="AG531" t="s">
        <v>797</v>
      </c>
      <c r="AH531">
        <v>31698</v>
      </c>
      <c r="AI531">
        <v>33492</v>
      </c>
      <c r="AJ531">
        <v>3.4359524263266101E-4</v>
      </c>
    </row>
    <row r="532" spans="1:36" x14ac:dyDescent="0.3">
      <c r="A532">
        <f>COUNTIF($D$2:D532,D532)</f>
        <v>26</v>
      </c>
      <c r="B532" t="str">
        <f t="shared" si="33"/>
        <v>26Croydon</v>
      </c>
      <c r="C532" t="s">
        <v>2181</v>
      </c>
      <c r="D532" t="s">
        <v>123</v>
      </c>
      <c r="E532">
        <v>78</v>
      </c>
      <c r="F532" t="s">
        <v>2182</v>
      </c>
      <c r="G532" t="s">
        <v>806</v>
      </c>
      <c r="H532" t="s">
        <v>873</v>
      </c>
      <c r="I532" t="s">
        <v>808</v>
      </c>
      <c r="J532">
        <f t="shared" ca="1" si="34"/>
        <v>374000</v>
      </c>
      <c r="K532">
        <f t="shared" ca="1" si="35"/>
        <v>10</v>
      </c>
      <c r="N532" t="str">
        <f t="shared" si="32"/>
        <v>Cornwall &amp; Scilly25IOS Healthwatch VolunteersIntegrated Care Planning and NavigationCare navigation and planning</v>
      </c>
      <c r="O532" t="s">
        <v>117</v>
      </c>
      <c r="P532" t="s">
        <v>976</v>
      </c>
      <c r="Q532">
        <v>25</v>
      </c>
      <c r="R532" t="s">
        <v>2035</v>
      </c>
      <c r="S532" t="s">
        <v>2183</v>
      </c>
      <c r="T532" t="s">
        <v>2031</v>
      </c>
      <c r="U532" t="s">
        <v>2032</v>
      </c>
      <c r="W532">
        <v>20</v>
      </c>
      <c r="X532">
        <v>25</v>
      </c>
      <c r="Y532" t="s">
        <v>794</v>
      </c>
      <c r="Z532" t="s">
        <v>812</v>
      </c>
      <c r="AA532" t="s">
        <v>2184</v>
      </c>
      <c r="AB532" t="s">
        <v>793</v>
      </c>
      <c r="AD532" t="s">
        <v>794</v>
      </c>
      <c r="AE532" t="s">
        <v>825</v>
      </c>
      <c r="AF532" t="s">
        <v>796</v>
      </c>
      <c r="AG532" t="s">
        <v>797</v>
      </c>
      <c r="AH532">
        <v>10566</v>
      </c>
      <c r="AI532">
        <v>11164</v>
      </c>
      <c r="AJ532">
        <v>1.1453174754422034E-4</v>
      </c>
    </row>
    <row r="533" spans="1:36" x14ac:dyDescent="0.3">
      <c r="A533">
        <f>COUNTIF($D$2:D533,D533)</f>
        <v>27</v>
      </c>
      <c r="B533" t="str">
        <f t="shared" si="33"/>
        <v>27Croydon</v>
      </c>
      <c r="C533" t="s">
        <v>2185</v>
      </c>
      <c r="D533" t="s">
        <v>123</v>
      </c>
      <c r="E533">
        <v>82</v>
      </c>
      <c r="F533" t="s">
        <v>2186</v>
      </c>
      <c r="G533" t="s">
        <v>811</v>
      </c>
      <c r="H533" t="s">
        <v>895</v>
      </c>
      <c r="I533" t="s">
        <v>813</v>
      </c>
      <c r="J533">
        <f t="shared" ca="1" si="34"/>
        <v>149000</v>
      </c>
      <c r="K533">
        <f t="shared" ca="1" si="35"/>
        <v>82</v>
      </c>
      <c r="N533" t="str">
        <f t="shared" si="32"/>
        <v>Cornwall &amp; Scilly26IOS Healthy AgingCommunity Based SchemesMultidisciplinary teams that are supporting independence, such as anticipatory care</v>
      </c>
      <c r="O533" t="s">
        <v>117</v>
      </c>
      <c r="P533" t="s">
        <v>976</v>
      </c>
      <c r="Q533">
        <v>26</v>
      </c>
      <c r="R533" t="s">
        <v>2038</v>
      </c>
      <c r="S533" t="s">
        <v>2187</v>
      </c>
      <c r="T533" t="s">
        <v>1453</v>
      </c>
      <c r="U533" t="s">
        <v>1454</v>
      </c>
      <c r="W533">
        <v>15</v>
      </c>
      <c r="X533">
        <v>18</v>
      </c>
      <c r="Y533" t="s">
        <v>794</v>
      </c>
      <c r="Z533" t="s">
        <v>823</v>
      </c>
      <c r="AB533" t="s">
        <v>793</v>
      </c>
      <c r="AD533" t="s">
        <v>794</v>
      </c>
      <c r="AE533" t="s">
        <v>825</v>
      </c>
      <c r="AF533" t="s">
        <v>796</v>
      </c>
      <c r="AG533" t="s">
        <v>797</v>
      </c>
      <c r="AH533">
        <v>7396</v>
      </c>
      <c r="AI533">
        <v>7815</v>
      </c>
      <c r="AJ533">
        <v>8.0172223280954236E-5</v>
      </c>
    </row>
    <row r="534" spans="1:36" x14ac:dyDescent="0.3">
      <c r="A534">
        <f>COUNTIF($D$2:D534,D534)</f>
        <v>1</v>
      </c>
      <c r="B534" t="str">
        <f t="shared" si="33"/>
        <v>1Cumberland</v>
      </c>
      <c r="C534" t="s">
        <v>2188</v>
      </c>
      <c r="D534" t="s">
        <v>125</v>
      </c>
      <c r="E534">
        <v>1</v>
      </c>
      <c r="F534" t="s">
        <v>2189</v>
      </c>
      <c r="G534" t="s">
        <v>811</v>
      </c>
      <c r="H534" t="s">
        <v>895</v>
      </c>
      <c r="I534" t="s">
        <v>813</v>
      </c>
      <c r="J534">
        <f t="shared" ca="1" si="34"/>
        <v>1043100</v>
      </c>
      <c r="K534">
        <f t="shared" ca="1" si="35"/>
        <v>5415</v>
      </c>
      <c r="N534" t="str">
        <f t="shared" si="32"/>
        <v>Cornwall &amp; Scilly29IOS IBCF Recruitment &amp; Retention of Skilled Care WorkforceEnablers for IntegrationWorkforce development</v>
      </c>
      <c r="O534" t="s">
        <v>117</v>
      </c>
      <c r="P534" t="s">
        <v>976</v>
      </c>
      <c r="Q534">
        <v>29</v>
      </c>
      <c r="R534" t="s">
        <v>2041</v>
      </c>
      <c r="S534" t="s">
        <v>2190</v>
      </c>
      <c r="T534" t="s">
        <v>1431</v>
      </c>
      <c r="U534" t="s">
        <v>1432</v>
      </c>
      <c r="W534">
        <v>20</v>
      </c>
      <c r="X534">
        <v>25</v>
      </c>
      <c r="Y534" t="s">
        <v>794</v>
      </c>
      <c r="Z534" t="s">
        <v>792</v>
      </c>
      <c r="AB534" t="s">
        <v>793</v>
      </c>
      <c r="AD534" t="s">
        <v>794</v>
      </c>
      <c r="AE534" t="s">
        <v>795</v>
      </c>
      <c r="AF534" t="s">
        <v>845</v>
      </c>
      <c r="AG534" t="s">
        <v>797</v>
      </c>
      <c r="AH534">
        <v>81490</v>
      </c>
      <c r="AI534">
        <v>81490</v>
      </c>
      <c r="AJ534">
        <v>8.590144599520032E-4</v>
      </c>
    </row>
    <row r="535" spans="1:36" x14ac:dyDescent="0.3">
      <c r="A535">
        <f>COUNTIF($D$2:D535,D535)</f>
        <v>2</v>
      </c>
      <c r="B535" t="str">
        <f t="shared" si="33"/>
        <v>2Cumberland</v>
      </c>
      <c r="C535" t="s">
        <v>2191</v>
      </c>
      <c r="D535" t="s">
        <v>125</v>
      </c>
      <c r="E535">
        <v>1</v>
      </c>
      <c r="F535" t="s">
        <v>2189</v>
      </c>
      <c r="G535" t="s">
        <v>800</v>
      </c>
      <c r="H535" t="s">
        <v>903</v>
      </c>
      <c r="I535" t="s">
        <v>802</v>
      </c>
      <c r="J535">
        <f t="shared" ca="1" si="34"/>
        <v>2334560.4</v>
      </c>
      <c r="K535">
        <f t="shared" ca="1" si="35"/>
        <v>12350</v>
      </c>
      <c r="N535" t="str">
        <f t="shared" si="32"/>
        <v xml:space="preserve">Cornwall &amp; Scilly42Discharge Support ServiceHome-based intermediate care servicesReablement at home (to support discharge) </v>
      </c>
      <c r="O535" t="s">
        <v>117</v>
      </c>
      <c r="P535" t="s">
        <v>976</v>
      </c>
      <c r="Q535">
        <v>42</v>
      </c>
      <c r="R535" t="s">
        <v>2044</v>
      </c>
      <c r="S535" t="s">
        <v>2192</v>
      </c>
      <c r="T535" t="s">
        <v>787</v>
      </c>
      <c r="U535" t="s">
        <v>788</v>
      </c>
      <c r="W535">
        <v>3640</v>
      </c>
      <c r="X535">
        <v>3640</v>
      </c>
      <c r="Y535" t="s">
        <v>789</v>
      </c>
      <c r="Z535" t="s">
        <v>812</v>
      </c>
      <c r="AA535" t="s">
        <v>2193</v>
      </c>
      <c r="AB535" t="s">
        <v>824</v>
      </c>
      <c r="AD535" t="s">
        <v>794</v>
      </c>
      <c r="AE535" t="s">
        <v>804</v>
      </c>
      <c r="AF535" t="s">
        <v>796</v>
      </c>
      <c r="AG535" t="s">
        <v>861</v>
      </c>
      <c r="AH535">
        <v>2228000</v>
      </c>
      <c r="AI535">
        <v>2228000</v>
      </c>
      <c r="AJ535">
        <v>2.3486123656559863E-2</v>
      </c>
    </row>
    <row r="536" spans="1:36" x14ac:dyDescent="0.3">
      <c r="A536">
        <f>COUNTIF($D$2:D536,D536)</f>
        <v>3</v>
      </c>
      <c r="B536" t="str">
        <f t="shared" si="33"/>
        <v>3Cumberland</v>
      </c>
      <c r="C536" t="s">
        <v>2194</v>
      </c>
      <c r="D536" t="s">
        <v>125</v>
      </c>
      <c r="E536">
        <v>1</v>
      </c>
      <c r="F536" t="s">
        <v>2189</v>
      </c>
      <c r="G536" t="s">
        <v>834</v>
      </c>
      <c r="H536" t="s">
        <v>835</v>
      </c>
      <c r="I536" t="s">
        <v>836</v>
      </c>
      <c r="J536">
        <f t="shared" ca="1" si="34"/>
        <v>4344361</v>
      </c>
      <c r="K536">
        <f t="shared" ca="1" si="35"/>
        <v>841</v>
      </c>
      <c r="N536" t="str">
        <f t="shared" si="32"/>
        <v xml:space="preserve">County Durham3Short Term Intervention ServicesHome-based intermediate care servicesReablement at home (to support discharge) </v>
      </c>
      <c r="O536" t="s">
        <v>119</v>
      </c>
      <c r="P536" t="s">
        <v>2195</v>
      </c>
      <c r="Q536">
        <v>3</v>
      </c>
      <c r="R536" t="s">
        <v>2047</v>
      </c>
      <c r="S536" t="s">
        <v>969</v>
      </c>
      <c r="T536" t="s">
        <v>787</v>
      </c>
      <c r="U536" t="s">
        <v>788</v>
      </c>
      <c r="W536">
        <v>2117</v>
      </c>
      <c r="X536">
        <v>2159</v>
      </c>
      <c r="Y536" t="s">
        <v>789</v>
      </c>
      <c r="Z536" t="s">
        <v>792</v>
      </c>
      <c r="AB536" t="s">
        <v>793</v>
      </c>
      <c r="AD536" t="s">
        <v>794</v>
      </c>
      <c r="AE536" t="s">
        <v>804</v>
      </c>
      <c r="AF536" t="s">
        <v>796</v>
      </c>
      <c r="AG536" t="s">
        <v>797</v>
      </c>
      <c r="AH536">
        <v>1500409</v>
      </c>
      <c r="AI536">
        <v>1500409</v>
      </c>
      <c r="AJ536">
        <v>0.9</v>
      </c>
    </row>
    <row r="537" spans="1:36" x14ac:dyDescent="0.3">
      <c r="A537">
        <f>COUNTIF($D$2:D537,D537)</f>
        <v>4</v>
      </c>
      <c r="B537" t="str">
        <f t="shared" si="33"/>
        <v>4Cumberland</v>
      </c>
      <c r="C537" t="s">
        <v>2196</v>
      </c>
      <c r="D537" t="s">
        <v>125</v>
      </c>
      <c r="E537">
        <v>1</v>
      </c>
      <c r="F537" t="s">
        <v>2189</v>
      </c>
      <c r="G537" t="s">
        <v>842</v>
      </c>
      <c r="H537" t="s">
        <v>843</v>
      </c>
      <c r="I537" t="s">
        <v>844</v>
      </c>
      <c r="J537">
        <f t="shared" ca="1" si="34"/>
        <v>336000</v>
      </c>
      <c r="K537">
        <f t="shared" ca="1" si="35"/>
        <v>14100</v>
      </c>
      <c r="N537" t="str">
        <f t="shared" si="32"/>
        <v>County Durham6Equipment and Adaptations for IndependenceDFG Related SchemesAdaptations, including statutory DFG grants</v>
      </c>
      <c r="O537" t="s">
        <v>119</v>
      </c>
      <c r="P537" t="s">
        <v>2195</v>
      </c>
      <c r="Q537">
        <v>6</v>
      </c>
      <c r="R537" t="s">
        <v>2050</v>
      </c>
      <c r="S537" t="s">
        <v>834</v>
      </c>
      <c r="T537" t="s">
        <v>834</v>
      </c>
      <c r="U537" t="s">
        <v>835</v>
      </c>
      <c r="W537">
        <v>956</v>
      </c>
      <c r="X537">
        <v>1006</v>
      </c>
      <c r="Y537" t="s">
        <v>836</v>
      </c>
      <c r="Z537" t="s">
        <v>792</v>
      </c>
      <c r="AB537" t="s">
        <v>793</v>
      </c>
      <c r="AD537" t="s">
        <v>794</v>
      </c>
      <c r="AE537" t="s">
        <v>795</v>
      </c>
      <c r="AF537" t="s">
        <v>840</v>
      </c>
      <c r="AG537" t="s">
        <v>797</v>
      </c>
      <c r="AH537">
        <v>6988139</v>
      </c>
      <c r="AI537">
        <v>6988139</v>
      </c>
      <c r="AJ537">
        <v>1</v>
      </c>
    </row>
    <row r="538" spans="1:36" x14ac:dyDescent="0.3">
      <c r="A538">
        <f>COUNTIF($D$2:D538,D538)</f>
        <v>5</v>
      </c>
      <c r="B538" t="str">
        <f t="shared" si="33"/>
        <v>5Cumberland</v>
      </c>
      <c r="C538" t="s">
        <v>2197</v>
      </c>
      <c r="D538" t="s">
        <v>125</v>
      </c>
      <c r="E538">
        <v>1</v>
      </c>
      <c r="F538" t="s">
        <v>2189</v>
      </c>
      <c r="G538" t="s">
        <v>806</v>
      </c>
      <c r="H538" t="s">
        <v>807</v>
      </c>
      <c r="I538" t="s">
        <v>808</v>
      </c>
      <c r="J538">
        <f t="shared" ca="1" si="34"/>
        <v>200000</v>
      </c>
      <c r="K538">
        <f t="shared" ca="1" si="35"/>
        <v>60</v>
      </c>
      <c r="N538" t="str">
        <f t="shared" si="32"/>
        <v>County Durham8Equipment and Adaptations for IndependenceAssistive Technologies and EquipmentAssistive technologies including telecare</v>
      </c>
      <c r="O538" t="s">
        <v>119</v>
      </c>
      <c r="P538" t="s">
        <v>2195</v>
      </c>
      <c r="Q538">
        <v>8</v>
      </c>
      <c r="R538" t="s">
        <v>2050</v>
      </c>
      <c r="S538" t="s">
        <v>2108</v>
      </c>
      <c r="T538" t="s">
        <v>800</v>
      </c>
      <c r="U538" t="s">
        <v>850</v>
      </c>
      <c r="W538">
        <v>3230</v>
      </c>
      <c r="X538">
        <v>3327</v>
      </c>
      <c r="Y538" t="s">
        <v>802</v>
      </c>
      <c r="Z538" t="s">
        <v>792</v>
      </c>
      <c r="AB538" t="s">
        <v>793</v>
      </c>
      <c r="AD538" t="s">
        <v>794</v>
      </c>
      <c r="AE538" t="s">
        <v>795</v>
      </c>
      <c r="AF538" t="s">
        <v>796</v>
      </c>
      <c r="AG538" t="s">
        <v>797</v>
      </c>
      <c r="AH538">
        <v>500000</v>
      </c>
      <c r="AI538">
        <v>500000</v>
      </c>
      <c r="AJ538">
        <v>0.9</v>
      </c>
    </row>
    <row r="539" spans="1:36" x14ac:dyDescent="0.3">
      <c r="A539">
        <f>COUNTIF($D$2:D539,D539)</f>
        <v>6</v>
      </c>
      <c r="B539" t="str">
        <f t="shared" si="33"/>
        <v>6Cumberland</v>
      </c>
      <c r="C539" t="s">
        <v>2198</v>
      </c>
      <c r="D539" t="s">
        <v>125</v>
      </c>
      <c r="E539">
        <v>1</v>
      </c>
      <c r="F539" t="s">
        <v>2189</v>
      </c>
      <c r="G539" t="s">
        <v>877</v>
      </c>
      <c r="H539" t="s">
        <v>968</v>
      </c>
      <c r="I539" t="s">
        <v>879</v>
      </c>
      <c r="J539">
        <f t="shared" ca="1" si="34"/>
        <v>167000</v>
      </c>
      <c r="K539">
        <f t="shared" ca="1" si="35"/>
        <v>260</v>
      </c>
      <c r="N539" t="str">
        <f t="shared" si="32"/>
        <v>County Durham11Supporting CarersCarers ServicesOther</v>
      </c>
      <c r="O539" t="s">
        <v>119</v>
      </c>
      <c r="P539" t="s">
        <v>2195</v>
      </c>
      <c r="Q539">
        <v>11</v>
      </c>
      <c r="R539" t="s">
        <v>2055</v>
      </c>
      <c r="S539" t="s">
        <v>822</v>
      </c>
      <c r="T539" t="s">
        <v>811</v>
      </c>
      <c r="U539" t="s">
        <v>812</v>
      </c>
      <c r="V539" t="s">
        <v>822</v>
      </c>
      <c r="W539">
        <v>25662</v>
      </c>
      <c r="X539">
        <v>26950</v>
      </c>
      <c r="Y539" t="s">
        <v>813</v>
      </c>
      <c r="Z539" t="s">
        <v>823</v>
      </c>
      <c r="AB539" t="s">
        <v>824</v>
      </c>
      <c r="AD539" t="s">
        <v>794</v>
      </c>
      <c r="AE539" t="s">
        <v>825</v>
      </c>
      <c r="AF539" t="s">
        <v>796</v>
      </c>
      <c r="AG539" t="s">
        <v>797</v>
      </c>
      <c r="AH539">
        <v>1355785</v>
      </c>
      <c r="AI539">
        <v>1355785</v>
      </c>
      <c r="AJ539">
        <v>0.9</v>
      </c>
    </row>
    <row r="540" spans="1:36" x14ac:dyDescent="0.3">
      <c r="A540">
        <f>COUNTIF($D$2:D540,D540)</f>
        <v>7</v>
      </c>
      <c r="B540" t="str">
        <f t="shared" si="33"/>
        <v>7Cumberland</v>
      </c>
      <c r="C540" t="s">
        <v>2199</v>
      </c>
      <c r="D540" t="s">
        <v>125</v>
      </c>
      <c r="E540">
        <v>2</v>
      </c>
      <c r="F540" t="s">
        <v>2200</v>
      </c>
      <c r="G540" t="s">
        <v>787</v>
      </c>
      <c r="H540" t="s">
        <v>788</v>
      </c>
      <c r="I540" t="s">
        <v>789</v>
      </c>
      <c r="J540">
        <f t="shared" ca="1" si="34"/>
        <v>4064175</v>
      </c>
      <c r="K540">
        <f t="shared" ca="1" si="35"/>
        <v>1655</v>
      </c>
      <c r="N540" t="str">
        <f t="shared" si="32"/>
        <v>County Durham25Whole System Synergy/Hospital DischargeBed based intermediate Care Services (Reablement, rehabilitation, wider short-term services supporting recovery)Bed-based intermediate care with rehabilitation (to support discharge)</v>
      </c>
      <c r="O540" t="s">
        <v>119</v>
      </c>
      <c r="P540" t="s">
        <v>2195</v>
      </c>
      <c r="Q540">
        <v>25</v>
      </c>
      <c r="R540" t="s">
        <v>2058</v>
      </c>
      <c r="S540" t="s">
        <v>2201</v>
      </c>
      <c r="T540" t="s">
        <v>877</v>
      </c>
      <c r="U540" t="s">
        <v>968</v>
      </c>
      <c r="W540">
        <v>852</v>
      </c>
      <c r="X540">
        <v>898</v>
      </c>
      <c r="Y540" t="s">
        <v>879</v>
      </c>
      <c r="Z540" t="s">
        <v>792</v>
      </c>
      <c r="AB540" t="s">
        <v>793</v>
      </c>
      <c r="AD540" t="s">
        <v>794</v>
      </c>
      <c r="AE540" t="s">
        <v>804</v>
      </c>
      <c r="AF540" t="s">
        <v>864</v>
      </c>
      <c r="AG540" t="s">
        <v>861</v>
      </c>
      <c r="AH540">
        <v>1480580</v>
      </c>
      <c r="AI540">
        <v>2457763</v>
      </c>
      <c r="AJ540">
        <v>0.5</v>
      </c>
    </row>
    <row r="541" spans="1:36" x14ac:dyDescent="0.3">
      <c r="A541">
        <f>COUNTIF($D$2:D541,D541)</f>
        <v>8</v>
      </c>
      <c r="B541" t="str">
        <f t="shared" si="33"/>
        <v>8Cumberland</v>
      </c>
      <c r="C541" t="s">
        <v>2202</v>
      </c>
      <c r="D541" t="s">
        <v>125</v>
      </c>
      <c r="E541">
        <v>2</v>
      </c>
      <c r="F541" t="s">
        <v>2200</v>
      </c>
      <c r="G541" t="s">
        <v>842</v>
      </c>
      <c r="H541" t="s">
        <v>843</v>
      </c>
      <c r="I541" t="s">
        <v>844</v>
      </c>
      <c r="J541">
        <f t="shared" ca="1" si="34"/>
        <v>5427380</v>
      </c>
      <c r="K541">
        <f t="shared" ca="1" si="35"/>
        <v>239450</v>
      </c>
      <c r="N541" t="str">
        <f t="shared" si="32"/>
        <v>County Durham30Whole System Synergy/Hospital DischargeBed based intermediate Care Services (Reablement, rehabilitation, wider short-term services supporting recovery)Bed-based intermediate care with rehabilitation (to support discharge)</v>
      </c>
      <c r="O541" t="s">
        <v>119</v>
      </c>
      <c r="P541" t="s">
        <v>2195</v>
      </c>
      <c r="Q541">
        <v>30</v>
      </c>
      <c r="R541" t="s">
        <v>2058</v>
      </c>
      <c r="S541" t="s">
        <v>2201</v>
      </c>
      <c r="T541" t="s">
        <v>877</v>
      </c>
      <c r="U541" t="s">
        <v>968</v>
      </c>
      <c r="W541">
        <v>939</v>
      </c>
      <c r="X541">
        <v>1015</v>
      </c>
      <c r="Y541" t="s">
        <v>879</v>
      </c>
      <c r="Z541" t="s">
        <v>792</v>
      </c>
      <c r="AB541" t="s">
        <v>824</v>
      </c>
      <c r="AD541" t="s">
        <v>794</v>
      </c>
      <c r="AE541" t="s">
        <v>824</v>
      </c>
      <c r="AF541" t="s">
        <v>860</v>
      </c>
      <c r="AG541" t="s">
        <v>861</v>
      </c>
      <c r="AH541">
        <v>1621937</v>
      </c>
      <c r="AI541">
        <v>2692415</v>
      </c>
      <c r="AJ541">
        <v>0.55000000000000004</v>
      </c>
    </row>
    <row r="542" spans="1:36" x14ac:dyDescent="0.3">
      <c r="A542">
        <f>COUNTIF($D$2:D542,D542)</f>
        <v>9</v>
      </c>
      <c r="B542" t="str">
        <f t="shared" si="33"/>
        <v>9Cumberland</v>
      </c>
      <c r="C542" t="s">
        <v>2203</v>
      </c>
      <c r="D542" t="s">
        <v>125</v>
      </c>
      <c r="E542">
        <v>6</v>
      </c>
      <c r="F542" t="s">
        <v>2204</v>
      </c>
      <c r="G542" t="s">
        <v>842</v>
      </c>
      <c r="H542" t="s">
        <v>812</v>
      </c>
      <c r="I542" t="s">
        <v>844</v>
      </c>
      <c r="J542">
        <f t="shared" ca="1" si="34"/>
        <v>570000</v>
      </c>
      <c r="K542">
        <f t="shared" ca="1" si="35"/>
        <v>25860</v>
      </c>
      <c r="N542" t="str">
        <f t="shared" si="32"/>
        <v>Coventry1Care Act ImplementationCarers ServicesRespite services</v>
      </c>
      <c r="O542" t="s">
        <v>121</v>
      </c>
      <c r="P542" t="s">
        <v>1172</v>
      </c>
      <c r="Q542">
        <v>1</v>
      </c>
      <c r="R542" t="s">
        <v>2062</v>
      </c>
      <c r="S542" t="s">
        <v>2205</v>
      </c>
      <c r="T542" t="s">
        <v>811</v>
      </c>
      <c r="U542" t="s">
        <v>830</v>
      </c>
      <c r="W542">
        <v>125</v>
      </c>
      <c r="X542">
        <v>125</v>
      </c>
      <c r="Y542" t="s">
        <v>813</v>
      </c>
      <c r="Z542" t="s">
        <v>792</v>
      </c>
      <c r="AB542" t="s">
        <v>793</v>
      </c>
      <c r="AD542" t="s">
        <v>794</v>
      </c>
      <c r="AE542" t="s">
        <v>804</v>
      </c>
      <c r="AF542" t="s">
        <v>796</v>
      </c>
      <c r="AG542" t="s">
        <v>797</v>
      </c>
      <c r="AH542">
        <v>299523</v>
      </c>
      <c r="AI542">
        <v>299523</v>
      </c>
      <c r="AJ542">
        <v>1</v>
      </c>
    </row>
    <row r="543" spans="1:36" x14ac:dyDescent="0.3">
      <c r="A543">
        <f>COUNTIF($D$2:D543,D543)</f>
        <v>10</v>
      </c>
      <c r="B543" t="str">
        <f t="shared" si="33"/>
        <v>10Cumberland</v>
      </c>
      <c r="C543" t="s">
        <v>2206</v>
      </c>
      <c r="D543" t="s">
        <v>125</v>
      </c>
      <c r="E543">
        <v>6</v>
      </c>
      <c r="F543" t="s">
        <v>2204</v>
      </c>
      <c r="G543" t="s">
        <v>787</v>
      </c>
      <c r="H543" t="s">
        <v>930</v>
      </c>
      <c r="I543" t="s">
        <v>789</v>
      </c>
      <c r="J543">
        <f t="shared" ca="1" si="34"/>
        <v>602100</v>
      </c>
      <c r="K543">
        <f t="shared" ca="1" si="35"/>
        <v>245</v>
      </c>
      <c r="N543" t="str">
        <f t="shared" si="32"/>
        <v>Coventry1Care Act ImplementationCarers ServicesCarer advice and support related to Care Act duties</v>
      </c>
      <c r="O543" t="s">
        <v>121</v>
      </c>
      <c r="P543" t="s">
        <v>1172</v>
      </c>
      <c r="Q543">
        <v>1</v>
      </c>
      <c r="R543" t="s">
        <v>2062</v>
      </c>
      <c r="S543" t="s">
        <v>2207</v>
      </c>
      <c r="T543" t="s">
        <v>811</v>
      </c>
      <c r="U543" t="s">
        <v>895</v>
      </c>
      <c r="W543">
        <v>146</v>
      </c>
      <c r="X543">
        <v>146</v>
      </c>
      <c r="Y543" t="s">
        <v>813</v>
      </c>
      <c r="Z543" t="s">
        <v>792</v>
      </c>
      <c r="AB543" t="s">
        <v>793</v>
      </c>
      <c r="AD543" t="s">
        <v>794</v>
      </c>
      <c r="AE543" t="s">
        <v>825</v>
      </c>
      <c r="AF543" t="s">
        <v>796</v>
      </c>
      <c r="AG543" t="s">
        <v>797</v>
      </c>
      <c r="AH543">
        <v>50731</v>
      </c>
      <c r="AI543">
        <v>50731</v>
      </c>
      <c r="AJ543">
        <v>0.05</v>
      </c>
    </row>
    <row r="544" spans="1:36" x14ac:dyDescent="0.3">
      <c r="A544">
        <f>COUNTIF($D$2:D544,D544)</f>
        <v>11</v>
      </c>
      <c r="B544" t="str">
        <f t="shared" si="33"/>
        <v>11Cumberland</v>
      </c>
      <c r="C544" t="s">
        <v>2208</v>
      </c>
      <c r="D544" t="s">
        <v>125</v>
      </c>
      <c r="E544">
        <v>6</v>
      </c>
      <c r="F544" t="s">
        <v>2204</v>
      </c>
      <c r="G544" t="s">
        <v>877</v>
      </c>
      <c r="H544" t="s">
        <v>968</v>
      </c>
      <c r="I544" t="s">
        <v>879</v>
      </c>
      <c r="J544">
        <f t="shared" ca="1" si="34"/>
        <v>425000</v>
      </c>
      <c r="K544">
        <f t="shared" ca="1" si="35"/>
        <v>120</v>
      </c>
      <c r="N544" t="str">
        <f t="shared" si="32"/>
        <v>Coventry10Protecting Social CareResidential PlacementsCare home</v>
      </c>
      <c r="O544" t="s">
        <v>121</v>
      </c>
      <c r="P544" t="s">
        <v>1172</v>
      </c>
      <c r="Q544">
        <v>10</v>
      </c>
      <c r="R544" t="s">
        <v>2066</v>
      </c>
      <c r="S544" t="s">
        <v>2209</v>
      </c>
      <c r="T544" t="s">
        <v>806</v>
      </c>
      <c r="U544" t="s">
        <v>807</v>
      </c>
      <c r="W544">
        <v>220</v>
      </c>
      <c r="X544">
        <v>220</v>
      </c>
      <c r="Y544" t="s">
        <v>808</v>
      </c>
      <c r="Z544" t="s">
        <v>792</v>
      </c>
      <c r="AB544" t="s">
        <v>793</v>
      </c>
      <c r="AD544" t="s">
        <v>794</v>
      </c>
      <c r="AE544" t="s">
        <v>804</v>
      </c>
      <c r="AF544" t="s">
        <v>796</v>
      </c>
      <c r="AG544" t="s">
        <v>797</v>
      </c>
      <c r="AH544">
        <v>8637088</v>
      </c>
      <c r="AI544">
        <v>9125948</v>
      </c>
      <c r="AJ544">
        <v>0.28999999999999998</v>
      </c>
    </row>
    <row r="545" spans="1:36" x14ac:dyDescent="0.3">
      <c r="A545">
        <f>COUNTIF($D$2:D545,D545)</f>
        <v>12</v>
      </c>
      <c r="B545" t="str">
        <f t="shared" si="33"/>
        <v>12Cumberland</v>
      </c>
      <c r="C545" t="s">
        <v>2210</v>
      </c>
      <c r="D545" t="s">
        <v>125</v>
      </c>
      <c r="E545">
        <v>7</v>
      </c>
      <c r="F545" t="s">
        <v>2211</v>
      </c>
      <c r="G545" t="s">
        <v>806</v>
      </c>
      <c r="H545" t="s">
        <v>807</v>
      </c>
      <c r="I545" t="s">
        <v>808</v>
      </c>
      <c r="J545">
        <f t="shared" ca="1" si="34"/>
        <v>5799243</v>
      </c>
      <c r="K545">
        <f t="shared" ca="1" si="35"/>
        <v>822</v>
      </c>
      <c r="N545" t="str">
        <f t="shared" si="32"/>
        <v>Coventry10Protecting Social CareHome Care or Domiciliary CareOther</v>
      </c>
      <c r="O545" t="s">
        <v>121</v>
      </c>
      <c r="P545" t="s">
        <v>1172</v>
      </c>
      <c r="Q545">
        <v>10</v>
      </c>
      <c r="R545" t="s">
        <v>2066</v>
      </c>
      <c r="S545" t="s">
        <v>2212</v>
      </c>
      <c r="T545" t="s">
        <v>842</v>
      </c>
      <c r="U545" t="s">
        <v>812</v>
      </c>
      <c r="V545" t="s">
        <v>2213</v>
      </c>
      <c r="W545">
        <v>3900</v>
      </c>
      <c r="X545">
        <v>3900</v>
      </c>
      <c r="Y545" t="s">
        <v>844</v>
      </c>
      <c r="Z545" t="s">
        <v>792</v>
      </c>
      <c r="AB545" t="s">
        <v>824</v>
      </c>
      <c r="AD545" t="s">
        <v>794</v>
      </c>
      <c r="AE545" t="s">
        <v>795</v>
      </c>
      <c r="AF545" t="s">
        <v>1042</v>
      </c>
      <c r="AG545" t="s">
        <v>797</v>
      </c>
      <c r="AH545">
        <v>206729</v>
      </c>
      <c r="AI545">
        <v>218430</v>
      </c>
      <c r="AJ545">
        <v>0.25</v>
      </c>
    </row>
    <row r="546" spans="1:36" x14ac:dyDescent="0.3">
      <c r="A546">
        <f>COUNTIF($D$2:D546,D546)</f>
        <v>13</v>
      </c>
      <c r="B546" t="str">
        <f t="shared" si="33"/>
        <v>13Cumberland</v>
      </c>
      <c r="C546" t="s">
        <v>2214</v>
      </c>
      <c r="D546" t="s">
        <v>125</v>
      </c>
      <c r="E546">
        <v>7</v>
      </c>
      <c r="F546" t="s">
        <v>2211</v>
      </c>
      <c r="G546" t="s">
        <v>842</v>
      </c>
      <c r="H546" t="s">
        <v>843</v>
      </c>
      <c r="I546" t="s">
        <v>844</v>
      </c>
      <c r="J546">
        <f t="shared" ca="1" si="34"/>
        <v>2672028</v>
      </c>
      <c r="K546">
        <f t="shared" ca="1" si="35"/>
        <v>121250</v>
      </c>
      <c r="N546" t="str">
        <f t="shared" si="32"/>
        <v>Coventry11Reablement/Discharge to AssessHome Care or Domiciliary CareOther</v>
      </c>
      <c r="O546" t="s">
        <v>121</v>
      </c>
      <c r="P546" t="s">
        <v>1172</v>
      </c>
      <c r="Q546">
        <v>11</v>
      </c>
      <c r="R546" t="s">
        <v>2069</v>
      </c>
      <c r="S546" t="s">
        <v>2212</v>
      </c>
      <c r="T546" t="s">
        <v>842</v>
      </c>
      <c r="U546" t="s">
        <v>812</v>
      </c>
      <c r="V546" t="s">
        <v>2213</v>
      </c>
      <c r="W546">
        <v>7956</v>
      </c>
      <c r="X546">
        <v>7956</v>
      </c>
      <c r="Y546" t="s">
        <v>844</v>
      </c>
      <c r="Z546" t="s">
        <v>792</v>
      </c>
      <c r="AB546" t="s">
        <v>793</v>
      </c>
      <c r="AD546" t="s">
        <v>794</v>
      </c>
      <c r="AE546" t="s">
        <v>804</v>
      </c>
      <c r="AF546" t="s">
        <v>1042</v>
      </c>
      <c r="AG546" t="s">
        <v>797</v>
      </c>
      <c r="AH546">
        <v>429323</v>
      </c>
      <c r="AI546">
        <v>453623</v>
      </c>
      <c r="AJ546">
        <v>0.51</v>
      </c>
    </row>
    <row r="547" spans="1:36" x14ac:dyDescent="0.3">
      <c r="A547">
        <f>COUNTIF($D$2:D547,D547)</f>
        <v>1</v>
      </c>
      <c r="B547" t="str">
        <f t="shared" si="33"/>
        <v>1Darlington</v>
      </c>
      <c r="C547" t="s">
        <v>2215</v>
      </c>
      <c r="D547" t="s">
        <v>127</v>
      </c>
      <c r="E547">
        <v>9</v>
      </c>
      <c r="F547" t="s">
        <v>2216</v>
      </c>
      <c r="G547" t="s">
        <v>877</v>
      </c>
      <c r="H547" t="s">
        <v>968</v>
      </c>
      <c r="I547" t="s">
        <v>879</v>
      </c>
      <c r="J547">
        <f t="shared" ca="1" si="34"/>
        <v>808098</v>
      </c>
      <c r="K547">
        <f t="shared" ca="1" si="35"/>
        <v>225</v>
      </c>
      <c r="N547" t="str">
        <f t="shared" si="32"/>
        <v>Coventry11Reablement/Discharge to AssessBed based intermediate Care Services (Reablement, rehabilitation, wider short-term services supporting recovery)Bed-based intermediate care with reablement accepting step up and step down users</v>
      </c>
      <c r="O547" t="s">
        <v>121</v>
      </c>
      <c r="P547" t="s">
        <v>1172</v>
      </c>
      <c r="Q547">
        <v>11</v>
      </c>
      <c r="R547" t="s">
        <v>2069</v>
      </c>
      <c r="S547" t="s">
        <v>2217</v>
      </c>
      <c r="T547" t="s">
        <v>877</v>
      </c>
      <c r="U547" t="s">
        <v>1259</v>
      </c>
      <c r="W547">
        <v>53</v>
      </c>
      <c r="X547">
        <v>53</v>
      </c>
      <c r="Y547" t="s">
        <v>879</v>
      </c>
      <c r="Z547" t="s">
        <v>792</v>
      </c>
      <c r="AB547" t="s">
        <v>824</v>
      </c>
      <c r="AD547" t="s">
        <v>794</v>
      </c>
      <c r="AE547" t="s">
        <v>795</v>
      </c>
      <c r="AF547" t="s">
        <v>796</v>
      </c>
      <c r="AG547" t="s">
        <v>797</v>
      </c>
      <c r="AH547">
        <v>191999</v>
      </c>
      <c r="AI547">
        <v>202866</v>
      </c>
      <c r="AJ547">
        <v>0.05</v>
      </c>
    </row>
    <row r="548" spans="1:36" x14ac:dyDescent="0.3">
      <c r="A548">
        <f>COUNTIF($D$2:D548,D548)</f>
        <v>2</v>
      </c>
      <c r="B548" t="str">
        <f t="shared" si="33"/>
        <v>2Darlington</v>
      </c>
      <c r="C548" t="s">
        <v>2218</v>
      </c>
      <c r="D548" t="s">
        <v>127</v>
      </c>
      <c r="E548">
        <v>11</v>
      </c>
      <c r="F548" t="s">
        <v>2219</v>
      </c>
      <c r="G548" t="s">
        <v>1453</v>
      </c>
      <c r="H548" t="s">
        <v>1454</v>
      </c>
      <c r="I548" t="s">
        <v>794</v>
      </c>
      <c r="J548">
        <f t="shared" ca="1" si="34"/>
        <v>1068618.014</v>
      </c>
      <c r="K548">
        <f t="shared" ca="1" si="35"/>
        <v>20</v>
      </c>
      <c r="N548" t="str">
        <f t="shared" si="32"/>
        <v>Coventry11Reablement/Discharge to AssessHome-based intermediate care servicesReablement at home (accepting step up and step down users)</v>
      </c>
      <c r="O548" t="s">
        <v>121</v>
      </c>
      <c r="P548" t="s">
        <v>1172</v>
      </c>
      <c r="Q548">
        <v>11</v>
      </c>
      <c r="R548" t="s">
        <v>2069</v>
      </c>
      <c r="S548" t="s">
        <v>2220</v>
      </c>
      <c r="T548" t="s">
        <v>787</v>
      </c>
      <c r="U548" t="s">
        <v>930</v>
      </c>
      <c r="W548">
        <v>838</v>
      </c>
      <c r="X548">
        <v>844</v>
      </c>
      <c r="Y548" t="s">
        <v>789</v>
      </c>
      <c r="Z548" t="s">
        <v>792</v>
      </c>
      <c r="AB548" t="s">
        <v>824</v>
      </c>
      <c r="AD548" t="s">
        <v>794</v>
      </c>
      <c r="AE548" t="s">
        <v>804</v>
      </c>
      <c r="AF548" t="s">
        <v>796</v>
      </c>
      <c r="AG548" t="s">
        <v>797</v>
      </c>
      <c r="AH548">
        <v>937006</v>
      </c>
      <c r="AI548">
        <v>990041</v>
      </c>
      <c r="AJ548">
        <v>0.31</v>
      </c>
    </row>
    <row r="549" spans="1:36" x14ac:dyDescent="0.3">
      <c r="A549">
        <f>COUNTIF($D$2:D549,D549)</f>
        <v>3</v>
      </c>
      <c r="B549" t="str">
        <f t="shared" si="33"/>
        <v>3Darlington</v>
      </c>
      <c r="C549" t="s">
        <v>2221</v>
      </c>
      <c r="D549" t="s">
        <v>127</v>
      </c>
      <c r="E549">
        <v>19</v>
      </c>
      <c r="F549" t="s">
        <v>2222</v>
      </c>
      <c r="G549" t="s">
        <v>800</v>
      </c>
      <c r="H549" t="s">
        <v>850</v>
      </c>
      <c r="I549" t="s">
        <v>802</v>
      </c>
      <c r="J549">
        <f t="shared" ca="1" si="34"/>
        <v>19924</v>
      </c>
      <c r="K549">
        <f t="shared" ca="1" si="35"/>
        <v>126</v>
      </c>
      <c r="N549" t="str">
        <f t="shared" si="32"/>
        <v>Coventry11Reablement/Discharge to AssessBed based intermediate Care Services (Reablement, rehabilitation, wider short-term services supporting recovery)Bed-based intermediate care with reablement accepting step up and step down users</v>
      </c>
      <c r="O549" t="s">
        <v>121</v>
      </c>
      <c r="P549" t="s">
        <v>1172</v>
      </c>
      <c r="Q549">
        <v>11</v>
      </c>
      <c r="R549" t="s">
        <v>2069</v>
      </c>
      <c r="S549" t="s">
        <v>2223</v>
      </c>
      <c r="T549" t="s">
        <v>877</v>
      </c>
      <c r="U549" t="s">
        <v>1259</v>
      </c>
      <c r="W549">
        <v>192</v>
      </c>
      <c r="X549">
        <v>192</v>
      </c>
      <c r="Y549" t="s">
        <v>879</v>
      </c>
      <c r="Z549" t="s">
        <v>792</v>
      </c>
      <c r="AB549" t="s">
        <v>824</v>
      </c>
      <c r="AD549" t="s">
        <v>794</v>
      </c>
      <c r="AE549" t="s">
        <v>804</v>
      </c>
      <c r="AF549" t="s">
        <v>1042</v>
      </c>
      <c r="AG549" t="s">
        <v>797</v>
      </c>
      <c r="AH549">
        <v>1268741</v>
      </c>
      <c r="AI549">
        <v>1340552</v>
      </c>
      <c r="AJ549">
        <v>0.3</v>
      </c>
    </row>
    <row r="550" spans="1:36" x14ac:dyDescent="0.3">
      <c r="A550">
        <f>COUNTIF($D$2:D550,D550)</f>
        <v>4</v>
      </c>
      <c r="B550" t="str">
        <f t="shared" si="33"/>
        <v>4Darlington</v>
      </c>
      <c r="C550" t="s">
        <v>2224</v>
      </c>
      <c r="D550" t="s">
        <v>127</v>
      </c>
      <c r="E550">
        <v>20</v>
      </c>
      <c r="F550" t="s">
        <v>1578</v>
      </c>
      <c r="G550" t="s">
        <v>800</v>
      </c>
      <c r="H550" t="s">
        <v>812</v>
      </c>
      <c r="I550" t="s">
        <v>802</v>
      </c>
      <c r="J550">
        <f t="shared" ca="1" si="34"/>
        <v>53131</v>
      </c>
      <c r="K550">
        <f t="shared" ca="1" si="35"/>
        <v>50</v>
      </c>
      <c r="N550" t="str">
        <f t="shared" si="32"/>
        <v>Coventry13Voluntary Sector ReviewCarers ServicesCarer advice and support related to Care Act duties</v>
      </c>
      <c r="O550" t="s">
        <v>121</v>
      </c>
      <c r="P550" t="s">
        <v>1172</v>
      </c>
      <c r="Q550">
        <v>13</v>
      </c>
      <c r="R550" t="s">
        <v>2075</v>
      </c>
      <c r="S550" t="s">
        <v>2207</v>
      </c>
      <c r="T550" t="s">
        <v>811</v>
      </c>
      <c r="U550" t="s">
        <v>895</v>
      </c>
      <c r="W550">
        <v>242</v>
      </c>
      <c r="X550">
        <v>242</v>
      </c>
      <c r="Y550" t="s">
        <v>813</v>
      </c>
      <c r="Z550" t="s">
        <v>823</v>
      </c>
      <c r="AB550" t="s">
        <v>793</v>
      </c>
      <c r="AD550" t="s">
        <v>794</v>
      </c>
      <c r="AE550" t="s">
        <v>825</v>
      </c>
      <c r="AF550" t="s">
        <v>1042</v>
      </c>
      <c r="AG550" t="s">
        <v>797</v>
      </c>
      <c r="AH550">
        <v>83365</v>
      </c>
      <c r="AI550">
        <v>83365</v>
      </c>
      <c r="AJ550">
        <v>0.08</v>
      </c>
    </row>
    <row r="551" spans="1:36" x14ac:dyDescent="0.3">
      <c r="A551">
        <f>COUNTIF($D$2:D551,D551)</f>
        <v>5</v>
      </c>
      <c r="B551" t="str">
        <f t="shared" si="33"/>
        <v>5Darlington</v>
      </c>
      <c r="C551" t="s">
        <v>2225</v>
      </c>
      <c r="D551" t="s">
        <v>127</v>
      </c>
      <c r="E551">
        <v>28</v>
      </c>
      <c r="F551" t="s">
        <v>2226</v>
      </c>
      <c r="G551" t="s">
        <v>811</v>
      </c>
      <c r="H551" t="s">
        <v>895</v>
      </c>
      <c r="I551" t="s">
        <v>813</v>
      </c>
      <c r="J551">
        <f t="shared" ca="1" si="34"/>
        <v>113418</v>
      </c>
      <c r="K551">
        <f t="shared" ca="1" si="35"/>
        <v>2537</v>
      </c>
      <c r="N551" t="str">
        <f t="shared" si="32"/>
        <v>Coventry2Community Support ServicesAssistive Technologies and EquipmentCommunity based equipment</v>
      </c>
      <c r="O551" t="s">
        <v>121</v>
      </c>
      <c r="P551" t="s">
        <v>1172</v>
      </c>
      <c r="Q551">
        <v>2</v>
      </c>
      <c r="R551" t="s">
        <v>2078</v>
      </c>
      <c r="S551" t="s">
        <v>2227</v>
      </c>
      <c r="T551" t="s">
        <v>800</v>
      </c>
      <c r="U551" t="s">
        <v>903</v>
      </c>
      <c r="W551">
        <v>331</v>
      </c>
      <c r="X551">
        <v>331</v>
      </c>
      <c r="Y551" t="s">
        <v>802</v>
      </c>
      <c r="Z551" t="s">
        <v>792</v>
      </c>
      <c r="AB551" t="s">
        <v>1739</v>
      </c>
      <c r="AC551">
        <v>0.28000000000000003</v>
      </c>
      <c r="AD551">
        <v>0.72</v>
      </c>
      <c r="AE551" t="s">
        <v>795</v>
      </c>
      <c r="AF551" t="s">
        <v>1042</v>
      </c>
      <c r="AG551" t="s">
        <v>797</v>
      </c>
      <c r="AH551">
        <v>165644</v>
      </c>
      <c r="AI551">
        <v>174996</v>
      </c>
      <c r="AJ551">
        <v>0.11</v>
      </c>
    </row>
    <row r="552" spans="1:36" x14ac:dyDescent="0.3">
      <c r="A552">
        <f>COUNTIF($D$2:D552,D552)</f>
        <v>6</v>
      </c>
      <c r="B552" t="str">
        <f t="shared" si="33"/>
        <v>6Darlington</v>
      </c>
      <c r="C552" t="s">
        <v>2228</v>
      </c>
      <c r="D552" t="s">
        <v>127</v>
      </c>
      <c r="E552">
        <v>29</v>
      </c>
      <c r="F552" t="s">
        <v>2229</v>
      </c>
      <c r="G552" t="s">
        <v>811</v>
      </c>
      <c r="H552" t="s">
        <v>830</v>
      </c>
      <c r="I552" t="s">
        <v>813</v>
      </c>
      <c r="J552">
        <f t="shared" ca="1" si="34"/>
        <v>121721</v>
      </c>
      <c r="K552">
        <f t="shared" ca="1" si="35"/>
        <v>53</v>
      </c>
      <c r="N552" t="str">
        <f t="shared" si="32"/>
        <v>Coventry2Community Support ServicesAssistive Technologies and EquipmentCommunity based equipment</v>
      </c>
      <c r="O552" t="s">
        <v>121</v>
      </c>
      <c r="P552" t="s">
        <v>1172</v>
      </c>
      <c r="Q552">
        <v>2</v>
      </c>
      <c r="R552" t="s">
        <v>2078</v>
      </c>
      <c r="S552" t="s">
        <v>2230</v>
      </c>
      <c r="T552" t="s">
        <v>800</v>
      </c>
      <c r="U552" t="s">
        <v>903</v>
      </c>
      <c r="W552">
        <v>3752</v>
      </c>
      <c r="X552">
        <v>3827</v>
      </c>
      <c r="Y552" t="s">
        <v>802</v>
      </c>
      <c r="Z552" t="s">
        <v>823</v>
      </c>
      <c r="AB552" t="s">
        <v>824</v>
      </c>
      <c r="AD552" t="s">
        <v>794</v>
      </c>
      <c r="AE552" t="s">
        <v>804</v>
      </c>
      <c r="AF552" t="s">
        <v>1042</v>
      </c>
      <c r="AG552" t="s">
        <v>797</v>
      </c>
      <c r="AH552">
        <v>1294808</v>
      </c>
      <c r="AI552">
        <v>1320704</v>
      </c>
      <c r="AJ552">
        <v>1</v>
      </c>
    </row>
    <row r="553" spans="1:36" x14ac:dyDescent="0.3">
      <c r="A553">
        <f>COUNTIF($D$2:D553,D553)</f>
        <v>7</v>
      </c>
      <c r="B553" t="str">
        <f t="shared" si="33"/>
        <v>7Darlington</v>
      </c>
      <c r="C553" t="s">
        <v>2231</v>
      </c>
      <c r="D553" t="s">
        <v>127</v>
      </c>
      <c r="E553">
        <v>31</v>
      </c>
      <c r="F553" t="s">
        <v>2232</v>
      </c>
      <c r="G553" t="s">
        <v>811</v>
      </c>
      <c r="H553" t="s">
        <v>895</v>
      </c>
      <c r="I553" t="s">
        <v>813</v>
      </c>
      <c r="J553">
        <f t="shared" ca="1" si="34"/>
        <v>90767</v>
      </c>
      <c r="K553">
        <f t="shared" ca="1" si="35"/>
        <v>95</v>
      </c>
      <c r="N553" t="str">
        <f t="shared" si="32"/>
        <v>Coventry2Community Support ServicesAssistive Technologies and EquipmentCommunity based equipment</v>
      </c>
      <c r="O553" t="s">
        <v>121</v>
      </c>
      <c r="P553" t="s">
        <v>1172</v>
      </c>
      <c r="Q553">
        <v>2</v>
      </c>
      <c r="R553" t="s">
        <v>2078</v>
      </c>
      <c r="S553" t="s">
        <v>1094</v>
      </c>
      <c r="T553" t="s">
        <v>800</v>
      </c>
      <c r="U553" t="s">
        <v>903</v>
      </c>
      <c r="W553">
        <v>819</v>
      </c>
      <c r="X553">
        <v>852</v>
      </c>
      <c r="Y553" t="s">
        <v>802</v>
      </c>
      <c r="Z553" t="s">
        <v>823</v>
      </c>
      <c r="AB553" t="s">
        <v>824</v>
      </c>
      <c r="AD553" t="s">
        <v>794</v>
      </c>
      <c r="AE553" t="s">
        <v>832</v>
      </c>
      <c r="AF553" t="s">
        <v>1042</v>
      </c>
      <c r="AG553" t="s">
        <v>797</v>
      </c>
      <c r="AH553">
        <v>1328874</v>
      </c>
      <c r="AI553">
        <v>1355451</v>
      </c>
      <c r="AJ553">
        <v>1</v>
      </c>
    </row>
    <row r="554" spans="1:36" x14ac:dyDescent="0.3">
      <c r="A554">
        <f>COUNTIF($D$2:D554,D554)</f>
        <v>8</v>
      </c>
      <c r="B554" t="str">
        <f t="shared" si="33"/>
        <v>8Darlington</v>
      </c>
      <c r="C554" t="s">
        <v>2233</v>
      </c>
      <c r="D554" t="s">
        <v>127</v>
      </c>
      <c r="E554">
        <v>36</v>
      </c>
      <c r="F554" t="s">
        <v>2234</v>
      </c>
      <c r="G554" t="s">
        <v>787</v>
      </c>
      <c r="H554" t="s">
        <v>788</v>
      </c>
      <c r="I554" t="s">
        <v>789</v>
      </c>
      <c r="J554">
        <f t="shared" ca="1" si="34"/>
        <v>87081</v>
      </c>
      <c r="K554">
        <f t="shared" ca="1" si="35"/>
        <v>175</v>
      </c>
      <c r="N554" t="str">
        <f t="shared" si="32"/>
        <v>Coventry2Community Support ServicesAssistive Technologies and EquipmentCommunity based equipment</v>
      </c>
      <c r="O554" t="s">
        <v>121</v>
      </c>
      <c r="P554" t="s">
        <v>1172</v>
      </c>
      <c r="Q554">
        <v>2</v>
      </c>
      <c r="R554" t="s">
        <v>2078</v>
      </c>
      <c r="S554" t="s">
        <v>2227</v>
      </c>
      <c r="T554" t="s">
        <v>800</v>
      </c>
      <c r="U554" t="s">
        <v>903</v>
      </c>
      <c r="W554">
        <v>517</v>
      </c>
      <c r="X554">
        <v>517</v>
      </c>
      <c r="Y554" t="s">
        <v>802</v>
      </c>
      <c r="Z554" t="s">
        <v>792</v>
      </c>
      <c r="AB554" t="s">
        <v>1739</v>
      </c>
      <c r="AC554">
        <v>0.28000000000000003</v>
      </c>
      <c r="AD554">
        <v>0.72</v>
      </c>
      <c r="AE554" t="s">
        <v>804</v>
      </c>
      <c r="AF554" t="s">
        <v>1042</v>
      </c>
      <c r="AG554" t="s">
        <v>797</v>
      </c>
      <c r="AH554">
        <v>258809</v>
      </c>
      <c r="AI554">
        <v>273481</v>
      </c>
      <c r="AJ554">
        <v>0.17</v>
      </c>
    </row>
    <row r="555" spans="1:36" x14ac:dyDescent="0.3">
      <c r="A555">
        <f>COUNTIF($D$2:D555,D555)</f>
        <v>9</v>
      </c>
      <c r="B555" t="str">
        <f t="shared" si="33"/>
        <v>9Darlington</v>
      </c>
      <c r="C555" t="s">
        <v>2235</v>
      </c>
      <c r="D555" t="s">
        <v>127</v>
      </c>
      <c r="E555">
        <v>37</v>
      </c>
      <c r="F555" t="s">
        <v>2236</v>
      </c>
      <c r="G555" t="s">
        <v>811</v>
      </c>
      <c r="H555" t="s">
        <v>895</v>
      </c>
      <c r="I555" t="s">
        <v>813</v>
      </c>
      <c r="J555">
        <f t="shared" ca="1" si="34"/>
        <v>16832</v>
      </c>
      <c r="K555">
        <f t="shared" ca="1" si="35"/>
        <v>5</v>
      </c>
      <c r="N555" t="str">
        <f t="shared" si="32"/>
        <v>Coventry9Out of Hospital &amp; Nursing CareResidential PlacementsNursing home</v>
      </c>
      <c r="O555" t="s">
        <v>121</v>
      </c>
      <c r="P555" t="s">
        <v>1172</v>
      </c>
      <c r="Q555">
        <v>9</v>
      </c>
      <c r="R555" t="s">
        <v>2081</v>
      </c>
      <c r="S555" t="s">
        <v>2237</v>
      </c>
      <c r="T555" t="s">
        <v>806</v>
      </c>
      <c r="U555" t="s">
        <v>917</v>
      </c>
      <c r="W555">
        <v>4496</v>
      </c>
      <c r="X555">
        <v>4691</v>
      </c>
      <c r="Y555" t="s">
        <v>808</v>
      </c>
      <c r="Z555" t="s">
        <v>1061</v>
      </c>
      <c r="AB555" t="s">
        <v>824</v>
      </c>
      <c r="AD555" t="s">
        <v>794</v>
      </c>
      <c r="AE555" t="s">
        <v>804</v>
      </c>
      <c r="AF555" t="s">
        <v>1042</v>
      </c>
      <c r="AG555" t="s">
        <v>797</v>
      </c>
      <c r="AH555">
        <v>13188992</v>
      </c>
      <c r="AI555">
        <v>13756118</v>
      </c>
      <c r="AJ555">
        <v>0.35</v>
      </c>
    </row>
    <row r="556" spans="1:36" x14ac:dyDescent="0.3">
      <c r="A556">
        <f>COUNTIF($D$2:D556,D556)</f>
        <v>10</v>
      </c>
      <c r="B556" t="str">
        <f t="shared" si="33"/>
        <v>10Darlington</v>
      </c>
      <c r="C556" t="s">
        <v>2238</v>
      </c>
      <c r="D556" t="s">
        <v>127</v>
      </c>
      <c r="E556">
        <v>44</v>
      </c>
      <c r="F556" t="s">
        <v>2239</v>
      </c>
      <c r="G556" t="s">
        <v>800</v>
      </c>
      <c r="H556" t="s">
        <v>903</v>
      </c>
      <c r="I556" t="s">
        <v>802</v>
      </c>
      <c r="J556">
        <f t="shared" ca="1" si="34"/>
        <v>51434</v>
      </c>
      <c r="K556">
        <f t="shared" ca="1" si="35"/>
        <v>730</v>
      </c>
      <c r="N556" t="str">
        <f t="shared" si="32"/>
        <v>Coventry9Out of Hospital &amp; Nursing CareResidential PlacementsCare home</v>
      </c>
      <c r="O556" t="s">
        <v>121</v>
      </c>
      <c r="P556" t="s">
        <v>1172</v>
      </c>
      <c r="Q556">
        <v>9</v>
      </c>
      <c r="R556" t="s">
        <v>2081</v>
      </c>
      <c r="S556" t="s">
        <v>2240</v>
      </c>
      <c r="T556" t="s">
        <v>806</v>
      </c>
      <c r="U556" t="s">
        <v>807</v>
      </c>
      <c r="W556">
        <v>3202</v>
      </c>
      <c r="X556">
        <v>3408</v>
      </c>
      <c r="Y556" t="s">
        <v>808</v>
      </c>
      <c r="Z556" t="s">
        <v>1061</v>
      </c>
      <c r="AB556" t="s">
        <v>824</v>
      </c>
      <c r="AD556" t="s">
        <v>794</v>
      </c>
      <c r="AE556" t="s">
        <v>804</v>
      </c>
      <c r="AF556" t="s">
        <v>1042</v>
      </c>
      <c r="AG556" t="s">
        <v>797</v>
      </c>
      <c r="AH556">
        <v>5195018</v>
      </c>
      <c r="AI556">
        <v>5418404</v>
      </c>
      <c r="AJ556">
        <v>0.42</v>
      </c>
    </row>
    <row r="557" spans="1:36" x14ac:dyDescent="0.3">
      <c r="A557">
        <f>COUNTIF($D$2:D557,D557)</f>
        <v>11</v>
      </c>
      <c r="B557" t="str">
        <f t="shared" si="33"/>
        <v>11Darlington</v>
      </c>
      <c r="C557" t="s">
        <v>2241</v>
      </c>
      <c r="D557" t="s">
        <v>127</v>
      </c>
      <c r="E557">
        <v>48</v>
      </c>
      <c r="F557" t="s">
        <v>2242</v>
      </c>
      <c r="G557" t="s">
        <v>834</v>
      </c>
      <c r="H557" t="s">
        <v>835</v>
      </c>
      <c r="I557" t="s">
        <v>836</v>
      </c>
      <c r="J557">
        <f t="shared" ca="1" si="34"/>
        <v>1063345</v>
      </c>
      <c r="K557">
        <f t="shared" ca="1" si="35"/>
        <v>147</v>
      </c>
      <c r="N557" t="str">
        <f t="shared" si="32"/>
        <v>Coventry6LD Care HomesResidential PlacementsLearning disability</v>
      </c>
      <c r="O557" t="s">
        <v>121</v>
      </c>
      <c r="P557" t="s">
        <v>1172</v>
      </c>
      <c r="Q557">
        <v>6</v>
      </c>
      <c r="R557" t="s">
        <v>2086</v>
      </c>
      <c r="S557" t="s">
        <v>2243</v>
      </c>
      <c r="T557" t="s">
        <v>806</v>
      </c>
      <c r="U557" t="s">
        <v>854</v>
      </c>
      <c r="W557">
        <v>5</v>
      </c>
      <c r="X557">
        <v>5</v>
      </c>
      <c r="Y557" t="s">
        <v>808</v>
      </c>
      <c r="Z557" t="s">
        <v>1061</v>
      </c>
      <c r="AB557" t="s">
        <v>793</v>
      </c>
      <c r="AD557" t="s">
        <v>794</v>
      </c>
      <c r="AE557" t="s">
        <v>804</v>
      </c>
      <c r="AF557" t="s">
        <v>1042</v>
      </c>
      <c r="AG557" t="s">
        <v>797</v>
      </c>
      <c r="AH557">
        <v>991017</v>
      </c>
      <c r="AI557">
        <v>1265705</v>
      </c>
      <c r="AJ557">
        <v>0.36167883211678831</v>
      </c>
    </row>
    <row r="558" spans="1:36" x14ac:dyDescent="0.3">
      <c r="A558">
        <f>COUNTIF($D$2:D558,D558)</f>
        <v>12</v>
      </c>
      <c r="B558" t="str">
        <f t="shared" si="33"/>
        <v>12Darlington</v>
      </c>
      <c r="C558" t="s">
        <v>2244</v>
      </c>
      <c r="D558" t="s">
        <v>127</v>
      </c>
      <c r="E558">
        <v>51</v>
      </c>
      <c r="F558" t="s">
        <v>1328</v>
      </c>
      <c r="G558" t="s">
        <v>2245</v>
      </c>
      <c r="I558" t="s">
        <v>794</v>
      </c>
      <c r="J558">
        <f t="shared" ca="1" si="34"/>
        <v>78210</v>
      </c>
      <c r="K558">
        <f t="shared" ca="1" si="35"/>
        <v>1</v>
      </c>
      <c r="N558" t="str">
        <f t="shared" si="32"/>
        <v>Coventry9Out of Hospital &amp; Nursing CareResidential PlacementsCare home</v>
      </c>
      <c r="O558" t="s">
        <v>121</v>
      </c>
      <c r="P558" t="s">
        <v>1172</v>
      </c>
      <c r="Q558">
        <v>9</v>
      </c>
      <c r="R558" t="s">
        <v>2081</v>
      </c>
      <c r="S558" t="s">
        <v>2246</v>
      </c>
      <c r="T558" t="s">
        <v>806</v>
      </c>
      <c r="U558" t="s">
        <v>807</v>
      </c>
      <c r="W558">
        <v>367</v>
      </c>
      <c r="X558">
        <v>367</v>
      </c>
      <c r="Y558" t="s">
        <v>808</v>
      </c>
      <c r="Z558" t="s">
        <v>792</v>
      </c>
      <c r="AB558" t="s">
        <v>793</v>
      </c>
      <c r="AD558" t="s">
        <v>794</v>
      </c>
      <c r="AE558" t="s">
        <v>804</v>
      </c>
      <c r="AF558" t="s">
        <v>1029</v>
      </c>
      <c r="AG558" t="s">
        <v>797</v>
      </c>
      <c r="AH558">
        <v>14400169</v>
      </c>
      <c r="AI558">
        <v>15063525</v>
      </c>
      <c r="AJ558">
        <v>0.48</v>
      </c>
    </row>
    <row r="559" spans="1:36" x14ac:dyDescent="0.3">
      <c r="A559">
        <f>COUNTIF($D$2:D559,D559)</f>
        <v>13</v>
      </c>
      <c r="B559" t="str">
        <f t="shared" si="33"/>
        <v>13Darlington</v>
      </c>
      <c r="C559" t="s">
        <v>2247</v>
      </c>
      <c r="D559" t="s">
        <v>127</v>
      </c>
      <c r="E559">
        <v>52</v>
      </c>
      <c r="F559" t="s">
        <v>2248</v>
      </c>
      <c r="G559" t="s">
        <v>2245</v>
      </c>
      <c r="I559" t="s">
        <v>794</v>
      </c>
      <c r="J559">
        <f t="shared" ca="1" si="34"/>
        <v>41192</v>
      </c>
      <c r="K559">
        <f t="shared" ca="1" si="35"/>
        <v>1</v>
      </c>
      <c r="N559" t="str">
        <f t="shared" si="32"/>
        <v>Coventry11Reablement/Discharge to AssessBed based intermediate Care Services (Reablement, rehabilitation, wider short-term services supporting recovery)Bed-based intermediate care with reablement accepting step up and step down users</v>
      </c>
      <c r="O559" t="s">
        <v>121</v>
      </c>
      <c r="P559" t="s">
        <v>1172</v>
      </c>
      <c r="Q559">
        <v>11</v>
      </c>
      <c r="R559" t="s">
        <v>2069</v>
      </c>
      <c r="S559" t="s">
        <v>2249</v>
      </c>
      <c r="T559" t="s">
        <v>877</v>
      </c>
      <c r="U559" t="s">
        <v>1259</v>
      </c>
      <c r="W559">
        <v>232</v>
      </c>
      <c r="X559">
        <v>221</v>
      </c>
      <c r="Y559" t="s">
        <v>879</v>
      </c>
      <c r="Z559" t="s">
        <v>792</v>
      </c>
      <c r="AB559" t="s">
        <v>793</v>
      </c>
      <c r="AD559" t="s">
        <v>794</v>
      </c>
      <c r="AE559" t="s">
        <v>804</v>
      </c>
      <c r="AF559" t="s">
        <v>845</v>
      </c>
      <c r="AG559" t="s">
        <v>797</v>
      </c>
      <c r="AH559">
        <v>836713</v>
      </c>
      <c r="AI559">
        <v>836713</v>
      </c>
      <c r="AJ559">
        <v>0.2</v>
      </c>
    </row>
    <row r="560" spans="1:36" x14ac:dyDescent="0.3">
      <c r="A560">
        <f>COUNTIF($D$2:D560,D560)</f>
        <v>14</v>
      </c>
      <c r="B560" t="str">
        <f t="shared" si="33"/>
        <v>14Darlington</v>
      </c>
      <c r="C560" t="s">
        <v>2250</v>
      </c>
      <c r="D560" t="s">
        <v>127</v>
      </c>
      <c r="E560">
        <v>55</v>
      </c>
      <c r="F560" t="s">
        <v>2251</v>
      </c>
      <c r="G560" t="s">
        <v>787</v>
      </c>
      <c r="H560" t="s">
        <v>886</v>
      </c>
      <c r="I560" t="s">
        <v>789</v>
      </c>
      <c r="J560">
        <f t="shared" ca="1" si="34"/>
        <v>58200</v>
      </c>
      <c r="K560">
        <f t="shared" ca="1" si="35"/>
        <v>75</v>
      </c>
      <c r="N560" t="str">
        <f t="shared" si="32"/>
        <v>Coventry11Reablement/Discharge to AssessHome-based intermediate care servicesReablement at home (accepting step up and step down users)</v>
      </c>
      <c r="O560" t="s">
        <v>121</v>
      </c>
      <c r="P560" t="s">
        <v>1172</v>
      </c>
      <c r="Q560">
        <v>11</v>
      </c>
      <c r="R560" t="s">
        <v>2069</v>
      </c>
      <c r="S560" t="s">
        <v>2220</v>
      </c>
      <c r="T560" t="s">
        <v>787</v>
      </c>
      <c r="U560" t="s">
        <v>930</v>
      </c>
      <c r="W560">
        <v>406</v>
      </c>
      <c r="X560">
        <v>386</v>
      </c>
      <c r="Y560" t="s">
        <v>789</v>
      </c>
      <c r="Z560" t="s">
        <v>792</v>
      </c>
      <c r="AB560" t="s">
        <v>793</v>
      </c>
      <c r="AD560" t="s">
        <v>794</v>
      </c>
      <c r="AE560" t="s">
        <v>804</v>
      </c>
      <c r="AF560" t="s">
        <v>845</v>
      </c>
      <c r="AG560" t="s">
        <v>797</v>
      </c>
      <c r="AH560">
        <v>454000</v>
      </c>
      <c r="AI560">
        <v>454000</v>
      </c>
      <c r="AJ560">
        <v>0.15</v>
      </c>
    </row>
    <row r="561" spans="1:36" x14ac:dyDescent="0.3">
      <c r="A561">
        <f>COUNTIF($D$2:D561,D561)</f>
        <v>15</v>
      </c>
      <c r="B561" t="str">
        <f t="shared" si="33"/>
        <v>15Darlington</v>
      </c>
      <c r="C561" t="s">
        <v>2252</v>
      </c>
      <c r="D561" t="s">
        <v>127</v>
      </c>
      <c r="E561">
        <v>56</v>
      </c>
      <c r="F561" t="s">
        <v>2253</v>
      </c>
      <c r="G561" t="s">
        <v>877</v>
      </c>
      <c r="H561" t="s">
        <v>1259</v>
      </c>
      <c r="I561" t="s">
        <v>879</v>
      </c>
      <c r="J561">
        <f t="shared" ca="1" si="34"/>
        <v>416156</v>
      </c>
      <c r="K561">
        <f t="shared" ca="1" si="35"/>
        <v>12</v>
      </c>
      <c r="N561" t="str">
        <f t="shared" si="32"/>
        <v>Coventry11Reablement/Discharge to AssessHome-based intermediate care servicesReablement at home (accepting step up and step down users)</v>
      </c>
      <c r="O561" t="s">
        <v>121</v>
      </c>
      <c r="P561" t="s">
        <v>1172</v>
      </c>
      <c r="Q561">
        <v>11</v>
      </c>
      <c r="R561" t="s">
        <v>2069</v>
      </c>
      <c r="S561" t="s">
        <v>2220</v>
      </c>
      <c r="T561" t="s">
        <v>787</v>
      </c>
      <c r="U561" t="s">
        <v>930</v>
      </c>
      <c r="W561">
        <v>495</v>
      </c>
      <c r="X561">
        <v>518</v>
      </c>
      <c r="Y561" t="s">
        <v>789</v>
      </c>
      <c r="Z561" t="s">
        <v>792</v>
      </c>
      <c r="AB561" t="s">
        <v>793</v>
      </c>
      <c r="AD561" t="s">
        <v>794</v>
      </c>
      <c r="AE561" t="s">
        <v>804</v>
      </c>
      <c r="AF561" t="s">
        <v>1029</v>
      </c>
      <c r="AG561" t="s">
        <v>797</v>
      </c>
      <c r="AH561">
        <v>554089</v>
      </c>
      <c r="AI561">
        <v>607810</v>
      </c>
      <c r="AJ561">
        <v>0.19</v>
      </c>
    </row>
    <row r="562" spans="1:36" x14ac:dyDescent="0.3">
      <c r="A562">
        <f>COUNTIF($D$2:D562,D562)</f>
        <v>16</v>
      </c>
      <c r="B562" t="str">
        <f t="shared" si="33"/>
        <v>16Darlington</v>
      </c>
      <c r="C562" t="s">
        <v>2254</v>
      </c>
      <c r="D562" t="s">
        <v>127</v>
      </c>
      <c r="E562">
        <v>59</v>
      </c>
      <c r="F562" t="s">
        <v>2255</v>
      </c>
      <c r="G562" t="s">
        <v>2245</v>
      </c>
      <c r="I562" t="s">
        <v>794</v>
      </c>
      <c r="J562">
        <f t="shared" ca="1" si="34"/>
        <v>28500</v>
      </c>
      <c r="K562">
        <f t="shared" ca="1" si="35"/>
        <v>1</v>
      </c>
      <c r="N562" t="str">
        <f t="shared" si="32"/>
        <v>Coventry11Reablement/Discharge to AssessBed based intermediate Care Services (Reablement, rehabilitation, wider short-term services supporting recovery)Bed-based intermediate care with reablement accepting step up and step down users</v>
      </c>
      <c r="O562" t="s">
        <v>121</v>
      </c>
      <c r="P562" t="s">
        <v>1172</v>
      </c>
      <c r="Q562">
        <v>11</v>
      </c>
      <c r="R562" t="s">
        <v>2069</v>
      </c>
      <c r="S562" t="s">
        <v>2249</v>
      </c>
      <c r="T562" t="s">
        <v>877</v>
      </c>
      <c r="U562" t="s">
        <v>1259</v>
      </c>
      <c r="W562">
        <v>73</v>
      </c>
      <c r="X562">
        <v>73</v>
      </c>
      <c r="Y562" t="s">
        <v>879</v>
      </c>
      <c r="Z562" t="s">
        <v>792</v>
      </c>
      <c r="AB562" t="s">
        <v>793</v>
      </c>
      <c r="AD562" t="s">
        <v>794</v>
      </c>
      <c r="AE562" t="s">
        <v>804</v>
      </c>
      <c r="AF562" t="s">
        <v>1029</v>
      </c>
      <c r="AG562" t="s">
        <v>797</v>
      </c>
      <c r="AH562">
        <v>264116</v>
      </c>
      <c r="AI562">
        <v>279435</v>
      </c>
      <c r="AJ562">
        <v>0.06</v>
      </c>
    </row>
    <row r="563" spans="1:36" x14ac:dyDescent="0.3">
      <c r="A563">
        <f>COUNTIF($D$2:D563,D563)</f>
        <v>17</v>
      </c>
      <c r="B563" t="str">
        <f t="shared" si="33"/>
        <v>17Darlington</v>
      </c>
      <c r="C563" t="s">
        <v>2256</v>
      </c>
      <c r="D563" t="s">
        <v>127</v>
      </c>
      <c r="E563">
        <v>60</v>
      </c>
      <c r="F563" t="s">
        <v>2257</v>
      </c>
      <c r="G563" t="s">
        <v>2245</v>
      </c>
      <c r="I563" t="s">
        <v>794</v>
      </c>
      <c r="J563">
        <f t="shared" ca="1" si="34"/>
        <v>19000</v>
      </c>
      <c r="K563">
        <f t="shared" ca="1" si="35"/>
        <v>0.5</v>
      </c>
      <c r="N563" t="str">
        <f t="shared" si="32"/>
        <v>Coventry11Reablement/Discharge to AssessBed based intermediate Care Services (Reablement, rehabilitation, wider short-term services supporting recovery)Bed-based intermediate care with reablement accepting step up and step down users</v>
      </c>
      <c r="O563" t="s">
        <v>121</v>
      </c>
      <c r="P563" t="s">
        <v>1172</v>
      </c>
      <c r="Q563">
        <v>11</v>
      </c>
      <c r="R563" t="s">
        <v>2069</v>
      </c>
      <c r="S563" t="s">
        <v>2249</v>
      </c>
      <c r="T563" t="s">
        <v>877</v>
      </c>
      <c r="U563" t="s">
        <v>1259</v>
      </c>
      <c r="W563">
        <v>88</v>
      </c>
      <c r="X563">
        <v>86</v>
      </c>
      <c r="Y563" t="s">
        <v>879</v>
      </c>
      <c r="Z563" t="s">
        <v>792</v>
      </c>
      <c r="AB563" t="s">
        <v>793</v>
      </c>
      <c r="AD563" t="s">
        <v>794</v>
      </c>
      <c r="AE563" t="s">
        <v>795</v>
      </c>
      <c r="AF563" t="s">
        <v>1029</v>
      </c>
      <c r="AG563" t="s">
        <v>797</v>
      </c>
      <c r="AH563">
        <v>317852</v>
      </c>
      <c r="AI563">
        <v>326611</v>
      </c>
      <c r="AJ563">
        <v>7.0000000000000007E-2</v>
      </c>
    </row>
    <row r="564" spans="1:36" x14ac:dyDescent="0.3">
      <c r="A564">
        <f>COUNTIF($D$2:D564,D564)</f>
        <v>18</v>
      </c>
      <c r="B564" t="str">
        <f t="shared" si="33"/>
        <v>18Darlington</v>
      </c>
      <c r="C564" t="s">
        <v>2258</v>
      </c>
      <c r="D564" t="s">
        <v>127</v>
      </c>
      <c r="E564">
        <v>62</v>
      </c>
      <c r="F564" t="s">
        <v>2101</v>
      </c>
      <c r="G564" t="s">
        <v>806</v>
      </c>
      <c r="H564" t="s">
        <v>807</v>
      </c>
      <c r="I564" t="s">
        <v>808</v>
      </c>
      <c r="J564">
        <f t="shared" ca="1" si="34"/>
        <v>300000</v>
      </c>
      <c r="K564">
        <f t="shared" ca="1" si="35"/>
        <v>15</v>
      </c>
      <c r="N564" t="str">
        <f t="shared" si="32"/>
        <v>Coventry11Reablement/Discharge to AssessHome Care or Domiciliary CareOther</v>
      </c>
      <c r="O564" t="s">
        <v>121</v>
      </c>
      <c r="P564" t="s">
        <v>1172</v>
      </c>
      <c r="Q564">
        <v>11</v>
      </c>
      <c r="R564" t="s">
        <v>2069</v>
      </c>
      <c r="S564" t="s">
        <v>2212</v>
      </c>
      <c r="T564" t="s">
        <v>842</v>
      </c>
      <c r="U564" t="s">
        <v>812</v>
      </c>
      <c r="V564" t="s">
        <v>2213</v>
      </c>
      <c r="W564">
        <v>3744</v>
      </c>
      <c r="X564">
        <v>3744</v>
      </c>
      <c r="Y564" t="s">
        <v>844</v>
      </c>
      <c r="Z564" t="s">
        <v>792</v>
      </c>
      <c r="AB564" t="s">
        <v>793</v>
      </c>
      <c r="AD564" t="s">
        <v>794</v>
      </c>
      <c r="AE564" t="s">
        <v>795</v>
      </c>
      <c r="AF564" t="s">
        <v>1029</v>
      </c>
      <c r="AG564" t="s">
        <v>797</v>
      </c>
      <c r="AH564">
        <v>199926</v>
      </c>
      <c r="AI564">
        <v>203326</v>
      </c>
      <c r="AJ564">
        <v>0.24</v>
      </c>
    </row>
    <row r="565" spans="1:36" x14ac:dyDescent="0.3">
      <c r="A565">
        <f>COUNTIF($D$2:D565,D565)</f>
        <v>19</v>
      </c>
      <c r="B565" t="str">
        <f t="shared" si="33"/>
        <v>19Darlington</v>
      </c>
      <c r="C565" t="s">
        <v>2259</v>
      </c>
      <c r="D565" t="s">
        <v>127</v>
      </c>
      <c r="E565">
        <v>65</v>
      </c>
      <c r="F565" t="s">
        <v>2260</v>
      </c>
      <c r="G565" t="s">
        <v>811</v>
      </c>
      <c r="H565" t="s">
        <v>830</v>
      </c>
      <c r="I565" t="s">
        <v>813</v>
      </c>
      <c r="J565">
        <f t="shared" ca="1" si="34"/>
        <v>287418</v>
      </c>
      <c r="K565">
        <f t="shared" ca="1" si="35"/>
        <v>144</v>
      </c>
      <c r="N565" t="str">
        <f t="shared" si="32"/>
        <v>Coventry2Community Support ServicesAssistive Technologies and EquipmentCommunity based equipment</v>
      </c>
      <c r="O565" t="s">
        <v>121</v>
      </c>
      <c r="P565" t="s">
        <v>1172</v>
      </c>
      <c r="Q565">
        <v>2</v>
      </c>
      <c r="R565" t="s">
        <v>2078</v>
      </c>
      <c r="S565" t="s">
        <v>2227</v>
      </c>
      <c r="T565" t="s">
        <v>800</v>
      </c>
      <c r="U565" t="s">
        <v>903</v>
      </c>
      <c r="W565">
        <v>807</v>
      </c>
      <c r="X565">
        <v>807</v>
      </c>
      <c r="Y565" t="s">
        <v>802</v>
      </c>
      <c r="Z565" t="s">
        <v>792</v>
      </c>
      <c r="AB565" t="s">
        <v>1739</v>
      </c>
      <c r="AC565">
        <v>0.28000000000000003</v>
      </c>
      <c r="AD565">
        <v>0.72</v>
      </c>
      <c r="AE565" t="s">
        <v>795</v>
      </c>
      <c r="AF565" t="s">
        <v>1029</v>
      </c>
      <c r="AG565" t="s">
        <v>797</v>
      </c>
      <c r="AH565">
        <v>403985</v>
      </c>
      <c r="AI565">
        <v>370982</v>
      </c>
      <c r="AJ565">
        <v>0.27</v>
      </c>
    </row>
    <row r="566" spans="1:36" x14ac:dyDescent="0.3">
      <c r="A566">
        <f>COUNTIF($D$2:D566,D566)</f>
        <v>20</v>
      </c>
      <c r="B566" t="str">
        <f t="shared" si="33"/>
        <v>20Darlington</v>
      </c>
      <c r="C566" t="s">
        <v>2261</v>
      </c>
      <c r="D566" t="s">
        <v>127</v>
      </c>
      <c r="E566">
        <v>66</v>
      </c>
      <c r="F566" t="s">
        <v>2262</v>
      </c>
      <c r="G566" t="s">
        <v>806</v>
      </c>
      <c r="H566" t="s">
        <v>807</v>
      </c>
      <c r="I566" t="s">
        <v>808</v>
      </c>
      <c r="J566">
        <f t="shared" ca="1" si="34"/>
        <v>1660000</v>
      </c>
      <c r="K566">
        <f t="shared" ca="1" si="35"/>
        <v>35</v>
      </c>
      <c r="N566" t="str">
        <f t="shared" si="32"/>
        <v>Coventry2Community Support ServicesAssistive Technologies and EquipmentCommunity based equipment</v>
      </c>
      <c r="O566" t="s">
        <v>121</v>
      </c>
      <c r="P566" t="s">
        <v>1172</v>
      </c>
      <c r="Q566">
        <v>2</v>
      </c>
      <c r="R566" t="s">
        <v>2078</v>
      </c>
      <c r="S566" t="s">
        <v>2227</v>
      </c>
      <c r="T566" t="s">
        <v>800</v>
      </c>
      <c r="U566" t="s">
        <v>903</v>
      </c>
      <c r="W566">
        <v>1306</v>
      </c>
      <c r="X566">
        <v>1306</v>
      </c>
      <c r="Y566" t="s">
        <v>802</v>
      </c>
      <c r="Z566" t="s">
        <v>792</v>
      </c>
      <c r="AB566" t="s">
        <v>1739</v>
      </c>
      <c r="AC566">
        <v>0.28000000000000003</v>
      </c>
      <c r="AD566">
        <v>0.72</v>
      </c>
      <c r="AE566" t="s">
        <v>804</v>
      </c>
      <c r="AF566" t="s">
        <v>1029</v>
      </c>
      <c r="AG566" t="s">
        <v>797</v>
      </c>
      <c r="AH566">
        <v>653314</v>
      </c>
      <c r="AI566">
        <v>652969</v>
      </c>
      <c r="AJ566">
        <v>0.45</v>
      </c>
    </row>
    <row r="567" spans="1:36" x14ac:dyDescent="0.3">
      <c r="A567">
        <f>COUNTIF($D$2:D567,D567)</f>
        <v>21</v>
      </c>
      <c r="B567" t="str">
        <f t="shared" si="33"/>
        <v>21Darlington</v>
      </c>
      <c r="C567" t="s">
        <v>2263</v>
      </c>
      <c r="D567" t="s">
        <v>127</v>
      </c>
      <c r="E567">
        <v>67</v>
      </c>
      <c r="F567" t="s">
        <v>1618</v>
      </c>
      <c r="G567" t="s">
        <v>842</v>
      </c>
      <c r="H567" t="s">
        <v>843</v>
      </c>
      <c r="I567" t="s">
        <v>844</v>
      </c>
      <c r="J567">
        <f t="shared" ca="1" si="34"/>
        <v>820000</v>
      </c>
      <c r="K567">
        <f t="shared" ca="1" si="35"/>
        <v>47072</v>
      </c>
      <c r="N567" t="str">
        <f t="shared" si="32"/>
        <v>Coventry2Community Support ServicesCarers ServicesOther</v>
      </c>
      <c r="O567" t="s">
        <v>121</v>
      </c>
      <c r="P567" t="s">
        <v>1172</v>
      </c>
      <c r="Q567">
        <v>2</v>
      </c>
      <c r="R567" t="s">
        <v>2078</v>
      </c>
      <c r="S567" t="s">
        <v>811</v>
      </c>
      <c r="T567" t="s">
        <v>811</v>
      </c>
      <c r="U567" t="s">
        <v>812</v>
      </c>
      <c r="V567" t="s">
        <v>2264</v>
      </c>
      <c r="W567">
        <v>1474</v>
      </c>
      <c r="X567">
        <v>1474</v>
      </c>
      <c r="Y567" t="s">
        <v>813</v>
      </c>
      <c r="Z567" t="s">
        <v>792</v>
      </c>
      <c r="AB567" t="s">
        <v>793</v>
      </c>
      <c r="AD567" t="s">
        <v>794</v>
      </c>
      <c r="AE567" t="s">
        <v>795</v>
      </c>
      <c r="AF567" t="s">
        <v>1029</v>
      </c>
      <c r="AG567" t="s">
        <v>797</v>
      </c>
      <c r="AH567">
        <v>85746</v>
      </c>
      <c r="AI567">
        <v>88561</v>
      </c>
      <c r="AJ567">
        <v>0.08</v>
      </c>
    </row>
    <row r="568" spans="1:36" x14ac:dyDescent="0.3">
      <c r="A568">
        <f>COUNTIF($D$2:D568,D568)</f>
        <v>1</v>
      </c>
      <c r="B568" t="str">
        <f t="shared" si="33"/>
        <v>1Derby</v>
      </c>
      <c r="C568" t="s">
        <v>2265</v>
      </c>
      <c r="D568" t="s">
        <v>129</v>
      </c>
      <c r="E568">
        <v>6</v>
      </c>
      <c r="F568" t="s">
        <v>2266</v>
      </c>
      <c r="G568" t="s">
        <v>877</v>
      </c>
      <c r="H568" t="s">
        <v>1015</v>
      </c>
      <c r="I568" t="s">
        <v>808</v>
      </c>
      <c r="J568">
        <f t="shared" ca="1" si="34"/>
        <v>1468032.0956990449</v>
      </c>
      <c r="K568">
        <f t="shared" ca="1" si="35"/>
        <v>287</v>
      </c>
      <c r="N568" t="str">
        <f t="shared" si="32"/>
        <v>Coventry2Community Support ServicesCarers ServicesOther</v>
      </c>
      <c r="O568" t="s">
        <v>121</v>
      </c>
      <c r="P568" t="s">
        <v>1172</v>
      </c>
      <c r="Q568">
        <v>2</v>
      </c>
      <c r="R568" t="s">
        <v>2078</v>
      </c>
      <c r="S568" t="s">
        <v>811</v>
      </c>
      <c r="T568" t="s">
        <v>811</v>
      </c>
      <c r="U568" t="s">
        <v>812</v>
      </c>
      <c r="V568" t="s">
        <v>2267</v>
      </c>
      <c r="W568">
        <v>1474</v>
      </c>
      <c r="X568">
        <v>1474</v>
      </c>
      <c r="Y568" t="s">
        <v>813</v>
      </c>
      <c r="Z568" t="s">
        <v>792</v>
      </c>
      <c r="AB568" t="s">
        <v>793</v>
      </c>
      <c r="AD568" t="s">
        <v>794</v>
      </c>
      <c r="AE568" t="s">
        <v>804</v>
      </c>
      <c r="AF568" t="s">
        <v>1029</v>
      </c>
      <c r="AG568" t="s">
        <v>797</v>
      </c>
      <c r="AH568">
        <v>138767</v>
      </c>
      <c r="AI568">
        <v>138767</v>
      </c>
      <c r="AJ568">
        <v>0.13</v>
      </c>
    </row>
    <row r="569" spans="1:36" x14ac:dyDescent="0.3">
      <c r="A569">
        <f>COUNTIF($D$2:D569,D569)</f>
        <v>2</v>
      </c>
      <c r="B569" t="str">
        <f t="shared" si="33"/>
        <v>2Derby</v>
      </c>
      <c r="C569" t="s">
        <v>2268</v>
      </c>
      <c r="D569" t="s">
        <v>129</v>
      </c>
      <c r="E569">
        <v>3</v>
      </c>
      <c r="F569" t="s">
        <v>2269</v>
      </c>
      <c r="G569" t="s">
        <v>811</v>
      </c>
      <c r="H569" t="s">
        <v>895</v>
      </c>
      <c r="I569" t="s">
        <v>813</v>
      </c>
      <c r="J569">
        <f t="shared" ca="1" si="34"/>
        <v>823560.47586629435</v>
      </c>
      <c r="K569">
        <f t="shared" ca="1" si="35"/>
        <v>2777</v>
      </c>
      <c r="N569" t="str">
        <f t="shared" si="32"/>
        <v>Coventry2Community Support ServicesCarers ServicesCarer advice and support related to Care Act duties</v>
      </c>
      <c r="O569" t="s">
        <v>121</v>
      </c>
      <c r="P569" t="s">
        <v>1172</v>
      </c>
      <c r="Q569">
        <v>2</v>
      </c>
      <c r="R569" t="s">
        <v>2078</v>
      </c>
      <c r="S569" t="s">
        <v>811</v>
      </c>
      <c r="T569" t="s">
        <v>811</v>
      </c>
      <c r="U569" t="s">
        <v>895</v>
      </c>
      <c r="W569">
        <v>2058</v>
      </c>
      <c r="X569">
        <v>2058</v>
      </c>
      <c r="Y569" t="s">
        <v>813</v>
      </c>
      <c r="Z569" t="s">
        <v>792</v>
      </c>
      <c r="AB569" t="s">
        <v>793</v>
      </c>
      <c r="AD569" t="s">
        <v>794</v>
      </c>
      <c r="AE569" t="s">
        <v>825</v>
      </c>
      <c r="AF569" t="s">
        <v>1029</v>
      </c>
      <c r="AG569" t="s">
        <v>797</v>
      </c>
      <c r="AH569">
        <v>711513</v>
      </c>
      <c r="AI569">
        <v>711513</v>
      </c>
      <c r="AJ569">
        <v>0.66</v>
      </c>
    </row>
    <row r="570" spans="1:36" x14ac:dyDescent="0.3">
      <c r="A570">
        <f>COUNTIF($D$2:D570,D570)</f>
        <v>3</v>
      </c>
      <c r="B570" t="str">
        <f t="shared" si="33"/>
        <v>3Derby</v>
      </c>
      <c r="C570" t="s">
        <v>2270</v>
      </c>
      <c r="D570" t="s">
        <v>129</v>
      </c>
      <c r="E570">
        <v>6</v>
      </c>
      <c r="F570" t="s">
        <v>2271</v>
      </c>
      <c r="G570" t="s">
        <v>787</v>
      </c>
      <c r="H570" t="s">
        <v>930</v>
      </c>
      <c r="I570" t="s">
        <v>789</v>
      </c>
      <c r="J570">
        <f t="shared" ca="1" si="34"/>
        <v>2526939.9431858007</v>
      </c>
      <c r="K570">
        <f t="shared" ca="1" si="35"/>
        <v>1140</v>
      </c>
      <c r="N570" t="str">
        <f t="shared" si="32"/>
        <v>Coventry3DementiaResidential PlacementsCare home</v>
      </c>
      <c r="O570" t="s">
        <v>121</v>
      </c>
      <c r="P570" t="s">
        <v>1172</v>
      </c>
      <c r="Q570">
        <v>3</v>
      </c>
      <c r="R570" t="s">
        <v>2093</v>
      </c>
      <c r="S570" t="s">
        <v>2272</v>
      </c>
      <c r="T570" t="s">
        <v>806</v>
      </c>
      <c r="U570" t="s">
        <v>807</v>
      </c>
      <c r="W570">
        <v>136</v>
      </c>
      <c r="X570">
        <v>136</v>
      </c>
      <c r="Y570" t="s">
        <v>808</v>
      </c>
      <c r="Z570" t="s">
        <v>792</v>
      </c>
      <c r="AB570" t="s">
        <v>793</v>
      </c>
      <c r="AD570" t="s">
        <v>794</v>
      </c>
      <c r="AE570" t="s">
        <v>804</v>
      </c>
      <c r="AF570" t="s">
        <v>1029</v>
      </c>
      <c r="AG570" t="s">
        <v>797</v>
      </c>
      <c r="AH570">
        <v>5330414</v>
      </c>
      <c r="AI570">
        <v>5754342</v>
      </c>
      <c r="AJ570">
        <v>0.17</v>
      </c>
    </row>
    <row r="571" spans="1:36" x14ac:dyDescent="0.3">
      <c r="A571">
        <f>COUNTIF($D$2:D571,D571)</f>
        <v>4</v>
      </c>
      <c r="B571" t="str">
        <f t="shared" si="33"/>
        <v>4Derby</v>
      </c>
      <c r="C571" t="s">
        <v>2273</v>
      </c>
      <c r="D571" t="s">
        <v>129</v>
      </c>
      <c r="E571">
        <v>4</v>
      </c>
      <c r="F571" t="s">
        <v>2274</v>
      </c>
      <c r="G571" t="s">
        <v>811</v>
      </c>
      <c r="H571" t="s">
        <v>895</v>
      </c>
      <c r="I571" t="s">
        <v>813</v>
      </c>
      <c r="J571">
        <f t="shared" ca="1" si="34"/>
        <v>314195.6566119098</v>
      </c>
      <c r="K571">
        <f t="shared" ca="1" si="35"/>
        <v>1284</v>
      </c>
      <c r="N571" t="str">
        <f t="shared" si="32"/>
        <v>Coventry3DementiaResidential PlacementsCare home</v>
      </c>
      <c r="O571" t="s">
        <v>121</v>
      </c>
      <c r="P571" t="s">
        <v>1172</v>
      </c>
      <c r="Q571">
        <v>3</v>
      </c>
      <c r="R571" t="s">
        <v>2093</v>
      </c>
      <c r="S571" t="s">
        <v>2275</v>
      </c>
      <c r="T571" t="s">
        <v>806</v>
      </c>
      <c r="U571" t="s">
        <v>807</v>
      </c>
      <c r="W571">
        <v>42</v>
      </c>
      <c r="X571">
        <v>42</v>
      </c>
      <c r="Y571" t="s">
        <v>808</v>
      </c>
      <c r="Z571" t="s">
        <v>792</v>
      </c>
      <c r="AB571" t="s">
        <v>793</v>
      </c>
      <c r="AD571" t="s">
        <v>794</v>
      </c>
      <c r="AE571" t="s">
        <v>795</v>
      </c>
      <c r="AF571" t="s">
        <v>1029</v>
      </c>
      <c r="AG571" t="s">
        <v>797</v>
      </c>
      <c r="AH571">
        <v>1642237</v>
      </c>
      <c r="AI571">
        <v>1687489</v>
      </c>
      <c r="AJ571">
        <v>0.05</v>
      </c>
    </row>
    <row r="572" spans="1:36" x14ac:dyDescent="0.3">
      <c r="A572">
        <f>COUNTIF($D$2:D572,D572)</f>
        <v>5</v>
      </c>
      <c r="B572" t="str">
        <f t="shared" si="33"/>
        <v>5Derby</v>
      </c>
      <c r="C572" t="s">
        <v>2276</v>
      </c>
      <c r="D572" t="s">
        <v>129</v>
      </c>
      <c r="E572">
        <v>11</v>
      </c>
      <c r="F572" t="s">
        <v>2277</v>
      </c>
      <c r="G572" t="s">
        <v>834</v>
      </c>
      <c r="H572" t="s">
        <v>835</v>
      </c>
      <c r="I572" t="s">
        <v>836</v>
      </c>
      <c r="J572">
        <f t="shared" ca="1" si="34"/>
        <v>2323304</v>
      </c>
      <c r="K572">
        <f t="shared" ca="1" si="35"/>
        <v>270</v>
      </c>
      <c r="N572" t="str">
        <f t="shared" si="32"/>
        <v>Coventry4Disabled Facility GrantsDFG Related SchemesAdaptations, including statutory DFG grants</v>
      </c>
      <c r="O572" t="s">
        <v>121</v>
      </c>
      <c r="P572" t="s">
        <v>1172</v>
      </c>
      <c r="Q572">
        <v>4</v>
      </c>
      <c r="R572" t="s">
        <v>2096</v>
      </c>
      <c r="S572" t="s">
        <v>840</v>
      </c>
      <c r="T572" t="s">
        <v>834</v>
      </c>
      <c r="U572" t="s">
        <v>835</v>
      </c>
      <c r="W572">
        <v>476</v>
      </c>
      <c r="X572">
        <v>558</v>
      </c>
      <c r="Y572" t="s">
        <v>836</v>
      </c>
      <c r="Z572" t="s">
        <v>792</v>
      </c>
      <c r="AB572" t="s">
        <v>793</v>
      </c>
      <c r="AD572" t="s">
        <v>794</v>
      </c>
      <c r="AE572" t="s">
        <v>804</v>
      </c>
      <c r="AF572" t="s">
        <v>840</v>
      </c>
      <c r="AG572" t="s">
        <v>797</v>
      </c>
      <c r="AH572">
        <v>3073045</v>
      </c>
      <c r="AI572">
        <v>3781686</v>
      </c>
      <c r="AJ572">
        <v>0.83</v>
      </c>
    </row>
    <row r="573" spans="1:36" x14ac:dyDescent="0.3">
      <c r="A573">
        <f>COUNTIF($D$2:D573,D573)</f>
        <v>6</v>
      </c>
      <c r="B573" t="str">
        <f t="shared" si="33"/>
        <v>6Derby</v>
      </c>
      <c r="C573" t="s">
        <v>2278</v>
      </c>
      <c r="D573" t="s">
        <v>129</v>
      </c>
      <c r="E573">
        <v>12</v>
      </c>
      <c r="F573" t="s">
        <v>2279</v>
      </c>
      <c r="G573" t="s">
        <v>806</v>
      </c>
      <c r="H573" t="s">
        <v>807</v>
      </c>
      <c r="I573" t="s">
        <v>808</v>
      </c>
      <c r="J573">
        <f t="shared" ca="1" si="34"/>
        <v>4971935.4813579665</v>
      </c>
      <c r="K573">
        <f t="shared" ca="1" si="35"/>
        <v>119</v>
      </c>
      <c r="N573" t="str">
        <f t="shared" si="32"/>
        <v>Coventry4Disabled Facility GrantsDFG Related SchemesDiscretionary use of DFG</v>
      </c>
      <c r="O573" t="s">
        <v>121</v>
      </c>
      <c r="P573" t="s">
        <v>1172</v>
      </c>
      <c r="Q573">
        <v>4</v>
      </c>
      <c r="R573" t="s">
        <v>2096</v>
      </c>
      <c r="S573" t="s">
        <v>2280</v>
      </c>
      <c r="T573" t="s">
        <v>834</v>
      </c>
      <c r="U573" t="s">
        <v>1293</v>
      </c>
      <c r="W573">
        <v>46</v>
      </c>
      <c r="X573">
        <v>46</v>
      </c>
      <c r="Y573" t="s">
        <v>836</v>
      </c>
      <c r="Z573" t="s">
        <v>792</v>
      </c>
      <c r="AB573" t="s">
        <v>793</v>
      </c>
      <c r="AD573" t="s">
        <v>794</v>
      </c>
      <c r="AE573" t="s">
        <v>804</v>
      </c>
      <c r="AF573" t="s">
        <v>840</v>
      </c>
      <c r="AG573" t="s">
        <v>797</v>
      </c>
      <c r="AH573">
        <v>353000</v>
      </c>
      <c r="AI573">
        <v>400000</v>
      </c>
      <c r="AJ573">
        <v>0.1</v>
      </c>
    </row>
    <row r="574" spans="1:36" x14ac:dyDescent="0.3">
      <c r="A574">
        <f>COUNTIF($D$2:D574,D574)</f>
        <v>7</v>
      </c>
      <c r="B574" t="str">
        <f t="shared" si="33"/>
        <v>7Derby</v>
      </c>
      <c r="C574" t="s">
        <v>2281</v>
      </c>
      <c r="D574" t="s">
        <v>129</v>
      </c>
      <c r="E574">
        <v>18</v>
      </c>
      <c r="F574" t="s">
        <v>2282</v>
      </c>
      <c r="G574" t="s">
        <v>877</v>
      </c>
      <c r="H574" t="s">
        <v>812</v>
      </c>
      <c r="I574" t="s">
        <v>808</v>
      </c>
      <c r="J574">
        <f t="shared" ca="1" si="34"/>
        <v>673574.94283214549</v>
      </c>
      <c r="K574">
        <f t="shared" ca="1" si="35"/>
        <v>131</v>
      </c>
      <c r="N574" t="str">
        <f t="shared" si="32"/>
        <v>Coventry15Winter PressuresBed based intermediate Care Services (Reablement, rehabilitation, wider short-term services supporting recovery)Bed-based intermediate care with reablement accepting step up and step down users</v>
      </c>
      <c r="O574" t="s">
        <v>121</v>
      </c>
      <c r="P574" t="s">
        <v>1172</v>
      </c>
      <c r="Q574">
        <v>15</v>
      </c>
      <c r="R574" t="s">
        <v>2101</v>
      </c>
      <c r="S574" t="s">
        <v>2249</v>
      </c>
      <c r="T574" t="s">
        <v>877</v>
      </c>
      <c r="U574" t="s">
        <v>1259</v>
      </c>
      <c r="W574">
        <v>75</v>
      </c>
      <c r="X574">
        <v>75</v>
      </c>
      <c r="Y574" t="s">
        <v>879</v>
      </c>
      <c r="Z574" t="s">
        <v>792</v>
      </c>
      <c r="AB574" t="s">
        <v>824</v>
      </c>
      <c r="AD574" t="s">
        <v>794</v>
      </c>
      <c r="AE574" t="s">
        <v>804</v>
      </c>
      <c r="AF574" t="s">
        <v>845</v>
      </c>
      <c r="AG574" t="s">
        <v>797</v>
      </c>
      <c r="AH574">
        <v>500000</v>
      </c>
      <c r="AI574">
        <v>500000</v>
      </c>
      <c r="AJ574">
        <v>0.12</v>
      </c>
    </row>
    <row r="575" spans="1:36" x14ac:dyDescent="0.3">
      <c r="A575">
        <f>COUNTIF($D$2:D575,D575)</f>
        <v>8</v>
      </c>
      <c r="B575" t="str">
        <f t="shared" si="33"/>
        <v>8Derby</v>
      </c>
      <c r="C575" t="s">
        <v>2283</v>
      </c>
      <c r="D575" t="s">
        <v>129</v>
      </c>
      <c r="E575">
        <v>1</v>
      </c>
      <c r="F575" t="s">
        <v>2284</v>
      </c>
      <c r="G575" t="s">
        <v>787</v>
      </c>
      <c r="H575" t="s">
        <v>930</v>
      </c>
      <c r="I575" t="s">
        <v>789</v>
      </c>
      <c r="J575">
        <f t="shared" ca="1" si="34"/>
        <v>202589.6901569562</v>
      </c>
      <c r="K575">
        <f t="shared" ca="1" si="35"/>
        <v>45</v>
      </c>
      <c r="N575" t="str">
        <f t="shared" si="32"/>
        <v>Coventry15Winter PressuresHome-based intermediate care servicesReablement at home (accepting step up and step down users)</v>
      </c>
      <c r="O575" t="s">
        <v>121</v>
      </c>
      <c r="P575" t="s">
        <v>1172</v>
      </c>
      <c r="Q575">
        <v>15</v>
      </c>
      <c r="R575" t="s">
        <v>2101</v>
      </c>
      <c r="S575" t="s">
        <v>2285</v>
      </c>
      <c r="T575" t="s">
        <v>787</v>
      </c>
      <c r="U575" t="s">
        <v>930</v>
      </c>
      <c r="W575">
        <v>88</v>
      </c>
      <c r="X575">
        <v>88</v>
      </c>
      <c r="Y575" t="s">
        <v>789</v>
      </c>
      <c r="Z575" t="s">
        <v>792</v>
      </c>
      <c r="AB575" t="s">
        <v>793</v>
      </c>
      <c r="AD575" t="s">
        <v>794</v>
      </c>
      <c r="AE575" t="s">
        <v>804</v>
      </c>
      <c r="AF575" t="s">
        <v>845</v>
      </c>
      <c r="AG575" t="s">
        <v>797</v>
      </c>
      <c r="AH575">
        <v>373484</v>
      </c>
      <c r="AI575">
        <v>373484</v>
      </c>
      <c r="AJ575">
        <v>1</v>
      </c>
    </row>
    <row r="576" spans="1:36" x14ac:dyDescent="0.3">
      <c r="A576">
        <f>COUNTIF($D$2:D576,D576)</f>
        <v>9</v>
      </c>
      <c r="B576" t="str">
        <f t="shared" si="33"/>
        <v>9Derby</v>
      </c>
      <c r="C576" t="s">
        <v>2286</v>
      </c>
      <c r="D576" t="s">
        <v>129</v>
      </c>
      <c r="E576">
        <v>6</v>
      </c>
      <c r="F576" t="s">
        <v>2287</v>
      </c>
      <c r="G576" t="s">
        <v>842</v>
      </c>
      <c r="H576" t="s">
        <v>843</v>
      </c>
      <c r="I576" t="s">
        <v>844</v>
      </c>
      <c r="J576">
        <f t="shared" ca="1" si="34"/>
        <v>898236.60937268159</v>
      </c>
      <c r="K576">
        <f t="shared" ca="1" si="35"/>
        <v>49264</v>
      </c>
      <c r="N576" t="str">
        <f t="shared" si="32"/>
        <v>Coventry6LD Care HomesResidential PlacementsLearning disability</v>
      </c>
      <c r="O576" t="s">
        <v>121</v>
      </c>
      <c r="P576" t="s">
        <v>1172</v>
      </c>
      <c r="Q576">
        <v>6</v>
      </c>
      <c r="R576" t="s">
        <v>2086</v>
      </c>
      <c r="S576" t="s">
        <v>2243</v>
      </c>
      <c r="T576" t="s">
        <v>806</v>
      </c>
      <c r="U576" t="s">
        <v>854</v>
      </c>
      <c r="W576">
        <v>8</v>
      </c>
      <c r="X576">
        <v>8</v>
      </c>
      <c r="Y576" t="s">
        <v>808</v>
      </c>
      <c r="Z576" t="s">
        <v>792</v>
      </c>
      <c r="AB576" t="s">
        <v>793</v>
      </c>
      <c r="AD576" t="s">
        <v>794</v>
      </c>
      <c r="AE576" t="s">
        <v>804</v>
      </c>
      <c r="AF576" t="s">
        <v>1029</v>
      </c>
      <c r="AG576" t="s">
        <v>797</v>
      </c>
      <c r="AH576">
        <v>1516068</v>
      </c>
      <c r="AI576">
        <v>1392408</v>
      </c>
      <c r="AJ576">
        <v>0.55328467153284666</v>
      </c>
    </row>
    <row r="577" spans="1:36" x14ac:dyDescent="0.3">
      <c r="A577">
        <f>COUNTIF($D$2:D577,D577)</f>
        <v>10</v>
      </c>
      <c r="B577" t="str">
        <f t="shared" si="33"/>
        <v>10Derby</v>
      </c>
      <c r="C577" t="s">
        <v>2288</v>
      </c>
      <c r="D577" t="s">
        <v>129</v>
      </c>
      <c r="E577">
        <v>19</v>
      </c>
      <c r="F577" t="s">
        <v>2289</v>
      </c>
      <c r="G577" t="s">
        <v>806</v>
      </c>
      <c r="H577" t="s">
        <v>955</v>
      </c>
      <c r="I577" t="s">
        <v>808</v>
      </c>
      <c r="J577">
        <f t="shared" ca="1" si="34"/>
        <v>201968</v>
      </c>
      <c r="K577">
        <f t="shared" ca="1" si="35"/>
        <v>92</v>
      </c>
      <c r="N577" t="str">
        <f t="shared" si="32"/>
        <v>Coventry10Protecting Social CareHome Care or Domiciliary CareDomiciliary care packages</v>
      </c>
      <c r="O577" t="s">
        <v>121</v>
      </c>
      <c r="P577" t="s">
        <v>1172</v>
      </c>
      <c r="Q577">
        <v>10</v>
      </c>
      <c r="R577" t="s">
        <v>2066</v>
      </c>
      <c r="S577" t="s">
        <v>2290</v>
      </c>
      <c r="T577" t="s">
        <v>842</v>
      </c>
      <c r="U577" t="s">
        <v>843</v>
      </c>
      <c r="W577">
        <v>524037</v>
      </c>
      <c r="X577">
        <v>524037</v>
      </c>
      <c r="Y577" t="s">
        <v>844</v>
      </c>
      <c r="Z577" t="s">
        <v>792</v>
      </c>
      <c r="AB577" t="s">
        <v>793</v>
      </c>
      <c r="AD577" t="s">
        <v>794</v>
      </c>
      <c r="AE577" t="s">
        <v>804</v>
      </c>
      <c r="AF577" t="s">
        <v>845</v>
      </c>
      <c r="AG577" t="s">
        <v>797</v>
      </c>
      <c r="AH577">
        <v>10454534</v>
      </c>
      <c r="AI577">
        <v>10454534</v>
      </c>
      <c r="AJ577">
        <v>1</v>
      </c>
    </row>
    <row r="578" spans="1:36" x14ac:dyDescent="0.3">
      <c r="A578">
        <f>COUNTIF($D$2:D578,D578)</f>
        <v>11</v>
      </c>
      <c r="B578" t="str">
        <f t="shared" si="33"/>
        <v>11Derby</v>
      </c>
      <c r="C578" t="s">
        <v>2291</v>
      </c>
      <c r="D578" t="s">
        <v>129</v>
      </c>
      <c r="E578">
        <v>19</v>
      </c>
      <c r="F578" t="s">
        <v>2292</v>
      </c>
      <c r="G578" t="s">
        <v>877</v>
      </c>
      <c r="H578" t="s">
        <v>968</v>
      </c>
      <c r="I578" t="s">
        <v>808</v>
      </c>
      <c r="J578">
        <f t="shared" ca="1" si="34"/>
        <v>201968</v>
      </c>
      <c r="K578">
        <f t="shared" ca="1" si="35"/>
        <v>52</v>
      </c>
      <c r="N578" t="str">
        <f t="shared" ref="N578:N641" si="36">O578&amp;Q578&amp;R578&amp;T578&amp;U578</f>
        <v>Coventry10LD Care HomesResidential PlacementsLearning disability</v>
      </c>
      <c r="O578" t="s">
        <v>121</v>
      </c>
      <c r="P578" t="s">
        <v>1172</v>
      </c>
      <c r="Q578">
        <v>10</v>
      </c>
      <c r="R578" t="s">
        <v>2086</v>
      </c>
      <c r="S578" t="s">
        <v>2243</v>
      </c>
      <c r="T578" t="s">
        <v>806</v>
      </c>
      <c r="U578" t="s">
        <v>854</v>
      </c>
      <c r="W578">
        <v>1</v>
      </c>
      <c r="X578">
        <v>1</v>
      </c>
      <c r="Y578" t="s">
        <v>808</v>
      </c>
      <c r="Z578" t="s">
        <v>792</v>
      </c>
      <c r="AB578" t="s">
        <v>793</v>
      </c>
      <c r="AD578" t="s">
        <v>794</v>
      </c>
      <c r="AE578" t="s">
        <v>804</v>
      </c>
      <c r="AF578" t="s">
        <v>845</v>
      </c>
      <c r="AG578" t="s">
        <v>797</v>
      </c>
      <c r="AH578">
        <v>233535</v>
      </c>
      <c r="AI578">
        <v>233535</v>
      </c>
      <c r="AJ578">
        <v>8.5401459854014594E-2</v>
      </c>
    </row>
    <row r="579" spans="1:36" x14ac:dyDescent="0.3">
      <c r="A579">
        <f>COUNTIF($D$2:D579,D579)</f>
        <v>12</v>
      </c>
      <c r="B579" t="str">
        <f t="shared" ref="B579:B642" si="37">A579&amp;D579</f>
        <v>12Derby</v>
      </c>
      <c r="C579" t="s">
        <v>2293</v>
      </c>
      <c r="D579" t="s">
        <v>129</v>
      </c>
      <c r="E579">
        <v>19</v>
      </c>
      <c r="F579" t="s">
        <v>2294</v>
      </c>
      <c r="G579" t="s">
        <v>842</v>
      </c>
      <c r="H579" t="s">
        <v>856</v>
      </c>
      <c r="I579" t="s">
        <v>844</v>
      </c>
      <c r="J579">
        <f t="shared" ref="J579:J642" ca="1" si="38">SUMIF($N:$AI,C579,AH:AH)</f>
        <v>514053.76</v>
      </c>
      <c r="K579">
        <f t="shared" ref="K579:K642" ca="1" si="39">SUMIF($N:$AI,C579,W:W)</f>
        <v>28081</v>
      </c>
      <c r="N579" t="str">
        <f t="shared" si="36"/>
        <v>Coventry10Protecting Social CareResidential PlacementsCare home</v>
      </c>
      <c r="O579" t="s">
        <v>121</v>
      </c>
      <c r="P579" t="s">
        <v>1172</v>
      </c>
      <c r="Q579">
        <v>10</v>
      </c>
      <c r="R579" t="s">
        <v>2066</v>
      </c>
      <c r="S579" t="s">
        <v>2295</v>
      </c>
      <c r="T579" t="s">
        <v>806</v>
      </c>
      <c r="U579" t="s">
        <v>807</v>
      </c>
      <c r="W579">
        <v>12</v>
      </c>
      <c r="X579">
        <v>12</v>
      </c>
      <c r="Y579" t="s">
        <v>808</v>
      </c>
      <c r="Z579" t="s">
        <v>792</v>
      </c>
      <c r="AB579" t="s">
        <v>793</v>
      </c>
      <c r="AD579" t="s">
        <v>794</v>
      </c>
      <c r="AE579" t="s">
        <v>804</v>
      </c>
      <c r="AF579" t="s">
        <v>845</v>
      </c>
      <c r="AG579" t="s">
        <v>797</v>
      </c>
      <c r="AH579">
        <v>455000</v>
      </c>
      <c r="AI579">
        <v>455000</v>
      </c>
      <c r="AJ579">
        <v>0.01</v>
      </c>
    </row>
    <row r="580" spans="1:36" x14ac:dyDescent="0.3">
      <c r="A580">
        <f>COUNTIF($D$2:D580,D580)</f>
        <v>1</v>
      </c>
      <c r="B580" t="str">
        <f t="shared" si="37"/>
        <v>1Derbyshire</v>
      </c>
      <c r="C580" t="s">
        <v>2296</v>
      </c>
      <c r="D580" t="s">
        <v>131</v>
      </c>
      <c r="E580">
        <v>1</v>
      </c>
      <c r="F580" t="s">
        <v>2297</v>
      </c>
      <c r="G580" t="s">
        <v>1453</v>
      </c>
      <c r="H580" t="s">
        <v>1454</v>
      </c>
      <c r="I580" t="s">
        <v>794</v>
      </c>
      <c r="J580">
        <f t="shared" ca="1" si="38"/>
        <v>650900.954982411</v>
      </c>
      <c r="K580">
        <f t="shared" ca="1" si="39"/>
        <v>0</v>
      </c>
      <c r="N580" t="str">
        <f t="shared" si="36"/>
        <v>Coventry19Discharge FundHome-based intermediate care servicesReablement at home (accepting step up and step down users)</v>
      </c>
      <c r="O580" t="s">
        <v>121</v>
      </c>
      <c r="P580" t="s">
        <v>1172</v>
      </c>
      <c r="Q580">
        <v>19</v>
      </c>
      <c r="R580" t="s">
        <v>1143</v>
      </c>
      <c r="S580" t="s">
        <v>2298</v>
      </c>
      <c r="T580" t="s">
        <v>787</v>
      </c>
      <c r="U580" t="s">
        <v>930</v>
      </c>
      <c r="W580">
        <v>939</v>
      </c>
      <c r="X580">
        <v>1536</v>
      </c>
      <c r="Y580" t="s">
        <v>789</v>
      </c>
      <c r="Z580" t="s">
        <v>792</v>
      </c>
      <c r="AB580" t="s">
        <v>793</v>
      </c>
      <c r="AD580" t="s">
        <v>794</v>
      </c>
      <c r="AE580" t="s">
        <v>804</v>
      </c>
      <c r="AF580" t="s">
        <v>864</v>
      </c>
      <c r="AG580" t="s">
        <v>797</v>
      </c>
      <c r="AH580">
        <v>1050001</v>
      </c>
      <c r="AI580">
        <v>1802500</v>
      </c>
      <c r="AJ580">
        <v>0.35</v>
      </c>
    </row>
    <row r="581" spans="1:36" x14ac:dyDescent="0.3">
      <c r="A581">
        <f>COUNTIF($D$2:D581,D581)</f>
        <v>2</v>
      </c>
      <c r="B581" t="str">
        <f t="shared" si="37"/>
        <v>2Derbyshire</v>
      </c>
      <c r="C581" t="s">
        <v>2299</v>
      </c>
      <c r="D581" t="s">
        <v>131</v>
      </c>
      <c r="E581">
        <v>3</v>
      </c>
      <c r="F581" t="s">
        <v>2300</v>
      </c>
      <c r="G581" t="s">
        <v>806</v>
      </c>
      <c r="H581" t="s">
        <v>807</v>
      </c>
      <c r="I581" t="s">
        <v>808</v>
      </c>
      <c r="J581">
        <f t="shared" ca="1" si="38"/>
        <v>9120964.0702210367</v>
      </c>
      <c r="K581">
        <f t="shared" ca="1" si="39"/>
        <v>200</v>
      </c>
      <c r="N581" t="str">
        <f t="shared" si="36"/>
        <v>Coventry19Discharge FundBed based intermediate Care Services (Reablement, rehabilitation, wider short-term services supporting recovery)Bed-based intermediate care with reablement accepting step up and step down users</v>
      </c>
      <c r="O581" t="s">
        <v>121</v>
      </c>
      <c r="P581" t="s">
        <v>1172</v>
      </c>
      <c r="Q581">
        <v>19</v>
      </c>
      <c r="R581" t="s">
        <v>1143</v>
      </c>
      <c r="S581" t="s">
        <v>2301</v>
      </c>
      <c r="T581" t="s">
        <v>877</v>
      </c>
      <c r="U581" t="s">
        <v>1259</v>
      </c>
      <c r="W581">
        <v>242</v>
      </c>
      <c r="X581">
        <v>372</v>
      </c>
      <c r="Y581" t="s">
        <v>879</v>
      </c>
      <c r="Z581" t="s">
        <v>792</v>
      </c>
      <c r="AB581" t="s">
        <v>793</v>
      </c>
      <c r="AD581" t="s">
        <v>794</v>
      </c>
      <c r="AE581" t="s">
        <v>795</v>
      </c>
      <c r="AF581" t="s">
        <v>864</v>
      </c>
      <c r="AG581" t="s">
        <v>797</v>
      </c>
      <c r="AH581">
        <v>875000</v>
      </c>
      <c r="AI581">
        <v>1411674</v>
      </c>
      <c r="AJ581">
        <v>0.2</v>
      </c>
    </row>
    <row r="582" spans="1:36" x14ac:dyDescent="0.3">
      <c r="A582">
        <f>COUNTIF($D$2:D582,D582)</f>
        <v>3</v>
      </c>
      <c r="B582" t="str">
        <f t="shared" si="37"/>
        <v>3Derbyshire</v>
      </c>
      <c r="C582" t="s">
        <v>2302</v>
      </c>
      <c r="D582" t="s">
        <v>131</v>
      </c>
      <c r="E582">
        <v>5</v>
      </c>
      <c r="F582" t="s">
        <v>2303</v>
      </c>
      <c r="G582" t="s">
        <v>1453</v>
      </c>
      <c r="H582" t="s">
        <v>1454</v>
      </c>
      <c r="I582" t="s">
        <v>794</v>
      </c>
      <c r="J582">
        <f t="shared" ca="1" si="38"/>
        <v>117451.86552377998</v>
      </c>
      <c r="K582">
        <f t="shared" ca="1" si="39"/>
        <v>0</v>
      </c>
      <c r="N582" t="str">
        <f t="shared" si="36"/>
        <v>Coventry19Discharge FundHome-based intermediate care servicesReablement at home (accepting step up and step down users)</v>
      </c>
      <c r="O582" t="s">
        <v>121</v>
      </c>
      <c r="P582" t="s">
        <v>1172</v>
      </c>
      <c r="Q582">
        <v>19</v>
      </c>
      <c r="R582" t="s">
        <v>1143</v>
      </c>
      <c r="S582" t="s">
        <v>2304</v>
      </c>
      <c r="T582" t="s">
        <v>787</v>
      </c>
      <c r="U582" t="s">
        <v>930</v>
      </c>
      <c r="W582">
        <v>9</v>
      </c>
      <c r="X582">
        <v>9</v>
      </c>
      <c r="Y582" t="s">
        <v>789</v>
      </c>
      <c r="Z582" t="s">
        <v>792</v>
      </c>
      <c r="AB582" t="s">
        <v>793</v>
      </c>
      <c r="AD582" t="s">
        <v>794</v>
      </c>
      <c r="AE582" t="s">
        <v>795</v>
      </c>
      <c r="AF582" t="s">
        <v>864</v>
      </c>
      <c r="AG582" t="s">
        <v>797</v>
      </c>
      <c r="AH582">
        <v>32000</v>
      </c>
      <c r="AI582">
        <v>32000</v>
      </c>
      <c r="AJ582">
        <v>1</v>
      </c>
    </row>
    <row r="583" spans="1:36" x14ac:dyDescent="0.3">
      <c r="A583">
        <f>COUNTIF($D$2:D583,D583)</f>
        <v>4</v>
      </c>
      <c r="B583" t="str">
        <f t="shared" si="37"/>
        <v>4Derbyshire</v>
      </c>
      <c r="C583" t="s">
        <v>2305</v>
      </c>
      <c r="D583" t="s">
        <v>131</v>
      </c>
      <c r="E583">
        <v>6</v>
      </c>
      <c r="F583" t="s">
        <v>2306</v>
      </c>
      <c r="G583" t="s">
        <v>1453</v>
      </c>
      <c r="H583" t="s">
        <v>1454</v>
      </c>
      <c r="I583" t="s">
        <v>794</v>
      </c>
      <c r="J583">
        <f t="shared" ca="1" si="38"/>
        <v>117451.86552377998</v>
      </c>
      <c r="K583">
        <f t="shared" ca="1" si="39"/>
        <v>0</v>
      </c>
      <c r="N583" t="str">
        <f t="shared" si="36"/>
        <v>Croydon4LIFE service - (Croydon Community SLA)Home-based intermediate care servicesRehabilitation at home (accepting step up and step down users)</v>
      </c>
      <c r="O583" t="s">
        <v>123</v>
      </c>
      <c r="P583" t="s">
        <v>790</v>
      </c>
      <c r="Q583">
        <v>4</v>
      </c>
      <c r="R583" t="s">
        <v>2111</v>
      </c>
      <c r="S583" t="s">
        <v>2307</v>
      </c>
      <c r="T583" t="s">
        <v>787</v>
      </c>
      <c r="U583" t="s">
        <v>1688</v>
      </c>
      <c r="W583">
        <v>113465</v>
      </c>
      <c r="X583">
        <v>115507</v>
      </c>
      <c r="Y583" t="s">
        <v>789</v>
      </c>
      <c r="Z583" t="s">
        <v>823</v>
      </c>
      <c r="AB583" t="s">
        <v>824</v>
      </c>
      <c r="AD583" t="s">
        <v>794</v>
      </c>
      <c r="AE583" t="s">
        <v>832</v>
      </c>
      <c r="AF583" t="s">
        <v>796</v>
      </c>
      <c r="AG583" t="s">
        <v>797</v>
      </c>
      <c r="AH583">
        <v>2178530</v>
      </c>
      <c r="AI583">
        <v>2217744</v>
      </c>
      <c r="AJ583">
        <v>1</v>
      </c>
    </row>
    <row r="584" spans="1:36" x14ac:dyDescent="0.3">
      <c r="A584">
        <f>COUNTIF($D$2:D584,D584)</f>
        <v>5</v>
      </c>
      <c r="B584" t="str">
        <f t="shared" si="37"/>
        <v>5Derbyshire</v>
      </c>
      <c r="C584" t="s">
        <v>2308</v>
      </c>
      <c r="D584" t="s">
        <v>131</v>
      </c>
      <c r="E584">
        <v>7</v>
      </c>
      <c r="F584" t="s">
        <v>2309</v>
      </c>
      <c r="G584" t="s">
        <v>1453</v>
      </c>
      <c r="H584" t="s">
        <v>1454</v>
      </c>
      <c r="I584" t="s">
        <v>794</v>
      </c>
      <c r="J584">
        <f t="shared" ca="1" si="38"/>
        <v>311358.58686900005</v>
      </c>
      <c r="K584">
        <f t="shared" ca="1" si="39"/>
        <v>0</v>
      </c>
      <c r="N584" t="str">
        <f t="shared" si="36"/>
        <v>Croydon5Intermediate Care Beds (Pathway 2 Rehab)Bed based intermediate Care Services (Reablement, rehabilitation, wider short-term services supporting recovery)Bed-based intermediate care with rehabilitation accepting step up and step down users</v>
      </c>
      <c r="O584" t="s">
        <v>123</v>
      </c>
      <c r="P584" t="s">
        <v>790</v>
      </c>
      <c r="Q584">
        <v>5</v>
      </c>
      <c r="R584" t="s">
        <v>2114</v>
      </c>
      <c r="S584" t="s">
        <v>2310</v>
      </c>
      <c r="T584" t="s">
        <v>877</v>
      </c>
      <c r="U584" t="s">
        <v>1015</v>
      </c>
      <c r="W584">
        <v>261</v>
      </c>
      <c r="X584">
        <v>442</v>
      </c>
      <c r="Y584" t="s">
        <v>879</v>
      </c>
      <c r="Z584" t="s">
        <v>823</v>
      </c>
      <c r="AB584" t="s">
        <v>824</v>
      </c>
      <c r="AD584" t="s">
        <v>794</v>
      </c>
      <c r="AE584" t="s">
        <v>804</v>
      </c>
      <c r="AF584" t="s">
        <v>796</v>
      </c>
      <c r="AG584" t="s">
        <v>797</v>
      </c>
      <c r="AH584">
        <v>663514</v>
      </c>
      <c r="AI584">
        <v>1121342</v>
      </c>
      <c r="AJ584">
        <v>0.94599999999999995</v>
      </c>
    </row>
    <row r="585" spans="1:36" x14ac:dyDescent="0.3">
      <c r="A585">
        <f>COUNTIF($D$2:D585,D585)</f>
        <v>6</v>
      </c>
      <c r="B585" t="str">
        <f t="shared" si="37"/>
        <v>6Derbyshire</v>
      </c>
      <c r="C585" t="s">
        <v>2311</v>
      </c>
      <c r="D585" t="s">
        <v>131</v>
      </c>
      <c r="E585">
        <v>8</v>
      </c>
      <c r="F585" t="s">
        <v>2312</v>
      </c>
      <c r="G585" t="s">
        <v>877</v>
      </c>
      <c r="H585" t="s">
        <v>878</v>
      </c>
      <c r="I585" t="s">
        <v>879</v>
      </c>
      <c r="J585">
        <f t="shared" ca="1" si="38"/>
        <v>5004766.1072392054</v>
      </c>
      <c r="K585">
        <f t="shared" ca="1" si="39"/>
        <v>707</v>
      </c>
      <c r="N585" t="str">
        <f t="shared" si="36"/>
        <v>Croydon12EOL Care Respite ServiceCarers ServicesRespite services</v>
      </c>
      <c r="O585" t="s">
        <v>123</v>
      </c>
      <c r="P585" t="s">
        <v>790</v>
      </c>
      <c r="Q585">
        <v>12</v>
      </c>
      <c r="R585" t="s">
        <v>2117</v>
      </c>
      <c r="S585" t="s">
        <v>2313</v>
      </c>
      <c r="T585" t="s">
        <v>811</v>
      </c>
      <c r="U585" t="s">
        <v>830</v>
      </c>
      <c r="W585">
        <v>22</v>
      </c>
      <c r="X585">
        <v>22</v>
      </c>
      <c r="Y585" t="s">
        <v>813</v>
      </c>
      <c r="Z585" t="s">
        <v>792</v>
      </c>
      <c r="AB585" t="s">
        <v>824</v>
      </c>
      <c r="AD585" t="s">
        <v>794</v>
      </c>
      <c r="AE585" t="s">
        <v>804</v>
      </c>
      <c r="AF585" t="s">
        <v>796</v>
      </c>
      <c r="AG585" t="s">
        <v>797</v>
      </c>
      <c r="AH585">
        <v>78211.413</v>
      </c>
      <c r="AI585">
        <v>79619.218429999994</v>
      </c>
      <c r="AJ585">
        <v>0.65400000000000003</v>
      </c>
    </row>
    <row r="586" spans="1:36" x14ac:dyDescent="0.3">
      <c r="A586">
        <f>COUNTIF($D$2:D586,D586)</f>
        <v>7</v>
      </c>
      <c r="B586" t="str">
        <f t="shared" si="37"/>
        <v>7Derbyshire</v>
      </c>
      <c r="C586" t="s">
        <v>2314</v>
      </c>
      <c r="D586" t="s">
        <v>131</v>
      </c>
      <c r="E586">
        <v>9</v>
      </c>
      <c r="F586" t="s">
        <v>2312</v>
      </c>
      <c r="G586" t="s">
        <v>877</v>
      </c>
      <c r="H586" t="s">
        <v>878</v>
      </c>
      <c r="I586" t="s">
        <v>879</v>
      </c>
      <c r="J586">
        <f t="shared" ca="1" si="38"/>
        <v>687862.44900000002</v>
      </c>
      <c r="K586">
        <f t="shared" ca="1" si="39"/>
        <v>70</v>
      </c>
      <c r="N586" t="str">
        <f t="shared" si="36"/>
        <v>Croydon30Mental Health packages of careHome Care or Domiciliary CareDomiciliary care to support hospital discharge (Discharge to Assess pathway 1)</v>
      </c>
      <c r="O586" t="s">
        <v>123</v>
      </c>
      <c r="P586" t="s">
        <v>790</v>
      </c>
      <c r="Q586">
        <v>30</v>
      </c>
      <c r="R586" t="s">
        <v>2120</v>
      </c>
      <c r="S586" t="s">
        <v>2315</v>
      </c>
      <c r="T586" t="s">
        <v>842</v>
      </c>
      <c r="U586" t="s">
        <v>856</v>
      </c>
      <c r="W586">
        <v>18148</v>
      </c>
      <c r="X586">
        <v>18148</v>
      </c>
      <c r="Y586" t="s">
        <v>844</v>
      </c>
      <c r="Z586" t="s">
        <v>792</v>
      </c>
      <c r="AB586" t="s">
        <v>793</v>
      </c>
      <c r="AD586" t="s">
        <v>794</v>
      </c>
      <c r="AE586" t="s">
        <v>795</v>
      </c>
      <c r="AF586" t="s">
        <v>796</v>
      </c>
      <c r="AG586" t="s">
        <v>797</v>
      </c>
      <c r="AH586">
        <v>347000</v>
      </c>
      <c r="AI586">
        <v>347000</v>
      </c>
      <c r="AJ586">
        <v>1.0999999999999999E-2</v>
      </c>
    </row>
    <row r="587" spans="1:36" x14ac:dyDescent="0.3">
      <c r="A587">
        <f>COUNTIF($D$2:D587,D587)</f>
        <v>8</v>
      </c>
      <c r="B587" t="str">
        <f t="shared" si="37"/>
        <v>8Derbyshire</v>
      </c>
      <c r="C587" t="s">
        <v>2316</v>
      </c>
      <c r="D587" t="s">
        <v>131</v>
      </c>
      <c r="E587">
        <v>10</v>
      </c>
      <c r="F587" t="s">
        <v>2317</v>
      </c>
      <c r="G587" t="s">
        <v>2031</v>
      </c>
      <c r="H587" t="s">
        <v>2318</v>
      </c>
      <c r="I587" t="s">
        <v>794</v>
      </c>
      <c r="J587">
        <f t="shared" ca="1" si="38"/>
        <v>1261845.046602</v>
      </c>
      <c r="K587">
        <f t="shared" ca="1" si="39"/>
        <v>0</v>
      </c>
      <c r="N587" t="str">
        <f t="shared" si="36"/>
        <v>Croydon31A&amp;E TriageHome Care or Domiciliary CareDomiciliary care to support hospital discharge (Discharge to Assess pathway 1)</v>
      </c>
      <c r="O587" t="s">
        <v>123</v>
      </c>
      <c r="P587" t="s">
        <v>790</v>
      </c>
      <c r="Q587">
        <v>31</v>
      </c>
      <c r="R587" t="s">
        <v>2123</v>
      </c>
      <c r="S587" t="s">
        <v>2319</v>
      </c>
      <c r="T587" t="s">
        <v>842</v>
      </c>
      <c r="U587" t="s">
        <v>856</v>
      </c>
      <c r="W587">
        <v>9466</v>
      </c>
      <c r="X587">
        <v>9466</v>
      </c>
      <c r="Y587" t="s">
        <v>844</v>
      </c>
      <c r="Z587" t="s">
        <v>792</v>
      </c>
      <c r="AB587" t="s">
        <v>793</v>
      </c>
      <c r="AD587" t="s">
        <v>794</v>
      </c>
      <c r="AE587" t="s">
        <v>795</v>
      </c>
      <c r="AF587" t="s">
        <v>796</v>
      </c>
      <c r="AG587" t="s">
        <v>797</v>
      </c>
      <c r="AH587">
        <v>181000</v>
      </c>
      <c r="AI587">
        <v>181000</v>
      </c>
      <c r="AJ587">
        <v>6.0000000000000001E-3</v>
      </c>
    </row>
    <row r="588" spans="1:36" x14ac:dyDescent="0.3">
      <c r="A588">
        <f>COUNTIF($D$2:D588,D588)</f>
        <v>9</v>
      </c>
      <c r="B588" t="str">
        <f t="shared" si="37"/>
        <v>9Derbyshire</v>
      </c>
      <c r="C588" t="s">
        <v>2320</v>
      </c>
      <c r="D588" t="s">
        <v>131</v>
      </c>
      <c r="E588">
        <v>11</v>
      </c>
      <c r="F588" t="s">
        <v>2321</v>
      </c>
      <c r="G588" t="s">
        <v>1453</v>
      </c>
      <c r="H588" t="s">
        <v>1454</v>
      </c>
      <c r="I588" t="s">
        <v>794</v>
      </c>
      <c r="J588">
        <f t="shared" ca="1" si="38"/>
        <v>462565.75476600009</v>
      </c>
      <c r="K588">
        <f t="shared" ca="1" si="39"/>
        <v>0</v>
      </c>
      <c r="N588" t="str">
        <f t="shared" si="36"/>
        <v>Croydon32Hospital DIschargeHome Care or Domiciliary CareDomiciliary care to support hospital discharge (Discharge to Assess pathway 1)</v>
      </c>
      <c r="O588" t="s">
        <v>123</v>
      </c>
      <c r="P588" t="s">
        <v>790</v>
      </c>
      <c r="Q588">
        <v>32</v>
      </c>
      <c r="R588" t="s">
        <v>2126</v>
      </c>
      <c r="S588" t="s">
        <v>2322</v>
      </c>
      <c r="T588" t="s">
        <v>842</v>
      </c>
      <c r="U588" t="s">
        <v>856</v>
      </c>
      <c r="W588">
        <v>9466</v>
      </c>
      <c r="X588">
        <v>9466</v>
      </c>
      <c r="Y588" t="s">
        <v>844</v>
      </c>
      <c r="Z588" t="s">
        <v>792</v>
      </c>
      <c r="AB588" t="s">
        <v>793</v>
      </c>
      <c r="AD588" t="s">
        <v>794</v>
      </c>
      <c r="AE588" t="s">
        <v>825</v>
      </c>
      <c r="AF588" t="s">
        <v>796</v>
      </c>
      <c r="AG588" t="s">
        <v>797</v>
      </c>
      <c r="AH588">
        <v>117000</v>
      </c>
      <c r="AI588">
        <v>117000</v>
      </c>
      <c r="AJ588">
        <v>4.0000000000000001E-3</v>
      </c>
    </row>
    <row r="589" spans="1:36" x14ac:dyDescent="0.3">
      <c r="A589">
        <f>COUNTIF($D$2:D589,D589)</f>
        <v>10</v>
      </c>
      <c r="B589" t="str">
        <f t="shared" si="37"/>
        <v>10Derbyshire</v>
      </c>
      <c r="C589" t="s">
        <v>2323</v>
      </c>
      <c r="D589" t="s">
        <v>131</v>
      </c>
      <c r="E589">
        <v>12</v>
      </c>
      <c r="F589" t="s">
        <v>2324</v>
      </c>
      <c r="G589" t="s">
        <v>800</v>
      </c>
      <c r="H589" t="s">
        <v>850</v>
      </c>
      <c r="I589" t="s">
        <v>802</v>
      </c>
      <c r="J589">
        <f t="shared" ca="1" si="38"/>
        <v>782035.37591219996</v>
      </c>
      <c r="K589">
        <f t="shared" ca="1" si="39"/>
        <v>0</v>
      </c>
      <c r="N589" t="str">
        <f t="shared" si="36"/>
        <v>Croydon35Prevent return to acute/ Care HomeHome Care or Domiciliary CareDomiciliary care packages</v>
      </c>
      <c r="O589" t="s">
        <v>123</v>
      </c>
      <c r="P589" t="s">
        <v>790</v>
      </c>
      <c r="Q589">
        <v>35</v>
      </c>
      <c r="R589" t="s">
        <v>2129</v>
      </c>
      <c r="S589" t="s">
        <v>2325</v>
      </c>
      <c r="T589" t="s">
        <v>842</v>
      </c>
      <c r="U589" t="s">
        <v>843</v>
      </c>
      <c r="W589">
        <v>28713</v>
      </c>
      <c r="X589">
        <v>28713</v>
      </c>
      <c r="Y589" t="s">
        <v>844</v>
      </c>
      <c r="Z589" t="s">
        <v>792</v>
      </c>
      <c r="AB589" t="s">
        <v>793</v>
      </c>
      <c r="AD589" t="s">
        <v>794</v>
      </c>
      <c r="AE589" t="s">
        <v>804</v>
      </c>
      <c r="AF589" t="s">
        <v>796</v>
      </c>
      <c r="AG589" t="s">
        <v>797</v>
      </c>
      <c r="AH589">
        <v>549000</v>
      </c>
      <c r="AI589">
        <v>549000</v>
      </c>
      <c r="AJ589">
        <v>1.7000000000000001E-2</v>
      </c>
    </row>
    <row r="590" spans="1:36" x14ac:dyDescent="0.3">
      <c r="A590">
        <f>COUNTIF($D$2:D590,D590)</f>
        <v>11</v>
      </c>
      <c r="B590" t="str">
        <f t="shared" si="37"/>
        <v>11Derbyshire</v>
      </c>
      <c r="C590" t="s">
        <v>2326</v>
      </c>
      <c r="D590" t="s">
        <v>131</v>
      </c>
      <c r="E590">
        <v>15</v>
      </c>
      <c r="F590" t="s">
        <v>1250</v>
      </c>
      <c r="G590" t="s">
        <v>811</v>
      </c>
      <c r="H590" t="s">
        <v>895</v>
      </c>
      <c r="I590" t="s">
        <v>813</v>
      </c>
      <c r="J590">
        <f t="shared" ca="1" si="38"/>
        <v>2464407.6524236077</v>
      </c>
      <c r="K590">
        <f t="shared" ca="1" si="39"/>
        <v>20000</v>
      </c>
      <c r="N590" t="str">
        <f t="shared" si="36"/>
        <v>Croydon39Specialist Equipment eg Telehealth / TelecareAssistive Technologies and EquipmentAssistive technologies including telecare</v>
      </c>
      <c r="O590" t="s">
        <v>123</v>
      </c>
      <c r="P590" t="s">
        <v>790</v>
      </c>
      <c r="Q590">
        <v>39</v>
      </c>
      <c r="R590" t="s">
        <v>2132</v>
      </c>
      <c r="S590" t="s">
        <v>2327</v>
      </c>
      <c r="T590" t="s">
        <v>800</v>
      </c>
      <c r="U590" t="s">
        <v>850</v>
      </c>
      <c r="W590">
        <v>489</v>
      </c>
      <c r="X590">
        <v>489</v>
      </c>
      <c r="Y590" t="s">
        <v>802</v>
      </c>
      <c r="Z590" t="s">
        <v>792</v>
      </c>
      <c r="AB590" t="s">
        <v>793</v>
      </c>
      <c r="AD590" t="s">
        <v>794</v>
      </c>
      <c r="AE590" t="s">
        <v>795</v>
      </c>
      <c r="AF590" t="s">
        <v>796</v>
      </c>
      <c r="AG590" t="s">
        <v>797</v>
      </c>
      <c r="AH590">
        <v>205000</v>
      </c>
      <c r="AI590">
        <v>205000</v>
      </c>
      <c r="AJ590">
        <v>2.5999999999999999E-2</v>
      </c>
    </row>
    <row r="591" spans="1:36" x14ac:dyDescent="0.3">
      <c r="A591">
        <f>COUNTIF($D$2:D591,D591)</f>
        <v>12</v>
      </c>
      <c r="B591" t="str">
        <f t="shared" si="37"/>
        <v>12Derbyshire</v>
      </c>
      <c r="C591" t="s">
        <v>2328</v>
      </c>
      <c r="D591" t="s">
        <v>131</v>
      </c>
      <c r="E591">
        <v>19</v>
      </c>
      <c r="F591" t="s">
        <v>2329</v>
      </c>
      <c r="G591" t="s">
        <v>1453</v>
      </c>
      <c r="H591" t="s">
        <v>1454</v>
      </c>
      <c r="I591" t="s">
        <v>794</v>
      </c>
      <c r="J591">
        <f t="shared" ca="1" si="38"/>
        <v>747239.19914923212</v>
      </c>
      <c r="K591">
        <f t="shared" ca="1" si="39"/>
        <v>0</v>
      </c>
      <c r="N591" t="str">
        <f t="shared" si="36"/>
        <v>Croydon41Demographic pressures - package of careHome Care or Domiciliary CareDomiciliary care packages</v>
      </c>
      <c r="O591" t="s">
        <v>123</v>
      </c>
      <c r="P591" t="s">
        <v>790</v>
      </c>
      <c r="Q591">
        <v>41</v>
      </c>
      <c r="R591" t="s">
        <v>2135</v>
      </c>
      <c r="S591" t="s">
        <v>2330</v>
      </c>
      <c r="T591" t="s">
        <v>842</v>
      </c>
      <c r="U591" t="s">
        <v>843</v>
      </c>
      <c r="W591">
        <v>124790</v>
      </c>
      <c r="X591">
        <v>124790</v>
      </c>
      <c r="Y591" t="s">
        <v>844</v>
      </c>
      <c r="Z591" t="s">
        <v>792</v>
      </c>
      <c r="AB591" t="s">
        <v>793</v>
      </c>
      <c r="AD591" t="s">
        <v>794</v>
      </c>
      <c r="AE591" t="s">
        <v>804</v>
      </c>
      <c r="AF591" t="s">
        <v>796</v>
      </c>
      <c r="AG591" t="s">
        <v>797</v>
      </c>
      <c r="AH591">
        <v>2386000</v>
      </c>
      <c r="AI591">
        <v>2386000</v>
      </c>
      <c r="AJ591">
        <v>7.2999999999999995E-2</v>
      </c>
    </row>
    <row r="592" spans="1:36" x14ac:dyDescent="0.3">
      <c r="A592">
        <f>COUNTIF($D$2:D592,D592)</f>
        <v>13</v>
      </c>
      <c r="B592" t="str">
        <f t="shared" si="37"/>
        <v>13Derbyshire</v>
      </c>
      <c r="C592" t="s">
        <v>2331</v>
      </c>
      <c r="D592" t="s">
        <v>131</v>
      </c>
      <c r="F592" t="s">
        <v>2332</v>
      </c>
      <c r="G592" t="s">
        <v>842</v>
      </c>
      <c r="H592" t="s">
        <v>856</v>
      </c>
      <c r="I592" t="s">
        <v>844</v>
      </c>
      <c r="J592">
        <f t="shared" ca="1" si="38"/>
        <v>2216690</v>
      </c>
      <c r="K592">
        <f t="shared" ca="1" si="39"/>
        <v>30660</v>
      </c>
      <c r="N592" t="str">
        <f t="shared" si="36"/>
        <v>Croydon43Social care pressuresResidential PlacementsCare home</v>
      </c>
      <c r="O592" t="s">
        <v>123</v>
      </c>
      <c r="P592" t="s">
        <v>790</v>
      </c>
      <c r="Q592">
        <v>43</v>
      </c>
      <c r="R592" t="s">
        <v>2138</v>
      </c>
      <c r="S592" t="s">
        <v>2333</v>
      </c>
      <c r="T592" t="s">
        <v>806</v>
      </c>
      <c r="U592" t="s">
        <v>807</v>
      </c>
      <c r="W592">
        <v>27</v>
      </c>
      <c r="X592">
        <v>27</v>
      </c>
      <c r="Y592" t="s">
        <v>808</v>
      </c>
      <c r="Z592" t="s">
        <v>792</v>
      </c>
      <c r="AB592" t="s">
        <v>793</v>
      </c>
      <c r="AD592" t="s">
        <v>794</v>
      </c>
      <c r="AE592" t="s">
        <v>804</v>
      </c>
      <c r="AF592" t="s">
        <v>796</v>
      </c>
      <c r="AG592" t="s">
        <v>797</v>
      </c>
      <c r="AH592">
        <v>1273000</v>
      </c>
      <c r="AI592">
        <v>1273000</v>
      </c>
      <c r="AJ592">
        <v>1.0999999999999999E-2</v>
      </c>
    </row>
    <row r="593" spans="1:36" x14ac:dyDescent="0.3">
      <c r="A593">
        <f>COUNTIF($D$2:D593,D593)</f>
        <v>14</v>
      </c>
      <c r="B593" t="str">
        <f t="shared" si="37"/>
        <v>14Derbyshire</v>
      </c>
      <c r="C593" t="s">
        <v>2334</v>
      </c>
      <c r="D593" t="s">
        <v>131</v>
      </c>
      <c r="E593">
        <v>11</v>
      </c>
      <c r="F593" t="s">
        <v>2335</v>
      </c>
      <c r="G593" t="s">
        <v>877</v>
      </c>
      <c r="H593" t="s">
        <v>968</v>
      </c>
      <c r="I593" t="s">
        <v>879</v>
      </c>
      <c r="J593">
        <f t="shared" ca="1" si="38"/>
        <v>300000</v>
      </c>
      <c r="K593">
        <f t="shared" ca="1" si="39"/>
        <v>130</v>
      </c>
      <c r="N593" t="str">
        <f t="shared" si="36"/>
        <v>Croydon44Social Care (Careline)Assistive Technologies and EquipmentAssistive technologies including telecare</v>
      </c>
      <c r="O593" t="s">
        <v>123</v>
      </c>
      <c r="P593" t="s">
        <v>790</v>
      </c>
      <c r="Q593">
        <v>44</v>
      </c>
      <c r="R593" t="s">
        <v>2141</v>
      </c>
      <c r="S593" t="s">
        <v>2336</v>
      </c>
      <c r="T593" t="s">
        <v>800</v>
      </c>
      <c r="U593" t="s">
        <v>850</v>
      </c>
      <c r="W593">
        <v>374</v>
      </c>
      <c r="X593">
        <v>374</v>
      </c>
      <c r="Y593" t="s">
        <v>802</v>
      </c>
      <c r="Z593" t="s">
        <v>792</v>
      </c>
      <c r="AB593" t="s">
        <v>793</v>
      </c>
      <c r="AD593" t="s">
        <v>794</v>
      </c>
      <c r="AE593" t="s">
        <v>795</v>
      </c>
      <c r="AF593" t="s">
        <v>796</v>
      </c>
      <c r="AG593" t="s">
        <v>797</v>
      </c>
      <c r="AH593">
        <v>241000</v>
      </c>
      <c r="AI593">
        <v>241000</v>
      </c>
      <c r="AJ593">
        <v>3.1E-2</v>
      </c>
    </row>
    <row r="594" spans="1:36" x14ac:dyDescent="0.3">
      <c r="A594">
        <f>COUNTIF($D$2:D594,D594)</f>
        <v>15</v>
      </c>
      <c r="B594" t="str">
        <f t="shared" si="37"/>
        <v>15Derbyshire</v>
      </c>
      <c r="C594" t="s">
        <v>2337</v>
      </c>
      <c r="D594" t="s">
        <v>131</v>
      </c>
      <c r="E594">
        <v>11</v>
      </c>
      <c r="F594" t="s">
        <v>2338</v>
      </c>
      <c r="G594" t="s">
        <v>806</v>
      </c>
      <c r="H594" t="s">
        <v>2339</v>
      </c>
      <c r="I594" t="s">
        <v>794</v>
      </c>
      <c r="J594">
        <f t="shared" ca="1" si="38"/>
        <v>1291700</v>
      </c>
      <c r="K594">
        <f t="shared" ca="1" si="39"/>
        <v>360</v>
      </c>
      <c r="N594" t="str">
        <f t="shared" si="36"/>
        <v>Croydon46Packages of CareHome Care or Domiciliary CareDomiciliary care packages</v>
      </c>
      <c r="O594" t="s">
        <v>123</v>
      </c>
      <c r="P594" t="s">
        <v>790</v>
      </c>
      <c r="Q594">
        <v>46</v>
      </c>
      <c r="R594" t="s">
        <v>2145</v>
      </c>
      <c r="S594" t="s">
        <v>2340</v>
      </c>
      <c r="T594" t="s">
        <v>842</v>
      </c>
      <c r="U594" t="s">
        <v>843</v>
      </c>
      <c r="W594">
        <v>74642</v>
      </c>
      <c r="X594">
        <v>74642</v>
      </c>
      <c r="Y594" t="s">
        <v>844</v>
      </c>
      <c r="Z594" t="s">
        <v>792</v>
      </c>
      <c r="AB594" t="s">
        <v>793</v>
      </c>
      <c r="AD594" t="s">
        <v>794</v>
      </c>
      <c r="AE594" t="s">
        <v>804</v>
      </c>
      <c r="AF594" t="s">
        <v>845</v>
      </c>
      <c r="AG594" t="s">
        <v>797</v>
      </c>
      <c r="AH594">
        <v>1427171</v>
      </c>
      <c r="AI594">
        <v>1427171</v>
      </c>
      <c r="AJ594">
        <v>4.2999999999999997E-2</v>
      </c>
    </row>
    <row r="595" spans="1:36" x14ac:dyDescent="0.3">
      <c r="A595">
        <f>COUNTIF($D$2:D595,D595)</f>
        <v>16</v>
      </c>
      <c r="B595" t="str">
        <f t="shared" si="37"/>
        <v>16Derbyshire</v>
      </c>
      <c r="C595" t="s">
        <v>2341</v>
      </c>
      <c r="D595" t="s">
        <v>131</v>
      </c>
      <c r="E595">
        <v>12</v>
      </c>
      <c r="F595" t="s">
        <v>2342</v>
      </c>
      <c r="G595" t="s">
        <v>842</v>
      </c>
      <c r="H595" t="s">
        <v>856</v>
      </c>
      <c r="I595" t="s">
        <v>844</v>
      </c>
      <c r="J595">
        <f t="shared" ca="1" si="38"/>
        <v>1258282</v>
      </c>
      <c r="K595">
        <f t="shared" ca="1" si="39"/>
        <v>52000</v>
      </c>
      <c r="N595" t="str">
        <f t="shared" si="36"/>
        <v>Croydon47BCF Basline LIFEHome Care or Domiciliary CareDomiciliary care to support hospital discharge (Discharge to Assess pathway 1)</v>
      </c>
      <c r="O595" t="s">
        <v>123</v>
      </c>
      <c r="P595" t="s">
        <v>790</v>
      </c>
      <c r="Q595">
        <v>47</v>
      </c>
      <c r="R595" t="s">
        <v>2149</v>
      </c>
      <c r="S595" t="s">
        <v>2343</v>
      </c>
      <c r="T595" t="s">
        <v>842</v>
      </c>
      <c r="U595" t="s">
        <v>856</v>
      </c>
      <c r="W595">
        <v>26569</v>
      </c>
      <c r="X595">
        <v>26569</v>
      </c>
      <c r="Y595" t="s">
        <v>844</v>
      </c>
      <c r="Z595" t="s">
        <v>792</v>
      </c>
      <c r="AB595" t="s">
        <v>793</v>
      </c>
      <c r="AD595" t="s">
        <v>794</v>
      </c>
      <c r="AE595" t="s">
        <v>804</v>
      </c>
      <c r="AF595" t="s">
        <v>796</v>
      </c>
      <c r="AG595" t="s">
        <v>797</v>
      </c>
      <c r="AH595">
        <v>508000</v>
      </c>
      <c r="AI595">
        <v>508000</v>
      </c>
      <c r="AJ595">
        <v>1.4999999999999999E-2</v>
      </c>
    </row>
    <row r="596" spans="1:36" x14ac:dyDescent="0.3">
      <c r="A596">
        <f>COUNTIF($D$2:D596,D596)</f>
        <v>17</v>
      </c>
      <c r="B596" t="str">
        <f t="shared" si="37"/>
        <v>17Derbyshire</v>
      </c>
      <c r="C596" t="s">
        <v>2344</v>
      </c>
      <c r="D596" t="s">
        <v>131</v>
      </c>
      <c r="F596" t="s">
        <v>2338</v>
      </c>
      <c r="G596" t="s">
        <v>787</v>
      </c>
      <c r="H596" t="s">
        <v>1688</v>
      </c>
      <c r="I596" t="s">
        <v>789</v>
      </c>
      <c r="J596">
        <f t="shared" ca="1" si="38"/>
        <v>410000</v>
      </c>
      <c r="K596">
        <f t="shared" ca="1" si="39"/>
        <v>182</v>
      </c>
      <c r="N596" t="str">
        <f t="shared" si="36"/>
        <v>Croydon48DFGDFG Related SchemesAdaptations, including statutory DFG grants</v>
      </c>
      <c r="O596" t="s">
        <v>123</v>
      </c>
      <c r="P596" t="s">
        <v>790</v>
      </c>
      <c r="Q596">
        <v>48</v>
      </c>
      <c r="R596" t="s">
        <v>840</v>
      </c>
      <c r="S596" t="s">
        <v>2345</v>
      </c>
      <c r="T596" t="s">
        <v>834</v>
      </c>
      <c r="U596" t="s">
        <v>835</v>
      </c>
      <c r="W596">
        <v>190</v>
      </c>
      <c r="X596">
        <v>190</v>
      </c>
      <c r="Y596" t="s">
        <v>836</v>
      </c>
      <c r="Z596" t="s">
        <v>792</v>
      </c>
      <c r="AB596" t="s">
        <v>793</v>
      </c>
      <c r="AD596" t="s">
        <v>794</v>
      </c>
      <c r="AE596" t="s">
        <v>804</v>
      </c>
      <c r="AF596" t="s">
        <v>840</v>
      </c>
      <c r="AG596" t="s">
        <v>797</v>
      </c>
      <c r="AH596">
        <v>2992679</v>
      </c>
      <c r="AI596">
        <v>2992679</v>
      </c>
      <c r="AJ596">
        <v>1</v>
      </c>
    </row>
    <row r="597" spans="1:36" x14ac:dyDescent="0.3">
      <c r="A597">
        <f>COUNTIF($D$2:D597,D597)</f>
        <v>1</v>
      </c>
      <c r="B597" t="str">
        <f t="shared" si="37"/>
        <v>1Devon</v>
      </c>
      <c r="C597" t="s">
        <v>2346</v>
      </c>
      <c r="D597" t="s">
        <v>133</v>
      </c>
      <c r="E597">
        <v>1</v>
      </c>
      <c r="F597" t="s">
        <v>2347</v>
      </c>
      <c r="G597" t="s">
        <v>800</v>
      </c>
      <c r="H597" t="s">
        <v>850</v>
      </c>
      <c r="I597" t="s">
        <v>802</v>
      </c>
      <c r="J597">
        <f t="shared" ca="1" si="38"/>
        <v>392000</v>
      </c>
      <c r="K597">
        <f t="shared" ca="1" si="39"/>
        <v>1177</v>
      </c>
      <c r="N597" t="str">
        <f t="shared" si="36"/>
        <v>Croydon49Discharge to AssessResidential PlacementsCare home</v>
      </c>
      <c r="O597" t="s">
        <v>123</v>
      </c>
      <c r="P597" t="s">
        <v>790</v>
      </c>
      <c r="Q597">
        <v>49</v>
      </c>
      <c r="R597" t="s">
        <v>1786</v>
      </c>
      <c r="S597" t="s">
        <v>2348</v>
      </c>
      <c r="T597" t="s">
        <v>806</v>
      </c>
      <c r="U597" t="s">
        <v>807</v>
      </c>
      <c r="W597">
        <v>41</v>
      </c>
      <c r="X597">
        <v>64</v>
      </c>
      <c r="Y597" t="s">
        <v>808</v>
      </c>
      <c r="Z597" t="s">
        <v>792</v>
      </c>
      <c r="AB597" t="s">
        <v>793</v>
      </c>
      <c r="AD597" t="s">
        <v>794</v>
      </c>
      <c r="AE597" t="s">
        <v>804</v>
      </c>
      <c r="AF597" t="s">
        <v>796</v>
      </c>
      <c r="AG597" t="s">
        <v>797</v>
      </c>
      <c r="AH597">
        <v>165633</v>
      </c>
      <c r="AI597">
        <v>256187</v>
      </c>
      <c r="AJ597">
        <v>2E-3</v>
      </c>
    </row>
    <row r="598" spans="1:36" x14ac:dyDescent="0.3">
      <c r="A598">
        <f>COUNTIF($D$2:D598,D598)</f>
        <v>2</v>
      </c>
      <c r="B598" t="str">
        <f t="shared" si="37"/>
        <v>2Devon</v>
      </c>
      <c r="C598" t="s">
        <v>2349</v>
      </c>
      <c r="D598" t="s">
        <v>133</v>
      </c>
      <c r="E598">
        <v>2</v>
      </c>
      <c r="F598" t="s">
        <v>2350</v>
      </c>
      <c r="G598" t="s">
        <v>811</v>
      </c>
      <c r="H598" t="s">
        <v>895</v>
      </c>
      <c r="I598" t="s">
        <v>813</v>
      </c>
      <c r="J598">
        <f t="shared" ca="1" si="38"/>
        <v>10000</v>
      </c>
      <c r="K598">
        <f t="shared" ca="1" si="39"/>
        <v>69</v>
      </c>
      <c r="N598" t="str">
        <f t="shared" si="36"/>
        <v>Croydon54Residential PlacementsResidential PlacementsCare home</v>
      </c>
      <c r="O598" t="s">
        <v>123</v>
      </c>
      <c r="P598" t="s">
        <v>790</v>
      </c>
      <c r="Q598">
        <v>54</v>
      </c>
      <c r="R598" t="s">
        <v>806</v>
      </c>
      <c r="S598" t="s">
        <v>2351</v>
      </c>
      <c r="T598" t="s">
        <v>806</v>
      </c>
      <c r="U598" t="s">
        <v>807</v>
      </c>
      <c r="W598">
        <v>3065</v>
      </c>
      <c r="X598">
        <v>3065</v>
      </c>
      <c r="Y598" t="s">
        <v>808</v>
      </c>
      <c r="Z598" t="s">
        <v>792</v>
      </c>
      <c r="AB598" t="s">
        <v>793</v>
      </c>
      <c r="AD598" t="s">
        <v>794</v>
      </c>
      <c r="AE598" t="s">
        <v>804</v>
      </c>
      <c r="AF598" t="s">
        <v>845</v>
      </c>
      <c r="AG598" t="s">
        <v>797</v>
      </c>
      <c r="AH598">
        <v>2829345</v>
      </c>
      <c r="AI598">
        <v>2829345</v>
      </c>
      <c r="AJ598">
        <v>6.4000000000000001E-2</v>
      </c>
    </row>
    <row r="599" spans="1:36" x14ac:dyDescent="0.3">
      <c r="A599">
        <f>COUNTIF($D$2:D599,D599)</f>
        <v>3</v>
      </c>
      <c r="B599" t="str">
        <f t="shared" si="37"/>
        <v>3Devon</v>
      </c>
      <c r="C599" t="s">
        <v>2352</v>
      </c>
      <c r="D599" t="s">
        <v>133</v>
      </c>
      <c r="E599">
        <v>4</v>
      </c>
      <c r="F599" t="s">
        <v>1250</v>
      </c>
      <c r="G599" t="s">
        <v>811</v>
      </c>
      <c r="H599" t="s">
        <v>812</v>
      </c>
      <c r="I599" t="s">
        <v>813</v>
      </c>
      <c r="J599">
        <f t="shared" ca="1" si="38"/>
        <v>2398600</v>
      </c>
      <c r="K599">
        <f t="shared" ca="1" si="39"/>
        <v>16561</v>
      </c>
      <c r="N599" t="str">
        <f t="shared" si="36"/>
        <v>Croydon55Residential PlacementsResidential PlacementsNursing home</v>
      </c>
      <c r="O599" t="s">
        <v>123</v>
      </c>
      <c r="P599" t="s">
        <v>790</v>
      </c>
      <c r="Q599">
        <v>55</v>
      </c>
      <c r="R599" t="s">
        <v>806</v>
      </c>
      <c r="S599" t="s">
        <v>2340</v>
      </c>
      <c r="T599" t="s">
        <v>806</v>
      </c>
      <c r="U599" t="s">
        <v>917</v>
      </c>
      <c r="W599">
        <v>940</v>
      </c>
      <c r="X599">
        <v>940</v>
      </c>
      <c r="Y599" t="s">
        <v>808</v>
      </c>
      <c r="Z599" t="s">
        <v>792</v>
      </c>
      <c r="AB599" t="s">
        <v>793</v>
      </c>
      <c r="AD599" t="s">
        <v>794</v>
      </c>
      <c r="AE599" t="s">
        <v>804</v>
      </c>
      <c r="AF599" t="s">
        <v>845</v>
      </c>
      <c r="AG599" t="s">
        <v>797</v>
      </c>
      <c r="AH599">
        <v>1128597</v>
      </c>
      <c r="AI599">
        <v>1128597</v>
      </c>
      <c r="AJ599">
        <v>3.4000000000000002E-2</v>
      </c>
    </row>
    <row r="600" spans="1:36" x14ac:dyDescent="0.3">
      <c r="A600">
        <f>COUNTIF($D$2:D600,D600)</f>
        <v>4</v>
      </c>
      <c r="B600" t="str">
        <f t="shared" si="37"/>
        <v>4Devon</v>
      </c>
      <c r="C600" t="s">
        <v>2353</v>
      </c>
      <c r="D600" t="s">
        <v>133</v>
      </c>
      <c r="E600">
        <v>4</v>
      </c>
      <c r="F600" t="s">
        <v>1250</v>
      </c>
      <c r="G600" t="s">
        <v>811</v>
      </c>
      <c r="H600" t="s">
        <v>2205</v>
      </c>
      <c r="I600" t="s">
        <v>813</v>
      </c>
      <c r="J600">
        <f t="shared" ca="1" si="38"/>
        <v>1499400</v>
      </c>
      <c r="K600">
        <f t="shared" ca="1" si="39"/>
        <v>10353</v>
      </c>
      <c r="N600" t="str">
        <f t="shared" si="36"/>
        <v>Croydon56Supported LivingResidential PlacementsSupported housing</v>
      </c>
      <c r="O600" t="s">
        <v>123</v>
      </c>
      <c r="P600" t="s">
        <v>790</v>
      </c>
      <c r="Q600">
        <v>56</v>
      </c>
      <c r="R600" t="s">
        <v>872</v>
      </c>
      <c r="S600" t="s">
        <v>2354</v>
      </c>
      <c r="T600" t="s">
        <v>806</v>
      </c>
      <c r="U600" t="s">
        <v>873</v>
      </c>
      <c r="W600">
        <v>23</v>
      </c>
      <c r="X600">
        <v>23</v>
      </c>
      <c r="Y600" t="s">
        <v>808</v>
      </c>
      <c r="Z600" t="s">
        <v>792</v>
      </c>
      <c r="AB600" t="s">
        <v>793</v>
      </c>
      <c r="AD600" t="s">
        <v>794</v>
      </c>
      <c r="AE600" t="s">
        <v>804</v>
      </c>
      <c r="AF600" t="s">
        <v>845</v>
      </c>
      <c r="AG600" t="s">
        <v>797</v>
      </c>
      <c r="AH600">
        <v>1166987</v>
      </c>
      <c r="AI600">
        <v>1166987</v>
      </c>
      <c r="AJ600">
        <v>0.01</v>
      </c>
    </row>
    <row r="601" spans="1:36" x14ac:dyDescent="0.3">
      <c r="A601">
        <f>COUNTIF($D$2:D601,D601)</f>
        <v>5</v>
      </c>
      <c r="B601" t="str">
        <f t="shared" si="37"/>
        <v>5Devon</v>
      </c>
      <c r="C601" t="s">
        <v>2355</v>
      </c>
      <c r="D601" t="s">
        <v>133</v>
      </c>
      <c r="E601">
        <v>13</v>
      </c>
      <c r="F601" t="s">
        <v>891</v>
      </c>
      <c r="G601" t="s">
        <v>834</v>
      </c>
      <c r="H601" t="s">
        <v>835</v>
      </c>
      <c r="I601" t="s">
        <v>836</v>
      </c>
      <c r="J601">
        <f t="shared" ca="1" si="38"/>
        <v>7726923</v>
      </c>
      <c r="K601">
        <f t="shared" ca="1" si="39"/>
        <v>1338</v>
      </c>
      <c r="N601" t="str">
        <f t="shared" si="36"/>
        <v>Croydon59Equipment for dishcarge to assessAssistive Technologies and EquipmentCommunity based equipment</v>
      </c>
      <c r="O601" t="s">
        <v>123</v>
      </c>
      <c r="P601" t="s">
        <v>790</v>
      </c>
      <c r="Q601">
        <v>59</v>
      </c>
      <c r="R601" t="s">
        <v>2162</v>
      </c>
      <c r="S601" t="s">
        <v>2356</v>
      </c>
      <c r="T601" t="s">
        <v>800</v>
      </c>
      <c r="U601" t="s">
        <v>903</v>
      </c>
      <c r="W601">
        <v>10336</v>
      </c>
      <c r="X601">
        <v>10336</v>
      </c>
      <c r="Y601" t="s">
        <v>802</v>
      </c>
      <c r="Z601" t="s">
        <v>792</v>
      </c>
      <c r="AB601" t="s">
        <v>793</v>
      </c>
      <c r="AD601" t="s">
        <v>794</v>
      </c>
      <c r="AE601" t="s">
        <v>795</v>
      </c>
      <c r="AF601" t="s">
        <v>796</v>
      </c>
      <c r="AG601" t="s">
        <v>797</v>
      </c>
      <c r="AH601">
        <v>256953</v>
      </c>
      <c r="AI601">
        <v>397434</v>
      </c>
      <c r="AJ601">
        <v>4.2000000000000003E-2</v>
      </c>
    </row>
    <row r="602" spans="1:36" x14ac:dyDescent="0.3">
      <c r="A602">
        <f>COUNTIF($D$2:D602,D602)</f>
        <v>6</v>
      </c>
      <c r="B602" t="str">
        <f t="shared" si="37"/>
        <v>6Devon</v>
      </c>
      <c r="C602" t="s">
        <v>2357</v>
      </c>
      <c r="D602" t="s">
        <v>133</v>
      </c>
      <c r="E602">
        <v>16</v>
      </c>
      <c r="F602" t="s">
        <v>2358</v>
      </c>
      <c r="G602" t="s">
        <v>800</v>
      </c>
      <c r="H602" t="s">
        <v>903</v>
      </c>
      <c r="I602" t="s">
        <v>802</v>
      </c>
      <c r="J602">
        <f t="shared" ca="1" si="38"/>
        <v>7195049</v>
      </c>
      <c r="K602">
        <f t="shared" ca="1" si="39"/>
        <v>21611</v>
      </c>
      <c r="N602" t="str">
        <f t="shared" si="36"/>
        <v>Croydon61discharge to assess placementsResidential PlacementsSupported housing</v>
      </c>
      <c r="O602" t="s">
        <v>123</v>
      </c>
      <c r="P602" t="s">
        <v>790</v>
      </c>
      <c r="Q602">
        <v>61</v>
      </c>
      <c r="R602" t="s">
        <v>2165</v>
      </c>
      <c r="S602" t="s">
        <v>2359</v>
      </c>
      <c r="T602" t="s">
        <v>806</v>
      </c>
      <c r="U602" t="s">
        <v>873</v>
      </c>
      <c r="W602">
        <v>5</v>
      </c>
      <c r="X602">
        <v>8</v>
      </c>
      <c r="Y602" t="s">
        <v>808</v>
      </c>
      <c r="Z602" t="s">
        <v>792</v>
      </c>
      <c r="AB602" t="s">
        <v>793</v>
      </c>
      <c r="AD602" t="s">
        <v>794</v>
      </c>
      <c r="AE602" t="s">
        <v>804</v>
      </c>
      <c r="AF602" t="s">
        <v>796</v>
      </c>
      <c r="AG602" t="s">
        <v>797</v>
      </c>
      <c r="AH602">
        <v>30812</v>
      </c>
      <c r="AI602">
        <v>47743</v>
      </c>
      <c r="AJ602">
        <v>1E-3</v>
      </c>
    </row>
    <row r="603" spans="1:36" x14ac:dyDescent="0.3">
      <c r="A603">
        <f>COUNTIF($D$2:D603,D603)</f>
        <v>7</v>
      </c>
      <c r="B603" t="str">
        <f t="shared" si="37"/>
        <v>7Devon</v>
      </c>
      <c r="C603" t="s">
        <v>2360</v>
      </c>
      <c r="D603" t="s">
        <v>133</v>
      </c>
      <c r="E603">
        <v>23</v>
      </c>
      <c r="F603" t="s">
        <v>2361</v>
      </c>
      <c r="G603" t="s">
        <v>806</v>
      </c>
      <c r="H603" t="s">
        <v>873</v>
      </c>
      <c r="I603" t="s">
        <v>808</v>
      </c>
      <c r="J603">
        <f t="shared" ca="1" si="38"/>
        <v>1000000</v>
      </c>
      <c r="K603">
        <f t="shared" ca="1" si="39"/>
        <v>43</v>
      </c>
      <c r="N603" t="str">
        <f t="shared" si="36"/>
        <v>Croydon62discharge to assess placementsResidential PlacementsNursing home</v>
      </c>
      <c r="O603" t="s">
        <v>123</v>
      </c>
      <c r="P603" t="s">
        <v>790</v>
      </c>
      <c r="Q603">
        <v>62</v>
      </c>
      <c r="R603" t="s">
        <v>2165</v>
      </c>
      <c r="S603" t="s">
        <v>2362</v>
      </c>
      <c r="T603" t="s">
        <v>806</v>
      </c>
      <c r="U603" t="s">
        <v>917</v>
      </c>
      <c r="W603">
        <v>9</v>
      </c>
      <c r="X603">
        <v>14</v>
      </c>
      <c r="Y603" t="s">
        <v>808</v>
      </c>
      <c r="Z603" t="s">
        <v>792</v>
      </c>
      <c r="AB603" t="s">
        <v>793</v>
      </c>
      <c r="AD603" t="s">
        <v>794</v>
      </c>
      <c r="AE603" t="s">
        <v>804</v>
      </c>
      <c r="AF603" t="s">
        <v>796</v>
      </c>
      <c r="AG603" t="s">
        <v>797</v>
      </c>
      <c r="AH603">
        <v>44431</v>
      </c>
      <c r="AI603">
        <v>68750</v>
      </c>
      <c r="AJ603">
        <v>0</v>
      </c>
    </row>
    <row r="604" spans="1:36" x14ac:dyDescent="0.3">
      <c r="A604">
        <f>COUNTIF($D$2:D604,D604)</f>
        <v>8</v>
      </c>
      <c r="B604" t="str">
        <f t="shared" si="37"/>
        <v>8Devon</v>
      </c>
      <c r="C604" t="s">
        <v>2363</v>
      </c>
      <c r="D604" t="s">
        <v>133</v>
      </c>
      <c r="E604">
        <v>32</v>
      </c>
      <c r="F604" t="s">
        <v>2364</v>
      </c>
      <c r="G604" t="s">
        <v>787</v>
      </c>
      <c r="H604" t="s">
        <v>1551</v>
      </c>
      <c r="I604" t="s">
        <v>789</v>
      </c>
      <c r="J604">
        <f t="shared" ca="1" si="38"/>
        <v>600000</v>
      </c>
      <c r="K604">
        <f t="shared" ca="1" si="39"/>
        <v>63</v>
      </c>
      <c r="N604" t="str">
        <f t="shared" si="36"/>
        <v>Croydon63DIscharge to Assess placementsHome Care or Domiciliary CareDomiciliary care packages</v>
      </c>
      <c r="O604" t="s">
        <v>123</v>
      </c>
      <c r="P604" t="s">
        <v>790</v>
      </c>
      <c r="Q604">
        <v>63</v>
      </c>
      <c r="R604" t="s">
        <v>2169</v>
      </c>
      <c r="S604" t="s">
        <v>2365</v>
      </c>
      <c r="T604" t="s">
        <v>842</v>
      </c>
      <c r="U604" t="s">
        <v>843</v>
      </c>
      <c r="W604">
        <v>30492</v>
      </c>
      <c r="X604">
        <v>47163</v>
      </c>
      <c r="Y604" t="s">
        <v>844</v>
      </c>
      <c r="Z604" t="s">
        <v>792</v>
      </c>
      <c r="AB604" t="s">
        <v>793</v>
      </c>
      <c r="AD604" t="s">
        <v>794</v>
      </c>
      <c r="AE604" t="s">
        <v>804</v>
      </c>
      <c r="AF604" t="s">
        <v>796</v>
      </c>
      <c r="AG604" t="s">
        <v>797</v>
      </c>
      <c r="AH604">
        <v>583020</v>
      </c>
      <c r="AI604">
        <v>901768</v>
      </c>
      <c r="AJ604">
        <v>2.3E-2</v>
      </c>
    </row>
    <row r="605" spans="1:36" x14ac:dyDescent="0.3">
      <c r="A605">
        <f>COUNTIF($D$2:D605,D605)</f>
        <v>9</v>
      </c>
      <c r="B605" t="str">
        <f t="shared" si="37"/>
        <v>9Devon</v>
      </c>
      <c r="C605" t="s">
        <v>2366</v>
      </c>
      <c r="D605" t="s">
        <v>133</v>
      </c>
      <c r="E605">
        <v>33</v>
      </c>
      <c r="F605" t="s">
        <v>2367</v>
      </c>
      <c r="G605" t="s">
        <v>842</v>
      </c>
      <c r="H605" t="s">
        <v>856</v>
      </c>
      <c r="I605" t="s">
        <v>844</v>
      </c>
      <c r="J605">
        <f t="shared" ca="1" si="38"/>
        <v>60000</v>
      </c>
      <c r="K605">
        <f t="shared" ca="1" si="39"/>
        <v>2311</v>
      </c>
      <c r="N605" t="str">
        <f t="shared" si="36"/>
        <v>Croydon67Increase availability for pathway 1 dischargesHome Care or Domiciliary CareDomiciliary care to support hospital discharge (Discharge to Assess pathway 1)</v>
      </c>
      <c r="O605" t="s">
        <v>123</v>
      </c>
      <c r="P605" t="s">
        <v>790</v>
      </c>
      <c r="Q605">
        <v>67</v>
      </c>
      <c r="R605" t="s">
        <v>2173</v>
      </c>
      <c r="S605" t="s">
        <v>2368</v>
      </c>
      <c r="T605" t="s">
        <v>842</v>
      </c>
      <c r="U605" t="s">
        <v>856</v>
      </c>
      <c r="W605">
        <v>31887</v>
      </c>
      <c r="X605">
        <v>31887</v>
      </c>
      <c r="Y605" t="s">
        <v>844</v>
      </c>
      <c r="Z605" t="s">
        <v>792</v>
      </c>
      <c r="AB605" t="s">
        <v>793</v>
      </c>
      <c r="AD605" t="s">
        <v>794</v>
      </c>
      <c r="AE605" t="s">
        <v>804</v>
      </c>
      <c r="AF605" t="s">
        <v>864</v>
      </c>
      <c r="AG605" t="s">
        <v>861</v>
      </c>
      <c r="AH605">
        <v>609686</v>
      </c>
      <c r="AI605">
        <v>609686</v>
      </c>
      <c r="AJ605">
        <v>1.9E-2</v>
      </c>
    </row>
    <row r="606" spans="1:36" x14ac:dyDescent="0.3">
      <c r="A606">
        <f>COUNTIF($D$2:D606,D606)</f>
        <v>10</v>
      </c>
      <c r="B606" t="str">
        <f t="shared" si="37"/>
        <v>10Devon</v>
      </c>
      <c r="C606" t="s">
        <v>2369</v>
      </c>
      <c r="D606" t="s">
        <v>133</v>
      </c>
      <c r="E606">
        <v>34</v>
      </c>
      <c r="F606" t="s">
        <v>2370</v>
      </c>
      <c r="G606" t="s">
        <v>787</v>
      </c>
      <c r="H606" t="s">
        <v>1195</v>
      </c>
      <c r="I606" t="s">
        <v>789</v>
      </c>
      <c r="J606">
        <f t="shared" ca="1" si="38"/>
        <v>653000</v>
      </c>
      <c r="K606">
        <f t="shared" ca="1" si="39"/>
        <v>68</v>
      </c>
      <c r="N606" t="str">
        <f t="shared" si="36"/>
        <v>Croydon72CES Equipment CostsAssistive Technologies and EquipmentCommunity based equipment</v>
      </c>
      <c r="O606" t="s">
        <v>123</v>
      </c>
      <c r="P606" t="s">
        <v>790</v>
      </c>
      <c r="Q606">
        <v>72</v>
      </c>
      <c r="R606" t="s">
        <v>2176</v>
      </c>
      <c r="S606" t="s">
        <v>2371</v>
      </c>
      <c r="T606" t="s">
        <v>800</v>
      </c>
      <c r="U606" t="s">
        <v>903</v>
      </c>
      <c r="W606">
        <v>125</v>
      </c>
      <c r="X606">
        <v>125</v>
      </c>
      <c r="Y606" t="s">
        <v>802</v>
      </c>
      <c r="Z606" t="s">
        <v>792</v>
      </c>
      <c r="AB606" t="s">
        <v>793</v>
      </c>
      <c r="AD606" t="s">
        <v>794</v>
      </c>
      <c r="AE606" t="s">
        <v>804</v>
      </c>
      <c r="AF606" t="s">
        <v>864</v>
      </c>
      <c r="AG606" t="s">
        <v>861</v>
      </c>
      <c r="AH606">
        <v>150000</v>
      </c>
      <c r="AI606">
        <v>150000</v>
      </c>
      <c r="AJ606">
        <v>1.9E-2</v>
      </c>
    </row>
    <row r="607" spans="1:36" x14ac:dyDescent="0.3">
      <c r="A607">
        <f>COUNTIF($D$2:D607,D607)</f>
        <v>11</v>
      </c>
      <c r="B607" t="str">
        <f t="shared" si="37"/>
        <v>11Devon</v>
      </c>
      <c r="C607" t="s">
        <v>2372</v>
      </c>
      <c r="D607" t="s">
        <v>133</v>
      </c>
      <c r="E607">
        <v>35</v>
      </c>
      <c r="F607" t="s">
        <v>2373</v>
      </c>
      <c r="G607" t="s">
        <v>787</v>
      </c>
      <c r="H607" t="s">
        <v>2374</v>
      </c>
      <c r="I607" t="s">
        <v>789</v>
      </c>
      <c r="J607">
        <f t="shared" ca="1" si="38"/>
        <v>1287000</v>
      </c>
      <c r="K607">
        <f t="shared" ca="1" si="39"/>
        <v>136</v>
      </c>
      <c r="N607" t="str">
        <f t="shared" si="36"/>
        <v>Croydon77Interim Pathway 3 Stepdown BedsResidential PlacementsShort term residential care (without rehabilitation or reablement input)</v>
      </c>
      <c r="O607" t="s">
        <v>123</v>
      </c>
      <c r="P607" t="s">
        <v>790</v>
      </c>
      <c r="Q607">
        <v>77</v>
      </c>
      <c r="R607" t="s">
        <v>2179</v>
      </c>
      <c r="S607" t="s">
        <v>2375</v>
      </c>
      <c r="T607" t="s">
        <v>806</v>
      </c>
      <c r="U607" t="s">
        <v>955</v>
      </c>
      <c r="W607">
        <v>95</v>
      </c>
      <c r="X607">
        <v>95</v>
      </c>
      <c r="Y607" t="s">
        <v>808</v>
      </c>
      <c r="Z607" t="s">
        <v>823</v>
      </c>
      <c r="AB607" t="s">
        <v>824</v>
      </c>
      <c r="AD607" t="s">
        <v>794</v>
      </c>
      <c r="AE607" t="s">
        <v>804</v>
      </c>
      <c r="AF607" t="s">
        <v>860</v>
      </c>
      <c r="AG607" t="s">
        <v>861</v>
      </c>
      <c r="AH607">
        <v>452000</v>
      </c>
      <c r="AI607">
        <v>460136</v>
      </c>
      <c r="AJ607">
        <v>4.0000000000000001E-3</v>
      </c>
    </row>
    <row r="608" spans="1:36" x14ac:dyDescent="0.3">
      <c r="A608">
        <f>COUNTIF($D$2:D608,D608)</f>
        <v>12</v>
      </c>
      <c r="B608" t="str">
        <f t="shared" si="37"/>
        <v>12Devon</v>
      </c>
      <c r="C608" t="s">
        <v>2376</v>
      </c>
      <c r="D608" t="s">
        <v>133</v>
      </c>
      <c r="E608">
        <v>36</v>
      </c>
      <c r="F608" t="s">
        <v>2377</v>
      </c>
      <c r="G608" t="s">
        <v>787</v>
      </c>
      <c r="H608" t="s">
        <v>2374</v>
      </c>
      <c r="I608" t="s">
        <v>789</v>
      </c>
      <c r="J608">
        <f t="shared" ca="1" si="38"/>
        <v>1238000</v>
      </c>
      <c r="K608">
        <f t="shared" ca="1" si="39"/>
        <v>131</v>
      </c>
      <c r="N608" t="str">
        <f t="shared" si="36"/>
        <v>Croydon78MH Step Down bedsResidential PlacementsSupported housing</v>
      </c>
      <c r="O608" t="s">
        <v>123</v>
      </c>
      <c r="P608" t="s">
        <v>790</v>
      </c>
      <c r="Q608">
        <v>78</v>
      </c>
      <c r="R608" t="s">
        <v>2182</v>
      </c>
      <c r="S608" t="s">
        <v>2378</v>
      </c>
      <c r="T608" t="s">
        <v>806</v>
      </c>
      <c r="U608" t="s">
        <v>873</v>
      </c>
      <c r="W608">
        <v>10</v>
      </c>
      <c r="X608">
        <v>10</v>
      </c>
      <c r="Y608" t="s">
        <v>808</v>
      </c>
      <c r="Z608" t="s">
        <v>1006</v>
      </c>
      <c r="AB608" t="s">
        <v>824</v>
      </c>
      <c r="AD608" t="s">
        <v>794</v>
      </c>
      <c r="AE608" t="s">
        <v>804</v>
      </c>
      <c r="AF608" t="s">
        <v>860</v>
      </c>
      <c r="AG608" t="s">
        <v>861</v>
      </c>
      <c r="AH608">
        <v>374000</v>
      </c>
      <c r="AI608">
        <v>380732</v>
      </c>
      <c r="AJ608">
        <v>3.0000000000000001E-3</v>
      </c>
    </row>
    <row r="609" spans="1:36" x14ac:dyDescent="0.3">
      <c r="A609">
        <f>COUNTIF($D$2:D609,D609)</f>
        <v>13</v>
      </c>
      <c r="B609" t="str">
        <f t="shared" si="37"/>
        <v>13Devon</v>
      </c>
      <c r="C609" t="s">
        <v>2379</v>
      </c>
      <c r="D609" t="s">
        <v>133</v>
      </c>
      <c r="E609">
        <v>37</v>
      </c>
      <c r="F609" t="s">
        <v>2380</v>
      </c>
      <c r="G609" t="s">
        <v>842</v>
      </c>
      <c r="H609" t="s">
        <v>843</v>
      </c>
      <c r="I609" t="s">
        <v>844</v>
      </c>
      <c r="J609">
        <f t="shared" ca="1" si="38"/>
        <v>150000</v>
      </c>
      <c r="K609">
        <f t="shared" ca="1" si="39"/>
        <v>5778</v>
      </c>
      <c r="N609" t="str">
        <f t="shared" si="36"/>
        <v>Croydon82Carers Support ProjectCarers ServicesCarer advice and support related to Care Act duties</v>
      </c>
      <c r="O609" t="s">
        <v>123</v>
      </c>
      <c r="P609" t="s">
        <v>790</v>
      </c>
      <c r="Q609">
        <v>82</v>
      </c>
      <c r="R609" t="s">
        <v>2186</v>
      </c>
      <c r="S609" t="s">
        <v>2381</v>
      </c>
      <c r="T609" t="s">
        <v>811</v>
      </c>
      <c r="U609" t="s">
        <v>895</v>
      </c>
      <c r="W609">
        <v>82</v>
      </c>
      <c r="X609">
        <v>82</v>
      </c>
      <c r="Y609" t="s">
        <v>813</v>
      </c>
      <c r="Z609" t="s">
        <v>792</v>
      </c>
      <c r="AB609" t="s">
        <v>793</v>
      </c>
      <c r="AD609" t="s">
        <v>794</v>
      </c>
      <c r="AE609" t="s">
        <v>825</v>
      </c>
      <c r="AF609" t="s">
        <v>796</v>
      </c>
      <c r="AG609" t="s">
        <v>861</v>
      </c>
      <c r="AH609">
        <v>149000</v>
      </c>
      <c r="AI609">
        <v>149000</v>
      </c>
      <c r="AJ609">
        <v>0.34599999999999997</v>
      </c>
    </row>
    <row r="610" spans="1:36" x14ac:dyDescent="0.3">
      <c r="A610">
        <f>COUNTIF($D$2:D610,D610)</f>
        <v>14</v>
      </c>
      <c r="B610" t="str">
        <f t="shared" si="37"/>
        <v>14Devon</v>
      </c>
      <c r="C610" t="s">
        <v>2382</v>
      </c>
      <c r="D610" t="s">
        <v>133</v>
      </c>
      <c r="E610">
        <v>38</v>
      </c>
      <c r="F610" t="s">
        <v>2383</v>
      </c>
      <c r="G610" t="s">
        <v>2384</v>
      </c>
      <c r="H610" t="s">
        <v>1259</v>
      </c>
      <c r="I610" t="s">
        <v>794</v>
      </c>
      <c r="J610" t="e">
        <f t="shared" si="38"/>
        <v>#VALUE!</v>
      </c>
      <c r="K610" t="e">
        <f t="shared" si="39"/>
        <v>#VALUE!</v>
      </c>
      <c r="N610" t="str">
        <f t="shared" si="36"/>
        <v>Cumberland1BCF PreventionCarers ServicesCarer advice and support related to Care Act duties</v>
      </c>
      <c r="O610" t="s">
        <v>125</v>
      </c>
      <c r="P610" t="s">
        <v>2195</v>
      </c>
      <c r="Q610">
        <v>1</v>
      </c>
      <c r="R610" t="s">
        <v>2189</v>
      </c>
      <c r="S610" t="s">
        <v>1250</v>
      </c>
      <c r="T610" t="s">
        <v>811</v>
      </c>
      <c r="U610" t="s">
        <v>895</v>
      </c>
      <c r="W610">
        <v>5415</v>
      </c>
      <c r="X610">
        <v>5415</v>
      </c>
      <c r="Y610" t="s">
        <v>813</v>
      </c>
      <c r="Z610" t="s">
        <v>792</v>
      </c>
      <c r="AB610" t="s">
        <v>793</v>
      </c>
      <c r="AD610" t="s">
        <v>794</v>
      </c>
      <c r="AE610" t="s">
        <v>825</v>
      </c>
      <c r="AF610" t="s">
        <v>796</v>
      </c>
      <c r="AG610" t="s">
        <v>797</v>
      </c>
      <c r="AH610">
        <v>1043100</v>
      </c>
      <c r="AI610">
        <v>1102139.46</v>
      </c>
      <c r="AJ610">
        <v>1</v>
      </c>
    </row>
    <row r="611" spans="1:36" x14ac:dyDescent="0.3">
      <c r="A611">
        <f>COUNTIF($D$2:D611,D611)</f>
        <v>15</v>
      </c>
      <c r="B611" t="str">
        <f t="shared" si="37"/>
        <v>15Devon</v>
      </c>
      <c r="C611" t="s">
        <v>2385</v>
      </c>
      <c r="D611" t="s">
        <v>133</v>
      </c>
      <c r="E611">
        <v>41</v>
      </c>
      <c r="F611" t="s">
        <v>2386</v>
      </c>
      <c r="G611" t="s">
        <v>842</v>
      </c>
      <c r="H611" t="s">
        <v>843</v>
      </c>
      <c r="I611" t="s">
        <v>844</v>
      </c>
      <c r="J611">
        <f t="shared" ca="1" si="38"/>
        <v>9426465</v>
      </c>
      <c r="K611">
        <f t="shared" ca="1" si="39"/>
        <v>363115</v>
      </c>
      <c r="N611" t="str">
        <f t="shared" si="36"/>
        <v>Cumberland1BCF PreventionAssistive Technologies and EquipmentCommunity based equipment</v>
      </c>
      <c r="O611" t="s">
        <v>125</v>
      </c>
      <c r="P611" t="s">
        <v>2195</v>
      </c>
      <c r="Q611">
        <v>1</v>
      </c>
      <c r="R611" t="s">
        <v>2189</v>
      </c>
      <c r="S611" t="s">
        <v>1051</v>
      </c>
      <c r="T611" t="s">
        <v>800</v>
      </c>
      <c r="U611" t="s">
        <v>903</v>
      </c>
      <c r="W611">
        <v>12350</v>
      </c>
      <c r="X611">
        <v>12350</v>
      </c>
      <c r="Y611" t="s">
        <v>802</v>
      </c>
      <c r="Z611" t="s">
        <v>792</v>
      </c>
      <c r="AB611" t="s">
        <v>793</v>
      </c>
      <c r="AD611" t="s">
        <v>794</v>
      </c>
      <c r="AE611" t="s">
        <v>795</v>
      </c>
      <c r="AF611" t="s">
        <v>796</v>
      </c>
      <c r="AG611" t="s">
        <v>797</v>
      </c>
      <c r="AH611">
        <v>2334560.4</v>
      </c>
      <c r="AI611">
        <v>2466696.5186399999</v>
      </c>
      <c r="AJ611">
        <v>0.95</v>
      </c>
    </row>
    <row r="612" spans="1:36" x14ac:dyDescent="0.3">
      <c r="A612">
        <f>COUNTIF($D$2:D612,D612)</f>
        <v>16</v>
      </c>
      <c r="B612" t="str">
        <f t="shared" si="37"/>
        <v>16Devon</v>
      </c>
      <c r="C612" t="s">
        <v>2387</v>
      </c>
      <c r="D612" t="s">
        <v>133</v>
      </c>
      <c r="E612">
        <v>41</v>
      </c>
      <c r="F612" t="s">
        <v>2386</v>
      </c>
      <c r="G612" t="s">
        <v>806</v>
      </c>
      <c r="H612" t="s">
        <v>807</v>
      </c>
      <c r="I612" t="s">
        <v>808</v>
      </c>
      <c r="J612">
        <f t="shared" ca="1" si="38"/>
        <v>3587217</v>
      </c>
      <c r="K612">
        <f t="shared" ca="1" si="39"/>
        <v>70</v>
      </c>
      <c r="N612" t="str">
        <f t="shared" si="36"/>
        <v>Cumberland1BCF PreventionDFG Related SchemesAdaptations, including statutory DFG grants</v>
      </c>
      <c r="O612" t="s">
        <v>125</v>
      </c>
      <c r="P612" t="s">
        <v>2195</v>
      </c>
      <c r="Q612">
        <v>1</v>
      </c>
      <c r="R612" t="s">
        <v>2189</v>
      </c>
      <c r="S612" t="s">
        <v>840</v>
      </c>
      <c r="T612" t="s">
        <v>834</v>
      </c>
      <c r="U612" t="s">
        <v>835</v>
      </c>
      <c r="W612">
        <v>841</v>
      </c>
      <c r="X612">
        <v>967</v>
      </c>
      <c r="Y612" t="s">
        <v>836</v>
      </c>
      <c r="Z612" t="s">
        <v>792</v>
      </c>
      <c r="AB612" t="s">
        <v>793</v>
      </c>
      <c r="AD612" t="s">
        <v>794</v>
      </c>
      <c r="AE612" t="s">
        <v>795</v>
      </c>
      <c r="AF612" t="s">
        <v>840</v>
      </c>
      <c r="AG612" t="s">
        <v>797</v>
      </c>
      <c r="AH612">
        <v>4344361</v>
      </c>
      <c r="AI612">
        <v>4344361</v>
      </c>
      <c r="AJ612">
        <v>1</v>
      </c>
    </row>
    <row r="613" spans="1:36" x14ac:dyDescent="0.3">
      <c r="A613">
        <f>COUNTIF($D$2:D613,D613)</f>
        <v>17</v>
      </c>
      <c r="B613" t="str">
        <f t="shared" si="37"/>
        <v>17Devon</v>
      </c>
      <c r="C613" t="s">
        <v>2388</v>
      </c>
      <c r="D613" t="s">
        <v>133</v>
      </c>
      <c r="E613">
        <v>42</v>
      </c>
      <c r="F613" t="s">
        <v>2389</v>
      </c>
      <c r="G613" t="s">
        <v>842</v>
      </c>
      <c r="H613" t="s">
        <v>843</v>
      </c>
      <c r="I613" t="s">
        <v>844</v>
      </c>
      <c r="J613">
        <f t="shared" ca="1" si="38"/>
        <v>10194836</v>
      </c>
      <c r="K613">
        <f t="shared" ca="1" si="39"/>
        <v>392713</v>
      </c>
      <c r="N613" t="str">
        <f t="shared" si="36"/>
        <v>Cumberland1BCF PreventionHome Care or Domiciliary CareDomiciliary care packages</v>
      </c>
      <c r="O613" t="s">
        <v>125</v>
      </c>
      <c r="P613" t="s">
        <v>2195</v>
      </c>
      <c r="Q613">
        <v>1</v>
      </c>
      <c r="R613" t="s">
        <v>2189</v>
      </c>
      <c r="S613" t="s">
        <v>2390</v>
      </c>
      <c r="T613" t="s">
        <v>842</v>
      </c>
      <c r="U613" t="s">
        <v>843</v>
      </c>
      <c r="W613">
        <v>14100</v>
      </c>
      <c r="X613">
        <v>14900</v>
      </c>
      <c r="Y613" t="s">
        <v>844</v>
      </c>
      <c r="Z613" t="s">
        <v>792</v>
      </c>
      <c r="AB613" t="s">
        <v>793</v>
      </c>
      <c r="AD613" t="s">
        <v>794</v>
      </c>
      <c r="AE613" t="s">
        <v>804</v>
      </c>
      <c r="AF613" t="s">
        <v>796</v>
      </c>
      <c r="AG613" t="s">
        <v>861</v>
      </c>
      <c r="AH613">
        <v>336000</v>
      </c>
      <c r="AI613">
        <v>355017.6</v>
      </c>
      <c r="AJ613">
        <v>1</v>
      </c>
    </row>
    <row r="614" spans="1:36" x14ac:dyDescent="0.3">
      <c r="A614">
        <f>COUNTIF($D$2:D614,D614)</f>
        <v>18</v>
      </c>
      <c r="B614" t="str">
        <f t="shared" si="37"/>
        <v>18Devon</v>
      </c>
      <c r="C614" t="s">
        <v>2391</v>
      </c>
      <c r="D614" t="s">
        <v>133</v>
      </c>
      <c r="E614">
        <v>42</v>
      </c>
      <c r="F614" t="s">
        <v>2389</v>
      </c>
      <c r="G614" t="s">
        <v>806</v>
      </c>
      <c r="H614" t="s">
        <v>807</v>
      </c>
      <c r="I614" t="s">
        <v>808</v>
      </c>
      <c r="J614">
        <f t="shared" ca="1" si="38"/>
        <v>11651000</v>
      </c>
      <c r="K614">
        <f t="shared" ca="1" si="39"/>
        <v>228</v>
      </c>
      <c r="N614" t="str">
        <f t="shared" si="36"/>
        <v>Cumberland1BCF PreventionResidential PlacementsCare home</v>
      </c>
      <c r="O614" t="s">
        <v>125</v>
      </c>
      <c r="P614" t="s">
        <v>2195</v>
      </c>
      <c r="Q614">
        <v>1</v>
      </c>
      <c r="R614" t="s">
        <v>2189</v>
      </c>
      <c r="S614" t="s">
        <v>2392</v>
      </c>
      <c r="T614" t="s">
        <v>806</v>
      </c>
      <c r="U614" t="s">
        <v>807</v>
      </c>
      <c r="W614">
        <v>60</v>
      </c>
      <c r="X614">
        <v>60</v>
      </c>
      <c r="Y614" t="s">
        <v>808</v>
      </c>
      <c r="Z614" t="s">
        <v>792</v>
      </c>
      <c r="AB614" t="s">
        <v>793</v>
      </c>
      <c r="AD614" t="s">
        <v>794</v>
      </c>
      <c r="AE614" t="s">
        <v>804</v>
      </c>
      <c r="AF614" t="s">
        <v>796</v>
      </c>
      <c r="AG614" t="s">
        <v>861</v>
      </c>
      <c r="AH614">
        <v>200000</v>
      </c>
      <c r="AI614">
        <v>211320</v>
      </c>
      <c r="AJ614">
        <v>0.25</v>
      </c>
    </row>
    <row r="615" spans="1:36" x14ac:dyDescent="0.3">
      <c r="A615">
        <f>COUNTIF($D$2:D615,D615)</f>
        <v>19</v>
      </c>
      <c r="B615" t="str">
        <f t="shared" si="37"/>
        <v>19Devon</v>
      </c>
      <c r="C615" t="s">
        <v>2393</v>
      </c>
      <c r="D615" t="s">
        <v>133</v>
      </c>
      <c r="E615">
        <v>42</v>
      </c>
      <c r="F615" t="s">
        <v>2389</v>
      </c>
      <c r="G615" t="s">
        <v>806</v>
      </c>
      <c r="H615" t="s">
        <v>917</v>
      </c>
      <c r="I615" t="s">
        <v>808</v>
      </c>
      <c r="J615">
        <f t="shared" ca="1" si="38"/>
        <v>2913000</v>
      </c>
      <c r="K615">
        <f t="shared" ca="1" si="39"/>
        <v>46</v>
      </c>
      <c r="N615" t="str">
        <f t="shared" si="36"/>
        <v>Cumberland1BCF PreventionBed based intermediate Care Services (Reablement, rehabilitation, wider short-term services supporting recovery)Bed-based intermediate care with rehabilitation (to support discharge)</v>
      </c>
      <c r="O615" t="s">
        <v>125</v>
      </c>
      <c r="P615" t="s">
        <v>2195</v>
      </c>
      <c r="Q615">
        <v>1</v>
      </c>
      <c r="R615" t="s">
        <v>2189</v>
      </c>
      <c r="S615" t="s">
        <v>2394</v>
      </c>
      <c r="T615" t="s">
        <v>877</v>
      </c>
      <c r="U615" t="s">
        <v>968</v>
      </c>
      <c r="W615">
        <v>260</v>
      </c>
      <c r="X615">
        <v>260</v>
      </c>
      <c r="Y615" t="s">
        <v>879</v>
      </c>
      <c r="Z615" t="s">
        <v>792</v>
      </c>
      <c r="AB615" t="s">
        <v>793</v>
      </c>
      <c r="AD615" t="s">
        <v>794</v>
      </c>
      <c r="AE615" t="s">
        <v>795</v>
      </c>
      <c r="AF615" t="s">
        <v>796</v>
      </c>
      <c r="AG615" t="s">
        <v>861</v>
      </c>
      <c r="AH615">
        <v>167000</v>
      </c>
      <c r="AI615">
        <v>176452.2</v>
      </c>
      <c r="AJ615">
        <v>0.1</v>
      </c>
    </row>
    <row r="616" spans="1:36" x14ac:dyDescent="0.3">
      <c r="A616">
        <f>COUNTIF($D$2:D616,D616)</f>
        <v>1</v>
      </c>
      <c r="B616" t="str">
        <f t="shared" si="37"/>
        <v>1Doncaster</v>
      </c>
      <c r="C616" t="s">
        <v>2395</v>
      </c>
      <c r="D616" t="s">
        <v>135</v>
      </c>
      <c r="E616">
        <v>2</v>
      </c>
      <c r="F616" t="s">
        <v>2396</v>
      </c>
      <c r="G616" t="s">
        <v>811</v>
      </c>
      <c r="H616" t="s">
        <v>895</v>
      </c>
      <c r="I616" t="s">
        <v>813</v>
      </c>
      <c r="J616">
        <f t="shared" ca="1" si="38"/>
        <v>59000</v>
      </c>
      <c r="K616">
        <f t="shared" ca="1" si="39"/>
        <v>500</v>
      </c>
      <c r="N616" t="str">
        <f t="shared" si="36"/>
        <v xml:space="preserve">Cumberland2BCF ICCsHome-based intermediate care servicesReablement at home (to support discharge) </v>
      </c>
      <c r="O616" t="s">
        <v>125</v>
      </c>
      <c r="P616" t="s">
        <v>2195</v>
      </c>
      <c r="Q616">
        <v>2</v>
      </c>
      <c r="R616" t="s">
        <v>2200</v>
      </c>
      <c r="S616" t="s">
        <v>434</v>
      </c>
      <c r="T616" t="s">
        <v>787</v>
      </c>
      <c r="U616" t="s">
        <v>788</v>
      </c>
      <c r="W616">
        <v>1655</v>
      </c>
      <c r="X616">
        <v>1655</v>
      </c>
      <c r="Y616" t="s">
        <v>789</v>
      </c>
      <c r="Z616" t="s">
        <v>792</v>
      </c>
      <c r="AB616" t="s">
        <v>793</v>
      </c>
      <c r="AD616" t="s">
        <v>794</v>
      </c>
      <c r="AE616" t="s">
        <v>795</v>
      </c>
      <c r="AF616" t="s">
        <v>796</v>
      </c>
      <c r="AG616" t="s">
        <v>797</v>
      </c>
      <c r="AH616">
        <v>4064175</v>
      </c>
      <c r="AI616">
        <v>4294207.3049999997</v>
      </c>
      <c r="AJ616">
        <v>0.77</v>
      </c>
    </row>
    <row r="617" spans="1:36" x14ac:dyDescent="0.3">
      <c r="A617">
        <f>COUNTIF($D$2:D617,D617)</f>
        <v>2</v>
      </c>
      <c r="B617" t="str">
        <f t="shared" si="37"/>
        <v>2Doncaster</v>
      </c>
      <c r="C617" t="s">
        <v>2397</v>
      </c>
      <c r="D617" t="s">
        <v>135</v>
      </c>
      <c r="E617">
        <v>3</v>
      </c>
      <c r="F617" t="s">
        <v>2398</v>
      </c>
      <c r="G617" t="s">
        <v>811</v>
      </c>
      <c r="H617" t="s">
        <v>830</v>
      </c>
      <c r="I617" t="s">
        <v>813</v>
      </c>
      <c r="J617">
        <f t="shared" ca="1" si="38"/>
        <v>70000</v>
      </c>
      <c r="K617">
        <f t="shared" ca="1" si="39"/>
        <v>500</v>
      </c>
      <c r="N617" t="str">
        <f t="shared" si="36"/>
        <v>Cumberland2BCF ICCsHome Care or Domiciliary CareDomiciliary care packages</v>
      </c>
      <c r="O617" t="s">
        <v>125</v>
      </c>
      <c r="P617" t="s">
        <v>2195</v>
      </c>
      <c r="Q617">
        <v>2</v>
      </c>
      <c r="R617" t="s">
        <v>2200</v>
      </c>
      <c r="S617" t="s">
        <v>2399</v>
      </c>
      <c r="T617" t="s">
        <v>842</v>
      </c>
      <c r="U617" t="s">
        <v>843</v>
      </c>
      <c r="W617">
        <v>32760</v>
      </c>
      <c r="X617">
        <v>32760</v>
      </c>
      <c r="Y617" t="s">
        <v>844</v>
      </c>
      <c r="Z617" t="s">
        <v>792</v>
      </c>
      <c r="AB617" t="s">
        <v>793</v>
      </c>
      <c r="AD617" t="s">
        <v>794</v>
      </c>
      <c r="AE617" t="s">
        <v>795</v>
      </c>
      <c r="AF617" t="s">
        <v>796</v>
      </c>
      <c r="AG617" t="s">
        <v>797</v>
      </c>
      <c r="AH617">
        <v>872376</v>
      </c>
      <c r="AI617">
        <v>921752.48160000006</v>
      </c>
      <c r="AJ617">
        <v>1</v>
      </c>
    </row>
    <row r="618" spans="1:36" x14ac:dyDescent="0.3">
      <c r="A618">
        <f>COUNTIF($D$2:D618,D618)</f>
        <v>3</v>
      </c>
      <c r="B618" t="str">
        <f t="shared" si="37"/>
        <v>3Doncaster</v>
      </c>
      <c r="C618" t="s">
        <v>2400</v>
      </c>
      <c r="D618" t="s">
        <v>135</v>
      </c>
      <c r="E618">
        <v>5</v>
      </c>
      <c r="F618" t="s">
        <v>2401</v>
      </c>
      <c r="G618" t="s">
        <v>787</v>
      </c>
      <c r="H618" t="s">
        <v>930</v>
      </c>
      <c r="I618" t="s">
        <v>789</v>
      </c>
      <c r="J618">
        <f t="shared" ca="1" si="38"/>
        <v>38000</v>
      </c>
      <c r="K618">
        <f t="shared" ca="1" si="39"/>
        <v>1181</v>
      </c>
      <c r="N618" t="str">
        <f t="shared" si="36"/>
        <v>Cumberland2BCF ICCsHome Care or Domiciliary CareDomiciliary care packages</v>
      </c>
      <c r="O618" t="s">
        <v>125</v>
      </c>
      <c r="P618" t="s">
        <v>2195</v>
      </c>
      <c r="Q618">
        <v>2</v>
      </c>
      <c r="R618" t="s">
        <v>2200</v>
      </c>
      <c r="S618" t="s">
        <v>988</v>
      </c>
      <c r="T618" t="s">
        <v>842</v>
      </c>
      <c r="U618" t="s">
        <v>843</v>
      </c>
      <c r="W618">
        <v>206690</v>
      </c>
      <c r="X618">
        <v>206690</v>
      </c>
      <c r="Y618" t="s">
        <v>844</v>
      </c>
      <c r="Z618" t="s">
        <v>792</v>
      </c>
      <c r="AB618" t="s">
        <v>793</v>
      </c>
      <c r="AD618" t="s">
        <v>794</v>
      </c>
      <c r="AE618" t="s">
        <v>804</v>
      </c>
      <c r="AF618" t="s">
        <v>796</v>
      </c>
      <c r="AG618" t="s">
        <v>797</v>
      </c>
      <c r="AH618">
        <v>4555004</v>
      </c>
      <c r="AI618">
        <v>4812817.2264</v>
      </c>
      <c r="AJ618">
        <v>0.3</v>
      </c>
    </row>
    <row r="619" spans="1:36" x14ac:dyDescent="0.3">
      <c r="A619">
        <f>COUNTIF($D$2:D619,D619)</f>
        <v>4</v>
      </c>
      <c r="B619" t="str">
        <f t="shared" si="37"/>
        <v>4Doncaster</v>
      </c>
      <c r="C619" t="s">
        <v>2402</v>
      </c>
      <c r="D619" t="s">
        <v>135</v>
      </c>
      <c r="E619">
        <v>6</v>
      </c>
      <c r="F619" t="s">
        <v>2403</v>
      </c>
      <c r="G619" t="s">
        <v>787</v>
      </c>
      <c r="H619" t="s">
        <v>788</v>
      </c>
      <c r="I619" t="s">
        <v>789</v>
      </c>
      <c r="J619">
        <f t="shared" ca="1" si="38"/>
        <v>2331000</v>
      </c>
      <c r="K619">
        <f t="shared" ca="1" si="39"/>
        <v>1181</v>
      </c>
      <c r="N619" t="str">
        <f t="shared" si="36"/>
        <v>Cumberland6IBCF Improving System FlowHome Care or Domiciliary CareOther</v>
      </c>
      <c r="O619" t="s">
        <v>125</v>
      </c>
      <c r="P619" t="s">
        <v>2195</v>
      </c>
      <c r="Q619">
        <v>6</v>
      </c>
      <c r="R619" t="s">
        <v>2204</v>
      </c>
      <c r="S619" t="s">
        <v>2404</v>
      </c>
      <c r="T619" t="s">
        <v>842</v>
      </c>
      <c r="U619" t="s">
        <v>812</v>
      </c>
      <c r="V619" t="s">
        <v>2405</v>
      </c>
      <c r="W619">
        <v>25860</v>
      </c>
      <c r="X619">
        <v>25860</v>
      </c>
      <c r="Y619" t="s">
        <v>844</v>
      </c>
      <c r="Z619" t="s">
        <v>792</v>
      </c>
      <c r="AB619" t="s">
        <v>793</v>
      </c>
      <c r="AD619" t="s">
        <v>794</v>
      </c>
      <c r="AE619" t="s">
        <v>795</v>
      </c>
      <c r="AF619" t="s">
        <v>845</v>
      </c>
      <c r="AG619" t="s">
        <v>797</v>
      </c>
      <c r="AH619">
        <v>570000</v>
      </c>
      <c r="AI619">
        <v>570000</v>
      </c>
      <c r="AJ619">
        <v>0.04</v>
      </c>
    </row>
    <row r="620" spans="1:36" x14ac:dyDescent="0.3">
      <c r="A620">
        <f>COUNTIF($D$2:D620,D620)</f>
        <v>5</v>
      </c>
      <c r="B620" t="str">
        <f t="shared" si="37"/>
        <v>5Doncaster</v>
      </c>
      <c r="C620" t="s">
        <v>2406</v>
      </c>
      <c r="D620" t="s">
        <v>135</v>
      </c>
      <c r="E620">
        <v>7</v>
      </c>
      <c r="F620" t="s">
        <v>2407</v>
      </c>
      <c r="G620" t="s">
        <v>800</v>
      </c>
      <c r="H620" t="s">
        <v>850</v>
      </c>
      <c r="I620" t="s">
        <v>802</v>
      </c>
      <c r="J620">
        <f t="shared" ca="1" si="38"/>
        <v>1021000</v>
      </c>
      <c r="K620">
        <f t="shared" ca="1" si="39"/>
        <v>4306</v>
      </c>
      <c r="N620" t="str">
        <f t="shared" si="36"/>
        <v>Cumberland6IBCF Improving System FlowHome-based intermediate care servicesReablement at home (accepting step up and step down users)</v>
      </c>
      <c r="O620" t="s">
        <v>125</v>
      </c>
      <c r="P620" t="s">
        <v>2195</v>
      </c>
      <c r="Q620">
        <v>6</v>
      </c>
      <c r="R620" t="s">
        <v>2204</v>
      </c>
      <c r="S620" t="s">
        <v>434</v>
      </c>
      <c r="T620" t="s">
        <v>787</v>
      </c>
      <c r="U620" t="s">
        <v>930</v>
      </c>
      <c r="W620">
        <v>245</v>
      </c>
      <c r="X620">
        <v>245</v>
      </c>
      <c r="Y620" t="s">
        <v>789</v>
      </c>
      <c r="Z620" t="s">
        <v>792</v>
      </c>
      <c r="AB620" t="s">
        <v>793</v>
      </c>
      <c r="AD620" t="s">
        <v>794</v>
      </c>
      <c r="AE620" t="s">
        <v>795</v>
      </c>
      <c r="AF620" t="s">
        <v>845</v>
      </c>
      <c r="AG620" t="s">
        <v>797</v>
      </c>
      <c r="AH620">
        <v>602100</v>
      </c>
      <c r="AI620">
        <v>602100</v>
      </c>
      <c r="AJ620">
        <v>0.11</v>
      </c>
    </row>
    <row r="621" spans="1:36" x14ac:dyDescent="0.3">
      <c r="A621">
        <f>COUNTIF($D$2:D621,D621)</f>
        <v>6</v>
      </c>
      <c r="B621" t="str">
        <f t="shared" si="37"/>
        <v>6Doncaster</v>
      </c>
      <c r="C621" t="s">
        <v>2408</v>
      </c>
      <c r="D621" t="s">
        <v>135</v>
      </c>
      <c r="E621">
        <v>9</v>
      </c>
      <c r="F621" t="s">
        <v>2409</v>
      </c>
      <c r="G621" t="s">
        <v>877</v>
      </c>
      <c r="H621" t="s">
        <v>878</v>
      </c>
      <c r="I621" t="s">
        <v>879</v>
      </c>
      <c r="J621">
        <f t="shared" ca="1" si="38"/>
        <v>2580000</v>
      </c>
      <c r="K621">
        <f t="shared" ca="1" si="39"/>
        <v>232</v>
      </c>
      <c r="N621" t="str">
        <f t="shared" si="36"/>
        <v>Cumberland6IBCF Improving System FlowBed based intermediate Care Services (Reablement, rehabilitation, wider short-term services supporting recovery)Bed-based intermediate care with rehabilitation (to support discharge)</v>
      </c>
      <c r="O621" t="s">
        <v>125</v>
      </c>
      <c r="P621" t="s">
        <v>2195</v>
      </c>
      <c r="Q621">
        <v>6</v>
      </c>
      <c r="R621" t="s">
        <v>2204</v>
      </c>
      <c r="S621" t="s">
        <v>2410</v>
      </c>
      <c r="T621" t="s">
        <v>877</v>
      </c>
      <c r="U621" t="s">
        <v>968</v>
      </c>
      <c r="W621">
        <v>120</v>
      </c>
      <c r="X621">
        <v>120</v>
      </c>
      <c r="Y621" t="s">
        <v>879</v>
      </c>
      <c r="Z621" t="s">
        <v>792</v>
      </c>
      <c r="AB621" t="s">
        <v>793</v>
      </c>
      <c r="AD621" t="s">
        <v>794</v>
      </c>
      <c r="AE621" t="s">
        <v>795</v>
      </c>
      <c r="AF621" t="s">
        <v>845</v>
      </c>
      <c r="AG621" t="s">
        <v>797</v>
      </c>
      <c r="AH621">
        <v>425000</v>
      </c>
      <c r="AI621">
        <v>425000</v>
      </c>
      <c r="AJ621">
        <v>0.5</v>
      </c>
    </row>
    <row r="622" spans="1:36" x14ac:dyDescent="0.3">
      <c r="A622">
        <f>COUNTIF($D$2:D622,D622)</f>
        <v>7</v>
      </c>
      <c r="B622" t="str">
        <f t="shared" si="37"/>
        <v>7Doncaster</v>
      </c>
      <c r="C622" t="s">
        <v>2411</v>
      </c>
      <c r="D622" t="s">
        <v>135</v>
      </c>
      <c r="E622">
        <v>11</v>
      </c>
      <c r="F622" t="s">
        <v>2412</v>
      </c>
      <c r="G622" t="s">
        <v>877</v>
      </c>
      <c r="H622" t="s">
        <v>968</v>
      </c>
      <c r="I622" t="s">
        <v>879</v>
      </c>
      <c r="J622">
        <f t="shared" ca="1" si="38"/>
        <v>71000</v>
      </c>
      <c r="K622">
        <f t="shared" ca="1" si="39"/>
        <v>720</v>
      </c>
      <c r="N622" t="str">
        <f t="shared" si="36"/>
        <v>Cumberland7IBCF Market StabilisationResidential PlacementsCare home</v>
      </c>
      <c r="O622" t="s">
        <v>125</v>
      </c>
      <c r="P622" t="s">
        <v>2195</v>
      </c>
      <c r="Q622">
        <v>7</v>
      </c>
      <c r="R622" t="s">
        <v>2211</v>
      </c>
      <c r="S622" t="s">
        <v>2413</v>
      </c>
      <c r="T622" t="s">
        <v>806</v>
      </c>
      <c r="U622" t="s">
        <v>807</v>
      </c>
      <c r="W622">
        <v>760</v>
      </c>
      <c r="X622">
        <v>760</v>
      </c>
      <c r="Y622" t="s">
        <v>808</v>
      </c>
      <c r="Z622" t="s">
        <v>792</v>
      </c>
      <c r="AB622" t="s">
        <v>793</v>
      </c>
      <c r="AD622" t="s">
        <v>794</v>
      </c>
      <c r="AE622" t="s">
        <v>804</v>
      </c>
      <c r="AF622" t="s">
        <v>845</v>
      </c>
      <c r="AG622" t="s">
        <v>797</v>
      </c>
      <c r="AH622">
        <v>3082560</v>
      </c>
      <c r="AI622">
        <v>3082560</v>
      </c>
      <c r="AJ622">
        <v>0.09</v>
      </c>
    </row>
    <row r="623" spans="1:36" x14ac:dyDescent="0.3">
      <c r="A623">
        <f>COUNTIF($D$2:D623,D623)</f>
        <v>8</v>
      </c>
      <c r="B623" t="str">
        <f t="shared" si="37"/>
        <v>8Doncaster</v>
      </c>
      <c r="C623" t="s">
        <v>2414</v>
      </c>
      <c r="D623" t="s">
        <v>135</v>
      </c>
      <c r="E623">
        <v>16</v>
      </c>
      <c r="F623" t="s">
        <v>2415</v>
      </c>
      <c r="G623" t="s">
        <v>787</v>
      </c>
      <c r="H623" t="s">
        <v>1195</v>
      </c>
      <c r="I623" t="s">
        <v>789</v>
      </c>
      <c r="J623">
        <f t="shared" ca="1" si="38"/>
        <v>204000</v>
      </c>
      <c r="K623">
        <f t="shared" ca="1" si="39"/>
        <v>177</v>
      </c>
      <c r="N623" t="str">
        <f t="shared" si="36"/>
        <v>Cumberland7IBCF Market StabilisationHome Care or Domiciliary CareDomiciliary care packages</v>
      </c>
      <c r="O623" t="s">
        <v>125</v>
      </c>
      <c r="P623" t="s">
        <v>2195</v>
      </c>
      <c r="Q623">
        <v>7</v>
      </c>
      <c r="R623" t="s">
        <v>2211</v>
      </c>
      <c r="S623" t="s">
        <v>2416</v>
      </c>
      <c r="T623" t="s">
        <v>842</v>
      </c>
      <c r="U623" t="s">
        <v>843</v>
      </c>
      <c r="W623">
        <v>34100</v>
      </c>
      <c r="X623">
        <v>34100</v>
      </c>
      <c r="Y623" t="s">
        <v>844</v>
      </c>
      <c r="Z623" t="s">
        <v>792</v>
      </c>
      <c r="AB623" t="s">
        <v>793</v>
      </c>
      <c r="AD623" t="s">
        <v>794</v>
      </c>
      <c r="AE623" t="s">
        <v>804</v>
      </c>
      <c r="AF623" t="s">
        <v>845</v>
      </c>
      <c r="AG623" t="s">
        <v>797</v>
      </c>
      <c r="AH623">
        <v>751260</v>
      </c>
      <c r="AI623">
        <v>751260</v>
      </c>
      <c r="AJ623">
        <v>0.05</v>
      </c>
    </row>
    <row r="624" spans="1:36" x14ac:dyDescent="0.3">
      <c r="A624">
        <f>COUNTIF($D$2:D624,D624)</f>
        <v>9</v>
      </c>
      <c r="B624" t="str">
        <f t="shared" si="37"/>
        <v>9Doncaster</v>
      </c>
      <c r="C624" t="s">
        <v>2417</v>
      </c>
      <c r="D624" t="s">
        <v>135</v>
      </c>
      <c r="E624">
        <v>17</v>
      </c>
      <c r="F624" t="s">
        <v>2418</v>
      </c>
      <c r="G624" t="s">
        <v>877</v>
      </c>
      <c r="H624" t="s">
        <v>878</v>
      </c>
      <c r="I624" t="s">
        <v>879</v>
      </c>
      <c r="J624">
        <f t="shared" ca="1" si="38"/>
        <v>167000</v>
      </c>
      <c r="K624">
        <f t="shared" ca="1" si="39"/>
        <v>23</v>
      </c>
      <c r="N624" t="str">
        <f t="shared" si="36"/>
        <v>Cumberland7IBCF Market StabilisationResidential PlacementsCare home</v>
      </c>
      <c r="O624" t="s">
        <v>125</v>
      </c>
      <c r="P624" t="s">
        <v>2195</v>
      </c>
      <c r="Q624">
        <v>7</v>
      </c>
      <c r="R624" t="s">
        <v>2211</v>
      </c>
      <c r="S624" t="s">
        <v>988</v>
      </c>
      <c r="T624" t="s">
        <v>806</v>
      </c>
      <c r="U624" t="s">
        <v>807</v>
      </c>
      <c r="W624">
        <v>62</v>
      </c>
      <c r="X624">
        <v>62</v>
      </c>
      <c r="Y624" t="s">
        <v>808</v>
      </c>
      <c r="Z624" t="s">
        <v>792</v>
      </c>
      <c r="AB624" t="s">
        <v>793</v>
      </c>
      <c r="AD624" t="s">
        <v>794</v>
      </c>
      <c r="AE624" t="s">
        <v>804</v>
      </c>
      <c r="AF624" t="s">
        <v>845</v>
      </c>
      <c r="AG624" t="s">
        <v>797</v>
      </c>
      <c r="AH624">
        <v>2716683</v>
      </c>
      <c r="AI624">
        <v>2716683</v>
      </c>
      <c r="AJ624">
        <v>0.09</v>
      </c>
    </row>
    <row r="625" spans="1:36" x14ac:dyDescent="0.3">
      <c r="A625">
        <f>COUNTIF($D$2:D625,D625)</f>
        <v>10</v>
      </c>
      <c r="B625" t="str">
        <f t="shared" si="37"/>
        <v>10Doncaster</v>
      </c>
      <c r="C625" t="s">
        <v>2419</v>
      </c>
      <c r="D625" t="s">
        <v>135</v>
      </c>
      <c r="E625">
        <v>25</v>
      </c>
      <c r="F625" t="s">
        <v>2420</v>
      </c>
      <c r="G625" t="s">
        <v>842</v>
      </c>
      <c r="H625" t="s">
        <v>843</v>
      </c>
      <c r="I625" t="s">
        <v>844</v>
      </c>
      <c r="J625">
        <f t="shared" ca="1" si="38"/>
        <v>1087000</v>
      </c>
      <c r="K625">
        <f t="shared" ca="1" si="39"/>
        <v>626000</v>
      </c>
      <c r="N625" t="str">
        <f t="shared" si="36"/>
        <v>Cumberland7IBCF Market StabilisationHome Care or Domiciliary CareDomiciliary care packages</v>
      </c>
      <c r="O625" t="s">
        <v>125</v>
      </c>
      <c r="P625" t="s">
        <v>2195</v>
      </c>
      <c r="Q625">
        <v>7</v>
      </c>
      <c r="R625" t="s">
        <v>2211</v>
      </c>
      <c r="S625" t="s">
        <v>2421</v>
      </c>
      <c r="T625" t="s">
        <v>842</v>
      </c>
      <c r="U625" t="s">
        <v>843</v>
      </c>
      <c r="W625">
        <v>87150</v>
      </c>
      <c r="X625">
        <v>87150</v>
      </c>
      <c r="Y625" t="s">
        <v>844</v>
      </c>
      <c r="Z625" t="s">
        <v>792</v>
      </c>
      <c r="AB625" t="s">
        <v>793</v>
      </c>
      <c r="AD625" t="s">
        <v>794</v>
      </c>
      <c r="AE625" t="s">
        <v>795</v>
      </c>
      <c r="AF625" t="s">
        <v>845</v>
      </c>
      <c r="AG625" t="s">
        <v>797</v>
      </c>
      <c r="AH625">
        <v>1920768</v>
      </c>
      <c r="AI625">
        <v>1920768</v>
      </c>
      <c r="AJ625">
        <v>0.95</v>
      </c>
    </row>
    <row r="626" spans="1:36" x14ac:dyDescent="0.3">
      <c r="A626">
        <f>COUNTIF($D$2:D626,D626)</f>
        <v>11</v>
      </c>
      <c r="B626" t="str">
        <f t="shared" si="37"/>
        <v>11Doncaster</v>
      </c>
      <c r="C626" t="s">
        <v>2422</v>
      </c>
      <c r="D626" t="s">
        <v>135</v>
      </c>
      <c r="E626">
        <v>27</v>
      </c>
      <c r="F626" t="s">
        <v>2420</v>
      </c>
      <c r="G626" t="s">
        <v>806</v>
      </c>
      <c r="H626" t="s">
        <v>854</v>
      </c>
      <c r="I626" t="s">
        <v>808</v>
      </c>
      <c r="J626">
        <f t="shared" ca="1" si="38"/>
        <v>1056000</v>
      </c>
      <c r="K626">
        <f t="shared" ca="1" si="39"/>
        <v>330</v>
      </c>
      <c r="N626" t="str">
        <f t="shared" si="36"/>
        <v>Darlington9Community Integrated Care Core Beds (Rydal)Bed based intermediate Care Services (Reablement, rehabilitation, wider short-term services supporting recovery)Bed-based intermediate care with rehabilitation (to support discharge)</v>
      </c>
      <c r="O626" t="s">
        <v>127</v>
      </c>
      <c r="P626" t="s">
        <v>2195</v>
      </c>
      <c r="Q626">
        <v>9</v>
      </c>
      <c r="R626" t="s">
        <v>2216</v>
      </c>
      <c r="S626" t="s">
        <v>2423</v>
      </c>
      <c r="T626" t="s">
        <v>877</v>
      </c>
      <c r="U626" t="s">
        <v>968</v>
      </c>
      <c r="W626">
        <v>225</v>
      </c>
      <c r="X626">
        <v>225</v>
      </c>
      <c r="Y626" t="s">
        <v>879</v>
      </c>
      <c r="Z626" t="s">
        <v>823</v>
      </c>
      <c r="AB626" t="s">
        <v>824</v>
      </c>
      <c r="AD626" t="s">
        <v>794</v>
      </c>
      <c r="AE626" t="s">
        <v>832</v>
      </c>
      <c r="AF626" t="s">
        <v>796</v>
      </c>
      <c r="AG626" t="s">
        <v>797</v>
      </c>
      <c r="AH626">
        <v>808098</v>
      </c>
      <c r="AI626">
        <v>853836.34680000006</v>
      </c>
      <c r="AJ626">
        <v>0.66</v>
      </c>
    </row>
    <row r="627" spans="1:36" x14ac:dyDescent="0.3">
      <c r="A627">
        <f>COUNTIF($D$2:D627,D627)</f>
        <v>12</v>
      </c>
      <c r="B627" t="str">
        <f t="shared" si="37"/>
        <v>12Doncaster</v>
      </c>
      <c r="C627" t="s">
        <v>2424</v>
      </c>
      <c r="D627" t="s">
        <v>135</v>
      </c>
      <c r="E627">
        <v>28</v>
      </c>
      <c r="F627" t="s">
        <v>2420</v>
      </c>
      <c r="G627" t="s">
        <v>806</v>
      </c>
      <c r="H627" t="s">
        <v>807</v>
      </c>
      <c r="I627" t="s">
        <v>808</v>
      </c>
      <c r="J627">
        <f t="shared" ca="1" si="38"/>
        <v>2072000</v>
      </c>
      <c r="K627">
        <f t="shared" ca="1" si="39"/>
        <v>802</v>
      </c>
      <c r="N627" t="str">
        <f t="shared" si="36"/>
        <v>Darlington11RiACT Health StaffCommunity Based SchemesMultidisciplinary teams that are supporting independence, such as anticipatory care</v>
      </c>
      <c r="O627" t="s">
        <v>127</v>
      </c>
      <c r="P627" t="s">
        <v>2195</v>
      </c>
      <c r="Q627">
        <v>11</v>
      </c>
      <c r="R627" t="s">
        <v>2219</v>
      </c>
      <c r="S627" t="s">
        <v>2425</v>
      </c>
      <c r="T627" t="s">
        <v>1453</v>
      </c>
      <c r="U627" t="s">
        <v>1454</v>
      </c>
      <c r="W627">
        <v>20</v>
      </c>
      <c r="X627">
        <v>20</v>
      </c>
      <c r="Y627" t="s">
        <v>794</v>
      </c>
      <c r="Z627" t="s">
        <v>823</v>
      </c>
      <c r="AB627" t="s">
        <v>824</v>
      </c>
      <c r="AD627" t="s">
        <v>794</v>
      </c>
      <c r="AE627" t="s">
        <v>832</v>
      </c>
      <c r="AF627" t="s">
        <v>796</v>
      </c>
      <c r="AG627" t="s">
        <v>797</v>
      </c>
      <c r="AH627">
        <v>1068618.014</v>
      </c>
      <c r="AI627">
        <v>1087853.1382520001</v>
      </c>
      <c r="AJ627">
        <v>0.01</v>
      </c>
    </row>
    <row r="628" spans="1:36" x14ac:dyDescent="0.3">
      <c r="A628">
        <f>COUNTIF($D$2:D628,D628)</f>
        <v>13</v>
      </c>
      <c r="B628" t="str">
        <f t="shared" si="37"/>
        <v>13Doncaster</v>
      </c>
      <c r="C628" t="s">
        <v>2426</v>
      </c>
      <c r="D628" t="s">
        <v>135</v>
      </c>
      <c r="E628">
        <v>29</v>
      </c>
      <c r="F628" t="s">
        <v>2420</v>
      </c>
      <c r="G628" t="s">
        <v>806</v>
      </c>
      <c r="H628" t="s">
        <v>917</v>
      </c>
      <c r="I628" t="s">
        <v>808</v>
      </c>
      <c r="J628">
        <f t="shared" ca="1" si="38"/>
        <v>305000</v>
      </c>
      <c r="K628">
        <f t="shared" ca="1" si="39"/>
        <v>132</v>
      </c>
      <c r="N628" t="str">
        <f t="shared" si="36"/>
        <v>Darlington19Telecare (OOH response team)Assistive Technologies and EquipmentAssistive technologies including telecare</v>
      </c>
      <c r="O628" t="s">
        <v>127</v>
      </c>
      <c r="P628" t="s">
        <v>2195</v>
      </c>
      <c r="Q628">
        <v>19</v>
      </c>
      <c r="R628" t="s">
        <v>2222</v>
      </c>
      <c r="S628" t="s">
        <v>2427</v>
      </c>
      <c r="T628" t="s">
        <v>800</v>
      </c>
      <c r="U628" t="s">
        <v>850</v>
      </c>
      <c r="W628">
        <v>126</v>
      </c>
      <c r="X628">
        <v>126</v>
      </c>
      <c r="Y628" t="s">
        <v>802</v>
      </c>
      <c r="Z628" t="s">
        <v>792</v>
      </c>
      <c r="AB628" t="s">
        <v>793</v>
      </c>
      <c r="AD628" t="s">
        <v>794</v>
      </c>
      <c r="AE628" t="s">
        <v>804</v>
      </c>
      <c r="AF628" t="s">
        <v>796</v>
      </c>
      <c r="AG628" t="s">
        <v>797</v>
      </c>
      <c r="AH628">
        <v>19924</v>
      </c>
      <c r="AI628">
        <v>21052</v>
      </c>
      <c r="AJ628">
        <v>0.01</v>
      </c>
    </row>
    <row r="629" spans="1:36" x14ac:dyDescent="0.3">
      <c r="A629">
        <f>COUNTIF($D$2:D629,D629)</f>
        <v>14</v>
      </c>
      <c r="B629" t="str">
        <f t="shared" si="37"/>
        <v>14Doncaster</v>
      </c>
      <c r="C629" t="s">
        <v>2428</v>
      </c>
      <c r="D629" t="s">
        <v>135</v>
      </c>
      <c r="E629">
        <v>30</v>
      </c>
      <c r="F629" t="s">
        <v>2429</v>
      </c>
      <c r="G629" t="s">
        <v>806</v>
      </c>
      <c r="H629" t="s">
        <v>917</v>
      </c>
      <c r="I629" t="s">
        <v>808</v>
      </c>
      <c r="J629">
        <f t="shared" ca="1" si="38"/>
        <v>255000</v>
      </c>
      <c r="K629">
        <f t="shared" ca="1" si="39"/>
        <v>132</v>
      </c>
      <c r="N629" t="str">
        <f t="shared" si="36"/>
        <v>Darlington20Assistive TechnologyAssistive Technologies and EquipmentOther</v>
      </c>
      <c r="O629" t="s">
        <v>127</v>
      </c>
      <c r="P629" t="s">
        <v>2195</v>
      </c>
      <c r="Q629">
        <v>20</v>
      </c>
      <c r="R629" t="s">
        <v>1578</v>
      </c>
      <c r="S629" t="s">
        <v>2430</v>
      </c>
      <c r="T629" t="s">
        <v>800</v>
      </c>
      <c r="U629" t="s">
        <v>812</v>
      </c>
      <c r="V629" t="s">
        <v>2431</v>
      </c>
      <c r="W629">
        <v>50</v>
      </c>
      <c r="X629">
        <v>50</v>
      </c>
      <c r="Y629" t="s">
        <v>802</v>
      </c>
      <c r="Z629" t="s">
        <v>792</v>
      </c>
      <c r="AB629" t="s">
        <v>793</v>
      </c>
      <c r="AD629" t="s">
        <v>794</v>
      </c>
      <c r="AE629" t="s">
        <v>795</v>
      </c>
      <c r="AF629" t="s">
        <v>796</v>
      </c>
      <c r="AG629" t="s">
        <v>797</v>
      </c>
      <c r="AH629">
        <v>53131</v>
      </c>
      <c r="AI629">
        <v>56138</v>
      </c>
      <c r="AJ629">
        <v>0.01</v>
      </c>
    </row>
    <row r="630" spans="1:36" x14ac:dyDescent="0.3">
      <c r="A630">
        <f>COUNTIF($D$2:D630,D630)</f>
        <v>15</v>
      </c>
      <c r="B630" t="str">
        <f t="shared" si="37"/>
        <v>15Doncaster</v>
      </c>
      <c r="C630" t="s">
        <v>2432</v>
      </c>
      <c r="D630" t="s">
        <v>135</v>
      </c>
      <c r="E630">
        <v>32</v>
      </c>
      <c r="F630" t="s">
        <v>2433</v>
      </c>
      <c r="G630" t="s">
        <v>842</v>
      </c>
      <c r="H630" t="s">
        <v>856</v>
      </c>
      <c r="I630" t="s">
        <v>844</v>
      </c>
      <c r="J630">
        <f t="shared" ca="1" si="38"/>
        <v>357000</v>
      </c>
      <c r="K630">
        <f t="shared" ca="1" si="39"/>
        <v>14512</v>
      </c>
      <c r="N630" t="str">
        <f t="shared" si="36"/>
        <v>Darlington28Adult CarersCarers ServicesCarer advice and support related to Care Act duties</v>
      </c>
      <c r="O630" t="s">
        <v>127</v>
      </c>
      <c r="P630" t="s">
        <v>2195</v>
      </c>
      <c r="Q630">
        <v>28</v>
      </c>
      <c r="R630" t="s">
        <v>2226</v>
      </c>
      <c r="S630" t="s">
        <v>2434</v>
      </c>
      <c r="T630" t="s">
        <v>811</v>
      </c>
      <c r="U630" t="s">
        <v>895</v>
      </c>
      <c r="W630">
        <v>2537</v>
      </c>
      <c r="X630">
        <v>2537</v>
      </c>
      <c r="Y630" t="s">
        <v>813</v>
      </c>
      <c r="Z630" t="s">
        <v>792</v>
      </c>
      <c r="AB630" t="s">
        <v>793</v>
      </c>
      <c r="AD630" t="s">
        <v>794</v>
      </c>
      <c r="AE630" t="s">
        <v>795</v>
      </c>
      <c r="AF630" t="s">
        <v>796</v>
      </c>
      <c r="AG630" t="s">
        <v>797</v>
      </c>
      <c r="AH630">
        <v>113418</v>
      </c>
      <c r="AI630">
        <v>119838</v>
      </c>
      <c r="AJ630">
        <v>0.03</v>
      </c>
    </row>
    <row r="631" spans="1:36" x14ac:dyDescent="0.3">
      <c r="A631">
        <f>COUNTIF($D$2:D631,D631)</f>
        <v>16</v>
      </c>
      <c r="B631" t="str">
        <f t="shared" si="37"/>
        <v>16Doncaster</v>
      </c>
      <c r="C631" t="s">
        <v>2435</v>
      </c>
      <c r="D631" t="s">
        <v>135</v>
      </c>
      <c r="E631">
        <v>33</v>
      </c>
      <c r="F631" t="s">
        <v>2436</v>
      </c>
      <c r="G631" t="s">
        <v>806</v>
      </c>
      <c r="H631" t="s">
        <v>934</v>
      </c>
      <c r="I631" t="s">
        <v>808</v>
      </c>
      <c r="J631">
        <f t="shared" ca="1" si="38"/>
        <v>792000</v>
      </c>
      <c r="K631">
        <f t="shared" ca="1" si="39"/>
        <v>1081</v>
      </c>
      <c r="N631" t="str">
        <f t="shared" si="36"/>
        <v>Darlington29Adult Carer BreaksCarers ServicesRespite services</v>
      </c>
      <c r="O631" t="s">
        <v>127</v>
      </c>
      <c r="P631" t="s">
        <v>2195</v>
      </c>
      <c r="Q631">
        <v>29</v>
      </c>
      <c r="R631" t="s">
        <v>2229</v>
      </c>
      <c r="S631" t="s">
        <v>2437</v>
      </c>
      <c r="T631" t="s">
        <v>811</v>
      </c>
      <c r="U631" t="s">
        <v>830</v>
      </c>
      <c r="W631">
        <v>53</v>
      </c>
      <c r="X631">
        <v>53</v>
      </c>
      <c r="Y631" t="s">
        <v>813</v>
      </c>
      <c r="Z631" t="s">
        <v>792</v>
      </c>
      <c r="AB631" t="s">
        <v>793</v>
      </c>
      <c r="AD631" t="s">
        <v>794</v>
      </c>
      <c r="AE631" t="s">
        <v>825</v>
      </c>
      <c r="AF631" t="s">
        <v>796</v>
      </c>
      <c r="AG631" t="s">
        <v>797</v>
      </c>
      <c r="AH631">
        <v>121721</v>
      </c>
      <c r="AI631">
        <v>128610</v>
      </c>
      <c r="AJ631">
        <v>0.03</v>
      </c>
    </row>
    <row r="632" spans="1:36" x14ac:dyDescent="0.3">
      <c r="A632">
        <f>COUNTIF($D$2:D632,D632)</f>
        <v>17</v>
      </c>
      <c r="B632" t="str">
        <f t="shared" si="37"/>
        <v>17Doncaster</v>
      </c>
      <c r="C632" t="s">
        <v>2438</v>
      </c>
      <c r="D632" t="s">
        <v>135</v>
      </c>
      <c r="E632">
        <v>34</v>
      </c>
      <c r="F632" t="s">
        <v>2439</v>
      </c>
      <c r="G632" t="s">
        <v>806</v>
      </c>
      <c r="H632" t="s">
        <v>854</v>
      </c>
      <c r="I632" t="s">
        <v>808</v>
      </c>
      <c r="J632">
        <f t="shared" ca="1" si="38"/>
        <v>1323000</v>
      </c>
      <c r="K632">
        <f t="shared" ca="1" si="39"/>
        <v>330</v>
      </c>
      <c r="N632" t="str">
        <f t="shared" si="36"/>
        <v>Darlington31Young CarersCarers ServicesCarer advice and support related to Care Act duties</v>
      </c>
      <c r="O632" t="s">
        <v>127</v>
      </c>
      <c r="P632" t="s">
        <v>2195</v>
      </c>
      <c r="Q632">
        <v>31</v>
      </c>
      <c r="R632" t="s">
        <v>2232</v>
      </c>
      <c r="S632" t="s">
        <v>2440</v>
      </c>
      <c r="T632" t="s">
        <v>811</v>
      </c>
      <c r="U632" t="s">
        <v>895</v>
      </c>
      <c r="W632">
        <v>95</v>
      </c>
      <c r="X632">
        <v>95</v>
      </c>
      <c r="Y632" t="s">
        <v>813</v>
      </c>
      <c r="Z632" t="s">
        <v>792</v>
      </c>
      <c r="AB632" t="s">
        <v>793</v>
      </c>
      <c r="AD632" t="s">
        <v>794</v>
      </c>
      <c r="AE632" t="s">
        <v>795</v>
      </c>
      <c r="AF632" t="s">
        <v>796</v>
      </c>
      <c r="AG632" t="s">
        <v>797</v>
      </c>
      <c r="AH632">
        <v>90767</v>
      </c>
      <c r="AI632">
        <v>95904</v>
      </c>
      <c r="AJ632">
        <v>0.02</v>
      </c>
    </row>
    <row r="633" spans="1:36" x14ac:dyDescent="0.3">
      <c r="A633">
        <f>COUNTIF($D$2:D633,D633)</f>
        <v>18</v>
      </c>
      <c r="B633" t="str">
        <f t="shared" si="37"/>
        <v>18Doncaster</v>
      </c>
      <c r="C633" t="s">
        <v>2441</v>
      </c>
      <c r="D633" t="s">
        <v>135</v>
      </c>
      <c r="E633">
        <v>36</v>
      </c>
      <c r="F633" t="s">
        <v>2442</v>
      </c>
      <c r="G633" t="s">
        <v>842</v>
      </c>
      <c r="H633" t="s">
        <v>843</v>
      </c>
      <c r="I633" t="s">
        <v>844</v>
      </c>
      <c r="J633">
        <f t="shared" ca="1" si="38"/>
        <v>129200</v>
      </c>
      <c r="K633">
        <f t="shared" ca="1" si="39"/>
        <v>5244</v>
      </c>
      <c r="N633" t="str">
        <f t="shared" si="36"/>
        <v xml:space="preserve">Darlington36Rapid Response  Home-based intermediate care servicesReablement at home (to support discharge) </v>
      </c>
      <c r="O633" t="s">
        <v>127</v>
      </c>
      <c r="P633" t="s">
        <v>2195</v>
      </c>
      <c r="Q633">
        <v>36</v>
      </c>
      <c r="R633" t="s">
        <v>2234</v>
      </c>
      <c r="S633" t="s">
        <v>2443</v>
      </c>
      <c r="T633" t="s">
        <v>787</v>
      </c>
      <c r="U633" t="s">
        <v>788</v>
      </c>
      <c r="W633">
        <v>175</v>
      </c>
      <c r="X633">
        <v>175</v>
      </c>
      <c r="Y633" t="s">
        <v>789</v>
      </c>
      <c r="Z633" t="s">
        <v>792</v>
      </c>
      <c r="AB633" t="s">
        <v>793</v>
      </c>
      <c r="AD633" t="s">
        <v>794</v>
      </c>
      <c r="AE633" t="s">
        <v>795</v>
      </c>
      <c r="AF633" t="s">
        <v>1029</v>
      </c>
      <c r="AG633" t="s">
        <v>797</v>
      </c>
      <c r="AH633">
        <v>87081</v>
      </c>
      <c r="AI633">
        <v>87081</v>
      </c>
      <c r="AJ633">
        <v>0.02</v>
      </c>
    </row>
    <row r="634" spans="1:36" x14ac:dyDescent="0.3">
      <c r="A634">
        <f>COUNTIF($D$2:D634,D634)</f>
        <v>19</v>
      </c>
      <c r="B634" t="str">
        <f t="shared" si="37"/>
        <v>19Doncaster</v>
      </c>
      <c r="C634" t="s">
        <v>2444</v>
      </c>
      <c r="D634" t="s">
        <v>135</v>
      </c>
      <c r="E634">
        <v>37</v>
      </c>
      <c r="F634" t="s">
        <v>2445</v>
      </c>
      <c r="G634" t="s">
        <v>806</v>
      </c>
      <c r="H634" t="s">
        <v>807</v>
      </c>
      <c r="I634" t="s">
        <v>808</v>
      </c>
      <c r="J634">
        <f t="shared" ca="1" si="38"/>
        <v>112000</v>
      </c>
      <c r="K634">
        <f t="shared" ca="1" si="39"/>
        <v>3</v>
      </c>
      <c r="N634" t="str">
        <f t="shared" si="36"/>
        <v>Darlington37Adult Carers Support Co-ordinatorCarers ServicesCarer advice and support related to Care Act duties</v>
      </c>
      <c r="O634" t="s">
        <v>127</v>
      </c>
      <c r="P634" t="s">
        <v>2195</v>
      </c>
      <c r="Q634">
        <v>37</v>
      </c>
      <c r="R634" t="s">
        <v>2236</v>
      </c>
      <c r="S634" t="s">
        <v>2446</v>
      </c>
      <c r="T634" t="s">
        <v>811</v>
      </c>
      <c r="U634" t="s">
        <v>895</v>
      </c>
      <c r="W634">
        <v>5</v>
      </c>
      <c r="X634">
        <v>5</v>
      </c>
      <c r="Y634" t="s">
        <v>813</v>
      </c>
      <c r="Z634" t="s">
        <v>792</v>
      </c>
      <c r="AB634" t="s">
        <v>793</v>
      </c>
      <c r="AD634" t="s">
        <v>794</v>
      </c>
      <c r="AE634" t="s">
        <v>795</v>
      </c>
      <c r="AF634" t="s">
        <v>796</v>
      </c>
      <c r="AG634" t="s">
        <v>797</v>
      </c>
      <c r="AH634">
        <v>16832</v>
      </c>
      <c r="AI634">
        <v>17785</v>
      </c>
      <c r="AJ634">
        <v>0</v>
      </c>
    </row>
    <row r="635" spans="1:36" x14ac:dyDescent="0.3">
      <c r="A635">
        <f>COUNTIF($D$2:D635,D635)</f>
        <v>20</v>
      </c>
      <c r="B635" t="str">
        <f t="shared" si="37"/>
        <v>20Doncaster</v>
      </c>
      <c r="C635" t="s">
        <v>2447</v>
      </c>
      <c r="D635" t="s">
        <v>135</v>
      </c>
      <c r="E635">
        <v>41</v>
      </c>
      <c r="F635" t="s">
        <v>2448</v>
      </c>
      <c r="G635" t="s">
        <v>806</v>
      </c>
      <c r="H635" t="s">
        <v>854</v>
      </c>
      <c r="I635" t="s">
        <v>808</v>
      </c>
      <c r="J635">
        <f t="shared" ca="1" si="38"/>
        <v>1060000</v>
      </c>
      <c r="K635">
        <f t="shared" ca="1" si="39"/>
        <v>17</v>
      </c>
      <c r="N635" t="str">
        <f t="shared" si="36"/>
        <v>Darlington44HealthcallAssistive Technologies and EquipmentCommunity based equipment</v>
      </c>
      <c r="O635" t="s">
        <v>127</v>
      </c>
      <c r="P635" t="s">
        <v>2195</v>
      </c>
      <c r="Q635">
        <v>44</v>
      </c>
      <c r="R635" t="s">
        <v>2239</v>
      </c>
      <c r="S635" t="s">
        <v>2449</v>
      </c>
      <c r="T635" t="s">
        <v>800</v>
      </c>
      <c r="U635" t="s">
        <v>903</v>
      </c>
      <c r="W635">
        <v>730</v>
      </c>
      <c r="X635">
        <v>730</v>
      </c>
      <c r="Y635" t="s">
        <v>802</v>
      </c>
      <c r="AB635" t="s">
        <v>824</v>
      </c>
      <c r="AD635" t="s">
        <v>794</v>
      </c>
      <c r="AE635" t="s">
        <v>824</v>
      </c>
      <c r="AF635" t="s">
        <v>796</v>
      </c>
      <c r="AG635" t="s">
        <v>861</v>
      </c>
      <c r="AH635">
        <v>51434</v>
      </c>
      <c r="AI635">
        <v>54005.7</v>
      </c>
      <c r="AJ635">
        <v>0.01</v>
      </c>
    </row>
    <row r="636" spans="1:36" x14ac:dyDescent="0.3">
      <c r="A636">
        <f>COUNTIF($D$2:D636,D636)</f>
        <v>21</v>
      </c>
      <c r="B636" t="str">
        <f t="shared" si="37"/>
        <v>21Doncaster</v>
      </c>
      <c r="C636" t="s">
        <v>2450</v>
      </c>
      <c r="D636" t="s">
        <v>135</v>
      </c>
      <c r="E636">
        <v>44</v>
      </c>
      <c r="F636" t="s">
        <v>2451</v>
      </c>
      <c r="G636" t="s">
        <v>842</v>
      </c>
      <c r="H636" t="s">
        <v>856</v>
      </c>
      <c r="I636" t="s">
        <v>844</v>
      </c>
      <c r="J636">
        <f t="shared" ca="1" si="38"/>
        <v>74390</v>
      </c>
      <c r="K636">
        <f t="shared" ca="1" si="39"/>
        <v>3024</v>
      </c>
      <c r="N636" t="str">
        <f t="shared" si="36"/>
        <v>Darlington48Adaptations and equipmentDFG Related SchemesAdaptations, including statutory DFG grants</v>
      </c>
      <c r="O636" t="s">
        <v>127</v>
      </c>
      <c r="P636" t="s">
        <v>2195</v>
      </c>
      <c r="Q636">
        <v>48</v>
      </c>
      <c r="R636" t="s">
        <v>2242</v>
      </c>
      <c r="S636" t="s">
        <v>2452</v>
      </c>
      <c r="T636" t="s">
        <v>834</v>
      </c>
      <c r="U636" t="s">
        <v>835</v>
      </c>
      <c r="W636">
        <v>147</v>
      </c>
      <c r="X636">
        <v>171</v>
      </c>
      <c r="Y636" t="s">
        <v>836</v>
      </c>
      <c r="Z636" t="s">
        <v>792</v>
      </c>
      <c r="AB636" t="s">
        <v>793</v>
      </c>
      <c r="AD636" t="s">
        <v>794</v>
      </c>
      <c r="AE636" t="s">
        <v>795</v>
      </c>
      <c r="AF636" t="s">
        <v>840</v>
      </c>
      <c r="AG636" t="s">
        <v>797</v>
      </c>
      <c r="AH636">
        <v>1063345</v>
      </c>
      <c r="AI636">
        <v>1123530.327</v>
      </c>
      <c r="AJ636">
        <v>1</v>
      </c>
    </row>
    <row r="637" spans="1:36" x14ac:dyDescent="0.3">
      <c r="A637">
        <f>COUNTIF($D$2:D637,D637)</f>
        <v>22</v>
      </c>
      <c r="B637" t="str">
        <f t="shared" si="37"/>
        <v>22Doncaster</v>
      </c>
      <c r="C637" t="s">
        <v>2453</v>
      </c>
      <c r="D637" t="s">
        <v>135</v>
      </c>
      <c r="E637">
        <v>45</v>
      </c>
      <c r="F637" t="s">
        <v>891</v>
      </c>
      <c r="G637" t="s">
        <v>834</v>
      </c>
      <c r="H637" t="s">
        <v>835</v>
      </c>
      <c r="I637" t="s">
        <v>836</v>
      </c>
      <c r="J637">
        <f t="shared" ca="1" si="38"/>
        <v>2782137</v>
      </c>
      <c r="K637">
        <f t="shared" ca="1" si="39"/>
        <v>200</v>
      </c>
      <c r="N637" t="str">
        <f t="shared" si="36"/>
        <v>Darlington51Adult Social CareWorkforce recruitment and retention</v>
      </c>
      <c r="O637" t="s">
        <v>127</v>
      </c>
      <c r="P637" t="s">
        <v>2195</v>
      </c>
      <c r="Q637">
        <v>51</v>
      </c>
      <c r="R637" t="s">
        <v>1328</v>
      </c>
      <c r="S637" t="s">
        <v>2454</v>
      </c>
      <c r="T637" t="s">
        <v>2245</v>
      </c>
      <c r="W637">
        <v>1</v>
      </c>
      <c r="X637">
        <v>1</v>
      </c>
      <c r="Y637" t="s">
        <v>794</v>
      </c>
      <c r="Z637" t="s">
        <v>792</v>
      </c>
      <c r="AB637" t="s">
        <v>793</v>
      </c>
      <c r="AD637" t="s">
        <v>794</v>
      </c>
      <c r="AE637" t="s">
        <v>795</v>
      </c>
      <c r="AF637" t="s">
        <v>864</v>
      </c>
      <c r="AG637" t="s">
        <v>861</v>
      </c>
      <c r="AH637">
        <v>78210</v>
      </c>
      <c r="AI637">
        <v>82636.686000000002</v>
      </c>
      <c r="AJ637">
        <v>0.12</v>
      </c>
    </row>
    <row r="638" spans="1:36" x14ac:dyDescent="0.3">
      <c r="A638">
        <f>COUNTIF($D$2:D638,D638)</f>
        <v>23</v>
      </c>
      <c r="B638" t="str">
        <f t="shared" si="37"/>
        <v>23Doncaster</v>
      </c>
      <c r="C638" t="s">
        <v>2455</v>
      </c>
      <c r="D638" t="s">
        <v>135</v>
      </c>
      <c r="E638">
        <v>46</v>
      </c>
      <c r="F638" t="s">
        <v>891</v>
      </c>
      <c r="G638" t="s">
        <v>834</v>
      </c>
      <c r="H638" t="s">
        <v>835</v>
      </c>
      <c r="I638" t="s">
        <v>836</v>
      </c>
      <c r="J638">
        <f t="shared" ca="1" si="38"/>
        <v>2026282</v>
      </c>
      <c r="K638">
        <f t="shared" ca="1" si="39"/>
        <v>200</v>
      </c>
      <c r="N638" t="str">
        <f t="shared" si="36"/>
        <v>Darlington52BrokerageWorkforce recruitment and retention</v>
      </c>
      <c r="O638" t="s">
        <v>127</v>
      </c>
      <c r="P638" t="s">
        <v>2195</v>
      </c>
      <c r="Q638">
        <v>52</v>
      </c>
      <c r="R638" t="s">
        <v>2248</v>
      </c>
      <c r="S638" t="s">
        <v>2456</v>
      </c>
      <c r="T638" t="s">
        <v>2245</v>
      </c>
      <c r="W638">
        <v>1</v>
      </c>
      <c r="X638">
        <v>1</v>
      </c>
      <c r="Y638" t="s">
        <v>794</v>
      </c>
      <c r="Z638" t="s">
        <v>792</v>
      </c>
      <c r="AB638" t="s">
        <v>793</v>
      </c>
      <c r="AD638" t="s">
        <v>794</v>
      </c>
      <c r="AE638" t="s">
        <v>795</v>
      </c>
      <c r="AF638" t="s">
        <v>864</v>
      </c>
      <c r="AG638" t="s">
        <v>861</v>
      </c>
      <c r="AH638">
        <v>41192</v>
      </c>
      <c r="AI638">
        <v>43523.467199999999</v>
      </c>
      <c r="AJ638">
        <v>7.0000000000000007E-2</v>
      </c>
    </row>
    <row r="639" spans="1:36" x14ac:dyDescent="0.3">
      <c r="A639">
        <f>COUNTIF($D$2:D639,D639)</f>
        <v>24</v>
      </c>
      <c r="B639" t="str">
        <f t="shared" si="37"/>
        <v>24Doncaster</v>
      </c>
      <c r="C639" t="s">
        <v>2457</v>
      </c>
      <c r="D639" t="s">
        <v>135</v>
      </c>
      <c r="E639">
        <v>47</v>
      </c>
      <c r="F639" t="s">
        <v>2458</v>
      </c>
      <c r="G639" t="s">
        <v>787</v>
      </c>
      <c r="H639" t="s">
        <v>1195</v>
      </c>
      <c r="I639" t="s">
        <v>789</v>
      </c>
      <c r="J639">
        <f t="shared" ca="1" si="38"/>
        <v>72000</v>
      </c>
      <c r="K639">
        <f t="shared" ca="1" si="39"/>
        <v>360</v>
      </c>
      <c r="N639" t="str">
        <f t="shared" si="36"/>
        <v>Darlington55Domiciliary Care - Rapid Response ServiceHome-based intermediate care servicesReablement at home (to prevent admission to hospital or residential care)</v>
      </c>
      <c r="O639" t="s">
        <v>127</v>
      </c>
      <c r="P639" t="s">
        <v>2195</v>
      </c>
      <c r="Q639">
        <v>55</v>
      </c>
      <c r="R639" t="s">
        <v>2251</v>
      </c>
      <c r="S639" t="s">
        <v>2459</v>
      </c>
      <c r="T639" t="s">
        <v>787</v>
      </c>
      <c r="U639" t="s">
        <v>886</v>
      </c>
      <c r="W639">
        <v>75</v>
      </c>
      <c r="X639">
        <v>75</v>
      </c>
      <c r="Y639" t="s">
        <v>789</v>
      </c>
      <c r="Z639" t="s">
        <v>792</v>
      </c>
      <c r="AB639" t="s">
        <v>793</v>
      </c>
      <c r="AD639" t="s">
        <v>794</v>
      </c>
      <c r="AE639" t="s">
        <v>795</v>
      </c>
      <c r="AF639" t="s">
        <v>864</v>
      </c>
      <c r="AG639" t="s">
        <v>2460</v>
      </c>
      <c r="AH639">
        <v>58200</v>
      </c>
      <c r="AI639">
        <v>61494.12</v>
      </c>
      <c r="AJ639">
        <v>0.09</v>
      </c>
    </row>
    <row r="640" spans="1:36" x14ac:dyDescent="0.3">
      <c r="A640">
        <f>COUNTIF($D$2:D640,D640)</f>
        <v>25</v>
      </c>
      <c r="B640" t="str">
        <f t="shared" si="37"/>
        <v>25Doncaster</v>
      </c>
      <c r="C640" t="s">
        <v>2461</v>
      </c>
      <c r="D640" t="s">
        <v>135</v>
      </c>
      <c r="E640">
        <v>50</v>
      </c>
      <c r="F640" t="s">
        <v>2462</v>
      </c>
      <c r="G640" t="s">
        <v>877</v>
      </c>
      <c r="H640" t="s">
        <v>1015</v>
      </c>
      <c r="I640" t="s">
        <v>879</v>
      </c>
      <c r="J640">
        <f t="shared" ca="1" si="38"/>
        <v>4242000</v>
      </c>
      <c r="K640">
        <f t="shared" ca="1" si="39"/>
        <v>38</v>
      </c>
      <c r="N640" t="str">
        <f t="shared" si="36"/>
        <v>Darlington56Residential &amp; Nursing careBed based intermediate Care Services (Reablement, rehabilitation, wider short-term services supporting recovery)Bed-based intermediate care with reablement accepting step up and step down users</v>
      </c>
      <c r="O640" t="s">
        <v>127</v>
      </c>
      <c r="P640" t="s">
        <v>2195</v>
      </c>
      <c r="Q640">
        <v>56</v>
      </c>
      <c r="R640" t="s">
        <v>2253</v>
      </c>
      <c r="S640" t="s">
        <v>2463</v>
      </c>
      <c r="T640" t="s">
        <v>877</v>
      </c>
      <c r="U640" t="s">
        <v>1259</v>
      </c>
      <c r="W640">
        <v>12</v>
      </c>
      <c r="X640">
        <v>12</v>
      </c>
      <c r="Y640" t="s">
        <v>879</v>
      </c>
      <c r="Z640" t="s">
        <v>792</v>
      </c>
      <c r="AB640" t="s">
        <v>793</v>
      </c>
      <c r="AD640" t="s">
        <v>794</v>
      </c>
      <c r="AE640" t="s">
        <v>795</v>
      </c>
      <c r="AF640" t="s">
        <v>864</v>
      </c>
      <c r="AG640" t="s">
        <v>797</v>
      </c>
      <c r="AH640">
        <v>416156</v>
      </c>
      <c r="AI640">
        <v>439710</v>
      </c>
      <c r="AJ640">
        <v>0.34</v>
      </c>
    </row>
    <row r="641" spans="1:36" x14ac:dyDescent="0.3">
      <c r="A641">
        <f>COUNTIF($D$2:D641,D641)</f>
        <v>26</v>
      </c>
      <c r="B641" t="str">
        <f t="shared" si="37"/>
        <v>26Doncaster</v>
      </c>
      <c r="C641" t="s">
        <v>2464</v>
      </c>
      <c r="D641" t="s">
        <v>135</v>
      </c>
      <c r="E641">
        <v>54</v>
      </c>
      <c r="F641" t="s">
        <v>2465</v>
      </c>
      <c r="G641" t="s">
        <v>811</v>
      </c>
      <c r="H641" t="s">
        <v>830</v>
      </c>
      <c r="I641" t="s">
        <v>813</v>
      </c>
      <c r="J641">
        <f t="shared" ca="1" si="38"/>
        <v>964000</v>
      </c>
      <c r="K641">
        <f t="shared" ca="1" si="39"/>
        <v>400</v>
      </c>
      <c r="N641" t="str">
        <f t="shared" si="36"/>
        <v>Darlington59TOCH - DMT ExpansionWorkforce recruitment and retention</v>
      </c>
      <c r="O641" t="s">
        <v>127</v>
      </c>
      <c r="P641" t="s">
        <v>2195</v>
      </c>
      <c r="Q641">
        <v>59</v>
      </c>
      <c r="R641" t="s">
        <v>2255</v>
      </c>
      <c r="S641" t="s">
        <v>2466</v>
      </c>
      <c r="T641" t="s">
        <v>2245</v>
      </c>
      <c r="W641">
        <v>1</v>
      </c>
      <c r="X641">
        <v>1</v>
      </c>
      <c r="Y641" t="s">
        <v>794</v>
      </c>
      <c r="Z641" t="s">
        <v>1118</v>
      </c>
      <c r="AB641" t="s">
        <v>824</v>
      </c>
      <c r="AD641" t="s">
        <v>794</v>
      </c>
      <c r="AE641" t="s">
        <v>824</v>
      </c>
      <c r="AF641" t="s">
        <v>860</v>
      </c>
      <c r="AG641" t="s">
        <v>861</v>
      </c>
      <c r="AH641">
        <v>28500</v>
      </c>
      <c r="AI641">
        <v>57000</v>
      </c>
      <c r="AJ641">
        <v>0.01</v>
      </c>
    </row>
    <row r="642" spans="1:36" x14ac:dyDescent="0.3">
      <c r="A642">
        <f>COUNTIF($D$2:D642,D642)</f>
        <v>27</v>
      </c>
      <c r="B642" t="str">
        <f t="shared" si="37"/>
        <v>27Doncaster</v>
      </c>
      <c r="C642" t="s">
        <v>2467</v>
      </c>
      <c r="D642" t="s">
        <v>135</v>
      </c>
      <c r="E642">
        <v>59</v>
      </c>
      <c r="F642" t="s">
        <v>2468</v>
      </c>
      <c r="G642" t="s">
        <v>787</v>
      </c>
      <c r="H642" t="s">
        <v>1195</v>
      </c>
      <c r="I642" t="s">
        <v>789</v>
      </c>
      <c r="J642">
        <f t="shared" ca="1" si="38"/>
        <v>651610</v>
      </c>
      <c r="K642">
        <f t="shared" ca="1" si="39"/>
        <v>600</v>
      </c>
      <c r="N642" t="str">
        <f t="shared" ref="N642:N705" si="40">O642&amp;Q642&amp;R642&amp;T642&amp;U642</f>
        <v>Darlington60TOCH - DMT Management StructureWorkforce recruitment and retention</v>
      </c>
      <c r="O642" t="s">
        <v>127</v>
      </c>
      <c r="P642" t="s">
        <v>2195</v>
      </c>
      <c r="Q642">
        <v>60</v>
      </c>
      <c r="R642" t="s">
        <v>2257</v>
      </c>
      <c r="S642" t="s">
        <v>2469</v>
      </c>
      <c r="T642" t="s">
        <v>2245</v>
      </c>
      <c r="W642">
        <v>0.5</v>
      </c>
      <c r="X642">
        <v>0.5</v>
      </c>
      <c r="Y642" t="s">
        <v>794</v>
      </c>
      <c r="Z642" t="s">
        <v>1118</v>
      </c>
      <c r="AB642" t="s">
        <v>824</v>
      </c>
      <c r="AD642" t="s">
        <v>794</v>
      </c>
      <c r="AE642" t="s">
        <v>824</v>
      </c>
      <c r="AF642" t="s">
        <v>860</v>
      </c>
      <c r="AG642" t="s">
        <v>861</v>
      </c>
      <c r="AH642">
        <v>19000</v>
      </c>
      <c r="AI642">
        <v>37500</v>
      </c>
      <c r="AJ642">
        <v>0.01</v>
      </c>
    </row>
    <row r="643" spans="1:36" x14ac:dyDescent="0.3">
      <c r="A643">
        <f>COUNTIF($D$2:D643,D643)</f>
        <v>1</v>
      </c>
      <c r="B643" t="str">
        <f t="shared" ref="B643:B706" si="41">A643&amp;D643</f>
        <v>1Dorset</v>
      </c>
      <c r="C643" t="s">
        <v>2470</v>
      </c>
      <c r="D643" t="s">
        <v>137</v>
      </c>
      <c r="E643">
        <v>2</v>
      </c>
      <c r="F643" t="s">
        <v>2471</v>
      </c>
      <c r="G643" t="s">
        <v>806</v>
      </c>
      <c r="H643" t="s">
        <v>807</v>
      </c>
      <c r="I643" t="s">
        <v>808</v>
      </c>
      <c r="J643">
        <f t="shared" ref="J643:J706" ca="1" si="42">SUMIF($N:$AI,C643,AH:AH)</f>
        <v>4251898</v>
      </c>
      <c r="K643">
        <f t="shared" ref="K643:K706" ca="1" si="43">SUMIF($N:$AI,C643,W:W)</f>
        <v>68</v>
      </c>
      <c r="N643" t="str">
        <f t="shared" si="40"/>
        <v>Darlington62Winter PressuresResidential PlacementsCare home</v>
      </c>
      <c r="O643" t="s">
        <v>127</v>
      </c>
      <c r="P643" t="s">
        <v>2195</v>
      </c>
      <c r="Q643">
        <v>62</v>
      </c>
      <c r="R643" t="s">
        <v>2101</v>
      </c>
      <c r="S643" t="s">
        <v>2472</v>
      </c>
      <c r="T643" t="s">
        <v>806</v>
      </c>
      <c r="U643" t="s">
        <v>807</v>
      </c>
      <c r="W643">
        <v>15</v>
      </c>
      <c r="X643">
        <v>15</v>
      </c>
      <c r="Y643" t="s">
        <v>808</v>
      </c>
      <c r="Z643" t="s">
        <v>792</v>
      </c>
      <c r="AB643" t="s">
        <v>793</v>
      </c>
      <c r="AD643" t="s">
        <v>794</v>
      </c>
      <c r="AE643" t="s">
        <v>795</v>
      </c>
      <c r="AF643" t="s">
        <v>845</v>
      </c>
      <c r="AG643" t="s">
        <v>797</v>
      </c>
      <c r="AH643">
        <v>300000</v>
      </c>
      <c r="AI643">
        <v>300000</v>
      </c>
      <c r="AJ643">
        <v>7.0000000000000007E-2</v>
      </c>
    </row>
    <row r="644" spans="1:36" x14ac:dyDescent="0.3">
      <c r="A644">
        <f>COUNTIF($D$2:D644,D644)</f>
        <v>2</v>
      </c>
      <c r="B644" t="str">
        <f t="shared" si="41"/>
        <v>2Dorset</v>
      </c>
      <c r="C644" t="s">
        <v>2473</v>
      </c>
      <c r="D644" t="s">
        <v>137</v>
      </c>
      <c r="E644">
        <v>3</v>
      </c>
      <c r="F644" t="s">
        <v>2471</v>
      </c>
      <c r="G644" t="s">
        <v>842</v>
      </c>
      <c r="H644" t="s">
        <v>843</v>
      </c>
      <c r="I644" t="s">
        <v>844</v>
      </c>
      <c r="J644">
        <f t="shared" ca="1" si="42"/>
        <v>1241282</v>
      </c>
      <c r="K644">
        <f t="shared" ca="1" si="43"/>
        <v>55</v>
      </c>
      <c r="N644" t="str">
        <f t="shared" si="40"/>
        <v>Darlington65Short Break Stays Carers ServicesRespite services</v>
      </c>
      <c r="O644" t="s">
        <v>127</v>
      </c>
      <c r="P644" t="s">
        <v>2195</v>
      </c>
      <c r="Q644">
        <v>65</v>
      </c>
      <c r="R644" t="s">
        <v>2260</v>
      </c>
      <c r="S644" t="s">
        <v>2474</v>
      </c>
      <c r="T644" t="s">
        <v>811</v>
      </c>
      <c r="U644" t="s">
        <v>830</v>
      </c>
      <c r="W644">
        <v>144</v>
      </c>
      <c r="X644">
        <v>144</v>
      </c>
      <c r="Y644" t="s">
        <v>813</v>
      </c>
      <c r="Z644" t="s">
        <v>792</v>
      </c>
      <c r="AB644" t="s">
        <v>793</v>
      </c>
      <c r="AD644" t="s">
        <v>794</v>
      </c>
      <c r="AE644" t="s">
        <v>795</v>
      </c>
      <c r="AF644" t="s">
        <v>845</v>
      </c>
      <c r="AG644" t="s">
        <v>797</v>
      </c>
      <c r="AH644">
        <v>287418</v>
      </c>
      <c r="AI644">
        <v>292602</v>
      </c>
      <c r="AJ644">
        <v>0.06</v>
      </c>
    </row>
    <row r="645" spans="1:36" x14ac:dyDescent="0.3">
      <c r="A645">
        <f>COUNTIF($D$2:D645,D645)</f>
        <v>3</v>
      </c>
      <c r="B645" t="str">
        <f t="shared" si="41"/>
        <v>3Dorset</v>
      </c>
      <c r="C645" t="s">
        <v>2475</v>
      </c>
      <c r="D645" t="s">
        <v>137</v>
      </c>
      <c r="E645">
        <v>9</v>
      </c>
      <c r="F645" t="s">
        <v>1276</v>
      </c>
      <c r="G645" t="s">
        <v>834</v>
      </c>
      <c r="H645" t="s">
        <v>835</v>
      </c>
      <c r="I645" t="s">
        <v>836</v>
      </c>
      <c r="J645">
        <f t="shared" ca="1" si="42"/>
        <v>4152450</v>
      </c>
      <c r="K645">
        <f t="shared" ca="1" si="43"/>
        <v>1150</v>
      </c>
      <c r="N645" t="str">
        <f t="shared" si="40"/>
        <v>Darlington66Residential CareResidential PlacementsCare home</v>
      </c>
      <c r="O645" t="s">
        <v>127</v>
      </c>
      <c r="P645" t="s">
        <v>2195</v>
      </c>
      <c r="Q645">
        <v>66</v>
      </c>
      <c r="R645" t="s">
        <v>2262</v>
      </c>
      <c r="S645" t="s">
        <v>1622</v>
      </c>
      <c r="T645" t="s">
        <v>806</v>
      </c>
      <c r="U645" t="s">
        <v>807</v>
      </c>
      <c r="W645">
        <v>35</v>
      </c>
      <c r="X645">
        <v>35</v>
      </c>
      <c r="Y645" t="s">
        <v>808</v>
      </c>
      <c r="Z645" t="s">
        <v>792</v>
      </c>
      <c r="AB645" t="s">
        <v>793</v>
      </c>
      <c r="AD645" t="s">
        <v>794</v>
      </c>
      <c r="AE645" t="s">
        <v>795</v>
      </c>
      <c r="AF645" t="s">
        <v>845</v>
      </c>
      <c r="AG645" t="s">
        <v>797</v>
      </c>
      <c r="AH645">
        <v>1660000</v>
      </c>
      <c r="AI645">
        <v>1784623</v>
      </c>
      <c r="AJ645">
        <v>0.37</v>
      </c>
    </row>
    <row r="646" spans="1:36" x14ac:dyDescent="0.3">
      <c r="A646">
        <f>COUNTIF($D$2:D646,D646)</f>
        <v>4</v>
      </c>
      <c r="B646" t="str">
        <f t="shared" si="41"/>
        <v>4Dorset</v>
      </c>
      <c r="C646" t="s">
        <v>2476</v>
      </c>
      <c r="D646" t="s">
        <v>137</v>
      </c>
      <c r="E646">
        <v>10</v>
      </c>
      <c r="F646" t="s">
        <v>1276</v>
      </c>
      <c r="G646" t="s">
        <v>806</v>
      </c>
      <c r="H646" t="s">
        <v>917</v>
      </c>
      <c r="I646" t="s">
        <v>808</v>
      </c>
      <c r="J646">
        <f t="shared" ca="1" si="42"/>
        <v>2525252</v>
      </c>
      <c r="K646">
        <f t="shared" ca="1" si="43"/>
        <v>42</v>
      </c>
      <c r="N646" t="str">
        <f t="shared" si="40"/>
        <v>Darlington67Dom CareHome Care or Domiciliary CareDomiciliary care packages</v>
      </c>
      <c r="O646" t="s">
        <v>127</v>
      </c>
      <c r="P646" t="s">
        <v>2195</v>
      </c>
      <c r="Q646">
        <v>67</v>
      </c>
      <c r="R646" t="s">
        <v>1618</v>
      </c>
      <c r="S646" t="s">
        <v>1386</v>
      </c>
      <c r="T646" t="s">
        <v>842</v>
      </c>
      <c r="U646" t="s">
        <v>843</v>
      </c>
      <c r="W646">
        <v>47072</v>
      </c>
      <c r="X646">
        <v>47072</v>
      </c>
      <c r="Y646" t="s">
        <v>844</v>
      </c>
      <c r="Z646" t="s">
        <v>792</v>
      </c>
      <c r="AB646" t="s">
        <v>793</v>
      </c>
      <c r="AD646" t="s">
        <v>794</v>
      </c>
      <c r="AE646" t="s">
        <v>795</v>
      </c>
      <c r="AF646" t="s">
        <v>845</v>
      </c>
      <c r="AG646" t="s">
        <v>797</v>
      </c>
      <c r="AH646">
        <v>820000</v>
      </c>
      <c r="AI646">
        <v>892312</v>
      </c>
      <c r="AJ646">
        <v>0.18</v>
      </c>
    </row>
    <row r="647" spans="1:36" x14ac:dyDescent="0.3">
      <c r="A647">
        <f>COUNTIF($D$2:D647,D647)</f>
        <v>5</v>
      </c>
      <c r="B647" t="str">
        <f t="shared" si="41"/>
        <v>5Dorset</v>
      </c>
      <c r="C647" t="s">
        <v>2477</v>
      </c>
      <c r="D647" t="s">
        <v>137</v>
      </c>
      <c r="E647">
        <v>11</v>
      </c>
      <c r="F647" t="s">
        <v>1276</v>
      </c>
      <c r="G647" t="s">
        <v>800</v>
      </c>
      <c r="H647" t="s">
        <v>903</v>
      </c>
      <c r="I647" t="s">
        <v>802</v>
      </c>
      <c r="J647">
        <f t="shared" ca="1" si="42"/>
        <v>637277</v>
      </c>
      <c r="K647">
        <f t="shared" ca="1" si="43"/>
        <v>850</v>
      </c>
      <c r="N647" t="str">
        <f t="shared" si="40"/>
        <v>Derby6Bed Based Respite  - Perth HouseBed based intermediate Care Services (Reablement, rehabilitation, wider short-term services supporting recovery)Bed-based intermediate care with rehabilitation accepting step up and step down users</v>
      </c>
      <c r="O647" t="s">
        <v>129</v>
      </c>
      <c r="P647" t="s">
        <v>2478</v>
      </c>
      <c r="Q647">
        <v>6</v>
      </c>
      <c r="R647" t="s">
        <v>2266</v>
      </c>
      <c r="S647" t="s">
        <v>2479</v>
      </c>
      <c r="T647" t="s">
        <v>877</v>
      </c>
      <c r="U647" t="s">
        <v>1015</v>
      </c>
      <c r="W647">
        <v>287</v>
      </c>
      <c r="X647">
        <v>287</v>
      </c>
      <c r="Y647" t="s">
        <v>808</v>
      </c>
      <c r="Z647" t="s">
        <v>792</v>
      </c>
      <c r="AB647" t="s">
        <v>793</v>
      </c>
      <c r="AD647" t="s">
        <v>794</v>
      </c>
      <c r="AE647" t="s">
        <v>795</v>
      </c>
      <c r="AF647" t="s">
        <v>796</v>
      </c>
      <c r="AG647" t="s">
        <v>797</v>
      </c>
      <c r="AH647">
        <v>1468032.0956990449</v>
      </c>
      <c r="AI647">
        <v>1551122.7123156108</v>
      </c>
    </row>
    <row r="648" spans="1:36" x14ac:dyDescent="0.3">
      <c r="A648">
        <f>COUNTIF($D$2:D648,D648)</f>
        <v>6</v>
      </c>
      <c r="B648" t="str">
        <f t="shared" si="41"/>
        <v>6Dorset</v>
      </c>
      <c r="C648" t="s">
        <v>2480</v>
      </c>
      <c r="D648" t="s">
        <v>137</v>
      </c>
      <c r="E648">
        <v>17</v>
      </c>
      <c r="F648" t="s">
        <v>1250</v>
      </c>
      <c r="G648" t="s">
        <v>811</v>
      </c>
      <c r="H648" t="s">
        <v>2205</v>
      </c>
      <c r="I648" t="s">
        <v>813</v>
      </c>
      <c r="J648">
        <f t="shared" ca="1" si="42"/>
        <v>116099</v>
      </c>
      <c r="K648">
        <f t="shared" ca="1" si="43"/>
        <v>300</v>
      </c>
      <c r="N648" t="str">
        <f t="shared" si="40"/>
        <v>Derby3Carers Support Carers ServicesCarer advice and support related to Care Act duties</v>
      </c>
      <c r="O648" t="s">
        <v>129</v>
      </c>
      <c r="P648" t="s">
        <v>2478</v>
      </c>
      <c r="Q648">
        <v>3</v>
      </c>
      <c r="R648" t="s">
        <v>2269</v>
      </c>
      <c r="S648" t="s">
        <v>2481</v>
      </c>
      <c r="T648" t="s">
        <v>811</v>
      </c>
      <c r="U648" t="s">
        <v>895</v>
      </c>
      <c r="W648">
        <v>2777</v>
      </c>
      <c r="X648">
        <v>2933</v>
      </c>
      <c r="Y648" t="s">
        <v>813</v>
      </c>
      <c r="Z648" t="s">
        <v>792</v>
      </c>
      <c r="AB648" t="s">
        <v>793</v>
      </c>
      <c r="AD648" t="s">
        <v>794</v>
      </c>
      <c r="AE648" t="s">
        <v>795</v>
      </c>
      <c r="AF648" t="s">
        <v>796</v>
      </c>
      <c r="AG648" t="s">
        <v>797</v>
      </c>
      <c r="AH648">
        <v>823560.47586629435</v>
      </c>
      <c r="AI648">
        <v>870173.99880032672</v>
      </c>
    </row>
    <row r="649" spans="1:36" x14ac:dyDescent="0.3">
      <c r="A649">
        <f>COUNTIF($D$2:D649,D649)</f>
        <v>7</v>
      </c>
      <c r="B649" t="str">
        <f t="shared" si="41"/>
        <v>7Dorset</v>
      </c>
      <c r="C649" t="s">
        <v>2482</v>
      </c>
      <c r="D649" t="s">
        <v>137</v>
      </c>
      <c r="E649">
        <v>18</v>
      </c>
      <c r="F649" t="s">
        <v>1250</v>
      </c>
      <c r="G649" t="s">
        <v>811</v>
      </c>
      <c r="H649" t="s">
        <v>895</v>
      </c>
      <c r="I649" t="s">
        <v>813</v>
      </c>
      <c r="J649">
        <f t="shared" ca="1" si="42"/>
        <v>268891</v>
      </c>
      <c r="K649">
        <f t="shared" ca="1" si="43"/>
        <v>73</v>
      </c>
      <c r="N649" t="str">
        <f t="shared" si="40"/>
        <v>Derby6Enablement &amp; Intermediate Care  - Home FirstHome-based intermediate care servicesReablement at home (accepting step up and step down users)</v>
      </c>
      <c r="O649" t="s">
        <v>129</v>
      </c>
      <c r="P649" t="s">
        <v>2478</v>
      </c>
      <c r="Q649">
        <v>6</v>
      </c>
      <c r="R649" t="s">
        <v>2271</v>
      </c>
      <c r="S649" t="s">
        <v>2483</v>
      </c>
      <c r="T649" t="s">
        <v>787</v>
      </c>
      <c r="U649" t="s">
        <v>930</v>
      </c>
      <c r="W649">
        <v>1140</v>
      </c>
      <c r="X649">
        <v>1204</v>
      </c>
      <c r="Y649" t="s">
        <v>789</v>
      </c>
      <c r="Z649" t="s">
        <v>792</v>
      </c>
      <c r="AB649" t="s">
        <v>793</v>
      </c>
      <c r="AD649" t="s">
        <v>794</v>
      </c>
      <c r="AE649" t="s">
        <v>795</v>
      </c>
      <c r="AF649" t="s">
        <v>796</v>
      </c>
      <c r="AG649" t="s">
        <v>797</v>
      </c>
      <c r="AH649">
        <v>2526939.9431858007</v>
      </c>
      <c r="AI649">
        <v>2669964.7439701171</v>
      </c>
    </row>
    <row r="650" spans="1:36" x14ac:dyDescent="0.3">
      <c r="A650">
        <f>COUNTIF($D$2:D650,D650)</f>
        <v>8</v>
      </c>
      <c r="B650" t="str">
        <f t="shared" si="41"/>
        <v>8Dorset</v>
      </c>
      <c r="C650" t="s">
        <v>2484</v>
      </c>
      <c r="D650" t="s">
        <v>137</v>
      </c>
      <c r="E650">
        <v>19</v>
      </c>
      <c r="F650" t="s">
        <v>1250</v>
      </c>
      <c r="G650" t="s">
        <v>811</v>
      </c>
      <c r="H650" t="s">
        <v>895</v>
      </c>
      <c r="I650" t="s">
        <v>813</v>
      </c>
      <c r="J650">
        <f t="shared" ca="1" si="42"/>
        <v>117667</v>
      </c>
      <c r="K650">
        <f t="shared" ca="1" si="43"/>
        <v>60</v>
      </c>
      <c r="N650" t="str">
        <f t="shared" si="40"/>
        <v>Derby4Dementia Support Carers ServicesCarer advice and support related to Care Act duties</v>
      </c>
      <c r="O650" t="s">
        <v>129</v>
      </c>
      <c r="P650" t="s">
        <v>2478</v>
      </c>
      <c r="Q650">
        <v>4</v>
      </c>
      <c r="R650" t="s">
        <v>2274</v>
      </c>
      <c r="S650" t="s">
        <v>2485</v>
      </c>
      <c r="T650" t="s">
        <v>811</v>
      </c>
      <c r="U650" t="s">
        <v>895</v>
      </c>
      <c r="W650">
        <v>1284</v>
      </c>
      <c r="X650">
        <v>1356</v>
      </c>
      <c r="Y650" t="s">
        <v>813</v>
      </c>
      <c r="Z650" t="s">
        <v>1006</v>
      </c>
      <c r="AB650" t="s">
        <v>793</v>
      </c>
      <c r="AD650" t="s">
        <v>794</v>
      </c>
      <c r="AE650" t="s">
        <v>825</v>
      </c>
      <c r="AF650" t="s">
        <v>796</v>
      </c>
      <c r="AG650" t="s">
        <v>797</v>
      </c>
      <c r="AH650">
        <v>314195.6566119098</v>
      </c>
      <c r="AI650">
        <v>331979.13077614387</v>
      </c>
    </row>
    <row r="651" spans="1:36" x14ac:dyDescent="0.3">
      <c r="A651">
        <f>COUNTIF($D$2:D651,D651)</f>
        <v>9</v>
      </c>
      <c r="B651" t="str">
        <f t="shared" si="41"/>
        <v>9Dorset</v>
      </c>
      <c r="C651" t="s">
        <v>2486</v>
      </c>
      <c r="D651" t="s">
        <v>137</v>
      </c>
      <c r="E651">
        <v>20</v>
      </c>
      <c r="F651" t="s">
        <v>1250</v>
      </c>
      <c r="G651" t="s">
        <v>811</v>
      </c>
      <c r="H651" t="s">
        <v>895</v>
      </c>
      <c r="I651" t="s">
        <v>813</v>
      </c>
      <c r="J651">
        <f t="shared" ca="1" si="42"/>
        <v>7769</v>
      </c>
      <c r="K651">
        <f t="shared" ca="1" si="43"/>
        <v>1120</v>
      </c>
      <c r="N651" t="str">
        <f t="shared" si="40"/>
        <v>Derby11Property Adaptions (DFG)DFG Related SchemesAdaptations, including statutory DFG grants</v>
      </c>
      <c r="O651" t="s">
        <v>129</v>
      </c>
      <c r="P651" t="s">
        <v>2478</v>
      </c>
      <c r="Q651">
        <v>11</v>
      </c>
      <c r="R651" t="s">
        <v>2277</v>
      </c>
      <c r="S651" t="s">
        <v>835</v>
      </c>
      <c r="T651" t="s">
        <v>834</v>
      </c>
      <c r="U651" t="s">
        <v>835</v>
      </c>
      <c r="W651">
        <v>270</v>
      </c>
      <c r="X651">
        <v>270</v>
      </c>
      <c r="Y651" t="s">
        <v>836</v>
      </c>
      <c r="Z651" t="s">
        <v>792</v>
      </c>
      <c r="AB651" t="s">
        <v>793</v>
      </c>
      <c r="AD651" t="s">
        <v>794</v>
      </c>
      <c r="AE651" t="s">
        <v>795</v>
      </c>
      <c r="AF651" t="s">
        <v>840</v>
      </c>
      <c r="AG651" t="s">
        <v>797</v>
      </c>
      <c r="AH651">
        <v>2323304</v>
      </c>
      <c r="AI651">
        <v>2323304</v>
      </c>
    </row>
    <row r="652" spans="1:36" x14ac:dyDescent="0.3">
      <c r="A652">
        <f>COUNTIF($D$2:D652,D652)</f>
        <v>10</v>
      </c>
      <c r="B652" t="str">
        <f t="shared" si="41"/>
        <v>10Dorset</v>
      </c>
      <c r="C652" t="s">
        <v>2487</v>
      </c>
      <c r="D652" t="s">
        <v>137</v>
      </c>
      <c r="E652">
        <v>21</v>
      </c>
      <c r="F652" t="s">
        <v>1250</v>
      </c>
      <c r="G652" t="s">
        <v>811</v>
      </c>
      <c r="H652" t="s">
        <v>2205</v>
      </c>
      <c r="I652" t="s">
        <v>813</v>
      </c>
      <c r="J652">
        <f t="shared" ca="1" si="42"/>
        <v>478196</v>
      </c>
      <c r="K652">
        <f t="shared" ca="1" si="43"/>
        <v>350</v>
      </c>
      <c r="N652" t="str">
        <f t="shared" si="40"/>
        <v>Derby12(iBCF) Demographics (system pressures - residential provision)Residential PlacementsCare home</v>
      </c>
      <c r="O652" t="s">
        <v>129</v>
      </c>
      <c r="P652" t="s">
        <v>2478</v>
      </c>
      <c r="Q652">
        <v>12</v>
      </c>
      <c r="R652" t="s">
        <v>2279</v>
      </c>
      <c r="S652" t="s">
        <v>2488</v>
      </c>
      <c r="T652" t="s">
        <v>806</v>
      </c>
      <c r="U652" t="s">
        <v>807</v>
      </c>
      <c r="W652">
        <v>119</v>
      </c>
      <c r="X652">
        <v>119</v>
      </c>
      <c r="Y652" t="s">
        <v>808</v>
      </c>
      <c r="Z652" t="s">
        <v>792</v>
      </c>
      <c r="AB652" t="s">
        <v>793</v>
      </c>
      <c r="AD652" t="s">
        <v>794</v>
      </c>
      <c r="AE652" t="s">
        <v>795</v>
      </c>
      <c r="AF652" t="s">
        <v>845</v>
      </c>
      <c r="AG652" t="s">
        <v>797</v>
      </c>
      <c r="AH652">
        <v>4971935.4813579665</v>
      </c>
      <c r="AI652">
        <v>4971935.4813579665</v>
      </c>
    </row>
    <row r="653" spans="1:36" x14ac:dyDescent="0.3">
      <c r="A653">
        <f>COUNTIF($D$2:D653,D653)</f>
        <v>11</v>
      </c>
      <c r="B653" t="str">
        <f t="shared" si="41"/>
        <v>11Dorset</v>
      </c>
      <c r="C653" t="s">
        <v>2489</v>
      </c>
      <c r="D653" t="s">
        <v>137</v>
      </c>
      <c r="E653">
        <v>22</v>
      </c>
      <c r="F653" t="s">
        <v>1250</v>
      </c>
      <c r="G653" t="s">
        <v>811</v>
      </c>
      <c r="H653" t="s">
        <v>812</v>
      </c>
      <c r="I653" t="s">
        <v>813</v>
      </c>
      <c r="J653">
        <f t="shared" ca="1" si="42"/>
        <v>8391</v>
      </c>
      <c r="K653">
        <f t="shared" ca="1" si="43"/>
        <v>86</v>
      </c>
      <c r="N653" t="str">
        <f t="shared" si="40"/>
        <v>Derby18(iBCF) Perth HouseBed based intermediate Care Services (Reablement, rehabilitation, wider short-term services supporting recovery)Other</v>
      </c>
      <c r="O653" t="s">
        <v>129</v>
      </c>
      <c r="P653" t="s">
        <v>2478</v>
      </c>
      <c r="Q653">
        <v>18</v>
      </c>
      <c r="R653" t="s">
        <v>2282</v>
      </c>
      <c r="S653" t="s">
        <v>2479</v>
      </c>
      <c r="T653" t="s">
        <v>877</v>
      </c>
      <c r="U653" t="s">
        <v>812</v>
      </c>
      <c r="V653" t="s">
        <v>2479</v>
      </c>
      <c r="W653">
        <v>131</v>
      </c>
      <c r="X653">
        <v>131</v>
      </c>
      <c r="Y653" t="s">
        <v>808</v>
      </c>
      <c r="Z653" t="s">
        <v>792</v>
      </c>
      <c r="AB653" t="s">
        <v>793</v>
      </c>
      <c r="AD653" t="s">
        <v>794</v>
      </c>
      <c r="AE653" t="s">
        <v>795</v>
      </c>
      <c r="AF653" t="s">
        <v>845</v>
      </c>
      <c r="AG653" t="s">
        <v>797</v>
      </c>
      <c r="AH653">
        <v>673574.94283214549</v>
      </c>
      <c r="AI653">
        <v>673574.94283214549</v>
      </c>
    </row>
    <row r="654" spans="1:36" x14ac:dyDescent="0.3">
      <c r="A654">
        <f>COUNTIF($D$2:D654,D654)</f>
        <v>12</v>
      </c>
      <c r="B654" t="str">
        <f t="shared" si="41"/>
        <v>12Dorset</v>
      </c>
      <c r="C654" t="s">
        <v>2490</v>
      </c>
      <c r="D654" t="s">
        <v>137</v>
      </c>
      <c r="E654">
        <v>23</v>
      </c>
      <c r="F654" t="s">
        <v>1250</v>
      </c>
      <c r="G654" t="s">
        <v>811</v>
      </c>
      <c r="H654" t="s">
        <v>812</v>
      </c>
      <c r="I654" t="s">
        <v>813</v>
      </c>
      <c r="J654">
        <f t="shared" ca="1" si="42"/>
        <v>115928</v>
      </c>
      <c r="K654">
        <f t="shared" ca="1" si="43"/>
        <v>60</v>
      </c>
      <c r="N654" t="str">
        <f t="shared" si="40"/>
        <v>Derby1Home First Community Night ServiceHome-based intermediate care servicesReablement at home (accepting step up and step down users)</v>
      </c>
      <c r="O654" t="s">
        <v>129</v>
      </c>
      <c r="P654" t="s">
        <v>2478</v>
      </c>
      <c r="Q654">
        <v>1</v>
      </c>
      <c r="R654" t="s">
        <v>2284</v>
      </c>
      <c r="S654" t="s">
        <v>1419</v>
      </c>
      <c r="T654" t="s">
        <v>787</v>
      </c>
      <c r="U654" t="s">
        <v>930</v>
      </c>
      <c r="W654">
        <v>45</v>
      </c>
      <c r="X654">
        <v>45</v>
      </c>
      <c r="Y654" t="s">
        <v>789</v>
      </c>
      <c r="Z654" t="s">
        <v>792</v>
      </c>
      <c r="AB654" t="s">
        <v>793</v>
      </c>
      <c r="AD654" t="s">
        <v>794</v>
      </c>
      <c r="AE654" t="s">
        <v>795</v>
      </c>
      <c r="AF654" t="s">
        <v>845</v>
      </c>
      <c r="AG654" t="s">
        <v>797</v>
      </c>
      <c r="AH654">
        <v>202589.6901569562</v>
      </c>
      <c r="AI654">
        <v>202589.6901569562</v>
      </c>
    </row>
    <row r="655" spans="1:36" x14ac:dyDescent="0.3">
      <c r="A655">
        <f>COUNTIF($D$2:D655,D655)</f>
        <v>13</v>
      </c>
      <c r="B655" t="str">
        <f t="shared" si="41"/>
        <v>13Dorset</v>
      </c>
      <c r="C655" t="s">
        <v>2491</v>
      </c>
      <c r="D655" t="s">
        <v>137</v>
      </c>
      <c r="E655">
        <v>24</v>
      </c>
      <c r="F655" t="s">
        <v>1276</v>
      </c>
      <c r="G655" t="s">
        <v>800</v>
      </c>
      <c r="H655" t="s">
        <v>903</v>
      </c>
      <c r="I655" t="s">
        <v>802</v>
      </c>
      <c r="J655">
        <f t="shared" ca="1" si="42"/>
        <v>1144700</v>
      </c>
      <c r="K655">
        <f t="shared" ca="1" si="43"/>
        <v>1439</v>
      </c>
      <c r="N655" t="str">
        <f t="shared" si="40"/>
        <v>Derby6Domicillary care packagesHome Care or Domiciliary CareDomiciliary care packages</v>
      </c>
      <c r="O655" t="s">
        <v>129</v>
      </c>
      <c r="P655" t="s">
        <v>2478</v>
      </c>
      <c r="Q655">
        <v>6</v>
      </c>
      <c r="R655" t="s">
        <v>2287</v>
      </c>
      <c r="S655" t="s">
        <v>843</v>
      </c>
      <c r="T655" t="s">
        <v>842</v>
      </c>
      <c r="U655" t="s">
        <v>843</v>
      </c>
      <c r="W655">
        <v>49264</v>
      </c>
      <c r="X655">
        <v>46257</v>
      </c>
      <c r="Y655" t="s">
        <v>844</v>
      </c>
      <c r="Z655" t="s">
        <v>792</v>
      </c>
      <c r="AB655" t="s">
        <v>793</v>
      </c>
      <c r="AD655" t="s">
        <v>794</v>
      </c>
      <c r="AE655" t="s">
        <v>804</v>
      </c>
      <c r="AF655" t="s">
        <v>845</v>
      </c>
      <c r="AG655" t="s">
        <v>797</v>
      </c>
      <c r="AH655">
        <v>898236.60937268159</v>
      </c>
      <c r="AI655">
        <v>898236.60937268159</v>
      </c>
    </row>
    <row r="656" spans="1:36" x14ac:dyDescent="0.3">
      <c r="A656">
        <f>COUNTIF($D$2:D656,D656)</f>
        <v>14</v>
      </c>
      <c r="B656" t="str">
        <f t="shared" si="41"/>
        <v>14Dorset</v>
      </c>
      <c r="C656" t="s">
        <v>2492</v>
      </c>
      <c r="D656" t="s">
        <v>137</v>
      </c>
      <c r="E656">
        <v>25</v>
      </c>
      <c r="F656" t="s">
        <v>2471</v>
      </c>
      <c r="G656" t="s">
        <v>806</v>
      </c>
      <c r="H656" t="s">
        <v>807</v>
      </c>
      <c r="I656" t="s">
        <v>808</v>
      </c>
      <c r="J656">
        <f t="shared" ca="1" si="42"/>
        <v>55058800</v>
      </c>
      <c r="K656">
        <f t="shared" ca="1" si="43"/>
        <v>884</v>
      </c>
      <c r="N656" t="str">
        <f t="shared" si="40"/>
        <v>Derby19Additional discharge related short-term residential careResidential PlacementsShort term residential care (without rehabilitation or reablement input)</v>
      </c>
      <c r="O656" t="s">
        <v>129</v>
      </c>
      <c r="P656" t="s">
        <v>2478</v>
      </c>
      <c r="Q656">
        <v>19</v>
      </c>
      <c r="R656" t="s">
        <v>2289</v>
      </c>
      <c r="S656" t="s">
        <v>2493</v>
      </c>
      <c r="T656" t="s">
        <v>806</v>
      </c>
      <c r="U656" t="s">
        <v>955</v>
      </c>
      <c r="W656">
        <v>92</v>
      </c>
      <c r="X656">
        <v>86</v>
      </c>
      <c r="Y656" t="s">
        <v>808</v>
      </c>
      <c r="Z656" t="s">
        <v>792</v>
      </c>
      <c r="AB656" t="s">
        <v>793</v>
      </c>
      <c r="AD656" t="s">
        <v>794</v>
      </c>
      <c r="AE656" t="s">
        <v>795</v>
      </c>
      <c r="AF656" t="s">
        <v>864</v>
      </c>
      <c r="AG656" t="s">
        <v>797</v>
      </c>
      <c r="AH656">
        <v>201968</v>
      </c>
      <c r="AI656">
        <v>201968</v>
      </c>
    </row>
    <row r="657" spans="1:36" x14ac:dyDescent="0.3">
      <c r="A657">
        <f>COUNTIF($D$2:D657,D657)</f>
        <v>15</v>
      </c>
      <c r="B657" t="str">
        <f t="shared" si="41"/>
        <v>15Dorset</v>
      </c>
      <c r="C657" t="s">
        <v>2494</v>
      </c>
      <c r="D657" t="s">
        <v>137</v>
      </c>
      <c r="E657">
        <v>27</v>
      </c>
      <c r="F657" t="s">
        <v>1276</v>
      </c>
      <c r="G657" t="s">
        <v>800</v>
      </c>
      <c r="H657" t="s">
        <v>903</v>
      </c>
      <c r="I657" t="s">
        <v>802</v>
      </c>
      <c r="J657">
        <f t="shared" ca="1" si="42"/>
        <v>2829022</v>
      </c>
      <c r="K657">
        <f t="shared" ca="1" si="43"/>
        <v>3620</v>
      </c>
      <c r="N657" t="str">
        <f t="shared" si="40"/>
        <v>Derby19Additional discharge related admissions to short-term residentialBed based intermediate Care Services (Reablement, rehabilitation, wider short-term services supporting recovery)Bed-based intermediate care with rehabilitation (to support discharge)</v>
      </c>
      <c r="O657" t="s">
        <v>129</v>
      </c>
      <c r="P657" t="s">
        <v>2478</v>
      </c>
      <c r="Q657">
        <v>19</v>
      </c>
      <c r="R657" t="s">
        <v>2292</v>
      </c>
      <c r="S657" t="s">
        <v>2495</v>
      </c>
      <c r="T657" t="s">
        <v>877</v>
      </c>
      <c r="U657" t="s">
        <v>968</v>
      </c>
      <c r="W657">
        <v>52</v>
      </c>
      <c r="X657">
        <v>48</v>
      </c>
      <c r="Y657" t="s">
        <v>808</v>
      </c>
      <c r="Z657" t="s">
        <v>792</v>
      </c>
      <c r="AB657" t="s">
        <v>793</v>
      </c>
      <c r="AD657" t="s">
        <v>794</v>
      </c>
      <c r="AE657" t="s">
        <v>795</v>
      </c>
      <c r="AF657" t="s">
        <v>864</v>
      </c>
      <c r="AG657" t="s">
        <v>797</v>
      </c>
      <c r="AH657">
        <v>201968</v>
      </c>
      <c r="AI657">
        <v>201968</v>
      </c>
    </row>
    <row r="658" spans="1:36" x14ac:dyDescent="0.3">
      <c r="A658">
        <f>COUNTIF($D$2:D658,D658)</f>
        <v>16</v>
      </c>
      <c r="B658" t="str">
        <f t="shared" si="41"/>
        <v>16Dorset</v>
      </c>
      <c r="C658" t="s">
        <v>2496</v>
      </c>
      <c r="D658" t="s">
        <v>137</v>
      </c>
      <c r="E658">
        <v>32</v>
      </c>
      <c r="F658" t="s">
        <v>1276</v>
      </c>
      <c r="G658" t="s">
        <v>800</v>
      </c>
      <c r="H658" t="s">
        <v>850</v>
      </c>
      <c r="I658" t="s">
        <v>802</v>
      </c>
      <c r="J658">
        <f t="shared" ca="1" si="42"/>
        <v>574000</v>
      </c>
      <c r="K658">
        <f t="shared" ca="1" si="43"/>
        <v>683</v>
      </c>
      <c r="N658" t="str">
        <f t="shared" si="40"/>
        <v>Derby19Additional admissions to PVI short-term homecareHome Care or Domiciliary CareDomiciliary care to support hospital discharge (Discharge to Assess pathway 1)</v>
      </c>
      <c r="O658" t="s">
        <v>129</v>
      </c>
      <c r="P658" t="s">
        <v>2478</v>
      </c>
      <c r="Q658">
        <v>19</v>
      </c>
      <c r="R658" t="s">
        <v>2294</v>
      </c>
      <c r="S658" t="s">
        <v>2497</v>
      </c>
      <c r="T658" t="s">
        <v>842</v>
      </c>
      <c r="U658" t="s">
        <v>856</v>
      </c>
      <c r="W658">
        <v>28081</v>
      </c>
      <c r="X658">
        <v>26367</v>
      </c>
      <c r="Y658" t="s">
        <v>844</v>
      </c>
      <c r="Z658" t="s">
        <v>792</v>
      </c>
      <c r="AB658" t="s">
        <v>793</v>
      </c>
      <c r="AD658" t="s">
        <v>794</v>
      </c>
      <c r="AE658" t="s">
        <v>795</v>
      </c>
      <c r="AF658" t="s">
        <v>864</v>
      </c>
      <c r="AG658" t="s">
        <v>797</v>
      </c>
      <c r="AH658">
        <v>514053.76</v>
      </c>
      <c r="AI658">
        <v>514053.76</v>
      </c>
    </row>
    <row r="659" spans="1:36" x14ac:dyDescent="0.3">
      <c r="A659">
        <f>COUNTIF($D$2:D659,D659)</f>
        <v>17</v>
      </c>
      <c r="B659" t="str">
        <f t="shared" si="41"/>
        <v>17Dorset</v>
      </c>
      <c r="C659" t="s">
        <v>2498</v>
      </c>
      <c r="D659" t="s">
        <v>137</v>
      </c>
      <c r="E659">
        <v>38</v>
      </c>
      <c r="F659" t="s">
        <v>2499</v>
      </c>
      <c r="G659" t="s">
        <v>842</v>
      </c>
      <c r="H659" t="s">
        <v>843</v>
      </c>
      <c r="I659" t="s">
        <v>844</v>
      </c>
      <c r="J659">
        <f t="shared" ca="1" si="42"/>
        <v>1400000</v>
      </c>
      <c r="K659">
        <f t="shared" ca="1" si="43"/>
        <v>62</v>
      </c>
      <c r="N659" t="str">
        <f t="shared" si="40"/>
        <v>Derbyshire1Mental Health EnablementCommunity Based SchemesMultidisciplinary teams that are supporting independence, such as anticipatory care</v>
      </c>
      <c r="O659" t="s">
        <v>131</v>
      </c>
      <c r="P659" t="s">
        <v>2478</v>
      </c>
      <c r="Q659">
        <v>1</v>
      </c>
      <c r="R659" t="s">
        <v>2297</v>
      </c>
      <c r="S659" t="s">
        <v>2500</v>
      </c>
      <c r="T659" t="s">
        <v>1453</v>
      </c>
      <c r="U659" t="s">
        <v>1454</v>
      </c>
      <c r="W659" t="s">
        <v>2501</v>
      </c>
      <c r="X659" t="s">
        <v>2501</v>
      </c>
      <c r="Y659" t="s">
        <v>794</v>
      </c>
      <c r="Z659" t="s">
        <v>1006</v>
      </c>
      <c r="AB659" t="s">
        <v>793</v>
      </c>
      <c r="AD659" t="s">
        <v>794</v>
      </c>
      <c r="AE659" t="s">
        <v>795</v>
      </c>
      <c r="AF659" t="s">
        <v>796</v>
      </c>
      <c r="AG659" t="s">
        <v>797</v>
      </c>
      <c r="AH659">
        <v>650900.954982411</v>
      </c>
      <c r="AI659">
        <v>687742.94903441542</v>
      </c>
      <c r="AJ659">
        <v>5.2158309127750225E-3</v>
      </c>
    </row>
    <row r="660" spans="1:36" x14ac:dyDescent="0.3">
      <c r="A660">
        <f>COUNTIF($D$2:D660,D660)</f>
        <v>1</v>
      </c>
      <c r="B660" t="str">
        <f t="shared" si="41"/>
        <v>1Dudley</v>
      </c>
      <c r="C660" t="s">
        <v>2502</v>
      </c>
      <c r="D660" t="s">
        <v>139</v>
      </c>
      <c r="E660">
        <v>1001</v>
      </c>
      <c r="F660" t="s">
        <v>2503</v>
      </c>
      <c r="G660" t="s">
        <v>811</v>
      </c>
      <c r="H660" t="s">
        <v>812</v>
      </c>
      <c r="I660" t="s">
        <v>813</v>
      </c>
      <c r="J660">
        <f t="shared" ca="1" si="42"/>
        <v>434900</v>
      </c>
      <c r="K660">
        <f t="shared" ca="1" si="43"/>
        <v>3500</v>
      </c>
      <c r="N660" t="str">
        <f t="shared" si="40"/>
        <v>Derbyshire3residential Care packages to maintain clients in a social care settingResidential PlacementsCare home</v>
      </c>
      <c r="O660" t="s">
        <v>131</v>
      </c>
      <c r="P660" t="s">
        <v>2478</v>
      </c>
      <c r="Q660">
        <v>3</v>
      </c>
      <c r="R660" t="s">
        <v>2300</v>
      </c>
      <c r="S660" t="s">
        <v>2504</v>
      </c>
      <c r="T660" t="s">
        <v>806</v>
      </c>
      <c r="U660" t="s">
        <v>807</v>
      </c>
      <c r="W660">
        <v>200</v>
      </c>
      <c r="X660">
        <v>200</v>
      </c>
      <c r="Y660" t="s">
        <v>808</v>
      </c>
      <c r="Z660" t="s">
        <v>792</v>
      </c>
      <c r="AB660" t="s">
        <v>793</v>
      </c>
      <c r="AD660" t="s">
        <v>794</v>
      </c>
      <c r="AE660" t="s">
        <v>795</v>
      </c>
      <c r="AF660" t="s">
        <v>796</v>
      </c>
      <c r="AG660" t="s">
        <v>797</v>
      </c>
      <c r="AH660">
        <v>9120964.0702210367</v>
      </c>
      <c r="AI660">
        <v>9637210.6365955472</v>
      </c>
      <c r="AJ660">
        <v>7.308854901442681E-2</v>
      </c>
    </row>
    <row r="661" spans="1:36" x14ac:dyDescent="0.3">
      <c r="A661">
        <f>COUNTIF($D$2:D661,D661)</f>
        <v>2</v>
      </c>
      <c r="B661" t="str">
        <f t="shared" si="41"/>
        <v>2Dudley</v>
      </c>
      <c r="C661" t="s">
        <v>2505</v>
      </c>
      <c r="D661" t="s">
        <v>139</v>
      </c>
      <c r="E661">
        <v>1002</v>
      </c>
      <c r="F661" t="s">
        <v>2503</v>
      </c>
      <c r="G661" t="s">
        <v>800</v>
      </c>
      <c r="H661" t="s">
        <v>903</v>
      </c>
      <c r="I661" t="s">
        <v>802</v>
      </c>
      <c r="J661">
        <f t="shared" ca="1" si="42"/>
        <v>1136600</v>
      </c>
      <c r="K661">
        <f t="shared" ca="1" si="43"/>
        <v>14457</v>
      </c>
      <c r="N661" t="str">
        <f t="shared" si="40"/>
        <v>Derbyshire5Mental Health TriageCommunity Based SchemesMultidisciplinary teams that are supporting independence, such as anticipatory care</v>
      </c>
      <c r="O661" t="s">
        <v>131</v>
      </c>
      <c r="P661" t="s">
        <v>2478</v>
      </c>
      <c r="Q661">
        <v>5</v>
      </c>
      <c r="R661" t="s">
        <v>2303</v>
      </c>
      <c r="S661" t="s">
        <v>2506</v>
      </c>
      <c r="T661" t="s">
        <v>1453</v>
      </c>
      <c r="U661" t="s">
        <v>1454</v>
      </c>
      <c r="W661" t="s">
        <v>2507</v>
      </c>
      <c r="X661" t="s">
        <v>2507</v>
      </c>
      <c r="Y661" t="s">
        <v>794</v>
      </c>
      <c r="Z661" t="s">
        <v>792</v>
      </c>
      <c r="AB661" t="s">
        <v>793</v>
      </c>
      <c r="AD661" t="s">
        <v>794</v>
      </c>
      <c r="AE661" t="s">
        <v>795</v>
      </c>
      <c r="AF661" t="s">
        <v>796</v>
      </c>
      <c r="AG661" t="s">
        <v>797</v>
      </c>
      <c r="AH661">
        <v>117451.86552377998</v>
      </c>
      <c r="AI661">
        <v>124099.64111242592</v>
      </c>
      <c r="AJ661">
        <v>9.4117095123724443E-4</v>
      </c>
    </row>
    <row r="662" spans="1:36" x14ac:dyDescent="0.3">
      <c r="A662">
        <f>COUNTIF($D$2:D662,D662)</f>
        <v>3</v>
      </c>
      <c r="B662" t="str">
        <f t="shared" si="41"/>
        <v>3Dudley</v>
      </c>
      <c r="C662" t="s">
        <v>2508</v>
      </c>
      <c r="D662" t="s">
        <v>139</v>
      </c>
      <c r="E662">
        <v>1003</v>
      </c>
      <c r="F662" t="s">
        <v>2503</v>
      </c>
      <c r="G662" t="s">
        <v>834</v>
      </c>
      <c r="H662" t="s">
        <v>835</v>
      </c>
      <c r="I662" t="s">
        <v>836</v>
      </c>
      <c r="J662">
        <f t="shared" ca="1" si="42"/>
        <v>9701209</v>
      </c>
      <c r="K662">
        <f t="shared" ca="1" si="43"/>
        <v>500</v>
      </c>
      <c r="N662" t="str">
        <f t="shared" si="40"/>
        <v>Derbyshire6Mental Health Acute Based Social Worker SupportCommunity Based SchemesMultidisciplinary teams that are supporting independence, such as anticipatory care</v>
      </c>
      <c r="O662" t="s">
        <v>131</v>
      </c>
      <c r="P662" t="s">
        <v>2478</v>
      </c>
      <c r="Q662">
        <v>6</v>
      </c>
      <c r="R662" t="s">
        <v>2306</v>
      </c>
      <c r="S662" t="s">
        <v>2509</v>
      </c>
      <c r="T662" t="s">
        <v>1453</v>
      </c>
      <c r="U662" t="s">
        <v>1454</v>
      </c>
      <c r="W662" t="s">
        <v>2507</v>
      </c>
      <c r="X662" t="s">
        <v>2507</v>
      </c>
      <c r="Y662" t="s">
        <v>794</v>
      </c>
      <c r="Z662" t="s">
        <v>792</v>
      </c>
      <c r="AB662" t="s">
        <v>793</v>
      </c>
      <c r="AD662" t="s">
        <v>794</v>
      </c>
      <c r="AE662" t="s">
        <v>795</v>
      </c>
      <c r="AF662" t="s">
        <v>796</v>
      </c>
      <c r="AG662" t="s">
        <v>797</v>
      </c>
      <c r="AH662">
        <v>117451.86552377998</v>
      </c>
      <c r="AI662">
        <v>124099.64111242592</v>
      </c>
      <c r="AJ662">
        <v>9.4117095123724443E-4</v>
      </c>
    </row>
    <row r="663" spans="1:36" x14ac:dyDescent="0.3">
      <c r="A663">
        <f>COUNTIF($D$2:D663,D663)</f>
        <v>4</v>
      </c>
      <c r="B663" t="str">
        <f t="shared" si="41"/>
        <v>4Dudley</v>
      </c>
      <c r="C663" t="s">
        <v>2510</v>
      </c>
      <c r="D663" t="s">
        <v>139</v>
      </c>
      <c r="E663">
        <v>1003</v>
      </c>
      <c r="F663" t="s">
        <v>2503</v>
      </c>
      <c r="G663" t="s">
        <v>834</v>
      </c>
      <c r="H663" t="s">
        <v>1293</v>
      </c>
      <c r="I663" t="s">
        <v>836</v>
      </c>
      <c r="J663">
        <f t="shared" ca="1" si="42"/>
        <v>1720000</v>
      </c>
      <c r="K663">
        <f t="shared" ca="1" si="43"/>
        <v>10775</v>
      </c>
      <c r="N663" t="str">
        <f t="shared" si="40"/>
        <v>Derbyshire7Mental Health - Recovery and Peer Support Community Based SchemesMultidisciplinary teams that are supporting independence, such as anticipatory care</v>
      </c>
      <c r="O663" t="s">
        <v>131</v>
      </c>
      <c r="P663" t="s">
        <v>2478</v>
      </c>
      <c r="Q663">
        <v>7</v>
      </c>
      <c r="R663" t="s">
        <v>2309</v>
      </c>
      <c r="S663" t="s">
        <v>2511</v>
      </c>
      <c r="T663" t="s">
        <v>1453</v>
      </c>
      <c r="U663" t="s">
        <v>1454</v>
      </c>
      <c r="W663" t="s">
        <v>2512</v>
      </c>
      <c r="X663" t="s">
        <v>2512</v>
      </c>
      <c r="Y663" t="s">
        <v>794</v>
      </c>
      <c r="Z663" t="s">
        <v>792</v>
      </c>
      <c r="AB663" t="s">
        <v>793</v>
      </c>
      <c r="AD663" t="s">
        <v>794</v>
      </c>
      <c r="AE663" t="s">
        <v>825</v>
      </c>
      <c r="AF663" t="s">
        <v>796</v>
      </c>
      <c r="AG663" t="s">
        <v>797</v>
      </c>
      <c r="AH663">
        <v>311358.58686900005</v>
      </c>
      <c r="AI663">
        <v>328981.48288578546</v>
      </c>
      <c r="AJ663">
        <v>2.4949936390754905E-3</v>
      </c>
    </row>
    <row r="664" spans="1:36" x14ac:dyDescent="0.3">
      <c r="A664">
        <f>COUNTIF($D$2:D664,D664)</f>
        <v>5</v>
      </c>
      <c r="B664" t="str">
        <f t="shared" si="41"/>
        <v>5Dudley</v>
      </c>
      <c r="C664" t="s">
        <v>2513</v>
      </c>
      <c r="D664" t="s">
        <v>139</v>
      </c>
      <c r="E664">
        <v>1003</v>
      </c>
      <c r="F664" t="s">
        <v>2503</v>
      </c>
      <c r="G664" t="s">
        <v>834</v>
      </c>
      <c r="H664" t="s">
        <v>1732</v>
      </c>
      <c r="I664" t="s">
        <v>836</v>
      </c>
      <c r="J664">
        <f t="shared" ca="1" si="42"/>
        <v>47000</v>
      </c>
      <c r="K664">
        <f t="shared" ca="1" si="43"/>
        <v>612</v>
      </c>
      <c r="N664" t="str">
        <f t="shared" si="40"/>
        <v>Derbyshire8Community Support BedsBed based intermediate Care Services (Reablement, rehabilitation, wider short-term services supporting recovery)Bed-based intermediate care with reablement (to support discharge)</v>
      </c>
      <c r="O664" t="s">
        <v>131</v>
      </c>
      <c r="P664" t="s">
        <v>2478</v>
      </c>
      <c r="Q664">
        <v>8</v>
      </c>
      <c r="R664" t="s">
        <v>2312</v>
      </c>
      <c r="S664" t="s">
        <v>2514</v>
      </c>
      <c r="T664" t="s">
        <v>877</v>
      </c>
      <c r="U664" t="s">
        <v>878</v>
      </c>
      <c r="W664">
        <v>707</v>
      </c>
      <c r="X664">
        <v>707</v>
      </c>
      <c r="Y664" t="s">
        <v>879</v>
      </c>
      <c r="Z664" t="s">
        <v>792</v>
      </c>
      <c r="AB664" t="s">
        <v>793</v>
      </c>
      <c r="AD664" t="s">
        <v>794</v>
      </c>
      <c r="AE664" t="s">
        <v>795</v>
      </c>
      <c r="AF664" t="s">
        <v>796</v>
      </c>
      <c r="AG664" t="s">
        <v>797</v>
      </c>
      <c r="AH664">
        <v>5004766.1072392054</v>
      </c>
      <c r="AI664">
        <v>5288035.8689089445</v>
      </c>
      <c r="AJ664">
        <v>4.0104433053186041E-2</v>
      </c>
    </row>
    <row r="665" spans="1:36" x14ac:dyDescent="0.3">
      <c r="A665">
        <f>COUNTIF($D$2:D665,D665)</f>
        <v>6</v>
      </c>
      <c r="B665" t="str">
        <f t="shared" si="41"/>
        <v>6Dudley</v>
      </c>
      <c r="C665" t="s">
        <v>2515</v>
      </c>
      <c r="D665" t="s">
        <v>139</v>
      </c>
      <c r="E665">
        <v>1005</v>
      </c>
      <c r="F665" t="s">
        <v>2503</v>
      </c>
      <c r="G665" t="s">
        <v>811</v>
      </c>
      <c r="H665" t="s">
        <v>812</v>
      </c>
      <c r="I665" t="s">
        <v>813</v>
      </c>
      <c r="J665">
        <f t="shared" ca="1" si="42"/>
        <v>219400</v>
      </c>
      <c r="K665">
        <f t="shared" ca="1" si="43"/>
        <v>3500</v>
      </c>
      <c r="N665" t="str">
        <f t="shared" si="40"/>
        <v>Derbyshire9Community Support BedsBed based intermediate Care Services (Reablement, rehabilitation, wider short-term services supporting recovery)Bed-based intermediate care with reablement (to support discharge)</v>
      </c>
      <c r="O665" t="s">
        <v>131</v>
      </c>
      <c r="P665" t="s">
        <v>2478</v>
      </c>
      <c r="Q665">
        <v>9</v>
      </c>
      <c r="R665" t="s">
        <v>2312</v>
      </c>
      <c r="S665" t="s">
        <v>2514</v>
      </c>
      <c r="T665" t="s">
        <v>877</v>
      </c>
      <c r="U665" t="s">
        <v>878</v>
      </c>
      <c r="W665">
        <v>70</v>
      </c>
      <c r="X665">
        <v>70</v>
      </c>
      <c r="Y665" t="s">
        <v>879</v>
      </c>
      <c r="Z665" t="s">
        <v>792</v>
      </c>
      <c r="AB665" t="s">
        <v>793</v>
      </c>
      <c r="AD665" t="s">
        <v>794</v>
      </c>
      <c r="AE665" t="s">
        <v>795</v>
      </c>
      <c r="AF665" t="s">
        <v>796</v>
      </c>
      <c r="AG665" t="s">
        <v>797</v>
      </c>
      <c r="AH665">
        <v>687862.44900000002</v>
      </c>
      <c r="AI665">
        <v>726795.4636134</v>
      </c>
      <c r="AJ665">
        <v>5.5120125385716839E-3</v>
      </c>
    </row>
    <row r="666" spans="1:36" x14ac:dyDescent="0.3">
      <c r="A666">
        <f>COUNTIF($D$2:D666,D666)</f>
        <v>7</v>
      </c>
      <c r="B666" t="str">
        <f t="shared" si="41"/>
        <v>7Dudley</v>
      </c>
      <c r="C666" t="s">
        <v>2516</v>
      </c>
      <c r="D666" t="s">
        <v>139</v>
      </c>
      <c r="E666">
        <v>2001</v>
      </c>
      <c r="F666" t="s">
        <v>2517</v>
      </c>
      <c r="G666" t="s">
        <v>787</v>
      </c>
      <c r="H666" t="s">
        <v>930</v>
      </c>
      <c r="I666" t="s">
        <v>789</v>
      </c>
      <c r="J666">
        <f t="shared" ca="1" si="42"/>
        <v>234600</v>
      </c>
      <c r="K666">
        <f t="shared" ca="1" si="43"/>
        <v>310</v>
      </c>
      <c r="N666" t="str">
        <f t="shared" si="40"/>
        <v>Derbyshire10ICS - Hospital TeamsIntegrated Care Planning and NavigationAssessment teams/joint assessment</v>
      </c>
      <c r="O666" t="s">
        <v>131</v>
      </c>
      <c r="P666" t="s">
        <v>2478</v>
      </c>
      <c r="Q666">
        <v>10</v>
      </c>
      <c r="R666" t="s">
        <v>2317</v>
      </c>
      <c r="S666" t="s">
        <v>2518</v>
      </c>
      <c r="T666" t="s">
        <v>2031</v>
      </c>
      <c r="U666" t="s">
        <v>2318</v>
      </c>
      <c r="W666" t="s">
        <v>2519</v>
      </c>
      <c r="X666" t="s">
        <v>2519</v>
      </c>
      <c r="Y666" t="s">
        <v>794</v>
      </c>
      <c r="Z666" t="s">
        <v>792</v>
      </c>
      <c r="AB666" t="s">
        <v>793</v>
      </c>
      <c r="AD666" t="s">
        <v>794</v>
      </c>
      <c r="AE666" t="s">
        <v>795</v>
      </c>
      <c r="AF666" t="s">
        <v>796</v>
      </c>
      <c r="AG666" t="s">
        <v>797</v>
      </c>
      <c r="AH666">
        <v>1261845.046602</v>
      </c>
      <c r="AI666">
        <v>1333265.4762396731</v>
      </c>
      <c r="AJ666">
        <v>1.0111477561707679E-2</v>
      </c>
    </row>
    <row r="667" spans="1:36" x14ac:dyDescent="0.3">
      <c r="A667">
        <f>COUNTIF($D$2:D667,D667)</f>
        <v>8</v>
      </c>
      <c r="B667" t="str">
        <f t="shared" si="41"/>
        <v>8Dudley</v>
      </c>
      <c r="C667" t="s">
        <v>2520</v>
      </c>
      <c r="D667" t="s">
        <v>139</v>
      </c>
      <c r="E667">
        <v>3001</v>
      </c>
      <c r="F667" t="s">
        <v>2521</v>
      </c>
      <c r="G667" t="s">
        <v>842</v>
      </c>
      <c r="H667" t="s">
        <v>843</v>
      </c>
      <c r="I667" t="s">
        <v>844</v>
      </c>
      <c r="J667">
        <f t="shared" ca="1" si="42"/>
        <v>15149100</v>
      </c>
      <c r="K667">
        <f t="shared" ca="1" si="43"/>
        <v>1025695</v>
      </c>
      <c r="N667" t="str">
        <f t="shared" si="40"/>
        <v>Derbyshire11Dementia SupportCommunity Based SchemesMultidisciplinary teams that are supporting independence, such as anticipatory care</v>
      </c>
      <c r="O667" t="s">
        <v>131</v>
      </c>
      <c r="P667" t="s">
        <v>2478</v>
      </c>
      <c r="Q667">
        <v>11</v>
      </c>
      <c r="R667" t="s">
        <v>2321</v>
      </c>
      <c r="S667" t="s">
        <v>2522</v>
      </c>
      <c r="T667" t="s">
        <v>1453</v>
      </c>
      <c r="U667" t="s">
        <v>1454</v>
      </c>
      <c r="W667" t="s">
        <v>2523</v>
      </c>
      <c r="X667" t="s">
        <v>2523</v>
      </c>
      <c r="Y667" t="s">
        <v>794</v>
      </c>
      <c r="Z667" t="s">
        <v>792</v>
      </c>
      <c r="AB667" t="s">
        <v>793</v>
      </c>
      <c r="AD667" t="s">
        <v>794</v>
      </c>
      <c r="AE667" t="s">
        <v>825</v>
      </c>
      <c r="AF667" t="s">
        <v>796</v>
      </c>
      <c r="AG667" t="s">
        <v>797</v>
      </c>
      <c r="AH667">
        <v>462565.75476600009</v>
      </c>
      <c r="AI667">
        <v>488746.9764857557</v>
      </c>
      <c r="AJ667">
        <v>3.7066542066523929E-3</v>
      </c>
    </row>
    <row r="668" spans="1:36" x14ac:dyDescent="0.3">
      <c r="A668">
        <f>COUNTIF($D$2:D668,D668)</f>
        <v>9</v>
      </c>
      <c r="B668" t="str">
        <f t="shared" si="41"/>
        <v>9Dudley</v>
      </c>
      <c r="C668" t="s">
        <v>2524</v>
      </c>
      <c r="D668" t="s">
        <v>139</v>
      </c>
      <c r="E668">
        <v>3003</v>
      </c>
      <c r="F668" t="s">
        <v>2521</v>
      </c>
      <c r="G668" t="s">
        <v>811</v>
      </c>
      <c r="H668" t="s">
        <v>830</v>
      </c>
      <c r="I668" t="s">
        <v>813</v>
      </c>
      <c r="J668">
        <f t="shared" ca="1" si="42"/>
        <v>89100</v>
      </c>
      <c r="K668">
        <f t="shared" ca="1" si="43"/>
        <v>150</v>
      </c>
      <c r="N668" t="str">
        <f t="shared" si="40"/>
        <v>Derbyshire12Assistive Technology (Telecare)Assistive Technologies and EquipmentAssistive technologies including telecare</v>
      </c>
      <c r="O668" t="s">
        <v>131</v>
      </c>
      <c r="P668" t="s">
        <v>2478</v>
      </c>
      <c r="Q668">
        <v>12</v>
      </c>
      <c r="R668" t="s">
        <v>2324</v>
      </c>
      <c r="S668" t="s">
        <v>2525</v>
      </c>
      <c r="T668" t="s">
        <v>800</v>
      </c>
      <c r="U668" t="s">
        <v>850</v>
      </c>
      <c r="W668" t="s">
        <v>2526</v>
      </c>
      <c r="X668" t="s">
        <v>2526</v>
      </c>
      <c r="Y668" t="s">
        <v>802</v>
      </c>
      <c r="Z668" t="s">
        <v>792</v>
      </c>
      <c r="AB668" t="s">
        <v>793</v>
      </c>
      <c r="AD668" t="s">
        <v>794</v>
      </c>
      <c r="AE668" t="s">
        <v>804</v>
      </c>
      <c r="AF668" t="s">
        <v>796</v>
      </c>
      <c r="AG668" t="s">
        <v>797</v>
      </c>
      <c r="AH668">
        <v>782035.37591219996</v>
      </c>
      <c r="AI668">
        <v>826298.57818883052</v>
      </c>
      <c r="AJ668">
        <v>6.2666435766355758E-3</v>
      </c>
    </row>
    <row r="669" spans="1:36" x14ac:dyDescent="0.3">
      <c r="A669">
        <f>COUNTIF($D$2:D669,D669)</f>
        <v>10</v>
      </c>
      <c r="B669" t="str">
        <f t="shared" si="41"/>
        <v>10Dudley</v>
      </c>
      <c r="C669" t="s">
        <v>2527</v>
      </c>
      <c r="D669" t="s">
        <v>139</v>
      </c>
      <c r="E669">
        <v>4001</v>
      </c>
      <c r="F669" t="s">
        <v>2528</v>
      </c>
      <c r="G669" t="s">
        <v>787</v>
      </c>
      <c r="H669" t="s">
        <v>930</v>
      </c>
      <c r="I669" t="s">
        <v>789</v>
      </c>
      <c r="J669">
        <f t="shared" ca="1" si="42"/>
        <v>1514700</v>
      </c>
      <c r="K669">
        <f t="shared" ca="1" si="43"/>
        <v>4376</v>
      </c>
      <c r="N669" t="str">
        <f t="shared" si="40"/>
        <v>Derbyshire15CarersCarers ServicesCarer advice and support related to Care Act duties</v>
      </c>
      <c r="O669" t="s">
        <v>131</v>
      </c>
      <c r="P669" t="s">
        <v>2478</v>
      </c>
      <c r="Q669">
        <v>15</v>
      </c>
      <c r="R669" t="s">
        <v>1250</v>
      </c>
      <c r="S669" t="s">
        <v>2529</v>
      </c>
      <c r="T669" t="s">
        <v>811</v>
      </c>
      <c r="U669" t="s">
        <v>895</v>
      </c>
      <c r="W669">
        <v>20000</v>
      </c>
      <c r="X669">
        <v>20000</v>
      </c>
      <c r="Y669" t="s">
        <v>813</v>
      </c>
      <c r="Z669" t="s">
        <v>792</v>
      </c>
      <c r="AB669" t="s">
        <v>793</v>
      </c>
      <c r="AD669" t="s">
        <v>794</v>
      </c>
      <c r="AE669" t="s">
        <v>825</v>
      </c>
      <c r="AF669" t="s">
        <v>796</v>
      </c>
      <c r="AG669" t="s">
        <v>797</v>
      </c>
      <c r="AH669">
        <v>2464407.6524236077</v>
      </c>
      <c r="AI669">
        <v>2603893.1255507837</v>
      </c>
      <c r="AJ669">
        <v>1.9747910210913305E-2</v>
      </c>
    </row>
    <row r="670" spans="1:36" x14ac:dyDescent="0.3">
      <c r="A670">
        <f>COUNTIF($D$2:D670,D670)</f>
        <v>11</v>
      </c>
      <c r="B670" t="str">
        <f t="shared" si="41"/>
        <v>11Dudley</v>
      </c>
      <c r="C670" t="s">
        <v>2530</v>
      </c>
      <c r="D670" t="s">
        <v>139</v>
      </c>
      <c r="E670">
        <v>4003</v>
      </c>
      <c r="F670" t="s">
        <v>2528</v>
      </c>
      <c r="G670" t="s">
        <v>877</v>
      </c>
      <c r="H670" t="s">
        <v>878</v>
      </c>
      <c r="I670" t="s">
        <v>879</v>
      </c>
      <c r="J670">
        <f t="shared" ca="1" si="42"/>
        <v>2983600</v>
      </c>
      <c r="K670">
        <f t="shared" ca="1" si="43"/>
        <v>306</v>
      </c>
      <c r="N670" t="str">
        <f t="shared" si="40"/>
        <v>Derbyshire19Autism SupportCommunity Based SchemesMultidisciplinary teams that are supporting independence, such as anticipatory care</v>
      </c>
      <c r="O670" t="s">
        <v>131</v>
      </c>
      <c r="P670" t="s">
        <v>2478</v>
      </c>
      <c r="Q670">
        <v>19</v>
      </c>
      <c r="R670" t="s">
        <v>2329</v>
      </c>
      <c r="S670" t="s">
        <v>2531</v>
      </c>
      <c r="T670" t="s">
        <v>1453</v>
      </c>
      <c r="U670" t="s">
        <v>1454</v>
      </c>
      <c r="W670" t="s">
        <v>2532</v>
      </c>
      <c r="X670" t="s">
        <v>2532</v>
      </c>
      <c r="Y670" t="s">
        <v>794</v>
      </c>
      <c r="Z670" t="s">
        <v>792</v>
      </c>
      <c r="AB670" t="s">
        <v>793</v>
      </c>
      <c r="AD670" t="s">
        <v>794</v>
      </c>
      <c r="AE670" t="s">
        <v>825</v>
      </c>
      <c r="AF670" t="s">
        <v>796</v>
      </c>
      <c r="AG670" t="s">
        <v>797</v>
      </c>
      <c r="AH670">
        <v>747239.19914923212</v>
      </c>
      <c r="AI670">
        <v>789532.9378210787</v>
      </c>
      <c r="AJ670">
        <v>5.9878131754548371E-3</v>
      </c>
    </row>
    <row r="671" spans="1:36" x14ac:dyDescent="0.3">
      <c r="A671">
        <f>COUNTIF($D$2:D671,D671)</f>
        <v>12</v>
      </c>
      <c r="B671" t="str">
        <f t="shared" si="41"/>
        <v>12Dudley</v>
      </c>
      <c r="C671" t="s">
        <v>2533</v>
      </c>
      <c r="D671" t="s">
        <v>139</v>
      </c>
      <c r="E671">
        <v>4004</v>
      </c>
      <c r="F671" t="s">
        <v>2528</v>
      </c>
      <c r="G671" t="s">
        <v>787</v>
      </c>
      <c r="H671" t="s">
        <v>930</v>
      </c>
      <c r="I671" t="s">
        <v>789</v>
      </c>
      <c r="J671">
        <f t="shared" ca="1" si="42"/>
        <v>2235600</v>
      </c>
      <c r="K671">
        <f t="shared" ca="1" si="43"/>
        <v>1687</v>
      </c>
      <c r="N671" t="str">
        <f t="shared" si="40"/>
        <v>DerbyshirePVI care to deliver P1 discharges from acuteHome Care or Domiciliary CareDomiciliary care to support hospital discharge (Discharge to Assess pathway 1)</v>
      </c>
      <c r="O671" t="s">
        <v>131</v>
      </c>
      <c r="P671" t="s">
        <v>2478</v>
      </c>
      <c r="R671" t="s">
        <v>2332</v>
      </c>
      <c r="S671" t="s">
        <v>2534</v>
      </c>
      <c r="T671" t="s">
        <v>842</v>
      </c>
      <c r="U671" t="s">
        <v>856</v>
      </c>
      <c r="W671">
        <v>30660</v>
      </c>
      <c r="X671">
        <v>30660</v>
      </c>
      <c r="Y671" t="s">
        <v>844</v>
      </c>
      <c r="Z671" t="s">
        <v>792</v>
      </c>
      <c r="AB671" t="s">
        <v>824</v>
      </c>
      <c r="AD671" t="s">
        <v>794</v>
      </c>
      <c r="AE671" t="s">
        <v>804</v>
      </c>
      <c r="AF671" t="s">
        <v>860</v>
      </c>
      <c r="AG671" t="s">
        <v>797</v>
      </c>
      <c r="AH671">
        <v>2216690</v>
      </c>
      <c r="AI671">
        <v>0</v>
      </c>
      <c r="AJ671">
        <v>1.7762887175901743E-2</v>
      </c>
    </row>
    <row r="672" spans="1:36" x14ac:dyDescent="0.3">
      <c r="A672">
        <f>COUNTIF($D$2:D672,D672)</f>
        <v>13</v>
      </c>
      <c r="B672" t="str">
        <f t="shared" si="41"/>
        <v>13Dudley</v>
      </c>
      <c r="C672" t="s">
        <v>2535</v>
      </c>
      <c r="D672" t="s">
        <v>139</v>
      </c>
      <c r="E672">
        <v>4006</v>
      </c>
      <c r="F672" t="s">
        <v>2528</v>
      </c>
      <c r="G672" t="s">
        <v>842</v>
      </c>
      <c r="H672" t="s">
        <v>843</v>
      </c>
      <c r="I672" t="s">
        <v>844</v>
      </c>
      <c r="J672">
        <f t="shared" ca="1" si="42"/>
        <v>1856889</v>
      </c>
      <c r="K672">
        <f t="shared" ca="1" si="43"/>
        <v>166566</v>
      </c>
      <c r="N672" t="str">
        <f t="shared" si="40"/>
        <v>Derbyshire11TransportBed based intermediate Care Services (Reablement, rehabilitation, wider short-term services supporting recovery)Bed-based intermediate care with rehabilitation (to support discharge)</v>
      </c>
      <c r="O672" t="s">
        <v>131</v>
      </c>
      <c r="P672" t="s">
        <v>2478</v>
      </c>
      <c r="Q672">
        <v>11</v>
      </c>
      <c r="R672" t="s">
        <v>2335</v>
      </c>
      <c r="S672" t="s">
        <v>2536</v>
      </c>
      <c r="T672" t="s">
        <v>877</v>
      </c>
      <c r="U672" t="s">
        <v>968</v>
      </c>
      <c r="W672">
        <v>130</v>
      </c>
      <c r="X672">
        <v>130</v>
      </c>
      <c r="Y672" t="s">
        <v>879</v>
      </c>
      <c r="Z672" t="s">
        <v>792</v>
      </c>
      <c r="AB672" t="s">
        <v>793</v>
      </c>
      <c r="AD672" t="s">
        <v>794</v>
      </c>
      <c r="AE672" t="s">
        <v>795</v>
      </c>
      <c r="AF672" t="s">
        <v>864</v>
      </c>
      <c r="AG672" t="s">
        <v>861</v>
      </c>
      <c r="AH672">
        <v>300000</v>
      </c>
      <c r="AI672">
        <v>300000</v>
      </c>
      <c r="AJ672">
        <v>2.4039744631728036E-3</v>
      </c>
    </row>
    <row r="673" spans="1:36" x14ac:dyDescent="0.3">
      <c r="A673">
        <f>COUNTIF($D$2:D673,D673)</f>
        <v>14</v>
      </c>
      <c r="B673" t="str">
        <f t="shared" si="41"/>
        <v>14Dudley</v>
      </c>
      <c r="C673" t="s">
        <v>2537</v>
      </c>
      <c r="D673" t="s">
        <v>139</v>
      </c>
      <c r="E673">
        <v>4007</v>
      </c>
      <c r="F673" t="s">
        <v>2528</v>
      </c>
      <c r="G673" t="s">
        <v>877</v>
      </c>
      <c r="H673" t="s">
        <v>812</v>
      </c>
      <c r="I673" t="s">
        <v>879</v>
      </c>
      <c r="J673">
        <f t="shared" ca="1" si="42"/>
        <v>693201</v>
      </c>
      <c r="K673">
        <f t="shared" ca="1" si="43"/>
        <v>163</v>
      </c>
      <c r="N673" t="str">
        <f t="shared" si="40"/>
        <v>Derbyshire11Reablement care to support dischargeResidential PlacementsShort-term residential/nursing care for someone likely to require a longer-term care home replacement</v>
      </c>
      <c r="O673" t="s">
        <v>131</v>
      </c>
      <c r="P673" t="s">
        <v>2478</v>
      </c>
      <c r="Q673">
        <v>11</v>
      </c>
      <c r="R673" t="s">
        <v>2338</v>
      </c>
      <c r="S673" t="s">
        <v>2538</v>
      </c>
      <c r="T673" t="s">
        <v>806</v>
      </c>
      <c r="U673" t="s">
        <v>2339</v>
      </c>
      <c r="W673">
        <v>360</v>
      </c>
      <c r="X673">
        <v>360</v>
      </c>
      <c r="Y673" t="s">
        <v>794</v>
      </c>
      <c r="Z673" t="s">
        <v>792</v>
      </c>
      <c r="AB673" t="s">
        <v>793</v>
      </c>
      <c r="AD673" t="s">
        <v>794</v>
      </c>
      <c r="AE673" t="s">
        <v>804</v>
      </c>
      <c r="AF673" t="s">
        <v>864</v>
      </c>
      <c r="AG673" t="s">
        <v>797</v>
      </c>
      <c r="AH673">
        <v>1291700</v>
      </c>
      <c r="AI673">
        <v>1291700</v>
      </c>
      <c r="AJ673">
        <v>1.0350712713601036E-2</v>
      </c>
    </row>
    <row r="674" spans="1:36" x14ac:dyDescent="0.3">
      <c r="A674">
        <f>COUNTIF($D$2:D674,D674)</f>
        <v>15</v>
      </c>
      <c r="B674" t="str">
        <f t="shared" si="41"/>
        <v>15Dudley</v>
      </c>
      <c r="C674" t="s">
        <v>2539</v>
      </c>
      <c r="D674" t="s">
        <v>139</v>
      </c>
      <c r="E674">
        <v>4010</v>
      </c>
      <c r="F674" t="s">
        <v>2528</v>
      </c>
      <c r="G674" t="s">
        <v>787</v>
      </c>
      <c r="H674" t="s">
        <v>812</v>
      </c>
      <c r="I674" t="s">
        <v>789</v>
      </c>
      <c r="J674">
        <f t="shared" ca="1" si="42"/>
        <v>998700</v>
      </c>
      <c r="K674">
        <f t="shared" ca="1" si="43"/>
        <v>2188</v>
      </c>
      <c r="N674" t="str">
        <f t="shared" si="40"/>
        <v>Derbyshire12VCSE P0 discharge supportHome Care or Domiciliary CareDomiciliary care to support hospital discharge (Discharge to Assess pathway 1)</v>
      </c>
      <c r="O674" t="s">
        <v>131</v>
      </c>
      <c r="P674" t="s">
        <v>2478</v>
      </c>
      <c r="Q674">
        <v>12</v>
      </c>
      <c r="R674" t="s">
        <v>2342</v>
      </c>
      <c r="S674" t="s">
        <v>2540</v>
      </c>
      <c r="T674" t="s">
        <v>842</v>
      </c>
      <c r="U674" t="s">
        <v>856</v>
      </c>
      <c r="W674">
        <v>52000</v>
      </c>
      <c r="X674">
        <v>52000</v>
      </c>
      <c r="Y674" t="s">
        <v>844</v>
      </c>
      <c r="Z674" t="s">
        <v>792</v>
      </c>
      <c r="AB674" t="s">
        <v>793</v>
      </c>
      <c r="AD674" t="s">
        <v>794</v>
      </c>
      <c r="AE674" t="s">
        <v>804</v>
      </c>
      <c r="AF674" t="s">
        <v>864</v>
      </c>
      <c r="AG674" t="s">
        <v>797</v>
      </c>
      <c r="AH674">
        <v>1258282</v>
      </c>
      <c r="AI674">
        <v>1258282</v>
      </c>
      <c r="AJ674">
        <v>1.0082925984900008E-2</v>
      </c>
    </row>
    <row r="675" spans="1:36" x14ac:dyDescent="0.3">
      <c r="A675">
        <f>COUNTIF($D$2:D675,D675)</f>
        <v>16</v>
      </c>
      <c r="B675" t="str">
        <f t="shared" si="41"/>
        <v>16Dudley</v>
      </c>
      <c r="C675" t="s">
        <v>2541</v>
      </c>
      <c r="D675" t="s">
        <v>139</v>
      </c>
      <c r="E675">
        <v>4013</v>
      </c>
      <c r="F675" t="s">
        <v>2528</v>
      </c>
      <c r="G675" t="s">
        <v>842</v>
      </c>
      <c r="H675" t="s">
        <v>843</v>
      </c>
      <c r="I675" t="s">
        <v>844</v>
      </c>
      <c r="J675">
        <f t="shared" ca="1" si="42"/>
        <v>1561621</v>
      </c>
      <c r="K675">
        <f t="shared" ca="1" si="43"/>
        <v>98976</v>
      </c>
      <c r="N675" t="str">
        <f t="shared" si="40"/>
        <v>DerbyshireReablement care to support dischargeHome-based intermediate care servicesRehabilitation at home (accepting step up and step down users)</v>
      </c>
      <c r="O675" t="s">
        <v>131</v>
      </c>
      <c r="P675" t="s">
        <v>2478</v>
      </c>
      <c r="R675" t="s">
        <v>2338</v>
      </c>
      <c r="S675" t="s">
        <v>2538</v>
      </c>
      <c r="T675" t="s">
        <v>787</v>
      </c>
      <c r="U675" t="s">
        <v>1688</v>
      </c>
      <c r="W675">
        <v>182</v>
      </c>
      <c r="X675">
        <v>364</v>
      </c>
      <c r="Y675" t="s">
        <v>789</v>
      </c>
      <c r="Z675" t="s">
        <v>823</v>
      </c>
      <c r="AB675" t="s">
        <v>824</v>
      </c>
      <c r="AD675" t="s">
        <v>794</v>
      </c>
      <c r="AE675" t="s">
        <v>832</v>
      </c>
      <c r="AF675" t="s">
        <v>860</v>
      </c>
      <c r="AG675" t="s">
        <v>2460</v>
      </c>
      <c r="AH675">
        <v>410000</v>
      </c>
      <c r="AI675">
        <v>570000</v>
      </c>
      <c r="AJ675">
        <v>3.2854317663361652E-3</v>
      </c>
    </row>
    <row r="676" spans="1:36" x14ac:dyDescent="0.3">
      <c r="A676">
        <f>COUNTIF($D$2:D676,D676)</f>
        <v>17</v>
      </c>
      <c r="B676" t="str">
        <f t="shared" si="41"/>
        <v>17Dudley</v>
      </c>
      <c r="C676" t="s">
        <v>2542</v>
      </c>
      <c r="D676" t="s">
        <v>139</v>
      </c>
      <c r="E676">
        <v>5001</v>
      </c>
      <c r="F676" t="s">
        <v>1786</v>
      </c>
      <c r="G676" t="s">
        <v>842</v>
      </c>
      <c r="H676" t="s">
        <v>843</v>
      </c>
      <c r="I676" t="s">
        <v>844</v>
      </c>
      <c r="J676">
        <f t="shared" ca="1" si="42"/>
        <v>732164</v>
      </c>
      <c r="K676">
        <f t="shared" ca="1" si="43"/>
        <v>37128</v>
      </c>
      <c r="N676" t="str">
        <f t="shared" si="40"/>
        <v>Devon1Assistive Technology Assistive Technologies and EquipmentAssistive technologies including telecare</v>
      </c>
      <c r="O676" t="s">
        <v>133</v>
      </c>
      <c r="P676" t="s">
        <v>976</v>
      </c>
      <c r="Q676">
        <v>1</v>
      </c>
      <c r="R676" t="s">
        <v>2347</v>
      </c>
      <c r="S676" t="s">
        <v>2347</v>
      </c>
      <c r="T676" t="s">
        <v>800</v>
      </c>
      <c r="U676" t="s">
        <v>850</v>
      </c>
      <c r="W676">
        <v>955</v>
      </c>
      <c r="X676">
        <v>955</v>
      </c>
      <c r="Y676" t="s">
        <v>802</v>
      </c>
      <c r="Z676" t="s">
        <v>792</v>
      </c>
      <c r="AB676" t="s">
        <v>1739</v>
      </c>
      <c r="AC676">
        <v>0.5</v>
      </c>
      <c r="AD676">
        <v>0.5</v>
      </c>
      <c r="AE676" t="s">
        <v>804</v>
      </c>
      <c r="AF676" t="s">
        <v>1029</v>
      </c>
      <c r="AG676" t="s">
        <v>797</v>
      </c>
      <c r="AH676">
        <v>318000</v>
      </c>
      <c r="AI676">
        <v>318000</v>
      </c>
    </row>
    <row r="677" spans="1:36" x14ac:dyDescent="0.3">
      <c r="A677">
        <f>COUNTIF($D$2:D677,D677)</f>
        <v>18</v>
      </c>
      <c r="B677" t="str">
        <f t="shared" si="41"/>
        <v>18Dudley</v>
      </c>
      <c r="C677" t="s">
        <v>2543</v>
      </c>
      <c r="D677" t="s">
        <v>139</v>
      </c>
      <c r="E677">
        <v>5001</v>
      </c>
      <c r="F677" t="s">
        <v>1786</v>
      </c>
      <c r="G677" t="s">
        <v>787</v>
      </c>
      <c r="H677" t="s">
        <v>930</v>
      </c>
      <c r="I677" t="s">
        <v>789</v>
      </c>
      <c r="J677">
        <f t="shared" ca="1" si="42"/>
        <v>1000000</v>
      </c>
      <c r="K677">
        <f t="shared" ca="1" si="43"/>
        <v>501</v>
      </c>
      <c r="N677" t="str">
        <f t="shared" si="40"/>
        <v>Devon1Assistive Technology Assistive Technologies and EquipmentAssistive technologies including telecare</v>
      </c>
      <c r="O677" t="s">
        <v>133</v>
      </c>
      <c r="P677" t="s">
        <v>976</v>
      </c>
      <c r="Q677">
        <v>1</v>
      </c>
      <c r="R677" t="s">
        <v>2347</v>
      </c>
      <c r="S677" t="s">
        <v>2347</v>
      </c>
      <c r="T677" t="s">
        <v>800</v>
      </c>
      <c r="U677" t="s">
        <v>850</v>
      </c>
      <c r="W677">
        <v>222</v>
      </c>
      <c r="X677">
        <v>222</v>
      </c>
      <c r="Y677" t="s">
        <v>802</v>
      </c>
      <c r="Z677" t="s">
        <v>823</v>
      </c>
      <c r="AB677" t="s">
        <v>1739</v>
      </c>
      <c r="AC677">
        <v>0.5</v>
      </c>
      <c r="AD677">
        <v>0.5</v>
      </c>
      <c r="AE677" t="s">
        <v>804</v>
      </c>
      <c r="AF677" t="s">
        <v>796</v>
      </c>
      <c r="AG677" t="s">
        <v>797</v>
      </c>
      <c r="AH677">
        <v>74000</v>
      </c>
      <c r="AI677">
        <v>74000</v>
      </c>
    </row>
    <row r="678" spans="1:36" x14ac:dyDescent="0.3">
      <c r="A678">
        <f>COUNTIF($D$2:D678,D678)</f>
        <v>19</v>
      </c>
      <c r="B678" t="str">
        <f t="shared" si="41"/>
        <v>19Dudley</v>
      </c>
      <c r="C678" t="s">
        <v>2544</v>
      </c>
      <c r="D678" t="s">
        <v>139</v>
      </c>
      <c r="E678">
        <v>5003</v>
      </c>
      <c r="F678" t="s">
        <v>2545</v>
      </c>
      <c r="G678" t="s">
        <v>800</v>
      </c>
      <c r="H678" t="s">
        <v>903</v>
      </c>
      <c r="I678" t="s">
        <v>802</v>
      </c>
      <c r="J678">
        <f t="shared" ca="1" si="42"/>
        <v>200000</v>
      </c>
      <c r="K678">
        <f t="shared" ca="1" si="43"/>
        <v>2544</v>
      </c>
      <c r="N678" t="str">
        <f t="shared" si="40"/>
        <v>Devon2Care Act dutiesCarers ServicesCarer advice and support related to Care Act duties</v>
      </c>
      <c r="O678" t="s">
        <v>133</v>
      </c>
      <c r="P678" t="s">
        <v>976</v>
      </c>
      <c r="Q678">
        <v>2</v>
      </c>
      <c r="R678" t="s">
        <v>2350</v>
      </c>
      <c r="S678" t="s">
        <v>2350</v>
      </c>
      <c r="T678" t="s">
        <v>811</v>
      </c>
      <c r="U678" t="s">
        <v>895</v>
      </c>
      <c r="W678">
        <v>69</v>
      </c>
      <c r="X678">
        <v>69</v>
      </c>
      <c r="Y678" t="s">
        <v>813</v>
      </c>
      <c r="Z678" t="s">
        <v>792</v>
      </c>
      <c r="AB678" t="s">
        <v>793</v>
      </c>
      <c r="AD678" t="s">
        <v>794</v>
      </c>
      <c r="AE678" t="s">
        <v>804</v>
      </c>
      <c r="AF678" t="s">
        <v>796</v>
      </c>
      <c r="AG678" t="s">
        <v>797</v>
      </c>
      <c r="AH678">
        <v>10000</v>
      </c>
      <c r="AI678">
        <v>10000</v>
      </c>
    </row>
    <row r="679" spans="1:36" x14ac:dyDescent="0.3">
      <c r="A679">
        <f>COUNTIF($D$2:D679,D679)</f>
        <v>20</v>
      </c>
      <c r="B679" t="str">
        <f t="shared" si="41"/>
        <v>20Dudley</v>
      </c>
      <c r="C679" t="s">
        <v>2546</v>
      </c>
      <c r="D679" t="s">
        <v>139</v>
      </c>
      <c r="E679">
        <v>232501</v>
      </c>
      <c r="F679" t="s">
        <v>2547</v>
      </c>
      <c r="G679" t="s">
        <v>800</v>
      </c>
      <c r="H679" t="s">
        <v>903</v>
      </c>
      <c r="I679" t="s">
        <v>802</v>
      </c>
      <c r="J679">
        <f t="shared" ca="1" si="42"/>
        <v>1287006</v>
      </c>
      <c r="K679">
        <f t="shared" ca="1" si="43"/>
        <v>1550</v>
      </c>
      <c r="N679" t="str">
        <f t="shared" si="40"/>
        <v>Devon4CarersCarers ServicesOther</v>
      </c>
      <c r="O679" t="s">
        <v>133</v>
      </c>
      <c r="P679" t="s">
        <v>976</v>
      </c>
      <c r="Q679">
        <v>4</v>
      </c>
      <c r="R679" t="s">
        <v>1250</v>
      </c>
      <c r="S679" t="s">
        <v>1250</v>
      </c>
      <c r="T679" t="s">
        <v>811</v>
      </c>
      <c r="U679" t="s">
        <v>812</v>
      </c>
      <c r="V679" t="s">
        <v>2548</v>
      </c>
      <c r="W679">
        <v>570</v>
      </c>
      <c r="X679">
        <v>570</v>
      </c>
      <c r="Y679" t="s">
        <v>813</v>
      </c>
      <c r="Z679" t="s">
        <v>792</v>
      </c>
      <c r="AB679" t="s">
        <v>1739</v>
      </c>
      <c r="AC679">
        <v>0.5</v>
      </c>
      <c r="AD679">
        <v>0.5</v>
      </c>
      <c r="AE679" t="s">
        <v>795</v>
      </c>
      <c r="AF679" t="s">
        <v>1029</v>
      </c>
      <c r="AG679" t="s">
        <v>797</v>
      </c>
      <c r="AH679">
        <v>82550</v>
      </c>
      <c r="AI679">
        <v>82550</v>
      </c>
    </row>
    <row r="680" spans="1:36" x14ac:dyDescent="0.3">
      <c r="A680">
        <f>COUNTIF($D$2:D680,D680)</f>
        <v>21</v>
      </c>
      <c r="B680" t="str">
        <f t="shared" si="41"/>
        <v>21Dudley</v>
      </c>
      <c r="C680" t="s">
        <v>2549</v>
      </c>
      <c r="D680" t="s">
        <v>139</v>
      </c>
      <c r="E680">
        <v>232502</v>
      </c>
      <c r="F680" t="s">
        <v>2550</v>
      </c>
      <c r="G680" t="s">
        <v>705</v>
      </c>
      <c r="I680" t="s">
        <v>794</v>
      </c>
      <c r="J680">
        <f t="shared" ca="1" si="42"/>
        <v>619057</v>
      </c>
      <c r="K680">
        <f t="shared" ca="1" si="43"/>
        <v>37</v>
      </c>
      <c r="N680" t="str">
        <f t="shared" si="40"/>
        <v>Devon4CarersCarers ServicesOther</v>
      </c>
      <c r="O680" t="s">
        <v>133</v>
      </c>
      <c r="P680" t="s">
        <v>976</v>
      </c>
      <c r="Q680">
        <v>4</v>
      </c>
      <c r="R680" t="s">
        <v>1250</v>
      </c>
      <c r="S680" t="s">
        <v>1250</v>
      </c>
      <c r="T680" t="s">
        <v>811</v>
      </c>
      <c r="U680" t="s">
        <v>812</v>
      </c>
      <c r="V680" t="s">
        <v>2548</v>
      </c>
      <c r="W680">
        <v>356</v>
      </c>
      <c r="X680">
        <v>356</v>
      </c>
      <c r="Y680" t="s">
        <v>813</v>
      </c>
      <c r="Z680" t="s">
        <v>792</v>
      </c>
      <c r="AB680" t="s">
        <v>1739</v>
      </c>
      <c r="AC680">
        <v>0.5</v>
      </c>
      <c r="AD680">
        <v>0.5</v>
      </c>
      <c r="AE680" t="s">
        <v>824</v>
      </c>
      <c r="AF680" t="s">
        <v>796</v>
      </c>
      <c r="AG680" t="s">
        <v>797</v>
      </c>
      <c r="AH680">
        <v>51600</v>
      </c>
      <c r="AI680">
        <v>51600</v>
      </c>
    </row>
    <row r="681" spans="1:36" x14ac:dyDescent="0.3">
      <c r="A681">
        <f>COUNTIF($D$2:D681,D681)</f>
        <v>22</v>
      </c>
      <c r="B681" t="str">
        <f t="shared" si="41"/>
        <v>22Dudley</v>
      </c>
      <c r="C681" t="s">
        <v>2551</v>
      </c>
      <c r="D681" t="s">
        <v>139</v>
      </c>
      <c r="E681">
        <v>232503</v>
      </c>
      <c r="F681" t="s">
        <v>2552</v>
      </c>
      <c r="G681" t="s">
        <v>1453</v>
      </c>
      <c r="H681" t="s">
        <v>1454</v>
      </c>
      <c r="I681" t="s">
        <v>794</v>
      </c>
      <c r="J681">
        <f t="shared" ca="1" si="42"/>
        <v>1962619</v>
      </c>
      <c r="K681">
        <f t="shared" ca="1" si="43"/>
        <v>6</v>
      </c>
      <c r="N681" t="str">
        <f t="shared" si="40"/>
        <v>Devon4CarersCarers ServicesOther</v>
      </c>
      <c r="O681" t="s">
        <v>133</v>
      </c>
      <c r="P681" t="s">
        <v>976</v>
      </c>
      <c r="Q681">
        <v>4</v>
      </c>
      <c r="R681" t="s">
        <v>1250</v>
      </c>
      <c r="S681" t="s">
        <v>1250</v>
      </c>
      <c r="T681" t="s">
        <v>811</v>
      </c>
      <c r="U681" t="s">
        <v>812</v>
      </c>
      <c r="V681" t="s">
        <v>2548</v>
      </c>
      <c r="W681">
        <v>4191</v>
      </c>
      <c r="X681">
        <v>4191</v>
      </c>
      <c r="Y681" t="s">
        <v>813</v>
      </c>
      <c r="Z681" t="s">
        <v>792</v>
      </c>
      <c r="AB681" t="s">
        <v>1739</v>
      </c>
      <c r="AC681">
        <v>0.5</v>
      </c>
      <c r="AD681">
        <v>0.5</v>
      </c>
      <c r="AE681" t="s">
        <v>825</v>
      </c>
      <c r="AF681" t="s">
        <v>1029</v>
      </c>
      <c r="AG681" t="s">
        <v>797</v>
      </c>
      <c r="AH681">
        <v>606950</v>
      </c>
      <c r="AI681">
        <v>606950</v>
      </c>
    </row>
    <row r="682" spans="1:36" x14ac:dyDescent="0.3">
      <c r="A682">
        <f>COUNTIF($D$2:D682,D682)</f>
        <v>23</v>
      </c>
      <c r="B682" t="str">
        <f t="shared" si="41"/>
        <v>23Dudley</v>
      </c>
      <c r="C682" t="s">
        <v>2553</v>
      </c>
      <c r="D682" t="s">
        <v>139</v>
      </c>
      <c r="E682">
        <v>232504</v>
      </c>
      <c r="F682" t="s">
        <v>2554</v>
      </c>
      <c r="G682" t="s">
        <v>1402</v>
      </c>
      <c r="H682" t="s">
        <v>1411</v>
      </c>
      <c r="I682" t="s">
        <v>794</v>
      </c>
      <c r="J682">
        <f t="shared" ca="1" si="42"/>
        <v>487055</v>
      </c>
      <c r="K682">
        <f t="shared" ca="1" si="43"/>
        <v>2</v>
      </c>
      <c r="N682" t="str">
        <f t="shared" si="40"/>
        <v>Devon4CarersCarers ServicesOther</v>
      </c>
      <c r="O682" t="s">
        <v>133</v>
      </c>
      <c r="P682" t="s">
        <v>976</v>
      </c>
      <c r="Q682">
        <v>4</v>
      </c>
      <c r="R682" t="s">
        <v>1250</v>
      </c>
      <c r="S682" t="s">
        <v>1250</v>
      </c>
      <c r="T682" t="s">
        <v>811</v>
      </c>
      <c r="U682" t="s">
        <v>812</v>
      </c>
      <c r="V682" t="s">
        <v>2548</v>
      </c>
      <c r="W682">
        <v>3762</v>
      </c>
      <c r="X682">
        <v>3762</v>
      </c>
      <c r="Y682" t="s">
        <v>813</v>
      </c>
      <c r="Z682" t="s">
        <v>792</v>
      </c>
      <c r="AB682" t="s">
        <v>1739</v>
      </c>
      <c r="AC682">
        <v>0.5</v>
      </c>
      <c r="AD682">
        <v>0.5</v>
      </c>
      <c r="AE682" t="s">
        <v>825</v>
      </c>
      <c r="AF682" t="s">
        <v>796</v>
      </c>
      <c r="AG682" t="s">
        <v>797</v>
      </c>
      <c r="AH682">
        <v>544800</v>
      </c>
      <c r="AI682">
        <v>544800</v>
      </c>
    </row>
    <row r="683" spans="1:36" x14ac:dyDescent="0.3">
      <c r="A683">
        <f>COUNTIF($D$2:D683,D683)</f>
        <v>24</v>
      </c>
      <c r="B683" t="str">
        <f t="shared" si="41"/>
        <v>24Dudley</v>
      </c>
      <c r="C683" t="s">
        <v>2555</v>
      </c>
      <c r="D683" t="s">
        <v>139</v>
      </c>
      <c r="E683">
        <v>232505</v>
      </c>
      <c r="F683" t="s">
        <v>2556</v>
      </c>
      <c r="G683" t="s">
        <v>1453</v>
      </c>
      <c r="H683" t="s">
        <v>1454</v>
      </c>
      <c r="I683" t="s">
        <v>794</v>
      </c>
      <c r="J683">
        <f t="shared" ca="1" si="42"/>
        <v>252944</v>
      </c>
      <c r="K683">
        <f t="shared" ca="1" si="43"/>
        <v>10</v>
      </c>
      <c r="N683" t="str">
        <f t="shared" si="40"/>
        <v>Devon4CarersCarers ServicesOther</v>
      </c>
      <c r="O683" t="s">
        <v>133</v>
      </c>
      <c r="P683" t="s">
        <v>976</v>
      </c>
      <c r="Q683">
        <v>4</v>
      </c>
      <c r="R683" t="s">
        <v>1250</v>
      </c>
      <c r="S683" t="s">
        <v>1250</v>
      </c>
      <c r="T683" t="s">
        <v>811</v>
      </c>
      <c r="U683" t="s">
        <v>812</v>
      </c>
      <c r="V683" t="s">
        <v>2548</v>
      </c>
      <c r="W683">
        <v>244</v>
      </c>
      <c r="X683">
        <v>244</v>
      </c>
      <c r="Y683" t="s">
        <v>813</v>
      </c>
      <c r="Z683" t="s">
        <v>792</v>
      </c>
      <c r="AB683" t="s">
        <v>1739</v>
      </c>
      <c r="AC683">
        <v>0.5</v>
      </c>
      <c r="AD683">
        <v>0.5</v>
      </c>
      <c r="AE683" t="s">
        <v>804</v>
      </c>
      <c r="AF683" t="s">
        <v>1029</v>
      </c>
      <c r="AG683" t="s">
        <v>797</v>
      </c>
      <c r="AH683">
        <v>35350</v>
      </c>
      <c r="AI683">
        <v>35350</v>
      </c>
    </row>
    <row r="684" spans="1:36" x14ac:dyDescent="0.3">
      <c r="A684">
        <f>COUNTIF($D$2:D684,D684)</f>
        <v>25</v>
      </c>
      <c r="B684" t="str">
        <f t="shared" si="41"/>
        <v>25Dudley</v>
      </c>
      <c r="C684" t="s">
        <v>2557</v>
      </c>
      <c r="D684" t="s">
        <v>139</v>
      </c>
      <c r="E684">
        <v>232508</v>
      </c>
      <c r="F684" t="s">
        <v>2558</v>
      </c>
      <c r="G684" t="s">
        <v>877</v>
      </c>
      <c r="H684" t="s">
        <v>878</v>
      </c>
      <c r="I684" t="s">
        <v>879</v>
      </c>
      <c r="J684">
        <f t="shared" ca="1" si="42"/>
        <v>1093476</v>
      </c>
      <c r="K684">
        <f t="shared" ca="1" si="43"/>
        <v>37</v>
      </c>
      <c r="N684" t="str">
        <f t="shared" si="40"/>
        <v>Devon4CarersCarers ServicesRespite Services</v>
      </c>
      <c r="O684" t="s">
        <v>133</v>
      </c>
      <c r="P684" t="s">
        <v>976</v>
      </c>
      <c r="Q684">
        <v>4</v>
      </c>
      <c r="R684" t="s">
        <v>1250</v>
      </c>
      <c r="S684" t="s">
        <v>1250</v>
      </c>
      <c r="T684" t="s">
        <v>811</v>
      </c>
      <c r="U684" t="s">
        <v>2205</v>
      </c>
      <c r="W684">
        <v>7575</v>
      </c>
      <c r="X684">
        <v>7575</v>
      </c>
      <c r="Y684" t="s">
        <v>813</v>
      </c>
      <c r="Z684" t="s">
        <v>792</v>
      </c>
      <c r="AB684" t="s">
        <v>1739</v>
      </c>
      <c r="AC684">
        <v>0.5</v>
      </c>
      <c r="AD684">
        <v>0.5</v>
      </c>
      <c r="AE684" t="s">
        <v>804</v>
      </c>
      <c r="AF684" t="s">
        <v>796</v>
      </c>
      <c r="AG684" t="s">
        <v>797</v>
      </c>
      <c r="AH684">
        <v>1097100</v>
      </c>
      <c r="AI684">
        <v>1097100</v>
      </c>
    </row>
    <row r="685" spans="1:36" x14ac:dyDescent="0.3">
      <c r="A685">
        <f>COUNTIF($D$2:D685,D685)</f>
        <v>26</v>
      </c>
      <c r="B685" t="str">
        <f t="shared" si="41"/>
        <v>26Dudley</v>
      </c>
      <c r="C685" t="s">
        <v>2559</v>
      </c>
      <c r="D685" t="s">
        <v>139</v>
      </c>
      <c r="E685">
        <v>232509</v>
      </c>
      <c r="F685" t="s">
        <v>2560</v>
      </c>
      <c r="G685" t="s">
        <v>877</v>
      </c>
      <c r="H685" t="s">
        <v>968</v>
      </c>
      <c r="I685" t="s">
        <v>879</v>
      </c>
      <c r="J685">
        <f t="shared" ca="1" si="42"/>
        <v>550000</v>
      </c>
      <c r="K685">
        <f t="shared" ca="1" si="43"/>
        <v>29</v>
      </c>
      <c r="N685" t="str">
        <f t="shared" si="40"/>
        <v>Devon4CarersCarers ServicesRespite Services</v>
      </c>
      <c r="O685" t="s">
        <v>133</v>
      </c>
      <c r="P685" t="s">
        <v>976</v>
      </c>
      <c r="Q685">
        <v>4</v>
      </c>
      <c r="R685" t="s">
        <v>1250</v>
      </c>
      <c r="S685" t="s">
        <v>1250</v>
      </c>
      <c r="T685" t="s">
        <v>811</v>
      </c>
      <c r="U685" t="s">
        <v>2205</v>
      </c>
      <c r="W685">
        <v>1389</v>
      </c>
      <c r="X685">
        <v>1389</v>
      </c>
      <c r="Y685" t="s">
        <v>813</v>
      </c>
      <c r="Z685" t="s">
        <v>792</v>
      </c>
      <c r="AB685" t="s">
        <v>1739</v>
      </c>
      <c r="AC685">
        <v>0.5</v>
      </c>
      <c r="AD685">
        <v>0.5</v>
      </c>
      <c r="AE685" t="s">
        <v>804</v>
      </c>
      <c r="AF685" t="s">
        <v>1029</v>
      </c>
      <c r="AG685" t="s">
        <v>797</v>
      </c>
      <c r="AH685">
        <v>201150</v>
      </c>
      <c r="AI685">
        <v>201150</v>
      </c>
    </row>
    <row r="686" spans="1:36" x14ac:dyDescent="0.3">
      <c r="A686">
        <f>COUNTIF($D$2:D686,D686)</f>
        <v>27</v>
      </c>
      <c r="B686" t="str">
        <f t="shared" si="41"/>
        <v>27Dudley</v>
      </c>
      <c r="C686" t="s">
        <v>2561</v>
      </c>
      <c r="D686" t="s">
        <v>139</v>
      </c>
      <c r="E686">
        <v>232510</v>
      </c>
      <c r="F686" t="s">
        <v>2562</v>
      </c>
      <c r="G686" t="s">
        <v>877</v>
      </c>
      <c r="H686" t="s">
        <v>968</v>
      </c>
      <c r="I686" t="s">
        <v>879</v>
      </c>
      <c r="J686">
        <f t="shared" ca="1" si="42"/>
        <v>100000</v>
      </c>
      <c r="K686">
        <f t="shared" ca="1" si="43"/>
        <v>2</v>
      </c>
      <c r="N686" t="str">
        <f t="shared" si="40"/>
        <v>Devon4CarersCarers ServicesRespite Services</v>
      </c>
      <c r="O686" t="s">
        <v>133</v>
      </c>
      <c r="P686" t="s">
        <v>976</v>
      </c>
      <c r="Q686">
        <v>4</v>
      </c>
      <c r="R686" t="s">
        <v>1250</v>
      </c>
      <c r="S686" t="s">
        <v>1250</v>
      </c>
      <c r="T686" t="s">
        <v>811</v>
      </c>
      <c r="U686" t="s">
        <v>2205</v>
      </c>
      <c r="W686">
        <v>1389</v>
      </c>
      <c r="X686">
        <v>1389</v>
      </c>
      <c r="Y686" t="s">
        <v>813</v>
      </c>
      <c r="Z686" t="s">
        <v>823</v>
      </c>
      <c r="AB686" t="s">
        <v>1739</v>
      </c>
      <c r="AC686">
        <v>0.5</v>
      </c>
      <c r="AD686">
        <v>0.5</v>
      </c>
      <c r="AE686" t="s">
        <v>804</v>
      </c>
      <c r="AF686" t="s">
        <v>1029</v>
      </c>
      <c r="AG686" t="s">
        <v>797</v>
      </c>
      <c r="AH686">
        <v>201150</v>
      </c>
      <c r="AI686">
        <v>201150</v>
      </c>
    </row>
    <row r="687" spans="1:36" x14ac:dyDescent="0.3">
      <c r="A687">
        <f>COUNTIF($D$2:D687,D687)</f>
        <v>1</v>
      </c>
      <c r="B687" t="str">
        <f t="shared" si="41"/>
        <v>1Ealing</v>
      </c>
      <c r="C687" t="s">
        <v>2563</v>
      </c>
      <c r="D687" t="s">
        <v>141</v>
      </c>
      <c r="E687">
        <v>32</v>
      </c>
      <c r="F687" t="s">
        <v>2564</v>
      </c>
      <c r="G687" t="s">
        <v>842</v>
      </c>
      <c r="H687" t="s">
        <v>856</v>
      </c>
      <c r="I687" t="s">
        <v>844</v>
      </c>
      <c r="J687">
        <f t="shared" ca="1" si="42"/>
        <v>1378304</v>
      </c>
      <c r="K687">
        <f t="shared" ca="1" si="43"/>
        <v>78312</v>
      </c>
      <c r="N687" t="str">
        <f t="shared" si="40"/>
        <v>Devon4CarersCarers ServicesOther</v>
      </c>
      <c r="O687" t="s">
        <v>133</v>
      </c>
      <c r="P687" t="s">
        <v>976</v>
      </c>
      <c r="Q687">
        <v>4</v>
      </c>
      <c r="R687" t="s">
        <v>1250</v>
      </c>
      <c r="S687" t="s">
        <v>1250</v>
      </c>
      <c r="T687" t="s">
        <v>811</v>
      </c>
      <c r="U687" t="s">
        <v>812</v>
      </c>
      <c r="V687" t="s">
        <v>2548</v>
      </c>
      <c r="W687">
        <v>2077</v>
      </c>
      <c r="X687">
        <v>2077</v>
      </c>
      <c r="Y687" t="s">
        <v>813</v>
      </c>
      <c r="Z687" t="s">
        <v>823</v>
      </c>
      <c r="AB687" t="s">
        <v>1739</v>
      </c>
      <c r="AC687">
        <v>0.5</v>
      </c>
      <c r="AD687">
        <v>0.5</v>
      </c>
      <c r="AE687" t="s">
        <v>825</v>
      </c>
      <c r="AF687" t="s">
        <v>796</v>
      </c>
      <c r="AG687" t="s">
        <v>797</v>
      </c>
      <c r="AH687">
        <v>300900</v>
      </c>
      <c r="AI687">
        <v>300900</v>
      </c>
    </row>
    <row r="688" spans="1:36" x14ac:dyDescent="0.3">
      <c r="A688">
        <f>COUNTIF($D$2:D688,D688)</f>
        <v>2</v>
      </c>
      <c r="B688" t="str">
        <f t="shared" si="41"/>
        <v>2Ealing</v>
      </c>
      <c r="C688" t="s">
        <v>2565</v>
      </c>
      <c r="D688" t="s">
        <v>141</v>
      </c>
      <c r="E688">
        <v>12</v>
      </c>
      <c r="F688" t="s">
        <v>2566</v>
      </c>
      <c r="G688" t="s">
        <v>800</v>
      </c>
      <c r="H688" t="s">
        <v>903</v>
      </c>
      <c r="I688" t="s">
        <v>802</v>
      </c>
      <c r="J688">
        <f t="shared" ca="1" si="42"/>
        <v>1476856</v>
      </c>
      <c r="K688">
        <f t="shared" ca="1" si="43"/>
        <v>3058</v>
      </c>
      <c r="N688" t="str">
        <f t="shared" si="40"/>
        <v>Devon4CarersCarers ServicesOther</v>
      </c>
      <c r="O688" t="s">
        <v>133</v>
      </c>
      <c r="P688" t="s">
        <v>976</v>
      </c>
      <c r="Q688">
        <v>4</v>
      </c>
      <c r="R688" t="s">
        <v>1250</v>
      </c>
      <c r="S688" t="s">
        <v>1250</v>
      </c>
      <c r="T688" t="s">
        <v>811</v>
      </c>
      <c r="U688" t="s">
        <v>812</v>
      </c>
      <c r="V688" t="s">
        <v>2548</v>
      </c>
      <c r="W688">
        <v>244</v>
      </c>
      <c r="X688">
        <v>244</v>
      </c>
      <c r="Y688" t="s">
        <v>813</v>
      </c>
      <c r="Z688" t="s">
        <v>823</v>
      </c>
      <c r="AB688" t="s">
        <v>1739</v>
      </c>
      <c r="AC688">
        <v>0.5</v>
      </c>
      <c r="AD688">
        <v>0.5</v>
      </c>
      <c r="AE688" t="s">
        <v>804</v>
      </c>
      <c r="AF688" t="s">
        <v>1029</v>
      </c>
      <c r="AG688" t="s">
        <v>797</v>
      </c>
      <c r="AH688">
        <v>35350</v>
      </c>
      <c r="AI688">
        <v>35350</v>
      </c>
    </row>
    <row r="689" spans="1:35" x14ac:dyDescent="0.3">
      <c r="A689">
        <f>COUNTIF($D$2:D689,D689)</f>
        <v>3</v>
      </c>
      <c r="B689" t="str">
        <f t="shared" si="41"/>
        <v>3Ealing</v>
      </c>
      <c r="C689" t="s">
        <v>2567</v>
      </c>
      <c r="D689" t="s">
        <v>141</v>
      </c>
      <c r="E689">
        <v>22</v>
      </c>
      <c r="F689" t="s">
        <v>2568</v>
      </c>
      <c r="G689" t="s">
        <v>800</v>
      </c>
      <c r="H689" t="s">
        <v>903</v>
      </c>
      <c r="I689" t="s">
        <v>802</v>
      </c>
      <c r="J689">
        <f t="shared" ca="1" si="42"/>
        <v>1228900.5995013174</v>
      </c>
      <c r="K689">
        <f t="shared" ca="1" si="43"/>
        <v>3058</v>
      </c>
      <c r="N689" t="str">
        <f t="shared" si="40"/>
        <v>Devon4CarersCarers ServicesOther</v>
      </c>
      <c r="O689" t="s">
        <v>133</v>
      </c>
      <c r="P689" t="s">
        <v>976</v>
      </c>
      <c r="Q689">
        <v>4</v>
      </c>
      <c r="R689" t="s">
        <v>1250</v>
      </c>
      <c r="S689" t="s">
        <v>1250</v>
      </c>
      <c r="T689" t="s">
        <v>811</v>
      </c>
      <c r="U689" t="s">
        <v>812</v>
      </c>
      <c r="V689" t="s">
        <v>2548</v>
      </c>
      <c r="W689">
        <v>570</v>
      </c>
      <c r="X689">
        <v>570</v>
      </c>
      <c r="Y689" t="s">
        <v>813</v>
      </c>
      <c r="Z689" t="s">
        <v>823</v>
      </c>
      <c r="AB689" t="s">
        <v>1739</v>
      </c>
      <c r="AC689">
        <v>0.5</v>
      </c>
      <c r="AD689">
        <v>0.5</v>
      </c>
      <c r="AE689" t="s">
        <v>795</v>
      </c>
      <c r="AF689" t="s">
        <v>1029</v>
      </c>
      <c r="AG689" t="s">
        <v>797</v>
      </c>
      <c r="AH689">
        <v>82550</v>
      </c>
      <c r="AI689">
        <v>82550</v>
      </c>
    </row>
    <row r="690" spans="1:35" x14ac:dyDescent="0.3">
      <c r="A690">
        <f>COUNTIF($D$2:D690,D690)</f>
        <v>4</v>
      </c>
      <c r="B690" t="str">
        <f t="shared" si="41"/>
        <v>4Ealing</v>
      </c>
      <c r="C690" t="s">
        <v>2569</v>
      </c>
      <c r="D690" t="s">
        <v>141</v>
      </c>
      <c r="E690">
        <v>24</v>
      </c>
      <c r="F690" t="s">
        <v>2570</v>
      </c>
      <c r="G690" t="s">
        <v>806</v>
      </c>
      <c r="H690" t="s">
        <v>807</v>
      </c>
      <c r="I690" t="s">
        <v>808</v>
      </c>
      <c r="J690">
        <f t="shared" ca="1" si="42"/>
        <v>1166255.9919345472</v>
      </c>
      <c r="K690">
        <f t="shared" ca="1" si="43"/>
        <v>19.118950687451591</v>
      </c>
      <c r="N690" t="str">
        <f t="shared" si="40"/>
        <v>Devon4CarersCarers ServicesOther</v>
      </c>
      <c r="O690" t="s">
        <v>133</v>
      </c>
      <c r="P690" t="s">
        <v>976</v>
      </c>
      <c r="Q690">
        <v>4</v>
      </c>
      <c r="R690" t="s">
        <v>1250</v>
      </c>
      <c r="S690" t="s">
        <v>1250</v>
      </c>
      <c r="T690" t="s">
        <v>811</v>
      </c>
      <c r="U690" t="s">
        <v>812</v>
      </c>
      <c r="V690" t="s">
        <v>2548</v>
      </c>
      <c r="W690">
        <v>356</v>
      </c>
      <c r="X690">
        <v>356</v>
      </c>
      <c r="Y690" t="s">
        <v>813</v>
      </c>
      <c r="Z690" t="s">
        <v>823</v>
      </c>
      <c r="AB690" t="s">
        <v>1739</v>
      </c>
      <c r="AC690">
        <v>0.5</v>
      </c>
      <c r="AD690">
        <v>0.5</v>
      </c>
      <c r="AE690" t="s">
        <v>824</v>
      </c>
      <c r="AF690" t="s">
        <v>796</v>
      </c>
      <c r="AG690" t="s">
        <v>797</v>
      </c>
      <c r="AH690">
        <v>51600</v>
      </c>
      <c r="AI690">
        <v>51600</v>
      </c>
    </row>
    <row r="691" spans="1:35" x14ac:dyDescent="0.3">
      <c r="A691">
        <f>COUNTIF($D$2:D691,D691)</f>
        <v>5</v>
      </c>
      <c r="B691" t="str">
        <f t="shared" si="41"/>
        <v>5Ealing</v>
      </c>
      <c r="C691" t="s">
        <v>2571</v>
      </c>
      <c r="D691" t="s">
        <v>141</v>
      </c>
      <c r="E691">
        <v>25</v>
      </c>
      <c r="F691" t="s">
        <v>2572</v>
      </c>
      <c r="G691" t="s">
        <v>842</v>
      </c>
      <c r="H691" t="s">
        <v>843</v>
      </c>
      <c r="I691" t="s">
        <v>844</v>
      </c>
      <c r="J691">
        <f t="shared" ca="1" si="42"/>
        <v>2957198.6790689621</v>
      </c>
      <c r="K691">
        <f t="shared" ca="1" si="43"/>
        <v>168022.65221982737</v>
      </c>
      <c r="N691" t="str">
        <f t="shared" si="40"/>
        <v>Devon4CarersCarers ServicesOther</v>
      </c>
      <c r="O691" t="s">
        <v>133</v>
      </c>
      <c r="P691" t="s">
        <v>976</v>
      </c>
      <c r="Q691">
        <v>4</v>
      </c>
      <c r="R691" t="s">
        <v>1250</v>
      </c>
      <c r="S691" t="s">
        <v>1250</v>
      </c>
      <c r="T691" t="s">
        <v>811</v>
      </c>
      <c r="U691" t="s">
        <v>812</v>
      </c>
      <c r="V691" t="s">
        <v>2548</v>
      </c>
      <c r="W691">
        <v>4191</v>
      </c>
      <c r="X691">
        <v>4191</v>
      </c>
      <c r="Y691" t="s">
        <v>813</v>
      </c>
      <c r="Z691" t="s">
        <v>823</v>
      </c>
      <c r="AB691" t="s">
        <v>1739</v>
      </c>
      <c r="AC691">
        <v>0.5</v>
      </c>
      <c r="AD691">
        <v>0.5</v>
      </c>
      <c r="AE691" t="s">
        <v>825</v>
      </c>
      <c r="AF691" t="s">
        <v>1029</v>
      </c>
      <c r="AG691" t="s">
        <v>797</v>
      </c>
      <c r="AH691">
        <v>606950</v>
      </c>
      <c r="AI691">
        <v>606950</v>
      </c>
    </row>
    <row r="692" spans="1:35" x14ac:dyDescent="0.3">
      <c r="A692">
        <f>COUNTIF($D$2:D692,D692)</f>
        <v>6</v>
      </c>
      <c r="B692" t="str">
        <f t="shared" si="41"/>
        <v>6Ealing</v>
      </c>
      <c r="C692" t="s">
        <v>2573</v>
      </c>
      <c r="D692" t="s">
        <v>141</v>
      </c>
      <c r="E692">
        <v>35</v>
      </c>
      <c r="F692" t="s">
        <v>2572</v>
      </c>
      <c r="G692" t="s">
        <v>842</v>
      </c>
      <c r="H692" t="s">
        <v>843</v>
      </c>
      <c r="I692" t="s">
        <v>844</v>
      </c>
      <c r="J692">
        <f t="shared" ca="1" si="42"/>
        <v>154392.576</v>
      </c>
      <c r="K692">
        <f t="shared" ca="1" si="43"/>
        <v>8772.3054545454543</v>
      </c>
      <c r="N692" t="str">
        <f t="shared" si="40"/>
        <v>Devon13Disabled Facilities GrantDFG Related SchemesAdaptations, including statutory DFG grants</v>
      </c>
      <c r="O692" t="s">
        <v>133</v>
      </c>
      <c r="P692" t="s">
        <v>976</v>
      </c>
      <c r="Q692">
        <v>13</v>
      </c>
      <c r="R692" t="s">
        <v>891</v>
      </c>
      <c r="S692" t="s">
        <v>2574</v>
      </c>
      <c r="T692" t="s">
        <v>834</v>
      </c>
      <c r="U692" t="s">
        <v>835</v>
      </c>
      <c r="W692">
        <v>627</v>
      </c>
      <c r="X692">
        <v>627</v>
      </c>
      <c r="Y692" t="s">
        <v>836</v>
      </c>
      <c r="Z692" t="s">
        <v>812</v>
      </c>
      <c r="AA692" t="s">
        <v>2575</v>
      </c>
      <c r="AB692" t="s">
        <v>793</v>
      </c>
      <c r="AD692" t="s">
        <v>794</v>
      </c>
      <c r="AE692" t="s">
        <v>804</v>
      </c>
      <c r="AF692" t="s">
        <v>840</v>
      </c>
      <c r="AG692" t="s">
        <v>797</v>
      </c>
      <c r="AH692">
        <v>4527314</v>
      </c>
      <c r="AI692">
        <v>4527314</v>
      </c>
    </row>
    <row r="693" spans="1:35" x14ac:dyDescent="0.3">
      <c r="A693">
        <f>COUNTIF($D$2:D693,D693)</f>
        <v>7</v>
      </c>
      <c r="B693" t="str">
        <f t="shared" si="41"/>
        <v>7Ealing</v>
      </c>
      <c r="C693" t="s">
        <v>2576</v>
      </c>
      <c r="D693" t="s">
        <v>141</v>
      </c>
      <c r="E693">
        <v>26</v>
      </c>
      <c r="F693" t="s">
        <v>2577</v>
      </c>
      <c r="G693" t="s">
        <v>806</v>
      </c>
      <c r="H693" t="s">
        <v>807</v>
      </c>
      <c r="I693" t="s">
        <v>808</v>
      </c>
      <c r="J693">
        <f t="shared" ca="1" si="42"/>
        <v>915677.56166746735</v>
      </c>
      <c r="K693">
        <f t="shared" ca="1" si="43"/>
        <v>15.011107568319137</v>
      </c>
      <c r="N693" t="str">
        <f t="shared" si="40"/>
        <v>Devon13Disabled Facilities GrantDFG Related SchemesAdaptations, including statutory DFG grants</v>
      </c>
      <c r="O693" t="s">
        <v>133</v>
      </c>
      <c r="P693" t="s">
        <v>976</v>
      </c>
      <c r="Q693">
        <v>13</v>
      </c>
      <c r="R693" t="s">
        <v>891</v>
      </c>
      <c r="S693" t="s">
        <v>2578</v>
      </c>
      <c r="T693" t="s">
        <v>834</v>
      </c>
      <c r="U693" t="s">
        <v>835</v>
      </c>
      <c r="W693">
        <v>479</v>
      </c>
      <c r="X693">
        <v>479</v>
      </c>
      <c r="Y693" t="s">
        <v>836</v>
      </c>
      <c r="Z693" t="s">
        <v>812</v>
      </c>
      <c r="AA693" t="s">
        <v>2575</v>
      </c>
      <c r="AB693" t="s">
        <v>793</v>
      </c>
      <c r="AD693" t="s">
        <v>794</v>
      </c>
      <c r="AE693" t="s">
        <v>804</v>
      </c>
      <c r="AF693" t="s">
        <v>840</v>
      </c>
      <c r="AG693" t="s">
        <v>797</v>
      </c>
      <c r="AH693">
        <v>2418184</v>
      </c>
      <c r="AI693">
        <v>2418184</v>
      </c>
    </row>
    <row r="694" spans="1:35" x14ac:dyDescent="0.3">
      <c r="A694">
        <f>COUNTIF($D$2:D694,D694)</f>
        <v>8</v>
      </c>
      <c r="B694" t="str">
        <f t="shared" si="41"/>
        <v>8Ealing</v>
      </c>
      <c r="C694" t="s">
        <v>2579</v>
      </c>
      <c r="D694" t="s">
        <v>141</v>
      </c>
      <c r="E694">
        <v>1</v>
      </c>
      <c r="F694" t="s">
        <v>2580</v>
      </c>
      <c r="G694" t="s">
        <v>1453</v>
      </c>
      <c r="H694" t="s">
        <v>1454</v>
      </c>
      <c r="I694" t="s">
        <v>794</v>
      </c>
      <c r="J694">
        <f t="shared" ca="1" si="42"/>
        <v>7266583</v>
      </c>
      <c r="K694">
        <f t="shared" ca="1" si="43"/>
        <v>119877</v>
      </c>
      <c r="N694" t="str">
        <f t="shared" si="40"/>
        <v>Devon13Disabled Facilities GrantDFG Related SchemesAdaptations, including statutory DFG grants</v>
      </c>
      <c r="O694" t="s">
        <v>133</v>
      </c>
      <c r="P694" t="s">
        <v>976</v>
      </c>
      <c r="Q694">
        <v>13</v>
      </c>
      <c r="R694" t="s">
        <v>891</v>
      </c>
      <c r="S694" t="s">
        <v>2581</v>
      </c>
      <c r="T694" t="s">
        <v>834</v>
      </c>
      <c r="U694" t="s">
        <v>835</v>
      </c>
      <c r="W694">
        <v>94</v>
      </c>
      <c r="X694">
        <v>94</v>
      </c>
      <c r="Y694" t="s">
        <v>836</v>
      </c>
      <c r="Z694" t="s">
        <v>812</v>
      </c>
      <c r="AA694" t="s">
        <v>2575</v>
      </c>
      <c r="AB694" t="s">
        <v>793</v>
      </c>
      <c r="AD694" t="s">
        <v>794</v>
      </c>
      <c r="AE694" t="s">
        <v>804</v>
      </c>
      <c r="AF694" t="s">
        <v>840</v>
      </c>
      <c r="AG694" t="s">
        <v>797</v>
      </c>
      <c r="AH694">
        <v>201570</v>
      </c>
      <c r="AI694">
        <v>201570</v>
      </c>
    </row>
    <row r="695" spans="1:35" x14ac:dyDescent="0.3">
      <c r="A695">
        <f>COUNTIF($D$2:D695,D695)</f>
        <v>9</v>
      </c>
      <c r="B695" t="str">
        <f t="shared" si="41"/>
        <v>9Ealing</v>
      </c>
      <c r="C695" t="s">
        <v>2582</v>
      </c>
      <c r="D695" t="s">
        <v>141</v>
      </c>
      <c r="E695">
        <v>8</v>
      </c>
      <c r="F695" t="s">
        <v>2583</v>
      </c>
      <c r="G695" t="s">
        <v>877</v>
      </c>
      <c r="H695" t="s">
        <v>968</v>
      </c>
      <c r="I695" t="s">
        <v>879</v>
      </c>
      <c r="J695">
        <f t="shared" ca="1" si="42"/>
        <v>2542255</v>
      </c>
      <c r="K695">
        <f t="shared" ca="1" si="43"/>
        <v>25</v>
      </c>
      <c r="N695" t="str">
        <f t="shared" si="40"/>
        <v>Devon13Disabled Facilities GrantDFG Related SchemesAdaptations, including statutory DFG grants</v>
      </c>
      <c r="O695" t="s">
        <v>133</v>
      </c>
      <c r="P695" t="s">
        <v>976</v>
      </c>
      <c r="Q695">
        <v>13</v>
      </c>
      <c r="R695" t="s">
        <v>891</v>
      </c>
      <c r="S695" t="s">
        <v>2584</v>
      </c>
      <c r="T695" t="s">
        <v>834</v>
      </c>
      <c r="U695" t="s">
        <v>835</v>
      </c>
      <c r="W695">
        <v>6</v>
      </c>
      <c r="X695">
        <v>6</v>
      </c>
      <c r="Y695" t="s">
        <v>836</v>
      </c>
      <c r="Z695" t="s">
        <v>812</v>
      </c>
      <c r="AA695" t="s">
        <v>2575</v>
      </c>
      <c r="AB695" t="s">
        <v>793</v>
      </c>
      <c r="AD695" t="s">
        <v>794</v>
      </c>
      <c r="AE695" t="s">
        <v>804</v>
      </c>
      <c r="AF695" t="s">
        <v>840</v>
      </c>
      <c r="AG695" t="s">
        <v>797</v>
      </c>
      <c r="AH695">
        <v>27048</v>
      </c>
      <c r="AI695">
        <v>27048</v>
      </c>
    </row>
    <row r="696" spans="1:35" x14ac:dyDescent="0.3">
      <c r="A696">
        <f>COUNTIF($D$2:D696,D696)</f>
        <v>10</v>
      </c>
      <c r="B696" t="str">
        <f t="shared" si="41"/>
        <v>10Ealing</v>
      </c>
      <c r="C696" t="s">
        <v>2585</v>
      </c>
      <c r="D696" t="s">
        <v>141</v>
      </c>
      <c r="E696">
        <v>56</v>
      </c>
      <c r="F696" t="s">
        <v>2586</v>
      </c>
      <c r="G696" t="s">
        <v>877</v>
      </c>
      <c r="H696" t="s">
        <v>968</v>
      </c>
      <c r="I696" t="s">
        <v>879</v>
      </c>
      <c r="J696">
        <f t="shared" ca="1" si="42"/>
        <v>340000</v>
      </c>
      <c r="K696">
        <f t="shared" ca="1" si="43"/>
        <v>6</v>
      </c>
      <c r="N696" t="str">
        <f t="shared" si="40"/>
        <v>Devon13Disabled Facilities GrantDFG Related SchemesAdaptations, including statutory DFG grants</v>
      </c>
      <c r="O696" t="s">
        <v>133</v>
      </c>
      <c r="P696" t="s">
        <v>976</v>
      </c>
      <c r="Q696">
        <v>13</v>
      </c>
      <c r="R696" t="s">
        <v>891</v>
      </c>
      <c r="S696" t="s">
        <v>2587</v>
      </c>
      <c r="T696" t="s">
        <v>834</v>
      </c>
      <c r="U696" t="s">
        <v>835</v>
      </c>
      <c r="W696">
        <v>80</v>
      </c>
      <c r="X696">
        <v>80</v>
      </c>
      <c r="Y696" t="s">
        <v>836</v>
      </c>
      <c r="Z696" t="s">
        <v>812</v>
      </c>
      <c r="AA696" t="s">
        <v>2575</v>
      </c>
      <c r="AB696" t="s">
        <v>793</v>
      </c>
      <c r="AD696" t="s">
        <v>794</v>
      </c>
      <c r="AE696" t="s">
        <v>804</v>
      </c>
      <c r="AF696" t="s">
        <v>840</v>
      </c>
      <c r="AG696" t="s">
        <v>797</v>
      </c>
      <c r="AH696">
        <v>226552</v>
      </c>
      <c r="AI696">
        <v>226552</v>
      </c>
    </row>
    <row r="697" spans="1:35" x14ac:dyDescent="0.3">
      <c r="A697">
        <f>COUNTIF($D$2:D697,D697)</f>
        <v>11</v>
      </c>
      <c r="B697" t="str">
        <f t="shared" si="41"/>
        <v>11Ealing</v>
      </c>
      <c r="C697" t="s">
        <v>2588</v>
      </c>
      <c r="D697" t="s">
        <v>141</v>
      </c>
      <c r="E697">
        <v>38</v>
      </c>
      <c r="F697" t="s">
        <v>2589</v>
      </c>
      <c r="G697" t="s">
        <v>800</v>
      </c>
      <c r="H697" t="s">
        <v>903</v>
      </c>
      <c r="I697" t="s">
        <v>802</v>
      </c>
      <c r="J697">
        <f t="shared" ca="1" si="42"/>
        <v>824303</v>
      </c>
      <c r="K697">
        <f t="shared" ca="1" si="43"/>
        <v>3058</v>
      </c>
      <c r="N697" t="str">
        <f t="shared" si="40"/>
        <v>Devon13Disabled Facilities GrantDFG Related SchemesAdaptations, including statutory DFG grants</v>
      </c>
      <c r="O697" t="s">
        <v>133</v>
      </c>
      <c r="P697" t="s">
        <v>976</v>
      </c>
      <c r="Q697">
        <v>13</v>
      </c>
      <c r="R697" t="s">
        <v>891</v>
      </c>
      <c r="S697" t="s">
        <v>2590</v>
      </c>
      <c r="T697" t="s">
        <v>834</v>
      </c>
      <c r="U697" t="s">
        <v>835</v>
      </c>
      <c r="W697">
        <v>9</v>
      </c>
      <c r="X697">
        <v>9</v>
      </c>
      <c r="Y697" t="s">
        <v>836</v>
      </c>
      <c r="Z697" t="s">
        <v>812</v>
      </c>
      <c r="AA697" t="s">
        <v>2575</v>
      </c>
      <c r="AB697" t="s">
        <v>793</v>
      </c>
      <c r="AD697" t="s">
        <v>794</v>
      </c>
      <c r="AE697" t="s">
        <v>804</v>
      </c>
      <c r="AF697" t="s">
        <v>840</v>
      </c>
      <c r="AG697" t="s">
        <v>797</v>
      </c>
      <c r="AH697">
        <v>14255</v>
      </c>
      <c r="AI697">
        <v>14255</v>
      </c>
    </row>
    <row r="698" spans="1:35" x14ac:dyDescent="0.3">
      <c r="A698">
        <f>COUNTIF($D$2:D698,D698)</f>
        <v>12</v>
      </c>
      <c r="B698" t="str">
        <f t="shared" si="41"/>
        <v>12Ealing</v>
      </c>
      <c r="C698" t="s">
        <v>2591</v>
      </c>
      <c r="D698" t="s">
        <v>141</v>
      </c>
      <c r="E698">
        <v>39</v>
      </c>
      <c r="F698" t="s">
        <v>2592</v>
      </c>
      <c r="G698" t="s">
        <v>2593</v>
      </c>
      <c r="H698" t="s">
        <v>807</v>
      </c>
      <c r="I698" t="s">
        <v>808</v>
      </c>
      <c r="J698">
        <f t="shared" ca="1" si="42"/>
        <v>21694742</v>
      </c>
      <c r="K698">
        <f t="shared" ca="1" si="43"/>
        <v>355.6515081967213</v>
      </c>
      <c r="N698" t="str">
        <f t="shared" si="40"/>
        <v>Devon13Disabled Facilities GrantDFG Related SchemesAdaptations, including statutory DFG grants</v>
      </c>
      <c r="O698" t="s">
        <v>133</v>
      </c>
      <c r="P698" t="s">
        <v>976</v>
      </c>
      <c r="Q698">
        <v>13</v>
      </c>
      <c r="R698" t="s">
        <v>891</v>
      </c>
      <c r="S698" t="s">
        <v>2594</v>
      </c>
      <c r="T698" t="s">
        <v>834</v>
      </c>
      <c r="U698" t="s">
        <v>835</v>
      </c>
      <c r="W698">
        <v>43</v>
      </c>
      <c r="X698">
        <v>43</v>
      </c>
      <c r="Y698" t="s">
        <v>836</v>
      </c>
      <c r="Z698" t="s">
        <v>812</v>
      </c>
      <c r="AA698" t="s">
        <v>2575</v>
      </c>
      <c r="AB698" t="s">
        <v>793</v>
      </c>
      <c r="AD698" t="s">
        <v>794</v>
      </c>
      <c r="AE698" t="s">
        <v>804</v>
      </c>
      <c r="AF698" t="s">
        <v>840</v>
      </c>
      <c r="AG698" t="s">
        <v>797</v>
      </c>
      <c r="AH698">
        <v>312000</v>
      </c>
      <c r="AI698">
        <v>312000</v>
      </c>
    </row>
    <row r="699" spans="1:35" x14ac:dyDescent="0.3">
      <c r="A699">
        <f>COUNTIF($D$2:D699,D699)</f>
        <v>13</v>
      </c>
      <c r="B699" t="str">
        <f t="shared" si="41"/>
        <v>13Ealing</v>
      </c>
      <c r="C699" t="s">
        <v>2595</v>
      </c>
      <c r="D699" t="s">
        <v>141</v>
      </c>
      <c r="E699">
        <v>40</v>
      </c>
      <c r="F699" t="s">
        <v>2592</v>
      </c>
      <c r="G699" t="s">
        <v>2593</v>
      </c>
      <c r="H699" t="s">
        <v>807</v>
      </c>
      <c r="I699" t="s">
        <v>808</v>
      </c>
      <c r="J699">
        <f t="shared" ca="1" si="42"/>
        <v>5465567</v>
      </c>
      <c r="K699">
        <f t="shared" ca="1" si="43"/>
        <v>89.599459016393439</v>
      </c>
      <c r="N699" t="str">
        <f t="shared" si="40"/>
        <v>Devon16Enhanced Community Equipment ServiceAssistive Technologies and EquipmentCommunity based equipment</v>
      </c>
      <c r="O699" t="s">
        <v>133</v>
      </c>
      <c r="P699" t="s">
        <v>976</v>
      </c>
      <c r="Q699">
        <v>16</v>
      </c>
      <c r="R699" t="s">
        <v>2358</v>
      </c>
      <c r="S699" t="s">
        <v>2596</v>
      </c>
      <c r="T699" t="s">
        <v>800</v>
      </c>
      <c r="U699" t="s">
        <v>903</v>
      </c>
      <c r="W699">
        <v>3244</v>
      </c>
      <c r="X699">
        <v>3244</v>
      </c>
      <c r="Y699" t="s">
        <v>802</v>
      </c>
      <c r="Z699" t="s">
        <v>792</v>
      </c>
      <c r="AB699" t="s">
        <v>1739</v>
      </c>
      <c r="AC699">
        <v>0.5</v>
      </c>
      <c r="AD699">
        <v>0.5</v>
      </c>
      <c r="AE699" t="s">
        <v>804</v>
      </c>
      <c r="AF699" t="s">
        <v>1029</v>
      </c>
      <c r="AG699" t="s">
        <v>797</v>
      </c>
      <c r="AH699">
        <v>1080000</v>
      </c>
      <c r="AI699">
        <v>1080000</v>
      </c>
    </row>
    <row r="700" spans="1:35" x14ac:dyDescent="0.3">
      <c r="A700">
        <f>COUNTIF($D$2:D700,D700)</f>
        <v>14</v>
      </c>
      <c r="B700" t="str">
        <f t="shared" si="41"/>
        <v>14Ealing</v>
      </c>
      <c r="C700" t="s">
        <v>2597</v>
      </c>
      <c r="D700" t="s">
        <v>141</v>
      </c>
      <c r="E700">
        <v>41</v>
      </c>
      <c r="F700" t="s">
        <v>2592</v>
      </c>
      <c r="G700" t="s">
        <v>2593</v>
      </c>
      <c r="H700" t="s">
        <v>807</v>
      </c>
      <c r="I700" t="s">
        <v>808</v>
      </c>
      <c r="J700">
        <f t="shared" ca="1" si="42"/>
        <v>9440044</v>
      </c>
      <c r="K700">
        <f t="shared" ca="1" si="43"/>
        <v>154.75481967213111</v>
      </c>
      <c r="N700" t="str">
        <f t="shared" si="40"/>
        <v>Devon16Enhanced Community Equipment ServiceAssistive Technologies and EquipmentCommunity based equipment</v>
      </c>
      <c r="O700" t="s">
        <v>133</v>
      </c>
      <c r="P700" t="s">
        <v>976</v>
      </c>
      <c r="Q700">
        <v>16</v>
      </c>
      <c r="R700" t="s">
        <v>2358</v>
      </c>
      <c r="S700" t="s">
        <v>2596</v>
      </c>
      <c r="T700" t="s">
        <v>800</v>
      </c>
      <c r="U700" t="s">
        <v>903</v>
      </c>
      <c r="W700">
        <v>8847</v>
      </c>
      <c r="X700">
        <v>8847</v>
      </c>
      <c r="Y700" t="s">
        <v>802</v>
      </c>
      <c r="Z700" t="s">
        <v>792</v>
      </c>
      <c r="AB700" t="s">
        <v>1739</v>
      </c>
      <c r="AC700">
        <v>0.5</v>
      </c>
      <c r="AD700">
        <v>0.5</v>
      </c>
      <c r="AE700" t="s">
        <v>804</v>
      </c>
      <c r="AF700" t="s">
        <v>796</v>
      </c>
      <c r="AG700" t="s">
        <v>797</v>
      </c>
      <c r="AH700">
        <v>2945549</v>
      </c>
      <c r="AI700">
        <v>2945549</v>
      </c>
    </row>
    <row r="701" spans="1:35" x14ac:dyDescent="0.3">
      <c r="A701">
        <f>COUNTIF($D$2:D701,D701)</f>
        <v>15</v>
      </c>
      <c r="B701" t="str">
        <f t="shared" si="41"/>
        <v>15Ealing</v>
      </c>
      <c r="C701" t="s">
        <v>2598</v>
      </c>
      <c r="D701" t="s">
        <v>141</v>
      </c>
      <c r="E701">
        <v>42</v>
      </c>
      <c r="F701" t="s">
        <v>2592</v>
      </c>
      <c r="G701" t="s">
        <v>2593</v>
      </c>
      <c r="H701" t="s">
        <v>807</v>
      </c>
      <c r="I701" t="s">
        <v>808</v>
      </c>
      <c r="J701">
        <f t="shared" ca="1" si="42"/>
        <v>31016196</v>
      </c>
      <c r="K701">
        <f t="shared" ca="1" si="43"/>
        <v>508.46222950819674</v>
      </c>
      <c r="N701" t="str">
        <f t="shared" si="40"/>
        <v>Devon16Enhanced Community Equipment ServiceAssistive Technologies and EquipmentCommunity based equipment</v>
      </c>
      <c r="O701" t="s">
        <v>133</v>
      </c>
      <c r="P701" t="s">
        <v>976</v>
      </c>
      <c r="Q701">
        <v>16</v>
      </c>
      <c r="R701" t="s">
        <v>2358</v>
      </c>
      <c r="S701" t="s">
        <v>2596</v>
      </c>
      <c r="T701" t="s">
        <v>800</v>
      </c>
      <c r="U701" t="s">
        <v>903</v>
      </c>
      <c r="W701">
        <v>1339</v>
      </c>
      <c r="X701">
        <v>1339</v>
      </c>
      <c r="Y701" t="s">
        <v>802</v>
      </c>
      <c r="Z701" t="s">
        <v>823</v>
      </c>
      <c r="AB701" t="s">
        <v>1739</v>
      </c>
      <c r="AC701">
        <v>0.5</v>
      </c>
      <c r="AD701">
        <v>0.5</v>
      </c>
      <c r="AE701" t="s">
        <v>804</v>
      </c>
      <c r="AF701" t="s">
        <v>1029</v>
      </c>
      <c r="AG701" t="s">
        <v>797</v>
      </c>
      <c r="AH701">
        <v>446000</v>
      </c>
      <c r="AI701">
        <v>446000</v>
      </c>
    </row>
    <row r="702" spans="1:35" x14ac:dyDescent="0.3">
      <c r="A702">
        <f>COUNTIF($D$2:D702,D702)</f>
        <v>16</v>
      </c>
      <c r="B702" t="str">
        <f t="shared" si="41"/>
        <v>16Ealing</v>
      </c>
      <c r="C702" t="s">
        <v>2599</v>
      </c>
      <c r="D702" t="s">
        <v>141</v>
      </c>
      <c r="E702">
        <v>43</v>
      </c>
      <c r="F702" t="s">
        <v>2600</v>
      </c>
      <c r="G702" t="s">
        <v>2593</v>
      </c>
      <c r="H702" t="s">
        <v>807</v>
      </c>
      <c r="I702" t="s">
        <v>808</v>
      </c>
      <c r="J702">
        <f t="shared" ca="1" si="42"/>
        <v>877660</v>
      </c>
      <c r="K702">
        <f t="shared" ca="1" si="43"/>
        <v>10</v>
      </c>
      <c r="N702" t="str">
        <f t="shared" si="40"/>
        <v>Devon16Enhanced Community Equipment ServiceAssistive Technologies and EquipmentCommunity based equipment</v>
      </c>
      <c r="O702" t="s">
        <v>133</v>
      </c>
      <c r="P702" t="s">
        <v>976</v>
      </c>
      <c r="Q702">
        <v>16</v>
      </c>
      <c r="R702" t="s">
        <v>2358</v>
      </c>
      <c r="S702" t="s">
        <v>2596</v>
      </c>
      <c r="T702" t="s">
        <v>800</v>
      </c>
      <c r="U702" t="s">
        <v>903</v>
      </c>
      <c r="W702">
        <v>6144</v>
      </c>
      <c r="X702">
        <v>6144</v>
      </c>
      <c r="Y702" t="s">
        <v>802</v>
      </c>
      <c r="Z702" t="s">
        <v>823</v>
      </c>
      <c r="AB702" t="s">
        <v>1739</v>
      </c>
      <c r="AC702">
        <v>0.5</v>
      </c>
      <c r="AD702">
        <v>0.5</v>
      </c>
      <c r="AE702" t="s">
        <v>804</v>
      </c>
      <c r="AF702" t="s">
        <v>796</v>
      </c>
      <c r="AG702" t="s">
        <v>797</v>
      </c>
      <c r="AH702">
        <v>2045500</v>
      </c>
      <c r="AI702">
        <v>2045500</v>
      </c>
    </row>
    <row r="703" spans="1:35" x14ac:dyDescent="0.3">
      <c r="A703">
        <f>COUNTIF($D$2:D703,D703)</f>
        <v>17</v>
      </c>
      <c r="B703" t="str">
        <f t="shared" si="41"/>
        <v>17Ealing</v>
      </c>
      <c r="C703" t="s">
        <v>2601</v>
      </c>
      <c r="D703" t="s">
        <v>141</v>
      </c>
      <c r="E703">
        <v>48</v>
      </c>
      <c r="F703" t="s">
        <v>2602</v>
      </c>
      <c r="G703" t="s">
        <v>834</v>
      </c>
      <c r="H703" t="s">
        <v>835</v>
      </c>
      <c r="I703" t="s">
        <v>836</v>
      </c>
      <c r="J703">
        <f t="shared" ca="1" si="42"/>
        <v>3724468</v>
      </c>
      <c r="K703">
        <f t="shared" ca="1" si="43"/>
        <v>322</v>
      </c>
      <c r="N703" t="str">
        <f t="shared" si="40"/>
        <v>Devon16Enhanced Community Equipment ServiceAssistive Technologies and EquipmentCommunity based equipment</v>
      </c>
      <c r="O703" t="s">
        <v>133</v>
      </c>
      <c r="P703" t="s">
        <v>976</v>
      </c>
      <c r="Q703">
        <v>16</v>
      </c>
      <c r="R703" t="s">
        <v>2358</v>
      </c>
      <c r="S703" t="s">
        <v>2603</v>
      </c>
      <c r="T703" t="s">
        <v>800</v>
      </c>
      <c r="U703" t="s">
        <v>903</v>
      </c>
      <c r="W703">
        <v>490</v>
      </c>
      <c r="X703">
        <v>490</v>
      </c>
      <c r="Y703" t="s">
        <v>802</v>
      </c>
      <c r="Z703" t="s">
        <v>792</v>
      </c>
      <c r="AB703" t="s">
        <v>1739</v>
      </c>
      <c r="AC703">
        <v>0.5</v>
      </c>
      <c r="AD703">
        <v>0.5</v>
      </c>
      <c r="AE703" t="s">
        <v>804</v>
      </c>
      <c r="AF703" t="s">
        <v>1029</v>
      </c>
      <c r="AG703" t="s">
        <v>797</v>
      </c>
      <c r="AH703">
        <v>163000</v>
      </c>
      <c r="AI703">
        <v>163000</v>
      </c>
    </row>
    <row r="704" spans="1:35" x14ac:dyDescent="0.3">
      <c r="A704">
        <f>COUNTIF($D$2:D704,D704)</f>
        <v>18</v>
      </c>
      <c r="B704" t="str">
        <f t="shared" si="41"/>
        <v>18Ealing</v>
      </c>
      <c r="C704" t="s">
        <v>2604</v>
      </c>
      <c r="D704" t="s">
        <v>141</v>
      </c>
      <c r="E704">
        <v>49</v>
      </c>
      <c r="F704" t="s">
        <v>2605</v>
      </c>
      <c r="G704" t="s">
        <v>806</v>
      </c>
      <c r="H704" t="s">
        <v>807</v>
      </c>
      <c r="I704" t="s">
        <v>808</v>
      </c>
      <c r="J704">
        <f t="shared" ca="1" si="42"/>
        <v>3169880</v>
      </c>
      <c r="K704">
        <f t="shared" ca="1" si="43"/>
        <v>51.965245901639342</v>
      </c>
      <c r="N704" t="str">
        <f t="shared" si="40"/>
        <v>Devon16Enhanced Community Equipment ServiceAssistive Technologies and EquipmentCommunity based equipment</v>
      </c>
      <c r="O704" t="s">
        <v>133</v>
      </c>
      <c r="P704" t="s">
        <v>976</v>
      </c>
      <c r="Q704">
        <v>16</v>
      </c>
      <c r="R704" t="s">
        <v>2358</v>
      </c>
      <c r="S704" t="s">
        <v>2603</v>
      </c>
      <c r="T704" t="s">
        <v>800</v>
      </c>
      <c r="U704" t="s">
        <v>903</v>
      </c>
      <c r="W704">
        <v>1547</v>
      </c>
      <c r="X704">
        <v>1547</v>
      </c>
      <c r="Y704" t="s">
        <v>802</v>
      </c>
      <c r="Z704" t="s">
        <v>823</v>
      </c>
      <c r="AB704" t="s">
        <v>1739</v>
      </c>
      <c r="AC704">
        <v>0.5</v>
      </c>
      <c r="AD704">
        <v>0.5</v>
      </c>
      <c r="AE704" t="s">
        <v>804</v>
      </c>
      <c r="AF704" t="s">
        <v>796</v>
      </c>
      <c r="AG704" t="s">
        <v>797</v>
      </c>
      <c r="AH704">
        <v>515000</v>
      </c>
      <c r="AI704">
        <v>515000</v>
      </c>
    </row>
    <row r="705" spans="1:35" x14ac:dyDescent="0.3">
      <c r="A705">
        <f>COUNTIF($D$2:D705,D705)</f>
        <v>19</v>
      </c>
      <c r="B705" t="str">
        <f t="shared" si="41"/>
        <v>19Ealing</v>
      </c>
      <c r="C705" t="s">
        <v>2606</v>
      </c>
      <c r="D705" t="s">
        <v>141</v>
      </c>
      <c r="E705">
        <v>50</v>
      </c>
      <c r="F705" t="s">
        <v>2607</v>
      </c>
      <c r="G705" t="s">
        <v>2593</v>
      </c>
      <c r="H705" t="s">
        <v>807</v>
      </c>
      <c r="I705" t="s">
        <v>808</v>
      </c>
      <c r="J705">
        <f t="shared" ca="1" si="42"/>
        <v>3169881</v>
      </c>
      <c r="K705">
        <f t="shared" ca="1" si="43"/>
        <v>51.96526229508197</v>
      </c>
      <c r="N705" t="str">
        <f t="shared" si="40"/>
        <v>Devon23MH Out of area placementsResidential PlacementsSupported housing</v>
      </c>
      <c r="O705" t="s">
        <v>133</v>
      </c>
      <c r="P705" t="s">
        <v>976</v>
      </c>
      <c r="Q705">
        <v>23</v>
      </c>
      <c r="R705" t="s">
        <v>2361</v>
      </c>
      <c r="S705" t="s">
        <v>2361</v>
      </c>
      <c r="T705" t="s">
        <v>806</v>
      </c>
      <c r="U705" t="s">
        <v>873</v>
      </c>
      <c r="W705">
        <v>9</v>
      </c>
      <c r="X705">
        <v>9</v>
      </c>
      <c r="Y705" t="s">
        <v>808</v>
      </c>
      <c r="Z705" t="s">
        <v>1006</v>
      </c>
      <c r="AB705" t="s">
        <v>1739</v>
      </c>
      <c r="AC705">
        <v>0.5</v>
      </c>
      <c r="AD705">
        <v>0.5</v>
      </c>
      <c r="AE705" t="s">
        <v>804</v>
      </c>
      <c r="AF705" t="s">
        <v>796</v>
      </c>
      <c r="AG705" t="s">
        <v>797</v>
      </c>
      <c r="AH705">
        <v>200000</v>
      </c>
      <c r="AI705">
        <v>200000</v>
      </c>
    </row>
    <row r="706" spans="1:35" x14ac:dyDescent="0.3">
      <c r="A706">
        <f>COUNTIF($D$2:D706,D706)</f>
        <v>20</v>
      </c>
      <c r="B706" t="str">
        <f t="shared" si="41"/>
        <v>20Ealing</v>
      </c>
      <c r="C706" t="s">
        <v>2608</v>
      </c>
      <c r="D706" t="s">
        <v>141</v>
      </c>
      <c r="E706">
        <v>51</v>
      </c>
      <c r="F706" t="s">
        <v>2609</v>
      </c>
      <c r="G706" t="s">
        <v>2593</v>
      </c>
      <c r="H706" t="s">
        <v>807</v>
      </c>
      <c r="I706" t="s">
        <v>808</v>
      </c>
      <c r="J706">
        <f t="shared" ca="1" si="42"/>
        <v>3169881</v>
      </c>
      <c r="K706">
        <f t="shared" ca="1" si="43"/>
        <v>51.96526229508197</v>
      </c>
      <c r="N706" t="str">
        <f t="shared" ref="N706:N769" si="44">O706&amp;Q706&amp;R706&amp;T706&amp;U706</f>
        <v>Devon23MH Out of area placementsResidential PlacementsSupported housing</v>
      </c>
      <c r="O706" t="s">
        <v>133</v>
      </c>
      <c r="P706" t="s">
        <v>976</v>
      </c>
      <c r="Q706">
        <v>23</v>
      </c>
      <c r="R706" t="s">
        <v>2361</v>
      </c>
      <c r="S706" t="s">
        <v>2361</v>
      </c>
      <c r="T706" t="s">
        <v>806</v>
      </c>
      <c r="U706" t="s">
        <v>873</v>
      </c>
      <c r="W706">
        <v>21</v>
      </c>
      <c r="X706">
        <v>21</v>
      </c>
      <c r="Y706" t="s">
        <v>808</v>
      </c>
      <c r="Z706" t="s">
        <v>1006</v>
      </c>
      <c r="AB706" t="s">
        <v>1739</v>
      </c>
      <c r="AC706">
        <v>0.5</v>
      </c>
      <c r="AD706">
        <v>0.5</v>
      </c>
      <c r="AE706" t="s">
        <v>804</v>
      </c>
      <c r="AF706" t="s">
        <v>796</v>
      </c>
      <c r="AG706" t="s">
        <v>797</v>
      </c>
      <c r="AH706">
        <v>500000</v>
      </c>
      <c r="AI706">
        <v>500000</v>
      </c>
    </row>
    <row r="707" spans="1:35" x14ac:dyDescent="0.3">
      <c r="A707">
        <f>COUNTIF($D$2:D707,D707)</f>
        <v>21</v>
      </c>
      <c r="B707" t="str">
        <f t="shared" ref="B707:B770" si="45">A707&amp;D707</f>
        <v>21Ealing</v>
      </c>
      <c r="C707" t="s">
        <v>2610</v>
      </c>
      <c r="D707" t="s">
        <v>141</v>
      </c>
      <c r="E707">
        <v>52</v>
      </c>
      <c r="F707" t="s">
        <v>2611</v>
      </c>
      <c r="G707" t="s">
        <v>2593</v>
      </c>
      <c r="H707" t="s">
        <v>807</v>
      </c>
      <c r="I707" t="s">
        <v>808</v>
      </c>
      <c r="J707">
        <f t="shared" ref="J707:J770" ca="1" si="46">SUMIF($N:$AI,C707,AH:AH)</f>
        <v>3169880</v>
      </c>
      <c r="K707">
        <f t="shared" ref="K707:K770" ca="1" si="47">SUMIF($N:$AI,C707,W:W)</f>
        <v>51.965245901639342</v>
      </c>
      <c r="N707" t="str">
        <f t="shared" si="44"/>
        <v>Devon23MH Out of area placementsResidential PlacementsSupported housing</v>
      </c>
      <c r="O707" t="s">
        <v>133</v>
      </c>
      <c r="P707" t="s">
        <v>976</v>
      </c>
      <c r="Q707">
        <v>23</v>
      </c>
      <c r="R707" t="s">
        <v>2361</v>
      </c>
      <c r="S707" t="s">
        <v>2361</v>
      </c>
      <c r="T707" t="s">
        <v>806</v>
      </c>
      <c r="U707" t="s">
        <v>873</v>
      </c>
      <c r="W707">
        <v>13</v>
      </c>
      <c r="X707">
        <v>13</v>
      </c>
      <c r="Y707" t="s">
        <v>808</v>
      </c>
      <c r="Z707" t="s">
        <v>792</v>
      </c>
      <c r="AB707" t="s">
        <v>1739</v>
      </c>
      <c r="AC707">
        <v>0.5</v>
      </c>
      <c r="AD707">
        <v>0.5</v>
      </c>
      <c r="AE707" t="s">
        <v>804</v>
      </c>
      <c r="AF707" t="s">
        <v>796</v>
      </c>
      <c r="AG707" t="s">
        <v>797</v>
      </c>
      <c r="AH707">
        <v>300000</v>
      </c>
      <c r="AI707">
        <v>300000</v>
      </c>
    </row>
    <row r="708" spans="1:35" x14ac:dyDescent="0.3">
      <c r="A708">
        <f>COUNTIF($D$2:D708,D708)</f>
        <v>22</v>
      </c>
      <c r="B708" t="str">
        <f t="shared" si="45"/>
        <v>22Ealing</v>
      </c>
      <c r="C708" t="s">
        <v>2612</v>
      </c>
      <c r="D708" t="s">
        <v>141</v>
      </c>
      <c r="E708">
        <v>60</v>
      </c>
      <c r="F708" t="s">
        <v>2613</v>
      </c>
      <c r="G708" t="s">
        <v>1402</v>
      </c>
      <c r="H708" t="s">
        <v>1441</v>
      </c>
      <c r="I708" t="s">
        <v>794</v>
      </c>
      <c r="J708">
        <f t="shared" ca="1" si="46"/>
        <v>233843</v>
      </c>
      <c r="K708">
        <f t="shared" ca="1" si="47"/>
        <v>3.833491803278688</v>
      </c>
      <c r="N708" t="str">
        <f t="shared" si="44"/>
        <v xml:space="preserve">Devon32Social Care ReablementHome-based intermediate care servicesJoint reablement and rehabilitation service (to support discharge) </v>
      </c>
      <c r="O708" t="s">
        <v>133</v>
      </c>
      <c r="P708" t="s">
        <v>976</v>
      </c>
      <c r="Q708">
        <v>32</v>
      </c>
      <c r="R708" t="s">
        <v>2364</v>
      </c>
      <c r="S708" t="s">
        <v>2364</v>
      </c>
      <c r="T708" t="s">
        <v>787</v>
      </c>
      <c r="U708" t="s">
        <v>1551</v>
      </c>
      <c r="W708">
        <v>63</v>
      </c>
      <c r="X708">
        <v>63</v>
      </c>
      <c r="Y708" t="s">
        <v>789</v>
      </c>
      <c r="Z708" t="s">
        <v>792</v>
      </c>
      <c r="AB708" t="s">
        <v>793</v>
      </c>
      <c r="AD708" t="s">
        <v>794</v>
      </c>
      <c r="AE708" t="s">
        <v>795</v>
      </c>
      <c r="AF708" t="s">
        <v>796</v>
      </c>
      <c r="AG708" t="s">
        <v>797</v>
      </c>
      <c r="AH708">
        <v>600000</v>
      </c>
      <c r="AI708">
        <v>600000</v>
      </c>
    </row>
    <row r="709" spans="1:35" x14ac:dyDescent="0.3">
      <c r="A709">
        <f>COUNTIF($D$2:D709,D709)</f>
        <v>23</v>
      </c>
      <c r="B709" t="str">
        <f t="shared" si="45"/>
        <v>23Ealing</v>
      </c>
      <c r="C709" t="s">
        <v>2614</v>
      </c>
      <c r="D709" t="s">
        <v>141</v>
      </c>
      <c r="E709">
        <v>1</v>
      </c>
      <c r="F709" t="s">
        <v>2615</v>
      </c>
      <c r="G709" t="s">
        <v>842</v>
      </c>
      <c r="H709" t="s">
        <v>856</v>
      </c>
      <c r="I709" t="s">
        <v>844</v>
      </c>
      <c r="J709">
        <f t="shared" ca="1" si="46"/>
        <v>888824.5</v>
      </c>
      <c r="K709">
        <f t="shared" ca="1" si="47"/>
        <v>50501.392045454544</v>
      </c>
      <c r="N709" t="str">
        <f t="shared" si="44"/>
        <v>Devon33Frailty and Community CareHome Care or Domiciliary CareDomiciliary care to support hospital discharge (Discharge to Assess pathway 1)</v>
      </c>
      <c r="O709" t="s">
        <v>133</v>
      </c>
      <c r="P709" t="s">
        <v>976</v>
      </c>
      <c r="Q709">
        <v>33</v>
      </c>
      <c r="R709" t="s">
        <v>2367</v>
      </c>
      <c r="S709" t="s">
        <v>2616</v>
      </c>
      <c r="T709" t="s">
        <v>842</v>
      </c>
      <c r="U709" t="s">
        <v>856</v>
      </c>
      <c r="W709">
        <v>2311</v>
      </c>
      <c r="X709">
        <v>2311</v>
      </c>
      <c r="Y709" t="s">
        <v>844</v>
      </c>
      <c r="Z709" t="s">
        <v>823</v>
      </c>
      <c r="AB709" t="s">
        <v>1739</v>
      </c>
      <c r="AC709">
        <v>0.5</v>
      </c>
      <c r="AD709">
        <v>0.5</v>
      </c>
      <c r="AE709" t="s">
        <v>804</v>
      </c>
      <c r="AF709" t="s">
        <v>796</v>
      </c>
      <c r="AG709" t="s">
        <v>797</v>
      </c>
      <c r="AH709">
        <v>60000</v>
      </c>
      <c r="AI709">
        <v>60000</v>
      </c>
    </row>
    <row r="710" spans="1:35" x14ac:dyDescent="0.3">
      <c r="A710">
        <f>COUNTIF($D$2:D710,D710)</f>
        <v>24</v>
      </c>
      <c r="B710" t="str">
        <f t="shared" si="45"/>
        <v>24Ealing</v>
      </c>
      <c r="C710" t="s">
        <v>2617</v>
      </c>
      <c r="D710" t="s">
        <v>141</v>
      </c>
      <c r="E710">
        <v>2</v>
      </c>
      <c r="F710" t="s">
        <v>2615</v>
      </c>
      <c r="G710" t="s">
        <v>806</v>
      </c>
      <c r="H710" t="s">
        <v>2339</v>
      </c>
      <c r="I710" t="s">
        <v>794</v>
      </c>
      <c r="J710">
        <f t="shared" ca="1" si="46"/>
        <v>888824.5</v>
      </c>
      <c r="K710">
        <f t="shared" ca="1" si="47"/>
        <v>14.570893442622951</v>
      </c>
      <c r="N710" t="str">
        <f t="shared" si="44"/>
        <v>Devon34Step Up, Step Down Home Based Intensive RehabHome-based intermediate care servicesRehabilitation at home (to support discharge)</v>
      </c>
      <c r="O710" t="s">
        <v>133</v>
      </c>
      <c r="P710" t="s">
        <v>976</v>
      </c>
      <c r="Q710">
        <v>34</v>
      </c>
      <c r="R710" t="s">
        <v>2370</v>
      </c>
      <c r="S710" t="s">
        <v>2618</v>
      </c>
      <c r="T710" t="s">
        <v>787</v>
      </c>
      <c r="U710" t="s">
        <v>1195</v>
      </c>
      <c r="W710">
        <v>34</v>
      </c>
      <c r="X710">
        <v>34</v>
      </c>
      <c r="Y710" t="s">
        <v>789</v>
      </c>
      <c r="Z710" t="s">
        <v>823</v>
      </c>
      <c r="AB710" t="s">
        <v>1739</v>
      </c>
      <c r="AC710">
        <v>0.5</v>
      </c>
      <c r="AD710">
        <v>0.5</v>
      </c>
      <c r="AE710" t="s">
        <v>795</v>
      </c>
      <c r="AF710" t="s">
        <v>796</v>
      </c>
      <c r="AG710" t="s">
        <v>797</v>
      </c>
      <c r="AH710">
        <v>326500</v>
      </c>
      <c r="AI710">
        <v>326500</v>
      </c>
    </row>
    <row r="711" spans="1:35" x14ac:dyDescent="0.3">
      <c r="A711">
        <f>COUNTIF($D$2:D711,D711)</f>
        <v>25</v>
      </c>
      <c r="B711" t="str">
        <f t="shared" si="45"/>
        <v>25Ealing</v>
      </c>
      <c r="C711" t="s">
        <v>2619</v>
      </c>
      <c r="D711" t="s">
        <v>141</v>
      </c>
      <c r="E711">
        <v>18</v>
      </c>
      <c r="F711" t="s">
        <v>2620</v>
      </c>
      <c r="G711" t="s">
        <v>877</v>
      </c>
      <c r="H711" t="s">
        <v>1015</v>
      </c>
      <c r="I711" t="s">
        <v>879</v>
      </c>
      <c r="J711" t="e">
        <f t="shared" si="46"/>
        <v>#VALUE!</v>
      </c>
      <c r="K711" t="e">
        <f t="shared" si="47"/>
        <v>#VALUE!</v>
      </c>
      <c r="N711" t="str">
        <f t="shared" si="44"/>
        <v>Devon34Step Up, Step Down Home Based Intensive RehabHome-based intermediate care servicesRehabilitation at home (to support discharge)</v>
      </c>
      <c r="O711" t="s">
        <v>133</v>
      </c>
      <c r="P711" t="s">
        <v>976</v>
      </c>
      <c r="Q711">
        <v>34</v>
      </c>
      <c r="R711" t="s">
        <v>2370</v>
      </c>
      <c r="S711" t="s">
        <v>2618</v>
      </c>
      <c r="T711" t="s">
        <v>787</v>
      </c>
      <c r="U711" t="s">
        <v>1195</v>
      </c>
      <c r="W711">
        <v>34</v>
      </c>
      <c r="X711">
        <v>34</v>
      </c>
      <c r="Y711" t="s">
        <v>789</v>
      </c>
      <c r="Z711" t="s">
        <v>792</v>
      </c>
      <c r="AB711" t="s">
        <v>1739</v>
      </c>
      <c r="AC711">
        <v>0.5</v>
      </c>
      <c r="AD711">
        <v>0.5</v>
      </c>
      <c r="AE711" t="s">
        <v>795</v>
      </c>
      <c r="AF711" t="s">
        <v>796</v>
      </c>
      <c r="AG711" t="s">
        <v>797</v>
      </c>
      <c r="AH711">
        <v>326500</v>
      </c>
      <c r="AI711">
        <v>326500</v>
      </c>
    </row>
    <row r="712" spans="1:35" x14ac:dyDescent="0.3">
      <c r="A712">
        <f>COUNTIF($D$2:D712,D712)</f>
        <v>1</v>
      </c>
      <c r="B712" t="str">
        <f t="shared" si="45"/>
        <v>1East Riding of Yorkshire</v>
      </c>
      <c r="C712" t="s">
        <v>2621</v>
      </c>
      <c r="D712" t="s">
        <v>143</v>
      </c>
      <c r="E712">
        <v>2</v>
      </c>
      <c r="F712" t="s">
        <v>2622</v>
      </c>
      <c r="G712" t="s">
        <v>787</v>
      </c>
      <c r="H712" t="s">
        <v>2374</v>
      </c>
      <c r="I712" t="s">
        <v>789</v>
      </c>
      <c r="J712">
        <f t="shared" ca="1" si="46"/>
        <v>3013113</v>
      </c>
      <c r="K712">
        <f t="shared" ca="1" si="47"/>
        <v>587</v>
      </c>
      <c r="N712" t="str">
        <f t="shared" si="44"/>
        <v>Devon35Step Up, Step Down Home based Intermediate CareHome-based intermediate care servicesJoint reablement and rehabilitation service (accepting step up and step down users)</v>
      </c>
      <c r="O712" t="s">
        <v>133</v>
      </c>
      <c r="P712" t="s">
        <v>976</v>
      </c>
      <c r="Q712">
        <v>35</v>
      </c>
      <c r="R712" t="s">
        <v>2373</v>
      </c>
      <c r="S712" t="s">
        <v>2623</v>
      </c>
      <c r="T712" t="s">
        <v>787</v>
      </c>
      <c r="U712" t="s">
        <v>2374</v>
      </c>
      <c r="W712">
        <v>136</v>
      </c>
      <c r="X712">
        <v>136</v>
      </c>
      <c r="Y712" t="s">
        <v>789</v>
      </c>
      <c r="Z712" t="s">
        <v>823</v>
      </c>
      <c r="AB712" t="s">
        <v>1739</v>
      </c>
      <c r="AC712">
        <v>0.5</v>
      </c>
      <c r="AD712">
        <v>0.5</v>
      </c>
      <c r="AE712" t="s">
        <v>804</v>
      </c>
      <c r="AF712" t="s">
        <v>796</v>
      </c>
      <c r="AG712" t="s">
        <v>797</v>
      </c>
      <c r="AH712">
        <v>1287000</v>
      </c>
      <c r="AI712">
        <v>1287000</v>
      </c>
    </row>
    <row r="713" spans="1:35" x14ac:dyDescent="0.3">
      <c r="A713">
        <f>COUNTIF($D$2:D713,D713)</f>
        <v>2</v>
      </c>
      <c r="B713" t="str">
        <f t="shared" si="45"/>
        <v>2East Riding of Yorkshire</v>
      </c>
      <c r="C713" t="s">
        <v>2624</v>
      </c>
      <c r="D713" t="s">
        <v>143</v>
      </c>
      <c r="E713">
        <v>6</v>
      </c>
      <c r="F713" t="s">
        <v>891</v>
      </c>
      <c r="G713" t="s">
        <v>834</v>
      </c>
      <c r="H713" t="s">
        <v>835</v>
      </c>
      <c r="I713" t="s">
        <v>836</v>
      </c>
      <c r="J713">
        <f t="shared" ca="1" si="46"/>
        <v>1200000</v>
      </c>
      <c r="K713">
        <f t="shared" ca="1" si="47"/>
        <v>160</v>
      </c>
      <c r="N713" t="str">
        <f t="shared" si="44"/>
        <v>Devon36Step Up, Step Down Home Based ReablementHome-based intermediate care servicesJoint reablement and rehabilitation service (accepting step up and step down users)</v>
      </c>
      <c r="O713" t="s">
        <v>133</v>
      </c>
      <c r="P713" t="s">
        <v>976</v>
      </c>
      <c r="Q713">
        <v>36</v>
      </c>
      <c r="R713" t="s">
        <v>2377</v>
      </c>
      <c r="S713" t="s">
        <v>2625</v>
      </c>
      <c r="T713" t="s">
        <v>787</v>
      </c>
      <c r="U713" t="s">
        <v>2374</v>
      </c>
      <c r="W713">
        <v>17</v>
      </c>
      <c r="X713">
        <v>17</v>
      </c>
      <c r="Y713" t="s">
        <v>789</v>
      </c>
      <c r="Z713" t="s">
        <v>823</v>
      </c>
      <c r="AB713" t="s">
        <v>1739</v>
      </c>
      <c r="AC713">
        <v>0.5</v>
      </c>
      <c r="AD713">
        <v>0.5</v>
      </c>
      <c r="AE713" t="s">
        <v>832</v>
      </c>
      <c r="AF713" t="s">
        <v>796</v>
      </c>
      <c r="AG713" t="s">
        <v>797</v>
      </c>
      <c r="AH713">
        <v>162000</v>
      </c>
      <c r="AI713">
        <v>162000</v>
      </c>
    </row>
    <row r="714" spans="1:35" x14ac:dyDescent="0.3">
      <c r="A714">
        <f>COUNTIF($D$2:D714,D714)</f>
        <v>3</v>
      </c>
      <c r="B714" t="str">
        <f t="shared" si="45"/>
        <v>3East Riding of Yorkshire</v>
      </c>
      <c r="C714" t="s">
        <v>2626</v>
      </c>
      <c r="D714" t="s">
        <v>143</v>
      </c>
      <c r="E714">
        <v>7</v>
      </c>
      <c r="F714" t="s">
        <v>891</v>
      </c>
      <c r="G714" t="s">
        <v>834</v>
      </c>
      <c r="H714" t="s">
        <v>1293</v>
      </c>
      <c r="I714" t="s">
        <v>836</v>
      </c>
      <c r="J714">
        <f t="shared" ca="1" si="46"/>
        <v>1886212</v>
      </c>
      <c r="K714">
        <f t="shared" ca="1" si="47"/>
        <v>440</v>
      </c>
      <c r="N714" t="str">
        <f t="shared" si="44"/>
        <v>Devon36Step Up, Step Down Home Based ReablementHome-based intermediate care servicesJoint reablement and rehabilitation service (accepting step up and step down users)</v>
      </c>
      <c r="O714" t="s">
        <v>133</v>
      </c>
      <c r="P714" t="s">
        <v>976</v>
      </c>
      <c r="Q714">
        <v>36</v>
      </c>
      <c r="R714" t="s">
        <v>2377</v>
      </c>
      <c r="S714" t="s">
        <v>2625</v>
      </c>
      <c r="T714" t="s">
        <v>787</v>
      </c>
      <c r="U714" t="s">
        <v>2374</v>
      </c>
      <c r="W714">
        <v>56</v>
      </c>
      <c r="X714">
        <v>56</v>
      </c>
      <c r="Y714" t="s">
        <v>789</v>
      </c>
      <c r="Z714" t="s">
        <v>792</v>
      </c>
      <c r="AB714" t="s">
        <v>1739</v>
      </c>
      <c r="AC714">
        <v>0.5</v>
      </c>
      <c r="AD714">
        <v>0.5</v>
      </c>
      <c r="AE714" t="s">
        <v>832</v>
      </c>
      <c r="AF714" t="s">
        <v>796</v>
      </c>
      <c r="AG714" t="s">
        <v>797</v>
      </c>
      <c r="AH714">
        <v>530000</v>
      </c>
      <c r="AI714">
        <v>530000</v>
      </c>
    </row>
    <row r="715" spans="1:35" x14ac:dyDescent="0.3">
      <c r="A715">
        <f>COUNTIF($D$2:D715,D715)</f>
        <v>4</v>
      </c>
      <c r="B715" t="str">
        <f t="shared" si="45"/>
        <v>4East Riding of Yorkshire</v>
      </c>
      <c r="C715" t="s">
        <v>2627</v>
      </c>
      <c r="D715" t="s">
        <v>143</v>
      </c>
      <c r="E715">
        <v>20</v>
      </c>
      <c r="F715" t="s">
        <v>2628</v>
      </c>
      <c r="G715" t="s">
        <v>811</v>
      </c>
      <c r="H715" t="s">
        <v>895</v>
      </c>
      <c r="I715" t="s">
        <v>813</v>
      </c>
      <c r="J715">
        <f t="shared" ca="1" si="46"/>
        <v>146901</v>
      </c>
      <c r="K715">
        <f t="shared" ca="1" si="47"/>
        <v>192</v>
      </c>
      <c r="N715" t="str">
        <f t="shared" si="44"/>
        <v>Devon36Step Up, Step Down Home Based ReablementHome-based intermediate care servicesJoint reablement and rehabilitation service (accepting step up and step down users)</v>
      </c>
      <c r="O715" t="s">
        <v>133</v>
      </c>
      <c r="P715" t="s">
        <v>976</v>
      </c>
      <c r="Q715">
        <v>36</v>
      </c>
      <c r="R715" t="s">
        <v>2377</v>
      </c>
      <c r="S715" t="s">
        <v>2629</v>
      </c>
      <c r="T715" t="s">
        <v>787</v>
      </c>
      <c r="U715" t="s">
        <v>2374</v>
      </c>
      <c r="W715">
        <v>14</v>
      </c>
      <c r="X715">
        <v>14</v>
      </c>
      <c r="Y715" t="s">
        <v>789</v>
      </c>
      <c r="Z715" t="s">
        <v>792</v>
      </c>
      <c r="AB715" t="s">
        <v>1739</v>
      </c>
      <c r="AC715">
        <v>0.5</v>
      </c>
      <c r="AD715">
        <v>0.5</v>
      </c>
      <c r="AE715" t="s">
        <v>795</v>
      </c>
      <c r="AF715" t="s">
        <v>796</v>
      </c>
      <c r="AG715" t="s">
        <v>797</v>
      </c>
      <c r="AH715">
        <v>129000</v>
      </c>
      <c r="AI715">
        <v>129000</v>
      </c>
    </row>
    <row r="716" spans="1:35" x14ac:dyDescent="0.3">
      <c r="A716">
        <f>COUNTIF($D$2:D716,D716)</f>
        <v>5</v>
      </c>
      <c r="B716" t="str">
        <f t="shared" si="45"/>
        <v>5East Riding of Yorkshire</v>
      </c>
      <c r="C716" t="s">
        <v>2630</v>
      </c>
      <c r="D716" t="s">
        <v>143</v>
      </c>
      <c r="E716">
        <v>30</v>
      </c>
      <c r="F716" t="s">
        <v>434</v>
      </c>
      <c r="G716" t="s">
        <v>787</v>
      </c>
      <c r="H716" t="s">
        <v>2374</v>
      </c>
      <c r="I716" t="s">
        <v>789</v>
      </c>
      <c r="J716">
        <f t="shared" ca="1" si="46"/>
        <v>800000</v>
      </c>
      <c r="K716">
        <f t="shared" ca="1" si="47"/>
        <v>500</v>
      </c>
      <c r="N716" t="str">
        <f t="shared" si="44"/>
        <v>Devon36Step Up, Step Down Home Based ReablementHome-based intermediate care servicesJoint reablement and rehabilitation service (accepting step up and step down users)</v>
      </c>
      <c r="O716" t="s">
        <v>133</v>
      </c>
      <c r="P716" t="s">
        <v>976</v>
      </c>
      <c r="Q716">
        <v>36</v>
      </c>
      <c r="R716" t="s">
        <v>2377</v>
      </c>
      <c r="S716" t="s">
        <v>2629</v>
      </c>
      <c r="T716" t="s">
        <v>787</v>
      </c>
      <c r="U716" t="s">
        <v>2374</v>
      </c>
      <c r="W716">
        <v>44</v>
      </c>
      <c r="X716">
        <v>44</v>
      </c>
      <c r="Y716" t="s">
        <v>789</v>
      </c>
      <c r="Z716" t="s">
        <v>792</v>
      </c>
      <c r="AB716" t="s">
        <v>1739</v>
      </c>
      <c r="AC716">
        <v>0.5</v>
      </c>
      <c r="AD716">
        <v>0.5</v>
      </c>
      <c r="AE716" t="s">
        <v>804</v>
      </c>
      <c r="AF716" t="s">
        <v>796</v>
      </c>
      <c r="AG716" t="s">
        <v>797</v>
      </c>
      <c r="AH716">
        <v>417000</v>
      </c>
      <c r="AI716">
        <v>417000</v>
      </c>
    </row>
    <row r="717" spans="1:35" x14ac:dyDescent="0.3">
      <c r="A717">
        <f>COUNTIF($D$2:D717,D717)</f>
        <v>6</v>
      </c>
      <c r="B717" t="str">
        <f t="shared" si="45"/>
        <v>6East Riding of Yorkshire</v>
      </c>
      <c r="C717" t="s">
        <v>2631</v>
      </c>
      <c r="D717" t="s">
        <v>143</v>
      </c>
      <c r="E717">
        <v>31</v>
      </c>
      <c r="F717" t="s">
        <v>2632</v>
      </c>
      <c r="G717" t="s">
        <v>800</v>
      </c>
      <c r="H717" t="s">
        <v>850</v>
      </c>
      <c r="I717" t="s">
        <v>802</v>
      </c>
      <c r="J717">
        <f t="shared" ca="1" si="46"/>
        <v>350000</v>
      </c>
      <c r="K717">
        <f t="shared" ca="1" si="47"/>
        <v>300</v>
      </c>
      <c r="N717" t="str">
        <f t="shared" si="44"/>
        <v>Devon37Step Up, Step Down Personal CareHome Care or Domiciliary CareDomiciliary care packages</v>
      </c>
      <c r="O717" t="s">
        <v>133</v>
      </c>
      <c r="P717" t="s">
        <v>976</v>
      </c>
      <c r="Q717">
        <v>37</v>
      </c>
      <c r="R717" t="s">
        <v>2380</v>
      </c>
      <c r="S717" t="s">
        <v>2633</v>
      </c>
      <c r="T717" t="s">
        <v>842</v>
      </c>
      <c r="U717" t="s">
        <v>843</v>
      </c>
      <c r="W717">
        <v>2889</v>
      </c>
      <c r="X717">
        <v>2889</v>
      </c>
      <c r="Y717" t="s">
        <v>844</v>
      </c>
      <c r="Z717" t="s">
        <v>823</v>
      </c>
      <c r="AB717" t="s">
        <v>1739</v>
      </c>
      <c r="AC717">
        <v>0.5</v>
      </c>
      <c r="AD717">
        <v>0.5</v>
      </c>
      <c r="AE717" t="s">
        <v>1119</v>
      </c>
      <c r="AF717" t="s">
        <v>796</v>
      </c>
      <c r="AG717" t="s">
        <v>797</v>
      </c>
      <c r="AH717">
        <v>75000</v>
      </c>
      <c r="AI717">
        <v>75000</v>
      </c>
    </row>
    <row r="718" spans="1:35" x14ac:dyDescent="0.3">
      <c r="A718">
        <f>COUNTIF($D$2:D718,D718)</f>
        <v>7</v>
      </c>
      <c r="B718" t="str">
        <f t="shared" si="45"/>
        <v>7East Riding of Yorkshire</v>
      </c>
      <c r="C718" t="s">
        <v>2634</v>
      </c>
      <c r="D718" t="s">
        <v>143</v>
      </c>
      <c r="E718">
        <v>33</v>
      </c>
      <c r="F718" t="s">
        <v>2635</v>
      </c>
      <c r="G718" t="s">
        <v>800</v>
      </c>
      <c r="H718" t="s">
        <v>812</v>
      </c>
      <c r="I718" t="s">
        <v>802</v>
      </c>
      <c r="J718">
        <f t="shared" ca="1" si="46"/>
        <v>19504</v>
      </c>
      <c r="K718">
        <f t="shared" ca="1" si="47"/>
        <v>660</v>
      </c>
      <c r="N718" t="str">
        <f t="shared" si="44"/>
        <v>Devon37Step Up, Step Down Personal CareHome Care or Domiciliary CareDomiciliary care packages</v>
      </c>
      <c r="O718" t="s">
        <v>133</v>
      </c>
      <c r="P718" t="s">
        <v>976</v>
      </c>
      <c r="Q718">
        <v>37</v>
      </c>
      <c r="R718" t="s">
        <v>2380</v>
      </c>
      <c r="S718" t="s">
        <v>2633</v>
      </c>
      <c r="T718" t="s">
        <v>842</v>
      </c>
      <c r="U718" t="s">
        <v>843</v>
      </c>
      <c r="W718">
        <v>2889</v>
      </c>
      <c r="X718">
        <v>2889</v>
      </c>
      <c r="Y718" t="s">
        <v>844</v>
      </c>
      <c r="Z718" t="s">
        <v>792</v>
      </c>
      <c r="AB718" t="s">
        <v>1739</v>
      </c>
      <c r="AC718">
        <v>0.5</v>
      </c>
      <c r="AD718">
        <v>0.5</v>
      </c>
      <c r="AE718" t="s">
        <v>1119</v>
      </c>
      <c r="AF718" t="s">
        <v>796</v>
      </c>
      <c r="AG718" t="s">
        <v>797</v>
      </c>
      <c r="AH718">
        <v>75000</v>
      </c>
      <c r="AI718">
        <v>75000</v>
      </c>
    </row>
    <row r="719" spans="1:35" x14ac:dyDescent="0.3">
      <c r="A719">
        <f>COUNTIF($D$2:D719,D719)</f>
        <v>8</v>
      </c>
      <c r="B719" t="str">
        <f t="shared" si="45"/>
        <v>8East Riding of Yorkshire</v>
      </c>
      <c r="C719" t="s">
        <v>2636</v>
      </c>
      <c r="D719" t="s">
        <v>143</v>
      </c>
      <c r="E719">
        <v>34</v>
      </c>
      <c r="F719" t="s">
        <v>1051</v>
      </c>
      <c r="G719" t="s">
        <v>800</v>
      </c>
      <c r="H719" t="s">
        <v>850</v>
      </c>
      <c r="I719" t="s">
        <v>802</v>
      </c>
      <c r="J719">
        <f t="shared" ca="1" si="46"/>
        <v>3776272.97</v>
      </c>
      <c r="K719">
        <f t="shared" ca="1" si="47"/>
        <v>11500</v>
      </c>
      <c r="N719" t="str">
        <f t="shared" si="44"/>
        <v>Devon38Step Up, Step Down Recuperative PlacementsBed based intermediate Care Services (Reablement, rehabilitation in a bedded setting, wider short-term services supporting recovery)Bed-based intermediate care with reablement accepting step up and step down users</v>
      </c>
      <c r="O719" t="s">
        <v>133</v>
      </c>
      <c r="P719" t="s">
        <v>976</v>
      </c>
      <c r="Q719">
        <v>38</v>
      </c>
      <c r="R719" t="s">
        <v>2383</v>
      </c>
      <c r="S719" t="s">
        <v>2637</v>
      </c>
      <c r="T719" t="s">
        <v>2384</v>
      </c>
      <c r="U719" t="s">
        <v>1259</v>
      </c>
      <c r="W719">
        <v>2</v>
      </c>
      <c r="X719">
        <v>2</v>
      </c>
      <c r="Y719" t="s">
        <v>794</v>
      </c>
      <c r="Z719" t="s">
        <v>823</v>
      </c>
      <c r="AB719" t="s">
        <v>1739</v>
      </c>
      <c r="AC719">
        <v>0.5</v>
      </c>
      <c r="AD719">
        <v>0.5</v>
      </c>
      <c r="AE719" t="s">
        <v>804</v>
      </c>
      <c r="AF719" t="s">
        <v>796</v>
      </c>
      <c r="AG719" t="s">
        <v>797</v>
      </c>
      <c r="AH719">
        <v>100000</v>
      </c>
      <c r="AI719">
        <v>100000</v>
      </c>
    </row>
    <row r="720" spans="1:35" x14ac:dyDescent="0.3">
      <c r="A720">
        <f>COUNTIF($D$2:D720,D720)</f>
        <v>9</v>
      </c>
      <c r="B720" t="str">
        <f t="shared" si="45"/>
        <v>9East Riding of Yorkshire</v>
      </c>
      <c r="C720" t="s">
        <v>2638</v>
      </c>
      <c r="D720" t="s">
        <v>143</v>
      </c>
      <c r="E720">
        <v>40</v>
      </c>
      <c r="F720" t="s">
        <v>2639</v>
      </c>
      <c r="G720" t="s">
        <v>800</v>
      </c>
      <c r="H720" t="s">
        <v>850</v>
      </c>
      <c r="I720" t="s">
        <v>802</v>
      </c>
      <c r="J720">
        <f t="shared" ca="1" si="46"/>
        <v>56855</v>
      </c>
      <c r="K720">
        <f t="shared" ca="1" si="47"/>
        <v>293</v>
      </c>
      <c r="N720" t="str">
        <f t="shared" si="44"/>
        <v>Devon41Support to social careHome Care or Domiciliary CareDomiciliary care packages</v>
      </c>
      <c r="O720" t="s">
        <v>133</v>
      </c>
      <c r="P720" t="s">
        <v>976</v>
      </c>
      <c r="Q720">
        <v>41</v>
      </c>
      <c r="R720" t="s">
        <v>2386</v>
      </c>
      <c r="S720" t="s">
        <v>2386</v>
      </c>
      <c r="T720" t="s">
        <v>842</v>
      </c>
      <c r="U720" t="s">
        <v>843</v>
      </c>
      <c r="W720">
        <v>363115</v>
      </c>
      <c r="X720">
        <v>363115</v>
      </c>
      <c r="Y720" t="s">
        <v>844</v>
      </c>
      <c r="Z720" t="s">
        <v>792</v>
      </c>
      <c r="AB720" t="s">
        <v>793</v>
      </c>
      <c r="AD720" t="s">
        <v>794</v>
      </c>
      <c r="AE720" t="s">
        <v>804</v>
      </c>
      <c r="AF720" t="s">
        <v>796</v>
      </c>
      <c r="AG720" t="s">
        <v>797</v>
      </c>
      <c r="AH720">
        <v>9426465</v>
      </c>
      <c r="AI720">
        <v>9426465</v>
      </c>
    </row>
    <row r="721" spans="1:36" x14ac:dyDescent="0.3">
      <c r="A721">
        <f>COUNTIF($D$2:D721,D721)</f>
        <v>10</v>
      </c>
      <c r="B721" t="str">
        <f t="shared" si="45"/>
        <v>10East Riding of Yorkshire</v>
      </c>
      <c r="C721" t="s">
        <v>2640</v>
      </c>
      <c r="D721" t="s">
        <v>143</v>
      </c>
      <c r="E721">
        <v>45</v>
      </c>
      <c r="F721" t="s">
        <v>2641</v>
      </c>
      <c r="G721" t="s">
        <v>877</v>
      </c>
      <c r="H721" t="s">
        <v>812</v>
      </c>
      <c r="I721" t="s">
        <v>879</v>
      </c>
      <c r="J721">
        <f t="shared" ca="1" si="46"/>
        <v>1997000</v>
      </c>
      <c r="K721">
        <f t="shared" ca="1" si="47"/>
        <v>780</v>
      </c>
      <c r="N721" t="str">
        <f t="shared" si="44"/>
        <v>Devon41Support to social careResidential PlacementsCare home</v>
      </c>
      <c r="O721" t="s">
        <v>133</v>
      </c>
      <c r="P721" t="s">
        <v>976</v>
      </c>
      <c r="Q721">
        <v>41</v>
      </c>
      <c r="R721" t="s">
        <v>2386</v>
      </c>
      <c r="S721" t="s">
        <v>2386</v>
      </c>
      <c r="T721" t="s">
        <v>806</v>
      </c>
      <c r="U721" t="s">
        <v>807</v>
      </c>
      <c r="W721">
        <v>70</v>
      </c>
      <c r="X721">
        <v>70</v>
      </c>
      <c r="Y721" t="s">
        <v>808</v>
      </c>
      <c r="Z721" t="s">
        <v>792</v>
      </c>
      <c r="AB721" t="s">
        <v>793</v>
      </c>
      <c r="AD721" t="s">
        <v>794</v>
      </c>
      <c r="AE721" t="s">
        <v>804</v>
      </c>
      <c r="AF721" t="s">
        <v>796</v>
      </c>
      <c r="AG721" t="s">
        <v>797</v>
      </c>
      <c r="AH721">
        <v>3587217</v>
      </c>
      <c r="AI721">
        <v>3587217</v>
      </c>
    </row>
    <row r="722" spans="1:36" x14ac:dyDescent="0.3">
      <c r="A722">
        <f>COUNTIF($D$2:D722,D722)</f>
        <v>11</v>
      </c>
      <c r="B722" t="str">
        <f t="shared" si="45"/>
        <v>11East Riding of Yorkshire</v>
      </c>
      <c r="C722" t="s">
        <v>2642</v>
      </c>
      <c r="D722" t="s">
        <v>143</v>
      </c>
      <c r="E722">
        <v>46</v>
      </c>
      <c r="F722" t="s">
        <v>2643</v>
      </c>
      <c r="G722" t="s">
        <v>800</v>
      </c>
      <c r="H722" t="s">
        <v>850</v>
      </c>
      <c r="I722" t="s">
        <v>802</v>
      </c>
      <c r="J722">
        <f t="shared" ca="1" si="46"/>
        <v>400000</v>
      </c>
      <c r="K722">
        <f t="shared" ca="1" si="47"/>
        <v>800</v>
      </c>
      <c r="N722" t="str">
        <f t="shared" si="44"/>
        <v>Devon42Support to social care (iBCF)Home Care or Domiciliary CareDomiciliary care packages</v>
      </c>
      <c r="O722" t="s">
        <v>133</v>
      </c>
      <c r="P722" t="s">
        <v>976</v>
      </c>
      <c r="Q722">
        <v>42</v>
      </c>
      <c r="R722" t="s">
        <v>2389</v>
      </c>
      <c r="S722" t="s">
        <v>842</v>
      </c>
      <c r="T722" t="s">
        <v>842</v>
      </c>
      <c r="U722" t="s">
        <v>843</v>
      </c>
      <c r="W722">
        <v>392713</v>
      </c>
      <c r="X722">
        <v>392713</v>
      </c>
      <c r="Y722" t="s">
        <v>844</v>
      </c>
      <c r="Z722" t="s">
        <v>792</v>
      </c>
      <c r="AB722" t="s">
        <v>793</v>
      </c>
      <c r="AD722" t="s">
        <v>794</v>
      </c>
      <c r="AE722" t="s">
        <v>804</v>
      </c>
      <c r="AF722" t="s">
        <v>845</v>
      </c>
      <c r="AG722" t="s">
        <v>797</v>
      </c>
      <c r="AH722">
        <v>10194836</v>
      </c>
      <c r="AI722">
        <v>10194836</v>
      </c>
    </row>
    <row r="723" spans="1:36" x14ac:dyDescent="0.3">
      <c r="A723">
        <f>COUNTIF($D$2:D723,D723)</f>
        <v>12</v>
      </c>
      <c r="B723" t="str">
        <f t="shared" si="45"/>
        <v>12East Riding of Yorkshire</v>
      </c>
      <c r="C723" t="s">
        <v>2644</v>
      </c>
      <c r="D723" t="s">
        <v>143</v>
      </c>
      <c r="E723">
        <v>50</v>
      </c>
      <c r="F723" t="s">
        <v>2645</v>
      </c>
      <c r="G723" t="s">
        <v>842</v>
      </c>
      <c r="H723" t="s">
        <v>1102</v>
      </c>
      <c r="I723" t="s">
        <v>789</v>
      </c>
      <c r="J723">
        <f t="shared" ca="1" si="46"/>
        <v>320000</v>
      </c>
      <c r="K723">
        <f t="shared" ca="1" si="47"/>
        <v>2000</v>
      </c>
      <c r="N723" t="str">
        <f t="shared" si="44"/>
        <v>Devon42Support to social care (iBCF)Residential PlacementsCare home</v>
      </c>
      <c r="O723" t="s">
        <v>133</v>
      </c>
      <c r="P723" t="s">
        <v>976</v>
      </c>
      <c r="Q723">
        <v>42</v>
      </c>
      <c r="R723" t="s">
        <v>2389</v>
      </c>
      <c r="S723" t="s">
        <v>842</v>
      </c>
      <c r="T723" t="s">
        <v>806</v>
      </c>
      <c r="U723" t="s">
        <v>807</v>
      </c>
      <c r="W723">
        <v>228</v>
      </c>
      <c r="X723">
        <v>228</v>
      </c>
      <c r="Y723" t="s">
        <v>808</v>
      </c>
      <c r="Z723" t="s">
        <v>792</v>
      </c>
      <c r="AB723" t="s">
        <v>793</v>
      </c>
      <c r="AD723" t="s">
        <v>794</v>
      </c>
      <c r="AE723" t="s">
        <v>804</v>
      </c>
      <c r="AF723" t="s">
        <v>845</v>
      </c>
      <c r="AG723" t="s">
        <v>797</v>
      </c>
      <c r="AH723">
        <v>11651000</v>
      </c>
      <c r="AI723">
        <v>11651000</v>
      </c>
    </row>
    <row r="724" spans="1:36" x14ac:dyDescent="0.3">
      <c r="A724">
        <f>COUNTIF($D$2:D724,D724)</f>
        <v>1</v>
      </c>
      <c r="B724" t="str">
        <f t="shared" si="45"/>
        <v>1East Sussex</v>
      </c>
      <c r="C724" t="s">
        <v>2646</v>
      </c>
      <c r="D724" t="s">
        <v>145</v>
      </c>
      <c r="E724">
        <v>4</v>
      </c>
      <c r="F724" t="s">
        <v>2647</v>
      </c>
      <c r="G724" t="s">
        <v>877</v>
      </c>
      <c r="H724" t="s">
        <v>1259</v>
      </c>
      <c r="I724" t="s">
        <v>879</v>
      </c>
      <c r="J724" t="e">
        <f t="shared" si="46"/>
        <v>#VALUE!</v>
      </c>
      <c r="K724" t="e">
        <f t="shared" si="47"/>
        <v>#VALUE!</v>
      </c>
      <c r="N724" t="str">
        <f t="shared" si="44"/>
        <v>Devon42Support to social care (iBCF)Residential PlacementsNursing home</v>
      </c>
      <c r="O724" t="s">
        <v>133</v>
      </c>
      <c r="P724" t="s">
        <v>976</v>
      </c>
      <c r="Q724">
        <v>42</v>
      </c>
      <c r="R724" t="s">
        <v>2389</v>
      </c>
      <c r="S724" t="s">
        <v>2648</v>
      </c>
      <c r="T724" t="s">
        <v>806</v>
      </c>
      <c r="U724" t="s">
        <v>917</v>
      </c>
      <c r="W724">
        <v>46</v>
      </c>
      <c r="X724">
        <v>46</v>
      </c>
      <c r="Y724" t="s">
        <v>808</v>
      </c>
      <c r="Z724" t="s">
        <v>792</v>
      </c>
      <c r="AB724" t="s">
        <v>793</v>
      </c>
      <c r="AD724" t="s">
        <v>794</v>
      </c>
      <c r="AE724" t="s">
        <v>804</v>
      </c>
      <c r="AF724" t="s">
        <v>845</v>
      </c>
      <c r="AG724" t="s">
        <v>797</v>
      </c>
      <c r="AH724">
        <v>2913000</v>
      </c>
      <c r="AI724">
        <v>2913000</v>
      </c>
    </row>
    <row r="725" spans="1:36" x14ac:dyDescent="0.3">
      <c r="A725">
        <f>COUNTIF($D$2:D725,D725)</f>
        <v>2</v>
      </c>
      <c r="B725" t="str">
        <f t="shared" si="45"/>
        <v>2East Sussex</v>
      </c>
      <c r="C725" t="s">
        <v>2649</v>
      </c>
      <c r="D725" t="s">
        <v>145</v>
      </c>
      <c r="E725">
        <v>5</v>
      </c>
      <c r="F725" t="s">
        <v>2650</v>
      </c>
      <c r="G725" t="s">
        <v>877</v>
      </c>
      <c r="H725" t="s">
        <v>968</v>
      </c>
      <c r="I725" t="s">
        <v>879</v>
      </c>
      <c r="J725">
        <f t="shared" ca="1" si="46"/>
        <v>89000</v>
      </c>
      <c r="K725">
        <f t="shared" ca="1" si="47"/>
        <v>10</v>
      </c>
      <c r="N725" t="str">
        <f t="shared" si="44"/>
        <v>Doncaster2Carers LeadCarers ServicesCarer advice and support related to Care Act duties</v>
      </c>
      <c r="O725" t="s">
        <v>135</v>
      </c>
      <c r="P725" t="s">
        <v>922</v>
      </c>
      <c r="Q725">
        <v>2</v>
      </c>
      <c r="R725" t="s">
        <v>2396</v>
      </c>
      <c r="S725" t="s">
        <v>2651</v>
      </c>
      <c r="T725" t="s">
        <v>811</v>
      </c>
      <c r="U725" t="s">
        <v>895</v>
      </c>
      <c r="W725">
        <v>500</v>
      </c>
      <c r="X725">
        <v>500</v>
      </c>
      <c r="Y725" t="s">
        <v>813</v>
      </c>
      <c r="Z725" t="s">
        <v>792</v>
      </c>
      <c r="AB725" t="s">
        <v>793</v>
      </c>
      <c r="AD725" t="s">
        <v>794</v>
      </c>
      <c r="AE725" t="s">
        <v>795</v>
      </c>
      <c r="AF725" t="s">
        <v>796</v>
      </c>
      <c r="AG725" t="s">
        <v>797</v>
      </c>
      <c r="AH725">
        <v>59000</v>
      </c>
      <c r="AI725">
        <v>62000</v>
      </c>
      <c r="AJ725">
        <v>1</v>
      </c>
    </row>
    <row r="726" spans="1:36" x14ac:dyDescent="0.3">
      <c r="A726">
        <f>COUNTIF($D$2:D726,D726)</f>
        <v>3</v>
      </c>
      <c r="B726" t="str">
        <f t="shared" si="45"/>
        <v>3East Sussex</v>
      </c>
      <c r="C726" t="s">
        <v>2652</v>
      </c>
      <c r="D726" t="s">
        <v>145</v>
      </c>
      <c r="E726">
        <v>5</v>
      </c>
      <c r="F726" t="s">
        <v>2650</v>
      </c>
      <c r="G726" t="s">
        <v>877</v>
      </c>
      <c r="H726" t="s">
        <v>878</v>
      </c>
      <c r="I726" t="s">
        <v>879</v>
      </c>
      <c r="J726">
        <f t="shared" ca="1" si="46"/>
        <v>89000</v>
      </c>
      <c r="K726">
        <f t="shared" ca="1" si="47"/>
        <v>10</v>
      </c>
      <c r="N726" t="str">
        <f t="shared" si="44"/>
        <v>Doncaster3Carers Support Services &amp; BreaksCarers ServicesRespite services</v>
      </c>
      <c r="O726" t="s">
        <v>135</v>
      </c>
      <c r="P726" t="s">
        <v>922</v>
      </c>
      <c r="Q726">
        <v>3</v>
      </c>
      <c r="R726" t="s">
        <v>2398</v>
      </c>
      <c r="S726" t="s">
        <v>2653</v>
      </c>
      <c r="T726" t="s">
        <v>811</v>
      </c>
      <c r="U726" t="s">
        <v>830</v>
      </c>
      <c r="W726">
        <v>500</v>
      </c>
      <c r="X726">
        <v>500</v>
      </c>
      <c r="Y726" t="s">
        <v>813</v>
      </c>
      <c r="Z726" t="s">
        <v>792</v>
      </c>
      <c r="AB726" t="s">
        <v>793</v>
      </c>
      <c r="AD726" t="s">
        <v>794</v>
      </c>
      <c r="AE726" t="s">
        <v>825</v>
      </c>
      <c r="AF726" t="s">
        <v>796</v>
      </c>
      <c r="AG726" t="s">
        <v>797</v>
      </c>
      <c r="AH726">
        <v>70000</v>
      </c>
      <c r="AI726">
        <v>70000</v>
      </c>
      <c r="AJ726">
        <v>0.42</v>
      </c>
    </row>
    <row r="727" spans="1:36" x14ac:dyDescent="0.3">
      <c r="A727">
        <f>COUNTIF($D$2:D727,D727)</f>
        <v>4</v>
      </c>
      <c r="B727" t="str">
        <f t="shared" si="45"/>
        <v>4East Sussex</v>
      </c>
      <c r="C727" t="s">
        <v>2654</v>
      </c>
      <c r="D727" t="s">
        <v>145</v>
      </c>
      <c r="E727">
        <v>6</v>
      </c>
      <c r="F727" t="s">
        <v>2655</v>
      </c>
      <c r="G727" t="s">
        <v>787</v>
      </c>
      <c r="H727" t="s">
        <v>2374</v>
      </c>
      <c r="I727" t="s">
        <v>789</v>
      </c>
      <c r="J727">
        <f t="shared" ca="1" si="46"/>
        <v>867000</v>
      </c>
      <c r="K727">
        <f t="shared" ca="1" si="47"/>
        <v>232</v>
      </c>
      <c r="N727" t="str">
        <f t="shared" si="44"/>
        <v>Doncaster5Homecare ManagementHome-based intermediate care servicesReablement at home (accepting step up and step down users)</v>
      </c>
      <c r="O727" t="s">
        <v>135</v>
      </c>
      <c r="P727" t="s">
        <v>922</v>
      </c>
      <c r="Q727">
        <v>5</v>
      </c>
      <c r="R727" t="s">
        <v>2401</v>
      </c>
      <c r="S727" t="s">
        <v>2656</v>
      </c>
      <c r="T727" t="s">
        <v>787</v>
      </c>
      <c r="U727" t="s">
        <v>930</v>
      </c>
      <c r="W727">
        <v>1181</v>
      </c>
      <c r="X727">
        <v>1301</v>
      </c>
      <c r="Y727" t="s">
        <v>789</v>
      </c>
      <c r="Z727" t="s">
        <v>792</v>
      </c>
      <c r="AB727" t="s">
        <v>793</v>
      </c>
      <c r="AD727" t="s">
        <v>794</v>
      </c>
      <c r="AE727" t="s">
        <v>795</v>
      </c>
      <c r="AF727" t="s">
        <v>796</v>
      </c>
      <c r="AG727" t="s">
        <v>797</v>
      </c>
      <c r="AH727">
        <v>38000</v>
      </c>
      <c r="AI727">
        <v>43000</v>
      </c>
      <c r="AJ727">
        <v>0.06</v>
      </c>
    </row>
    <row r="728" spans="1:36" x14ac:dyDescent="0.3">
      <c r="A728">
        <f>COUNTIF($D$2:D728,D728)</f>
        <v>5</v>
      </c>
      <c r="B728" t="str">
        <f t="shared" si="45"/>
        <v>5East Sussex</v>
      </c>
      <c r="C728" t="s">
        <v>2657</v>
      </c>
      <c r="D728" t="s">
        <v>145</v>
      </c>
      <c r="E728">
        <v>7</v>
      </c>
      <c r="F728" t="s">
        <v>2658</v>
      </c>
      <c r="G728" t="s">
        <v>811</v>
      </c>
      <c r="H728" t="s">
        <v>830</v>
      </c>
      <c r="I728" t="s">
        <v>813</v>
      </c>
      <c r="J728">
        <f t="shared" ca="1" si="46"/>
        <v>1982153</v>
      </c>
      <c r="K728">
        <f t="shared" ca="1" si="47"/>
        <v>6533</v>
      </c>
      <c r="N728" t="str">
        <f t="shared" si="44"/>
        <v xml:space="preserve">Doncaster6STEPS, OT &amp; RAPIDHome-based intermediate care servicesReablement at home (to support discharge) </v>
      </c>
      <c r="O728" t="s">
        <v>135</v>
      </c>
      <c r="P728" t="s">
        <v>922</v>
      </c>
      <c r="Q728">
        <v>6</v>
      </c>
      <c r="R728" t="s">
        <v>2403</v>
      </c>
      <c r="S728" t="s">
        <v>2659</v>
      </c>
      <c r="T728" t="s">
        <v>787</v>
      </c>
      <c r="U728" t="s">
        <v>788</v>
      </c>
      <c r="W728">
        <v>1181</v>
      </c>
      <c r="X728">
        <v>1301</v>
      </c>
      <c r="Y728" t="s">
        <v>789</v>
      </c>
      <c r="Z728" t="s">
        <v>792</v>
      </c>
      <c r="AB728" t="s">
        <v>793</v>
      </c>
      <c r="AD728" t="s">
        <v>794</v>
      </c>
      <c r="AE728" t="s">
        <v>795</v>
      </c>
      <c r="AF728" t="s">
        <v>796</v>
      </c>
      <c r="AG728" t="s">
        <v>797</v>
      </c>
      <c r="AH728">
        <v>2331000</v>
      </c>
      <c r="AI728">
        <v>2507000</v>
      </c>
      <c r="AJ728">
        <v>0.92</v>
      </c>
    </row>
    <row r="729" spans="1:36" x14ac:dyDescent="0.3">
      <c r="A729">
        <f>COUNTIF($D$2:D729,D729)</f>
        <v>6</v>
      </c>
      <c r="B729" t="str">
        <f t="shared" si="45"/>
        <v>6East Sussex</v>
      </c>
      <c r="C729" t="s">
        <v>2660</v>
      </c>
      <c r="D729" t="s">
        <v>145</v>
      </c>
      <c r="E729">
        <v>7</v>
      </c>
      <c r="F729" t="s">
        <v>2661</v>
      </c>
      <c r="G729" t="s">
        <v>811</v>
      </c>
      <c r="H729" t="s">
        <v>830</v>
      </c>
      <c r="I729" t="s">
        <v>813</v>
      </c>
      <c r="J729">
        <f t="shared" ca="1" si="46"/>
        <v>26000</v>
      </c>
      <c r="K729">
        <f t="shared" ca="1" si="47"/>
        <v>71</v>
      </c>
      <c r="N729" t="str">
        <f t="shared" si="44"/>
        <v>Doncaster7HEART &amp; Telecare EquipmentAssistive Technologies and EquipmentAssistive technologies including telecare</v>
      </c>
      <c r="O729" t="s">
        <v>135</v>
      </c>
      <c r="P729" t="s">
        <v>922</v>
      </c>
      <c r="Q729">
        <v>7</v>
      </c>
      <c r="R729" t="s">
        <v>2407</v>
      </c>
      <c r="S729" t="s">
        <v>2662</v>
      </c>
      <c r="T729" t="s">
        <v>800</v>
      </c>
      <c r="U729" t="s">
        <v>850</v>
      </c>
      <c r="W729">
        <v>4306</v>
      </c>
      <c r="X729">
        <v>4306</v>
      </c>
      <c r="Y729" t="s">
        <v>802</v>
      </c>
      <c r="Z729" t="s">
        <v>792</v>
      </c>
      <c r="AB729" t="s">
        <v>793</v>
      </c>
      <c r="AD729" t="s">
        <v>794</v>
      </c>
      <c r="AE729" t="s">
        <v>795</v>
      </c>
      <c r="AF729" t="s">
        <v>796</v>
      </c>
      <c r="AG729" t="s">
        <v>797</v>
      </c>
      <c r="AH729">
        <v>1021000</v>
      </c>
      <c r="AI729">
        <v>1074000</v>
      </c>
      <c r="AJ729">
        <v>0.53</v>
      </c>
    </row>
    <row r="730" spans="1:36" x14ac:dyDescent="0.3">
      <c r="A730">
        <f>COUNTIF($D$2:D730,D730)</f>
        <v>7</v>
      </c>
      <c r="B730" t="str">
        <f t="shared" si="45"/>
        <v>7East Sussex</v>
      </c>
      <c r="C730" t="s">
        <v>2663</v>
      </c>
      <c r="D730" t="s">
        <v>145</v>
      </c>
      <c r="E730">
        <v>8</v>
      </c>
      <c r="F730" t="s">
        <v>2661</v>
      </c>
      <c r="G730" t="s">
        <v>811</v>
      </c>
      <c r="H730" t="s">
        <v>895</v>
      </c>
      <c r="I730" t="s">
        <v>813</v>
      </c>
      <c r="J730">
        <f t="shared" ca="1" si="46"/>
        <v>2135355</v>
      </c>
      <c r="K730">
        <f t="shared" ca="1" si="47"/>
        <v>15257</v>
      </c>
      <c r="N730" t="str">
        <f t="shared" si="44"/>
        <v>Doncaster9Positive Step: Social Care AssessmentBed based intermediate Care Services (Reablement, rehabilitation, wider short-term services supporting recovery)Bed-based intermediate care with reablement (to support discharge)</v>
      </c>
      <c r="O730" t="s">
        <v>135</v>
      </c>
      <c r="P730" t="s">
        <v>922</v>
      </c>
      <c r="Q730">
        <v>9</v>
      </c>
      <c r="R730" t="s">
        <v>2409</v>
      </c>
      <c r="S730" t="s">
        <v>2664</v>
      </c>
      <c r="T730" t="s">
        <v>877</v>
      </c>
      <c r="U730" t="s">
        <v>878</v>
      </c>
      <c r="W730">
        <v>232</v>
      </c>
      <c r="X730">
        <v>232</v>
      </c>
      <c r="Y730" t="s">
        <v>879</v>
      </c>
      <c r="Z730" t="s">
        <v>792</v>
      </c>
      <c r="AB730" t="s">
        <v>793</v>
      </c>
      <c r="AD730" t="s">
        <v>794</v>
      </c>
      <c r="AE730" t="s">
        <v>795</v>
      </c>
      <c r="AF730" t="s">
        <v>796</v>
      </c>
      <c r="AG730" t="s">
        <v>797</v>
      </c>
      <c r="AH730">
        <v>2580000</v>
      </c>
      <c r="AI730">
        <v>2744000</v>
      </c>
      <c r="AJ730">
        <v>1</v>
      </c>
    </row>
    <row r="731" spans="1:36" x14ac:dyDescent="0.3">
      <c r="A731">
        <f>COUNTIF($D$2:D731,D731)</f>
        <v>8</v>
      </c>
      <c r="B731" t="str">
        <f t="shared" si="45"/>
        <v>8East Sussex</v>
      </c>
      <c r="C731" t="s">
        <v>2665</v>
      </c>
      <c r="D731" t="s">
        <v>145</v>
      </c>
      <c r="E731">
        <v>9</v>
      </c>
      <c r="F731" t="s">
        <v>891</v>
      </c>
      <c r="G731" t="s">
        <v>834</v>
      </c>
      <c r="H731" t="s">
        <v>835</v>
      </c>
      <c r="I731" t="s">
        <v>836</v>
      </c>
      <c r="J731">
        <f t="shared" ca="1" si="46"/>
        <v>4061806</v>
      </c>
      <c r="K731">
        <f t="shared" ca="1" si="47"/>
        <v>1367</v>
      </c>
      <c r="N731" t="str">
        <f t="shared" si="44"/>
        <v>Doncaster11SPOC/One Point 1Bed based intermediate Care Services (Reablement, rehabilitation, wider short-term services supporting recovery)Bed-based intermediate care with rehabilitation (to support discharge)</v>
      </c>
      <c r="O731" t="s">
        <v>135</v>
      </c>
      <c r="P731" t="s">
        <v>922</v>
      </c>
      <c r="Q731">
        <v>11</v>
      </c>
      <c r="R731" t="s">
        <v>2412</v>
      </c>
      <c r="S731" t="s">
        <v>2666</v>
      </c>
      <c r="T731" t="s">
        <v>877</v>
      </c>
      <c r="U731" t="s">
        <v>968</v>
      </c>
      <c r="W731">
        <v>720</v>
      </c>
      <c r="X731">
        <v>720</v>
      </c>
      <c r="Y731" t="s">
        <v>879</v>
      </c>
      <c r="Z731" t="s">
        <v>792</v>
      </c>
      <c r="AB731" t="s">
        <v>793</v>
      </c>
      <c r="AD731" t="s">
        <v>794</v>
      </c>
      <c r="AE731" t="s">
        <v>795</v>
      </c>
      <c r="AF731" t="s">
        <v>796</v>
      </c>
      <c r="AG731" t="s">
        <v>797</v>
      </c>
      <c r="AH731">
        <v>71000</v>
      </c>
      <c r="AI731">
        <v>76000</v>
      </c>
      <c r="AJ731">
        <v>1</v>
      </c>
    </row>
    <row r="732" spans="1:36" x14ac:dyDescent="0.3">
      <c r="A732">
        <f>COUNTIF($D$2:D732,D732)</f>
        <v>9</v>
      </c>
      <c r="B732" t="str">
        <f t="shared" si="45"/>
        <v>9East Sussex</v>
      </c>
      <c r="C732" t="s">
        <v>2667</v>
      </c>
      <c r="D732" t="s">
        <v>145</v>
      </c>
      <c r="E732">
        <v>10</v>
      </c>
      <c r="F732" t="s">
        <v>891</v>
      </c>
      <c r="G732" t="s">
        <v>834</v>
      </c>
      <c r="H732" t="s">
        <v>1293</v>
      </c>
      <c r="I732" t="s">
        <v>836</v>
      </c>
      <c r="J732">
        <f t="shared" ca="1" si="46"/>
        <v>4061806</v>
      </c>
      <c r="K732">
        <f t="shared" ca="1" si="47"/>
        <v>600</v>
      </c>
      <c r="N732" t="str">
        <f t="shared" si="44"/>
        <v>Doncaster16Occupational Therapist - Aligned to STEPSHome-based intermediate care servicesRehabilitation at home (to support discharge)</v>
      </c>
      <c r="O732" t="s">
        <v>135</v>
      </c>
      <c r="P732" t="s">
        <v>922</v>
      </c>
      <c r="Q732">
        <v>16</v>
      </c>
      <c r="R732" t="s">
        <v>2415</v>
      </c>
      <c r="S732" t="s">
        <v>2668</v>
      </c>
      <c r="T732" t="s">
        <v>787</v>
      </c>
      <c r="U732" t="s">
        <v>1195</v>
      </c>
      <c r="W732">
        <v>177</v>
      </c>
      <c r="X732">
        <v>177</v>
      </c>
      <c r="Y732" t="s">
        <v>789</v>
      </c>
      <c r="Z732" t="s">
        <v>792</v>
      </c>
      <c r="AB732" t="s">
        <v>793</v>
      </c>
      <c r="AD732" t="s">
        <v>794</v>
      </c>
      <c r="AE732" t="s">
        <v>795</v>
      </c>
      <c r="AF732" t="s">
        <v>796</v>
      </c>
      <c r="AG732" t="s">
        <v>797</v>
      </c>
      <c r="AH732">
        <v>204000</v>
      </c>
      <c r="AI732">
        <v>214000</v>
      </c>
      <c r="AJ732">
        <v>0.13</v>
      </c>
    </row>
    <row r="733" spans="1:36" x14ac:dyDescent="0.3">
      <c r="A733">
        <f>COUNTIF($D$2:D733,D733)</f>
        <v>10</v>
      </c>
      <c r="B733" t="str">
        <f t="shared" si="45"/>
        <v>10East Sussex</v>
      </c>
      <c r="C733" t="s">
        <v>2669</v>
      </c>
      <c r="D733" t="s">
        <v>145</v>
      </c>
      <c r="E733">
        <v>17</v>
      </c>
      <c r="F733" t="s">
        <v>969</v>
      </c>
      <c r="G733" t="s">
        <v>787</v>
      </c>
      <c r="H733" t="s">
        <v>1688</v>
      </c>
      <c r="I733" t="s">
        <v>789</v>
      </c>
      <c r="J733">
        <f t="shared" ca="1" si="46"/>
        <v>888000</v>
      </c>
      <c r="K733">
        <f t="shared" ca="1" si="47"/>
        <v>4204</v>
      </c>
      <c r="N733" t="str">
        <f t="shared" si="44"/>
        <v>Doncaster17Occupational Therapist supporting multi-disciplinary teamsBed based intermediate Care Services (Reablement, rehabilitation, wider short-term services supporting recovery)Bed-based intermediate care with reablement (to support discharge)</v>
      </c>
      <c r="O733" t="s">
        <v>135</v>
      </c>
      <c r="P733" t="s">
        <v>922</v>
      </c>
      <c r="Q733">
        <v>17</v>
      </c>
      <c r="R733" t="s">
        <v>2418</v>
      </c>
      <c r="S733" t="s">
        <v>2670</v>
      </c>
      <c r="T733" t="s">
        <v>877</v>
      </c>
      <c r="U733" t="s">
        <v>878</v>
      </c>
      <c r="W733">
        <v>23</v>
      </c>
      <c r="X733">
        <v>23</v>
      </c>
      <c r="Y733" t="s">
        <v>879</v>
      </c>
      <c r="Z733" t="s">
        <v>792</v>
      </c>
      <c r="AB733" t="s">
        <v>793</v>
      </c>
      <c r="AD733" t="s">
        <v>794</v>
      </c>
      <c r="AE733" t="s">
        <v>795</v>
      </c>
      <c r="AF733" t="s">
        <v>796</v>
      </c>
      <c r="AG733" t="s">
        <v>797</v>
      </c>
      <c r="AH733">
        <v>167000</v>
      </c>
      <c r="AI733">
        <v>176000</v>
      </c>
      <c r="AJ733">
        <v>0.11</v>
      </c>
    </row>
    <row r="734" spans="1:36" x14ac:dyDescent="0.3">
      <c r="A734">
        <f>COUNTIF($D$2:D734,D734)</f>
        <v>11</v>
      </c>
      <c r="B734" t="str">
        <f t="shared" si="45"/>
        <v>11East Sussex</v>
      </c>
      <c r="C734" t="s">
        <v>2671</v>
      </c>
      <c r="D734" t="s">
        <v>145</v>
      </c>
      <c r="E734">
        <v>31</v>
      </c>
      <c r="F734" t="s">
        <v>2672</v>
      </c>
      <c r="G734" t="s">
        <v>800</v>
      </c>
      <c r="H734" t="s">
        <v>903</v>
      </c>
      <c r="I734" t="s">
        <v>802</v>
      </c>
      <c r="J734">
        <f t="shared" ca="1" si="46"/>
        <v>2900000</v>
      </c>
      <c r="K734">
        <f t="shared" ca="1" si="47"/>
        <v>122992</v>
      </c>
      <c r="N734" t="str">
        <f t="shared" si="44"/>
        <v>Doncaster25Adult Social Care ContractsHome Care or Domiciliary CareDomiciliary care packages</v>
      </c>
      <c r="O734" t="s">
        <v>135</v>
      </c>
      <c r="P734" t="s">
        <v>922</v>
      </c>
      <c r="Q734">
        <v>25</v>
      </c>
      <c r="R734" t="s">
        <v>2420</v>
      </c>
      <c r="S734" t="s">
        <v>2673</v>
      </c>
      <c r="T734" t="s">
        <v>842</v>
      </c>
      <c r="U734" t="s">
        <v>843</v>
      </c>
      <c r="W734">
        <v>626000</v>
      </c>
      <c r="X734">
        <v>626000</v>
      </c>
      <c r="Y734" t="s">
        <v>844</v>
      </c>
      <c r="Z734" t="s">
        <v>792</v>
      </c>
      <c r="AB734" t="s">
        <v>793</v>
      </c>
      <c r="AD734" t="s">
        <v>794</v>
      </c>
      <c r="AE734" t="s">
        <v>804</v>
      </c>
      <c r="AF734" t="s">
        <v>845</v>
      </c>
      <c r="AG734" t="s">
        <v>797</v>
      </c>
      <c r="AH734">
        <v>1087000</v>
      </c>
      <c r="AI734">
        <v>1087000</v>
      </c>
      <c r="AJ734">
        <v>6.4338561704646344E-2</v>
      </c>
    </row>
    <row r="735" spans="1:36" x14ac:dyDescent="0.3">
      <c r="A735">
        <f>COUNTIF($D$2:D735,D735)</f>
        <v>12</v>
      </c>
      <c r="B735" t="str">
        <f t="shared" si="45"/>
        <v>12East Sussex</v>
      </c>
      <c r="C735" t="s">
        <v>2674</v>
      </c>
      <c r="D735" t="s">
        <v>145</v>
      </c>
      <c r="E735">
        <v>34</v>
      </c>
      <c r="F735" t="s">
        <v>2675</v>
      </c>
      <c r="G735" t="s">
        <v>842</v>
      </c>
      <c r="H735" t="s">
        <v>843</v>
      </c>
      <c r="I735" t="s">
        <v>844</v>
      </c>
      <c r="J735">
        <f t="shared" ca="1" si="46"/>
        <v>1418000</v>
      </c>
      <c r="K735">
        <f t="shared" ca="1" si="47"/>
        <v>42540</v>
      </c>
      <c r="N735" t="str">
        <f t="shared" si="44"/>
        <v>Doncaster27Adult Social Care ContractsResidential PlacementsLearning disability</v>
      </c>
      <c r="O735" t="s">
        <v>135</v>
      </c>
      <c r="P735" t="s">
        <v>922</v>
      </c>
      <c r="Q735">
        <v>27</v>
      </c>
      <c r="R735" t="s">
        <v>2420</v>
      </c>
      <c r="S735" t="s">
        <v>2676</v>
      </c>
      <c r="T735" t="s">
        <v>806</v>
      </c>
      <c r="U735" t="s">
        <v>854</v>
      </c>
      <c r="V735" t="s">
        <v>872</v>
      </c>
      <c r="W735">
        <v>330</v>
      </c>
      <c r="X735">
        <v>330</v>
      </c>
      <c r="Y735" t="s">
        <v>808</v>
      </c>
      <c r="Z735" t="s">
        <v>792</v>
      </c>
      <c r="AB735" t="s">
        <v>793</v>
      </c>
      <c r="AD735" t="s">
        <v>794</v>
      </c>
      <c r="AE735" t="s">
        <v>804</v>
      </c>
      <c r="AF735" t="s">
        <v>845</v>
      </c>
      <c r="AG735" t="s">
        <v>797</v>
      </c>
      <c r="AH735">
        <v>1056000</v>
      </c>
      <c r="AI735">
        <v>1056000</v>
      </c>
      <c r="AJ735">
        <v>3.960247515469717E-2</v>
      </c>
    </row>
    <row r="736" spans="1:36" x14ac:dyDescent="0.3">
      <c r="A736">
        <f>COUNTIF($D$2:D736,D736)</f>
        <v>13</v>
      </c>
      <c r="B736" t="str">
        <f t="shared" si="45"/>
        <v>13East Sussex</v>
      </c>
      <c r="C736" t="s">
        <v>2677</v>
      </c>
      <c r="D736" t="s">
        <v>145</v>
      </c>
      <c r="E736">
        <v>38</v>
      </c>
      <c r="F736" t="s">
        <v>2678</v>
      </c>
      <c r="G736" t="s">
        <v>842</v>
      </c>
      <c r="H736" t="s">
        <v>856</v>
      </c>
      <c r="I736" t="s">
        <v>844</v>
      </c>
      <c r="J736">
        <f t="shared" ca="1" si="46"/>
        <v>2873047</v>
      </c>
      <c r="K736">
        <f t="shared" ca="1" si="47"/>
        <v>87108</v>
      </c>
      <c r="N736" t="str">
        <f t="shared" si="44"/>
        <v>Doncaster28Adult Social Care ContractsResidential PlacementsCare home</v>
      </c>
      <c r="O736" t="s">
        <v>135</v>
      </c>
      <c r="P736" t="s">
        <v>922</v>
      </c>
      <c r="Q736">
        <v>28</v>
      </c>
      <c r="R736" t="s">
        <v>2420</v>
      </c>
      <c r="S736" t="s">
        <v>2679</v>
      </c>
      <c r="T736" t="s">
        <v>806</v>
      </c>
      <c r="U736" t="s">
        <v>807</v>
      </c>
      <c r="W736">
        <v>802</v>
      </c>
      <c r="X736">
        <v>802</v>
      </c>
      <c r="Y736" t="s">
        <v>808</v>
      </c>
      <c r="Z736" t="s">
        <v>792</v>
      </c>
      <c r="AB736" t="s">
        <v>793</v>
      </c>
      <c r="AD736" t="s">
        <v>794</v>
      </c>
      <c r="AE736" t="s">
        <v>804</v>
      </c>
      <c r="AF736" t="s">
        <v>845</v>
      </c>
      <c r="AG736" t="s">
        <v>797</v>
      </c>
      <c r="AH736">
        <v>2072000</v>
      </c>
      <c r="AI736">
        <v>2072000</v>
      </c>
      <c r="AJ736">
        <v>4.8330475957220995E-2</v>
      </c>
    </row>
    <row r="737" spans="1:36" x14ac:dyDescent="0.3">
      <c r="A737">
        <f>COUNTIF($D$2:D737,D737)</f>
        <v>1</v>
      </c>
      <c r="B737" t="str">
        <f t="shared" si="45"/>
        <v>1Enfield</v>
      </c>
      <c r="C737" t="s">
        <v>2680</v>
      </c>
      <c r="D737" t="s">
        <v>147</v>
      </c>
      <c r="E737">
        <v>1</v>
      </c>
      <c r="F737" t="s">
        <v>2681</v>
      </c>
      <c r="G737" t="s">
        <v>834</v>
      </c>
      <c r="H737" t="s">
        <v>835</v>
      </c>
      <c r="I737" t="s">
        <v>836</v>
      </c>
      <c r="J737">
        <f t="shared" ca="1" si="46"/>
        <v>2985926</v>
      </c>
      <c r="K737">
        <f t="shared" ca="1" si="47"/>
        <v>19048</v>
      </c>
      <c r="N737" t="str">
        <f t="shared" si="44"/>
        <v>Doncaster29Adult Social Care ContractsResidential PlacementsNursing home</v>
      </c>
      <c r="O737" t="s">
        <v>135</v>
      </c>
      <c r="P737" t="s">
        <v>922</v>
      </c>
      <c r="Q737">
        <v>29</v>
      </c>
      <c r="R737" t="s">
        <v>2420</v>
      </c>
      <c r="S737" t="s">
        <v>2682</v>
      </c>
      <c r="T737" t="s">
        <v>806</v>
      </c>
      <c r="U737" t="s">
        <v>917</v>
      </c>
      <c r="W737">
        <v>132</v>
      </c>
      <c r="X737">
        <v>132</v>
      </c>
      <c r="Y737" t="s">
        <v>808</v>
      </c>
      <c r="Z737" t="s">
        <v>792</v>
      </c>
      <c r="AB737" t="s">
        <v>793</v>
      </c>
      <c r="AD737" t="s">
        <v>794</v>
      </c>
      <c r="AE737" t="s">
        <v>804</v>
      </c>
      <c r="AF737" t="s">
        <v>845</v>
      </c>
      <c r="AG737" t="s">
        <v>797</v>
      </c>
      <c r="AH737">
        <v>305000</v>
      </c>
      <c r="AI737">
        <v>305000</v>
      </c>
      <c r="AJ737">
        <v>6.402855043560407E-2</v>
      </c>
    </row>
    <row r="738" spans="1:36" x14ac:dyDescent="0.3">
      <c r="A738">
        <f>COUNTIF($D$2:D738,D738)</f>
        <v>2</v>
      </c>
      <c r="B738" t="str">
        <f t="shared" si="45"/>
        <v>2Enfield</v>
      </c>
      <c r="C738" t="s">
        <v>2683</v>
      </c>
      <c r="D738" t="s">
        <v>147</v>
      </c>
      <c r="E738">
        <v>2</v>
      </c>
      <c r="F738" t="s">
        <v>2684</v>
      </c>
      <c r="G738" t="s">
        <v>834</v>
      </c>
      <c r="H738" t="s">
        <v>1293</v>
      </c>
      <c r="I738" t="s">
        <v>836</v>
      </c>
      <c r="J738">
        <f t="shared" ca="1" si="46"/>
        <v>750000</v>
      </c>
      <c r="K738">
        <f t="shared" ca="1" si="47"/>
        <v>1</v>
      </c>
      <c r="N738" t="str">
        <f t="shared" si="44"/>
        <v>Doncaster30Investment in adult social care to reflect increasing demand in nursing homesResidential PlacementsNursing home</v>
      </c>
      <c r="O738" t="s">
        <v>135</v>
      </c>
      <c r="P738" t="s">
        <v>922</v>
      </c>
      <c r="Q738">
        <v>30</v>
      </c>
      <c r="R738" t="s">
        <v>2429</v>
      </c>
      <c r="S738" t="s">
        <v>2685</v>
      </c>
      <c r="T738" t="s">
        <v>806</v>
      </c>
      <c r="U738" t="s">
        <v>917</v>
      </c>
      <c r="W738">
        <v>132</v>
      </c>
      <c r="X738">
        <v>132</v>
      </c>
      <c r="Y738" t="s">
        <v>808</v>
      </c>
      <c r="Z738" t="s">
        <v>792</v>
      </c>
      <c r="AB738" t="s">
        <v>793</v>
      </c>
      <c r="AD738" t="s">
        <v>794</v>
      </c>
      <c r="AE738" t="s">
        <v>804</v>
      </c>
      <c r="AF738" t="s">
        <v>845</v>
      </c>
      <c r="AG738" t="s">
        <v>797</v>
      </c>
      <c r="AH738">
        <v>255000</v>
      </c>
      <c r="AI738">
        <v>255000</v>
      </c>
      <c r="AJ738">
        <v>5.3532066757636193E-2</v>
      </c>
    </row>
    <row r="739" spans="1:36" x14ac:dyDescent="0.3">
      <c r="A739">
        <f>COUNTIF($D$2:D739,D739)</f>
        <v>3</v>
      </c>
      <c r="B739" t="str">
        <f t="shared" si="45"/>
        <v>3Enfield</v>
      </c>
      <c r="C739" t="s">
        <v>2686</v>
      </c>
      <c r="D739" t="s">
        <v>147</v>
      </c>
      <c r="E739">
        <v>3</v>
      </c>
      <c r="F739" t="s">
        <v>2687</v>
      </c>
      <c r="G739" t="s">
        <v>842</v>
      </c>
      <c r="H739" t="s">
        <v>856</v>
      </c>
      <c r="I739" t="s">
        <v>844</v>
      </c>
      <c r="J739">
        <f t="shared" ca="1" si="46"/>
        <v>772555</v>
      </c>
      <c r="K739">
        <f t="shared" ca="1" si="47"/>
        <v>42216</v>
      </c>
      <c r="N739" t="str">
        <f t="shared" si="44"/>
        <v>Doncaster32Investment in adult social care to reflect increasing demand in services for domiciliary careHome Care or Domiciliary CareDomiciliary care to support hospital discharge (Discharge to Assess pathway 1)</v>
      </c>
      <c r="O739" t="s">
        <v>135</v>
      </c>
      <c r="P739" t="s">
        <v>922</v>
      </c>
      <c r="Q739">
        <v>32</v>
      </c>
      <c r="R739" t="s">
        <v>2433</v>
      </c>
      <c r="S739" t="s">
        <v>2688</v>
      </c>
      <c r="T739" t="s">
        <v>842</v>
      </c>
      <c r="U739" t="s">
        <v>856</v>
      </c>
      <c r="W739">
        <v>14512</v>
      </c>
      <c r="X739">
        <v>14512</v>
      </c>
      <c r="Y739" t="s">
        <v>844</v>
      </c>
      <c r="Z739" t="s">
        <v>792</v>
      </c>
      <c r="AB739" t="s">
        <v>793</v>
      </c>
      <c r="AD739" t="s">
        <v>794</v>
      </c>
      <c r="AE739" t="s">
        <v>804</v>
      </c>
      <c r="AF739" t="s">
        <v>845</v>
      </c>
      <c r="AG739" t="s">
        <v>797</v>
      </c>
      <c r="AH739">
        <v>357000</v>
      </c>
      <c r="AI739">
        <v>357000</v>
      </c>
      <c r="AJ739">
        <v>2.1130511985794617E-2</v>
      </c>
    </row>
    <row r="740" spans="1:36" x14ac:dyDescent="0.3">
      <c r="A740">
        <f>COUNTIF($D$2:D740,D740)</f>
        <v>4</v>
      </c>
      <c r="B740" t="str">
        <f t="shared" si="45"/>
        <v>4Enfield</v>
      </c>
      <c r="C740" t="s">
        <v>2689</v>
      </c>
      <c r="D740" t="s">
        <v>147</v>
      </c>
      <c r="E740">
        <v>4</v>
      </c>
      <c r="F740" t="s">
        <v>2687</v>
      </c>
      <c r="G740" t="s">
        <v>842</v>
      </c>
      <c r="H740" t="s">
        <v>856</v>
      </c>
      <c r="I740" t="s">
        <v>844</v>
      </c>
      <c r="J740">
        <f t="shared" ca="1" si="46"/>
        <v>7285793</v>
      </c>
      <c r="K740">
        <f t="shared" ca="1" si="47"/>
        <v>398130</v>
      </c>
      <c r="N740" t="str">
        <f t="shared" si="44"/>
        <v>Doncaster33Investment in adult social care to reflect increasing demandResidential PlacementsExtra care</v>
      </c>
      <c r="O740" t="s">
        <v>135</v>
      </c>
      <c r="P740" t="s">
        <v>922</v>
      </c>
      <c r="Q740">
        <v>33</v>
      </c>
      <c r="R740" t="s">
        <v>2436</v>
      </c>
      <c r="S740" t="s">
        <v>2690</v>
      </c>
      <c r="T740" t="s">
        <v>806</v>
      </c>
      <c r="U740" t="s">
        <v>934</v>
      </c>
      <c r="W740">
        <v>1081</v>
      </c>
      <c r="X740">
        <v>1081</v>
      </c>
      <c r="Y740" t="s">
        <v>808</v>
      </c>
      <c r="Z740" t="s">
        <v>792</v>
      </c>
      <c r="AB740" t="s">
        <v>793</v>
      </c>
      <c r="AD740" t="s">
        <v>794</v>
      </c>
      <c r="AE740" t="s">
        <v>804</v>
      </c>
      <c r="AF740" t="s">
        <v>845</v>
      </c>
      <c r="AG740" t="s">
        <v>797</v>
      </c>
      <c r="AH740">
        <v>792000</v>
      </c>
      <c r="AI740">
        <v>792000</v>
      </c>
      <c r="AJ740">
        <v>0.36497695852534562</v>
      </c>
    </row>
    <row r="741" spans="1:36" x14ac:dyDescent="0.3">
      <c r="A741">
        <f>COUNTIF($D$2:D741,D741)</f>
        <v>5</v>
      </c>
      <c r="B741" t="str">
        <f t="shared" si="45"/>
        <v>5Enfield</v>
      </c>
      <c r="C741" t="s">
        <v>2691</v>
      </c>
      <c r="D741" t="s">
        <v>147</v>
      </c>
      <c r="E741">
        <v>5</v>
      </c>
      <c r="F741" t="s">
        <v>2687</v>
      </c>
      <c r="G741" t="s">
        <v>842</v>
      </c>
      <c r="H741" t="s">
        <v>856</v>
      </c>
      <c r="I741" t="s">
        <v>844</v>
      </c>
      <c r="J741">
        <f t="shared" ca="1" si="46"/>
        <v>3667666</v>
      </c>
      <c r="K741">
        <f t="shared" ca="1" si="47"/>
        <v>20451</v>
      </c>
      <c r="N741" t="str">
        <f t="shared" si="44"/>
        <v>Doncaster34Investment in Adult Social Care to reflect increasing demand in supported livingResidential PlacementsLearning disability</v>
      </c>
      <c r="O741" t="s">
        <v>135</v>
      </c>
      <c r="P741" t="s">
        <v>922</v>
      </c>
      <c r="Q741">
        <v>34</v>
      </c>
      <c r="R741" t="s">
        <v>2439</v>
      </c>
      <c r="S741" t="s">
        <v>2692</v>
      </c>
      <c r="T741" t="s">
        <v>806</v>
      </c>
      <c r="U741" t="s">
        <v>854</v>
      </c>
      <c r="V741" t="s">
        <v>872</v>
      </c>
      <c r="W741">
        <v>330</v>
      </c>
      <c r="X741">
        <v>330</v>
      </c>
      <c r="Y741" t="s">
        <v>808</v>
      </c>
      <c r="Z741" t="s">
        <v>792</v>
      </c>
      <c r="AB741" t="s">
        <v>793</v>
      </c>
      <c r="AD741" t="s">
        <v>794</v>
      </c>
      <c r="AE741" t="s">
        <v>804</v>
      </c>
      <c r="AF741" t="s">
        <v>845</v>
      </c>
      <c r="AG741" t="s">
        <v>797</v>
      </c>
      <c r="AH741">
        <v>1323000</v>
      </c>
      <c r="AI741">
        <v>1323000</v>
      </c>
      <c r="AJ741">
        <v>4.9615600975060944E-2</v>
      </c>
    </row>
    <row r="742" spans="1:36" x14ac:dyDescent="0.3">
      <c r="A742">
        <f>COUNTIF($D$2:D742,D742)</f>
        <v>6</v>
      </c>
      <c r="B742" t="str">
        <f t="shared" si="45"/>
        <v>6Enfield</v>
      </c>
      <c r="C742" t="s">
        <v>2693</v>
      </c>
      <c r="D742" t="s">
        <v>147</v>
      </c>
      <c r="E742">
        <v>8</v>
      </c>
      <c r="F742" t="s">
        <v>2694</v>
      </c>
      <c r="G742" t="s">
        <v>800</v>
      </c>
      <c r="H742" t="s">
        <v>903</v>
      </c>
      <c r="I742" t="s">
        <v>802</v>
      </c>
      <c r="J742">
        <f t="shared" ca="1" si="46"/>
        <v>970710</v>
      </c>
      <c r="K742">
        <f t="shared" ca="1" si="47"/>
        <v>25879</v>
      </c>
      <c r="N742" t="str">
        <f t="shared" si="44"/>
        <v>Doncaster36Investment in Adult Social Care to reflect increasing demand for home care placements due to demographic growthHome Care or Domiciliary CareDomiciliary care packages</v>
      </c>
      <c r="O742" t="s">
        <v>135</v>
      </c>
      <c r="P742" t="s">
        <v>922</v>
      </c>
      <c r="Q742">
        <v>36</v>
      </c>
      <c r="R742" t="s">
        <v>2442</v>
      </c>
      <c r="S742" t="s">
        <v>2442</v>
      </c>
      <c r="T742" t="s">
        <v>842</v>
      </c>
      <c r="U742" t="s">
        <v>843</v>
      </c>
      <c r="W742">
        <v>5244</v>
      </c>
      <c r="X742">
        <v>5244</v>
      </c>
      <c r="Y742" t="s">
        <v>844</v>
      </c>
      <c r="Z742" t="s">
        <v>792</v>
      </c>
      <c r="AB742" t="s">
        <v>793</v>
      </c>
      <c r="AD742" t="s">
        <v>794</v>
      </c>
      <c r="AE742" t="s">
        <v>804</v>
      </c>
      <c r="AF742" t="s">
        <v>845</v>
      </c>
      <c r="AG742" t="s">
        <v>797</v>
      </c>
      <c r="AH742">
        <v>129200</v>
      </c>
      <c r="AI742">
        <v>129200</v>
      </c>
      <c r="AJ742">
        <v>7.6472329091447164E-3</v>
      </c>
    </row>
    <row r="743" spans="1:36" x14ac:dyDescent="0.3">
      <c r="A743">
        <f>COUNTIF($D$2:D743,D743)</f>
        <v>7</v>
      </c>
      <c r="B743" t="str">
        <f t="shared" si="45"/>
        <v>7Enfield</v>
      </c>
      <c r="C743" t="s">
        <v>2695</v>
      </c>
      <c r="D743" t="s">
        <v>147</v>
      </c>
      <c r="E743">
        <v>10</v>
      </c>
      <c r="F743" t="s">
        <v>2696</v>
      </c>
      <c r="G743" t="s">
        <v>811</v>
      </c>
      <c r="H743" t="s">
        <v>895</v>
      </c>
      <c r="I743" t="s">
        <v>813</v>
      </c>
      <c r="J743">
        <f t="shared" ca="1" si="46"/>
        <v>606645</v>
      </c>
      <c r="K743">
        <f t="shared" ca="1" si="47"/>
        <v>6500</v>
      </c>
      <c r="N743" t="str">
        <f t="shared" si="44"/>
        <v>Doncaster37Investment in Adult Social Care in respect of care home residential placements due to demographic growthResidential PlacementsCare home</v>
      </c>
      <c r="O743" t="s">
        <v>135</v>
      </c>
      <c r="P743" t="s">
        <v>922</v>
      </c>
      <c r="Q743">
        <v>37</v>
      </c>
      <c r="R743" t="s">
        <v>2445</v>
      </c>
      <c r="S743" t="s">
        <v>2445</v>
      </c>
      <c r="T743" t="s">
        <v>806</v>
      </c>
      <c r="U743" t="s">
        <v>807</v>
      </c>
      <c r="W743">
        <v>3</v>
      </c>
      <c r="X743">
        <v>3</v>
      </c>
      <c r="Y743" t="s">
        <v>808</v>
      </c>
      <c r="Z743" t="s">
        <v>792</v>
      </c>
      <c r="AB743" t="s">
        <v>793</v>
      </c>
      <c r="AD743" t="s">
        <v>794</v>
      </c>
      <c r="AE743" t="s">
        <v>804</v>
      </c>
      <c r="AF743" t="s">
        <v>845</v>
      </c>
      <c r="AG743" t="s">
        <v>797</v>
      </c>
      <c r="AH743">
        <v>112000</v>
      </c>
      <c r="AI743">
        <v>112000</v>
      </c>
      <c r="AJ743">
        <v>2.6124581598497838E-3</v>
      </c>
    </row>
    <row r="744" spans="1:36" x14ac:dyDescent="0.3">
      <c r="A744">
        <f>COUNTIF($D$2:D744,D744)</f>
        <v>8</v>
      </c>
      <c r="B744" t="str">
        <f t="shared" si="45"/>
        <v>8Enfield</v>
      </c>
      <c r="C744" t="s">
        <v>2697</v>
      </c>
      <c r="D744" t="s">
        <v>147</v>
      </c>
      <c r="E744">
        <v>14</v>
      </c>
      <c r="F744" t="s">
        <v>2698</v>
      </c>
      <c r="G744" t="s">
        <v>877</v>
      </c>
      <c r="H744" t="s">
        <v>878</v>
      </c>
      <c r="I744" t="s">
        <v>879</v>
      </c>
      <c r="J744">
        <f t="shared" ca="1" si="46"/>
        <v>400000</v>
      </c>
      <c r="K744">
        <f t="shared" ca="1" si="47"/>
        <v>6</v>
      </c>
      <c r="N744" t="str">
        <f t="shared" si="44"/>
        <v>Doncaster41Transition from children to adult servicesResidential PlacementsLearning disability</v>
      </c>
      <c r="O744" t="s">
        <v>135</v>
      </c>
      <c r="P744" t="s">
        <v>922</v>
      </c>
      <c r="Q744">
        <v>41</v>
      </c>
      <c r="R744" t="s">
        <v>2448</v>
      </c>
      <c r="S744" t="s">
        <v>2699</v>
      </c>
      <c r="T744" t="s">
        <v>806</v>
      </c>
      <c r="U744" t="s">
        <v>854</v>
      </c>
      <c r="W744">
        <v>17</v>
      </c>
      <c r="X744">
        <v>17</v>
      </c>
      <c r="Y744" t="s">
        <v>808</v>
      </c>
      <c r="Z744" t="s">
        <v>792</v>
      </c>
      <c r="AB744" t="s">
        <v>793</v>
      </c>
      <c r="AD744" t="s">
        <v>794</v>
      </c>
      <c r="AE744" t="s">
        <v>804</v>
      </c>
      <c r="AF744" t="s">
        <v>845</v>
      </c>
      <c r="AG744" t="s">
        <v>797</v>
      </c>
      <c r="AH744">
        <v>1060000</v>
      </c>
      <c r="AI744">
        <v>1060000</v>
      </c>
      <c r="AJ744">
        <v>6.9005924093483495E-2</v>
      </c>
    </row>
    <row r="745" spans="1:36" x14ac:dyDescent="0.3">
      <c r="A745">
        <f>COUNTIF($D$2:D745,D745)</f>
        <v>9</v>
      </c>
      <c r="B745" t="str">
        <f t="shared" si="45"/>
        <v>9Enfield</v>
      </c>
      <c r="C745" t="s">
        <v>2700</v>
      </c>
      <c r="D745" t="s">
        <v>147</v>
      </c>
      <c r="E745">
        <v>16</v>
      </c>
      <c r="F745" t="s">
        <v>2701</v>
      </c>
      <c r="G745" t="s">
        <v>806</v>
      </c>
      <c r="H745" t="s">
        <v>955</v>
      </c>
      <c r="I745" t="s">
        <v>808</v>
      </c>
      <c r="J745">
        <f t="shared" ca="1" si="46"/>
        <v>3189917</v>
      </c>
      <c r="K745">
        <f t="shared" ca="1" si="47"/>
        <v>61</v>
      </c>
      <c r="N745" t="str">
        <f t="shared" si="44"/>
        <v>Doncaster44Hospital Discharge serviceHome Care or Domiciliary CareDomiciliary care to support hospital discharge (Discharge to Assess pathway 1)</v>
      </c>
      <c r="O745" t="s">
        <v>135</v>
      </c>
      <c r="P745" t="s">
        <v>922</v>
      </c>
      <c r="Q745">
        <v>44</v>
      </c>
      <c r="R745" t="s">
        <v>2451</v>
      </c>
      <c r="S745" t="s">
        <v>2702</v>
      </c>
      <c r="T745" t="s">
        <v>842</v>
      </c>
      <c r="U745" t="s">
        <v>856</v>
      </c>
      <c r="W745">
        <v>3024</v>
      </c>
      <c r="X745">
        <v>3024</v>
      </c>
      <c r="Y745" t="s">
        <v>844</v>
      </c>
      <c r="Z745" t="s">
        <v>792</v>
      </c>
      <c r="AB745" t="s">
        <v>793</v>
      </c>
      <c r="AD745" t="s">
        <v>794</v>
      </c>
      <c r="AE745" t="s">
        <v>804</v>
      </c>
      <c r="AF745" t="s">
        <v>864</v>
      </c>
      <c r="AG745" t="s">
        <v>797</v>
      </c>
      <c r="AH745">
        <v>74390</v>
      </c>
      <c r="AI745">
        <v>74390</v>
      </c>
      <c r="AJ745">
        <v>1</v>
      </c>
    </row>
    <row r="746" spans="1:36" x14ac:dyDescent="0.3">
      <c r="A746">
        <f>COUNTIF($D$2:D746,D746)</f>
        <v>10</v>
      </c>
      <c r="B746" t="str">
        <f t="shared" si="45"/>
        <v>10Enfield</v>
      </c>
      <c r="C746" t="s">
        <v>2703</v>
      </c>
      <c r="D746" t="s">
        <v>147</v>
      </c>
      <c r="E746">
        <v>18</v>
      </c>
      <c r="F746" t="s">
        <v>2704</v>
      </c>
      <c r="G746" t="s">
        <v>842</v>
      </c>
      <c r="H746" t="s">
        <v>856</v>
      </c>
      <c r="I746" t="s">
        <v>844</v>
      </c>
      <c r="J746">
        <f t="shared" ca="1" si="46"/>
        <v>300000</v>
      </c>
      <c r="K746">
        <f t="shared" ca="1" si="47"/>
        <v>6666</v>
      </c>
      <c r="N746" t="str">
        <f t="shared" si="44"/>
        <v>Doncaster45Disabled Facilities GrantDFG Related SchemesAdaptations, including statutory DFG grants</v>
      </c>
      <c r="O746" t="s">
        <v>135</v>
      </c>
      <c r="P746" t="s">
        <v>922</v>
      </c>
      <c r="Q746">
        <v>45</v>
      </c>
      <c r="R746" t="s">
        <v>891</v>
      </c>
      <c r="S746" t="s">
        <v>2705</v>
      </c>
      <c r="T746" t="s">
        <v>834</v>
      </c>
      <c r="U746" t="s">
        <v>835</v>
      </c>
      <c r="W746">
        <v>200</v>
      </c>
      <c r="X746">
        <v>200</v>
      </c>
      <c r="Y746" t="s">
        <v>836</v>
      </c>
      <c r="Z746" t="s">
        <v>792</v>
      </c>
      <c r="AB746" t="s">
        <v>793</v>
      </c>
      <c r="AD746" t="s">
        <v>794</v>
      </c>
      <c r="AE746" t="s">
        <v>795</v>
      </c>
      <c r="AF746" t="s">
        <v>840</v>
      </c>
      <c r="AG746" t="s">
        <v>797</v>
      </c>
      <c r="AH746">
        <v>2782137</v>
      </c>
      <c r="AI746">
        <v>2782137</v>
      </c>
      <c r="AJ746">
        <v>1</v>
      </c>
    </row>
    <row r="747" spans="1:36" x14ac:dyDescent="0.3">
      <c r="A747">
        <f>COUNTIF($D$2:D747,D747)</f>
        <v>11</v>
      </c>
      <c r="B747" t="str">
        <f t="shared" si="45"/>
        <v>11Enfield</v>
      </c>
      <c r="C747" t="s">
        <v>2706</v>
      </c>
      <c r="D747" t="s">
        <v>147</v>
      </c>
      <c r="E747">
        <v>20</v>
      </c>
      <c r="F747" t="s">
        <v>2707</v>
      </c>
      <c r="G747" t="s">
        <v>806</v>
      </c>
      <c r="H747" t="s">
        <v>955</v>
      </c>
      <c r="I747" t="s">
        <v>808</v>
      </c>
      <c r="J747">
        <f t="shared" ca="1" si="46"/>
        <v>866000</v>
      </c>
      <c r="K747">
        <f t="shared" ca="1" si="47"/>
        <v>16</v>
      </c>
      <c r="N747" t="str">
        <f t="shared" si="44"/>
        <v>Doncaster46Disabled Facilities GrantDFG Related SchemesAdaptations, including statutory DFG grants</v>
      </c>
      <c r="O747" t="s">
        <v>135</v>
      </c>
      <c r="P747" t="s">
        <v>922</v>
      </c>
      <c r="Q747">
        <v>46</v>
      </c>
      <c r="R747" t="s">
        <v>891</v>
      </c>
      <c r="S747" t="s">
        <v>2705</v>
      </c>
      <c r="T747" t="s">
        <v>834</v>
      </c>
      <c r="U747" t="s">
        <v>835</v>
      </c>
      <c r="W747">
        <v>200</v>
      </c>
      <c r="X747">
        <v>200</v>
      </c>
      <c r="Y747" t="s">
        <v>836</v>
      </c>
      <c r="Z747" t="s">
        <v>792</v>
      </c>
      <c r="AB747" t="s">
        <v>793</v>
      </c>
      <c r="AD747" t="s">
        <v>794</v>
      </c>
      <c r="AE747" t="s">
        <v>795</v>
      </c>
      <c r="AF747" t="s">
        <v>1029</v>
      </c>
      <c r="AG747" t="s">
        <v>797</v>
      </c>
      <c r="AH747">
        <v>2026282</v>
      </c>
      <c r="AI747">
        <v>0</v>
      </c>
      <c r="AJ747">
        <v>1</v>
      </c>
    </row>
    <row r="748" spans="1:36" x14ac:dyDescent="0.3">
      <c r="A748">
        <f>COUNTIF($D$2:D748,D748)</f>
        <v>12</v>
      </c>
      <c r="B748" t="str">
        <f t="shared" si="45"/>
        <v>12Enfield</v>
      </c>
      <c r="C748" t="s">
        <v>2708</v>
      </c>
      <c r="D748" t="s">
        <v>147</v>
      </c>
      <c r="E748">
        <v>25</v>
      </c>
      <c r="F748" t="s">
        <v>2709</v>
      </c>
      <c r="G748" t="s">
        <v>787</v>
      </c>
      <c r="H748" t="s">
        <v>788</v>
      </c>
      <c r="I748" t="s">
        <v>789</v>
      </c>
      <c r="J748">
        <f t="shared" ca="1" si="46"/>
        <v>497442</v>
      </c>
      <c r="K748">
        <f t="shared" ca="1" si="47"/>
        <v>27153</v>
      </c>
      <c r="N748" t="str">
        <f t="shared" si="44"/>
        <v>Doncaster47Home from hospitalHome-based intermediate care servicesRehabilitation at home (to support discharge)</v>
      </c>
      <c r="O748" t="s">
        <v>135</v>
      </c>
      <c r="P748" t="s">
        <v>922</v>
      </c>
      <c r="Q748">
        <v>47</v>
      </c>
      <c r="R748" t="s">
        <v>2458</v>
      </c>
      <c r="S748" t="s">
        <v>2710</v>
      </c>
      <c r="T748" t="s">
        <v>787</v>
      </c>
      <c r="U748" t="s">
        <v>1195</v>
      </c>
      <c r="W748">
        <v>360</v>
      </c>
      <c r="X748">
        <v>360</v>
      </c>
      <c r="Y748" t="s">
        <v>789</v>
      </c>
      <c r="Z748" t="s">
        <v>792</v>
      </c>
      <c r="AB748" t="s">
        <v>793</v>
      </c>
      <c r="AD748" t="s">
        <v>794</v>
      </c>
      <c r="AE748" t="s">
        <v>825</v>
      </c>
      <c r="AF748" t="s">
        <v>796</v>
      </c>
      <c r="AG748" t="s">
        <v>797</v>
      </c>
      <c r="AH748">
        <v>72000</v>
      </c>
      <c r="AI748">
        <v>72000</v>
      </c>
      <c r="AJ748">
        <v>0.69</v>
      </c>
    </row>
    <row r="749" spans="1:36" x14ac:dyDescent="0.3">
      <c r="A749">
        <f>COUNTIF($D$2:D749,D749)</f>
        <v>13</v>
      </c>
      <c r="B749" t="str">
        <f t="shared" si="45"/>
        <v>13Enfield</v>
      </c>
      <c r="C749" t="s">
        <v>2711</v>
      </c>
      <c r="D749" t="s">
        <v>147</v>
      </c>
      <c r="E749">
        <v>27</v>
      </c>
      <c r="F749" t="s">
        <v>2712</v>
      </c>
      <c r="G749" t="s">
        <v>877</v>
      </c>
      <c r="H749" t="s">
        <v>968</v>
      </c>
      <c r="I749" t="s">
        <v>879</v>
      </c>
      <c r="J749">
        <f t="shared" ca="1" si="46"/>
        <v>260557</v>
      </c>
      <c r="K749">
        <f t="shared" ca="1" si="47"/>
        <v>316</v>
      </c>
      <c r="N749" t="str">
        <f t="shared" si="44"/>
        <v>Doncaster50Intermediate Care (Bed based step up/down)Bed based intermediate Care Services (Reablement, rehabilitation, wider short-term services supporting recovery)Bed-based intermediate care with rehabilitation accepting step up and step down users</v>
      </c>
      <c r="O749" t="s">
        <v>135</v>
      </c>
      <c r="P749" t="s">
        <v>922</v>
      </c>
      <c r="Q749">
        <v>50</v>
      </c>
      <c r="R749" t="s">
        <v>2462</v>
      </c>
      <c r="S749" t="s">
        <v>2713</v>
      </c>
      <c r="T749" t="s">
        <v>877</v>
      </c>
      <c r="U749" t="s">
        <v>1015</v>
      </c>
      <c r="W749">
        <v>38</v>
      </c>
      <c r="X749">
        <v>38</v>
      </c>
      <c r="Y749" t="s">
        <v>879</v>
      </c>
      <c r="Z749" t="s">
        <v>823</v>
      </c>
      <c r="AB749" t="s">
        <v>824</v>
      </c>
      <c r="AD749" t="s">
        <v>794</v>
      </c>
      <c r="AE749" t="s">
        <v>832</v>
      </c>
      <c r="AF749" t="s">
        <v>796</v>
      </c>
      <c r="AG749" t="s">
        <v>797</v>
      </c>
      <c r="AH749">
        <v>4242000</v>
      </c>
      <c r="AI749">
        <v>4481000</v>
      </c>
      <c r="AJ749">
        <v>0.21</v>
      </c>
    </row>
    <row r="750" spans="1:36" x14ac:dyDescent="0.3">
      <c r="A750">
        <f>COUNTIF($D$2:D750,D750)</f>
        <v>14</v>
      </c>
      <c r="B750" t="str">
        <f t="shared" si="45"/>
        <v>14Enfield</v>
      </c>
      <c r="C750" t="s">
        <v>2714</v>
      </c>
      <c r="D750" t="s">
        <v>147</v>
      </c>
      <c r="E750">
        <v>28</v>
      </c>
      <c r="F750" t="s">
        <v>2715</v>
      </c>
      <c r="G750" t="s">
        <v>842</v>
      </c>
      <c r="H750" t="s">
        <v>856</v>
      </c>
      <c r="I750" t="s">
        <v>844</v>
      </c>
      <c r="J750">
        <f t="shared" ca="1" si="46"/>
        <v>56000</v>
      </c>
      <c r="K750">
        <f t="shared" ca="1" si="47"/>
        <v>2253</v>
      </c>
      <c r="N750" t="str">
        <f t="shared" si="44"/>
        <v>Doncaster54Carers Breaks Carers ServicesRespite services</v>
      </c>
      <c r="O750" t="s">
        <v>135</v>
      </c>
      <c r="P750" t="s">
        <v>922</v>
      </c>
      <c r="Q750">
        <v>54</v>
      </c>
      <c r="R750" t="s">
        <v>2465</v>
      </c>
      <c r="S750" t="s">
        <v>2716</v>
      </c>
      <c r="T750" t="s">
        <v>811</v>
      </c>
      <c r="U750" t="s">
        <v>830</v>
      </c>
      <c r="W750">
        <v>400</v>
      </c>
      <c r="X750">
        <v>400</v>
      </c>
      <c r="Y750" t="s">
        <v>813</v>
      </c>
      <c r="Z750" t="s">
        <v>792</v>
      </c>
      <c r="AB750" t="s">
        <v>824</v>
      </c>
      <c r="AD750" t="s">
        <v>794</v>
      </c>
      <c r="AE750" t="s">
        <v>804</v>
      </c>
      <c r="AF750" t="s">
        <v>796</v>
      </c>
      <c r="AG750" t="s">
        <v>797</v>
      </c>
      <c r="AH750">
        <v>964000</v>
      </c>
      <c r="AI750">
        <v>1018000</v>
      </c>
      <c r="AJ750">
        <v>1</v>
      </c>
    </row>
    <row r="751" spans="1:36" x14ac:dyDescent="0.3">
      <c r="A751">
        <f>COUNTIF($D$2:D751,D751)</f>
        <v>1</v>
      </c>
      <c r="B751" t="str">
        <f t="shared" si="45"/>
        <v>1Essex</v>
      </c>
      <c r="C751" t="s">
        <v>2717</v>
      </c>
      <c r="D751" t="s">
        <v>149</v>
      </c>
      <c r="E751">
        <v>10001</v>
      </c>
      <c r="F751" t="s">
        <v>2718</v>
      </c>
      <c r="G751" t="s">
        <v>787</v>
      </c>
      <c r="H751" t="s">
        <v>930</v>
      </c>
      <c r="I751" t="s">
        <v>789</v>
      </c>
      <c r="J751">
        <f t="shared" ca="1" si="46"/>
        <v>19796400</v>
      </c>
      <c r="K751">
        <f t="shared" ca="1" si="47"/>
        <v>5950</v>
      </c>
      <c r="N751" t="str">
        <f t="shared" si="44"/>
        <v>Doncaster59Additional home care capacityHome-based intermediate care servicesRehabilitation at home (to support discharge)</v>
      </c>
      <c r="O751" t="s">
        <v>135</v>
      </c>
      <c r="P751" t="s">
        <v>922</v>
      </c>
      <c r="Q751">
        <v>59</v>
      </c>
      <c r="R751" t="s">
        <v>2468</v>
      </c>
      <c r="S751" t="s">
        <v>2719</v>
      </c>
      <c r="T751" t="s">
        <v>787</v>
      </c>
      <c r="U751" t="s">
        <v>1195</v>
      </c>
      <c r="W751">
        <v>600</v>
      </c>
      <c r="X751">
        <v>600</v>
      </c>
      <c r="Y751" t="s">
        <v>789</v>
      </c>
      <c r="Z751" t="s">
        <v>792</v>
      </c>
      <c r="AB751" t="s">
        <v>793</v>
      </c>
      <c r="AD751" t="s">
        <v>794</v>
      </c>
      <c r="AE751" t="s">
        <v>795</v>
      </c>
      <c r="AF751" t="s">
        <v>864</v>
      </c>
      <c r="AG751" t="s">
        <v>861</v>
      </c>
      <c r="AH751">
        <v>651610</v>
      </c>
      <c r="AI751">
        <v>0</v>
      </c>
      <c r="AJ751">
        <v>3.85682154483575E-2</v>
      </c>
    </row>
    <row r="752" spans="1:36" x14ac:dyDescent="0.3">
      <c r="A752">
        <f>COUNTIF($D$2:D752,D752)</f>
        <v>2</v>
      </c>
      <c r="B752" t="str">
        <f t="shared" si="45"/>
        <v>2Essex</v>
      </c>
      <c r="C752" t="s">
        <v>2720</v>
      </c>
      <c r="D752" t="s">
        <v>149</v>
      </c>
      <c r="E752">
        <v>10002</v>
      </c>
      <c r="F752" t="s">
        <v>2721</v>
      </c>
      <c r="G752" t="s">
        <v>842</v>
      </c>
      <c r="H752" t="s">
        <v>843</v>
      </c>
      <c r="I752" t="s">
        <v>844</v>
      </c>
      <c r="J752">
        <f t="shared" ca="1" si="46"/>
        <v>21974859.045157962</v>
      </c>
      <c r="K752">
        <f t="shared" ca="1" si="47"/>
        <v>949254</v>
      </c>
      <c r="N752" t="str">
        <f t="shared" si="44"/>
        <v>Dorset2Strong and sustainable care marketsResidential PlacementsCare home</v>
      </c>
      <c r="O752" t="s">
        <v>137</v>
      </c>
      <c r="P752" t="s">
        <v>976</v>
      </c>
      <c r="Q752">
        <v>2</v>
      </c>
      <c r="R752" t="s">
        <v>2471</v>
      </c>
      <c r="S752" t="s">
        <v>2722</v>
      </c>
      <c r="T752" t="s">
        <v>806</v>
      </c>
      <c r="U752" t="s">
        <v>807</v>
      </c>
      <c r="W752">
        <v>68</v>
      </c>
      <c r="X752">
        <v>68</v>
      </c>
      <c r="Y752" t="s">
        <v>808</v>
      </c>
      <c r="Z752" t="s">
        <v>792</v>
      </c>
      <c r="AB752" t="s">
        <v>793</v>
      </c>
      <c r="AD752" t="s">
        <v>794</v>
      </c>
      <c r="AE752" t="s">
        <v>804</v>
      </c>
      <c r="AF752" t="s">
        <v>845</v>
      </c>
      <c r="AG752" t="s">
        <v>797</v>
      </c>
      <c r="AH752">
        <v>4251898</v>
      </c>
      <c r="AI752">
        <v>4251898</v>
      </c>
      <c r="AJ752">
        <v>0.03</v>
      </c>
    </row>
    <row r="753" spans="1:36" x14ac:dyDescent="0.3">
      <c r="A753">
        <f>COUNTIF($D$2:D753,D753)</f>
        <v>3</v>
      </c>
      <c r="B753" t="str">
        <f t="shared" si="45"/>
        <v>3Essex</v>
      </c>
      <c r="C753" t="s">
        <v>2723</v>
      </c>
      <c r="D753" t="s">
        <v>149</v>
      </c>
      <c r="E753">
        <v>10003</v>
      </c>
      <c r="F753" t="s">
        <v>1834</v>
      </c>
      <c r="G753" t="s">
        <v>811</v>
      </c>
      <c r="H753" t="s">
        <v>830</v>
      </c>
      <c r="I753" t="s">
        <v>813</v>
      </c>
      <c r="J753">
        <f t="shared" ca="1" si="46"/>
        <v>710875.18862673617</v>
      </c>
      <c r="K753">
        <f t="shared" ca="1" si="47"/>
        <v>1082</v>
      </c>
      <c r="N753" t="str">
        <f t="shared" si="44"/>
        <v>Dorset3Strong and sustainable care marketsHome Care or Domiciliary CareDomiciliary care packages</v>
      </c>
      <c r="O753" t="s">
        <v>137</v>
      </c>
      <c r="P753" t="s">
        <v>976</v>
      </c>
      <c r="Q753">
        <v>3</v>
      </c>
      <c r="R753" t="s">
        <v>2471</v>
      </c>
      <c r="S753" t="s">
        <v>2724</v>
      </c>
      <c r="T753" t="s">
        <v>842</v>
      </c>
      <c r="U753" t="s">
        <v>843</v>
      </c>
      <c r="W753">
        <v>55</v>
      </c>
      <c r="X753">
        <v>55</v>
      </c>
      <c r="Y753" t="s">
        <v>844</v>
      </c>
      <c r="Z753" t="s">
        <v>792</v>
      </c>
      <c r="AB753" t="s">
        <v>793</v>
      </c>
      <c r="AD753" t="s">
        <v>794</v>
      </c>
      <c r="AE753" t="s">
        <v>804</v>
      </c>
      <c r="AF753" t="s">
        <v>845</v>
      </c>
      <c r="AG753" t="s">
        <v>797</v>
      </c>
      <c r="AH753">
        <v>1241282</v>
      </c>
      <c r="AI753">
        <v>1241282</v>
      </c>
      <c r="AJ753">
        <v>0.01</v>
      </c>
    </row>
    <row r="754" spans="1:36" x14ac:dyDescent="0.3">
      <c r="A754">
        <f>COUNTIF($D$2:D754,D754)</f>
        <v>4</v>
      </c>
      <c r="B754" t="str">
        <f t="shared" si="45"/>
        <v>4Essex</v>
      </c>
      <c r="C754" t="s">
        <v>2725</v>
      </c>
      <c r="D754" t="s">
        <v>149</v>
      </c>
      <c r="E754">
        <v>10004</v>
      </c>
      <c r="F754" t="s">
        <v>2726</v>
      </c>
      <c r="G754" t="s">
        <v>811</v>
      </c>
      <c r="H754" t="s">
        <v>812</v>
      </c>
      <c r="I754" t="s">
        <v>813</v>
      </c>
      <c r="J754">
        <f t="shared" ca="1" si="46"/>
        <v>3451851.7432681639</v>
      </c>
      <c r="K754">
        <f t="shared" ca="1" si="47"/>
        <v>1500</v>
      </c>
      <c r="N754" t="str">
        <f t="shared" si="44"/>
        <v>Dorset9Maintaining IndependenceDFG Related SchemesAdaptations, including statutory DFG grants</v>
      </c>
      <c r="O754" t="s">
        <v>137</v>
      </c>
      <c r="P754" t="s">
        <v>976</v>
      </c>
      <c r="Q754">
        <v>9</v>
      </c>
      <c r="R754" t="s">
        <v>1276</v>
      </c>
      <c r="S754" t="s">
        <v>2727</v>
      </c>
      <c r="T754" t="s">
        <v>834</v>
      </c>
      <c r="U754" t="s">
        <v>835</v>
      </c>
      <c r="W754">
        <v>1150</v>
      </c>
      <c r="X754">
        <v>1150</v>
      </c>
      <c r="Y754" t="s">
        <v>836</v>
      </c>
      <c r="Z754" t="s">
        <v>792</v>
      </c>
      <c r="AB754" t="s">
        <v>793</v>
      </c>
      <c r="AD754" t="s">
        <v>794</v>
      </c>
      <c r="AE754" t="s">
        <v>804</v>
      </c>
      <c r="AF754" t="s">
        <v>840</v>
      </c>
      <c r="AG754" t="s">
        <v>797</v>
      </c>
      <c r="AH754">
        <v>4152450</v>
      </c>
      <c r="AI754">
        <v>4152450</v>
      </c>
      <c r="AJ754">
        <v>0.03</v>
      </c>
    </row>
    <row r="755" spans="1:36" x14ac:dyDescent="0.3">
      <c r="A755">
        <f>COUNTIF($D$2:D755,D755)</f>
        <v>5</v>
      </c>
      <c r="B755" t="str">
        <f t="shared" si="45"/>
        <v>5Essex</v>
      </c>
      <c r="C755" t="s">
        <v>2728</v>
      </c>
      <c r="D755" t="s">
        <v>149</v>
      </c>
      <c r="E755">
        <v>12308</v>
      </c>
      <c r="F755" t="s">
        <v>2729</v>
      </c>
      <c r="G755" t="s">
        <v>877</v>
      </c>
      <c r="H755" t="s">
        <v>1015</v>
      </c>
      <c r="I755" t="s">
        <v>879</v>
      </c>
      <c r="J755">
        <f t="shared" ca="1" si="46"/>
        <v>3509261</v>
      </c>
      <c r="K755">
        <f t="shared" ca="1" si="47"/>
        <v>32</v>
      </c>
      <c r="N755" t="str">
        <f t="shared" si="44"/>
        <v>Dorset10Maintaining IndependenceResidential PlacementsNursing home</v>
      </c>
      <c r="O755" t="s">
        <v>137</v>
      </c>
      <c r="P755" t="s">
        <v>976</v>
      </c>
      <c r="Q755">
        <v>10</v>
      </c>
      <c r="R755" t="s">
        <v>1276</v>
      </c>
      <c r="S755" t="s">
        <v>2730</v>
      </c>
      <c r="T755" t="s">
        <v>806</v>
      </c>
      <c r="U755" t="s">
        <v>917</v>
      </c>
      <c r="W755">
        <v>42</v>
      </c>
      <c r="X755">
        <v>42</v>
      </c>
      <c r="Y755" t="s">
        <v>808</v>
      </c>
      <c r="Z755" t="s">
        <v>792</v>
      </c>
      <c r="AB755" t="s">
        <v>793</v>
      </c>
      <c r="AD755" t="s">
        <v>794</v>
      </c>
      <c r="AE755" t="s">
        <v>804</v>
      </c>
      <c r="AF755" t="s">
        <v>796</v>
      </c>
      <c r="AG755" t="s">
        <v>797</v>
      </c>
      <c r="AH755">
        <v>2525252</v>
      </c>
      <c r="AI755">
        <v>2525252</v>
      </c>
      <c r="AJ755">
        <v>0.02</v>
      </c>
    </row>
    <row r="756" spans="1:36" x14ac:dyDescent="0.3">
      <c r="A756">
        <f>COUNTIF($D$2:D756,D756)</f>
        <v>6</v>
      </c>
      <c r="B756" t="str">
        <f t="shared" si="45"/>
        <v>6Essex</v>
      </c>
      <c r="C756" t="s">
        <v>2731</v>
      </c>
      <c r="D756" t="s">
        <v>149</v>
      </c>
      <c r="E756">
        <v>12310</v>
      </c>
      <c r="F756" t="s">
        <v>2729</v>
      </c>
      <c r="G756" t="s">
        <v>787</v>
      </c>
      <c r="H756" t="s">
        <v>1688</v>
      </c>
      <c r="I756" t="s">
        <v>789</v>
      </c>
      <c r="J756">
        <f t="shared" ca="1" si="46"/>
        <v>1588342</v>
      </c>
      <c r="K756">
        <f t="shared" ca="1" si="47"/>
        <v>60</v>
      </c>
      <c r="N756" t="str">
        <f t="shared" si="44"/>
        <v>Dorset11Maintaining IndependenceAssistive Technologies and EquipmentCommunity based equipment</v>
      </c>
      <c r="O756" t="s">
        <v>137</v>
      </c>
      <c r="P756" t="s">
        <v>976</v>
      </c>
      <c r="Q756">
        <v>11</v>
      </c>
      <c r="R756" t="s">
        <v>1276</v>
      </c>
      <c r="S756" t="s">
        <v>2732</v>
      </c>
      <c r="T756" t="s">
        <v>800</v>
      </c>
      <c r="U756" t="s">
        <v>903</v>
      </c>
      <c r="W756">
        <v>850</v>
      </c>
      <c r="X756">
        <v>850</v>
      </c>
      <c r="Y756" t="s">
        <v>802</v>
      </c>
      <c r="Z756" t="s">
        <v>792</v>
      </c>
      <c r="AB756" t="s">
        <v>793</v>
      </c>
      <c r="AD756" t="s">
        <v>794</v>
      </c>
      <c r="AE756" t="s">
        <v>804</v>
      </c>
      <c r="AF756" t="s">
        <v>796</v>
      </c>
      <c r="AG756" t="s">
        <v>797</v>
      </c>
      <c r="AH756">
        <v>637277</v>
      </c>
      <c r="AI756">
        <v>637277</v>
      </c>
      <c r="AJ756">
        <v>0</v>
      </c>
    </row>
    <row r="757" spans="1:36" x14ac:dyDescent="0.3">
      <c r="A757">
        <f>COUNTIF($D$2:D757,D757)</f>
        <v>7</v>
      </c>
      <c r="B757" t="str">
        <f t="shared" si="45"/>
        <v>7Essex</v>
      </c>
      <c r="C757" t="s">
        <v>2733</v>
      </c>
      <c r="D757" t="s">
        <v>149</v>
      </c>
      <c r="E757">
        <v>12208</v>
      </c>
      <c r="F757" t="s">
        <v>2734</v>
      </c>
      <c r="G757" t="s">
        <v>877</v>
      </c>
      <c r="H757" t="s">
        <v>1015</v>
      </c>
      <c r="I757" t="s">
        <v>879</v>
      </c>
      <c r="J757">
        <f t="shared" ca="1" si="46"/>
        <v>1883821</v>
      </c>
      <c r="K757">
        <f t="shared" ca="1" si="47"/>
        <v>17</v>
      </c>
      <c r="N757" t="str">
        <f t="shared" si="44"/>
        <v>Dorset17CarersCarers ServicesRespite Services</v>
      </c>
      <c r="O757" t="s">
        <v>137</v>
      </c>
      <c r="P757" t="s">
        <v>976</v>
      </c>
      <c r="Q757">
        <v>17</v>
      </c>
      <c r="R757" t="s">
        <v>1250</v>
      </c>
      <c r="S757" t="s">
        <v>2735</v>
      </c>
      <c r="T757" t="s">
        <v>811</v>
      </c>
      <c r="U757" t="s">
        <v>2205</v>
      </c>
      <c r="W757">
        <v>300</v>
      </c>
      <c r="X757">
        <v>300</v>
      </c>
      <c r="Y757" t="s">
        <v>813</v>
      </c>
      <c r="Z757" t="s">
        <v>792</v>
      </c>
      <c r="AB757" t="s">
        <v>793</v>
      </c>
      <c r="AD757" t="s">
        <v>794</v>
      </c>
      <c r="AE757" t="s">
        <v>804</v>
      </c>
      <c r="AF757" t="s">
        <v>796</v>
      </c>
      <c r="AG757" t="s">
        <v>797</v>
      </c>
      <c r="AH757">
        <v>116099</v>
      </c>
      <c r="AI757">
        <v>116099</v>
      </c>
      <c r="AJ757">
        <v>0</v>
      </c>
    </row>
    <row r="758" spans="1:36" x14ac:dyDescent="0.3">
      <c r="A758">
        <f>COUNTIF($D$2:D758,D758)</f>
        <v>8</v>
      </c>
      <c r="B758" t="str">
        <f t="shared" si="45"/>
        <v>8Essex</v>
      </c>
      <c r="C758" t="s">
        <v>2736</v>
      </c>
      <c r="D758" t="s">
        <v>149</v>
      </c>
      <c r="E758">
        <v>12210</v>
      </c>
      <c r="F758" t="s">
        <v>2734</v>
      </c>
      <c r="G758" t="s">
        <v>787</v>
      </c>
      <c r="H758" t="s">
        <v>1688</v>
      </c>
      <c r="I758" t="s">
        <v>789</v>
      </c>
      <c r="J758">
        <f t="shared" ca="1" si="46"/>
        <v>750953</v>
      </c>
      <c r="K758">
        <f t="shared" ca="1" si="47"/>
        <v>28</v>
      </c>
      <c r="N758" t="str">
        <f t="shared" si="44"/>
        <v>Dorset18CarersCarers ServicesCarer advice and support related to Care Act duties</v>
      </c>
      <c r="O758" t="s">
        <v>137</v>
      </c>
      <c r="P758" t="s">
        <v>976</v>
      </c>
      <c r="Q758">
        <v>18</v>
      </c>
      <c r="R758" t="s">
        <v>1250</v>
      </c>
      <c r="S758" t="s">
        <v>2737</v>
      </c>
      <c r="T758" t="s">
        <v>811</v>
      </c>
      <c r="U758" t="s">
        <v>895</v>
      </c>
      <c r="W758">
        <v>73</v>
      </c>
      <c r="X758">
        <v>73</v>
      </c>
      <c r="Y758" t="s">
        <v>813</v>
      </c>
      <c r="Z758" t="s">
        <v>792</v>
      </c>
      <c r="AB758" t="s">
        <v>793</v>
      </c>
      <c r="AD758" t="s">
        <v>794</v>
      </c>
      <c r="AE758" t="s">
        <v>795</v>
      </c>
      <c r="AF758" t="s">
        <v>796</v>
      </c>
      <c r="AG758" t="s">
        <v>797</v>
      </c>
      <c r="AH758">
        <v>268891</v>
      </c>
      <c r="AI758">
        <v>268891</v>
      </c>
      <c r="AJ758">
        <v>0</v>
      </c>
    </row>
    <row r="759" spans="1:36" x14ac:dyDescent="0.3">
      <c r="A759">
        <f>COUNTIF($D$2:D759,D759)</f>
        <v>9</v>
      </c>
      <c r="B759" t="str">
        <f t="shared" si="45"/>
        <v>9Essex</v>
      </c>
      <c r="C759" t="s">
        <v>2738</v>
      </c>
      <c r="D759" t="s">
        <v>149</v>
      </c>
      <c r="E759">
        <v>12108</v>
      </c>
      <c r="F759" t="s">
        <v>2739</v>
      </c>
      <c r="G759" t="s">
        <v>877</v>
      </c>
      <c r="H759" t="s">
        <v>1015</v>
      </c>
      <c r="I759" t="s">
        <v>879</v>
      </c>
      <c r="J759">
        <f t="shared" ca="1" si="46"/>
        <v>2130959</v>
      </c>
      <c r="K759">
        <f t="shared" ca="1" si="47"/>
        <v>19</v>
      </c>
      <c r="N759" t="str">
        <f t="shared" si="44"/>
        <v>Dorset19CarersCarers ServicesCarer advice and support related to Care Act duties</v>
      </c>
      <c r="O759" t="s">
        <v>137</v>
      </c>
      <c r="P759" t="s">
        <v>976</v>
      </c>
      <c r="Q759">
        <v>19</v>
      </c>
      <c r="R759" t="s">
        <v>1250</v>
      </c>
      <c r="S759" t="s">
        <v>2740</v>
      </c>
      <c r="T759" t="s">
        <v>811</v>
      </c>
      <c r="U759" t="s">
        <v>895</v>
      </c>
      <c r="W759">
        <v>60</v>
      </c>
      <c r="X759">
        <v>60</v>
      </c>
      <c r="Y759" t="s">
        <v>813</v>
      </c>
      <c r="Z759" t="s">
        <v>792</v>
      </c>
      <c r="AB759" t="s">
        <v>793</v>
      </c>
      <c r="AD759" t="s">
        <v>794</v>
      </c>
      <c r="AE759" t="s">
        <v>825</v>
      </c>
      <c r="AF759" t="s">
        <v>796</v>
      </c>
      <c r="AG759" t="s">
        <v>797</v>
      </c>
      <c r="AH759">
        <v>117667</v>
      </c>
      <c r="AI759">
        <v>117667</v>
      </c>
      <c r="AJ759">
        <v>0</v>
      </c>
    </row>
    <row r="760" spans="1:36" x14ac:dyDescent="0.3">
      <c r="A760">
        <f>COUNTIF($D$2:D760,D760)</f>
        <v>10</v>
      </c>
      <c r="B760" t="str">
        <f t="shared" si="45"/>
        <v>10Essex</v>
      </c>
      <c r="C760" t="s">
        <v>2741</v>
      </c>
      <c r="D760" t="s">
        <v>149</v>
      </c>
      <c r="E760">
        <v>12110</v>
      </c>
      <c r="F760" t="s">
        <v>2739</v>
      </c>
      <c r="G760" t="s">
        <v>787</v>
      </c>
      <c r="H760" t="s">
        <v>1688</v>
      </c>
      <c r="I760" t="s">
        <v>789</v>
      </c>
      <c r="J760">
        <f t="shared" ca="1" si="46"/>
        <v>1146635</v>
      </c>
      <c r="K760">
        <f t="shared" ca="1" si="47"/>
        <v>44</v>
      </c>
      <c r="N760" t="str">
        <f t="shared" si="44"/>
        <v>Dorset20CarersCarers ServicesCarer advice and support related to Care Act duties</v>
      </c>
      <c r="O760" t="s">
        <v>137</v>
      </c>
      <c r="P760" t="s">
        <v>976</v>
      </c>
      <c r="Q760">
        <v>20</v>
      </c>
      <c r="R760" t="s">
        <v>1250</v>
      </c>
      <c r="S760" t="s">
        <v>2742</v>
      </c>
      <c r="T760" t="s">
        <v>811</v>
      </c>
      <c r="U760" t="s">
        <v>895</v>
      </c>
      <c r="W760">
        <v>1120</v>
      </c>
      <c r="X760">
        <v>1120</v>
      </c>
      <c r="Y760" t="s">
        <v>813</v>
      </c>
      <c r="Z760" t="s">
        <v>792</v>
      </c>
      <c r="AB760" t="s">
        <v>793</v>
      </c>
      <c r="AD760" t="s">
        <v>794</v>
      </c>
      <c r="AE760" t="s">
        <v>804</v>
      </c>
      <c r="AF760" t="s">
        <v>796</v>
      </c>
      <c r="AG760" t="s">
        <v>797</v>
      </c>
      <c r="AH760">
        <v>7769</v>
      </c>
      <c r="AI760">
        <v>7769</v>
      </c>
      <c r="AJ760">
        <v>0</v>
      </c>
    </row>
    <row r="761" spans="1:36" x14ac:dyDescent="0.3">
      <c r="A761">
        <f>COUNTIF($D$2:D761,D761)</f>
        <v>11</v>
      </c>
      <c r="B761" t="str">
        <f t="shared" si="45"/>
        <v>11Essex</v>
      </c>
      <c r="C761" t="s">
        <v>2743</v>
      </c>
      <c r="D761" t="s">
        <v>149</v>
      </c>
      <c r="E761">
        <v>20001</v>
      </c>
      <c r="F761" t="s">
        <v>2744</v>
      </c>
      <c r="G761" t="s">
        <v>800</v>
      </c>
      <c r="H761" t="s">
        <v>850</v>
      </c>
      <c r="I761" t="s">
        <v>802</v>
      </c>
      <c r="J761">
        <f t="shared" ca="1" si="46"/>
        <v>3785993</v>
      </c>
      <c r="K761">
        <f t="shared" ca="1" si="47"/>
        <v>7073</v>
      </c>
      <c r="N761" t="str">
        <f t="shared" si="44"/>
        <v>Dorset21CarersCarers ServicesRespite Services</v>
      </c>
      <c r="O761" t="s">
        <v>137</v>
      </c>
      <c r="P761" t="s">
        <v>976</v>
      </c>
      <c r="Q761">
        <v>21</v>
      </c>
      <c r="R761" t="s">
        <v>1250</v>
      </c>
      <c r="S761" t="s">
        <v>2745</v>
      </c>
      <c r="T761" t="s">
        <v>811</v>
      </c>
      <c r="U761" t="s">
        <v>2205</v>
      </c>
      <c r="W761">
        <v>350</v>
      </c>
      <c r="X761">
        <v>350</v>
      </c>
      <c r="Y761" t="s">
        <v>813</v>
      </c>
      <c r="Z761" t="s">
        <v>792</v>
      </c>
      <c r="AB761" t="s">
        <v>793</v>
      </c>
      <c r="AD761" t="s">
        <v>794</v>
      </c>
      <c r="AE761" t="s">
        <v>825</v>
      </c>
      <c r="AF761" t="s">
        <v>796</v>
      </c>
      <c r="AG761" t="s">
        <v>797</v>
      </c>
      <c r="AH761">
        <v>478196</v>
      </c>
      <c r="AI761">
        <v>478196</v>
      </c>
      <c r="AJ761">
        <v>0</v>
      </c>
    </row>
    <row r="762" spans="1:36" x14ac:dyDescent="0.3">
      <c r="A762">
        <f>COUNTIF($D$2:D762,D762)</f>
        <v>12</v>
      </c>
      <c r="B762" t="str">
        <f t="shared" si="45"/>
        <v>12Essex</v>
      </c>
      <c r="C762" t="s">
        <v>2746</v>
      </c>
      <c r="D762" t="s">
        <v>149</v>
      </c>
      <c r="E762">
        <v>20003</v>
      </c>
      <c r="F762" t="s">
        <v>2747</v>
      </c>
      <c r="G762" t="s">
        <v>806</v>
      </c>
      <c r="H762" t="s">
        <v>917</v>
      </c>
      <c r="I762" t="s">
        <v>808</v>
      </c>
      <c r="J762">
        <f t="shared" ca="1" si="46"/>
        <v>19029000</v>
      </c>
      <c r="K762">
        <f t="shared" ca="1" si="47"/>
        <v>660</v>
      </c>
      <c r="N762" t="str">
        <f t="shared" si="44"/>
        <v>Dorset22CarersCarers ServicesOther</v>
      </c>
      <c r="O762" t="s">
        <v>137</v>
      </c>
      <c r="P762" t="s">
        <v>976</v>
      </c>
      <c r="Q762">
        <v>22</v>
      </c>
      <c r="R762" t="s">
        <v>1250</v>
      </c>
      <c r="S762" t="s">
        <v>2748</v>
      </c>
      <c r="T762" t="s">
        <v>811</v>
      </c>
      <c r="U762" t="s">
        <v>812</v>
      </c>
      <c r="V762" t="s">
        <v>2749</v>
      </c>
      <c r="W762">
        <v>86</v>
      </c>
      <c r="X762">
        <v>86</v>
      </c>
      <c r="Y762" t="s">
        <v>813</v>
      </c>
      <c r="Z762" t="s">
        <v>792</v>
      </c>
      <c r="AB762" t="s">
        <v>793</v>
      </c>
      <c r="AD762" t="s">
        <v>794</v>
      </c>
      <c r="AE762" t="s">
        <v>824</v>
      </c>
      <c r="AF762" t="s">
        <v>796</v>
      </c>
      <c r="AG762" t="s">
        <v>797</v>
      </c>
      <c r="AH762">
        <v>8391</v>
      </c>
      <c r="AI762">
        <v>8393</v>
      </c>
      <c r="AJ762">
        <v>0</v>
      </c>
    </row>
    <row r="763" spans="1:36" x14ac:dyDescent="0.3">
      <c r="A763">
        <f>COUNTIF($D$2:D763,D763)</f>
        <v>13</v>
      </c>
      <c r="B763" t="str">
        <f t="shared" si="45"/>
        <v>13Essex</v>
      </c>
      <c r="C763" t="s">
        <v>2750</v>
      </c>
      <c r="D763" t="s">
        <v>149</v>
      </c>
      <c r="E763">
        <v>20004</v>
      </c>
      <c r="F763" t="s">
        <v>2751</v>
      </c>
      <c r="G763" t="s">
        <v>842</v>
      </c>
      <c r="H763" t="s">
        <v>843</v>
      </c>
      <c r="I763" t="s">
        <v>844</v>
      </c>
      <c r="J763">
        <f t="shared" ca="1" si="46"/>
        <v>6740460</v>
      </c>
      <c r="K763">
        <f t="shared" ca="1" si="47"/>
        <v>291500</v>
      </c>
      <c r="N763" t="str">
        <f t="shared" si="44"/>
        <v>Dorset23CarersCarers ServicesOther</v>
      </c>
      <c r="O763" t="s">
        <v>137</v>
      </c>
      <c r="P763" t="s">
        <v>976</v>
      </c>
      <c r="Q763">
        <v>23</v>
      </c>
      <c r="R763" t="s">
        <v>1250</v>
      </c>
      <c r="S763" t="s">
        <v>2752</v>
      </c>
      <c r="T763" t="s">
        <v>811</v>
      </c>
      <c r="U763" t="s">
        <v>812</v>
      </c>
      <c r="V763" t="s">
        <v>2753</v>
      </c>
      <c r="W763">
        <v>60</v>
      </c>
      <c r="X763">
        <v>60</v>
      </c>
      <c r="Y763" t="s">
        <v>813</v>
      </c>
      <c r="Z763" t="s">
        <v>792</v>
      </c>
      <c r="AB763" t="s">
        <v>793</v>
      </c>
      <c r="AD763" t="s">
        <v>794</v>
      </c>
      <c r="AE763" t="s">
        <v>825</v>
      </c>
      <c r="AF763" t="s">
        <v>796</v>
      </c>
      <c r="AG763" t="s">
        <v>797</v>
      </c>
      <c r="AH763">
        <v>115928</v>
      </c>
      <c r="AI763">
        <v>115928</v>
      </c>
      <c r="AJ763">
        <v>0</v>
      </c>
    </row>
    <row r="764" spans="1:36" x14ac:dyDescent="0.3">
      <c r="A764">
        <f>COUNTIF($D$2:D764,D764)</f>
        <v>14</v>
      </c>
      <c r="B764" t="str">
        <f t="shared" si="45"/>
        <v>14Essex</v>
      </c>
      <c r="C764" t="s">
        <v>2754</v>
      </c>
      <c r="D764" t="s">
        <v>149</v>
      </c>
      <c r="E764">
        <v>20014</v>
      </c>
      <c r="F764" t="s">
        <v>2755</v>
      </c>
      <c r="G764" t="s">
        <v>787</v>
      </c>
      <c r="H764" t="s">
        <v>930</v>
      </c>
      <c r="I764" t="s">
        <v>789</v>
      </c>
      <c r="J764">
        <f t="shared" ca="1" si="46"/>
        <v>5350000</v>
      </c>
      <c r="K764">
        <f t="shared" ca="1" si="47"/>
        <v>4080</v>
      </c>
      <c r="N764" t="str">
        <f t="shared" si="44"/>
        <v>Dorset24Maintaining IndependenceAssistive Technologies and EquipmentCommunity based equipment</v>
      </c>
      <c r="O764" t="s">
        <v>137</v>
      </c>
      <c r="P764" t="s">
        <v>976</v>
      </c>
      <c r="Q764">
        <v>24</v>
      </c>
      <c r="R764" t="s">
        <v>1276</v>
      </c>
      <c r="S764" t="s">
        <v>2756</v>
      </c>
      <c r="T764" t="s">
        <v>800</v>
      </c>
      <c r="U764" t="s">
        <v>903</v>
      </c>
      <c r="W764">
        <v>1439</v>
      </c>
      <c r="X764">
        <v>1439</v>
      </c>
      <c r="Y764" t="s">
        <v>802</v>
      </c>
      <c r="Z764" t="s">
        <v>792</v>
      </c>
      <c r="AB764" t="s">
        <v>793</v>
      </c>
      <c r="AD764" t="s">
        <v>794</v>
      </c>
      <c r="AE764" t="s">
        <v>804</v>
      </c>
      <c r="AF764" t="s">
        <v>1029</v>
      </c>
      <c r="AG764" t="s">
        <v>797</v>
      </c>
      <c r="AH764">
        <v>1144700</v>
      </c>
      <c r="AI764">
        <v>1144700</v>
      </c>
      <c r="AJ764">
        <v>0.01</v>
      </c>
    </row>
    <row r="765" spans="1:36" x14ac:dyDescent="0.3">
      <c r="A765">
        <f>COUNTIF($D$2:D765,D765)</f>
        <v>15</v>
      </c>
      <c r="B765" t="str">
        <f t="shared" si="45"/>
        <v>15Essex</v>
      </c>
      <c r="C765" t="s">
        <v>2757</v>
      </c>
      <c r="D765" t="s">
        <v>149</v>
      </c>
      <c r="E765">
        <v>40001</v>
      </c>
      <c r="F765" t="s">
        <v>2758</v>
      </c>
      <c r="G765" t="s">
        <v>842</v>
      </c>
      <c r="H765" t="s">
        <v>843</v>
      </c>
      <c r="I765" t="s">
        <v>844</v>
      </c>
      <c r="J765">
        <f t="shared" ca="1" si="46"/>
        <v>250000</v>
      </c>
      <c r="K765">
        <f t="shared" ca="1" si="47"/>
        <v>250</v>
      </c>
      <c r="N765" t="str">
        <f t="shared" si="44"/>
        <v>Dorset25Strong and sustainable care marketsResidential PlacementsCare home</v>
      </c>
      <c r="O765" t="s">
        <v>137</v>
      </c>
      <c r="P765" t="s">
        <v>976</v>
      </c>
      <c r="Q765">
        <v>25</v>
      </c>
      <c r="R765" t="s">
        <v>2471</v>
      </c>
      <c r="S765" t="s">
        <v>2759</v>
      </c>
      <c r="T765" t="s">
        <v>806</v>
      </c>
      <c r="U765" t="s">
        <v>807</v>
      </c>
      <c r="W765">
        <v>884</v>
      </c>
      <c r="X765">
        <v>884</v>
      </c>
      <c r="Y765" t="s">
        <v>808</v>
      </c>
      <c r="Z765" t="s">
        <v>792</v>
      </c>
      <c r="AB765" t="s">
        <v>793</v>
      </c>
      <c r="AD765" t="s">
        <v>794</v>
      </c>
      <c r="AE765" t="s">
        <v>804</v>
      </c>
      <c r="AF765" t="s">
        <v>1029</v>
      </c>
      <c r="AG765" t="s">
        <v>797</v>
      </c>
      <c r="AH765">
        <v>55058800</v>
      </c>
      <c r="AI765">
        <v>55058800</v>
      </c>
      <c r="AJ765">
        <v>0.36</v>
      </c>
    </row>
    <row r="766" spans="1:36" x14ac:dyDescent="0.3">
      <c r="A766">
        <f>COUNTIF($D$2:D766,D766)</f>
        <v>16</v>
      </c>
      <c r="B766" t="str">
        <f t="shared" si="45"/>
        <v>16Essex</v>
      </c>
      <c r="C766" t="s">
        <v>2760</v>
      </c>
      <c r="D766" t="s">
        <v>149</v>
      </c>
      <c r="E766">
        <v>40002</v>
      </c>
      <c r="F766" t="s">
        <v>2761</v>
      </c>
      <c r="G766" t="s">
        <v>806</v>
      </c>
      <c r="H766" t="s">
        <v>807</v>
      </c>
      <c r="I766" t="s">
        <v>808</v>
      </c>
      <c r="J766">
        <f t="shared" ca="1" si="46"/>
        <v>400000</v>
      </c>
      <c r="K766">
        <f t="shared" ca="1" si="47"/>
        <v>400</v>
      </c>
      <c r="N766" t="str">
        <f t="shared" si="44"/>
        <v>Dorset27Maintaining IndependenceAssistive Technologies and EquipmentCommunity based equipment</v>
      </c>
      <c r="O766" t="s">
        <v>137</v>
      </c>
      <c r="P766" t="s">
        <v>976</v>
      </c>
      <c r="Q766">
        <v>27</v>
      </c>
      <c r="R766" t="s">
        <v>1276</v>
      </c>
      <c r="S766" t="s">
        <v>2756</v>
      </c>
      <c r="T766" t="s">
        <v>800</v>
      </c>
      <c r="U766" t="s">
        <v>903</v>
      </c>
      <c r="W766">
        <v>3620</v>
      </c>
      <c r="X766">
        <v>3620</v>
      </c>
      <c r="Y766" t="s">
        <v>802</v>
      </c>
      <c r="Z766" t="s">
        <v>823</v>
      </c>
      <c r="AB766" t="s">
        <v>824</v>
      </c>
      <c r="AD766" t="s">
        <v>794</v>
      </c>
      <c r="AE766" t="s">
        <v>804</v>
      </c>
      <c r="AF766" t="s">
        <v>796</v>
      </c>
      <c r="AG766" t="s">
        <v>797</v>
      </c>
      <c r="AH766">
        <v>2829022</v>
      </c>
      <c r="AI766">
        <v>2879944</v>
      </c>
      <c r="AJ766">
        <v>0.02</v>
      </c>
    </row>
    <row r="767" spans="1:36" x14ac:dyDescent="0.3">
      <c r="A767">
        <f>COUNTIF($D$2:D767,D767)</f>
        <v>17</v>
      </c>
      <c r="B767" t="str">
        <f t="shared" si="45"/>
        <v>17Essex</v>
      </c>
      <c r="C767" t="s">
        <v>2762</v>
      </c>
      <c r="D767" t="s">
        <v>149</v>
      </c>
      <c r="E767">
        <v>40006</v>
      </c>
      <c r="F767" t="s">
        <v>2763</v>
      </c>
      <c r="G767" t="s">
        <v>877</v>
      </c>
      <c r="H767" t="s">
        <v>878</v>
      </c>
      <c r="I767" t="s">
        <v>879</v>
      </c>
      <c r="J767">
        <f t="shared" ca="1" si="46"/>
        <v>1262000</v>
      </c>
      <c r="K767">
        <f t="shared" ca="1" si="47"/>
        <v>429</v>
      </c>
      <c r="N767" t="str">
        <f t="shared" si="44"/>
        <v>Dorset32Maintaining IndependenceAssistive Technologies and EquipmentAssistive technologies including telecare</v>
      </c>
      <c r="O767" t="s">
        <v>137</v>
      </c>
      <c r="P767" t="s">
        <v>976</v>
      </c>
      <c r="Q767">
        <v>32</v>
      </c>
      <c r="R767" t="s">
        <v>1276</v>
      </c>
      <c r="S767" t="s">
        <v>2764</v>
      </c>
      <c r="T767" t="s">
        <v>800</v>
      </c>
      <c r="U767" t="s">
        <v>850</v>
      </c>
      <c r="W767">
        <v>683</v>
      </c>
      <c r="X767">
        <v>683</v>
      </c>
      <c r="Y767" t="s">
        <v>802</v>
      </c>
      <c r="Z767" t="s">
        <v>792</v>
      </c>
      <c r="AB767" t="s">
        <v>793</v>
      </c>
      <c r="AD767" t="s">
        <v>794</v>
      </c>
      <c r="AE767" t="s">
        <v>804</v>
      </c>
      <c r="AF767" t="s">
        <v>1029</v>
      </c>
      <c r="AG767" t="s">
        <v>797</v>
      </c>
      <c r="AH767">
        <v>574000</v>
      </c>
      <c r="AI767">
        <v>574000</v>
      </c>
      <c r="AJ767">
        <v>0</v>
      </c>
    </row>
    <row r="768" spans="1:36" x14ac:dyDescent="0.3">
      <c r="A768">
        <f>COUNTIF($D$2:D768,D768)</f>
        <v>18</v>
      </c>
      <c r="B768" t="str">
        <f t="shared" si="45"/>
        <v>18Essex</v>
      </c>
      <c r="C768" t="s">
        <v>2765</v>
      </c>
      <c r="D768" t="s">
        <v>149</v>
      </c>
      <c r="E768">
        <v>40009</v>
      </c>
      <c r="F768" t="s">
        <v>2766</v>
      </c>
      <c r="G768" t="s">
        <v>787</v>
      </c>
      <c r="H768" t="s">
        <v>788</v>
      </c>
      <c r="I768" t="s">
        <v>789</v>
      </c>
      <c r="J768">
        <f t="shared" ca="1" si="46"/>
        <v>1700000</v>
      </c>
      <c r="K768">
        <f t="shared" ca="1" si="47"/>
        <v>550</v>
      </c>
      <c r="N768" t="str">
        <f t="shared" si="44"/>
        <v>Dorset38Strong and Sustainable MarketHome Care or Domiciliary CareDomiciliary care packages</v>
      </c>
      <c r="O768" t="s">
        <v>137</v>
      </c>
      <c r="P768" t="s">
        <v>976</v>
      </c>
      <c r="Q768">
        <v>38</v>
      </c>
      <c r="R768" t="s">
        <v>2499</v>
      </c>
      <c r="S768" t="s">
        <v>2767</v>
      </c>
      <c r="T768" t="s">
        <v>842</v>
      </c>
      <c r="U768" t="s">
        <v>843</v>
      </c>
      <c r="W768">
        <v>62</v>
      </c>
      <c r="X768">
        <v>62</v>
      </c>
      <c r="Y768" t="s">
        <v>844</v>
      </c>
      <c r="Z768" t="s">
        <v>792</v>
      </c>
      <c r="AB768" t="s">
        <v>793</v>
      </c>
      <c r="AD768" t="s">
        <v>794</v>
      </c>
      <c r="AE768" t="s">
        <v>804</v>
      </c>
      <c r="AF768" t="s">
        <v>864</v>
      </c>
      <c r="AG768" t="s">
        <v>861</v>
      </c>
      <c r="AH768">
        <v>1400000</v>
      </c>
      <c r="AI768">
        <v>1400000</v>
      </c>
      <c r="AJ768">
        <v>0.01</v>
      </c>
    </row>
    <row r="769" spans="1:36" x14ac:dyDescent="0.3">
      <c r="A769">
        <f>COUNTIF($D$2:D769,D769)</f>
        <v>19</v>
      </c>
      <c r="B769" t="str">
        <f t="shared" si="45"/>
        <v>19Essex</v>
      </c>
      <c r="C769" t="s">
        <v>2768</v>
      </c>
      <c r="D769" t="s">
        <v>149</v>
      </c>
      <c r="E769">
        <v>30101</v>
      </c>
      <c r="F769" t="s">
        <v>2769</v>
      </c>
      <c r="G769" t="s">
        <v>834</v>
      </c>
      <c r="H769" t="s">
        <v>835</v>
      </c>
      <c r="I769" t="s">
        <v>836</v>
      </c>
      <c r="J769">
        <f t="shared" ca="1" si="46"/>
        <v>220000</v>
      </c>
      <c r="K769">
        <f t="shared" ca="1" si="47"/>
        <v>50</v>
      </c>
      <c r="N769" t="str">
        <f t="shared" si="44"/>
        <v>Dudley1001Whole Population Prevention / Population Health ManagementCarers ServicesOther</v>
      </c>
      <c r="O769" t="s">
        <v>139</v>
      </c>
      <c r="P769" t="s">
        <v>1172</v>
      </c>
      <c r="Q769">
        <v>1001</v>
      </c>
      <c r="R769" t="s">
        <v>2503</v>
      </c>
      <c r="S769" t="s">
        <v>2770</v>
      </c>
      <c r="T769" t="s">
        <v>811</v>
      </c>
      <c r="U769" t="s">
        <v>812</v>
      </c>
      <c r="V769" t="s">
        <v>2770</v>
      </c>
      <c r="W769">
        <v>3500</v>
      </c>
      <c r="X769">
        <v>3500</v>
      </c>
      <c r="Y769" t="s">
        <v>813</v>
      </c>
      <c r="Z769" t="s">
        <v>792</v>
      </c>
      <c r="AB769" t="s">
        <v>793</v>
      </c>
      <c r="AD769" t="s">
        <v>794</v>
      </c>
      <c r="AE769" t="s">
        <v>825</v>
      </c>
      <c r="AF769" t="s">
        <v>1029</v>
      </c>
      <c r="AG769" t="s">
        <v>797</v>
      </c>
      <c r="AH769">
        <v>434900</v>
      </c>
      <c r="AI769">
        <v>434900</v>
      </c>
      <c r="AJ769">
        <v>0.58299999999999996</v>
      </c>
    </row>
    <row r="770" spans="1:36" x14ac:dyDescent="0.3">
      <c r="A770">
        <f>COUNTIF($D$2:D770,D770)</f>
        <v>20</v>
      </c>
      <c r="B770" t="str">
        <f t="shared" si="45"/>
        <v>20Essex</v>
      </c>
      <c r="C770" t="s">
        <v>2771</v>
      </c>
      <c r="D770" t="s">
        <v>149</v>
      </c>
      <c r="E770">
        <v>30102</v>
      </c>
      <c r="F770" t="s">
        <v>2772</v>
      </c>
      <c r="G770" t="s">
        <v>834</v>
      </c>
      <c r="H770" t="s">
        <v>835</v>
      </c>
      <c r="I770" t="s">
        <v>836</v>
      </c>
      <c r="J770">
        <f t="shared" ca="1" si="46"/>
        <v>1098660</v>
      </c>
      <c r="K770">
        <f t="shared" ca="1" si="47"/>
        <v>85</v>
      </c>
      <c r="N770" t="str">
        <f t="shared" ref="N770:N833" si="48">O770&amp;Q770&amp;R770&amp;T770&amp;U770</f>
        <v>Dudley1002Whole Population Prevention / Population Health ManagementAssistive Technologies and EquipmentCommunity based equipment</v>
      </c>
      <c r="O770" t="s">
        <v>139</v>
      </c>
      <c r="P770" t="s">
        <v>1172</v>
      </c>
      <c r="Q770">
        <v>1002</v>
      </c>
      <c r="R770" t="s">
        <v>2503</v>
      </c>
      <c r="S770" t="s">
        <v>2773</v>
      </c>
      <c r="T770" t="s">
        <v>800</v>
      </c>
      <c r="U770" t="s">
        <v>903</v>
      </c>
      <c r="W770">
        <v>6618</v>
      </c>
      <c r="X770">
        <v>6618</v>
      </c>
      <c r="Y770" t="s">
        <v>802</v>
      </c>
      <c r="Z770" t="s">
        <v>792</v>
      </c>
      <c r="AB770" t="s">
        <v>793</v>
      </c>
      <c r="AD770" t="s">
        <v>794</v>
      </c>
      <c r="AE770" t="s">
        <v>795</v>
      </c>
      <c r="AF770" t="s">
        <v>796</v>
      </c>
      <c r="AG770" t="s">
        <v>797</v>
      </c>
      <c r="AH770">
        <v>520300</v>
      </c>
      <c r="AI770">
        <v>527100</v>
      </c>
      <c r="AJ770">
        <v>0.20100000000000001</v>
      </c>
    </row>
    <row r="771" spans="1:36" x14ac:dyDescent="0.3">
      <c r="A771">
        <f>COUNTIF($D$2:D771,D771)</f>
        <v>21</v>
      </c>
      <c r="B771" t="str">
        <f t="shared" ref="B771:B834" si="49">A771&amp;D771</f>
        <v>21Essex</v>
      </c>
      <c r="C771" t="s">
        <v>2774</v>
      </c>
      <c r="D771" t="s">
        <v>149</v>
      </c>
      <c r="E771">
        <v>30103</v>
      </c>
      <c r="F771" t="s">
        <v>2775</v>
      </c>
      <c r="G771" t="s">
        <v>834</v>
      </c>
      <c r="H771" t="s">
        <v>1293</v>
      </c>
      <c r="I771" t="s">
        <v>836</v>
      </c>
      <c r="J771">
        <f t="shared" ref="J771:J834" ca="1" si="50">SUMIF($N:$AI,C771,AH:AH)</f>
        <v>120000</v>
      </c>
      <c r="K771">
        <f t="shared" ref="K771:K834" ca="1" si="51">SUMIF($N:$AI,C771,W:W)</f>
        <v>8</v>
      </c>
      <c r="N771" t="str">
        <f t="shared" si="48"/>
        <v>Dudley1002Whole Population Prevention / Population Health ManagementAssistive Technologies and EquipmentCommunity based equipment</v>
      </c>
      <c r="O771" t="s">
        <v>139</v>
      </c>
      <c r="P771" t="s">
        <v>1172</v>
      </c>
      <c r="Q771">
        <v>1002</v>
      </c>
      <c r="R771" t="s">
        <v>2503</v>
      </c>
      <c r="S771" t="s">
        <v>2773</v>
      </c>
      <c r="T771" t="s">
        <v>800</v>
      </c>
      <c r="U771" t="s">
        <v>903</v>
      </c>
      <c r="W771">
        <v>7839</v>
      </c>
      <c r="X771">
        <v>7839</v>
      </c>
      <c r="Y771" t="s">
        <v>802</v>
      </c>
      <c r="Z771" t="s">
        <v>792</v>
      </c>
      <c r="AB771" t="s">
        <v>793</v>
      </c>
      <c r="AD771" t="s">
        <v>794</v>
      </c>
      <c r="AE771" t="s">
        <v>795</v>
      </c>
      <c r="AF771" t="s">
        <v>1029</v>
      </c>
      <c r="AG771" t="s">
        <v>797</v>
      </c>
      <c r="AH771">
        <v>616300</v>
      </c>
      <c r="AI771">
        <v>624300</v>
      </c>
      <c r="AJ771">
        <v>0.23799999999999999</v>
      </c>
    </row>
    <row r="772" spans="1:36" x14ac:dyDescent="0.3">
      <c r="A772">
        <f>COUNTIF($D$2:D772,D772)</f>
        <v>22</v>
      </c>
      <c r="B772" t="str">
        <f t="shared" si="49"/>
        <v>22Essex</v>
      </c>
      <c r="C772" t="s">
        <v>2776</v>
      </c>
      <c r="D772" t="s">
        <v>149</v>
      </c>
      <c r="E772">
        <v>30201</v>
      </c>
      <c r="F772" t="s">
        <v>2777</v>
      </c>
      <c r="G772" t="s">
        <v>834</v>
      </c>
      <c r="H772" t="s">
        <v>835</v>
      </c>
      <c r="I772" t="s">
        <v>836</v>
      </c>
      <c r="J772">
        <f t="shared" ca="1" si="50"/>
        <v>866891</v>
      </c>
      <c r="K772">
        <f t="shared" ca="1" si="51"/>
        <v>140</v>
      </c>
      <c r="N772" t="str">
        <f t="shared" si="48"/>
        <v>Dudley1003Whole Population Prevention / Population Health ManagementDFG Related SchemesAdaptations, including statutory DFG grants</v>
      </c>
      <c r="O772" t="s">
        <v>139</v>
      </c>
      <c r="P772" t="s">
        <v>1172</v>
      </c>
      <c r="Q772">
        <v>1003</v>
      </c>
      <c r="R772" t="s">
        <v>2503</v>
      </c>
      <c r="S772" t="s">
        <v>891</v>
      </c>
      <c r="T772" t="s">
        <v>834</v>
      </c>
      <c r="U772" t="s">
        <v>835</v>
      </c>
      <c r="W772">
        <v>240</v>
      </c>
      <c r="X772">
        <v>500</v>
      </c>
      <c r="Y772" t="s">
        <v>836</v>
      </c>
      <c r="Z772" t="s">
        <v>792</v>
      </c>
      <c r="AB772" t="s">
        <v>793</v>
      </c>
      <c r="AD772" t="s">
        <v>794</v>
      </c>
      <c r="AE772" t="s">
        <v>795</v>
      </c>
      <c r="AF772" t="s">
        <v>840</v>
      </c>
      <c r="AG772" t="s">
        <v>797</v>
      </c>
      <c r="AH772">
        <v>4677209</v>
      </c>
      <c r="AI772">
        <v>4677209</v>
      </c>
      <c r="AJ772">
        <v>0.41</v>
      </c>
    </row>
    <row r="773" spans="1:36" x14ac:dyDescent="0.3">
      <c r="A773">
        <f>COUNTIF($D$2:D773,D773)</f>
        <v>23</v>
      </c>
      <c r="B773" t="str">
        <f t="shared" si="49"/>
        <v>23Essex</v>
      </c>
      <c r="C773" t="s">
        <v>2778</v>
      </c>
      <c r="D773" t="s">
        <v>149</v>
      </c>
      <c r="E773">
        <v>30202</v>
      </c>
      <c r="F773" t="s">
        <v>2779</v>
      </c>
      <c r="G773" t="s">
        <v>834</v>
      </c>
      <c r="H773" t="s">
        <v>1293</v>
      </c>
      <c r="I773" t="s">
        <v>836</v>
      </c>
      <c r="J773">
        <f t="shared" ca="1" si="50"/>
        <v>176320</v>
      </c>
      <c r="K773">
        <f t="shared" ca="1" si="51"/>
        <v>15</v>
      </c>
      <c r="N773" t="str">
        <f t="shared" si="48"/>
        <v>Dudley1003Whole Population Prevention / Population Health ManagementDFG Related SchemesDiscretionary use of DFG</v>
      </c>
      <c r="O773" t="s">
        <v>139</v>
      </c>
      <c r="P773" t="s">
        <v>1172</v>
      </c>
      <c r="Q773">
        <v>1003</v>
      </c>
      <c r="R773" t="s">
        <v>2503</v>
      </c>
      <c r="S773" t="s">
        <v>2780</v>
      </c>
      <c r="T773" t="s">
        <v>834</v>
      </c>
      <c r="U773" t="s">
        <v>1293</v>
      </c>
      <c r="W773">
        <v>8840</v>
      </c>
      <c r="X773">
        <v>8840</v>
      </c>
      <c r="Y773" t="s">
        <v>836</v>
      </c>
      <c r="Z773" t="s">
        <v>792</v>
      </c>
      <c r="AB773" t="s">
        <v>793</v>
      </c>
      <c r="AD773" t="s">
        <v>794</v>
      </c>
      <c r="AE773" t="s">
        <v>795</v>
      </c>
      <c r="AF773" t="s">
        <v>840</v>
      </c>
      <c r="AG773" t="s">
        <v>861</v>
      </c>
      <c r="AH773">
        <v>695000</v>
      </c>
      <c r="AI773">
        <v>695000</v>
      </c>
      <c r="AJ773">
        <v>0.06</v>
      </c>
    </row>
    <row r="774" spans="1:36" x14ac:dyDescent="0.3">
      <c r="A774">
        <f>COUNTIF($D$2:D774,D774)</f>
        <v>24</v>
      </c>
      <c r="B774" t="str">
        <f t="shared" si="49"/>
        <v>24Essex</v>
      </c>
      <c r="C774" t="s">
        <v>2781</v>
      </c>
      <c r="D774" t="s">
        <v>149</v>
      </c>
      <c r="E774">
        <v>30203</v>
      </c>
      <c r="F774" t="s">
        <v>2782</v>
      </c>
      <c r="G774" t="s">
        <v>834</v>
      </c>
      <c r="H774" t="s">
        <v>1732</v>
      </c>
      <c r="I774" t="s">
        <v>836</v>
      </c>
      <c r="J774">
        <f t="shared" ca="1" si="50"/>
        <v>13230</v>
      </c>
      <c r="K774">
        <f t="shared" ca="1" si="51"/>
        <v>120</v>
      </c>
      <c r="N774" t="str">
        <f t="shared" si="48"/>
        <v>Dudley1003Whole Population Prevention / Population Health ManagementDFG Related SchemesDiscretionary use of DFG</v>
      </c>
      <c r="O774" t="s">
        <v>139</v>
      </c>
      <c r="P774" t="s">
        <v>1172</v>
      </c>
      <c r="Q774">
        <v>1003</v>
      </c>
      <c r="R774" t="s">
        <v>2503</v>
      </c>
      <c r="S774" t="s">
        <v>2783</v>
      </c>
      <c r="T774" t="s">
        <v>834</v>
      </c>
      <c r="U774" t="s">
        <v>1293</v>
      </c>
      <c r="W774">
        <v>50</v>
      </c>
      <c r="X774">
        <v>50</v>
      </c>
      <c r="Y774" t="s">
        <v>836</v>
      </c>
      <c r="Z774" t="s">
        <v>792</v>
      </c>
      <c r="AB774" t="s">
        <v>793</v>
      </c>
      <c r="AD774" t="s">
        <v>794</v>
      </c>
      <c r="AE774" t="s">
        <v>795</v>
      </c>
      <c r="AF774" t="s">
        <v>840</v>
      </c>
      <c r="AG774" t="s">
        <v>861</v>
      </c>
      <c r="AH774">
        <v>500000</v>
      </c>
      <c r="AI774">
        <v>500000</v>
      </c>
      <c r="AJ774">
        <v>0.04</v>
      </c>
    </row>
    <row r="775" spans="1:36" x14ac:dyDescent="0.3">
      <c r="A775">
        <f>COUNTIF($D$2:D775,D775)</f>
        <v>25</v>
      </c>
      <c r="B775" t="str">
        <f t="shared" si="49"/>
        <v>25Essex</v>
      </c>
      <c r="C775" t="s">
        <v>2784</v>
      </c>
      <c r="D775" t="s">
        <v>149</v>
      </c>
      <c r="E775">
        <v>30301</v>
      </c>
      <c r="F775" t="s">
        <v>2785</v>
      </c>
      <c r="G775" t="s">
        <v>834</v>
      </c>
      <c r="H775" t="s">
        <v>835</v>
      </c>
      <c r="I775" t="s">
        <v>836</v>
      </c>
      <c r="J775">
        <f t="shared" ca="1" si="50"/>
        <v>420142</v>
      </c>
      <c r="K775">
        <f t="shared" ca="1" si="51"/>
        <v>35</v>
      </c>
      <c r="N775" t="str">
        <f t="shared" si="48"/>
        <v>Dudley1003Whole Population Prevention / Population Health ManagementDFG Related SchemesDiscretionary use of DFG</v>
      </c>
      <c r="O775" t="s">
        <v>139</v>
      </c>
      <c r="P775" t="s">
        <v>1172</v>
      </c>
      <c r="Q775">
        <v>1003</v>
      </c>
      <c r="R775" t="s">
        <v>2503</v>
      </c>
      <c r="S775" t="s">
        <v>2786</v>
      </c>
      <c r="T775" t="s">
        <v>834</v>
      </c>
      <c r="U775" t="s">
        <v>1293</v>
      </c>
      <c r="W775">
        <v>35</v>
      </c>
      <c r="X775">
        <v>35</v>
      </c>
      <c r="Y775" t="s">
        <v>836</v>
      </c>
      <c r="Z775" t="s">
        <v>792</v>
      </c>
      <c r="AB775" t="s">
        <v>793</v>
      </c>
      <c r="AD775" t="s">
        <v>794</v>
      </c>
      <c r="AE775" t="s">
        <v>795</v>
      </c>
      <c r="AF775" t="s">
        <v>840</v>
      </c>
      <c r="AG775" t="s">
        <v>861</v>
      </c>
      <c r="AH775">
        <v>150000</v>
      </c>
      <c r="AI775">
        <v>150000</v>
      </c>
      <c r="AJ775">
        <v>0.01</v>
      </c>
    </row>
    <row r="776" spans="1:36" x14ac:dyDescent="0.3">
      <c r="A776">
        <f>COUNTIF($D$2:D776,D776)</f>
        <v>26</v>
      </c>
      <c r="B776" t="str">
        <f t="shared" si="49"/>
        <v>26Essex</v>
      </c>
      <c r="C776" t="s">
        <v>2787</v>
      </c>
      <c r="D776" t="s">
        <v>149</v>
      </c>
      <c r="E776">
        <v>30401</v>
      </c>
      <c r="F776" t="s">
        <v>2788</v>
      </c>
      <c r="G776" t="s">
        <v>834</v>
      </c>
      <c r="H776" t="s">
        <v>835</v>
      </c>
      <c r="I776" t="s">
        <v>836</v>
      </c>
      <c r="J776">
        <f t="shared" ca="1" si="50"/>
        <v>771407</v>
      </c>
      <c r="K776">
        <f t="shared" ca="1" si="51"/>
        <v>40</v>
      </c>
      <c r="N776" t="str">
        <f t="shared" si="48"/>
        <v>Dudley1003Whole Population Prevention / Population Health ManagementDFG Related SchemesDiscretionary use of DFG</v>
      </c>
      <c r="O776" t="s">
        <v>139</v>
      </c>
      <c r="P776" t="s">
        <v>1172</v>
      </c>
      <c r="Q776">
        <v>1003</v>
      </c>
      <c r="R776" t="s">
        <v>2503</v>
      </c>
      <c r="S776" t="s">
        <v>2789</v>
      </c>
      <c r="T776" t="s">
        <v>834</v>
      </c>
      <c r="U776" t="s">
        <v>1293</v>
      </c>
      <c r="W776">
        <v>1850</v>
      </c>
      <c r="X776">
        <v>1850</v>
      </c>
      <c r="Y776" t="s">
        <v>836</v>
      </c>
      <c r="Z776" t="s">
        <v>792</v>
      </c>
      <c r="AB776" t="s">
        <v>793</v>
      </c>
      <c r="AD776" t="s">
        <v>794</v>
      </c>
      <c r="AE776" t="s">
        <v>795</v>
      </c>
      <c r="AF776" t="s">
        <v>840</v>
      </c>
      <c r="AG776" t="s">
        <v>861</v>
      </c>
      <c r="AH776">
        <v>375000</v>
      </c>
      <c r="AI776">
        <v>375000</v>
      </c>
      <c r="AJ776">
        <v>0.03</v>
      </c>
    </row>
    <row r="777" spans="1:36" x14ac:dyDescent="0.3">
      <c r="A777">
        <f>COUNTIF($D$2:D777,D777)</f>
        <v>27</v>
      </c>
      <c r="B777" t="str">
        <f t="shared" si="49"/>
        <v>27Essex</v>
      </c>
      <c r="C777" t="s">
        <v>2790</v>
      </c>
      <c r="D777" t="s">
        <v>149</v>
      </c>
      <c r="E777">
        <v>30402</v>
      </c>
      <c r="F777" t="s">
        <v>2788</v>
      </c>
      <c r="G777" t="s">
        <v>834</v>
      </c>
      <c r="H777" t="s">
        <v>1293</v>
      </c>
      <c r="I777" t="s">
        <v>836</v>
      </c>
      <c r="J777">
        <f t="shared" ca="1" si="50"/>
        <v>60000</v>
      </c>
      <c r="K777">
        <f t="shared" ca="1" si="51"/>
        <v>3</v>
      </c>
      <c r="N777" t="str">
        <f t="shared" si="48"/>
        <v>Dudley1003Whole Population Prevention / Population Health ManagementDFG Related SchemesHandyperson services</v>
      </c>
      <c r="O777" t="s">
        <v>139</v>
      </c>
      <c r="P777" t="s">
        <v>1172</v>
      </c>
      <c r="Q777">
        <v>1003</v>
      </c>
      <c r="R777" t="s">
        <v>2503</v>
      </c>
      <c r="S777" t="s">
        <v>2791</v>
      </c>
      <c r="T777" t="s">
        <v>834</v>
      </c>
      <c r="U777" t="s">
        <v>1732</v>
      </c>
      <c r="W777">
        <v>612</v>
      </c>
      <c r="X777">
        <v>612</v>
      </c>
      <c r="Y777" t="s">
        <v>836</v>
      </c>
      <c r="Z777" t="s">
        <v>792</v>
      </c>
      <c r="AB777" t="s">
        <v>793</v>
      </c>
      <c r="AD777" t="s">
        <v>794</v>
      </c>
      <c r="AE777" t="s">
        <v>795</v>
      </c>
      <c r="AF777" t="s">
        <v>840</v>
      </c>
      <c r="AG777" t="s">
        <v>861</v>
      </c>
      <c r="AH777">
        <v>47000</v>
      </c>
      <c r="AI777">
        <v>47000</v>
      </c>
      <c r="AJ777">
        <v>0</v>
      </c>
    </row>
    <row r="778" spans="1:36" x14ac:dyDescent="0.3">
      <c r="A778">
        <f>COUNTIF($D$2:D778,D778)</f>
        <v>28</v>
      </c>
      <c r="B778" t="str">
        <f t="shared" si="49"/>
        <v>28Essex</v>
      </c>
      <c r="C778" t="s">
        <v>2792</v>
      </c>
      <c r="D778" t="s">
        <v>149</v>
      </c>
      <c r="E778">
        <v>30601</v>
      </c>
      <c r="F778" t="s">
        <v>2793</v>
      </c>
      <c r="G778" t="s">
        <v>834</v>
      </c>
      <c r="H778" t="s">
        <v>835</v>
      </c>
      <c r="I778" t="s">
        <v>836</v>
      </c>
      <c r="J778">
        <f t="shared" ca="1" si="50"/>
        <v>1176605</v>
      </c>
      <c r="K778">
        <f t="shared" ca="1" si="51"/>
        <v>60</v>
      </c>
      <c r="N778" t="str">
        <f t="shared" si="48"/>
        <v>Dudley1003Whole Population Prevention / Population Health ManagementDFG Related SchemesAdaptations, including statutory DFG grants</v>
      </c>
      <c r="O778" t="s">
        <v>139</v>
      </c>
      <c r="P778" t="s">
        <v>1172</v>
      </c>
      <c r="Q778">
        <v>1003</v>
      </c>
      <c r="R778" t="s">
        <v>2503</v>
      </c>
      <c r="S778" t="s">
        <v>2794</v>
      </c>
      <c r="T778" t="s">
        <v>834</v>
      </c>
      <c r="U778" t="s">
        <v>835</v>
      </c>
      <c r="W778">
        <v>260</v>
      </c>
      <c r="X778">
        <v>260</v>
      </c>
      <c r="Y778" t="s">
        <v>836</v>
      </c>
      <c r="Z778" t="s">
        <v>792</v>
      </c>
      <c r="AB778" t="s">
        <v>793</v>
      </c>
      <c r="AD778" t="s">
        <v>794</v>
      </c>
      <c r="AE778" t="s">
        <v>795</v>
      </c>
      <c r="AF778" t="s">
        <v>1029</v>
      </c>
      <c r="AG778" t="s">
        <v>861</v>
      </c>
      <c r="AH778">
        <v>5024000</v>
      </c>
      <c r="AI778">
        <v>0</v>
      </c>
      <c r="AJ778">
        <v>0.44</v>
      </c>
    </row>
    <row r="779" spans="1:36" x14ac:dyDescent="0.3">
      <c r="A779">
        <f>COUNTIF($D$2:D779,D779)</f>
        <v>29</v>
      </c>
      <c r="B779" t="str">
        <f t="shared" si="49"/>
        <v>29Essex</v>
      </c>
      <c r="C779" t="s">
        <v>2795</v>
      </c>
      <c r="D779" t="s">
        <v>149</v>
      </c>
      <c r="E779">
        <v>30602</v>
      </c>
      <c r="F779" t="s">
        <v>2796</v>
      </c>
      <c r="G779" t="s">
        <v>834</v>
      </c>
      <c r="H779" t="s">
        <v>1293</v>
      </c>
      <c r="I779" t="s">
        <v>836</v>
      </c>
      <c r="J779">
        <f t="shared" ca="1" si="50"/>
        <v>160000</v>
      </c>
      <c r="K779">
        <f t="shared" ca="1" si="51"/>
        <v>20</v>
      </c>
      <c r="N779" t="str">
        <f t="shared" si="48"/>
        <v>Dudley1005Whole Population Prevention / Population Health ManagementCarers ServicesOther</v>
      </c>
      <c r="O779" t="s">
        <v>139</v>
      </c>
      <c r="P779" t="s">
        <v>1172</v>
      </c>
      <c r="Q779">
        <v>1005</v>
      </c>
      <c r="R779" t="s">
        <v>2503</v>
      </c>
      <c r="S779" t="s">
        <v>2797</v>
      </c>
      <c r="T779" t="s">
        <v>811</v>
      </c>
      <c r="U779" t="s">
        <v>812</v>
      </c>
      <c r="V779" t="s">
        <v>822</v>
      </c>
      <c r="W779">
        <v>3500</v>
      </c>
      <c r="X779">
        <v>3500</v>
      </c>
      <c r="Y779" t="s">
        <v>813</v>
      </c>
      <c r="Z779" t="s">
        <v>792</v>
      </c>
      <c r="AB779" t="s">
        <v>793</v>
      </c>
      <c r="AD779" t="s">
        <v>794</v>
      </c>
      <c r="AE779" t="s">
        <v>795</v>
      </c>
      <c r="AF779" t="s">
        <v>796</v>
      </c>
      <c r="AG779" t="s">
        <v>797</v>
      </c>
      <c r="AH779">
        <v>219400</v>
      </c>
      <c r="AI779">
        <v>223400</v>
      </c>
      <c r="AJ779">
        <v>0.29699999999999999</v>
      </c>
    </row>
    <row r="780" spans="1:36" x14ac:dyDescent="0.3">
      <c r="A780">
        <f>COUNTIF($D$2:D780,D780)</f>
        <v>30</v>
      </c>
      <c r="B780" t="str">
        <f t="shared" si="49"/>
        <v>30Essex</v>
      </c>
      <c r="C780" t="s">
        <v>2798</v>
      </c>
      <c r="D780" t="s">
        <v>149</v>
      </c>
      <c r="E780">
        <v>30603</v>
      </c>
      <c r="F780" t="s">
        <v>2799</v>
      </c>
      <c r="G780" t="s">
        <v>834</v>
      </c>
      <c r="H780" t="s">
        <v>1293</v>
      </c>
      <c r="I780" t="s">
        <v>836</v>
      </c>
      <c r="J780">
        <f t="shared" ca="1" si="50"/>
        <v>27000</v>
      </c>
      <c r="K780">
        <f t="shared" ca="1" si="51"/>
        <v>6</v>
      </c>
      <c r="N780" t="str">
        <f t="shared" si="48"/>
        <v>Dudley2001Urgent Care Needs – Integrated Access &amp; Rapid ResponseHome-based intermediate care servicesReablement at home (accepting step up and step down users)</v>
      </c>
      <c r="O780" t="s">
        <v>139</v>
      </c>
      <c r="P780" t="s">
        <v>1172</v>
      </c>
      <c r="Q780">
        <v>2001</v>
      </c>
      <c r="R780" t="s">
        <v>2517</v>
      </c>
      <c r="S780" t="s">
        <v>2800</v>
      </c>
      <c r="T780" t="s">
        <v>787</v>
      </c>
      <c r="U780" t="s">
        <v>930</v>
      </c>
      <c r="W780">
        <v>265</v>
      </c>
      <c r="X780">
        <v>265</v>
      </c>
      <c r="Y780" t="s">
        <v>789</v>
      </c>
      <c r="Z780" t="s">
        <v>792</v>
      </c>
      <c r="AB780" t="s">
        <v>793</v>
      </c>
      <c r="AD780" t="s">
        <v>794</v>
      </c>
      <c r="AE780" t="s">
        <v>795</v>
      </c>
      <c r="AF780" t="s">
        <v>796</v>
      </c>
      <c r="AG780" t="s">
        <v>797</v>
      </c>
      <c r="AH780">
        <v>200400</v>
      </c>
      <c r="AI780">
        <v>204200</v>
      </c>
      <c r="AJ780">
        <v>2.9600000000000001E-2</v>
      </c>
    </row>
    <row r="781" spans="1:36" x14ac:dyDescent="0.3">
      <c r="A781">
        <f>COUNTIF($D$2:D781,D781)</f>
        <v>31</v>
      </c>
      <c r="B781" t="str">
        <f t="shared" si="49"/>
        <v>31Essex</v>
      </c>
      <c r="C781" t="s">
        <v>2801</v>
      </c>
      <c r="D781" t="s">
        <v>149</v>
      </c>
      <c r="E781">
        <v>30604</v>
      </c>
      <c r="F781" t="s">
        <v>2802</v>
      </c>
      <c r="G781" t="s">
        <v>834</v>
      </c>
      <c r="H781" t="s">
        <v>1293</v>
      </c>
      <c r="I781" t="s">
        <v>836</v>
      </c>
      <c r="J781">
        <f t="shared" ca="1" si="50"/>
        <v>36000</v>
      </c>
      <c r="K781">
        <f t="shared" ca="1" si="51"/>
        <v>6</v>
      </c>
      <c r="N781" t="str">
        <f t="shared" si="48"/>
        <v>Dudley2001Urgent Care Needs – Integrated Access &amp; Rapid ResponseHome-based intermediate care servicesReablement at home (accepting step up and step down users)</v>
      </c>
      <c r="O781" t="s">
        <v>139</v>
      </c>
      <c r="P781" t="s">
        <v>1172</v>
      </c>
      <c r="Q781">
        <v>2001</v>
      </c>
      <c r="R781" t="s">
        <v>2517</v>
      </c>
      <c r="S781" t="s">
        <v>2800</v>
      </c>
      <c r="T781" t="s">
        <v>787</v>
      </c>
      <c r="U781" t="s">
        <v>930</v>
      </c>
      <c r="W781">
        <v>45</v>
      </c>
      <c r="X781">
        <v>45</v>
      </c>
      <c r="Y781" t="s">
        <v>789</v>
      </c>
      <c r="Z781" t="s">
        <v>792</v>
      </c>
      <c r="AB781" t="s">
        <v>793</v>
      </c>
      <c r="AD781" t="s">
        <v>794</v>
      </c>
      <c r="AE781" t="s">
        <v>795</v>
      </c>
      <c r="AF781" t="s">
        <v>1029</v>
      </c>
      <c r="AG781" t="s">
        <v>797</v>
      </c>
      <c r="AH781">
        <v>34200</v>
      </c>
      <c r="AI781">
        <v>34800</v>
      </c>
      <c r="AJ781">
        <v>5.0000000000000001E-3</v>
      </c>
    </row>
    <row r="782" spans="1:36" x14ac:dyDescent="0.3">
      <c r="A782">
        <f>COUNTIF($D$2:D782,D782)</f>
        <v>32</v>
      </c>
      <c r="B782" t="str">
        <f t="shared" si="49"/>
        <v>32Essex</v>
      </c>
      <c r="C782" t="s">
        <v>2803</v>
      </c>
      <c r="D782" t="s">
        <v>149</v>
      </c>
      <c r="E782">
        <v>30605</v>
      </c>
      <c r="F782" t="s">
        <v>2804</v>
      </c>
      <c r="G782" t="s">
        <v>834</v>
      </c>
      <c r="H782" t="s">
        <v>1293</v>
      </c>
      <c r="I782" t="s">
        <v>836</v>
      </c>
      <c r="J782">
        <f t="shared" ca="1" si="50"/>
        <v>52500</v>
      </c>
      <c r="K782">
        <f t="shared" ca="1" si="51"/>
        <v>15</v>
      </c>
      <c r="N782" t="str">
        <f t="shared" si="48"/>
        <v>Dudley3001Ongoing Care Needs - Enhanced Primary &amp; Community CareHome Care or Domiciliary CareDomiciliary care packages</v>
      </c>
      <c r="O782" t="s">
        <v>139</v>
      </c>
      <c r="P782" t="s">
        <v>1172</v>
      </c>
      <c r="Q782">
        <v>3001</v>
      </c>
      <c r="R782" t="s">
        <v>2521</v>
      </c>
      <c r="S782" t="s">
        <v>1847</v>
      </c>
      <c r="T782" t="s">
        <v>842</v>
      </c>
      <c r="U782" t="s">
        <v>843</v>
      </c>
      <c r="W782">
        <v>479629</v>
      </c>
      <c r="X782">
        <v>479629</v>
      </c>
      <c r="Y782" t="s">
        <v>844</v>
      </c>
      <c r="Z782" t="s">
        <v>792</v>
      </c>
      <c r="AB782" t="s">
        <v>793</v>
      </c>
      <c r="AD782" t="s">
        <v>794</v>
      </c>
      <c r="AE782" t="s">
        <v>804</v>
      </c>
      <c r="AF782" t="s">
        <v>796</v>
      </c>
      <c r="AG782" t="s">
        <v>797</v>
      </c>
      <c r="AH782">
        <v>7083923</v>
      </c>
      <c r="AI782">
        <v>7762816</v>
      </c>
      <c r="AJ782">
        <v>0.378</v>
      </c>
    </row>
    <row r="783" spans="1:36" x14ac:dyDescent="0.3">
      <c r="A783">
        <f>COUNTIF($D$2:D783,D783)</f>
        <v>33</v>
      </c>
      <c r="B783" t="str">
        <f t="shared" si="49"/>
        <v>33Essex</v>
      </c>
      <c r="C783" t="s">
        <v>2805</v>
      </c>
      <c r="D783" t="s">
        <v>149</v>
      </c>
      <c r="E783">
        <v>30701</v>
      </c>
      <c r="F783" t="s">
        <v>2806</v>
      </c>
      <c r="G783" t="s">
        <v>834</v>
      </c>
      <c r="H783" t="s">
        <v>1293</v>
      </c>
      <c r="I783" t="s">
        <v>836</v>
      </c>
      <c r="J783">
        <f t="shared" ca="1" si="50"/>
        <v>214681</v>
      </c>
      <c r="K783">
        <f t="shared" ca="1" si="51"/>
        <v>40</v>
      </c>
      <c r="N783" t="str">
        <f t="shared" si="48"/>
        <v>Dudley3001Ongoing Care Needs - Enhanced Primary &amp; Community CareHome Care or Domiciliary CareDomiciliary care packages</v>
      </c>
      <c r="O783" t="s">
        <v>139</v>
      </c>
      <c r="P783" t="s">
        <v>1172</v>
      </c>
      <c r="Q783">
        <v>3001</v>
      </c>
      <c r="R783" t="s">
        <v>2521</v>
      </c>
      <c r="S783" t="s">
        <v>1847</v>
      </c>
      <c r="T783" t="s">
        <v>842</v>
      </c>
      <c r="U783" t="s">
        <v>843</v>
      </c>
      <c r="W783">
        <v>435118</v>
      </c>
      <c r="X783">
        <v>435118</v>
      </c>
      <c r="Y783" t="s">
        <v>844</v>
      </c>
      <c r="Z783" t="s">
        <v>792</v>
      </c>
      <c r="AB783" t="s">
        <v>793</v>
      </c>
      <c r="AD783" t="s">
        <v>794</v>
      </c>
      <c r="AE783" t="s">
        <v>804</v>
      </c>
      <c r="AF783" t="s">
        <v>845</v>
      </c>
      <c r="AG783" t="s">
        <v>797</v>
      </c>
      <c r="AH783">
        <v>6426513</v>
      </c>
      <c r="AI783">
        <v>6426513</v>
      </c>
      <c r="AJ783">
        <v>0.32700000000000001</v>
      </c>
    </row>
    <row r="784" spans="1:36" x14ac:dyDescent="0.3">
      <c r="A784">
        <f>COUNTIF($D$2:D784,D784)</f>
        <v>34</v>
      </c>
      <c r="B784" t="str">
        <f t="shared" si="49"/>
        <v>34Essex</v>
      </c>
      <c r="C784" t="s">
        <v>2807</v>
      </c>
      <c r="D784" t="s">
        <v>149</v>
      </c>
      <c r="E784">
        <v>30702</v>
      </c>
      <c r="F784" t="s">
        <v>2808</v>
      </c>
      <c r="G784" t="s">
        <v>834</v>
      </c>
      <c r="H784" t="s">
        <v>835</v>
      </c>
      <c r="I784" t="s">
        <v>836</v>
      </c>
      <c r="J784">
        <f t="shared" ca="1" si="50"/>
        <v>716532</v>
      </c>
      <c r="K784">
        <f t="shared" ca="1" si="51"/>
        <v>90</v>
      </c>
      <c r="N784" t="str">
        <f t="shared" si="48"/>
        <v>Dudley3001Ongoing Care Needs - Enhanced Primary &amp; Community CareHome Care or Domiciliary CareDomiciliary care packages</v>
      </c>
      <c r="O784" t="s">
        <v>139</v>
      </c>
      <c r="P784" t="s">
        <v>1172</v>
      </c>
      <c r="Q784">
        <v>3001</v>
      </c>
      <c r="R784" t="s">
        <v>2521</v>
      </c>
      <c r="S784" t="s">
        <v>1847</v>
      </c>
      <c r="T784" t="s">
        <v>842</v>
      </c>
      <c r="U784" t="s">
        <v>843</v>
      </c>
      <c r="W784">
        <v>110948</v>
      </c>
      <c r="X784">
        <v>110948</v>
      </c>
      <c r="Y784" t="s">
        <v>844</v>
      </c>
      <c r="Z784" t="s">
        <v>792</v>
      </c>
      <c r="AB784" t="s">
        <v>793</v>
      </c>
      <c r="AD784" t="s">
        <v>794</v>
      </c>
      <c r="AE784" t="s">
        <v>804</v>
      </c>
      <c r="AF784" t="s">
        <v>1029</v>
      </c>
      <c r="AG784" t="s">
        <v>797</v>
      </c>
      <c r="AH784">
        <v>1638664</v>
      </c>
      <c r="AI784">
        <v>1638664</v>
      </c>
      <c r="AJ784">
        <v>8.3000000000000004E-2</v>
      </c>
    </row>
    <row r="785" spans="1:36" x14ac:dyDescent="0.3">
      <c r="A785">
        <f>COUNTIF($D$2:D785,D785)</f>
        <v>35</v>
      </c>
      <c r="B785" t="str">
        <f t="shared" si="49"/>
        <v>35Essex</v>
      </c>
      <c r="C785" t="s">
        <v>2809</v>
      </c>
      <c r="D785" t="s">
        <v>149</v>
      </c>
      <c r="E785">
        <v>30703</v>
      </c>
      <c r="F785" t="s">
        <v>2808</v>
      </c>
      <c r="G785" t="s">
        <v>834</v>
      </c>
      <c r="H785" t="s">
        <v>1293</v>
      </c>
      <c r="I785" t="s">
        <v>836</v>
      </c>
      <c r="J785">
        <f t="shared" ca="1" si="50"/>
        <v>40000</v>
      </c>
      <c r="K785">
        <f t="shared" ca="1" si="51"/>
        <v>2</v>
      </c>
      <c r="N785" t="str">
        <f t="shared" si="48"/>
        <v>Dudley3003Ongoing Care Needs - Enhanced Primary &amp; Community CareCarers ServicesRespite services</v>
      </c>
      <c r="O785" t="s">
        <v>139</v>
      </c>
      <c r="P785" t="s">
        <v>1172</v>
      </c>
      <c r="Q785">
        <v>3003</v>
      </c>
      <c r="R785" t="s">
        <v>2521</v>
      </c>
      <c r="S785" t="s">
        <v>2810</v>
      </c>
      <c r="T785" t="s">
        <v>811</v>
      </c>
      <c r="U785" t="s">
        <v>830</v>
      </c>
      <c r="W785">
        <v>150</v>
      </c>
      <c r="X785">
        <v>150</v>
      </c>
      <c r="Y785" t="s">
        <v>813</v>
      </c>
      <c r="Z785" t="s">
        <v>792</v>
      </c>
      <c r="AB785" t="s">
        <v>793</v>
      </c>
      <c r="AD785" t="s">
        <v>794</v>
      </c>
      <c r="AE785" t="s">
        <v>804</v>
      </c>
      <c r="AF785" t="s">
        <v>796</v>
      </c>
      <c r="AG785" t="s">
        <v>797</v>
      </c>
      <c r="AH785">
        <v>89100</v>
      </c>
      <c r="AI785">
        <v>89100</v>
      </c>
      <c r="AJ785">
        <v>0.12</v>
      </c>
    </row>
    <row r="786" spans="1:36" x14ac:dyDescent="0.3">
      <c r="A786">
        <f>COUNTIF($D$2:D786,D786)</f>
        <v>36</v>
      </c>
      <c r="B786" t="str">
        <f t="shared" si="49"/>
        <v>36Essex</v>
      </c>
      <c r="C786" t="s">
        <v>2811</v>
      </c>
      <c r="D786" t="s">
        <v>149</v>
      </c>
      <c r="E786">
        <v>30801</v>
      </c>
      <c r="F786" t="s">
        <v>2812</v>
      </c>
      <c r="G786" t="s">
        <v>834</v>
      </c>
      <c r="H786" t="s">
        <v>1293</v>
      </c>
      <c r="I786" t="s">
        <v>836</v>
      </c>
      <c r="J786">
        <f t="shared" ca="1" si="50"/>
        <v>337642.80000000005</v>
      </c>
      <c r="K786">
        <f t="shared" ca="1" si="51"/>
        <v>65</v>
      </c>
      <c r="N786" t="str">
        <f t="shared" si="48"/>
        <v>Dudley4001Highest Care Needs – coordinated community-based and inpatient careHome-based intermediate care servicesReablement at home (accepting step up and step down users)</v>
      </c>
      <c r="O786" t="s">
        <v>139</v>
      </c>
      <c r="P786" t="s">
        <v>1172</v>
      </c>
      <c r="Q786">
        <v>4001</v>
      </c>
      <c r="R786" t="s">
        <v>2528</v>
      </c>
      <c r="S786" t="s">
        <v>2813</v>
      </c>
      <c r="T786" t="s">
        <v>787</v>
      </c>
      <c r="U786" t="s">
        <v>930</v>
      </c>
      <c r="W786">
        <v>2188</v>
      </c>
      <c r="X786">
        <v>3054</v>
      </c>
      <c r="Y786" t="s">
        <v>789</v>
      </c>
      <c r="Z786" t="s">
        <v>792</v>
      </c>
      <c r="AB786" t="s">
        <v>793</v>
      </c>
      <c r="AD786" t="s">
        <v>794</v>
      </c>
      <c r="AE786" t="s">
        <v>795</v>
      </c>
      <c r="AF786" t="s">
        <v>796</v>
      </c>
      <c r="AG786" t="s">
        <v>797</v>
      </c>
      <c r="AH786">
        <v>724400</v>
      </c>
      <c r="AI786">
        <v>738500</v>
      </c>
      <c r="AJ786">
        <v>0.107</v>
      </c>
    </row>
    <row r="787" spans="1:36" x14ac:dyDescent="0.3">
      <c r="A787">
        <f>COUNTIF($D$2:D787,D787)</f>
        <v>37</v>
      </c>
      <c r="B787" t="str">
        <f t="shared" si="49"/>
        <v>37Essex</v>
      </c>
      <c r="C787" t="s">
        <v>2814</v>
      </c>
      <c r="D787" t="s">
        <v>149</v>
      </c>
      <c r="E787">
        <v>30802</v>
      </c>
      <c r="F787" t="s">
        <v>2815</v>
      </c>
      <c r="G787" t="s">
        <v>834</v>
      </c>
      <c r="H787" t="s">
        <v>1293</v>
      </c>
      <c r="I787" t="s">
        <v>836</v>
      </c>
      <c r="J787">
        <f t="shared" ca="1" si="50"/>
        <v>26212.2</v>
      </c>
      <c r="K787">
        <f t="shared" ca="1" si="51"/>
        <v>6</v>
      </c>
      <c r="N787" t="str">
        <f t="shared" si="48"/>
        <v>Dudley4001Highest Care Needs – coordinated community-based and inpatient careHome-based intermediate care servicesReablement at home (accepting step up and step down users)</v>
      </c>
      <c r="O787" t="s">
        <v>139</v>
      </c>
      <c r="P787" t="s">
        <v>1172</v>
      </c>
      <c r="Q787">
        <v>4001</v>
      </c>
      <c r="R787" t="s">
        <v>2528</v>
      </c>
      <c r="S787" t="s">
        <v>2813</v>
      </c>
      <c r="T787" t="s">
        <v>787</v>
      </c>
      <c r="U787" t="s">
        <v>930</v>
      </c>
      <c r="W787">
        <v>2188</v>
      </c>
      <c r="X787">
        <v>3054</v>
      </c>
      <c r="Y787" t="s">
        <v>789</v>
      </c>
      <c r="Z787" t="s">
        <v>792</v>
      </c>
      <c r="AB787" t="s">
        <v>793</v>
      </c>
      <c r="AD787" t="s">
        <v>794</v>
      </c>
      <c r="AE787" t="s">
        <v>795</v>
      </c>
      <c r="AF787" t="s">
        <v>1029</v>
      </c>
      <c r="AG787" t="s">
        <v>797</v>
      </c>
      <c r="AH787">
        <v>790300</v>
      </c>
      <c r="AI787">
        <v>809600</v>
      </c>
      <c r="AJ787">
        <v>0.11700000000000001</v>
      </c>
    </row>
    <row r="788" spans="1:36" x14ac:dyDescent="0.3">
      <c r="A788">
        <f>COUNTIF($D$2:D788,D788)</f>
        <v>38</v>
      </c>
      <c r="B788" t="str">
        <f t="shared" si="49"/>
        <v>38Essex</v>
      </c>
      <c r="C788" t="s">
        <v>2816</v>
      </c>
      <c r="D788" t="s">
        <v>149</v>
      </c>
      <c r="E788">
        <v>30803</v>
      </c>
      <c r="F788" t="s">
        <v>2817</v>
      </c>
      <c r="G788" t="s">
        <v>834</v>
      </c>
      <c r="H788" t="s">
        <v>835</v>
      </c>
      <c r="I788" t="s">
        <v>836</v>
      </c>
      <c r="J788">
        <f t="shared" ca="1" si="50"/>
        <v>443204.4</v>
      </c>
      <c r="K788">
        <f t="shared" ca="1" si="51"/>
        <v>45</v>
      </c>
      <c r="N788" t="str">
        <f t="shared" si="48"/>
        <v>Dudley4003Highest Care Needs – coordinated community-based and inpatient careBed based intermediate Care Services (Reablement, rehabilitation, wider short-term services supporting recovery)Bed-based intermediate care with reablement (to support discharge)</v>
      </c>
      <c r="O788" t="s">
        <v>139</v>
      </c>
      <c r="P788" t="s">
        <v>1172</v>
      </c>
      <c r="Q788">
        <v>4003</v>
      </c>
      <c r="R788" t="s">
        <v>2528</v>
      </c>
      <c r="S788" t="s">
        <v>2818</v>
      </c>
      <c r="T788" t="s">
        <v>877</v>
      </c>
      <c r="U788" t="s">
        <v>878</v>
      </c>
      <c r="W788">
        <v>306</v>
      </c>
      <c r="X788">
        <v>306</v>
      </c>
      <c r="Y788" t="s">
        <v>879</v>
      </c>
      <c r="Z788" t="s">
        <v>792</v>
      </c>
      <c r="AB788" t="s">
        <v>793</v>
      </c>
      <c r="AD788" t="s">
        <v>794</v>
      </c>
      <c r="AE788" t="s">
        <v>795</v>
      </c>
      <c r="AF788" t="s">
        <v>796</v>
      </c>
      <c r="AG788" t="s">
        <v>797</v>
      </c>
      <c r="AH788">
        <v>2983600</v>
      </c>
      <c r="AI788">
        <v>3031600</v>
      </c>
      <c r="AJ788">
        <v>0.52900000000000003</v>
      </c>
    </row>
    <row r="789" spans="1:36" x14ac:dyDescent="0.3">
      <c r="A789">
        <f>COUNTIF($D$2:D789,D789)</f>
        <v>39</v>
      </c>
      <c r="B789" t="str">
        <f t="shared" si="49"/>
        <v>39Essex</v>
      </c>
      <c r="C789" t="s">
        <v>2819</v>
      </c>
      <c r="D789" t="s">
        <v>149</v>
      </c>
      <c r="E789">
        <v>30804</v>
      </c>
      <c r="F789" t="s">
        <v>2820</v>
      </c>
      <c r="G789" t="s">
        <v>834</v>
      </c>
      <c r="H789" t="s">
        <v>1293</v>
      </c>
      <c r="I789" t="s">
        <v>836</v>
      </c>
      <c r="J789">
        <f t="shared" ca="1" si="50"/>
        <v>67716.25</v>
      </c>
      <c r="K789">
        <f t="shared" ca="1" si="51"/>
        <v>4</v>
      </c>
      <c r="N789" t="str">
        <f t="shared" si="48"/>
        <v>Dudley4004Highest Care Needs – coordinated community-based and inpatient careHome-based intermediate care servicesReablement at home (accepting step up and step down users)</v>
      </c>
      <c r="O789" t="s">
        <v>139</v>
      </c>
      <c r="P789" t="s">
        <v>1172</v>
      </c>
      <c r="Q789">
        <v>4004</v>
      </c>
      <c r="R789" t="s">
        <v>2528</v>
      </c>
      <c r="S789" t="s">
        <v>2821</v>
      </c>
      <c r="T789" t="s">
        <v>787</v>
      </c>
      <c r="U789" t="s">
        <v>930</v>
      </c>
      <c r="W789">
        <v>1687</v>
      </c>
      <c r="X789">
        <v>1782</v>
      </c>
      <c r="Y789" t="s">
        <v>789</v>
      </c>
      <c r="Z789" t="s">
        <v>792</v>
      </c>
      <c r="AB789" t="s">
        <v>793</v>
      </c>
      <c r="AD789" t="s">
        <v>794</v>
      </c>
      <c r="AE789" t="s">
        <v>804</v>
      </c>
      <c r="AF789" t="s">
        <v>796</v>
      </c>
      <c r="AG789" t="s">
        <v>797</v>
      </c>
      <c r="AH789">
        <v>2235600</v>
      </c>
      <c r="AI789">
        <v>2362100</v>
      </c>
      <c r="AJ789">
        <v>0.33600000000000002</v>
      </c>
    </row>
    <row r="790" spans="1:36" x14ac:dyDescent="0.3">
      <c r="A790">
        <f>COUNTIF($D$2:D790,D790)</f>
        <v>40</v>
      </c>
      <c r="B790" t="str">
        <f t="shared" si="49"/>
        <v>40Essex</v>
      </c>
      <c r="C790" t="s">
        <v>2822</v>
      </c>
      <c r="D790" t="s">
        <v>149</v>
      </c>
      <c r="E790">
        <v>30805</v>
      </c>
      <c r="F790" t="s">
        <v>2823</v>
      </c>
      <c r="G790" t="s">
        <v>834</v>
      </c>
      <c r="H790" t="s">
        <v>812</v>
      </c>
      <c r="I790" t="s">
        <v>836</v>
      </c>
      <c r="J790">
        <f t="shared" ca="1" si="50"/>
        <v>30851.1</v>
      </c>
      <c r="K790">
        <f t="shared" ca="1" si="51"/>
        <v>1</v>
      </c>
      <c r="N790" t="str">
        <f t="shared" si="48"/>
        <v>Dudley4006Highest Care Needs – coordinated community-based and inpatient careHome Care or Domiciliary CareDomiciliary care packages</v>
      </c>
      <c r="O790" t="s">
        <v>139</v>
      </c>
      <c r="P790" t="s">
        <v>1172</v>
      </c>
      <c r="Q790">
        <v>4006</v>
      </c>
      <c r="R790" t="s">
        <v>2528</v>
      </c>
      <c r="S790" t="s">
        <v>2824</v>
      </c>
      <c r="T790" t="s">
        <v>842</v>
      </c>
      <c r="U790" t="s">
        <v>843</v>
      </c>
      <c r="W790">
        <v>22076</v>
      </c>
      <c r="X790">
        <v>22076</v>
      </c>
      <c r="Y790" t="s">
        <v>844</v>
      </c>
      <c r="Z790" t="s">
        <v>792</v>
      </c>
      <c r="AB790" t="s">
        <v>793</v>
      </c>
      <c r="AD790" t="s">
        <v>794</v>
      </c>
      <c r="AE790" t="s">
        <v>804</v>
      </c>
      <c r="AF790" t="s">
        <v>796</v>
      </c>
      <c r="AG790" t="s">
        <v>797</v>
      </c>
      <c r="AH790">
        <v>246100</v>
      </c>
      <c r="AI790">
        <v>260000</v>
      </c>
      <c r="AJ790">
        <v>1.2999999999999999E-2</v>
      </c>
    </row>
    <row r="791" spans="1:36" x14ac:dyDescent="0.3">
      <c r="A791">
        <f>COUNTIF($D$2:D791,D791)</f>
        <v>41</v>
      </c>
      <c r="B791" t="str">
        <f t="shared" si="49"/>
        <v>41Essex</v>
      </c>
      <c r="C791" t="s">
        <v>2825</v>
      </c>
      <c r="D791" t="s">
        <v>149</v>
      </c>
      <c r="E791">
        <v>30901</v>
      </c>
      <c r="F791" t="s">
        <v>2826</v>
      </c>
      <c r="G791" t="s">
        <v>834</v>
      </c>
      <c r="H791" t="s">
        <v>835</v>
      </c>
      <c r="I791" t="s">
        <v>836</v>
      </c>
      <c r="J791">
        <f t="shared" ca="1" si="50"/>
        <v>612131.75</v>
      </c>
      <c r="K791">
        <f t="shared" ca="1" si="51"/>
        <v>100</v>
      </c>
      <c r="N791" t="str">
        <f t="shared" si="48"/>
        <v>Dudley4006Highest Care Needs – coordinated community-based and inpatient careHome Care or Domiciliary CareDomiciliary care packages</v>
      </c>
      <c r="O791" t="s">
        <v>139</v>
      </c>
      <c r="P791" t="s">
        <v>1172</v>
      </c>
      <c r="Q791">
        <v>4006</v>
      </c>
      <c r="R791" t="s">
        <v>2528</v>
      </c>
      <c r="S791" t="s">
        <v>2824</v>
      </c>
      <c r="T791" t="s">
        <v>842</v>
      </c>
      <c r="U791" t="s">
        <v>843</v>
      </c>
      <c r="W791">
        <v>144490</v>
      </c>
      <c r="X791">
        <v>144490</v>
      </c>
      <c r="Y791" t="s">
        <v>844</v>
      </c>
      <c r="Z791" t="s">
        <v>792</v>
      </c>
      <c r="AB791" t="s">
        <v>793</v>
      </c>
      <c r="AD791" t="s">
        <v>794</v>
      </c>
      <c r="AE791" t="s">
        <v>804</v>
      </c>
      <c r="AF791" t="s">
        <v>1029</v>
      </c>
      <c r="AG791" t="s">
        <v>797</v>
      </c>
      <c r="AH791">
        <v>1610789</v>
      </c>
      <c r="AI791">
        <v>1610789</v>
      </c>
      <c r="AJ791">
        <v>8.2000000000000003E-2</v>
      </c>
    </row>
    <row r="792" spans="1:36" x14ac:dyDescent="0.3">
      <c r="A792">
        <f>COUNTIF($D$2:D792,D792)</f>
        <v>42</v>
      </c>
      <c r="B792" t="str">
        <f t="shared" si="49"/>
        <v>42Essex</v>
      </c>
      <c r="C792" t="s">
        <v>2827</v>
      </c>
      <c r="D792" t="s">
        <v>149</v>
      </c>
      <c r="E792">
        <v>31001</v>
      </c>
      <c r="F792" t="s">
        <v>2828</v>
      </c>
      <c r="G792" t="s">
        <v>834</v>
      </c>
      <c r="H792" t="s">
        <v>835</v>
      </c>
      <c r="I792" t="s">
        <v>836</v>
      </c>
      <c r="J792">
        <f t="shared" ca="1" si="50"/>
        <v>540058.75</v>
      </c>
      <c r="K792">
        <f t="shared" ca="1" si="51"/>
        <v>90</v>
      </c>
      <c r="N792" t="str">
        <f t="shared" si="48"/>
        <v>Dudley4007Highest Care Needs – coordinated community-based and inpatient careBed based intermediate Care Services (Reablement, rehabilitation, wider short-term services supporting recovery)Other</v>
      </c>
      <c r="O792" t="s">
        <v>139</v>
      </c>
      <c r="P792" t="s">
        <v>1172</v>
      </c>
      <c r="Q792">
        <v>4007</v>
      </c>
      <c r="R792" t="s">
        <v>2528</v>
      </c>
      <c r="S792" t="s">
        <v>2829</v>
      </c>
      <c r="T792" t="s">
        <v>877</v>
      </c>
      <c r="U792" t="s">
        <v>812</v>
      </c>
      <c r="V792" t="s">
        <v>2830</v>
      </c>
      <c r="W792">
        <v>48</v>
      </c>
      <c r="X792">
        <v>48</v>
      </c>
      <c r="Y792" t="s">
        <v>879</v>
      </c>
      <c r="Z792" t="s">
        <v>792</v>
      </c>
      <c r="AB792" t="s">
        <v>793</v>
      </c>
      <c r="AD792" t="s">
        <v>794</v>
      </c>
      <c r="AE792" t="s">
        <v>804</v>
      </c>
      <c r="AF792" t="s">
        <v>796</v>
      </c>
      <c r="AG792" t="s">
        <v>797</v>
      </c>
      <c r="AH792">
        <v>204300</v>
      </c>
      <c r="AI792">
        <v>215900</v>
      </c>
      <c r="AJ792">
        <v>3.6999999999999998E-2</v>
      </c>
    </row>
    <row r="793" spans="1:36" x14ac:dyDescent="0.3">
      <c r="A793">
        <f>COUNTIF($D$2:D793,D793)</f>
        <v>43</v>
      </c>
      <c r="B793" t="str">
        <f t="shared" si="49"/>
        <v>43Essex</v>
      </c>
      <c r="C793" t="s">
        <v>2831</v>
      </c>
      <c r="D793" t="s">
        <v>149</v>
      </c>
      <c r="E793">
        <v>31101</v>
      </c>
      <c r="F793" t="s">
        <v>2832</v>
      </c>
      <c r="G793" t="s">
        <v>834</v>
      </c>
      <c r="H793" t="s">
        <v>835</v>
      </c>
      <c r="I793" t="s">
        <v>836</v>
      </c>
      <c r="J793">
        <f t="shared" ca="1" si="50"/>
        <v>1704960.75</v>
      </c>
      <c r="K793">
        <f t="shared" ca="1" si="51"/>
        <v>175</v>
      </c>
      <c r="N793" t="str">
        <f t="shared" si="48"/>
        <v>Dudley4007Highest Care Needs – coordinated community-based and inpatient careBed based intermediate Care Services (Reablement, rehabilitation, wider short-term services supporting recovery)Other</v>
      </c>
      <c r="O793" t="s">
        <v>139</v>
      </c>
      <c r="P793" t="s">
        <v>1172</v>
      </c>
      <c r="Q793">
        <v>4007</v>
      </c>
      <c r="R793" t="s">
        <v>2528</v>
      </c>
      <c r="S793" t="s">
        <v>2833</v>
      </c>
      <c r="T793" t="s">
        <v>877</v>
      </c>
      <c r="U793" t="s">
        <v>812</v>
      </c>
      <c r="V793" t="s">
        <v>2830</v>
      </c>
      <c r="W793">
        <v>115</v>
      </c>
      <c r="X793">
        <v>115</v>
      </c>
      <c r="Y793" t="s">
        <v>879</v>
      </c>
      <c r="Z793" t="s">
        <v>792</v>
      </c>
      <c r="AB793" t="s">
        <v>793</v>
      </c>
      <c r="AD793" t="s">
        <v>794</v>
      </c>
      <c r="AE793" t="s">
        <v>804</v>
      </c>
      <c r="AF793" t="s">
        <v>845</v>
      </c>
      <c r="AG793" t="s">
        <v>797</v>
      </c>
      <c r="AH793">
        <v>488901</v>
      </c>
      <c r="AI793">
        <v>488901</v>
      </c>
      <c r="AJ793">
        <v>8.5999999999999993E-2</v>
      </c>
    </row>
    <row r="794" spans="1:36" x14ac:dyDescent="0.3">
      <c r="A794">
        <f>COUNTIF($D$2:D794,D794)</f>
        <v>44</v>
      </c>
      <c r="B794" t="str">
        <f t="shared" si="49"/>
        <v>44Essex</v>
      </c>
      <c r="C794" t="s">
        <v>2834</v>
      </c>
      <c r="D794" t="s">
        <v>149</v>
      </c>
      <c r="E794">
        <v>31102</v>
      </c>
      <c r="F794" t="s">
        <v>2835</v>
      </c>
      <c r="G794" t="s">
        <v>834</v>
      </c>
      <c r="H794" t="s">
        <v>1293</v>
      </c>
      <c r="I794" t="s">
        <v>836</v>
      </c>
      <c r="J794">
        <f t="shared" ca="1" si="50"/>
        <v>140000</v>
      </c>
      <c r="K794">
        <f t="shared" ca="1" si="51"/>
        <v>40</v>
      </c>
      <c r="N794" t="str">
        <f t="shared" si="48"/>
        <v>Dudley4010Highest Care Needs – coordinated community-based and inpatient careHome-based intermediate care servicesOther</v>
      </c>
      <c r="O794" t="s">
        <v>139</v>
      </c>
      <c r="P794" t="s">
        <v>1172</v>
      </c>
      <c r="Q794">
        <v>4010</v>
      </c>
      <c r="R794" t="s">
        <v>2528</v>
      </c>
      <c r="S794" t="s">
        <v>2836</v>
      </c>
      <c r="T794" t="s">
        <v>787</v>
      </c>
      <c r="U794" t="s">
        <v>812</v>
      </c>
      <c r="V794" t="s">
        <v>2837</v>
      </c>
      <c r="W794">
        <v>2188</v>
      </c>
      <c r="X794">
        <v>3054</v>
      </c>
      <c r="Y794" t="s">
        <v>789</v>
      </c>
      <c r="Z794" t="s">
        <v>792</v>
      </c>
      <c r="AB794" t="s">
        <v>793</v>
      </c>
      <c r="AD794" t="s">
        <v>794</v>
      </c>
      <c r="AE794" t="s">
        <v>795</v>
      </c>
      <c r="AF794" t="s">
        <v>845</v>
      </c>
      <c r="AG794" t="s">
        <v>797</v>
      </c>
      <c r="AH794">
        <v>998700</v>
      </c>
      <c r="AI794">
        <v>998700</v>
      </c>
      <c r="AJ794">
        <v>0.14599999999999999</v>
      </c>
    </row>
    <row r="795" spans="1:36" x14ac:dyDescent="0.3">
      <c r="A795">
        <f>COUNTIF($D$2:D795,D795)</f>
        <v>45</v>
      </c>
      <c r="B795" t="str">
        <f t="shared" si="49"/>
        <v>45Essex</v>
      </c>
      <c r="C795" t="s">
        <v>2838</v>
      </c>
      <c r="D795" t="s">
        <v>149</v>
      </c>
      <c r="E795">
        <v>31103</v>
      </c>
      <c r="F795" t="s">
        <v>2839</v>
      </c>
      <c r="G795" t="s">
        <v>834</v>
      </c>
      <c r="H795" t="s">
        <v>1293</v>
      </c>
      <c r="I795" t="s">
        <v>836</v>
      </c>
      <c r="J795">
        <f t="shared" ca="1" si="50"/>
        <v>250000</v>
      </c>
      <c r="K795">
        <f t="shared" ca="1" si="51"/>
        <v>50</v>
      </c>
      <c r="N795" t="str">
        <f t="shared" si="48"/>
        <v>Dudley4013Highest Care Needs – coordinated community-based and inpatient careHome Care or Domiciliary CareDomiciliary care packages</v>
      </c>
      <c r="O795" t="s">
        <v>139</v>
      </c>
      <c r="P795" t="s">
        <v>1172</v>
      </c>
      <c r="Q795">
        <v>4013</v>
      </c>
      <c r="R795" t="s">
        <v>2528</v>
      </c>
      <c r="S795" t="s">
        <v>2840</v>
      </c>
      <c r="T795" t="s">
        <v>842</v>
      </c>
      <c r="U795" t="s">
        <v>843</v>
      </c>
      <c r="W795">
        <v>98976</v>
      </c>
      <c r="X795">
        <v>98976</v>
      </c>
      <c r="Y795" t="s">
        <v>844</v>
      </c>
      <c r="Z795" t="s">
        <v>792</v>
      </c>
      <c r="AB795" t="s">
        <v>793</v>
      </c>
      <c r="AD795" t="s">
        <v>794</v>
      </c>
      <c r="AE795" t="s">
        <v>804</v>
      </c>
      <c r="AF795" t="s">
        <v>845</v>
      </c>
      <c r="AG795" t="s">
        <v>797</v>
      </c>
      <c r="AH795">
        <v>1561621</v>
      </c>
      <c r="AI795">
        <v>1561621</v>
      </c>
      <c r="AJ795">
        <v>7.9000000000000001E-2</v>
      </c>
    </row>
    <row r="796" spans="1:36" x14ac:dyDescent="0.3">
      <c r="A796">
        <f>COUNTIF($D$2:D796,D796)</f>
        <v>46</v>
      </c>
      <c r="B796" t="str">
        <f t="shared" si="49"/>
        <v>46Essex</v>
      </c>
      <c r="C796" t="s">
        <v>2841</v>
      </c>
      <c r="D796" t="s">
        <v>149</v>
      </c>
      <c r="E796">
        <v>31104</v>
      </c>
      <c r="F796" t="s">
        <v>2842</v>
      </c>
      <c r="G796" t="s">
        <v>834</v>
      </c>
      <c r="H796" t="s">
        <v>1293</v>
      </c>
      <c r="I796" t="s">
        <v>836</v>
      </c>
      <c r="J796">
        <f t="shared" ca="1" si="50"/>
        <v>15000</v>
      </c>
      <c r="K796">
        <f t="shared" ca="1" si="51"/>
        <v>1</v>
      </c>
      <c r="N796" t="str">
        <f t="shared" si="48"/>
        <v>Dudley5001Discharge to AssessHome Care or Domiciliary CareDomiciliary care packages</v>
      </c>
      <c r="O796" t="s">
        <v>139</v>
      </c>
      <c r="P796" t="s">
        <v>1172</v>
      </c>
      <c r="Q796">
        <v>5001</v>
      </c>
      <c r="R796" t="s">
        <v>1786</v>
      </c>
      <c r="S796" t="s">
        <v>2843</v>
      </c>
      <c r="T796" t="s">
        <v>842</v>
      </c>
      <c r="U796" t="s">
        <v>843</v>
      </c>
      <c r="W796">
        <v>37128</v>
      </c>
      <c r="X796">
        <v>37128</v>
      </c>
      <c r="Y796" t="s">
        <v>844</v>
      </c>
      <c r="Z796" t="s">
        <v>792</v>
      </c>
      <c r="AB796" t="s">
        <v>793</v>
      </c>
      <c r="AD796" t="s">
        <v>794</v>
      </c>
      <c r="AE796" t="s">
        <v>804</v>
      </c>
      <c r="AF796" t="s">
        <v>864</v>
      </c>
      <c r="AG796" t="s">
        <v>797</v>
      </c>
      <c r="AH796">
        <v>732164</v>
      </c>
      <c r="AI796">
        <v>732164</v>
      </c>
      <c r="AJ796">
        <v>3.6999999999999998E-2</v>
      </c>
    </row>
    <row r="797" spans="1:36" x14ac:dyDescent="0.3">
      <c r="A797">
        <f>COUNTIF($D$2:D797,D797)</f>
        <v>47</v>
      </c>
      <c r="B797" t="str">
        <f t="shared" si="49"/>
        <v>47Essex</v>
      </c>
      <c r="C797" t="s">
        <v>2844</v>
      </c>
      <c r="D797" t="s">
        <v>149</v>
      </c>
      <c r="E797">
        <v>31105</v>
      </c>
      <c r="F797" t="s">
        <v>2845</v>
      </c>
      <c r="G797" t="s">
        <v>834</v>
      </c>
      <c r="H797" t="s">
        <v>1293</v>
      </c>
      <c r="I797" t="s">
        <v>836</v>
      </c>
      <c r="J797">
        <f t="shared" ca="1" si="50"/>
        <v>30000</v>
      </c>
      <c r="K797">
        <f t="shared" ca="1" si="51"/>
        <v>1</v>
      </c>
      <c r="N797" t="str">
        <f t="shared" si="48"/>
        <v>Dudley5001Discharge to AssessHome-based intermediate care servicesReablement at home (accepting step up and step down users)</v>
      </c>
      <c r="O797" t="s">
        <v>139</v>
      </c>
      <c r="P797" t="s">
        <v>1172</v>
      </c>
      <c r="Q797">
        <v>5001</v>
      </c>
      <c r="R797" t="s">
        <v>1786</v>
      </c>
      <c r="S797" t="s">
        <v>2846</v>
      </c>
      <c r="T797" t="s">
        <v>787</v>
      </c>
      <c r="U797" t="s">
        <v>930</v>
      </c>
      <c r="W797">
        <v>501</v>
      </c>
      <c r="X797">
        <v>1272</v>
      </c>
      <c r="Y797" t="s">
        <v>789</v>
      </c>
      <c r="Z797" t="s">
        <v>792</v>
      </c>
      <c r="AB797" t="s">
        <v>793</v>
      </c>
      <c r="AD797" t="s">
        <v>794</v>
      </c>
      <c r="AE797" t="s">
        <v>795</v>
      </c>
      <c r="AF797" t="s">
        <v>864</v>
      </c>
      <c r="AG797" t="s">
        <v>861</v>
      </c>
      <c r="AH797">
        <v>1000000</v>
      </c>
      <c r="AI797">
        <v>2538578</v>
      </c>
      <c r="AJ797">
        <v>0.26</v>
      </c>
    </row>
    <row r="798" spans="1:36" x14ac:dyDescent="0.3">
      <c r="A798">
        <f>COUNTIF($D$2:D798,D798)</f>
        <v>48</v>
      </c>
      <c r="B798" t="str">
        <f t="shared" si="49"/>
        <v>48Essex</v>
      </c>
      <c r="C798" t="s">
        <v>2847</v>
      </c>
      <c r="D798" t="s">
        <v>149</v>
      </c>
      <c r="E798">
        <v>31201</v>
      </c>
      <c r="F798" t="s">
        <v>2848</v>
      </c>
      <c r="G798" t="s">
        <v>834</v>
      </c>
      <c r="H798" t="s">
        <v>835</v>
      </c>
      <c r="I798" t="s">
        <v>836</v>
      </c>
      <c r="J798">
        <f t="shared" ca="1" si="50"/>
        <v>225575.75</v>
      </c>
      <c r="K798">
        <f t="shared" ca="1" si="51"/>
        <v>33</v>
      </c>
      <c r="N798" t="str">
        <f t="shared" si="48"/>
        <v>Dudley5003Additional equipment Assistive Technologies and EquipmentCommunity based equipment</v>
      </c>
      <c r="O798" t="s">
        <v>139</v>
      </c>
      <c r="P798" t="s">
        <v>1172</v>
      </c>
      <c r="Q798">
        <v>5003</v>
      </c>
      <c r="R798" t="s">
        <v>2545</v>
      </c>
      <c r="S798" t="s">
        <v>2849</v>
      </c>
      <c r="T798" t="s">
        <v>800</v>
      </c>
      <c r="U798" t="s">
        <v>903</v>
      </c>
      <c r="W798">
        <v>2544</v>
      </c>
      <c r="X798">
        <v>2544</v>
      </c>
      <c r="Y798" t="s">
        <v>802</v>
      </c>
      <c r="Z798" t="s">
        <v>792</v>
      </c>
      <c r="AB798" t="s">
        <v>793</v>
      </c>
      <c r="AD798" t="s">
        <v>794</v>
      </c>
      <c r="AE798" t="s">
        <v>795</v>
      </c>
      <c r="AF798" t="s">
        <v>864</v>
      </c>
      <c r="AG798" t="s">
        <v>797</v>
      </c>
      <c r="AH798">
        <v>200000</v>
      </c>
      <c r="AI798">
        <v>200000</v>
      </c>
      <c r="AJ798">
        <v>7.6999999999999999E-2</v>
      </c>
    </row>
    <row r="799" spans="1:36" x14ac:dyDescent="0.3">
      <c r="A799">
        <f>COUNTIF($D$2:D799,D799)</f>
        <v>49</v>
      </c>
      <c r="B799" t="str">
        <f t="shared" si="49"/>
        <v>49Essex</v>
      </c>
      <c r="C799" t="s">
        <v>2850</v>
      </c>
      <c r="D799" t="s">
        <v>149</v>
      </c>
      <c r="E799">
        <v>31202</v>
      </c>
      <c r="F799" t="s">
        <v>2848</v>
      </c>
      <c r="G799" t="s">
        <v>834</v>
      </c>
      <c r="H799" t="s">
        <v>1293</v>
      </c>
      <c r="I799" t="s">
        <v>836</v>
      </c>
      <c r="J799">
        <f t="shared" ca="1" si="50"/>
        <v>10000</v>
      </c>
      <c r="K799">
        <f t="shared" ca="1" si="51"/>
        <v>2</v>
      </c>
      <c r="N799" t="str">
        <f t="shared" si="48"/>
        <v>Dudley232501Tissue Viability ServiceAssistive Technologies and EquipmentCommunity based equipment</v>
      </c>
      <c r="O799" t="s">
        <v>139</v>
      </c>
      <c r="P799" t="s">
        <v>1172</v>
      </c>
      <c r="Q799">
        <v>232501</v>
      </c>
      <c r="R799" t="s">
        <v>2547</v>
      </c>
      <c r="S799" t="s">
        <v>2851</v>
      </c>
      <c r="T799" t="s">
        <v>800</v>
      </c>
      <c r="U799" t="s">
        <v>903</v>
      </c>
      <c r="W799">
        <v>1550</v>
      </c>
      <c r="X799">
        <v>1750</v>
      </c>
      <c r="Y799" t="s">
        <v>802</v>
      </c>
      <c r="Z799" t="s">
        <v>823</v>
      </c>
      <c r="AB799" t="s">
        <v>824</v>
      </c>
      <c r="AD799" t="s">
        <v>794</v>
      </c>
      <c r="AE799" t="s">
        <v>824</v>
      </c>
      <c r="AF799" t="s">
        <v>796</v>
      </c>
      <c r="AG799" t="s">
        <v>797</v>
      </c>
      <c r="AH799">
        <v>1287006</v>
      </c>
      <c r="AI799">
        <v>1296015</v>
      </c>
      <c r="AJ799">
        <v>0.48399999999999999</v>
      </c>
    </row>
    <row r="800" spans="1:36" x14ac:dyDescent="0.3">
      <c r="A800">
        <f>COUNTIF($D$2:D800,D800)</f>
        <v>50</v>
      </c>
      <c r="B800" t="str">
        <f t="shared" si="49"/>
        <v>50Essex</v>
      </c>
      <c r="C800" t="s">
        <v>2852</v>
      </c>
      <c r="D800" t="s">
        <v>149</v>
      </c>
      <c r="E800">
        <v>10005</v>
      </c>
      <c r="F800" t="s">
        <v>2853</v>
      </c>
      <c r="G800" t="s">
        <v>811</v>
      </c>
      <c r="H800" t="s">
        <v>895</v>
      </c>
      <c r="I800" t="s">
        <v>813</v>
      </c>
      <c r="J800">
        <f t="shared" ca="1" si="50"/>
        <v>927000</v>
      </c>
      <c r="K800">
        <f t="shared" ca="1" si="51"/>
        <v>5000</v>
      </c>
      <c r="N800" t="str">
        <f t="shared" si="48"/>
        <v>Dudley232502Clinical HubUrgent Community Response</v>
      </c>
      <c r="O800" t="s">
        <v>139</v>
      </c>
      <c r="P800" t="s">
        <v>1172</v>
      </c>
      <c r="Q800">
        <v>232502</v>
      </c>
      <c r="R800" t="s">
        <v>2550</v>
      </c>
      <c r="S800" t="s">
        <v>2854</v>
      </c>
      <c r="T800" t="s">
        <v>705</v>
      </c>
      <c r="W800">
        <v>37</v>
      </c>
      <c r="X800">
        <v>37</v>
      </c>
      <c r="Y800" t="s">
        <v>794</v>
      </c>
      <c r="Z800" t="s">
        <v>823</v>
      </c>
      <c r="AB800" t="s">
        <v>824</v>
      </c>
      <c r="AD800" t="s">
        <v>794</v>
      </c>
      <c r="AE800" t="s">
        <v>824</v>
      </c>
      <c r="AF800" t="s">
        <v>1042</v>
      </c>
      <c r="AG800" t="s">
        <v>797</v>
      </c>
      <c r="AH800">
        <v>619057</v>
      </c>
      <c r="AI800">
        <v>623390</v>
      </c>
      <c r="AJ800">
        <v>0.28799999999999998</v>
      </c>
    </row>
    <row r="801" spans="1:36" x14ac:dyDescent="0.3">
      <c r="A801">
        <f>COUNTIF($D$2:D801,D801)</f>
        <v>51</v>
      </c>
      <c r="B801" t="str">
        <f t="shared" si="49"/>
        <v>51Essex</v>
      </c>
      <c r="C801" t="s">
        <v>2855</v>
      </c>
      <c r="D801" t="s">
        <v>149</v>
      </c>
      <c r="E801">
        <v>51003</v>
      </c>
      <c r="F801" t="s">
        <v>2856</v>
      </c>
      <c r="G801" t="s">
        <v>877</v>
      </c>
      <c r="H801" t="s">
        <v>968</v>
      </c>
      <c r="I801" t="s">
        <v>879</v>
      </c>
      <c r="J801">
        <f t="shared" ca="1" si="50"/>
        <v>109392</v>
      </c>
      <c r="K801">
        <f t="shared" ca="1" si="51"/>
        <v>48</v>
      </c>
      <c r="N801" t="str">
        <f t="shared" si="48"/>
        <v>Dudley232503Palliative and End of Life Care – dedicated Domiciliary Care TeamsCommunity Based SchemesMultidisciplinary teams that are supporting independence, such as anticipatory care</v>
      </c>
      <c r="O801" t="s">
        <v>139</v>
      </c>
      <c r="P801" t="s">
        <v>1172</v>
      </c>
      <c r="Q801">
        <v>232503</v>
      </c>
      <c r="R801" t="s">
        <v>2552</v>
      </c>
      <c r="S801" t="s">
        <v>2857</v>
      </c>
      <c r="T801" t="s">
        <v>1453</v>
      </c>
      <c r="U801" t="s">
        <v>1454</v>
      </c>
      <c r="W801">
        <v>6</v>
      </c>
      <c r="X801">
        <v>6</v>
      </c>
      <c r="Y801" t="s">
        <v>794</v>
      </c>
      <c r="Z801" t="s">
        <v>823</v>
      </c>
      <c r="AB801" t="s">
        <v>824</v>
      </c>
      <c r="AD801" t="s">
        <v>794</v>
      </c>
      <c r="AE801" t="s">
        <v>824</v>
      </c>
      <c r="AF801" t="s">
        <v>796</v>
      </c>
      <c r="AG801" t="s">
        <v>797</v>
      </c>
      <c r="AH801">
        <v>1962619</v>
      </c>
      <c r="AI801">
        <v>1976357</v>
      </c>
      <c r="AJ801">
        <v>0.215</v>
      </c>
    </row>
    <row r="802" spans="1:36" x14ac:dyDescent="0.3">
      <c r="A802">
        <f>COUNTIF($D$2:D802,D802)</f>
        <v>52</v>
      </c>
      <c r="B802" t="str">
        <f t="shared" si="49"/>
        <v>52Essex</v>
      </c>
      <c r="C802" t="s">
        <v>2858</v>
      </c>
      <c r="D802" t="s">
        <v>149</v>
      </c>
      <c r="E802">
        <v>51009</v>
      </c>
      <c r="F802" t="s">
        <v>2859</v>
      </c>
      <c r="G802" t="s">
        <v>787</v>
      </c>
      <c r="H802" t="s">
        <v>788</v>
      </c>
      <c r="I802" t="s">
        <v>789</v>
      </c>
      <c r="J802">
        <f t="shared" ca="1" si="50"/>
        <v>426834</v>
      </c>
      <c r="K802">
        <f t="shared" ca="1" si="51"/>
        <v>60</v>
      </c>
      <c r="N802" t="str">
        <f t="shared" si="48"/>
        <v>Dudley232504Own Bed Instead (OBI)High Impact Change Model for Managing Transfer of CareHome First/Discharge to Assess - process support/core costs</v>
      </c>
      <c r="O802" t="s">
        <v>139</v>
      </c>
      <c r="P802" t="s">
        <v>1172</v>
      </c>
      <c r="Q802">
        <v>232504</v>
      </c>
      <c r="R802" t="s">
        <v>2554</v>
      </c>
      <c r="S802" t="s">
        <v>2860</v>
      </c>
      <c r="T802" t="s">
        <v>1402</v>
      </c>
      <c r="U802" t="s">
        <v>1411</v>
      </c>
      <c r="W802">
        <v>2</v>
      </c>
      <c r="X802">
        <v>2</v>
      </c>
      <c r="Y802" t="s">
        <v>794</v>
      </c>
      <c r="Z802" t="s">
        <v>823</v>
      </c>
      <c r="AB802" t="s">
        <v>824</v>
      </c>
      <c r="AD802" t="s">
        <v>794</v>
      </c>
      <c r="AE802" t="s">
        <v>824</v>
      </c>
      <c r="AF802" t="s">
        <v>796</v>
      </c>
      <c r="AG802" t="s">
        <v>797</v>
      </c>
      <c r="AH802">
        <v>487055</v>
      </c>
      <c r="AI802">
        <v>490464</v>
      </c>
      <c r="AJ802">
        <v>0.13800000000000001</v>
      </c>
    </row>
    <row r="803" spans="1:36" x14ac:dyDescent="0.3">
      <c r="A803">
        <f>COUNTIF($D$2:D803,D803)</f>
        <v>53</v>
      </c>
      <c r="B803" t="str">
        <f t="shared" si="49"/>
        <v>53Essex</v>
      </c>
      <c r="C803" t="s">
        <v>2861</v>
      </c>
      <c r="D803" t="s">
        <v>149</v>
      </c>
      <c r="E803">
        <v>52001</v>
      </c>
      <c r="F803" t="s">
        <v>2862</v>
      </c>
      <c r="G803" t="s">
        <v>877</v>
      </c>
      <c r="H803" t="s">
        <v>878</v>
      </c>
      <c r="I803" t="s">
        <v>879</v>
      </c>
      <c r="J803">
        <f t="shared" ca="1" si="50"/>
        <v>412311</v>
      </c>
      <c r="K803">
        <f t="shared" ca="1" si="51"/>
        <v>777</v>
      </c>
      <c r="N803" t="str">
        <f t="shared" si="48"/>
        <v>Dudley232505Long Term Conditions Nurses - Hospital Avoidance TeamCommunity Based SchemesMultidisciplinary teams that are supporting independence, such as anticipatory care</v>
      </c>
      <c r="O803" t="s">
        <v>139</v>
      </c>
      <c r="P803" t="s">
        <v>1172</v>
      </c>
      <c r="Q803">
        <v>232505</v>
      </c>
      <c r="R803" t="s">
        <v>2556</v>
      </c>
      <c r="S803" t="s">
        <v>2863</v>
      </c>
      <c r="T803" t="s">
        <v>1453</v>
      </c>
      <c r="U803" t="s">
        <v>1454</v>
      </c>
      <c r="W803">
        <v>10</v>
      </c>
      <c r="X803">
        <v>10</v>
      </c>
      <c r="Y803" t="s">
        <v>794</v>
      </c>
      <c r="Z803" t="s">
        <v>823</v>
      </c>
      <c r="AB803" t="s">
        <v>824</v>
      </c>
      <c r="AD803" t="s">
        <v>794</v>
      </c>
      <c r="AE803" t="s">
        <v>824</v>
      </c>
      <c r="AF803" t="s">
        <v>796</v>
      </c>
      <c r="AG803" t="s">
        <v>797</v>
      </c>
      <c r="AH803">
        <v>252944</v>
      </c>
      <c r="AI803">
        <v>254715</v>
      </c>
      <c r="AJ803">
        <v>2.8000000000000001E-2</v>
      </c>
    </row>
    <row r="804" spans="1:36" x14ac:dyDescent="0.3">
      <c r="A804">
        <f>COUNTIF($D$2:D804,D804)</f>
        <v>1</v>
      </c>
      <c r="B804" t="str">
        <f t="shared" si="49"/>
        <v>1Gateshead</v>
      </c>
      <c r="C804" t="s">
        <v>2864</v>
      </c>
      <c r="D804" t="s">
        <v>151</v>
      </c>
      <c r="E804">
        <v>1</v>
      </c>
      <c r="F804" t="s">
        <v>2865</v>
      </c>
      <c r="G804" t="s">
        <v>787</v>
      </c>
      <c r="H804" t="s">
        <v>788</v>
      </c>
      <c r="I804" t="s">
        <v>789</v>
      </c>
      <c r="J804">
        <f t="shared" ca="1" si="50"/>
        <v>3117478</v>
      </c>
      <c r="K804">
        <f t="shared" ca="1" si="51"/>
        <v>1731</v>
      </c>
      <c r="N804" t="str">
        <f t="shared" si="48"/>
        <v>Dudley232508Pathway 3 BedsBed based intermediate Care Services (Reablement, rehabilitation, wider short-term services supporting recovery)Bed-based intermediate care with reablement (to support discharge)</v>
      </c>
      <c r="O804" t="s">
        <v>139</v>
      </c>
      <c r="P804" t="s">
        <v>1172</v>
      </c>
      <c r="Q804">
        <v>232508</v>
      </c>
      <c r="R804" t="s">
        <v>2558</v>
      </c>
      <c r="S804" t="s">
        <v>2866</v>
      </c>
      <c r="T804" t="s">
        <v>877</v>
      </c>
      <c r="U804" t="s">
        <v>878</v>
      </c>
      <c r="W804">
        <v>37</v>
      </c>
      <c r="X804">
        <v>37</v>
      </c>
      <c r="Y804" t="s">
        <v>879</v>
      </c>
      <c r="Z804" t="s">
        <v>823</v>
      </c>
      <c r="AB804" t="s">
        <v>824</v>
      </c>
      <c r="AD804" t="s">
        <v>794</v>
      </c>
      <c r="AE804" t="s">
        <v>804</v>
      </c>
      <c r="AF804" t="s">
        <v>796</v>
      </c>
      <c r="AG804" t="s">
        <v>797</v>
      </c>
      <c r="AH804">
        <v>1093476</v>
      </c>
      <c r="AI804">
        <v>1101130.3319999999</v>
      </c>
      <c r="AJ804">
        <v>0.193</v>
      </c>
    </row>
    <row r="805" spans="1:36" x14ac:dyDescent="0.3">
      <c r="A805">
        <f>COUNTIF($D$2:D805,D805)</f>
        <v>2</v>
      </c>
      <c r="B805" t="str">
        <f t="shared" si="49"/>
        <v>2Gateshead</v>
      </c>
      <c r="C805" t="s">
        <v>2867</v>
      </c>
      <c r="D805" t="s">
        <v>151</v>
      </c>
      <c r="E805">
        <v>2</v>
      </c>
      <c r="F805" t="s">
        <v>2868</v>
      </c>
      <c r="G805" t="s">
        <v>806</v>
      </c>
      <c r="H805" t="s">
        <v>2869</v>
      </c>
      <c r="I805" t="s">
        <v>808</v>
      </c>
      <c r="J805">
        <f t="shared" ca="1" si="50"/>
        <v>3963162.0300000003</v>
      </c>
      <c r="K805">
        <f t="shared" ca="1" si="51"/>
        <v>140</v>
      </c>
      <c r="N805" t="str">
        <f t="shared" si="48"/>
        <v>Dudley232509Pathway 2 Neuro Rehab BedsBed based intermediate Care Services (Reablement, rehabilitation, wider short-term services supporting recovery)Bed-based intermediate care with rehabilitation (to support discharge)</v>
      </c>
      <c r="O805" t="s">
        <v>139</v>
      </c>
      <c r="P805" t="s">
        <v>1172</v>
      </c>
      <c r="Q805">
        <v>232509</v>
      </c>
      <c r="R805" t="s">
        <v>2560</v>
      </c>
      <c r="S805" t="s">
        <v>2870</v>
      </c>
      <c r="T805" t="s">
        <v>877</v>
      </c>
      <c r="U805" t="s">
        <v>968</v>
      </c>
      <c r="W805">
        <v>29</v>
      </c>
      <c r="X805">
        <v>29</v>
      </c>
      <c r="Y805" t="s">
        <v>879</v>
      </c>
      <c r="Z805" t="s">
        <v>823</v>
      </c>
      <c r="AB805" t="s">
        <v>824</v>
      </c>
      <c r="AD805" t="s">
        <v>794</v>
      </c>
      <c r="AE805" t="s">
        <v>804</v>
      </c>
      <c r="AF805" t="s">
        <v>796</v>
      </c>
      <c r="AG805" t="s">
        <v>797</v>
      </c>
      <c r="AH805">
        <v>550000</v>
      </c>
      <c r="AI805">
        <v>755250</v>
      </c>
      <c r="AJ805">
        <v>0.13200000000000001</v>
      </c>
    </row>
    <row r="806" spans="1:36" x14ac:dyDescent="0.3">
      <c r="A806">
        <f>COUNTIF($D$2:D806,D806)</f>
        <v>3</v>
      </c>
      <c r="B806" t="str">
        <f t="shared" si="49"/>
        <v>3Gateshead</v>
      </c>
      <c r="C806" t="s">
        <v>2871</v>
      </c>
      <c r="D806" t="s">
        <v>151</v>
      </c>
      <c r="E806">
        <v>2</v>
      </c>
      <c r="F806" t="s">
        <v>2868</v>
      </c>
      <c r="G806" t="s">
        <v>842</v>
      </c>
      <c r="H806" t="s">
        <v>843</v>
      </c>
      <c r="I806" t="s">
        <v>844</v>
      </c>
      <c r="J806">
        <f t="shared" ca="1" si="50"/>
        <v>4227000</v>
      </c>
      <c r="K806">
        <f t="shared" ca="1" si="51"/>
        <v>219010</v>
      </c>
      <c r="N806" t="str">
        <f t="shared" si="48"/>
        <v>Dudley232510Pathway 2 Neuro Rehab Beds ASCDFBed based intermediate Care Services (Reablement, rehabilitation, wider short-term services supporting recovery)Bed-based intermediate care with rehabilitation (to support discharge)</v>
      </c>
      <c r="O806" t="s">
        <v>139</v>
      </c>
      <c r="P806" t="s">
        <v>1172</v>
      </c>
      <c r="Q806">
        <v>232510</v>
      </c>
      <c r="R806" t="s">
        <v>2562</v>
      </c>
      <c r="S806" t="s">
        <v>2872</v>
      </c>
      <c r="T806" t="s">
        <v>877</v>
      </c>
      <c r="U806" t="s">
        <v>968</v>
      </c>
      <c r="W806">
        <v>2</v>
      </c>
      <c r="X806">
        <v>2</v>
      </c>
      <c r="Y806" t="s">
        <v>879</v>
      </c>
      <c r="Z806" t="s">
        <v>823</v>
      </c>
      <c r="AB806" t="s">
        <v>824</v>
      </c>
      <c r="AD806" t="s">
        <v>794</v>
      </c>
      <c r="AE806" t="s">
        <v>804</v>
      </c>
      <c r="AF806" t="s">
        <v>860</v>
      </c>
      <c r="AG806" t="s">
        <v>797</v>
      </c>
      <c r="AH806">
        <v>100000</v>
      </c>
      <c r="AI806">
        <v>150000</v>
      </c>
      <c r="AJ806">
        <v>2.1999999999999999E-2</v>
      </c>
    </row>
    <row r="807" spans="1:36" x14ac:dyDescent="0.3">
      <c r="A807">
        <f>COUNTIF($D$2:D807,D807)</f>
        <v>4</v>
      </c>
      <c r="B807" t="str">
        <f t="shared" si="49"/>
        <v>4Gateshead</v>
      </c>
      <c r="C807" t="s">
        <v>2873</v>
      </c>
      <c r="D807" t="s">
        <v>151</v>
      </c>
      <c r="E807">
        <v>1</v>
      </c>
      <c r="F807" t="s">
        <v>2865</v>
      </c>
      <c r="G807" t="s">
        <v>877</v>
      </c>
      <c r="H807" t="s">
        <v>968</v>
      </c>
      <c r="I807" t="s">
        <v>879</v>
      </c>
      <c r="J807">
        <f t="shared" ca="1" si="50"/>
        <v>566697</v>
      </c>
      <c r="K807">
        <f t="shared" ca="1" si="51"/>
        <v>66</v>
      </c>
      <c r="N807" t="str">
        <f t="shared" si="48"/>
        <v>Ealing32LA Contribution towards reablement cost from HomewardHome Care or Domiciliary CareDomiciliary care to support hospital discharge (Discharge to Assess pathway 1)</v>
      </c>
      <c r="O807" t="s">
        <v>141</v>
      </c>
      <c r="P807" t="s">
        <v>790</v>
      </c>
      <c r="Q807">
        <v>32</v>
      </c>
      <c r="R807" t="s">
        <v>2564</v>
      </c>
      <c r="S807" t="s">
        <v>2874</v>
      </c>
      <c r="T807" t="s">
        <v>842</v>
      </c>
      <c r="U807" t="s">
        <v>856</v>
      </c>
      <c r="W807">
        <v>78312</v>
      </c>
      <c r="X807">
        <v>78312</v>
      </c>
      <c r="Y807" t="s">
        <v>844</v>
      </c>
      <c r="Z807" t="s">
        <v>792</v>
      </c>
      <c r="AB807" t="s">
        <v>793</v>
      </c>
      <c r="AD807" t="s">
        <v>794</v>
      </c>
      <c r="AE807" t="s">
        <v>795</v>
      </c>
      <c r="AF807" t="s">
        <v>1042</v>
      </c>
      <c r="AG807" t="s">
        <v>797</v>
      </c>
      <c r="AH807">
        <v>1378304</v>
      </c>
      <c r="AI807">
        <v>1378304</v>
      </c>
      <c r="AJ807">
        <v>0.256251313093803</v>
      </c>
    </row>
    <row r="808" spans="1:36" x14ac:dyDescent="0.3">
      <c r="A808">
        <f>COUNTIF($D$2:D808,D808)</f>
        <v>5</v>
      </c>
      <c r="B808" t="str">
        <f t="shared" si="49"/>
        <v>5Gateshead</v>
      </c>
      <c r="C808" t="s">
        <v>2875</v>
      </c>
      <c r="D808" t="s">
        <v>151</v>
      </c>
      <c r="E808">
        <v>4</v>
      </c>
      <c r="F808" t="s">
        <v>2876</v>
      </c>
      <c r="G808" t="s">
        <v>842</v>
      </c>
      <c r="H808" t="s">
        <v>843</v>
      </c>
      <c r="I808" t="s">
        <v>844</v>
      </c>
      <c r="J808">
        <f t="shared" ca="1" si="50"/>
        <v>366000</v>
      </c>
      <c r="K808">
        <f t="shared" ca="1" si="51"/>
        <v>18960</v>
      </c>
      <c r="N808" t="str">
        <f t="shared" si="48"/>
        <v>Ealing12LA Community Equipment - Health SpendAssistive Technologies and EquipmentCommunity based equipment</v>
      </c>
      <c r="O808" t="s">
        <v>141</v>
      </c>
      <c r="P808" t="s">
        <v>790</v>
      </c>
      <c r="Q808">
        <v>12</v>
      </c>
      <c r="R808" t="s">
        <v>2566</v>
      </c>
      <c r="S808" t="s">
        <v>2877</v>
      </c>
      <c r="T808" t="s">
        <v>800</v>
      </c>
      <c r="U808" t="s">
        <v>903</v>
      </c>
      <c r="W808">
        <v>3058</v>
      </c>
      <c r="X808">
        <v>3058</v>
      </c>
      <c r="Y808" t="s">
        <v>802</v>
      </c>
      <c r="Z808" t="s">
        <v>812</v>
      </c>
      <c r="AA808" t="s">
        <v>2878</v>
      </c>
      <c r="AB808" t="s">
        <v>1739</v>
      </c>
      <c r="AC808">
        <v>0.5</v>
      </c>
      <c r="AD808">
        <v>0.5</v>
      </c>
      <c r="AE808" t="s">
        <v>804</v>
      </c>
      <c r="AF808" t="s">
        <v>796</v>
      </c>
      <c r="AG808" t="s">
        <v>797</v>
      </c>
      <c r="AH808">
        <v>1476856</v>
      </c>
      <c r="AI808">
        <v>1560446</v>
      </c>
      <c r="AJ808">
        <v>0.41836574096613888</v>
      </c>
    </row>
    <row r="809" spans="1:36" x14ac:dyDescent="0.3">
      <c r="A809">
        <f>COUNTIF($D$2:D809,D809)</f>
        <v>6</v>
      </c>
      <c r="B809" t="str">
        <f t="shared" si="49"/>
        <v>6Gateshead</v>
      </c>
      <c r="C809" t="s">
        <v>2879</v>
      </c>
      <c r="D809" t="s">
        <v>151</v>
      </c>
      <c r="E809">
        <v>4</v>
      </c>
      <c r="F809" t="s">
        <v>2876</v>
      </c>
      <c r="G809" t="s">
        <v>877</v>
      </c>
      <c r="H809" t="s">
        <v>968</v>
      </c>
      <c r="I809" t="s">
        <v>879</v>
      </c>
      <c r="J809">
        <f t="shared" ca="1" si="50"/>
        <v>300000</v>
      </c>
      <c r="K809">
        <f t="shared" ca="1" si="51"/>
        <v>60</v>
      </c>
      <c r="N809" t="str">
        <f t="shared" si="48"/>
        <v>Ealing22LA Community eqipment - Contribution to LAAssistive Technologies and EquipmentCommunity based equipment</v>
      </c>
      <c r="O809" t="s">
        <v>141</v>
      </c>
      <c r="P809" t="s">
        <v>790</v>
      </c>
      <c r="Q809">
        <v>22</v>
      </c>
      <c r="R809" t="s">
        <v>2568</v>
      </c>
      <c r="S809" t="s">
        <v>2880</v>
      </c>
      <c r="T809" t="s">
        <v>800</v>
      </c>
      <c r="U809" t="s">
        <v>903</v>
      </c>
      <c r="W809">
        <v>3058</v>
      </c>
      <c r="X809">
        <v>3058</v>
      </c>
      <c r="Y809" t="s">
        <v>802</v>
      </c>
      <c r="Z809" t="s">
        <v>792</v>
      </c>
      <c r="AA809" t="s">
        <v>2881</v>
      </c>
      <c r="AB809" t="s">
        <v>1739</v>
      </c>
      <c r="AC809">
        <v>0.5</v>
      </c>
      <c r="AD809">
        <v>0.5</v>
      </c>
      <c r="AE809" t="s">
        <v>804</v>
      </c>
      <c r="AF809" t="s">
        <v>796</v>
      </c>
      <c r="AG809" t="s">
        <v>797</v>
      </c>
      <c r="AH809">
        <v>1228900.5995013174</v>
      </c>
      <c r="AI809">
        <v>1298456.3734330919</v>
      </c>
      <c r="AJ809">
        <v>0.348124603809783</v>
      </c>
    </row>
    <row r="810" spans="1:36" x14ac:dyDescent="0.3">
      <c r="A810">
        <f>COUNTIF($D$2:D810,D810)</f>
        <v>7</v>
      </c>
      <c r="B810" t="str">
        <f t="shared" si="49"/>
        <v>7Gateshead</v>
      </c>
      <c r="C810" t="s">
        <v>2882</v>
      </c>
      <c r="D810" t="s">
        <v>151</v>
      </c>
      <c r="E810">
        <v>4</v>
      </c>
      <c r="F810" t="s">
        <v>2876</v>
      </c>
      <c r="G810" t="s">
        <v>806</v>
      </c>
      <c r="H810" t="s">
        <v>2869</v>
      </c>
      <c r="I810" t="s">
        <v>808</v>
      </c>
      <c r="J810">
        <f t="shared" ca="1" si="50"/>
        <v>875000</v>
      </c>
      <c r="K810">
        <f t="shared" ca="1" si="51"/>
        <v>31</v>
      </c>
      <c r="N810" t="str">
        <f t="shared" si="48"/>
        <v>Ealing24LA Care Act (Placements &amp; Carers Respite)Residential PlacementsCare home</v>
      </c>
      <c r="O810" t="s">
        <v>141</v>
      </c>
      <c r="P810" t="s">
        <v>790</v>
      </c>
      <c r="Q810">
        <v>24</v>
      </c>
      <c r="R810" t="s">
        <v>2570</v>
      </c>
      <c r="S810" t="s">
        <v>2883</v>
      </c>
      <c r="T810" t="s">
        <v>806</v>
      </c>
      <c r="U810" t="s">
        <v>807</v>
      </c>
      <c r="W810">
        <v>19.118950687451591</v>
      </c>
      <c r="X810">
        <v>19.118950687451591</v>
      </c>
      <c r="Y810" t="s">
        <v>808</v>
      </c>
      <c r="Z810" t="s">
        <v>792</v>
      </c>
      <c r="AB810" t="s">
        <v>793</v>
      </c>
      <c r="AD810" t="s">
        <v>794</v>
      </c>
      <c r="AE810" t="s">
        <v>804</v>
      </c>
      <c r="AF810" t="s">
        <v>796</v>
      </c>
      <c r="AG810" t="s">
        <v>797</v>
      </c>
      <c r="AH810">
        <v>1166255.9919345472</v>
      </c>
      <c r="AI810">
        <v>1232266.0810780425</v>
      </c>
      <c r="AJ810">
        <v>1.3860158936750033E-2</v>
      </c>
    </row>
    <row r="811" spans="1:36" x14ac:dyDescent="0.3">
      <c r="A811">
        <f>COUNTIF($D$2:D811,D811)</f>
        <v>8</v>
      </c>
      <c r="B811" t="str">
        <f t="shared" si="49"/>
        <v>8Gateshead</v>
      </c>
      <c r="C811" t="s">
        <v>2884</v>
      </c>
      <c r="D811" t="s">
        <v>151</v>
      </c>
      <c r="E811">
        <v>5</v>
      </c>
      <c r="F811" t="s">
        <v>2885</v>
      </c>
      <c r="G811" t="s">
        <v>842</v>
      </c>
      <c r="H811" t="s">
        <v>843</v>
      </c>
      <c r="I811" t="s">
        <v>844</v>
      </c>
      <c r="J811">
        <f t="shared" ca="1" si="50"/>
        <v>519535.28200000001</v>
      </c>
      <c r="K811">
        <f t="shared" ca="1" si="51"/>
        <v>26920</v>
      </c>
      <c r="N811" t="str">
        <f t="shared" si="48"/>
        <v>Ealing25LA Homecare for Older PeopleHome Care or Domiciliary CareDomiciliary care packages</v>
      </c>
      <c r="O811" t="s">
        <v>141</v>
      </c>
      <c r="P811" t="s">
        <v>790</v>
      </c>
      <c r="Q811">
        <v>25</v>
      </c>
      <c r="R811" t="s">
        <v>2572</v>
      </c>
      <c r="S811" t="s">
        <v>2886</v>
      </c>
      <c r="T811" t="s">
        <v>842</v>
      </c>
      <c r="U811" t="s">
        <v>843</v>
      </c>
      <c r="W811">
        <v>168022.65221982737</v>
      </c>
      <c r="X811">
        <v>177532.73433546961</v>
      </c>
      <c r="Y811" t="s">
        <v>844</v>
      </c>
      <c r="Z811" t="s">
        <v>792</v>
      </c>
      <c r="AB811" t="s">
        <v>793</v>
      </c>
      <c r="AD811" t="s">
        <v>794</v>
      </c>
      <c r="AE811" t="s">
        <v>804</v>
      </c>
      <c r="AF811" t="s">
        <v>796</v>
      </c>
      <c r="AG811" t="s">
        <v>797</v>
      </c>
      <c r="AH811">
        <v>2957198.6790689621</v>
      </c>
      <c r="AI811">
        <v>3124576.1243042652</v>
      </c>
      <c r="AJ811">
        <v>0.54979601349969331</v>
      </c>
    </row>
    <row r="812" spans="1:36" x14ac:dyDescent="0.3">
      <c r="A812">
        <f>COUNTIF($D$2:D812,D812)</f>
        <v>9</v>
      </c>
      <c r="B812" t="str">
        <f t="shared" si="49"/>
        <v>9Gateshead</v>
      </c>
      <c r="C812" t="s">
        <v>2887</v>
      </c>
      <c r="D812" t="s">
        <v>151</v>
      </c>
      <c r="E812">
        <v>6</v>
      </c>
      <c r="F812" t="s">
        <v>1250</v>
      </c>
      <c r="G812" t="s">
        <v>811</v>
      </c>
      <c r="H812" t="s">
        <v>2205</v>
      </c>
      <c r="I812" t="s">
        <v>813</v>
      </c>
      <c r="J812">
        <f t="shared" ca="1" si="50"/>
        <v>523958.25300000003</v>
      </c>
      <c r="K812">
        <f t="shared" ca="1" si="51"/>
        <v>622</v>
      </c>
      <c r="N812" t="str">
        <f t="shared" si="48"/>
        <v>Ealing35LA Homecare for Older PeopleHome Care or Domiciliary CareDomiciliary care packages</v>
      </c>
      <c r="O812" t="s">
        <v>141</v>
      </c>
      <c r="P812" t="s">
        <v>790</v>
      </c>
      <c r="Q812">
        <v>35</v>
      </c>
      <c r="R812" t="s">
        <v>2572</v>
      </c>
      <c r="S812" t="s">
        <v>2886</v>
      </c>
      <c r="T812" t="s">
        <v>842</v>
      </c>
      <c r="U812" t="s">
        <v>843</v>
      </c>
      <c r="W812">
        <v>8772.3054545454543</v>
      </c>
      <c r="X812">
        <v>8772.3054545454543</v>
      </c>
      <c r="Y812" t="s">
        <v>844</v>
      </c>
      <c r="Z812" t="s">
        <v>792</v>
      </c>
      <c r="AB812" t="s">
        <v>793</v>
      </c>
      <c r="AD812" t="s">
        <v>794</v>
      </c>
      <c r="AE812" t="s">
        <v>804</v>
      </c>
      <c r="AF812" t="s">
        <v>1042</v>
      </c>
      <c r="AG812" t="s">
        <v>797</v>
      </c>
      <c r="AH812">
        <v>154392.576</v>
      </c>
      <c r="AI812">
        <v>154392.576</v>
      </c>
      <c r="AJ812">
        <v>2.8704335423777899E-2</v>
      </c>
    </row>
    <row r="813" spans="1:36" x14ac:dyDescent="0.3">
      <c r="A813">
        <f>COUNTIF($D$2:D813,D813)</f>
        <v>10</v>
      </c>
      <c r="B813" t="str">
        <f t="shared" si="49"/>
        <v>10Gateshead</v>
      </c>
      <c r="C813" t="s">
        <v>2888</v>
      </c>
      <c r="D813" t="s">
        <v>151</v>
      </c>
      <c r="E813">
        <v>6</v>
      </c>
      <c r="F813" t="s">
        <v>1250</v>
      </c>
      <c r="G813" t="s">
        <v>811</v>
      </c>
      <c r="H813" t="s">
        <v>812</v>
      </c>
      <c r="I813" t="s">
        <v>813</v>
      </c>
      <c r="J813">
        <f t="shared" ca="1" si="50"/>
        <v>524025</v>
      </c>
      <c r="K813">
        <f t="shared" ca="1" si="51"/>
        <v>623</v>
      </c>
      <c r="N813" t="str">
        <f t="shared" si="48"/>
        <v>Ealing26LA Mental Health placementsResidential PlacementsCare home</v>
      </c>
      <c r="O813" t="s">
        <v>141</v>
      </c>
      <c r="P813" t="s">
        <v>790</v>
      </c>
      <c r="Q813">
        <v>26</v>
      </c>
      <c r="R813" t="s">
        <v>2577</v>
      </c>
      <c r="S813" t="s">
        <v>2889</v>
      </c>
      <c r="T813" t="s">
        <v>806</v>
      </c>
      <c r="U813" t="s">
        <v>807</v>
      </c>
      <c r="W813">
        <v>15.011107568319137</v>
      </c>
      <c r="X813">
        <v>11.9</v>
      </c>
      <c r="Y813" t="s">
        <v>808</v>
      </c>
      <c r="Z813" t="s">
        <v>792</v>
      </c>
      <c r="AB813" t="s">
        <v>793</v>
      </c>
      <c r="AD813" t="s">
        <v>794</v>
      </c>
      <c r="AE813" t="s">
        <v>804</v>
      </c>
      <c r="AF813" t="s">
        <v>796</v>
      </c>
      <c r="AG813" t="s">
        <v>797</v>
      </c>
      <c r="AH813">
        <v>915677.56166746735</v>
      </c>
      <c r="AI813">
        <v>967504.91165784595</v>
      </c>
      <c r="AJ813">
        <v>1.1001930043855102E-2</v>
      </c>
    </row>
    <row r="814" spans="1:36" x14ac:dyDescent="0.3">
      <c r="A814">
        <f>COUNTIF($D$2:D814,D814)</f>
        <v>11</v>
      </c>
      <c r="B814" t="str">
        <f t="shared" si="49"/>
        <v>11Gateshead</v>
      </c>
      <c r="C814" t="s">
        <v>2890</v>
      </c>
      <c r="D814" t="s">
        <v>151</v>
      </c>
      <c r="E814">
        <v>7</v>
      </c>
      <c r="F814" t="s">
        <v>891</v>
      </c>
      <c r="G814" t="s">
        <v>834</v>
      </c>
      <c r="H814" t="s">
        <v>835</v>
      </c>
      <c r="I814" t="s">
        <v>836</v>
      </c>
      <c r="J814">
        <f t="shared" ca="1" si="50"/>
        <v>2111149</v>
      </c>
      <c r="K814">
        <f t="shared" ca="1" si="51"/>
        <v>488</v>
      </c>
      <c r="N814" t="str">
        <f t="shared" si="48"/>
        <v>Ealing1ICB Adult Community NursingCommunity Based SchemesMultidisciplinary teams that are supporting independence, such as anticipatory care</v>
      </c>
      <c r="O814" t="s">
        <v>141</v>
      </c>
      <c r="P814" t="s">
        <v>790</v>
      </c>
      <c r="Q814">
        <v>1</v>
      </c>
      <c r="R814" t="s">
        <v>2580</v>
      </c>
      <c r="S814" t="s">
        <v>2891</v>
      </c>
      <c r="T814" t="s">
        <v>1453</v>
      </c>
      <c r="U814" t="s">
        <v>1454</v>
      </c>
      <c r="W814">
        <v>119877</v>
      </c>
      <c r="X814">
        <v>142640</v>
      </c>
      <c r="Y814" t="s">
        <v>794</v>
      </c>
      <c r="Z814" t="s">
        <v>823</v>
      </c>
      <c r="AB814" t="s">
        <v>824</v>
      </c>
      <c r="AD814" t="s">
        <v>794</v>
      </c>
      <c r="AE814" t="s">
        <v>832</v>
      </c>
      <c r="AF814" t="s">
        <v>796</v>
      </c>
      <c r="AG814" t="s">
        <v>797</v>
      </c>
      <c r="AH814">
        <v>7266583</v>
      </c>
      <c r="AI814">
        <v>7677872</v>
      </c>
      <c r="AJ814">
        <v>0.67214573495958707</v>
      </c>
    </row>
    <row r="815" spans="1:36" x14ac:dyDescent="0.3">
      <c r="A815">
        <f>COUNTIF($D$2:D815,D815)</f>
        <v>12</v>
      </c>
      <c r="B815" t="str">
        <f t="shared" si="49"/>
        <v>12Gateshead</v>
      </c>
      <c r="C815" t="s">
        <v>2892</v>
      </c>
      <c r="D815" t="s">
        <v>151</v>
      </c>
      <c r="E815">
        <v>1</v>
      </c>
      <c r="F815" t="s">
        <v>2865</v>
      </c>
      <c r="G815" t="s">
        <v>842</v>
      </c>
      <c r="H815" t="s">
        <v>856</v>
      </c>
      <c r="I815" t="s">
        <v>844</v>
      </c>
      <c r="J815">
        <f t="shared" ca="1" si="50"/>
        <v>135000</v>
      </c>
      <c r="K815">
        <f t="shared" ca="1" si="51"/>
        <v>6990</v>
      </c>
      <c r="N815" t="str">
        <f t="shared" si="48"/>
        <v>Ealing8ICB Rehabilitation Beds - General &amp; Complex General - bed numbersBed based intermediate Care Services (Reablement, rehabilitation, wider short-term services supporting recovery)Bed-based intermediate care with rehabilitation (to support discharge)</v>
      </c>
      <c r="O815" t="s">
        <v>141</v>
      </c>
      <c r="P815" t="s">
        <v>790</v>
      </c>
      <c r="Q815">
        <v>8</v>
      </c>
      <c r="R815" t="s">
        <v>2583</v>
      </c>
      <c r="S815" t="s">
        <v>2893</v>
      </c>
      <c r="T815" t="s">
        <v>877</v>
      </c>
      <c r="U815" t="s">
        <v>968</v>
      </c>
      <c r="W815">
        <v>25</v>
      </c>
      <c r="X815">
        <v>25</v>
      </c>
      <c r="Y815" t="s">
        <v>879</v>
      </c>
      <c r="Z815" t="s">
        <v>823</v>
      </c>
      <c r="AB815" t="s">
        <v>824</v>
      </c>
      <c r="AD815" t="s">
        <v>794</v>
      </c>
      <c r="AE815" t="s">
        <v>832</v>
      </c>
      <c r="AF815" t="s">
        <v>796</v>
      </c>
      <c r="AG815" t="s">
        <v>797</v>
      </c>
      <c r="AH815">
        <v>2542255</v>
      </c>
      <c r="AI815">
        <v>2686147</v>
      </c>
      <c r="AJ815">
        <v>0.38184610532007568</v>
      </c>
    </row>
    <row r="816" spans="1:36" x14ac:dyDescent="0.3">
      <c r="A816">
        <f>COUNTIF($D$2:D816,D816)</f>
        <v>13</v>
      </c>
      <c r="B816" t="str">
        <f t="shared" si="49"/>
        <v>13Gateshead</v>
      </c>
      <c r="C816" t="s">
        <v>2894</v>
      </c>
      <c r="D816" t="s">
        <v>151</v>
      </c>
      <c r="E816">
        <v>3</v>
      </c>
      <c r="F816" t="s">
        <v>2895</v>
      </c>
      <c r="G816" t="s">
        <v>806</v>
      </c>
      <c r="H816" t="s">
        <v>2869</v>
      </c>
      <c r="I816" t="s">
        <v>808</v>
      </c>
      <c r="J816">
        <f t="shared" ca="1" si="50"/>
        <v>400000</v>
      </c>
      <c r="K816">
        <f t="shared" ca="1" si="51"/>
        <v>14</v>
      </c>
      <c r="N816" t="str">
        <f t="shared" si="48"/>
        <v>Ealing56ICB Discharge Funding - Mental Health Step Down BedsBed based intermediate Care Services (Reablement, rehabilitation, wider short-term services supporting recovery)Bed-based intermediate care with rehabilitation (to support discharge)</v>
      </c>
      <c r="O816" t="s">
        <v>141</v>
      </c>
      <c r="P816" t="s">
        <v>790</v>
      </c>
      <c r="Q816">
        <v>56</v>
      </c>
      <c r="R816" t="s">
        <v>2586</v>
      </c>
      <c r="S816" t="s">
        <v>2896</v>
      </c>
      <c r="T816" t="s">
        <v>877</v>
      </c>
      <c r="U816" t="s">
        <v>968</v>
      </c>
      <c r="W816">
        <v>6</v>
      </c>
      <c r="X816">
        <v>6</v>
      </c>
      <c r="Y816" t="s">
        <v>879</v>
      </c>
      <c r="Z816" t="s">
        <v>1006</v>
      </c>
      <c r="AB816" t="s">
        <v>824</v>
      </c>
      <c r="AD816" t="s">
        <v>794</v>
      </c>
      <c r="AE816" t="s">
        <v>804</v>
      </c>
      <c r="AF816" t="s">
        <v>860</v>
      </c>
      <c r="AG816" t="s">
        <v>861</v>
      </c>
      <c r="AH816">
        <v>340000</v>
      </c>
      <c r="AI816">
        <v>340000</v>
      </c>
      <c r="AJ816">
        <v>0.16</v>
      </c>
    </row>
    <row r="817" spans="1:36" x14ac:dyDescent="0.3">
      <c r="A817">
        <f>COUNTIF($D$2:D817,D817)</f>
        <v>14</v>
      </c>
      <c r="B817" t="str">
        <f t="shared" si="49"/>
        <v>14Gateshead</v>
      </c>
      <c r="C817" t="s">
        <v>2897</v>
      </c>
      <c r="D817" t="s">
        <v>151</v>
      </c>
      <c r="E817">
        <v>3</v>
      </c>
      <c r="F817" t="s">
        <v>2895</v>
      </c>
      <c r="G817" t="s">
        <v>842</v>
      </c>
      <c r="H817" t="s">
        <v>843</v>
      </c>
      <c r="I817" t="s">
        <v>844</v>
      </c>
      <c r="J817">
        <f t="shared" ca="1" si="50"/>
        <v>450000</v>
      </c>
      <c r="K817">
        <f t="shared" ca="1" si="51"/>
        <v>23310</v>
      </c>
      <c r="N817" t="str">
        <f t="shared" si="48"/>
        <v>Ealing38LA Community EquipmentAssistive Technologies and EquipmentCommunity based equipment</v>
      </c>
      <c r="O817" t="s">
        <v>141</v>
      </c>
      <c r="P817" t="s">
        <v>790</v>
      </c>
      <c r="Q817">
        <v>38</v>
      </c>
      <c r="R817" t="s">
        <v>2589</v>
      </c>
      <c r="S817" t="s">
        <v>2880</v>
      </c>
      <c r="T817" t="s">
        <v>800</v>
      </c>
      <c r="U817" t="s">
        <v>903</v>
      </c>
      <c r="W817">
        <v>3058</v>
      </c>
      <c r="X817">
        <v>3058</v>
      </c>
      <c r="Y817" t="s">
        <v>802</v>
      </c>
      <c r="Z817" t="s">
        <v>792</v>
      </c>
      <c r="AB817" t="s">
        <v>1739</v>
      </c>
      <c r="AC817">
        <v>0.5</v>
      </c>
      <c r="AD817">
        <v>0.5</v>
      </c>
      <c r="AE817" t="s">
        <v>804</v>
      </c>
      <c r="AF817" t="s">
        <v>1029</v>
      </c>
      <c r="AG817" t="s">
        <v>797</v>
      </c>
      <c r="AH817">
        <v>824303</v>
      </c>
      <c r="AI817">
        <v>824303</v>
      </c>
      <c r="AJ817">
        <v>0.23350965522407816</v>
      </c>
    </row>
    <row r="818" spans="1:36" x14ac:dyDescent="0.3">
      <c r="A818">
        <f>COUNTIF($D$2:D818,D818)</f>
        <v>15</v>
      </c>
      <c r="B818" t="str">
        <f t="shared" si="49"/>
        <v>15Gateshead</v>
      </c>
      <c r="C818" t="s">
        <v>2898</v>
      </c>
      <c r="D818" t="s">
        <v>151</v>
      </c>
      <c r="E818">
        <v>2</v>
      </c>
      <c r="F818" t="s">
        <v>2868</v>
      </c>
      <c r="G818" t="s">
        <v>842</v>
      </c>
      <c r="H818" t="s">
        <v>856</v>
      </c>
      <c r="I818" t="s">
        <v>844</v>
      </c>
      <c r="J818">
        <f t="shared" ca="1" si="50"/>
        <v>71285</v>
      </c>
      <c r="K818">
        <f t="shared" ca="1" si="51"/>
        <v>3690</v>
      </c>
      <c r="N818" t="str">
        <f t="shared" si="48"/>
        <v>Ealing39LA Residential placementsResidential placementsCare home</v>
      </c>
      <c r="O818" t="s">
        <v>141</v>
      </c>
      <c r="P818" t="s">
        <v>790</v>
      </c>
      <c r="Q818">
        <v>39</v>
      </c>
      <c r="R818" t="s">
        <v>2592</v>
      </c>
      <c r="S818" t="s">
        <v>2899</v>
      </c>
      <c r="T818" t="s">
        <v>2593</v>
      </c>
      <c r="U818" t="s">
        <v>807</v>
      </c>
      <c r="W818">
        <v>355.6515081967213</v>
      </c>
      <c r="X818">
        <v>355.6515081967213</v>
      </c>
      <c r="Y818" t="s">
        <v>808</v>
      </c>
      <c r="Z818" t="s">
        <v>792</v>
      </c>
      <c r="AB818" t="s">
        <v>793</v>
      </c>
      <c r="AD818" t="s">
        <v>794</v>
      </c>
      <c r="AE818" t="s">
        <v>804</v>
      </c>
      <c r="AF818" t="s">
        <v>1029</v>
      </c>
      <c r="AG818" t="s">
        <v>797</v>
      </c>
      <c r="AH818">
        <v>21694742</v>
      </c>
      <c r="AI818">
        <v>21694742</v>
      </c>
      <c r="AJ818">
        <v>0.25782724744076752</v>
      </c>
    </row>
    <row r="819" spans="1:36" x14ac:dyDescent="0.3">
      <c r="A819">
        <f>COUNTIF($D$2:D819,D819)</f>
        <v>16</v>
      </c>
      <c r="B819" t="str">
        <f t="shared" si="49"/>
        <v>16Gateshead</v>
      </c>
      <c r="C819" t="s">
        <v>2900</v>
      </c>
      <c r="D819" t="s">
        <v>151</v>
      </c>
      <c r="E819">
        <v>1</v>
      </c>
      <c r="F819" t="s">
        <v>2865</v>
      </c>
      <c r="G819" t="s">
        <v>800</v>
      </c>
      <c r="H819" t="s">
        <v>850</v>
      </c>
      <c r="I819" t="s">
        <v>802</v>
      </c>
      <c r="J819">
        <f t="shared" ca="1" si="50"/>
        <v>20910</v>
      </c>
      <c r="K819">
        <f t="shared" ca="1" si="51"/>
        <v>102</v>
      </c>
      <c r="N819" t="str">
        <f t="shared" si="48"/>
        <v>Ealing40LA Residential placementsResidential placementsCare home</v>
      </c>
      <c r="O819" t="s">
        <v>141</v>
      </c>
      <c r="P819" t="s">
        <v>790</v>
      </c>
      <c r="Q819">
        <v>40</v>
      </c>
      <c r="R819" t="s">
        <v>2592</v>
      </c>
      <c r="S819" t="s">
        <v>2901</v>
      </c>
      <c r="T819" t="s">
        <v>2593</v>
      </c>
      <c r="U819" t="s">
        <v>807</v>
      </c>
      <c r="W819">
        <v>89.599459016393439</v>
      </c>
      <c r="X819">
        <v>89.599459016393439</v>
      </c>
      <c r="Y819" t="s">
        <v>808</v>
      </c>
      <c r="Z819" t="s">
        <v>792</v>
      </c>
      <c r="AB819" t="s">
        <v>793</v>
      </c>
      <c r="AD819" t="s">
        <v>794</v>
      </c>
      <c r="AE819" t="s">
        <v>804</v>
      </c>
      <c r="AF819" t="s">
        <v>1029</v>
      </c>
      <c r="AG819" t="s">
        <v>797</v>
      </c>
      <c r="AH819">
        <v>5465567</v>
      </c>
      <c r="AI819">
        <v>5465567</v>
      </c>
      <c r="AJ819">
        <v>6.4954544991274538E-2</v>
      </c>
    </row>
    <row r="820" spans="1:36" x14ac:dyDescent="0.3">
      <c r="A820">
        <f>COUNTIF($D$2:D820,D820)</f>
        <v>17</v>
      </c>
      <c r="B820" t="str">
        <f t="shared" si="49"/>
        <v>17Gateshead</v>
      </c>
      <c r="C820" t="s">
        <v>2902</v>
      </c>
      <c r="D820" t="s">
        <v>151</v>
      </c>
      <c r="E820">
        <v>1</v>
      </c>
      <c r="F820" t="s">
        <v>2865</v>
      </c>
      <c r="G820" t="s">
        <v>806</v>
      </c>
      <c r="H820" t="s">
        <v>955</v>
      </c>
      <c r="I820" t="s">
        <v>808</v>
      </c>
      <c r="J820">
        <f t="shared" ca="1" si="50"/>
        <v>601200</v>
      </c>
      <c r="K820">
        <f t="shared" ca="1" si="51"/>
        <v>187</v>
      </c>
      <c r="N820" t="str">
        <f t="shared" si="48"/>
        <v>Ealing41LA Residential placementsResidential placementsCare home</v>
      </c>
      <c r="O820" t="s">
        <v>141</v>
      </c>
      <c r="P820" t="s">
        <v>790</v>
      </c>
      <c r="Q820">
        <v>41</v>
      </c>
      <c r="R820" t="s">
        <v>2592</v>
      </c>
      <c r="S820" t="s">
        <v>2903</v>
      </c>
      <c r="T820" t="s">
        <v>2593</v>
      </c>
      <c r="U820" t="s">
        <v>807</v>
      </c>
      <c r="W820">
        <v>154.75481967213111</v>
      </c>
      <c r="X820">
        <v>154.75481967213111</v>
      </c>
      <c r="Y820" t="s">
        <v>808</v>
      </c>
      <c r="Z820" t="s">
        <v>792</v>
      </c>
      <c r="AB820" t="s">
        <v>793</v>
      </c>
      <c r="AD820" t="s">
        <v>794</v>
      </c>
      <c r="AE820" t="s">
        <v>804</v>
      </c>
      <c r="AF820" t="s">
        <v>1029</v>
      </c>
      <c r="AG820" t="s">
        <v>797</v>
      </c>
      <c r="AH820">
        <v>9440044</v>
      </c>
      <c r="AI820">
        <v>9440044</v>
      </c>
      <c r="AJ820">
        <v>0.11218849987889844</v>
      </c>
    </row>
    <row r="821" spans="1:36" x14ac:dyDescent="0.3">
      <c r="A821">
        <f>COUNTIF($D$2:D821,D821)</f>
        <v>1</v>
      </c>
      <c r="B821" t="str">
        <f t="shared" si="49"/>
        <v>1Gloucestershire</v>
      </c>
      <c r="C821" t="s">
        <v>2904</v>
      </c>
      <c r="D821" t="s">
        <v>153</v>
      </c>
      <c r="E821">
        <v>2</v>
      </c>
      <c r="F821" t="s">
        <v>2905</v>
      </c>
      <c r="G821" t="s">
        <v>787</v>
      </c>
      <c r="H821" t="s">
        <v>1195</v>
      </c>
      <c r="I821" t="s">
        <v>789</v>
      </c>
      <c r="J821">
        <f t="shared" ca="1" si="50"/>
        <v>63100</v>
      </c>
      <c r="K821">
        <f t="shared" ca="1" si="51"/>
        <v>1620</v>
      </c>
      <c r="N821" t="str">
        <f t="shared" si="48"/>
        <v>Ealing42LA Residential placementsResidential placementsCare home</v>
      </c>
      <c r="O821" t="s">
        <v>141</v>
      </c>
      <c r="P821" t="s">
        <v>790</v>
      </c>
      <c r="Q821">
        <v>42</v>
      </c>
      <c r="R821" t="s">
        <v>2592</v>
      </c>
      <c r="S821" t="s">
        <v>2906</v>
      </c>
      <c r="T821" t="s">
        <v>2593</v>
      </c>
      <c r="U821" t="s">
        <v>807</v>
      </c>
      <c r="W821">
        <v>508.46222950819674</v>
      </c>
      <c r="X821">
        <v>508.46222950819674</v>
      </c>
      <c r="Y821" t="s">
        <v>808</v>
      </c>
      <c r="Z821" t="s">
        <v>792</v>
      </c>
      <c r="AB821" t="s">
        <v>793</v>
      </c>
      <c r="AD821" t="s">
        <v>794</v>
      </c>
      <c r="AE821" t="s">
        <v>804</v>
      </c>
      <c r="AF821" t="s">
        <v>1029</v>
      </c>
      <c r="AG821" t="s">
        <v>797</v>
      </c>
      <c r="AH821">
        <v>31016196</v>
      </c>
      <c r="AI821">
        <v>31016196</v>
      </c>
      <c r="AJ821">
        <v>0.36860638585899497</v>
      </c>
    </row>
    <row r="822" spans="1:36" x14ac:dyDescent="0.3">
      <c r="A822">
        <f>COUNTIF($D$2:D822,D822)</f>
        <v>2</v>
      </c>
      <c r="B822" t="str">
        <f t="shared" si="49"/>
        <v>2Gloucestershire</v>
      </c>
      <c r="C822" t="s">
        <v>2907</v>
      </c>
      <c r="D822" t="s">
        <v>153</v>
      </c>
      <c r="E822">
        <v>8</v>
      </c>
      <c r="F822" t="s">
        <v>2908</v>
      </c>
      <c r="G822" t="s">
        <v>811</v>
      </c>
      <c r="H822" t="s">
        <v>812</v>
      </c>
      <c r="I822" t="s">
        <v>813</v>
      </c>
      <c r="J822">
        <f t="shared" ca="1" si="50"/>
        <v>2955664</v>
      </c>
      <c r="K822">
        <f t="shared" ca="1" si="51"/>
        <v>13500</v>
      </c>
      <c r="N822" t="str">
        <f t="shared" si="48"/>
        <v>Ealing43LA Learning Disability Short BreaksResidential placementsCare home</v>
      </c>
      <c r="O822" t="s">
        <v>141</v>
      </c>
      <c r="P822" t="s">
        <v>790</v>
      </c>
      <c r="Q822">
        <v>43</v>
      </c>
      <c r="R822" t="s">
        <v>2600</v>
      </c>
      <c r="S822" t="s">
        <v>2909</v>
      </c>
      <c r="T822" t="s">
        <v>2593</v>
      </c>
      <c r="U822" t="s">
        <v>807</v>
      </c>
      <c r="W822">
        <v>10</v>
      </c>
      <c r="X822">
        <v>10</v>
      </c>
      <c r="Y822" t="s">
        <v>808</v>
      </c>
      <c r="Z822" t="s">
        <v>792</v>
      </c>
      <c r="AB822" t="s">
        <v>793</v>
      </c>
      <c r="AD822" t="s">
        <v>794</v>
      </c>
      <c r="AE822" t="s">
        <v>795</v>
      </c>
      <c r="AF822" t="s">
        <v>1029</v>
      </c>
      <c r="AG822" t="s">
        <v>797</v>
      </c>
      <c r="AH822">
        <v>877660</v>
      </c>
      <c r="AI822">
        <v>877660</v>
      </c>
      <c r="AJ822">
        <v>1.0430391935007294E-2</v>
      </c>
    </row>
    <row r="823" spans="1:36" x14ac:dyDescent="0.3">
      <c r="A823">
        <f>COUNTIF($D$2:D823,D823)</f>
        <v>3</v>
      </c>
      <c r="B823" t="str">
        <f t="shared" si="49"/>
        <v>3Gloucestershire</v>
      </c>
      <c r="C823" t="s">
        <v>2910</v>
      </c>
      <c r="D823" t="s">
        <v>153</v>
      </c>
      <c r="E823">
        <v>35</v>
      </c>
      <c r="F823" t="s">
        <v>1977</v>
      </c>
      <c r="G823" t="s">
        <v>842</v>
      </c>
      <c r="H823" t="s">
        <v>856</v>
      </c>
      <c r="I823" t="s">
        <v>844</v>
      </c>
      <c r="J823">
        <f t="shared" ca="1" si="50"/>
        <v>847000</v>
      </c>
      <c r="K823">
        <f t="shared" ca="1" si="51"/>
        <v>2210</v>
      </c>
      <c r="N823" t="str">
        <f t="shared" si="48"/>
        <v>Ealing48LA DFGDFG Related SchemesAdaptations, including statutory DFG grants</v>
      </c>
      <c r="O823" t="s">
        <v>141</v>
      </c>
      <c r="P823" t="s">
        <v>790</v>
      </c>
      <c r="Q823">
        <v>48</v>
      </c>
      <c r="R823" t="s">
        <v>2602</v>
      </c>
      <c r="S823" t="s">
        <v>2911</v>
      </c>
      <c r="T823" t="s">
        <v>834</v>
      </c>
      <c r="U823" t="s">
        <v>835</v>
      </c>
      <c r="W823">
        <v>322</v>
      </c>
      <c r="X823">
        <v>322</v>
      </c>
      <c r="Y823" t="s">
        <v>836</v>
      </c>
      <c r="Z823" t="s">
        <v>792</v>
      </c>
      <c r="AB823" t="s">
        <v>793</v>
      </c>
      <c r="AD823" t="s">
        <v>794</v>
      </c>
      <c r="AE823" t="s">
        <v>804</v>
      </c>
      <c r="AF823" t="s">
        <v>840</v>
      </c>
      <c r="AG823" t="s">
        <v>797</v>
      </c>
      <c r="AH823">
        <v>3724468</v>
      </c>
      <c r="AI823">
        <v>3724468</v>
      </c>
      <c r="AJ823">
        <v>1</v>
      </c>
    </row>
    <row r="824" spans="1:36" x14ac:dyDescent="0.3">
      <c r="A824">
        <f>COUNTIF($D$2:D824,D824)</f>
        <v>1</v>
      </c>
      <c r="B824" t="str">
        <f t="shared" si="49"/>
        <v>1Greenwich</v>
      </c>
      <c r="C824" t="s">
        <v>2912</v>
      </c>
      <c r="D824" t="s">
        <v>155</v>
      </c>
      <c r="E824">
        <v>1</v>
      </c>
      <c r="F824" t="s">
        <v>891</v>
      </c>
      <c r="G824" t="s">
        <v>834</v>
      </c>
      <c r="H824" t="s">
        <v>812</v>
      </c>
      <c r="I824" t="s">
        <v>836</v>
      </c>
      <c r="J824">
        <f t="shared" ca="1" si="50"/>
        <v>2856842</v>
      </c>
      <c r="K824">
        <f t="shared" ca="1" si="51"/>
        <v>1775</v>
      </c>
      <c r="N824" t="str">
        <f t="shared" si="48"/>
        <v>Ealing49LA Older People PlacementsResidential PlacementsCare home</v>
      </c>
      <c r="O824" t="s">
        <v>141</v>
      </c>
      <c r="P824" t="s">
        <v>790</v>
      </c>
      <c r="Q824">
        <v>49</v>
      </c>
      <c r="R824" t="s">
        <v>2605</v>
      </c>
      <c r="S824" t="s">
        <v>2899</v>
      </c>
      <c r="T824" t="s">
        <v>806</v>
      </c>
      <c r="U824" t="s">
        <v>807</v>
      </c>
      <c r="W824">
        <v>51.965245901639342</v>
      </c>
      <c r="X824">
        <v>51.965245901639342</v>
      </c>
      <c r="Y824" t="s">
        <v>808</v>
      </c>
      <c r="Z824" t="s">
        <v>792</v>
      </c>
      <c r="AB824" t="s">
        <v>793</v>
      </c>
      <c r="AD824" t="s">
        <v>794</v>
      </c>
      <c r="AE824" t="s">
        <v>804</v>
      </c>
      <c r="AF824" t="s">
        <v>845</v>
      </c>
      <c r="AG824" t="s">
        <v>797</v>
      </c>
      <c r="AH824">
        <v>3169880</v>
      </c>
      <c r="AI824">
        <v>3169880</v>
      </c>
      <c r="AJ824">
        <v>3.7671866995124446E-2</v>
      </c>
    </row>
    <row r="825" spans="1:36" x14ac:dyDescent="0.3">
      <c r="A825">
        <f>COUNTIF($D$2:D825,D825)</f>
        <v>2</v>
      </c>
      <c r="B825" t="str">
        <f t="shared" si="49"/>
        <v>2Greenwich</v>
      </c>
      <c r="C825" t="s">
        <v>2913</v>
      </c>
      <c r="D825" t="s">
        <v>155</v>
      </c>
      <c r="E825">
        <v>9</v>
      </c>
      <c r="F825" t="s">
        <v>2914</v>
      </c>
      <c r="G825" t="s">
        <v>800</v>
      </c>
      <c r="H825" t="s">
        <v>903</v>
      </c>
      <c r="I825" t="s">
        <v>802</v>
      </c>
      <c r="J825">
        <f t="shared" ca="1" si="50"/>
        <v>693533</v>
      </c>
      <c r="K825">
        <f t="shared" ca="1" si="51"/>
        <v>3973</v>
      </c>
      <c r="N825" t="str">
        <f t="shared" si="48"/>
        <v>Ealing50LA Mental Health PLacementsResidential placementsCare home</v>
      </c>
      <c r="O825" t="s">
        <v>141</v>
      </c>
      <c r="P825" t="s">
        <v>790</v>
      </c>
      <c r="Q825">
        <v>50</v>
      </c>
      <c r="R825" t="s">
        <v>2607</v>
      </c>
      <c r="S825" t="s">
        <v>2901</v>
      </c>
      <c r="T825" t="s">
        <v>2593</v>
      </c>
      <c r="U825" t="s">
        <v>807</v>
      </c>
      <c r="W825">
        <v>51.96526229508197</v>
      </c>
      <c r="X825">
        <v>51.96526229508197</v>
      </c>
      <c r="Y825" t="s">
        <v>808</v>
      </c>
      <c r="Z825" t="s">
        <v>792</v>
      </c>
      <c r="AB825" t="s">
        <v>793</v>
      </c>
      <c r="AD825" t="s">
        <v>794</v>
      </c>
      <c r="AE825" t="s">
        <v>804</v>
      </c>
      <c r="AF825" t="s">
        <v>845</v>
      </c>
      <c r="AG825" t="s">
        <v>797</v>
      </c>
      <c r="AH825">
        <v>3169881</v>
      </c>
      <c r="AI825">
        <v>3169881</v>
      </c>
      <c r="AJ825">
        <v>3.7671878879444051E-2</v>
      </c>
    </row>
    <row r="826" spans="1:36" x14ac:dyDescent="0.3">
      <c r="A826">
        <f>COUNTIF($D$2:D826,D826)</f>
        <v>3</v>
      </c>
      <c r="B826" t="str">
        <f t="shared" si="49"/>
        <v>3Greenwich</v>
      </c>
      <c r="C826" t="s">
        <v>2915</v>
      </c>
      <c r="D826" t="s">
        <v>155</v>
      </c>
      <c r="E826">
        <v>10</v>
      </c>
      <c r="F826" t="s">
        <v>2916</v>
      </c>
      <c r="G826" t="s">
        <v>800</v>
      </c>
      <c r="H826" t="s">
        <v>903</v>
      </c>
      <c r="I826" t="s">
        <v>802</v>
      </c>
      <c r="J826">
        <f t="shared" ca="1" si="50"/>
        <v>1641741.553900149</v>
      </c>
      <c r="K826">
        <f t="shared" ca="1" si="51"/>
        <v>11418</v>
      </c>
      <c r="N826" t="str">
        <f t="shared" si="48"/>
        <v>Ealing51LA Physical Diability PlacementsResidential placementsCare home</v>
      </c>
      <c r="O826" t="s">
        <v>141</v>
      </c>
      <c r="P826" t="s">
        <v>790</v>
      </c>
      <c r="Q826">
        <v>51</v>
      </c>
      <c r="R826" t="s">
        <v>2609</v>
      </c>
      <c r="S826" t="s">
        <v>2903</v>
      </c>
      <c r="T826" t="s">
        <v>2593</v>
      </c>
      <c r="U826" t="s">
        <v>807</v>
      </c>
      <c r="W826">
        <v>51.96526229508197</v>
      </c>
      <c r="X826">
        <v>51.96526229508197</v>
      </c>
      <c r="Y826" t="s">
        <v>808</v>
      </c>
      <c r="Z826" t="s">
        <v>792</v>
      </c>
      <c r="AB826" t="s">
        <v>793</v>
      </c>
      <c r="AD826" t="s">
        <v>794</v>
      </c>
      <c r="AE826" t="s">
        <v>804</v>
      </c>
      <c r="AF826" t="s">
        <v>845</v>
      </c>
      <c r="AG826" t="s">
        <v>797</v>
      </c>
      <c r="AH826">
        <v>3169881</v>
      </c>
      <c r="AI826">
        <v>3169881</v>
      </c>
      <c r="AJ826">
        <v>3.7671878879444051E-2</v>
      </c>
    </row>
    <row r="827" spans="1:36" x14ac:dyDescent="0.3">
      <c r="A827">
        <f>COUNTIF($D$2:D827,D827)</f>
        <v>4</v>
      </c>
      <c r="B827" t="str">
        <f t="shared" si="49"/>
        <v>4Greenwich</v>
      </c>
      <c r="C827" t="s">
        <v>2917</v>
      </c>
      <c r="D827" t="s">
        <v>155</v>
      </c>
      <c r="E827">
        <v>11</v>
      </c>
      <c r="F827" t="s">
        <v>2918</v>
      </c>
      <c r="G827" t="s">
        <v>877</v>
      </c>
      <c r="H827" t="s">
        <v>968</v>
      </c>
      <c r="I827" t="s">
        <v>879</v>
      </c>
      <c r="J827">
        <f t="shared" ca="1" si="50"/>
        <v>943178</v>
      </c>
      <c r="K827">
        <f t="shared" ca="1" si="51"/>
        <v>240</v>
      </c>
      <c r="N827" t="str">
        <f t="shared" si="48"/>
        <v>Ealing52LA Learning Disability PlacementsResidential placementsCare home</v>
      </c>
      <c r="O827" t="s">
        <v>141</v>
      </c>
      <c r="P827" t="s">
        <v>790</v>
      </c>
      <c r="Q827">
        <v>52</v>
      </c>
      <c r="R827" t="s">
        <v>2611</v>
      </c>
      <c r="S827" t="s">
        <v>2906</v>
      </c>
      <c r="T827" t="s">
        <v>2593</v>
      </c>
      <c r="U827" t="s">
        <v>807</v>
      </c>
      <c r="W827">
        <v>51.965245901639342</v>
      </c>
      <c r="X827">
        <v>51.965245901639342</v>
      </c>
      <c r="Y827" t="s">
        <v>808</v>
      </c>
      <c r="Z827" t="s">
        <v>792</v>
      </c>
      <c r="AB827" t="s">
        <v>793</v>
      </c>
      <c r="AD827" t="s">
        <v>794</v>
      </c>
      <c r="AE827" t="s">
        <v>804</v>
      </c>
      <c r="AF827" t="s">
        <v>845</v>
      </c>
      <c r="AG827" t="s">
        <v>797</v>
      </c>
      <c r="AH827">
        <v>3169880</v>
      </c>
      <c r="AI827">
        <v>3169880</v>
      </c>
      <c r="AJ827">
        <v>3.7671866995124446E-2</v>
      </c>
    </row>
    <row r="828" spans="1:36" x14ac:dyDescent="0.3">
      <c r="A828">
        <f>COUNTIF($D$2:D828,D828)</f>
        <v>5</v>
      </c>
      <c r="B828" t="str">
        <f t="shared" si="49"/>
        <v>5Greenwich</v>
      </c>
      <c r="C828" t="s">
        <v>2919</v>
      </c>
      <c r="D828" t="s">
        <v>155</v>
      </c>
      <c r="E828">
        <v>13</v>
      </c>
      <c r="F828" t="s">
        <v>434</v>
      </c>
      <c r="G828" t="s">
        <v>787</v>
      </c>
      <c r="H828" t="s">
        <v>930</v>
      </c>
      <c r="I828" t="s">
        <v>789</v>
      </c>
      <c r="J828">
        <f t="shared" ca="1" si="50"/>
        <v>1612000</v>
      </c>
      <c r="K828">
        <f t="shared" ca="1" si="51"/>
        <v>634</v>
      </c>
      <c r="N828" t="str">
        <f t="shared" si="48"/>
        <v>Ealing60ICB Discharge Funding - Complex Discharge supportHigh Impact Change Model for Managing Transfer of CareEarly Discharge Planning</v>
      </c>
      <c r="O828" t="s">
        <v>141</v>
      </c>
      <c r="P828" t="s">
        <v>790</v>
      </c>
      <c r="Q828">
        <v>60</v>
      </c>
      <c r="R828" t="s">
        <v>2613</v>
      </c>
      <c r="S828" t="s">
        <v>2920</v>
      </c>
      <c r="T828" t="s">
        <v>1402</v>
      </c>
      <c r="U828" t="s">
        <v>1441</v>
      </c>
      <c r="W828">
        <v>3.833491803278688</v>
      </c>
      <c r="X828">
        <v>3.833491803278688</v>
      </c>
      <c r="Y828" t="s">
        <v>794</v>
      </c>
      <c r="Z828" t="s">
        <v>812</v>
      </c>
      <c r="AA828" t="s">
        <v>2921</v>
      </c>
      <c r="AB828" t="s">
        <v>824</v>
      </c>
      <c r="AD828" t="s">
        <v>794</v>
      </c>
      <c r="AE828" t="s">
        <v>825</v>
      </c>
      <c r="AF828" t="s">
        <v>860</v>
      </c>
      <c r="AG828" t="s">
        <v>861</v>
      </c>
      <c r="AH828">
        <v>233843</v>
      </c>
      <c r="AI828">
        <v>233843</v>
      </c>
      <c r="AJ828">
        <v>0.11</v>
      </c>
    </row>
    <row r="829" spans="1:36" x14ac:dyDescent="0.3">
      <c r="A829">
        <f>COUNTIF($D$2:D829,D829)</f>
        <v>6</v>
      </c>
      <c r="B829" t="str">
        <f t="shared" si="49"/>
        <v>6Greenwich</v>
      </c>
      <c r="C829" t="s">
        <v>2922</v>
      </c>
      <c r="D829" t="s">
        <v>155</v>
      </c>
      <c r="E829">
        <v>16</v>
      </c>
      <c r="F829" t="s">
        <v>2923</v>
      </c>
      <c r="G829" t="s">
        <v>842</v>
      </c>
      <c r="H829" t="s">
        <v>843</v>
      </c>
      <c r="I829" t="s">
        <v>844</v>
      </c>
      <c r="J829">
        <f t="shared" ca="1" si="50"/>
        <v>5837756</v>
      </c>
      <c r="K829">
        <f t="shared" ca="1" si="51"/>
        <v>1230736</v>
      </c>
      <c r="N829" t="str">
        <f t="shared" si="48"/>
        <v>Ealing1LA Adult Social Care Discharge GrantHome Care or Domiciliary CareDomiciliary care to support hospital discharge (Discharge to Assess pathway 1)</v>
      </c>
      <c r="O829" t="s">
        <v>141</v>
      </c>
      <c r="P829" t="s">
        <v>790</v>
      </c>
      <c r="Q829">
        <v>1</v>
      </c>
      <c r="R829" t="s">
        <v>2615</v>
      </c>
      <c r="S829" t="s">
        <v>2924</v>
      </c>
      <c r="T829" t="s">
        <v>842</v>
      </c>
      <c r="U829" t="s">
        <v>856</v>
      </c>
      <c r="W829">
        <v>50501.392045454544</v>
      </c>
      <c r="X829">
        <v>83832.325411022626</v>
      </c>
      <c r="Y829" t="s">
        <v>844</v>
      </c>
      <c r="Z829" t="s">
        <v>792</v>
      </c>
      <c r="AB829" t="s">
        <v>793</v>
      </c>
      <c r="AD829" t="s">
        <v>794</v>
      </c>
      <c r="AE829" t="s">
        <v>804</v>
      </c>
      <c r="AF829" t="s">
        <v>864</v>
      </c>
      <c r="AG829" t="s">
        <v>861</v>
      </c>
      <c r="AH829">
        <v>888824.5</v>
      </c>
      <c r="AI829">
        <v>1475448.9272339984</v>
      </c>
      <c r="AJ829">
        <v>0.16524833798272578</v>
      </c>
    </row>
    <row r="830" spans="1:36" x14ac:dyDescent="0.3">
      <c r="A830">
        <f>COUNTIF($D$2:D830,D830)</f>
        <v>7</v>
      </c>
      <c r="B830" t="str">
        <f t="shared" si="49"/>
        <v>7Greenwich</v>
      </c>
      <c r="C830" t="s">
        <v>2925</v>
      </c>
      <c r="D830" t="s">
        <v>155</v>
      </c>
      <c r="E830">
        <v>17</v>
      </c>
      <c r="F830" t="s">
        <v>2926</v>
      </c>
      <c r="G830" t="s">
        <v>842</v>
      </c>
      <c r="H830" t="s">
        <v>843</v>
      </c>
      <c r="I830" t="s">
        <v>844</v>
      </c>
      <c r="J830">
        <f t="shared" ca="1" si="50"/>
        <v>1450276.5</v>
      </c>
      <c r="K830">
        <f t="shared" ca="1" si="51"/>
        <v>1230736</v>
      </c>
      <c r="N830" t="str">
        <f t="shared" si="48"/>
        <v>Ealing2LA Adult Social Care Discharge GrantResidential PlacementsShort-term residential/nursing care for someone likely to require a longer-term care home replacement</v>
      </c>
      <c r="O830" t="s">
        <v>141</v>
      </c>
      <c r="P830" t="s">
        <v>790</v>
      </c>
      <c r="Q830">
        <v>2</v>
      </c>
      <c r="R830" t="s">
        <v>2615</v>
      </c>
      <c r="S830" t="s">
        <v>2924</v>
      </c>
      <c r="T830" t="s">
        <v>806</v>
      </c>
      <c r="U830" t="s">
        <v>2339</v>
      </c>
      <c r="W830">
        <v>14.570893442622951</v>
      </c>
      <c r="X830">
        <v>24.187687331704893</v>
      </c>
      <c r="Y830" t="s">
        <v>794</v>
      </c>
      <c r="Z830" t="s">
        <v>792</v>
      </c>
      <c r="AB830" t="s">
        <v>793</v>
      </c>
      <c r="AD830" t="s">
        <v>794</v>
      </c>
      <c r="AE830" t="s">
        <v>804</v>
      </c>
      <c r="AF830" t="s">
        <v>864</v>
      </c>
      <c r="AG830" t="s">
        <v>861</v>
      </c>
      <c r="AH830">
        <v>888824.5</v>
      </c>
      <c r="AI830">
        <v>1475448.9272339984</v>
      </c>
      <c r="AJ830">
        <v>1.0563074421116252E-2</v>
      </c>
    </row>
    <row r="831" spans="1:36" x14ac:dyDescent="0.3">
      <c r="A831">
        <f>COUNTIF($D$2:D831,D831)</f>
        <v>8</v>
      </c>
      <c r="B831" t="str">
        <f t="shared" si="49"/>
        <v>8Greenwich</v>
      </c>
      <c r="C831" t="s">
        <v>2927</v>
      </c>
      <c r="D831" t="s">
        <v>155</v>
      </c>
      <c r="E831">
        <v>19</v>
      </c>
      <c r="F831" t="s">
        <v>1447</v>
      </c>
      <c r="G831" t="s">
        <v>842</v>
      </c>
      <c r="H831" t="s">
        <v>843</v>
      </c>
      <c r="I831" t="s">
        <v>844</v>
      </c>
      <c r="J831">
        <f t="shared" ca="1" si="50"/>
        <v>4616715</v>
      </c>
      <c r="K831">
        <f t="shared" ca="1" si="51"/>
        <v>1230736</v>
      </c>
      <c r="N831" t="str">
        <f t="shared" si="48"/>
        <v>Ealing18ICB Intermediate Care - Community team and Bedded ServiceBed based intermediate Care Services (Reablement, rehabilitation, wider short-term services supporting recovery)Bed-based intermediate care with rehabilitation accepting step up and step down users</v>
      </c>
      <c r="O831" t="s">
        <v>141</v>
      </c>
      <c r="P831" t="s">
        <v>790</v>
      </c>
      <c r="Q831">
        <v>18</v>
      </c>
      <c r="R831" t="s">
        <v>2620</v>
      </c>
      <c r="S831" t="s">
        <v>2928</v>
      </c>
      <c r="T831" t="s">
        <v>877</v>
      </c>
      <c r="U831" t="s">
        <v>1015</v>
      </c>
      <c r="W831">
        <v>48</v>
      </c>
      <c r="X831">
        <v>48</v>
      </c>
      <c r="Y831" t="s">
        <v>879</v>
      </c>
      <c r="Z831" t="s">
        <v>823</v>
      </c>
      <c r="AB831" t="s">
        <v>824</v>
      </c>
      <c r="AD831" t="s">
        <v>794</v>
      </c>
      <c r="AE831" t="s">
        <v>832</v>
      </c>
      <c r="AF831" t="s">
        <v>796</v>
      </c>
      <c r="AG831" t="s">
        <v>861</v>
      </c>
      <c r="AH831">
        <v>4115545</v>
      </c>
      <c r="AI831">
        <v>4348485</v>
      </c>
      <c r="AJ831">
        <v>0.61815389467992432</v>
      </c>
    </row>
    <row r="832" spans="1:36" x14ac:dyDescent="0.3">
      <c r="A832">
        <f>COUNTIF($D$2:D832,D832)</f>
        <v>9</v>
      </c>
      <c r="B832" t="str">
        <f t="shared" si="49"/>
        <v>9Greenwich</v>
      </c>
      <c r="C832" t="s">
        <v>2929</v>
      </c>
      <c r="D832" t="s">
        <v>155</v>
      </c>
      <c r="E832">
        <v>20</v>
      </c>
      <c r="F832" t="s">
        <v>2930</v>
      </c>
      <c r="G832" t="s">
        <v>877</v>
      </c>
      <c r="H832" t="s">
        <v>878</v>
      </c>
      <c r="I832" t="s">
        <v>879</v>
      </c>
      <c r="J832">
        <f t="shared" ca="1" si="50"/>
        <v>925708</v>
      </c>
      <c r="K832">
        <f t="shared" ca="1" si="51"/>
        <v>120</v>
      </c>
      <c r="N832" t="str">
        <f t="shared" si="48"/>
        <v>East Riding of Yorkshire2Integrated Intermediate Care ServiceHome-based intermediate care servicesJoint reablement and rehabilitation service (accepting step up and step down users)</v>
      </c>
      <c r="O832" t="s">
        <v>143</v>
      </c>
      <c r="P832" t="s">
        <v>922</v>
      </c>
      <c r="Q832">
        <v>2</v>
      </c>
      <c r="R832" t="s">
        <v>2622</v>
      </c>
      <c r="S832" t="s">
        <v>2931</v>
      </c>
      <c r="T832" t="s">
        <v>787</v>
      </c>
      <c r="U832" t="s">
        <v>2374</v>
      </c>
      <c r="W832">
        <v>587</v>
      </c>
      <c r="X832">
        <v>587</v>
      </c>
      <c r="Y832" t="s">
        <v>789</v>
      </c>
      <c r="Z832" t="s">
        <v>792</v>
      </c>
      <c r="AB832" t="s">
        <v>793</v>
      </c>
      <c r="AD832" t="s">
        <v>794</v>
      </c>
      <c r="AE832" t="s">
        <v>795</v>
      </c>
      <c r="AF832" t="s">
        <v>796</v>
      </c>
      <c r="AG832" t="s">
        <v>797</v>
      </c>
      <c r="AH832">
        <v>3013113</v>
      </c>
      <c r="AI832">
        <v>3150980</v>
      </c>
      <c r="AJ832">
        <v>0.59789999999999999</v>
      </c>
    </row>
    <row r="833" spans="1:36" x14ac:dyDescent="0.3">
      <c r="A833">
        <f>COUNTIF($D$2:D833,D833)</f>
        <v>10</v>
      </c>
      <c r="B833" t="str">
        <f t="shared" si="49"/>
        <v>10Greenwich</v>
      </c>
      <c r="C833" t="s">
        <v>2932</v>
      </c>
      <c r="D833" t="s">
        <v>155</v>
      </c>
      <c r="E833">
        <v>23</v>
      </c>
      <c r="F833" t="s">
        <v>2933</v>
      </c>
      <c r="G833" t="s">
        <v>806</v>
      </c>
      <c r="H833" t="s">
        <v>807</v>
      </c>
      <c r="I833" t="s">
        <v>808</v>
      </c>
      <c r="J833">
        <f t="shared" ca="1" si="50"/>
        <v>669367.36459999997</v>
      </c>
      <c r="K833">
        <f t="shared" ca="1" si="51"/>
        <v>167</v>
      </c>
      <c r="N833" t="str">
        <f t="shared" si="48"/>
        <v>East Riding of Yorkshire6Disabled Facilities GrantDFG Related SchemesAdaptations, including statutory DFG grants</v>
      </c>
      <c r="O833" t="s">
        <v>143</v>
      </c>
      <c r="P833" t="s">
        <v>922</v>
      </c>
      <c r="Q833">
        <v>6</v>
      </c>
      <c r="R833" t="s">
        <v>891</v>
      </c>
      <c r="S833" t="s">
        <v>2934</v>
      </c>
      <c r="T833" t="s">
        <v>834</v>
      </c>
      <c r="U833" t="s">
        <v>835</v>
      </c>
      <c r="W833">
        <v>160</v>
      </c>
      <c r="X833">
        <v>160</v>
      </c>
      <c r="Y833" t="s">
        <v>836</v>
      </c>
      <c r="Z833" t="s">
        <v>792</v>
      </c>
      <c r="AB833" t="s">
        <v>793</v>
      </c>
      <c r="AD833" t="s">
        <v>794</v>
      </c>
      <c r="AE833" t="s">
        <v>795</v>
      </c>
      <c r="AF833" t="s">
        <v>840</v>
      </c>
      <c r="AG833" t="s">
        <v>797</v>
      </c>
      <c r="AH833">
        <v>1200000</v>
      </c>
      <c r="AI833">
        <v>1200000</v>
      </c>
      <c r="AJ833">
        <v>0.38779999999999998</v>
      </c>
    </row>
    <row r="834" spans="1:36" x14ac:dyDescent="0.3">
      <c r="A834">
        <f>COUNTIF($D$2:D834,D834)</f>
        <v>11</v>
      </c>
      <c r="B834" t="str">
        <f t="shared" si="49"/>
        <v>11Greenwich</v>
      </c>
      <c r="C834" t="s">
        <v>2935</v>
      </c>
      <c r="D834" t="s">
        <v>155</v>
      </c>
      <c r="E834">
        <v>22</v>
      </c>
      <c r="F834" t="s">
        <v>2936</v>
      </c>
      <c r="G834" t="s">
        <v>806</v>
      </c>
      <c r="H834" t="s">
        <v>807</v>
      </c>
      <c r="I834" t="s">
        <v>808</v>
      </c>
      <c r="J834">
        <f t="shared" ca="1" si="50"/>
        <v>4815404</v>
      </c>
      <c r="K834">
        <f t="shared" ca="1" si="51"/>
        <v>450</v>
      </c>
      <c r="N834" t="str">
        <f t="shared" ref="N834:N897" si="52">O834&amp;Q834&amp;R834&amp;T834&amp;U834</f>
        <v>East Riding of Yorkshire7Disabled Facilities GrantDFG Related SchemesDiscretionary use of DFG</v>
      </c>
      <c r="O834" t="s">
        <v>143</v>
      </c>
      <c r="P834" t="s">
        <v>922</v>
      </c>
      <c r="Q834">
        <v>7</v>
      </c>
      <c r="R834" t="s">
        <v>891</v>
      </c>
      <c r="S834" t="s">
        <v>2937</v>
      </c>
      <c r="T834" t="s">
        <v>834</v>
      </c>
      <c r="U834" t="s">
        <v>1293</v>
      </c>
      <c r="W834">
        <v>440</v>
      </c>
      <c r="X834">
        <v>440</v>
      </c>
      <c r="Y834" t="s">
        <v>836</v>
      </c>
      <c r="Z834" t="s">
        <v>792</v>
      </c>
      <c r="AB834" t="s">
        <v>793</v>
      </c>
      <c r="AD834" t="s">
        <v>794</v>
      </c>
      <c r="AE834" t="s">
        <v>795</v>
      </c>
      <c r="AF834" t="s">
        <v>840</v>
      </c>
      <c r="AG834" t="s">
        <v>797</v>
      </c>
      <c r="AH834">
        <v>1886212</v>
      </c>
      <c r="AI834">
        <v>1886212</v>
      </c>
      <c r="AJ834">
        <v>0.60960000000000003</v>
      </c>
    </row>
    <row r="835" spans="1:36" x14ac:dyDescent="0.3">
      <c r="A835">
        <f>COUNTIF($D$2:D835,D835)</f>
        <v>12</v>
      </c>
      <c r="B835" t="str">
        <f t="shared" ref="B835:B898" si="53">A835&amp;D835</f>
        <v>12Greenwich</v>
      </c>
      <c r="C835" t="s">
        <v>2938</v>
      </c>
      <c r="D835" t="s">
        <v>155</v>
      </c>
      <c r="E835">
        <v>13</v>
      </c>
      <c r="F835" t="s">
        <v>2939</v>
      </c>
      <c r="G835" t="s">
        <v>787</v>
      </c>
      <c r="H835" t="s">
        <v>930</v>
      </c>
      <c r="I835" t="s">
        <v>789</v>
      </c>
      <c r="J835">
        <f t="shared" ref="J835:J898" ca="1" si="54">SUMIF($N:$AI,C835,AH:AH)</f>
        <v>385000</v>
      </c>
      <c r="K835">
        <f t="shared" ref="K835:K898" ca="1" si="55">SUMIF($N:$AI,C835,W:W)</f>
        <v>634</v>
      </c>
      <c r="N835" t="str">
        <f t="shared" si="52"/>
        <v>East Riding of Yorkshire20Carers Dementia Support Carers ServicesCarer advice and support related to Care Act duties</v>
      </c>
      <c r="O835" t="s">
        <v>143</v>
      </c>
      <c r="P835" t="s">
        <v>922</v>
      </c>
      <c r="Q835">
        <v>20</v>
      </c>
      <c r="R835" t="s">
        <v>2628</v>
      </c>
      <c r="S835" t="s">
        <v>2940</v>
      </c>
      <c r="T835" t="s">
        <v>811</v>
      </c>
      <c r="U835" t="s">
        <v>895</v>
      </c>
      <c r="W835">
        <v>192</v>
      </c>
      <c r="X835">
        <v>240</v>
      </c>
      <c r="Y835" t="s">
        <v>813</v>
      </c>
      <c r="Z835" t="s">
        <v>792</v>
      </c>
      <c r="AB835" t="s">
        <v>793</v>
      </c>
      <c r="AD835" t="s">
        <v>794</v>
      </c>
      <c r="AE835" t="s">
        <v>795</v>
      </c>
      <c r="AF835" t="s">
        <v>845</v>
      </c>
      <c r="AG835" t="s">
        <v>797</v>
      </c>
      <c r="AH835">
        <v>146901</v>
      </c>
      <c r="AI835">
        <v>149839</v>
      </c>
      <c r="AJ835">
        <v>0.27529999999999999</v>
      </c>
    </row>
    <row r="836" spans="1:36" x14ac:dyDescent="0.3">
      <c r="A836">
        <f>COUNTIF($D$2:D836,D836)</f>
        <v>13</v>
      </c>
      <c r="B836" t="str">
        <f t="shared" si="53"/>
        <v>13Greenwich</v>
      </c>
      <c r="C836" t="s">
        <v>2941</v>
      </c>
      <c r="D836" t="s">
        <v>155</v>
      </c>
      <c r="E836">
        <v>24</v>
      </c>
      <c r="F836" t="s">
        <v>2942</v>
      </c>
      <c r="G836" t="s">
        <v>806</v>
      </c>
      <c r="H836" t="s">
        <v>934</v>
      </c>
      <c r="I836" t="s">
        <v>808</v>
      </c>
      <c r="J836">
        <f t="shared" ca="1" si="54"/>
        <v>245000</v>
      </c>
      <c r="K836">
        <f t="shared" ca="1" si="55"/>
        <v>159</v>
      </c>
      <c r="N836" t="str">
        <f t="shared" si="52"/>
        <v>East Riding of Yorkshire30ReablementHome-based intermediate care servicesJoint reablement and rehabilitation service (accepting step up and step down users)</v>
      </c>
      <c r="O836" t="s">
        <v>143</v>
      </c>
      <c r="P836" t="s">
        <v>922</v>
      </c>
      <c r="Q836">
        <v>30</v>
      </c>
      <c r="R836" t="s">
        <v>434</v>
      </c>
      <c r="S836" t="s">
        <v>2943</v>
      </c>
      <c r="T836" t="s">
        <v>787</v>
      </c>
      <c r="U836" t="s">
        <v>2374</v>
      </c>
      <c r="W836">
        <v>500</v>
      </c>
      <c r="X836">
        <v>700</v>
      </c>
      <c r="Y836" t="s">
        <v>789</v>
      </c>
      <c r="Z836" t="s">
        <v>792</v>
      </c>
      <c r="AB836" t="s">
        <v>793</v>
      </c>
      <c r="AD836" t="s">
        <v>794</v>
      </c>
      <c r="AE836" t="s">
        <v>795</v>
      </c>
      <c r="AF836" t="s">
        <v>845</v>
      </c>
      <c r="AG836" t="s">
        <v>861</v>
      </c>
      <c r="AH836">
        <v>800000</v>
      </c>
      <c r="AI836">
        <v>1200000</v>
      </c>
      <c r="AJ836">
        <v>0.19400000000000001</v>
      </c>
    </row>
    <row r="837" spans="1:36" x14ac:dyDescent="0.3">
      <c r="A837">
        <f>COUNTIF($D$2:D837,D837)</f>
        <v>14</v>
      </c>
      <c r="B837" t="str">
        <f t="shared" si="53"/>
        <v>14Greenwich</v>
      </c>
      <c r="C837" t="s">
        <v>2944</v>
      </c>
      <c r="D837" t="s">
        <v>155</v>
      </c>
      <c r="E837">
        <v>28</v>
      </c>
      <c r="F837" t="s">
        <v>2945</v>
      </c>
      <c r="G837" t="s">
        <v>842</v>
      </c>
      <c r="H837" t="s">
        <v>856</v>
      </c>
      <c r="I837" t="s">
        <v>844</v>
      </c>
      <c r="J837">
        <f t="shared" ca="1" si="54"/>
        <v>638000</v>
      </c>
      <c r="K837">
        <f t="shared" ca="1" si="55"/>
        <v>56018</v>
      </c>
      <c r="N837" t="str">
        <f t="shared" si="52"/>
        <v>East Riding of Yorkshire31Technology enabled CareAssistive Technologies and EquipmentAssistive technologies including telecare</v>
      </c>
      <c r="O837" t="s">
        <v>143</v>
      </c>
      <c r="P837" t="s">
        <v>922</v>
      </c>
      <c r="Q837">
        <v>31</v>
      </c>
      <c r="R837" t="s">
        <v>2632</v>
      </c>
      <c r="S837" t="s">
        <v>2946</v>
      </c>
      <c r="T837" t="s">
        <v>800</v>
      </c>
      <c r="U837" t="s">
        <v>850</v>
      </c>
      <c r="W837">
        <v>300</v>
      </c>
      <c r="X837">
        <v>600</v>
      </c>
      <c r="Y837" t="s">
        <v>802</v>
      </c>
      <c r="Z837" t="s">
        <v>792</v>
      </c>
      <c r="AB837" t="s">
        <v>793</v>
      </c>
      <c r="AD837" t="s">
        <v>794</v>
      </c>
      <c r="AE837" t="s">
        <v>795</v>
      </c>
      <c r="AF837" t="s">
        <v>845</v>
      </c>
      <c r="AG837" t="s">
        <v>861</v>
      </c>
      <c r="AH837">
        <v>350000</v>
      </c>
      <c r="AI837">
        <v>150000</v>
      </c>
      <c r="AJ837">
        <v>4.8399999999999999E-2</v>
      </c>
    </row>
    <row r="838" spans="1:36" x14ac:dyDescent="0.3">
      <c r="A838">
        <f>COUNTIF($D$2:D838,D838)</f>
        <v>15</v>
      </c>
      <c r="B838" t="str">
        <f t="shared" si="53"/>
        <v>15Greenwich</v>
      </c>
      <c r="C838" t="s">
        <v>2947</v>
      </c>
      <c r="D838" t="s">
        <v>155</v>
      </c>
      <c r="E838">
        <v>29</v>
      </c>
      <c r="F838" t="s">
        <v>2948</v>
      </c>
      <c r="G838" t="s">
        <v>806</v>
      </c>
      <c r="H838" t="s">
        <v>955</v>
      </c>
      <c r="I838" t="s">
        <v>808</v>
      </c>
      <c r="J838">
        <f t="shared" ca="1" si="54"/>
        <v>176000</v>
      </c>
      <c r="K838">
        <f t="shared" ca="1" si="55"/>
        <v>119</v>
      </c>
      <c r="N838" t="str">
        <f t="shared" si="52"/>
        <v>East Riding of Yorkshire33Fall lifting equipmentAssistive Technologies and EquipmentOther</v>
      </c>
      <c r="O838" t="s">
        <v>143</v>
      </c>
      <c r="P838" t="s">
        <v>922</v>
      </c>
      <c r="Q838">
        <v>33</v>
      </c>
      <c r="R838" t="s">
        <v>2635</v>
      </c>
      <c r="S838" t="s">
        <v>2949</v>
      </c>
      <c r="T838" t="s">
        <v>800</v>
      </c>
      <c r="U838" t="s">
        <v>812</v>
      </c>
      <c r="V838" t="s">
        <v>2950</v>
      </c>
      <c r="W838">
        <v>660</v>
      </c>
      <c r="X838">
        <v>660</v>
      </c>
      <c r="Y838" t="s">
        <v>802</v>
      </c>
      <c r="Z838" t="s">
        <v>792</v>
      </c>
      <c r="AB838" t="s">
        <v>793</v>
      </c>
      <c r="AD838" t="s">
        <v>794</v>
      </c>
      <c r="AE838" t="s">
        <v>795</v>
      </c>
      <c r="AF838" t="s">
        <v>845</v>
      </c>
      <c r="AG838" t="s">
        <v>861</v>
      </c>
      <c r="AH838">
        <v>19504</v>
      </c>
      <c r="AI838">
        <v>0</v>
      </c>
      <c r="AJ838">
        <v>1.9E-3</v>
      </c>
    </row>
    <row r="839" spans="1:36" x14ac:dyDescent="0.3">
      <c r="A839">
        <f>COUNTIF($D$2:D839,D839)</f>
        <v>16</v>
      </c>
      <c r="B839" t="str">
        <f t="shared" si="53"/>
        <v>16Greenwich</v>
      </c>
      <c r="C839" t="s">
        <v>2951</v>
      </c>
      <c r="D839" t="s">
        <v>155</v>
      </c>
      <c r="E839">
        <v>29</v>
      </c>
      <c r="F839" t="s">
        <v>2952</v>
      </c>
      <c r="G839" t="s">
        <v>806</v>
      </c>
      <c r="H839" t="s">
        <v>917</v>
      </c>
      <c r="I839" t="s">
        <v>808</v>
      </c>
      <c r="J839">
        <f t="shared" ca="1" si="54"/>
        <v>268000</v>
      </c>
      <c r="K839">
        <f t="shared" ca="1" si="55"/>
        <v>193</v>
      </c>
      <c r="N839" t="str">
        <f t="shared" si="52"/>
        <v>East Riding of Yorkshire34Community EquipmentAssistive Technologies and EquipmentAssistive technologies including telecare</v>
      </c>
      <c r="O839" t="s">
        <v>143</v>
      </c>
      <c r="P839" t="s">
        <v>922</v>
      </c>
      <c r="Q839">
        <v>34</v>
      </c>
      <c r="R839" t="s">
        <v>1051</v>
      </c>
      <c r="S839" t="s">
        <v>2953</v>
      </c>
      <c r="T839" t="s">
        <v>800</v>
      </c>
      <c r="U839" t="s">
        <v>850</v>
      </c>
      <c r="W839">
        <v>11500</v>
      </c>
      <c r="X839">
        <v>11500</v>
      </c>
      <c r="Y839" t="s">
        <v>802</v>
      </c>
      <c r="Z839" t="s">
        <v>823</v>
      </c>
      <c r="AB839" t="s">
        <v>824</v>
      </c>
      <c r="AD839" t="s">
        <v>794</v>
      </c>
      <c r="AE839" t="s">
        <v>804</v>
      </c>
      <c r="AF839" t="s">
        <v>796</v>
      </c>
      <c r="AG839" t="s">
        <v>797</v>
      </c>
      <c r="AH839">
        <v>3776272.97</v>
      </c>
      <c r="AI839">
        <v>3990010.02</v>
      </c>
      <c r="AJ839">
        <v>0.75190000000000001</v>
      </c>
    </row>
    <row r="840" spans="1:36" x14ac:dyDescent="0.3">
      <c r="A840">
        <f>COUNTIF($D$2:D840,D840)</f>
        <v>1</v>
      </c>
      <c r="B840" t="str">
        <f t="shared" si="53"/>
        <v>1Hackney</v>
      </c>
      <c r="C840" t="s">
        <v>2954</v>
      </c>
      <c r="D840" t="s">
        <v>157</v>
      </c>
      <c r="E840">
        <v>1</v>
      </c>
      <c r="F840" t="s">
        <v>2955</v>
      </c>
      <c r="G840" t="s">
        <v>811</v>
      </c>
      <c r="H840" t="s">
        <v>895</v>
      </c>
      <c r="I840" t="s">
        <v>813</v>
      </c>
      <c r="J840">
        <f t="shared" ca="1" si="54"/>
        <v>741176</v>
      </c>
      <c r="K840">
        <f t="shared" ca="1" si="55"/>
        <v>601</v>
      </c>
      <c r="N840" t="str">
        <f t="shared" si="52"/>
        <v>East Riding of Yorkshire40Community equipment serviceAssistive Technologies and EquipmentAssistive technologies including telecare</v>
      </c>
      <c r="O840" t="s">
        <v>143</v>
      </c>
      <c r="P840" t="s">
        <v>922</v>
      </c>
      <c r="Q840">
        <v>40</v>
      </c>
      <c r="R840" t="s">
        <v>2639</v>
      </c>
      <c r="S840" t="s">
        <v>2956</v>
      </c>
      <c r="T840" t="s">
        <v>800</v>
      </c>
      <c r="U840" t="s">
        <v>850</v>
      </c>
      <c r="W840">
        <v>293</v>
      </c>
      <c r="X840">
        <v>293</v>
      </c>
      <c r="Y840" t="s">
        <v>802</v>
      </c>
      <c r="Z840" t="s">
        <v>823</v>
      </c>
      <c r="AB840" t="s">
        <v>824</v>
      </c>
      <c r="AD840" t="s">
        <v>794</v>
      </c>
      <c r="AE840" t="s">
        <v>804</v>
      </c>
      <c r="AF840" t="s">
        <v>796</v>
      </c>
      <c r="AG840" t="s">
        <v>797</v>
      </c>
      <c r="AH840">
        <v>56855</v>
      </c>
      <c r="AI840">
        <v>57879</v>
      </c>
      <c r="AJ840">
        <v>1.11E-2</v>
      </c>
    </row>
    <row r="841" spans="1:36" x14ac:dyDescent="0.3">
      <c r="A841">
        <f>COUNTIF($D$2:D841,D841)</f>
        <v>2</v>
      </c>
      <c r="B841" t="str">
        <f t="shared" si="53"/>
        <v>2Hackney</v>
      </c>
      <c r="C841" t="s">
        <v>2957</v>
      </c>
      <c r="D841" t="s">
        <v>157</v>
      </c>
      <c r="E841">
        <v>2</v>
      </c>
      <c r="F841" t="s">
        <v>2958</v>
      </c>
      <c r="G841" t="s">
        <v>800</v>
      </c>
      <c r="H841" t="s">
        <v>903</v>
      </c>
      <c r="I841" t="s">
        <v>802</v>
      </c>
      <c r="J841">
        <f t="shared" ca="1" si="54"/>
        <v>2427894</v>
      </c>
      <c r="K841">
        <f t="shared" ca="1" si="55"/>
        <v>16942</v>
      </c>
      <c r="N841" t="str">
        <f t="shared" si="52"/>
        <v>East Riding of Yorkshire45Discharge fund schemesBed based intermediate Care Services (Reablement, rehabilitation, wider short-term services supporting recovery)Other</v>
      </c>
      <c r="O841" t="s">
        <v>143</v>
      </c>
      <c r="P841" t="s">
        <v>922</v>
      </c>
      <c r="Q841">
        <v>45</v>
      </c>
      <c r="R841" t="s">
        <v>2641</v>
      </c>
      <c r="S841" t="s">
        <v>2959</v>
      </c>
      <c r="T841" t="s">
        <v>877</v>
      </c>
      <c r="U841" t="s">
        <v>812</v>
      </c>
      <c r="V841" t="s">
        <v>2960</v>
      </c>
      <c r="W841">
        <v>780</v>
      </c>
      <c r="X841">
        <v>936</v>
      </c>
      <c r="Y841" t="s">
        <v>879</v>
      </c>
      <c r="Z841" t="s">
        <v>823</v>
      </c>
      <c r="AB841" t="s">
        <v>824</v>
      </c>
      <c r="AD841" t="s">
        <v>794</v>
      </c>
      <c r="AE841" t="s">
        <v>832</v>
      </c>
      <c r="AF841" t="s">
        <v>860</v>
      </c>
      <c r="AG841" t="s">
        <v>861</v>
      </c>
      <c r="AH841">
        <v>1997000</v>
      </c>
      <c r="AI841">
        <v>2826640.65</v>
      </c>
      <c r="AJ841">
        <v>0.18279999999999999</v>
      </c>
    </row>
    <row r="842" spans="1:36" x14ac:dyDescent="0.3">
      <c r="A842">
        <f>COUNTIF($D$2:D842,D842)</f>
        <v>3</v>
      </c>
      <c r="B842" t="str">
        <f t="shared" si="53"/>
        <v>3Hackney</v>
      </c>
      <c r="C842" t="s">
        <v>2961</v>
      </c>
      <c r="D842" t="s">
        <v>157</v>
      </c>
      <c r="E842">
        <v>3</v>
      </c>
      <c r="F842" t="s">
        <v>1133</v>
      </c>
      <c r="G842" t="s">
        <v>842</v>
      </c>
      <c r="H842" t="s">
        <v>812</v>
      </c>
      <c r="I842" t="s">
        <v>844</v>
      </c>
      <c r="J842">
        <f t="shared" ca="1" si="54"/>
        <v>4683758</v>
      </c>
      <c r="K842">
        <f t="shared" ca="1" si="55"/>
        <v>234187</v>
      </c>
      <c r="N842" t="str">
        <f t="shared" si="52"/>
        <v>East Riding of Yorkshire46Community equipment for hospitalAssistive Technologies and EquipmentAssistive technologies including telecare</v>
      </c>
      <c r="O842" t="s">
        <v>143</v>
      </c>
      <c r="P842" t="s">
        <v>922</v>
      </c>
      <c r="Q842">
        <v>46</v>
      </c>
      <c r="R842" t="s">
        <v>2643</v>
      </c>
      <c r="S842" t="s">
        <v>2962</v>
      </c>
      <c r="T842" t="s">
        <v>800</v>
      </c>
      <c r="U842" t="s">
        <v>850</v>
      </c>
      <c r="W842">
        <v>800</v>
      </c>
      <c r="X842">
        <v>800</v>
      </c>
      <c r="Y842" t="s">
        <v>802</v>
      </c>
      <c r="Z842" t="s">
        <v>823</v>
      </c>
      <c r="AB842" t="s">
        <v>793</v>
      </c>
      <c r="AD842" t="s">
        <v>794</v>
      </c>
      <c r="AE842" t="s">
        <v>795</v>
      </c>
      <c r="AF842" t="s">
        <v>864</v>
      </c>
      <c r="AG842" t="s">
        <v>861</v>
      </c>
      <c r="AH842">
        <v>400000</v>
      </c>
      <c r="AI842">
        <v>400000</v>
      </c>
      <c r="AJ842">
        <v>7.7499999999999999E-2</v>
      </c>
    </row>
    <row r="843" spans="1:36" x14ac:dyDescent="0.3">
      <c r="A843">
        <f>COUNTIF($D$2:D843,D843)</f>
        <v>4</v>
      </c>
      <c r="B843" t="str">
        <f t="shared" si="53"/>
        <v>4Hackney</v>
      </c>
      <c r="C843" t="s">
        <v>2963</v>
      </c>
      <c r="D843" t="s">
        <v>157</v>
      </c>
      <c r="E843">
        <v>5</v>
      </c>
      <c r="F843" t="s">
        <v>2108</v>
      </c>
      <c r="G843" t="s">
        <v>800</v>
      </c>
      <c r="H843" t="s">
        <v>850</v>
      </c>
      <c r="I843" t="s">
        <v>802</v>
      </c>
      <c r="J843">
        <f t="shared" ca="1" si="54"/>
        <v>352468</v>
      </c>
      <c r="K843">
        <f t="shared" ca="1" si="55"/>
        <v>3500</v>
      </c>
      <c r="N843" t="str">
        <f t="shared" si="52"/>
        <v>East Riding of Yorkshire50Short term packagesHome Care or Domiciliary CareShort term domiciliary care (without reablement input)</v>
      </c>
      <c r="O843" t="s">
        <v>143</v>
      </c>
      <c r="P843" t="s">
        <v>922</v>
      </c>
      <c r="Q843">
        <v>50</v>
      </c>
      <c r="R843" t="s">
        <v>2645</v>
      </c>
      <c r="S843" t="s">
        <v>2964</v>
      </c>
      <c r="T843" t="s">
        <v>842</v>
      </c>
      <c r="U843" t="s">
        <v>1102</v>
      </c>
      <c r="W843">
        <v>2000</v>
      </c>
      <c r="X843">
        <v>5850</v>
      </c>
      <c r="Y843" t="s">
        <v>789</v>
      </c>
      <c r="Z843" t="s">
        <v>792</v>
      </c>
      <c r="AB843" t="s">
        <v>793</v>
      </c>
      <c r="AD843" t="s">
        <v>794</v>
      </c>
      <c r="AE843" t="s">
        <v>795</v>
      </c>
      <c r="AF843" t="s">
        <v>864</v>
      </c>
      <c r="AG843" t="s">
        <v>861</v>
      </c>
      <c r="AH843">
        <v>320000</v>
      </c>
      <c r="AI843">
        <v>936576</v>
      </c>
      <c r="AJ843">
        <v>0.32829999999999998</v>
      </c>
    </row>
    <row r="844" spans="1:36" x14ac:dyDescent="0.3">
      <c r="A844">
        <f>COUNTIF($D$2:D844,D844)</f>
        <v>5</v>
      </c>
      <c r="B844" t="str">
        <f t="shared" si="53"/>
        <v>5Hackney</v>
      </c>
      <c r="C844" t="s">
        <v>2965</v>
      </c>
      <c r="D844" t="s">
        <v>157</v>
      </c>
      <c r="E844">
        <v>6</v>
      </c>
      <c r="F844" t="s">
        <v>2966</v>
      </c>
      <c r="G844" t="s">
        <v>806</v>
      </c>
      <c r="H844" t="s">
        <v>934</v>
      </c>
      <c r="I844" t="s">
        <v>808</v>
      </c>
      <c r="J844">
        <f t="shared" ca="1" si="54"/>
        <v>369532</v>
      </c>
      <c r="K844">
        <f t="shared" ca="1" si="55"/>
        <v>22</v>
      </c>
      <c r="N844" t="str">
        <f t="shared" si="52"/>
        <v>East Sussex4Milton Grange - Community Bed Based Intermediate Care Bed based intermediate Care Services (Reablement, rehabilitation, wider short-term services supporting recovery)Bed-based intermediate care with reablement accepting step up and step down users</v>
      </c>
      <c r="O844" t="s">
        <v>145</v>
      </c>
      <c r="P844" t="s">
        <v>1437</v>
      </c>
      <c r="Q844">
        <v>4</v>
      </c>
      <c r="R844" t="s">
        <v>2647</v>
      </c>
      <c r="S844" t="s">
        <v>2967</v>
      </c>
      <c r="T844" t="s">
        <v>877</v>
      </c>
      <c r="U844" t="s">
        <v>1259</v>
      </c>
      <c r="W844">
        <v>149</v>
      </c>
      <c r="X844">
        <v>149</v>
      </c>
      <c r="Y844" t="s">
        <v>879</v>
      </c>
      <c r="Z844" t="s">
        <v>792</v>
      </c>
      <c r="AB844" t="s">
        <v>793</v>
      </c>
      <c r="AD844" t="s">
        <v>794</v>
      </c>
      <c r="AE844" t="s">
        <v>795</v>
      </c>
      <c r="AF844" t="s">
        <v>796</v>
      </c>
      <c r="AG844" t="s">
        <v>797</v>
      </c>
      <c r="AH844">
        <v>1683500</v>
      </c>
      <c r="AI844">
        <v>1683500</v>
      </c>
      <c r="AJ844">
        <v>0.47489421720733421</v>
      </c>
    </row>
    <row r="845" spans="1:36" x14ac:dyDescent="0.3">
      <c r="A845">
        <f>COUNTIF($D$2:D845,D845)</f>
        <v>6</v>
      </c>
      <c r="B845" t="str">
        <f t="shared" si="53"/>
        <v>6Hackney</v>
      </c>
      <c r="C845" t="s">
        <v>2968</v>
      </c>
      <c r="D845" t="s">
        <v>157</v>
      </c>
      <c r="E845">
        <v>8</v>
      </c>
      <c r="F845" t="s">
        <v>2969</v>
      </c>
      <c r="G845" t="s">
        <v>787</v>
      </c>
      <c r="H845" t="s">
        <v>812</v>
      </c>
      <c r="I845" t="s">
        <v>789</v>
      </c>
      <c r="J845">
        <f t="shared" ca="1" si="54"/>
        <v>1581232</v>
      </c>
      <c r="K845">
        <f t="shared" ca="1" si="55"/>
        <v>268</v>
      </c>
      <c r="N845" t="str">
        <f t="shared" si="52"/>
        <v>East Sussex4Milton Grange - Community Bed Based Intermediate Care Bed based intermediate Care Services (Reablement, rehabilitation, wider short-term services supporting recovery)Bed-based intermediate care with reablement accepting step up and step down users</v>
      </c>
      <c r="O845" t="s">
        <v>145</v>
      </c>
      <c r="P845" t="s">
        <v>1437</v>
      </c>
      <c r="Q845">
        <v>4</v>
      </c>
      <c r="R845" t="s">
        <v>2647</v>
      </c>
      <c r="S845" t="s">
        <v>2967</v>
      </c>
      <c r="T845" t="s">
        <v>877</v>
      </c>
      <c r="U845" t="s">
        <v>1259</v>
      </c>
      <c r="W845">
        <v>149</v>
      </c>
      <c r="X845">
        <v>149</v>
      </c>
      <c r="Y845" t="s">
        <v>879</v>
      </c>
      <c r="Z845" t="s">
        <v>823</v>
      </c>
      <c r="AB845" t="s">
        <v>793</v>
      </c>
      <c r="AD845" t="s">
        <v>794</v>
      </c>
      <c r="AE845" t="s">
        <v>795</v>
      </c>
      <c r="AF845" t="s">
        <v>796</v>
      </c>
      <c r="AG845" t="s">
        <v>797</v>
      </c>
      <c r="AH845">
        <v>1683500</v>
      </c>
      <c r="AI845">
        <v>1683500</v>
      </c>
      <c r="AJ845">
        <v>0.47489421720733421</v>
      </c>
    </row>
    <row r="846" spans="1:36" x14ac:dyDescent="0.3">
      <c r="A846">
        <f>COUNTIF($D$2:D846,D846)</f>
        <v>7</v>
      </c>
      <c r="B846" t="str">
        <f t="shared" si="53"/>
        <v>7Hackney</v>
      </c>
      <c r="C846" t="s">
        <v>2970</v>
      </c>
      <c r="D846" t="s">
        <v>157</v>
      </c>
      <c r="E846">
        <v>9</v>
      </c>
      <c r="F846" t="s">
        <v>2971</v>
      </c>
      <c r="G846" t="s">
        <v>787</v>
      </c>
      <c r="H846" t="s">
        <v>812</v>
      </c>
      <c r="I846" t="s">
        <v>789</v>
      </c>
      <c r="J846">
        <f t="shared" ca="1" si="54"/>
        <v>2619352</v>
      </c>
      <c r="K846">
        <f t="shared" ca="1" si="55"/>
        <v>1076</v>
      </c>
      <c r="N846" t="str">
        <f t="shared" si="52"/>
        <v>East Sussex5Community Bed Based Intermediate Care Bed based intermediate Care Services (Reablement, rehabilitation, wider short-term services supporting recovery)Bed-based intermediate care with rehabilitation (to support discharge)</v>
      </c>
      <c r="O846" t="s">
        <v>145</v>
      </c>
      <c r="P846" t="s">
        <v>1437</v>
      </c>
      <c r="Q846">
        <v>5</v>
      </c>
      <c r="R846" t="s">
        <v>2650</v>
      </c>
      <c r="S846" t="s">
        <v>2972</v>
      </c>
      <c r="T846" t="s">
        <v>877</v>
      </c>
      <c r="U846" t="s">
        <v>968</v>
      </c>
      <c r="W846">
        <v>10</v>
      </c>
      <c r="X846">
        <v>10</v>
      </c>
      <c r="Y846" t="s">
        <v>879</v>
      </c>
      <c r="Z846" t="s">
        <v>792</v>
      </c>
      <c r="AB846" t="s">
        <v>793</v>
      </c>
      <c r="AD846" t="s">
        <v>794</v>
      </c>
      <c r="AE846" t="s">
        <v>804</v>
      </c>
      <c r="AF846" t="s">
        <v>796</v>
      </c>
      <c r="AG846" t="s">
        <v>797</v>
      </c>
      <c r="AH846">
        <v>89000</v>
      </c>
      <c r="AI846">
        <v>89000</v>
      </c>
      <c r="AJ846">
        <v>2.5105782792665725E-2</v>
      </c>
    </row>
    <row r="847" spans="1:36" x14ac:dyDescent="0.3">
      <c r="A847">
        <f>COUNTIF($D$2:D847,D847)</f>
        <v>8</v>
      </c>
      <c r="B847" t="str">
        <f t="shared" si="53"/>
        <v>8Hackney</v>
      </c>
      <c r="C847" t="s">
        <v>2973</v>
      </c>
      <c r="D847" t="s">
        <v>157</v>
      </c>
      <c r="E847">
        <v>25</v>
      </c>
      <c r="F847" t="s">
        <v>2974</v>
      </c>
      <c r="G847" t="s">
        <v>806</v>
      </c>
      <c r="H847" t="s">
        <v>917</v>
      </c>
      <c r="I847" t="s">
        <v>808</v>
      </c>
      <c r="J847">
        <f t="shared" ca="1" si="54"/>
        <v>10904652</v>
      </c>
      <c r="K847">
        <f t="shared" ca="1" si="55"/>
        <v>210</v>
      </c>
      <c r="N847" t="str">
        <f t="shared" si="52"/>
        <v>East Sussex5Community Bed Based Intermediate Care Bed based intermediate Care Services (Reablement, rehabilitation, wider short-term services supporting recovery)Bed-based intermediate care with reablement (to support discharge)</v>
      </c>
      <c r="O847" t="s">
        <v>145</v>
      </c>
      <c r="P847" t="s">
        <v>1437</v>
      </c>
      <c r="Q847">
        <v>5</v>
      </c>
      <c r="R847" t="s">
        <v>2650</v>
      </c>
      <c r="S847" t="s">
        <v>2972</v>
      </c>
      <c r="T847" t="s">
        <v>877</v>
      </c>
      <c r="U847" t="s">
        <v>878</v>
      </c>
      <c r="W847">
        <v>10</v>
      </c>
      <c r="X847">
        <v>10</v>
      </c>
      <c r="Y847" t="s">
        <v>879</v>
      </c>
      <c r="Z847" t="s">
        <v>823</v>
      </c>
      <c r="AB847" t="s">
        <v>793</v>
      </c>
      <c r="AD847" t="s">
        <v>794</v>
      </c>
      <c r="AE847" t="s">
        <v>804</v>
      </c>
      <c r="AF847" t="s">
        <v>796</v>
      </c>
      <c r="AG847" t="s">
        <v>797</v>
      </c>
      <c r="AH847">
        <v>89000</v>
      </c>
      <c r="AI847">
        <v>89000</v>
      </c>
      <c r="AJ847">
        <v>2.5105782792665725E-2</v>
      </c>
    </row>
    <row r="848" spans="1:36" x14ac:dyDescent="0.3">
      <c r="A848">
        <f>COUNTIF($D$2:D848,D848)</f>
        <v>9</v>
      </c>
      <c r="B848" t="str">
        <f t="shared" si="53"/>
        <v>9Hackney</v>
      </c>
      <c r="C848" t="s">
        <v>2975</v>
      </c>
      <c r="D848" t="s">
        <v>157</v>
      </c>
      <c r="E848">
        <v>26</v>
      </c>
      <c r="F848" t="s">
        <v>2976</v>
      </c>
      <c r="G848" t="s">
        <v>842</v>
      </c>
      <c r="H848" t="s">
        <v>843</v>
      </c>
      <c r="I848" t="s">
        <v>844</v>
      </c>
      <c r="J848">
        <f t="shared" ca="1" si="54"/>
        <v>2256967</v>
      </c>
      <c r="K848">
        <f t="shared" ca="1" si="55"/>
        <v>120700</v>
      </c>
      <c r="N848" t="str">
        <f t="shared" si="52"/>
        <v>East Sussex6Joint Community Rehabilitation ServicesHome-based intermediate care servicesJoint reablement and rehabilitation service (accepting step up and step down users)</v>
      </c>
      <c r="O848" t="s">
        <v>145</v>
      </c>
      <c r="P848" t="s">
        <v>1437</v>
      </c>
      <c r="Q848">
        <v>6</v>
      </c>
      <c r="R848" t="s">
        <v>2655</v>
      </c>
      <c r="S848" t="s">
        <v>2977</v>
      </c>
      <c r="T848" t="s">
        <v>787</v>
      </c>
      <c r="U848" t="s">
        <v>2374</v>
      </c>
      <c r="W848">
        <v>77</v>
      </c>
      <c r="X848">
        <v>77</v>
      </c>
      <c r="Y848" t="s">
        <v>789</v>
      </c>
      <c r="Z848" t="s">
        <v>792</v>
      </c>
      <c r="AB848" t="s">
        <v>793</v>
      </c>
      <c r="AD848" t="s">
        <v>794</v>
      </c>
      <c r="AE848" t="s">
        <v>795</v>
      </c>
      <c r="AF848" t="s">
        <v>796</v>
      </c>
      <c r="AG848" t="s">
        <v>797</v>
      </c>
      <c r="AH848">
        <v>433500</v>
      </c>
      <c r="AI848">
        <v>433500</v>
      </c>
      <c r="AJ848">
        <v>0.22317751235584843</v>
      </c>
    </row>
    <row r="849" spans="1:36" x14ac:dyDescent="0.3">
      <c r="A849">
        <f>COUNTIF($D$2:D849,D849)</f>
        <v>10</v>
      </c>
      <c r="B849" t="str">
        <f t="shared" si="53"/>
        <v>10Hackney</v>
      </c>
      <c r="C849" t="s">
        <v>2978</v>
      </c>
      <c r="D849" t="s">
        <v>157</v>
      </c>
      <c r="E849">
        <v>27</v>
      </c>
      <c r="F849" t="s">
        <v>2979</v>
      </c>
      <c r="G849" t="s">
        <v>806</v>
      </c>
      <c r="H849" t="s">
        <v>807</v>
      </c>
      <c r="I849" t="s">
        <v>808</v>
      </c>
      <c r="J849">
        <f t="shared" ca="1" si="54"/>
        <v>3475126</v>
      </c>
      <c r="K849">
        <f t="shared" ca="1" si="55"/>
        <v>67</v>
      </c>
      <c r="N849" t="str">
        <f t="shared" si="52"/>
        <v>East Sussex6Joint Community Rehabilitation ServicesHome-based intermediate care servicesJoint reablement and rehabilitation service (accepting step up and step down users)</v>
      </c>
      <c r="O849" t="s">
        <v>145</v>
      </c>
      <c r="P849" t="s">
        <v>1437</v>
      </c>
      <c r="Q849">
        <v>6</v>
      </c>
      <c r="R849" t="s">
        <v>2655</v>
      </c>
      <c r="S849" t="s">
        <v>2977</v>
      </c>
      <c r="T849" t="s">
        <v>787</v>
      </c>
      <c r="U849" t="s">
        <v>2374</v>
      </c>
      <c r="W849">
        <v>155</v>
      </c>
      <c r="X849">
        <v>155</v>
      </c>
      <c r="Y849" t="s">
        <v>789</v>
      </c>
      <c r="Z849" t="s">
        <v>823</v>
      </c>
      <c r="AB849" t="s">
        <v>824</v>
      </c>
      <c r="AD849" t="s">
        <v>794</v>
      </c>
      <c r="AE849" t="s">
        <v>832</v>
      </c>
      <c r="AF849" t="s">
        <v>796</v>
      </c>
      <c r="AG849" t="s">
        <v>797</v>
      </c>
      <c r="AH849">
        <v>433500</v>
      </c>
      <c r="AI849">
        <v>433500</v>
      </c>
      <c r="AJ849">
        <v>0.22317751235584843</v>
      </c>
    </row>
    <row r="850" spans="1:36" x14ac:dyDescent="0.3">
      <c r="A850">
        <f>COUNTIF($D$2:D850,D850)</f>
        <v>11</v>
      </c>
      <c r="B850" t="str">
        <f t="shared" si="53"/>
        <v>11Hackney</v>
      </c>
      <c r="C850" t="s">
        <v>2980</v>
      </c>
      <c r="D850" t="s">
        <v>157</v>
      </c>
      <c r="E850">
        <v>28</v>
      </c>
      <c r="F850" t="s">
        <v>891</v>
      </c>
      <c r="G850" t="s">
        <v>834</v>
      </c>
      <c r="H850" t="s">
        <v>835</v>
      </c>
      <c r="I850" t="s">
        <v>836</v>
      </c>
      <c r="J850">
        <f t="shared" ca="1" si="54"/>
        <v>1730686</v>
      </c>
      <c r="K850">
        <f t="shared" ca="1" si="55"/>
        <v>94</v>
      </c>
      <c r="N850" t="str">
        <f t="shared" si="52"/>
        <v>East Sussex7Carers ServciesCarers ServicesRespite services</v>
      </c>
      <c r="O850" t="s">
        <v>145</v>
      </c>
      <c r="P850" t="s">
        <v>1437</v>
      </c>
      <c r="Q850">
        <v>7</v>
      </c>
      <c r="R850" t="s">
        <v>2658</v>
      </c>
      <c r="S850" t="s">
        <v>2981</v>
      </c>
      <c r="T850" t="s">
        <v>811</v>
      </c>
      <c r="U850" t="s">
        <v>830</v>
      </c>
      <c r="W850">
        <v>6533</v>
      </c>
      <c r="X850">
        <v>6586</v>
      </c>
      <c r="Y850" t="s">
        <v>813</v>
      </c>
      <c r="Z850" t="s">
        <v>792</v>
      </c>
      <c r="AB850" t="s">
        <v>793</v>
      </c>
      <c r="AD850" t="s">
        <v>794</v>
      </c>
      <c r="AE850" t="s">
        <v>825</v>
      </c>
      <c r="AF850" t="s">
        <v>796</v>
      </c>
      <c r="AG850" t="s">
        <v>797</v>
      </c>
      <c r="AH850">
        <v>1982153</v>
      </c>
      <c r="AI850">
        <v>1982153</v>
      </c>
      <c r="AJ850">
        <v>0.45897960639168922</v>
      </c>
    </row>
    <row r="851" spans="1:36" x14ac:dyDescent="0.3">
      <c r="A851">
        <f>COUNTIF($D$2:D851,D851)</f>
        <v>12</v>
      </c>
      <c r="B851" t="str">
        <f t="shared" si="53"/>
        <v>12Hackney</v>
      </c>
      <c r="C851" t="s">
        <v>2982</v>
      </c>
      <c r="D851" t="s">
        <v>157</v>
      </c>
      <c r="E851">
        <v>29</v>
      </c>
      <c r="F851" t="s">
        <v>2983</v>
      </c>
      <c r="G851" t="s">
        <v>877</v>
      </c>
      <c r="H851" t="s">
        <v>1015</v>
      </c>
      <c r="I851" t="s">
        <v>879</v>
      </c>
      <c r="J851">
        <f t="shared" ca="1" si="54"/>
        <v>184618</v>
      </c>
      <c r="K851">
        <f t="shared" ca="1" si="55"/>
        <v>48</v>
      </c>
      <c r="N851" t="str">
        <f t="shared" si="52"/>
        <v>East Sussex7Carers Services  Carers ServicesRespite services</v>
      </c>
      <c r="O851" t="s">
        <v>145</v>
      </c>
      <c r="P851" t="s">
        <v>1437</v>
      </c>
      <c r="Q851">
        <v>7</v>
      </c>
      <c r="R851" t="s">
        <v>2661</v>
      </c>
      <c r="S851" t="s">
        <v>2981</v>
      </c>
      <c r="T851" t="s">
        <v>811</v>
      </c>
      <c r="U851" t="s">
        <v>830</v>
      </c>
      <c r="W851">
        <v>61</v>
      </c>
      <c r="X851">
        <v>61</v>
      </c>
      <c r="Y851" t="s">
        <v>813</v>
      </c>
      <c r="Z851" t="s">
        <v>792</v>
      </c>
      <c r="AB851" t="s">
        <v>793</v>
      </c>
      <c r="AD851" t="s">
        <v>794</v>
      </c>
      <c r="AE851" t="s">
        <v>825</v>
      </c>
      <c r="AF851" t="s">
        <v>1029</v>
      </c>
      <c r="AG851" t="s">
        <v>797</v>
      </c>
      <c r="AH851">
        <v>22000</v>
      </c>
      <c r="AI851">
        <v>22000</v>
      </c>
      <c r="AJ851">
        <v>5.0942340680145085E-3</v>
      </c>
    </row>
    <row r="852" spans="1:36" x14ac:dyDescent="0.3">
      <c r="A852">
        <f>COUNTIF($D$2:D852,D852)</f>
        <v>13</v>
      </c>
      <c r="B852" t="str">
        <f t="shared" si="53"/>
        <v>13Hackney</v>
      </c>
      <c r="C852" t="s">
        <v>2984</v>
      </c>
      <c r="D852" t="s">
        <v>157</v>
      </c>
      <c r="E852">
        <v>31</v>
      </c>
      <c r="F852" t="s">
        <v>2985</v>
      </c>
      <c r="G852" t="s">
        <v>877</v>
      </c>
      <c r="H852" t="s">
        <v>812</v>
      </c>
      <c r="I852" t="s">
        <v>879</v>
      </c>
      <c r="J852">
        <f t="shared" ca="1" si="54"/>
        <v>182490</v>
      </c>
      <c r="K852">
        <f t="shared" ca="1" si="55"/>
        <v>91</v>
      </c>
      <c r="N852" t="str">
        <f t="shared" si="52"/>
        <v>East Sussex7Carers Services  Carers ServicesRespite services</v>
      </c>
      <c r="O852" t="s">
        <v>145</v>
      </c>
      <c r="P852" t="s">
        <v>1437</v>
      </c>
      <c r="Q852">
        <v>7</v>
      </c>
      <c r="R852" t="s">
        <v>2661</v>
      </c>
      <c r="S852" t="s">
        <v>2981</v>
      </c>
      <c r="T852" t="s">
        <v>811</v>
      </c>
      <c r="U852" t="s">
        <v>830</v>
      </c>
      <c r="W852">
        <v>10</v>
      </c>
      <c r="X852">
        <v>10</v>
      </c>
      <c r="Y852" t="s">
        <v>813</v>
      </c>
      <c r="Z852" t="s">
        <v>823</v>
      </c>
      <c r="AB852" t="s">
        <v>793</v>
      </c>
      <c r="AD852" t="s">
        <v>794</v>
      </c>
      <c r="AE852" t="s">
        <v>825</v>
      </c>
      <c r="AF852" t="s">
        <v>796</v>
      </c>
      <c r="AG852" t="s">
        <v>797</v>
      </c>
      <c r="AH852">
        <v>4000</v>
      </c>
      <c r="AI852">
        <v>4000</v>
      </c>
      <c r="AJ852">
        <v>0.01</v>
      </c>
    </row>
    <row r="853" spans="1:36" x14ac:dyDescent="0.3">
      <c r="A853">
        <f>COUNTIF($D$2:D853,D853)</f>
        <v>14</v>
      </c>
      <c r="B853" t="str">
        <f t="shared" si="53"/>
        <v>14Hackney</v>
      </c>
      <c r="C853" t="s">
        <v>2986</v>
      </c>
      <c r="D853" t="s">
        <v>157</v>
      </c>
      <c r="E853">
        <v>32</v>
      </c>
      <c r="F853" t="s">
        <v>2987</v>
      </c>
      <c r="G853" t="s">
        <v>877</v>
      </c>
      <c r="H853" t="s">
        <v>812</v>
      </c>
      <c r="I853" t="s">
        <v>879</v>
      </c>
      <c r="J853">
        <f t="shared" ca="1" si="54"/>
        <v>58453</v>
      </c>
      <c r="K853">
        <f t="shared" ca="1" si="55"/>
        <v>4</v>
      </c>
      <c r="N853" t="str">
        <f t="shared" si="52"/>
        <v>East Sussex8Carers Services  Carers ServicesCarer advice and support related to Care Act duties</v>
      </c>
      <c r="O853" t="s">
        <v>145</v>
      </c>
      <c r="P853" t="s">
        <v>1437</v>
      </c>
      <c r="Q853">
        <v>8</v>
      </c>
      <c r="R853" t="s">
        <v>2661</v>
      </c>
      <c r="S853" t="s">
        <v>2981</v>
      </c>
      <c r="T853" t="s">
        <v>811</v>
      </c>
      <c r="U853" t="s">
        <v>895</v>
      </c>
      <c r="W853">
        <v>12765</v>
      </c>
      <c r="X853">
        <v>13344</v>
      </c>
      <c r="Y853" t="s">
        <v>813</v>
      </c>
      <c r="Z853" t="s">
        <v>792</v>
      </c>
      <c r="AB853" t="s">
        <v>793</v>
      </c>
      <c r="AD853" t="s">
        <v>794</v>
      </c>
      <c r="AE853" t="s">
        <v>825</v>
      </c>
      <c r="AF853" t="s">
        <v>796</v>
      </c>
      <c r="AG853" t="s">
        <v>797</v>
      </c>
      <c r="AH853">
        <v>1463355</v>
      </c>
      <c r="AI853">
        <v>1463355</v>
      </c>
      <c r="AJ853">
        <v>0.33884876793633506</v>
      </c>
    </row>
    <row r="854" spans="1:36" x14ac:dyDescent="0.3">
      <c r="A854">
        <f>COUNTIF($D$2:D854,D854)</f>
        <v>15</v>
      </c>
      <c r="B854" t="str">
        <f t="shared" si="53"/>
        <v>15Hackney</v>
      </c>
      <c r="C854" t="s">
        <v>2988</v>
      </c>
      <c r="D854" t="s">
        <v>157</v>
      </c>
      <c r="E854">
        <v>33</v>
      </c>
      <c r="F854" t="s">
        <v>2989</v>
      </c>
      <c r="G854" t="s">
        <v>877</v>
      </c>
      <c r="H854" t="s">
        <v>878</v>
      </c>
      <c r="I854" t="s">
        <v>879</v>
      </c>
      <c r="J854">
        <f t="shared" ca="1" si="54"/>
        <v>83002</v>
      </c>
      <c r="K854">
        <f t="shared" ca="1" si="55"/>
        <v>5</v>
      </c>
      <c r="N854" t="str">
        <f t="shared" si="52"/>
        <v>East Sussex8Carers Services  Carers ServicesCarer advice and support related to Care Act duties</v>
      </c>
      <c r="O854" t="s">
        <v>145</v>
      </c>
      <c r="P854" t="s">
        <v>1437</v>
      </c>
      <c r="Q854">
        <v>8</v>
      </c>
      <c r="R854" t="s">
        <v>2661</v>
      </c>
      <c r="S854" t="s">
        <v>2981</v>
      </c>
      <c r="T854" t="s">
        <v>811</v>
      </c>
      <c r="U854" t="s">
        <v>895</v>
      </c>
      <c r="W854">
        <v>2492</v>
      </c>
      <c r="X854">
        <v>2671</v>
      </c>
      <c r="Y854" t="s">
        <v>813</v>
      </c>
      <c r="Z854" t="s">
        <v>792</v>
      </c>
      <c r="AB854" t="s">
        <v>793</v>
      </c>
      <c r="AD854" t="s">
        <v>794</v>
      </c>
      <c r="AE854" t="s">
        <v>825</v>
      </c>
      <c r="AF854" t="s">
        <v>1029</v>
      </c>
      <c r="AG854" t="s">
        <v>797</v>
      </c>
      <c r="AH854">
        <v>672000</v>
      </c>
      <c r="AI854">
        <v>672000</v>
      </c>
      <c r="AJ854">
        <v>0.15560569516844316</v>
      </c>
    </row>
    <row r="855" spans="1:36" x14ac:dyDescent="0.3">
      <c r="A855">
        <f>COUNTIF($D$2:D855,D855)</f>
        <v>16</v>
      </c>
      <c r="B855" t="str">
        <f t="shared" si="53"/>
        <v>16Hackney</v>
      </c>
      <c r="C855" t="s">
        <v>2990</v>
      </c>
      <c r="D855" t="s">
        <v>157</v>
      </c>
      <c r="E855">
        <v>34</v>
      </c>
      <c r="F855" t="s">
        <v>2991</v>
      </c>
      <c r="G855" t="s">
        <v>877</v>
      </c>
      <c r="H855" t="s">
        <v>878</v>
      </c>
      <c r="I855" t="s">
        <v>879</v>
      </c>
      <c r="J855">
        <f t="shared" ca="1" si="54"/>
        <v>153181</v>
      </c>
      <c r="K855">
        <f t="shared" ca="1" si="55"/>
        <v>9</v>
      </c>
      <c r="N855" t="str">
        <f t="shared" si="52"/>
        <v>East Sussex9Disabled Facilities GrantDFG Related SchemesAdaptations, including statutory DFG grants</v>
      </c>
      <c r="O855" t="s">
        <v>145</v>
      </c>
      <c r="P855" t="s">
        <v>1437</v>
      </c>
      <c r="Q855">
        <v>9</v>
      </c>
      <c r="R855" t="s">
        <v>891</v>
      </c>
      <c r="S855" t="s">
        <v>2992</v>
      </c>
      <c r="T855" t="s">
        <v>834</v>
      </c>
      <c r="U855" t="s">
        <v>835</v>
      </c>
      <c r="W855">
        <v>1367</v>
      </c>
      <c r="X855">
        <v>1367</v>
      </c>
      <c r="Y855" t="s">
        <v>836</v>
      </c>
      <c r="Z855" t="s">
        <v>812</v>
      </c>
      <c r="AA855" t="s">
        <v>835</v>
      </c>
      <c r="AB855" t="s">
        <v>793</v>
      </c>
      <c r="AD855" t="s">
        <v>794</v>
      </c>
      <c r="AE855" t="s">
        <v>795</v>
      </c>
      <c r="AF855" t="s">
        <v>840</v>
      </c>
      <c r="AG855" t="s">
        <v>797</v>
      </c>
      <c r="AH855">
        <v>4061806</v>
      </c>
      <c r="AI855">
        <v>4061806</v>
      </c>
      <c r="AJ855">
        <v>0.5</v>
      </c>
    </row>
    <row r="856" spans="1:36" x14ac:dyDescent="0.3">
      <c r="A856">
        <f>COUNTIF($D$2:D856,D856)</f>
        <v>17</v>
      </c>
      <c r="B856" t="str">
        <f t="shared" si="53"/>
        <v>17Hackney</v>
      </c>
      <c r="C856" t="s">
        <v>2993</v>
      </c>
      <c r="D856" t="s">
        <v>157</v>
      </c>
      <c r="E856">
        <v>35</v>
      </c>
      <c r="F856" t="s">
        <v>2994</v>
      </c>
      <c r="G856" t="s">
        <v>2995</v>
      </c>
      <c r="H856" t="s">
        <v>878</v>
      </c>
      <c r="I856" t="s">
        <v>879</v>
      </c>
      <c r="J856">
        <f t="shared" ca="1" si="54"/>
        <v>50993</v>
      </c>
      <c r="K856">
        <f t="shared" ca="1" si="55"/>
        <v>4</v>
      </c>
      <c r="N856" t="str">
        <f t="shared" si="52"/>
        <v>East Sussex10Disabled Facilities GrantDFG Related SchemesDiscretionary use of DFG</v>
      </c>
      <c r="O856" t="s">
        <v>145</v>
      </c>
      <c r="P856" t="s">
        <v>1437</v>
      </c>
      <c r="Q856">
        <v>10</v>
      </c>
      <c r="R856" t="s">
        <v>891</v>
      </c>
      <c r="S856" t="s">
        <v>2992</v>
      </c>
      <c r="T856" t="s">
        <v>834</v>
      </c>
      <c r="U856" t="s">
        <v>1293</v>
      </c>
      <c r="W856">
        <v>600</v>
      </c>
      <c r="X856">
        <v>600</v>
      </c>
      <c r="Y856" t="s">
        <v>836</v>
      </c>
      <c r="Z856" t="s">
        <v>812</v>
      </c>
      <c r="AA856" t="s">
        <v>1293</v>
      </c>
      <c r="AB856" t="s">
        <v>793</v>
      </c>
      <c r="AD856" t="s">
        <v>794</v>
      </c>
      <c r="AE856" t="s">
        <v>795</v>
      </c>
      <c r="AF856" t="s">
        <v>840</v>
      </c>
      <c r="AG856" t="s">
        <v>797</v>
      </c>
      <c r="AH856">
        <v>4061806</v>
      </c>
      <c r="AI856">
        <v>4061806</v>
      </c>
      <c r="AJ856">
        <v>0.5</v>
      </c>
    </row>
    <row r="857" spans="1:36" x14ac:dyDescent="0.3">
      <c r="A857">
        <f>COUNTIF($D$2:D857,D857)</f>
        <v>18</v>
      </c>
      <c r="B857" t="str">
        <f t="shared" si="53"/>
        <v>18Hackney</v>
      </c>
      <c r="C857" t="s">
        <v>2996</v>
      </c>
      <c r="D857" t="s">
        <v>157</v>
      </c>
      <c r="E857">
        <v>36</v>
      </c>
      <c r="F857" t="s">
        <v>2997</v>
      </c>
      <c r="G857" t="s">
        <v>877</v>
      </c>
      <c r="H857" t="s">
        <v>878</v>
      </c>
      <c r="I857" t="s">
        <v>879</v>
      </c>
      <c r="J857">
        <f t="shared" ca="1" si="54"/>
        <v>25071</v>
      </c>
      <c r="K857">
        <f t="shared" ca="1" si="55"/>
        <v>2</v>
      </c>
      <c r="N857" t="str">
        <f t="shared" si="52"/>
        <v>East Sussex17Intermediate Care ServicesHome-based intermediate care servicesRehabilitation at home (accepting step up and step down users)</v>
      </c>
      <c r="O857" t="s">
        <v>145</v>
      </c>
      <c r="P857" t="s">
        <v>1437</v>
      </c>
      <c r="Q857">
        <v>17</v>
      </c>
      <c r="R857" t="s">
        <v>969</v>
      </c>
      <c r="S857" t="s">
        <v>2998</v>
      </c>
      <c r="T857" t="s">
        <v>787</v>
      </c>
      <c r="U857" t="s">
        <v>1688</v>
      </c>
      <c r="W857">
        <v>4204</v>
      </c>
      <c r="X857">
        <v>4414</v>
      </c>
      <c r="Y857" t="s">
        <v>789</v>
      </c>
      <c r="Z857" t="s">
        <v>823</v>
      </c>
      <c r="AB857" t="s">
        <v>824</v>
      </c>
      <c r="AD857" t="s">
        <v>794</v>
      </c>
      <c r="AE857" t="s">
        <v>832</v>
      </c>
      <c r="AF857" t="s">
        <v>796</v>
      </c>
      <c r="AG857" t="s">
        <v>797</v>
      </c>
      <c r="AH857">
        <v>888000</v>
      </c>
      <c r="AI857">
        <v>888000</v>
      </c>
      <c r="AJ857">
        <v>0.45716639209225701</v>
      </c>
    </row>
    <row r="858" spans="1:36" x14ac:dyDescent="0.3">
      <c r="A858">
        <f>COUNTIF($D$2:D858,D858)</f>
        <v>19</v>
      </c>
      <c r="B858" t="str">
        <f t="shared" si="53"/>
        <v>19Hackney</v>
      </c>
      <c r="C858" t="s">
        <v>2999</v>
      </c>
      <c r="D858" t="s">
        <v>157</v>
      </c>
      <c r="E858">
        <v>37</v>
      </c>
      <c r="F858" t="s">
        <v>3000</v>
      </c>
      <c r="G858" t="s">
        <v>877</v>
      </c>
      <c r="H858" t="s">
        <v>812</v>
      </c>
      <c r="I858" t="s">
        <v>879</v>
      </c>
      <c r="J858">
        <f t="shared" ca="1" si="54"/>
        <v>3000</v>
      </c>
      <c r="K858">
        <f t="shared" ca="1" si="55"/>
        <v>4</v>
      </c>
      <c r="N858" t="str">
        <f t="shared" si="52"/>
        <v>East Sussex31ICES Pooled Budget Assistive Technologies and EquipmentCommunity based equipment</v>
      </c>
      <c r="O858" t="s">
        <v>145</v>
      </c>
      <c r="P858" t="s">
        <v>1437</v>
      </c>
      <c r="Q858">
        <v>31</v>
      </c>
      <c r="R858" t="s">
        <v>2672</v>
      </c>
      <c r="S858" t="s">
        <v>3001</v>
      </c>
      <c r="T858" t="s">
        <v>800</v>
      </c>
      <c r="U858" t="s">
        <v>903</v>
      </c>
      <c r="W858">
        <v>122992</v>
      </c>
      <c r="X858">
        <v>129142</v>
      </c>
      <c r="Y858" t="s">
        <v>802</v>
      </c>
      <c r="Z858" t="s">
        <v>823</v>
      </c>
      <c r="AB858" t="s">
        <v>793</v>
      </c>
      <c r="AD858" t="s">
        <v>794</v>
      </c>
      <c r="AE858" t="s">
        <v>804</v>
      </c>
      <c r="AF858" t="s">
        <v>796</v>
      </c>
      <c r="AG858" t="s">
        <v>797</v>
      </c>
      <c r="AH858">
        <v>2900000</v>
      </c>
      <c r="AI858">
        <v>2900000</v>
      </c>
      <c r="AJ858">
        <v>0.4256630803328979</v>
      </c>
    </row>
    <row r="859" spans="1:36" x14ac:dyDescent="0.3">
      <c r="A859">
        <f>COUNTIF($D$2:D859,D859)</f>
        <v>20</v>
      </c>
      <c r="B859" t="str">
        <f t="shared" si="53"/>
        <v>20Hackney</v>
      </c>
      <c r="C859" t="s">
        <v>3002</v>
      </c>
      <c r="D859" t="s">
        <v>157</v>
      </c>
      <c r="E859">
        <v>38</v>
      </c>
      <c r="F859" t="s">
        <v>3003</v>
      </c>
      <c r="G859" t="s">
        <v>877</v>
      </c>
      <c r="H859" t="s">
        <v>812</v>
      </c>
      <c r="I859" t="s">
        <v>879</v>
      </c>
      <c r="J859">
        <f t="shared" ca="1" si="54"/>
        <v>15000</v>
      </c>
      <c r="K859">
        <f t="shared" ca="1" si="55"/>
        <v>4</v>
      </c>
      <c r="N859" t="str">
        <f t="shared" si="52"/>
        <v>East Sussex34Domiciliary care capacity Home Care or Domiciliary CareDomiciliary care packages</v>
      </c>
      <c r="O859" t="s">
        <v>145</v>
      </c>
      <c r="P859" t="s">
        <v>1437</v>
      </c>
      <c r="Q859">
        <v>34</v>
      </c>
      <c r="R859" t="s">
        <v>2675</v>
      </c>
      <c r="S859" t="s">
        <v>3004</v>
      </c>
      <c r="T859" t="s">
        <v>842</v>
      </c>
      <c r="U859" t="s">
        <v>843</v>
      </c>
      <c r="W859">
        <v>42540</v>
      </c>
      <c r="X859">
        <v>42540</v>
      </c>
      <c r="Y859" t="s">
        <v>844</v>
      </c>
      <c r="Z859" t="s">
        <v>792</v>
      </c>
      <c r="AB859" t="s">
        <v>824</v>
      </c>
      <c r="AD859" t="s">
        <v>794</v>
      </c>
      <c r="AE859" t="s">
        <v>804</v>
      </c>
      <c r="AF859" t="s">
        <v>796</v>
      </c>
      <c r="AG859" t="s">
        <v>797</v>
      </c>
      <c r="AH859">
        <v>1418000</v>
      </c>
      <c r="AI859">
        <v>1418000</v>
      </c>
      <c r="AJ859">
        <v>7.7793264159570358E-2</v>
      </c>
    </row>
    <row r="860" spans="1:36" x14ac:dyDescent="0.3">
      <c r="A860">
        <f>COUNTIF($D$2:D860,D860)</f>
        <v>21</v>
      </c>
      <c r="B860" t="str">
        <f t="shared" si="53"/>
        <v>21Hackney</v>
      </c>
      <c r="C860" t="s">
        <v>3005</v>
      </c>
      <c r="D860" t="s">
        <v>157</v>
      </c>
      <c r="E860">
        <v>39</v>
      </c>
      <c r="F860" t="s">
        <v>3006</v>
      </c>
      <c r="G860" t="s">
        <v>842</v>
      </c>
      <c r="H860" t="s">
        <v>1102</v>
      </c>
      <c r="I860" t="s">
        <v>789</v>
      </c>
      <c r="J860">
        <f t="shared" ca="1" si="54"/>
        <v>175190</v>
      </c>
      <c r="K860">
        <f t="shared" ca="1" si="55"/>
        <v>624</v>
      </c>
      <c r="N860" t="str">
        <f t="shared" si="52"/>
        <v>East Sussex38Domiciliary Home care capacity Home Care or Domiciliary CareDomiciliary care to support hospital discharge (Discharge to Assess pathway 1)</v>
      </c>
      <c r="O860" t="s">
        <v>145</v>
      </c>
      <c r="P860" t="s">
        <v>1437</v>
      </c>
      <c r="Q860">
        <v>38</v>
      </c>
      <c r="R860" t="s">
        <v>2678</v>
      </c>
      <c r="S860" t="s">
        <v>3004</v>
      </c>
      <c r="T860" t="s">
        <v>842</v>
      </c>
      <c r="U860" t="s">
        <v>856</v>
      </c>
      <c r="W860">
        <v>87108</v>
      </c>
      <c r="X860">
        <v>87108</v>
      </c>
      <c r="Y860" t="s">
        <v>844</v>
      </c>
      <c r="Z860" t="s">
        <v>792</v>
      </c>
      <c r="AB860" t="s">
        <v>793</v>
      </c>
      <c r="AD860" t="s">
        <v>794</v>
      </c>
      <c r="AE860" t="s">
        <v>804</v>
      </c>
      <c r="AF860" t="s">
        <v>864</v>
      </c>
      <c r="AG860" t="s">
        <v>861</v>
      </c>
      <c r="AH860">
        <v>2873047</v>
      </c>
      <c r="AI860">
        <v>2873047</v>
      </c>
      <c r="AJ860">
        <v>0.15761897335251138</v>
      </c>
    </row>
    <row r="861" spans="1:36" x14ac:dyDescent="0.3">
      <c r="A861">
        <f>COUNTIF($D$2:D861,D861)</f>
        <v>22</v>
      </c>
      <c r="B861" t="str">
        <f t="shared" si="53"/>
        <v>22Hackney</v>
      </c>
      <c r="C861" t="s">
        <v>3007</v>
      </c>
      <c r="D861" t="s">
        <v>157</v>
      </c>
      <c r="E861">
        <v>40</v>
      </c>
      <c r="F861" t="s">
        <v>3008</v>
      </c>
      <c r="G861" t="s">
        <v>842</v>
      </c>
      <c r="H861" t="s">
        <v>1102</v>
      </c>
      <c r="I861" t="s">
        <v>789</v>
      </c>
      <c r="J861">
        <f t="shared" ca="1" si="54"/>
        <v>175190</v>
      </c>
      <c r="K861">
        <f t="shared" ca="1" si="55"/>
        <v>624</v>
      </c>
      <c r="N861" t="str">
        <f t="shared" si="52"/>
        <v>Enfield1DFG DFG Related SchemesAdaptations, including statutory DFG grants</v>
      </c>
      <c r="O861" t="s">
        <v>147</v>
      </c>
      <c r="P861" t="s">
        <v>790</v>
      </c>
      <c r="Q861">
        <v>1</v>
      </c>
      <c r="R861" t="s">
        <v>2681</v>
      </c>
      <c r="S861" t="s">
        <v>3009</v>
      </c>
      <c r="T861" t="s">
        <v>834</v>
      </c>
      <c r="U861" t="s">
        <v>835</v>
      </c>
      <c r="W861">
        <v>19048</v>
      </c>
      <c r="X861">
        <v>20000</v>
      </c>
      <c r="Y861" t="s">
        <v>836</v>
      </c>
      <c r="Z861" t="s">
        <v>823</v>
      </c>
      <c r="AB861" t="s">
        <v>793</v>
      </c>
      <c r="AD861" t="s">
        <v>794</v>
      </c>
      <c r="AE861" t="s">
        <v>795</v>
      </c>
      <c r="AF861" t="s">
        <v>840</v>
      </c>
      <c r="AG861" t="s">
        <v>797</v>
      </c>
      <c r="AH861">
        <v>2985926</v>
      </c>
      <c r="AI861">
        <v>2985926</v>
      </c>
      <c r="AJ861">
        <v>1</v>
      </c>
    </row>
    <row r="862" spans="1:36" x14ac:dyDescent="0.3">
      <c r="A862">
        <f>COUNTIF($D$2:D862,D862)</f>
        <v>23</v>
      </c>
      <c r="B862" t="str">
        <f t="shared" si="53"/>
        <v>23Hackney</v>
      </c>
      <c r="C862" t="s">
        <v>3010</v>
      </c>
      <c r="D862" t="s">
        <v>157</v>
      </c>
      <c r="E862">
        <v>42</v>
      </c>
      <c r="F862" t="s">
        <v>3011</v>
      </c>
      <c r="G862" t="s">
        <v>800</v>
      </c>
      <c r="H862" t="s">
        <v>903</v>
      </c>
      <c r="I862" t="s">
        <v>802</v>
      </c>
      <c r="J862">
        <f t="shared" ca="1" si="54"/>
        <v>30000</v>
      </c>
      <c r="K862">
        <f t="shared" ca="1" si="55"/>
        <v>210</v>
      </c>
      <c r="N862" t="str">
        <f t="shared" si="52"/>
        <v>Enfield2DFG / Social Care Capital Grant DFG Related SchemesDiscretionary use of DFG</v>
      </c>
      <c r="O862" t="s">
        <v>147</v>
      </c>
      <c r="P862" t="s">
        <v>790</v>
      </c>
      <c r="Q862">
        <v>2</v>
      </c>
      <c r="R862" t="s">
        <v>2684</v>
      </c>
      <c r="S862" t="s">
        <v>3012</v>
      </c>
      <c r="T862" t="s">
        <v>834</v>
      </c>
      <c r="U862" t="s">
        <v>1293</v>
      </c>
      <c r="W862">
        <v>1</v>
      </c>
      <c r="X862">
        <v>1</v>
      </c>
      <c r="Y862" t="s">
        <v>836</v>
      </c>
      <c r="Z862" t="s">
        <v>1006</v>
      </c>
      <c r="AB862" t="s">
        <v>793</v>
      </c>
      <c r="AD862" t="s">
        <v>794</v>
      </c>
      <c r="AE862" t="s">
        <v>795</v>
      </c>
      <c r="AF862" t="s">
        <v>840</v>
      </c>
      <c r="AG862" t="s">
        <v>861</v>
      </c>
      <c r="AH862">
        <v>750000</v>
      </c>
      <c r="AI862">
        <v>750000</v>
      </c>
      <c r="AJ862">
        <v>0.25</v>
      </c>
    </row>
    <row r="863" spans="1:36" x14ac:dyDescent="0.3">
      <c r="A863">
        <f>COUNTIF($D$2:D863,D863)</f>
        <v>24</v>
      </c>
      <c r="B863" t="str">
        <f t="shared" si="53"/>
        <v>24Hackney</v>
      </c>
      <c r="C863" t="s">
        <v>3013</v>
      </c>
      <c r="D863" t="s">
        <v>157</v>
      </c>
      <c r="E863">
        <v>47</v>
      </c>
      <c r="F863" t="s">
        <v>3014</v>
      </c>
      <c r="G863" t="s">
        <v>806</v>
      </c>
      <c r="H863" t="s">
        <v>812</v>
      </c>
      <c r="I863" t="s">
        <v>808</v>
      </c>
      <c r="J863">
        <f t="shared" ca="1" si="54"/>
        <v>30000</v>
      </c>
      <c r="K863">
        <f t="shared" ca="1" si="55"/>
        <v>125</v>
      </c>
      <c r="N863" t="str">
        <f t="shared" si="52"/>
        <v>Enfield3D2A Pathway 1Home Care or Domiciliary CareDomiciliary care to support hospital discharge (Discharge to Assess pathway 1)</v>
      </c>
      <c r="O863" t="s">
        <v>147</v>
      </c>
      <c r="P863" t="s">
        <v>790</v>
      </c>
      <c r="Q863">
        <v>3</v>
      </c>
      <c r="R863" t="s">
        <v>2687</v>
      </c>
      <c r="S863" t="s">
        <v>3015</v>
      </c>
      <c r="T863" t="s">
        <v>842</v>
      </c>
      <c r="U863" t="s">
        <v>856</v>
      </c>
      <c r="W863">
        <v>42216</v>
      </c>
      <c r="X863">
        <v>42216</v>
      </c>
      <c r="Y863" t="s">
        <v>844</v>
      </c>
      <c r="Z863" t="s">
        <v>792</v>
      </c>
      <c r="AB863" t="s">
        <v>793</v>
      </c>
      <c r="AD863" t="s">
        <v>794</v>
      </c>
      <c r="AE863" t="s">
        <v>804</v>
      </c>
      <c r="AF863" t="s">
        <v>845</v>
      </c>
      <c r="AG863" t="s">
        <v>861</v>
      </c>
      <c r="AH863">
        <v>772555</v>
      </c>
      <c r="AI863">
        <v>772555</v>
      </c>
      <c r="AJ863">
        <v>0.35</v>
      </c>
    </row>
    <row r="864" spans="1:36" x14ac:dyDescent="0.3">
      <c r="A864">
        <f>COUNTIF($D$2:D864,D864)</f>
        <v>25</v>
      </c>
      <c r="B864" t="str">
        <f t="shared" si="53"/>
        <v>25Hackney</v>
      </c>
      <c r="C864" t="s">
        <v>3016</v>
      </c>
      <c r="D864" t="s">
        <v>157</v>
      </c>
      <c r="E864">
        <v>50</v>
      </c>
      <c r="F864" t="s">
        <v>3017</v>
      </c>
      <c r="G864" t="s">
        <v>842</v>
      </c>
      <c r="H864" t="s">
        <v>856</v>
      </c>
      <c r="I864" t="s">
        <v>844</v>
      </c>
      <c r="J864">
        <f t="shared" ca="1" si="54"/>
        <v>601706</v>
      </c>
      <c r="K864">
        <f t="shared" ca="1" si="55"/>
        <v>28652</v>
      </c>
      <c r="N864" t="str">
        <f t="shared" si="52"/>
        <v>Enfield4D2A Pathway 1Home Care or Domiciliary CareDomiciliary care to support hospital discharge (Discharge to Assess pathway 1)</v>
      </c>
      <c r="O864" t="s">
        <v>147</v>
      </c>
      <c r="P864" t="s">
        <v>790</v>
      </c>
      <c r="Q864">
        <v>4</v>
      </c>
      <c r="R864" t="s">
        <v>2687</v>
      </c>
      <c r="S864" t="s">
        <v>3018</v>
      </c>
      <c r="T864" t="s">
        <v>842</v>
      </c>
      <c r="U864" t="s">
        <v>856</v>
      </c>
      <c r="W864">
        <v>398130</v>
      </c>
      <c r="X864">
        <v>398130</v>
      </c>
      <c r="Y864" t="s">
        <v>844</v>
      </c>
      <c r="Z864" t="s">
        <v>792</v>
      </c>
      <c r="AB864" t="s">
        <v>793</v>
      </c>
      <c r="AD864" t="s">
        <v>794</v>
      </c>
      <c r="AE864" t="s">
        <v>804</v>
      </c>
      <c r="AF864" t="s">
        <v>845</v>
      </c>
      <c r="AG864" t="s">
        <v>861</v>
      </c>
      <c r="AH864">
        <v>7285793</v>
      </c>
      <c r="AI864">
        <v>7285793</v>
      </c>
      <c r="AJ864">
        <v>0.21</v>
      </c>
    </row>
    <row r="865" spans="1:36" x14ac:dyDescent="0.3">
      <c r="A865">
        <f>COUNTIF($D$2:D865,D865)</f>
        <v>1</v>
      </c>
      <c r="B865" t="str">
        <f t="shared" si="53"/>
        <v>1Halton</v>
      </c>
      <c r="C865" t="s">
        <v>3019</v>
      </c>
      <c r="D865" t="s">
        <v>159</v>
      </c>
      <c r="E865">
        <v>1</v>
      </c>
      <c r="F865" t="s">
        <v>3020</v>
      </c>
      <c r="G865" t="s">
        <v>800</v>
      </c>
      <c r="H865" t="s">
        <v>903</v>
      </c>
      <c r="I865" t="s">
        <v>802</v>
      </c>
      <c r="J865">
        <f t="shared" ca="1" si="54"/>
        <v>829466</v>
      </c>
      <c r="K865">
        <f t="shared" ca="1" si="55"/>
        <v>5832</v>
      </c>
      <c r="N865" t="str">
        <f t="shared" si="52"/>
        <v>Enfield5D2A Pathway 1Home Care or Domiciliary CareDomiciliary care to support hospital discharge (Discharge to Assess pathway 1)</v>
      </c>
      <c r="O865" t="s">
        <v>147</v>
      </c>
      <c r="P865" t="s">
        <v>790</v>
      </c>
      <c r="Q865">
        <v>5</v>
      </c>
      <c r="R865" t="s">
        <v>2687</v>
      </c>
      <c r="S865" t="s">
        <v>3021</v>
      </c>
      <c r="T865" t="s">
        <v>842</v>
      </c>
      <c r="U865" t="s">
        <v>856</v>
      </c>
      <c r="W865">
        <v>20451</v>
      </c>
      <c r="X865">
        <v>20451</v>
      </c>
      <c r="Y865" t="s">
        <v>844</v>
      </c>
      <c r="Z865" t="s">
        <v>792</v>
      </c>
      <c r="AB865" t="s">
        <v>793</v>
      </c>
      <c r="AD865" t="s">
        <v>794</v>
      </c>
      <c r="AE865" t="s">
        <v>804</v>
      </c>
      <c r="AF865" t="s">
        <v>845</v>
      </c>
      <c r="AG865" t="s">
        <v>861</v>
      </c>
      <c r="AH865">
        <v>3667666</v>
      </c>
      <c r="AI865">
        <v>3667666</v>
      </c>
      <c r="AJ865">
        <v>0.43</v>
      </c>
    </row>
    <row r="866" spans="1:36" x14ac:dyDescent="0.3">
      <c r="A866">
        <f>COUNTIF($D$2:D866,D866)</f>
        <v>2</v>
      </c>
      <c r="B866" t="str">
        <f t="shared" si="53"/>
        <v>2Halton</v>
      </c>
      <c r="C866" t="s">
        <v>3022</v>
      </c>
      <c r="D866" t="s">
        <v>159</v>
      </c>
      <c r="E866">
        <v>3</v>
      </c>
      <c r="F866" t="s">
        <v>3023</v>
      </c>
      <c r="G866" t="s">
        <v>811</v>
      </c>
      <c r="H866" t="s">
        <v>895</v>
      </c>
      <c r="I866" t="s">
        <v>813</v>
      </c>
      <c r="J866">
        <f t="shared" ca="1" si="54"/>
        <v>341866</v>
      </c>
      <c r="K866">
        <f t="shared" ca="1" si="55"/>
        <v>6000</v>
      </c>
      <c r="N866" t="str">
        <f t="shared" si="52"/>
        <v>Enfield8Wheel Chair Services Assistive Technologies and EquipmentCommunity based equipment</v>
      </c>
      <c r="O866" t="s">
        <v>147</v>
      </c>
      <c r="P866" t="s">
        <v>790</v>
      </c>
      <c r="Q866">
        <v>8</v>
      </c>
      <c r="R866" t="s">
        <v>2694</v>
      </c>
      <c r="S866" t="s">
        <v>3024</v>
      </c>
      <c r="T866" t="s">
        <v>800</v>
      </c>
      <c r="U866" t="s">
        <v>903</v>
      </c>
      <c r="W866">
        <v>25879</v>
      </c>
      <c r="X866">
        <v>2707</v>
      </c>
      <c r="Y866" t="s">
        <v>802</v>
      </c>
      <c r="Z866" t="s">
        <v>792</v>
      </c>
      <c r="AB866" t="s">
        <v>793</v>
      </c>
      <c r="AD866" t="s">
        <v>794</v>
      </c>
      <c r="AE866" t="s">
        <v>795</v>
      </c>
      <c r="AF866" t="s">
        <v>796</v>
      </c>
      <c r="AG866" t="s">
        <v>797</v>
      </c>
      <c r="AH866">
        <v>970710</v>
      </c>
      <c r="AI866">
        <v>1025650</v>
      </c>
      <c r="AJ866">
        <v>1</v>
      </c>
    </row>
    <row r="867" spans="1:36" x14ac:dyDescent="0.3">
      <c r="A867">
        <f>COUNTIF($D$2:D867,D867)</f>
        <v>3</v>
      </c>
      <c r="B867" t="str">
        <f t="shared" si="53"/>
        <v>3Halton</v>
      </c>
      <c r="C867" t="s">
        <v>3025</v>
      </c>
      <c r="D867" t="s">
        <v>159</v>
      </c>
      <c r="E867">
        <v>3</v>
      </c>
      <c r="F867" t="s">
        <v>3026</v>
      </c>
      <c r="G867" t="s">
        <v>811</v>
      </c>
      <c r="H867" t="s">
        <v>830</v>
      </c>
      <c r="I867" t="s">
        <v>813</v>
      </c>
      <c r="J867">
        <f t="shared" ca="1" si="54"/>
        <v>110453</v>
      </c>
      <c r="K867">
        <f t="shared" ca="1" si="55"/>
        <v>30</v>
      </c>
      <c r="N867" t="str">
        <f t="shared" si="52"/>
        <v>Enfield10Carers Services Carers ServicesCarer advice and support related to Care Act duties</v>
      </c>
      <c r="O867" t="s">
        <v>147</v>
      </c>
      <c r="P867" t="s">
        <v>790</v>
      </c>
      <c r="Q867">
        <v>10</v>
      </c>
      <c r="R867" t="s">
        <v>2696</v>
      </c>
      <c r="S867" t="s">
        <v>3027</v>
      </c>
      <c r="T867" t="s">
        <v>811</v>
      </c>
      <c r="U867" t="s">
        <v>895</v>
      </c>
      <c r="W867">
        <v>6500</v>
      </c>
      <c r="X867">
        <v>6760</v>
      </c>
      <c r="Y867" t="s">
        <v>813</v>
      </c>
      <c r="Z867" t="s">
        <v>792</v>
      </c>
      <c r="AB867" t="s">
        <v>793</v>
      </c>
      <c r="AD867" t="s">
        <v>794</v>
      </c>
      <c r="AE867" t="s">
        <v>825</v>
      </c>
      <c r="AF867" t="s">
        <v>796</v>
      </c>
      <c r="AG867" t="s">
        <v>797</v>
      </c>
      <c r="AH867">
        <v>606645</v>
      </c>
      <c r="AI867">
        <v>640982</v>
      </c>
      <c r="AJ867">
        <v>0.56000000000000005</v>
      </c>
    </row>
    <row r="868" spans="1:36" x14ac:dyDescent="0.3">
      <c r="A868">
        <f>COUNTIF($D$2:D868,D868)</f>
        <v>4</v>
      </c>
      <c r="B868" t="str">
        <f t="shared" si="53"/>
        <v>4Halton</v>
      </c>
      <c r="C868" t="s">
        <v>3028</v>
      </c>
      <c r="D868" t="s">
        <v>159</v>
      </c>
      <c r="E868">
        <v>8</v>
      </c>
      <c r="F868" t="s">
        <v>3029</v>
      </c>
      <c r="G868" t="s">
        <v>842</v>
      </c>
      <c r="H868" t="s">
        <v>843</v>
      </c>
      <c r="I868" t="s">
        <v>844</v>
      </c>
      <c r="J868">
        <f t="shared" ca="1" si="54"/>
        <v>3616033</v>
      </c>
      <c r="K868">
        <f t="shared" ca="1" si="55"/>
        <v>184397</v>
      </c>
      <c r="N868" t="str">
        <f t="shared" si="52"/>
        <v>Enfield14Workforce Recruitment and retention Bed based intermediate Care Services (Reablement, rehabilitation, wider short-term services supporting recovery)Bed-based intermediate care with reablement (to support discharge)</v>
      </c>
      <c r="O868" t="s">
        <v>147</v>
      </c>
      <c r="P868" t="s">
        <v>790</v>
      </c>
      <c r="Q868">
        <v>14</v>
      </c>
      <c r="R868" t="s">
        <v>2698</v>
      </c>
      <c r="S868" t="s">
        <v>3030</v>
      </c>
      <c r="T868" t="s">
        <v>877</v>
      </c>
      <c r="U868" t="s">
        <v>878</v>
      </c>
      <c r="W868">
        <v>6</v>
      </c>
      <c r="X868">
        <v>6</v>
      </c>
      <c r="Y868" t="s">
        <v>879</v>
      </c>
      <c r="Z868" t="s">
        <v>792</v>
      </c>
      <c r="AB868" t="s">
        <v>793</v>
      </c>
      <c r="AD868" t="s">
        <v>794</v>
      </c>
      <c r="AE868" t="s">
        <v>795</v>
      </c>
      <c r="AF868" t="s">
        <v>864</v>
      </c>
      <c r="AG868" t="s">
        <v>861</v>
      </c>
      <c r="AH868">
        <v>400000</v>
      </c>
      <c r="AI868">
        <v>664000</v>
      </c>
      <c r="AJ868">
        <v>0.1</v>
      </c>
    </row>
    <row r="869" spans="1:36" x14ac:dyDescent="0.3">
      <c r="A869">
        <f>COUNTIF($D$2:D869,D869)</f>
        <v>5</v>
      </c>
      <c r="B869" t="str">
        <f t="shared" si="53"/>
        <v>5Halton</v>
      </c>
      <c r="C869" t="s">
        <v>3031</v>
      </c>
      <c r="D869" t="s">
        <v>159</v>
      </c>
      <c r="E869">
        <v>17</v>
      </c>
      <c r="F869" t="s">
        <v>3032</v>
      </c>
      <c r="G869" t="s">
        <v>806</v>
      </c>
      <c r="H869" t="s">
        <v>807</v>
      </c>
      <c r="I869" t="s">
        <v>808</v>
      </c>
      <c r="J869">
        <f t="shared" ca="1" si="54"/>
        <v>1272243</v>
      </c>
      <c r="K869">
        <f t="shared" ca="1" si="55"/>
        <v>39</v>
      </c>
      <c r="N869" t="str">
        <f t="shared" si="52"/>
        <v>Enfield16D2A Pathway 3Residential PlacementsShort term residential care (without rehabilitation or reablement input)</v>
      </c>
      <c r="O869" t="s">
        <v>147</v>
      </c>
      <c r="P869" t="s">
        <v>790</v>
      </c>
      <c r="Q869">
        <v>16</v>
      </c>
      <c r="R869" t="s">
        <v>2701</v>
      </c>
      <c r="S869" t="s">
        <v>3033</v>
      </c>
      <c r="T869" t="s">
        <v>806</v>
      </c>
      <c r="U869" t="s">
        <v>955</v>
      </c>
      <c r="W869">
        <v>61</v>
      </c>
      <c r="X869">
        <v>61</v>
      </c>
      <c r="Y869" t="s">
        <v>808</v>
      </c>
      <c r="Z869" t="s">
        <v>792</v>
      </c>
      <c r="AB869" t="s">
        <v>793</v>
      </c>
      <c r="AD869" t="s">
        <v>794</v>
      </c>
      <c r="AE869" t="s">
        <v>795</v>
      </c>
      <c r="AF869" t="s">
        <v>796</v>
      </c>
      <c r="AG869" t="s">
        <v>861</v>
      </c>
      <c r="AH869">
        <v>3189917</v>
      </c>
      <c r="AI869">
        <v>3370466</v>
      </c>
      <c r="AJ869">
        <v>0.09</v>
      </c>
    </row>
    <row r="870" spans="1:36" x14ac:dyDescent="0.3">
      <c r="A870">
        <f>COUNTIF($D$2:D870,D870)</f>
        <v>6</v>
      </c>
      <c r="B870" t="str">
        <f t="shared" si="53"/>
        <v>6Halton</v>
      </c>
      <c r="C870" t="s">
        <v>3034</v>
      </c>
      <c r="D870" t="s">
        <v>159</v>
      </c>
      <c r="E870">
        <v>17</v>
      </c>
      <c r="F870" t="s">
        <v>3035</v>
      </c>
      <c r="G870" t="s">
        <v>806</v>
      </c>
      <c r="H870" t="s">
        <v>807</v>
      </c>
      <c r="I870" t="s">
        <v>808</v>
      </c>
      <c r="J870">
        <f t="shared" ca="1" si="54"/>
        <v>5702916</v>
      </c>
      <c r="K870">
        <f t="shared" ca="1" si="55"/>
        <v>175</v>
      </c>
      <c r="N870" t="str">
        <f t="shared" si="52"/>
        <v>Enfield18Home Based intermediate care services (pathway1)Home Care or Domiciliary CareDomiciliary care to support hospital discharge (Discharge to Assess pathway 1)</v>
      </c>
      <c r="O870" t="s">
        <v>147</v>
      </c>
      <c r="P870" t="s">
        <v>790</v>
      </c>
      <c r="Q870">
        <v>18</v>
      </c>
      <c r="R870" t="s">
        <v>2704</v>
      </c>
      <c r="S870" t="s">
        <v>3036</v>
      </c>
      <c r="T870" t="s">
        <v>842</v>
      </c>
      <c r="U870" t="s">
        <v>856</v>
      </c>
      <c r="W870">
        <v>6666</v>
      </c>
      <c r="X870">
        <v>6999</v>
      </c>
      <c r="Y870" t="s">
        <v>844</v>
      </c>
      <c r="Z870" t="s">
        <v>792</v>
      </c>
      <c r="AB870" t="s">
        <v>793</v>
      </c>
      <c r="AD870" t="s">
        <v>794</v>
      </c>
      <c r="AE870" t="s">
        <v>795</v>
      </c>
      <c r="AF870" t="s">
        <v>864</v>
      </c>
      <c r="AG870" t="s">
        <v>861</v>
      </c>
      <c r="AH870">
        <v>300000</v>
      </c>
      <c r="AI870">
        <v>498000</v>
      </c>
      <c r="AJ870">
        <v>0.21</v>
      </c>
    </row>
    <row r="871" spans="1:36" x14ac:dyDescent="0.3">
      <c r="A871">
        <f>COUNTIF($D$2:D871,D871)</f>
        <v>7</v>
      </c>
      <c r="B871" t="str">
        <f t="shared" si="53"/>
        <v>7Halton</v>
      </c>
      <c r="C871" t="s">
        <v>3037</v>
      </c>
      <c r="D871" t="s">
        <v>159</v>
      </c>
      <c r="E871">
        <v>11</v>
      </c>
      <c r="F871" t="s">
        <v>3038</v>
      </c>
      <c r="G871" t="s">
        <v>877</v>
      </c>
      <c r="H871" t="s">
        <v>968</v>
      </c>
      <c r="I871" t="s">
        <v>879</v>
      </c>
      <c r="J871">
        <f t="shared" ca="1" si="54"/>
        <v>1012276</v>
      </c>
      <c r="K871">
        <f t="shared" ca="1" si="55"/>
        <v>75</v>
      </c>
      <c r="N871" t="str">
        <f t="shared" si="52"/>
        <v>Enfield20Residential Placements Pathway 3Residential PlacementsShort term residential care (without rehabilitation or reablement input)</v>
      </c>
      <c r="O871" t="s">
        <v>147</v>
      </c>
      <c r="P871" t="s">
        <v>790</v>
      </c>
      <c r="Q871">
        <v>20</v>
      </c>
      <c r="R871" t="s">
        <v>2707</v>
      </c>
      <c r="S871" t="s">
        <v>3039</v>
      </c>
      <c r="T871" t="s">
        <v>806</v>
      </c>
      <c r="U871" t="s">
        <v>955</v>
      </c>
      <c r="W871">
        <v>16</v>
      </c>
      <c r="X871">
        <v>19</v>
      </c>
      <c r="Y871" t="s">
        <v>808</v>
      </c>
      <c r="Z871" t="s">
        <v>792</v>
      </c>
      <c r="AB871" t="s">
        <v>793</v>
      </c>
      <c r="AD871" t="s">
        <v>794</v>
      </c>
      <c r="AE871" t="s">
        <v>795</v>
      </c>
      <c r="AF871" t="s">
        <v>864</v>
      </c>
      <c r="AG871" t="s">
        <v>861</v>
      </c>
      <c r="AH871">
        <v>866000</v>
      </c>
      <c r="AI871">
        <v>1437560</v>
      </c>
      <c r="AJ871">
        <v>0.02</v>
      </c>
    </row>
    <row r="872" spans="1:36" x14ac:dyDescent="0.3">
      <c r="A872">
        <f>COUNTIF($D$2:D872,D872)</f>
        <v>8</v>
      </c>
      <c r="B872" t="str">
        <f t="shared" si="53"/>
        <v>8Halton</v>
      </c>
      <c r="C872" t="s">
        <v>3040</v>
      </c>
      <c r="D872" t="s">
        <v>159</v>
      </c>
      <c r="E872">
        <v>12</v>
      </c>
      <c r="F872" t="s">
        <v>3041</v>
      </c>
      <c r="G872" t="s">
        <v>787</v>
      </c>
      <c r="H872" t="s">
        <v>1551</v>
      </c>
      <c r="I872" t="s">
        <v>789</v>
      </c>
      <c r="J872">
        <f t="shared" ca="1" si="54"/>
        <v>1743002</v>
      </c>
      <c r="K872">
        <f t="shared" ca="1" si="55"/>
        <v>708</v>
      </c>
      <c r="N872" t="str">
        <f t="shared" si="52"/>
        <v xml:space="preserve">Enfield25D2A Pathway 1 (ICB)Home-based intermediate care servicesReablement at home (to support discharge) </v>
      </c>
      <c r="O872" t="s">
        <v>147</v>
      </c>
      <c r="P872" t="s">
        <v>790</v>
      </c>
      <c r="Q872">
        <v>25</v>
      </c>
      <c r="R872" t="s">
        <v>2709</v>
      </c>
      <c r="S872" t="s">
        <v>3042</v>
      </c>
      <c r="T872" t="s">
        <v>787</v>
      </c>
      <c r="U872" t="s">
        <v>788</v>
      </c>
      <c r="W872">
        <v>27153</v>
      </c>
      <c r="X872">
        <v>27603</v>
      </c>
      <c r="Y872" t="s">
        <v>789</v>
      </c>
      <c r="Z872" t="s">
        <v>792</v>
      </c>
      <c r="AB872" t="s">
        <v>793</v>
      </c>
      <c r="AD872" t="s">
        <v>794</v>
      </c>
      <c r="AE872" t="s">
        <v>804</v>
      </c>
      <c r="AF872" t="s">
        <v>860</v>
      </c>
      <c r="AG872" t="s">
        <v>861</v>
      </c>
      <c r="AH872">
        <v>497442</v>
      </c>
      <c r="AI872">
        <v>0</v>
      </c>
      <c r="AJ872">
        <v>0.03</v>
      </c>
    </row>
    <row r="873" spans="1:36" x14ac:dyDescent="0.3">
      <c r="A873">
        <f>COUNTIF($D$2:D873,D873)</f>
        <v>9</v>
      </c>
      <c r="B873" t="str">
        <f t="shared" si="53"/>
        <v>9Halton</v>
      </c>
      <c r="C873" t="s">
        <v>3043</v>
      </c>
      <c r="D873" t="s">
        <v>159</v>
      </c>
      <c r="E873">
        <v>5</v>
      </c>
      <c r="F873" t="s">
        <v>3044</v>
      </c>
      <c r="G873" t="s">
        <v>834</v>
      </c>
      <c r="H873" t="s">
        <v>835</v>
      </c>
      <c r="I873" t="s">
        <v>836</v>
      </c>
      <c r="J873">
        <f t="shared" ca="1" si="54"/>
        <v>1994703</v>
      </c>
      <c r="K873">
        <f t="shared" ca="1" si="55"/>
        <v>131</v>
      </c>
      <c r="N873" t="str">
        <f t="shared" si="52"/>
        <v>Enfield27P3 Beds (ICB)Bed based intermediate Care Services (Reablement, rehabilitation, wider short-term services supporting recovery)Bed-based intermediate care with rehabilitation (to support discharge)</v>
      </c>
      <c r="O873" t="s">
        <v>147</v>
      </c>
      <c r="P873" t="s">
        <v>790</v>
      </c>
      <c r="Q873">
        <v>27</v>
      </c>
      <c r="R873" t="s">
        <v>2712</v>
      </c>
      <c r="S873" t="s">
        <v>3045</v>
      </c>
      <c r="T873" t="s">
        <v>877</v>
      </c>
      <c r="U873" t="s">
        <v>968</v>
      </c>
      <c r="W873">
        <v>316</v>
      </c>
      <c r="X873">
        <v>321</v>
      </c>
      <c r="Y873" t="s">
        <v>879</v>
      </c>
      <c r="Z873" t="s">
        <v>792</v>
      </c>
      <c r="AB873" t="s">
        <v>793</v>
      </c>
      <c r="AD873" t="s">
        <v>794</v>
      </c>
      <c r="AE873" t="s">
        <v>804</v>
      </c>
      <c r="AF873" t="s">
        <v>860</v>
      </c>
      <c r="AG873" t="s">
        <v>861</v>
      </c>
      <c r="AH873">
        <v>260557</v>
      </c>
      <c r="AI873">
        <v>0</v>
      </c>
      <c r="AJ873">
        <v>0.04</v>
      </c>
    </row>
    <row r="874" spans="1:36" x14ac:dyDescent="0.3">
      <c r="A874">
        <f>COUNTIF($D$2:D874,D874)</f>
        <v>10</v>
      </c>
      <c r="B874" t="str">
        <f t="shared" si="53"/>
        <v>10Halton</v>
      </c>
      <c r="C874" t="s">
        <v>3046</v>
      </c>
      <c r="D874" t="s">
        <v>159</v>
      </c>
      <c r="E874">
        <v>8</v>
      </c>
      <c r="F874" t="s">
        <v>3047</v>
      </c>
      <c r="G874" t="s">
        <v>842</v>
      </c>
      <c r="H874" t="s">
        <v>843</v>
      </c>
      <c r="I874" t="s">
        <v>844</v>
      </c>
      <c r="J874">
        <f t="shared" ca="1" si="54"/>
        <v>1530000</v>
      </c>
      <c r="K874">
        <f t="shared" ca="1" si="55"/>
        <v>78021</v>
      </c>
      <c r="N874" t="str">
        <f t="shared" si="52"/>
        <v>Enfield28D2A Plan (P1) Home Care or Domiciliary CareDomiciliary care to support hospital discharge (Discharge to Assess pathway 1)</v>
      </c>
      <c r="O874" t="s">
        <v>147</v>
      </c>
      <c r="P874" t="s">
        <v>790</v>
      </c>
      <c r="Q874">
        <v>28</v>
      </c>
      <c r="R874" t="s">
        <v>2715</v>
      </c>
      <c r="S874" t="s">
        <v>3048</v>
      </c>
      <c r="T874" t="s">
        <v>842</v>
      </c>
      <c r="U874" t="s">
        <v>856</v>
      </c>
      <c r="W874">
        <v>2253</v>
      </c>
      <c r="X874">
        <v>2289</v>
      </c>
      <c r="Y874" t="s">
        <v>844</v>
      </c>
      <c r="Z874" t="s">
        <v>823</v>
      </c>
      <c r="AB874" t="s">
        <v>824</v>
      </c>
      <c r="AD874" t="s">
        <v>794</v>
      </c>
      <c r="AE874" t="s">
        <v>804</v>
      </c>
      <c r="AF874" t="s">
        <v>860</v>
      </c>
      <c r="AG874" t="s">
        <v>861</v>
      </c>
      <c r="AH874">
        <v>56000</v>
      </c>
      <c r="AI874">
        <v>0</v>
      </c>
      <c r="AJ874">
        <v>0.04</v>
      </c>
    </row>
    <row r="875" spans="1:36" x14ac:dyDescent="0.3">
      <c r="A875">
        <f>COUNTIF($D$2:D875,D875)</f>
        <v>1</v>
      </c>
      <c r="B875" t="str">
        <f t="shared" si="53"/>
        <v>1Hammersmith and Fulham</v>
      </c>
      <c r="C875" t="s">
        <v>3049</v>
      </c>
      <c r="D875" t="s">
        <v>161</v>
      </c>
      <c r="E875" t="s">
        <v>3050</v>
      </c>
      <c r="F875" t="s">
        <v>1051</v>
      </c>
      <c r="G875" t="s">
        <v>800</v>
      </c>
      <c r="H875" t="s">
        <v>903</v>
      </c>
      <c r="I875" t="s">
        <v>802</v>
      </c>
      <c r="J875">
        <f t="shared" ca="1" si="54"/>
        <v>1148100</v>
      </c>
      <c r="K875">
        <f t="shared" ca="1" si="55"/>
        <v>13568</v>
      </c>
      <c r="N875" t="str">
        <f t="shared" si="52"/>
        <v>Essex10001POSC Domiciliary Reablement Main ContractHome-based intermediate care servicesReablement at home (accepting step up and step down users)</v>
      </c>
      <c r="O875" t="s">
        <v>149</v>
      </c>
      <c r="P875" t="s">
        <v>1056</v>
      </c>
      <c r="Q875">
        <v>10001</v>
      </c>
      <c r="R875" t="s">
        <v>2718</v>
      </c>
      <c r="S875" t="s">
        <v>3051</v>
      </c>
      <c r="T875" t="s">
        <v>787</v>
      </c>
      <c r="U875" t="s">
        <v>930</v>
      </c>
      <c r="W875">
        <v>5950</v>
      </c>
      <c r="X875">
        <v>5950</v>
      </c>
      <c r="Y875" t="s">
        <v>789</v>
      </c>
      <c r="Z875" t="s">
        <v>792</v>
      </c>
      <c r="AB875" t="s">
        <v>793</v>
      </c>
      <c r="AD875" t="s">
        <v>794</v>
      </c>
      <c r="AE875" t="s">
        <v>795</v>
      </c>
      <c r="AF875" t="s">
        <v>796</v>
      </c>
      <c r="AG875" t="s">
        <v>797</v>
      </c>
      <c r="AH875">
        <v>19796400</v>
      </c>
      <c r="AI875">
        <v>20916876.241645802</v>
      </c>
      <c r="AJ875">
        <v>0.39576847641578639</v>
      </c>
    </row>
    <row r="876" spans="1:36" x14ac:dyDescent="0.3">
      <c r="A876">
        <f>COUNTIF($D$2:D876,D876)</f>
        <v>2</v>
      </c>
      <c r="B876" t="str">
        <f t="shared" si="53"/>
        <v>2Hammersmith and Fulham</v>
      </c>
      <c r="C876" t="s">
        <v>3052</v>
      </c>
      <c r="D876" t="s">
        <v>161</v>
      </c>
      <c r="E876" t="s">
        <v>3053</v>
      </c>
      <c r="F876" t="s">
        <v>3054</v>
      </c>
      <c r="G876" t="s">
        <v>877</v>
      </c>
      <c r="H876" t="s">
        <v>968</v>
      </c>
      <c r="I876" t="s">
        <v>879</v>
      </c>
      <c r="J876">
        <f t="shared" ca="1" si="54"/>
        <v>526638</v>
      </c>
      <c r="K876">
        <f t="shared" ca="1" si="55"/>
        <v>154</v>
      </c>
      <c r="N876" t="str">
        <f t="shared" si="52"/>
        <v>Essex10002POSC Live at Home ServiceHome Care or Domiciliary CareDomiciliary care packages</v>
      </c>
      <c r="O876" t="s">
        <v>149</v>
      </c>
      <c r="P876" t="s">
        <v>1056</v>
      </c>
      <c r="Q876">
        <v>10002</v>
      </c>
      <c r="R876" t="s">
        <v>2721</v>
      </c>
      <c r="S876" t="s">
        <v>3055</v>
      </c>
      <c r="T876" t="s">
        <v>842</v>
      </c>
      <c r="U876" t="s">
        <v>843</v>
      </c>
      <c r="W876">
        <v>949254</v>
      </c>
      <c r="X876">
        <v>949254</v>
      </c>
      <c r="Y876" t="s">
        <v>844</v>
      </c>
      <c r="Z876" t="s">
        <v>792</v>
      </c>
      <c r="AB876" t="s">
        <v>793</v>
      </c>
      <c r="AD876" t="s">
        <v>794</v>
      </c>
      <c r="AE876" t="s">
        <v>795</v>
      </c>
      <c r="AF876" t="s">
        <v>796</v>
      </c>
      <c r="AG876" t="s">
        <v>797</v>
      </c>
      <c r="AH876">
        <v>21974859.045157962</v>
      </c>
      <c r="AI876">
        <v>23218635.4939139</v>
      </c>
      <c r="AJ876">
        <v>8.8142541847905514E-2</v>
      </c>
    </row>
    <row r="877" spans="1:36" x14ac:dyDescent="0.3">
      <c r="A877">
        <f>COUNTIF($D$2:D877,D877)</f>
        <v>3</v>
      </c>
      <c r="B877" t="str">
        <f t="shared" si="53"/>
        <v>3Hammersmith and Fulham</v>
      </c>
      <c r="C877" t="s">
        <v>3056</v>
      </c>
      <c r="D877" t="s">
        <v>161</v>
      </c>
      <c r="E877" t="s">
        <v>3057</v>
      </c>
      <c r="F877" t="s">
        <v>3058</v>
      </c>
      <c r="G877" t="s">
        <v>877</v>
      </c>
      <c r="H877" t="s">
        <v>968</v>
      </c>
      <c r="I877" t="s">
        <v>879</v>
      </c>
      <c r="J877">
        <f t="shared" ca="1" si="54"/>
        <v>779479</v>
      </c>
      <c r="K877">
        <f t="shared" ca="1" si="55"/>
        <v>154</v>
      </c>
      <c r="N877" t="str">
        <f t="shared" si="52"/>
        <v>Essex10003Carers BreaksCarers ServicesRespite services</v>
      </c>
      <c r="O877" t="s">
        <v>149</v>
      </c>
      <c r="P877" t="s">
        <v>1056</v>
      </c>
      <c r="Q877">
        <v>10003</v>
      </c>
      <c r="R877" t="s">
        <v>1834</v>
      </c>
      <c r="S877" t="s">
        <v>3059</v>
      </c>
      <c r="T877" t="s">
        <v>811</v>
      </c>
      <c r="U877" t="s">
        <v>830</v>
      </c>
      <c r="W877">
        <v>1082</v>
      </c>
      <c r="X877">
        <v>1082</v>
      </c>
      <c r="Y877" t="s">
        <v>813</v>
      </c>
      <c r="Z877" t="s">
        <v>792</v>
      </c>
      <c r="AB877" t="s">
        <v>824</v>
      </c>
      <c r="AD877" t="s">
        <v>794</v>
      </c>
      <c r="AE877" t="s">
        <v>825</v>
      </c>
      <c r="AF877" t="s">
        <v>796</v>
      </c>
      <c r="AG877" t="s">
        <v>797</v>
      </c>
      <c r="AH877">
        <v>710875.18862673617</v>
      </c>
      <c r="AI877">
        <v>751110.76010300929</v>
      </c>
      <c r="AJ877">
        <v>0.11358936109097692</v>
      </c>
    </row>
    <row r="878" spans="1:36" x14ac:dyDescent="0.3">
      <c r="A878">
        <f>COUNTIF($D$2:D878,D878)</f>
        <v>4</v>
      </c>
      <c r="B878" t="str">
        <f t="shared" si="53"/>
        <v>4Hammersmith and Fulham</v>
      </c>
      <c r="C878" t="s">
        <v>3060</v>
      </c>
      <c r="D878" t="s">
        <v>161</v>
      </c>
      <c r="E878" t="s">
        <v>3061</v>
      </c>
      <c r="F878" t="s">
        <v>3062</v>
      </c>
      <c r="G878" t="s">
        <v>806</v>
      </c>
      <c r="H878" t="s">
        <v>917</v>
      </c>
      <c r="I878" t="s">
        <v>808</v>
      </c>
      <c r="J878">
        <f t="shared" ca="1" si="54"/>
        <v>1507589.5602001513</v>
      </c>
      <c r="K878">
        <f t="shared" ca="1" si="55"/>
        <v>18</v>
      </c>
      <c r="N878" t="str">
        <f t="shared" si="52"/>
        <v>Essex10004Care ActCarers ServicesOther</v>
      </c>
      <c r="O878" t="s">
        <v>149</v>
      </c>
      <c r="P878" t="s">
        <v>1056</v>
      </c>
      <c r="Q878">
        <v>10004</v>
      </c>
      <c r="R878" t="s">
        <v>2726</v>
      </c>
      <c r="S878" t="s">
        <v>3063</v>
      </c>
      <c r="T878" t="s">
        <v>811</v>
      </c>
      <c r="U878" t="s">
        <v>812</v>
      </c>
      <c r="V878" t="s">
        <v>3064</v>
      </c>
      <c r="W878">
        <v>1500</v>
      </c>
      <c r="X878">
        <v>1500</v>
      </c>
      <c r="Y878" t="s">
        <v>813</v>
      </c>
      <c r="Z878" t="s">
        <v>792</v>
      </c>
      <c r="AB878" t="s">
        <v>793</v>
      </c>
      <c r="AD878" t="s">
        <v>794</v>
      </c>
      <c r="AE878" t="s">
        <v>795</v>
      </c>
      <c r="AF878" t="s">
        <v>796</v>
      </c>
      <c r="AG878" t="s">
        <v>797</v>
      </c>
      <c r="AH878">
        <v>3451851.7432681639</v>
      </c>
      <c r="AI878">
        <v>3647782.7519371416</v>
      </c>
      <c r="AJ878">
        <v>0.55160786394049366</v>
      </c>
    </row>
    <row r="879" spans="1:36" x14ac:dyDescent="0.3">
      <c r="A879">
        <f>COUNTIF($D$2:D879,D879)</f>
        <v>5</v>
      </c>
      <c r="B879" t="str">
        <f t="shared" si="53"/>
        <v>5Hammersmith and Fulham</v>
      </c>
      <c r="C879" t="s">
        <v>3065</v>
      </c>
      <c r="D879" t="s">
        <v>161</v>
      </c>
      <c r="E879" t="s">
        <v>3066</v>
      </c>
      <c r="F879" t="s">
        <v>3067</v>
      </c>
      <c r="G879" t="s">
        <v>806</v>
      </c>
      <c r="H879" t="s">
        <v>917</v>
      </c>
      <c r="I879" t="s">
        <v>808</v>
      </c>
      <c r="J879">
        <f t="shared" ca="1" si="54"/>
        <v>1726343.5458611797</v>
      </c>
      <c r="K879">
        <f t="shared" ca="1" si="55"/>
        <v>13</v>
      </c>
      <c r="N879" t="str">
        <f t="shared" si="52"/>
        <v>Essex12308MSE ICB - ME Community ServicesBed based intermediate Care Services (Reablement, rehabilitation, wider short-term services supporting recovery)Bed-based intermediate care with rehabilitation accepting step up and step down users</v>
      </c>
      <c r="O879" t="s">
        <v>149</v>
      </c>
      <c r="P879" t="s">
        <v>1056</v>
      </c>
      <c r="Q879">
        <v>12308</v>
      </c>
      <c r="R879" t="s">
        <v>2729</v>
      </c>
      <c r="S879" t="s">
        <v>1183</v>
      </c>
      <c r="T879" t="s">
        <v>877</v>
      </c>
      <c r="U879" t="s">
        <v>1015</v>
      </c>
      <c r="W879">
        <v>32</v>
      </c>
      <c r="X879">
        <v>32</v>
      </c>
      <c r="Y879" t="s">
        <v>879</v>
      </c>
      <c r="Z879" t="s">
        <v>823</v>
      </c>
      <c r="AB879" t="s">
        <v>824</v>
      </c>
      <c r="AD879" t="s">
        <v>794</v>
      </c>
      <c r="AE879" t="s">
        <v>832</v>
      </c>
      <c r="AF879" t="s">
        <v>796</v>
      </c>
      <c r="AG879" t="s">
        <v>797</v>
      </c>
      <c r="AH879">
        <v>3509261</v>
      </c>
      <c r="AI879">
        <v>3707885</v>
      </c>
      <c r="AJ879">
        <v>0.33313054492814043</v>
      </c>
    </row>
    <row r="880" spans="1:36" x14ac:dyDescent="0.3">
      <c r="A880">
        <f>COUNTIF($D$2:D880,D880)</f>
        <v>6</v>
      </c>
      <c r="B880" t="str">
        <f t="shared" si="53"/>
        <v>6Hammersmith and Fulham</v>
      </c>
      <c r="C880" t="s">
        <v>3068</v>
      </c>
      <c r="D880" t="s">
        <v>161</v>
      </c>
      <c r="E880" t="s">
        <v>3069</v>
      </c>
      <c r="F880" t="s">
        <v>3070</v>
      </c>
      <c r="G880" t="s">
        <v>787</v>
      </c>
      <c r="H880" t="s">
        <v>788</v>
      </c>
      <c r="I880" t="s">
        <v>789</v>
      </c>
      <c r="J880">
        <f t="shared" ca="1" si="54"/>
        <v>267755.152</v>
      </c>
      <c r="K880">
        <f t="shared" ca="1" si="55"/>
        <v>347</v>
      </c>
      <c r="N880" t="str">
        <f t="shared" si="52"/>
        <v>Essex12310MSE ICB - ME Community ServicesHome-based intermediate care servicesRehabilitation at home (accepting step up and step down users)</v>
      </c>
      <c r="O880" t="s">
        <v>149</v>
      </c>
      <c r="P880" t="s">
        <v>1056</v>
      </c>
      <c r="Q880">
        <v>12310</v>
      </c>
      <c r="R880" t="s">
        <v>2729</v>
      </c>
      <c r="S880" t="s">
        <v>3071</v>
      </c>
      <c r="T880" t="s">
        <v>787</v>
      </c>
      <c r="U880" t="s">
        <v>1688</v>
      </c>
      <c r="W880">
        <v>60</v>
      </c>
      <c r="X880">
        <v>60</v>
      </c>
      <c r="Y880" t="s">
        <v>789</v>
      </c>
      <c r="Z880" t="s">
        <v>823</v>
      </c>
      <c r="AB880" t="s">
        <v>824</v>
      </c>
      <c r="AD880" t="s">
        <v>794</v>
      </c>
      <c r="AE880" t="s">
        <v>832</v>
      </c>
      <c r="AF880" t="s">
        <v>796</v>
      </c>
      <c r="AG880" t="s">
        <v>797</v>
      </c>
      <c r="AH880">
        <v>1588342</v>
      </c>
      <c r="AI880">
        <v>1678242</v>
      </c>
      <c r="AJ880">
        <v>3.1754039274337814E-2</v>
      </c>
    </row>
    <row r="881" spans="1:36" x14ac:dyDescent="0.3">
      <c r="A881">
        <f>COUNTIF($D$2:D881,D881)</f>
        <v>7</v>
      </c>
      <c r="B881" t="str">
        <f t="shared" si="53"/>
        <v>7Hammersmith and Fulham</v>
      </c>
      <c r="C881" t="s">
        <v>3072</v>
      </c>
      <c r="D881" t="s">
        <v>161</v>
      </c>
      <c r="E881">
        <v>38</v>
      </c>
      <c r="F881" t="s">
        <v>3073</v>
      </c>
      <c r="G881" t="s">
        <v>806</v>
      </c>
      <c r="H881" t="s">
        <v>917</v>
      </c>
      <c r="I881" t="s">
        <v>808</v>
      </c>
      <c r="J881">
        <f t="shared" ca="1" si="54"/>
        <v>1493728</v>
      </c>
      <c r="K881">
        <f t="shared" ca="1" si="55"/>
        <v>18</v>
      </c>
      <c r="N881" t="str">
        <f t="shared" si="52"/>
        <v>Essex12208MSE ICB - CPR Community ServicesBed based intermediate Care Services (Reablement, rehabilitation, wider short-term services supporting recovery)Bed-based intermediate care with rehabilitation accepting step up and step down users</v>
      </c>
      <c r="O881" t="s">
        <v>149</v>
      </c>
      <c r="P881" t="s">
        <v>1056</v>
      </c>
      <c r="Q881">
        <v>12208</v>
      </c>
      <c r="R881" t="s">
        <v>2734</v>
      </c>
      <c r="S881" t="s">
        <v>1183</v>
      </c>
      <c r="T881" t="s">
        <v>877</v>
      </c>
      <c r="U881" t="s">
        <v>1015</v>
      </c>
      <c r="W881">
        <v>17</v>
      </c>
      <c r="X881">
        <v>17</v>
      </c>
      <c r="Y881" t="s">
        <v>879</v>
      </c>
      <c r="Z881" t="s">
        <v>823</v>
      </c>
      <c r="AB881" t="s">
        <v>824</v>
      </c>
      <c r="AD881" t="s">
        <v>794</v>
      </c>
      <c r="AE881" t="s">
        <v>832</v>
      </c>
      <c r="AF881" t="s">
        <v>796</v>
      </c>
      <c r="AG881" t="s">
        <v>797</v>
      </c>
      <c r="AH881">
        <v>1883821</v>
      </c>
      <c r="AI881">
        <v>1990446</v>
      </c>
      <c r="AJ881">
        <v>0.17882923206861989</v>
      </c>
    </row>
    <row r="882" spans="1:36" x14ac:dyDescent="0.3">
      <c r="A882">
        <f>COUNTIF($D$2:D882,D882)</f>
        <v>8</v>
      </c>
      <c r="B882" t="str">
        <f t="shared" si="53"/>
        <v>8Hammersmith and Fulham</v>
      </c>
      <c r="C882" t="s">
        <v>3074</v>
      </c>
      <c r="D882" t="s">
        <v>161</v>
      </c>
      <c r="E882">
        <v>39</v>
      </c>
      <c r="F882" t="s">
        <v>3075</v>
      </c>
      <c r="G882" t="s">
        <v>806</v>
      </c>
      <c r="H882" t="s">
        <v>917</v>
      </c>
      <c r="I882" t="s">
        <v>808</v>
      </c>
      <c r="J882">
        <f t="shared" ca="1" si="54"/>
        <v>2424086</v>
      </c>
      <c r="K882">
        <f t="shared" ca="1" si="55"/>
        <v>17</v>
      </c>
      <c r="N882" t="str">
        <f t="shared" si="52"/>
        <v>Essex12210MSE ICB - CPR Community ServicesHome-based intermediate care servicesRehabilitation at home (accepting step up and step down users)</v>
      </c>
      <c r="O882" t="s">
        <v>149</v>
      </c>
      <c r="P882" t="s">
        <v>1056</v>
      </c>
      <c r="Q882">
        <v>12210</v>
      </c>
      <c r="R882" t="s">
        <v>2734</v>
      </c>
      <c r="S882" t="s">
        <v>3071</v>
      </c>
      <c r="T882" t="s">
        <v>787</v>
      </c>
      <c r="U882" t="s">
        <v>1688</v>
      </c>
      <c r="W882">
        <v>28</v>
      </c>
      <c r="X882">
        <v>28</v>
      </c>
      <c r="Y882" t="s">
        <v>789</v>
      </c>
      <c r="Z882" t="s">
        <v>823</v>
      </c>
      <c r="AB882" t="s">
        <v>824</v>
      </c>
      <c r="AD882" t="s">
        <v>794</v>
      </c>
      <c r="AE882" t="s">
        <v>832</v>
      </c>
      <c r="AF882" t="s">
        <v>796</v>
      </c>
      <c r="AG882" t="s">
        <v>797</v>
      </c>
      <c r="AH882">
        <v>750953</v>
      </c>
      <c r="AI882">
        <v>793457</v>
      </c>
      <c r="AJ882">
        <v>1.5013009246258495E-2</v>
      </c>
    </row>
    <row r="883" spans="1:36" x14ac:dyDescent="0.3">
      <c r="A883">
        <f>COUNTIF($D$2:D883,D883)</f>
        <v>9</v>
      </c>
      <c r="B883" t="str">
        <f t="shared" si="53"/>
        <v>9Hammersmith and Fulham</v>
      </c>
      <c r="C883" t="s">
        <v>3076</v>
      </c>
      <c r="D883" t="s">
        <v>161</v>
      </c>
      <c r="E883">
        <v>41</v>
      </c>
      <c r="F883" t="s">
        <v>3077</v>
      </c>
      <c r="G883" t="s">
        <v>800</v>
      </c>
      <c r="H883" t="s">
        <v>850</v>
      </c>
      <c r="I883" t="s">
        <v>802</v>
      </c>
      <c r="J883">
        <f t="shared" ca="1" si="54"/>
        <v>793200</v>
      </c>
      <c r="K883">
        <f t="shared" ca="1" si="55"/>
        <v>6188</v>
      </c>
      <c r="N883" t="str">
        <f t="shared" si="52"/>
        <v>Essex12108MSE ICB - BB Community ServicesBed based intermediate Care Services (Reablement, rehabilitation, wider short-term services supporting recovery)Bed-based intermediate care with rehabilitation accepting step up and step down users</v>
      </c>
      <c r="O883" t="s">
        <v>149</v>
      </c>
      <c r="P883" t="s">
        <v>1056</v>
      </c>
      <c r="Q883">
        <v>12108</v>
      </c>
      <c r="R883" t="s">
        <v>2739</v>
      </c>
      <c r="S883" t="s">
        <v>1183</v>
      </c>
      <c r="T883" t="s">
        <v>877</v>
      </c>
      <c r="U883" t="s">
        <v>1015</v>
      </c>
      <c r="W883">
        <v>19</v>
      </c>
      <c r="X883">
        <v>19</v>
      </c>
      <c r="Y883" t="s">
        <v>879</v>
      </c>
      <c r="Z883" t="s">
        <v>823</v>
      </c>
      <c r="AB883" t="s">
        <v>824</v>
      </c>
      <c r="AD883" t="s">
        <v>794</v>
      </c>
      <c r="AE883" t="s">
        <v>832</v>
      </c>
      <c r="AF883" t="s">
        <v>796</v>
      </c>
      <c r="AG883" t="s">
        <v>797</v>
      </c>
      <c r="AH883">
        <v>2130959</v>
      </c>
      <c r="AI883">
        <v>2251571</v>
      </c>
      <c r="AJ883">
        <v>0.20228974265782115</v>
      </c>
    </row>
    <row r="884" spans="1:36" x14ac:dyDescent="0.3">
      <c r="A884">
        <f>COUNTIF($D$2:D884,D884)</f>
        <v>10</v>
      </c>
      <c r="B884" t="str">
        <f t="shared" si="53"/>
        <v>10Hammersmith and Fulham</v>
      </c>
      <c r="C884" t="s">
        <v>3078</v>
      </c>
      <c r="D884" t="s">
        <v>161</v>
      </c>
      <c r="E884">
        <v>49</v>
      </c>
      <c r="F884" t="s">
        <v>891</v>
      </c>
      <c r="G884" t="s">
        <v>834</v>
      </c>
      <c r="H884" t="s">
        <v>835</v>
      </c>
      <c r="I884" t="s">
        <v>836</v>
      </c>
      <c r="J884">
        <f t="shared" ca="1" si="54"/>
        <v>1495597</v>
      </c>
      <c r="K884">
        <f t="shared" ca="1" si="55"/>
        <v>160</v>
      </c>
      <c r="N884" t="str">
        <f t="shared" si="52"/>
        <v>Essex12110MSE ICB - BB Community ServicesHome-based intermediate care servicesRehabilitation at home (accepting step up and step down users)</v>
      </c>
      <c r="O884" t="s">
        <v>149</v>
      </c>
      <c r="P884" t="s">
        <v>1056</v>
      </c>
      <c r="Q884">
        <v>12110</v>
      </c>
      <c r="R884" t="s">
        <v>2739</v>
      </c>
      <c r="S884" t="s">
        <v>3071</v>
      </c>
      <c r="T884" t="s">
        <v>787</v>
      </c>
      <c r="U884" t="s">
        <v>1688</v>
      </c>
      <c r="W884">
        <v>44</v>
      </c>
      <c r="X884">
        <v>44</v>
      </c>
      <c r="Y884" t="s">
        <v>789</v>
      </c>
      <c r="Z884" t="s">
        <v>823</v>
      </c>
      <c r="AB884" t="s">
        <v>824</v>
      </c>
      <c r="AD884" t="s">
        <v>794</v>
      </c>
      <c r="AE884" t="s">
        <v>832</v>
      </c>
      <c r="AF884" t="s">
        <v>796</v>
      </c>
      <c r="AG884" t="s">
        <v>797</v>
      </c>
      <c r="AH884">
        <v>1146635</v>
      </c>
      <c r="AI884">
        <v>1211535</v>
      </c>
      <c r="AJ884">
        <v>2.2923464633257618E-2</v>
      </c>
    </row>
    <row r="885" spans="1:36" x14ac:dyDescent="0.3">
      <c r="A885">
        <f>COUNTIF($D$2:D885,D885)</f>
        <v>11</v>
      </c>
      <c r="B885" t="str">
        <f t="shared" si="53"/>
        <v>11Hammersmith and Fulham</v>
      </c>
      <c r="C885" t="s">
        <v>3079</v>
      </c>
      <c r="D885" t="s">
        <v>161</v>
      </c>
      <c r="E885">
        <v>50</v>
      </c>
      <c r="F885" t="s">
        <v>3080</v>
      </c>
      <c r="G885" t="s">
        <v>1402</v>
      </c>
      <c r="H885" t="s">
        <v>1403</v>
      </c>
      <c r="I885" t="s">
        <v>794</v>
      </c>
      <c r="J885">
        <f t="shared" ca="1" si="54"/>
        <v>5808036</v>
      </c>
      <c r="K885">
        <f t="shared" ca="1" si="55"/>
        <v>356011</v>
      </c>
      <c r="N885" t="str">
        <f t="shared" si="52"/>
        <v>Essex20001IBCF meeting social care needs (Care tech)Assistive Technologies and EquipmentAssistive technologies including telecare</v>
      </c>
      <c r="O885" t="s">
        <v>149</v>
      </c>
      <c r="P885" t="s">
        <v>1056</v>
      </c>
      <c r="Q885">
        <v>20001</v>
      </c>
      <c r="R885" t="s">
        <v>2744</v>
      </c>
      <c r="S885" t="s">
        <v>3081</v>
      </c>
      <c r="T885" t="s">
        <v>800</v>
      </c>
      <c r="U885" t="s">
        <v>850</v>
      </c>
      <c r="W885">
        <v>7073</v>
      </c>
      <c r="X885">
        <v>7073</v>
      </c>
      <c r="Y885" t="s">
        <v>802</v>
      </c>
      <c r="Z885" t="s">
        <v>792</v>
      </c>
      <c r="AB885" t="s">
        <v>793</v>
      </c>
      <c r="AD885" t="s">
        <v>794</v>
      </c>
      <c r="AE885" t="s">
        <v>795</v>
      </c>
      <c r="AF885" t="s">
        <v>845</v>
      </c>
      <c r="AG885" t="s">
        <v>797</v>
      </c>
      <c r="AH885">
        <v>3785993</v>
      </c>
      <c r="AI885">
        <v>3785993</v>
      </c>
      <c r="AJ885">
        <v>0.20149298810023639</v>
      </c>
    </row>
    <row r="886" spans="1:36" x14ac:dyDescent="0.3">
      <c r="A886">
        <f>COUNTIF($D$2:D886,D886)</f>
        <v>12</v>
      </c>
      <c r="B886" t="str">
        <f t="shared" si="53"/>
        <v>12Hammersmith and Fulham</v>
      </c>
      <c r="C886" t="s">
        <v>3082</v>
      </c>
      <c r="D886" t="s">
        <v>161</v>
      </c>
      <c r="E886">
        <v>51</v>
      </c>
      <c r="F886" t="s">
        <v>3080</v>
      </c>
      <c r="G886" t="s">
        <v>1402</v>
      </c>
      <c r="H886" t="s">
        <v>1403</v>
      </c>
      <c r="I886" t="s">
        <v>794</v>
      </c>
      <c r="J886">
        <f t="shared" ca="1" si="54"/>
        <v>4219200</v>
      </c>
      <c r="K886">
        <f t="shared" ca="1" si="55"/>
        <v>69</v>
      </c>
      <c r="N886" t="str">
        <f t="shared" si="52"/>
        <v>Essex20003IBCF meeting social care needs (Nursing)Residential PlacementsNursing home</v>
      </c>
      <c r="O886" t="s">
        <v>149</v>
      </c>
      <c r="P886" t="s">
        <v>1056</v>
      </c>
      <c r="Q886">
        <v>20003</v>
      </c>
      <c r="R886" t="s">
        <v>2747</v>
      </c>
      <c r="S886" t="s">
        <v>3083</v>
      </c>
      <c r="T886" t="s">
        <v>806</v>
      </c>
      <c r="U886" t="s">
        <v>917</v>
      </c>
      <c r="W886">
        <v>660</v>
      </c>
      <c r="X886">
        <v>630</v>
      </c>
      <c r="Y886" t="s">
        <v>808</v>
      </c>
      <c r="Z886" t="s">
        <v>792</v>
      </c>
      <c r="AB886" t="s">
        <v>793</v>
      </c>
      <c r="AD886" t="s">
        <v>794</v>
      </c>
      <c r="AE886" t="s">
        <v>795</v>
      </c>
      <c r="AF886" t="s">
        <v>845</v>
      </c>
      <c r="AG886" t="s">
        <v>797</v>
      </c>
      <c r="AH886">
        <v>19029000</v>
      </c>
      <c r="AI886">
        <v>19029000</v>
      </c>
      <c r="AJ886">
        <v>7.349901239250746E-2</v>
      </c>
    </row>
    <row r="887" spans="1:36" x14ac:dyDescent="0.3">
      <c r="A887">
        <f>COUNTIF($D$2:D887,D887)</f>
        <v>1</v>
      </c>
      <c r="B887" t="str">
        <f t="shared" si="53"/>
        <v>1Hampshire</v>
      </c>
      <c r="C887" t="s">
        <v>3084</v>
      </c>
      <c r="D887" t="s">
        <v>163</v>
      </c>
      <c r="E887">
        <v>1</v>
      </c>
      <c r="F887" t="s">
        <v>3085</v>
      </c>
      <c r="G887" t="s">
        <v>842</v>
      </c>
      <c r="H887" t="s">
        <v>843</v>
      </c>
      <c r="I887" t="s">
        <v>844</v>
      </c>
      <c r="J887">
        <f t="shared" ca="1" si="54"/>
        <v>31279425</v>
      </c>
      <c r="K887">
        <f t="shared" ca="1" si="55"/>
        <v>1225000</v>
      </c>
      <c r="N887" t="str">
        <f t="shared" si="52"/>
        <v>Essex20004IBCF meeting social care needs (Dom Care over 85s)Home Care or Domiciliary CareDomiciliary care packages</v>
      </c>
      <c r="O887" t="s">
        <v>149</v>
      </c>
      <c r="P887" t="s">
        <v>1056</v>
      </c>
      <c r="Q887">
        <v>20004</v>
      </c>
      <c r="R887" t="s">
        <v>2751</v>
      </c>
      <c r="S887" t="s">
        <v>3086</v>
      </c>
      <c r="T887" t="s">
        <v>842</v>
      </c>
      <c r="U887" t="s">
        <v>843</v>
      </c>
      <c r="W887">
        <v>291500</v>
      </c>
      <c r="X887">
        <v>277600</v>
      </c>
      <c r="Y887" t="s">
        <v>844</v>
      </c>
      <c r="Z887" t="s">
        <v>792</v>
      </c>
      <c r="AB887" t="s">
        <v>793</v>
      </c>
      <c r="AD887" t="s">
        <v>794</v>
      </c>
      <c r="AE887" t="s">
        <v>795</v>
      </c>
      <c r="AF887" t="s">
        <v>845</v>
      </c>
      <c r="AG887" t="s">
        <v>797</v>
      </c>
      <c r="AH887">
        <v>6740460</v>
      </c>
      <c r="AI887">
        <v>6740460</v>
      </c>
      <c r="AJ887">
        <v>2.6292336261383283E-2</v>
      </c>
    </row>
    <row r="888" spans="1:36" x14ac:dyDescent="0.3">
      <c r="A888">
        <f>COUNTIF($D$2:D888,D888)</f>
        <v>2</v>
      </c>
      <c r="B888" t="str">
        <f t="shared" si="53"/>
        <v>2Hampshire</v>
      </c>
      <c r="C888" t="s">
        <v>3087</v>
      </c>
      <c r="D888" t="s">
        <v>163</v>
      </c>
      <c r="E888">
        <v>2</v>
      </c>
      <c r="F888" t="s">
        <v>3088</v>
      </c>
      <c r="G888" t="s">
        <v>842</v>
      </c>
      <c r="H888" t="s">
        <v>843</v>
      </c>
      <c r="I888" t="s">
        <v>844</v>
      </c>
      <c r="J888">
        <f t="shared" ca="1" si="54"/>
        <v>13577094</v>
      </c>
      <c r="K888">
        <f t="shared" ca="1" si="55"/>
        <v>532000</v>
      </c>
      <c r="N888" t="str">
        <f t="shared" si="52"/>
        <v>Essex20014IBCF - Winter Pressure scheme - Reablement (ARC)Home-based intermediate care servicesReablement at home (accepting step up and step down users)</v>
      </c>
      <c r="O888" t="s">
        <v>149</v>
      </c>
      <c r="P888" t="s">
        <v>1056</v>
      </c>
      <c r="Q888">
        <v>20014</v>
      </c>
      <c r="R888" t="s">
        <v>2755</v>
      </c>
      <c r="S888" t="s">
        <v>3089</v>
      </c>
      <c r="T888" t="s">
        <v>787</v>
      </c>
      <c r="U888" t="s">
        <v>930</v>
      </c>
      <c r="W888">
        <v>4080</v>
      </c>
      <c r="X888">
        <v>4080</v>
      </c>
      <c r="Y888" t="s">
        <v>789</v>
      </c>
      <c r="Z888" t="s">
        <v>792</v>
      </c>
      <c r="AB888" t="s">
        <v>793</v>
      </c>
      <c r="AD888" t="s">
        <v>794</v>
      </c>
      <c r="AE888" t="s">
        <v>795</v>
      </c>
      <c r="AF888" t="s">
        <v>845</v>
      </c>
      <c r="AG888" t="s">
        <v>797</v>
      </c>
      <c r="AH888">
        <v>5350000</v>
      </c>
      <c r="AI888">
        <v>5617500</v>
      </c>
      <c r="AJ888">
        <v>0.10661364463344582</v>
      </c>
    </row>
    <row r="889" spans="1:36" x14ac:dyDescent="0.3">
      <c r="A889">
        <f>COUNTIF($D$2:D889,D889)</f>
        <v>3</v>
      </c>
      <c r="B889" t="str">
        <f t="shared" si="53"/>
        <v>3Hampshire</v>
      </c>
      <c r="C889" t="s">
        <v>3090</v>
      </c>
      <c r="D889" t="s">
        <v>163</v>
      </c>
      <c r="E889">
        <v>3</v>
      </c>
      <c r="F889" t="s">
        <v>3091</v>
      </c>
      <c r="G889" t="s">
        <v>800</v>
      </c>
      <c r="H889" t="s">
        <v>850</v>
      </c>
      <c r="I889" t="s">
        <v>802</v>
      </c>
      <c r="J889">
        <f t="shared" ca="1" si="54"/>
        <v>2361911</v>
      </c>
      <c r="K889">
        <f t="shared" ca="1" si="55"/>
        <v>10000</v>
      </c>
      <c r="N889" t="str">
        <f t="shared" si="52"/>
        <v>Essex40001ECC discharge - ctywide Incentive Scheme Home CareHome Care or Domiciliary CareDomiciliary care packages</v>
      </c>
      <c r="O889" t="s">
        <v>149</v>
      </c>
      <c r="P889" t="s">
        <v>1056</v>
      </c>
      <c r="Q889">
        <v>40001</v>
      </c>
      <c r="R889" t="s">
        <v>2758</v>
      </c>
      <c r="S889" t="s">
        <v>3092</v>
      </c>
      <c r="T889" t="s">
        <v>842</v>
      </c>
      <c r="U889" t="s">
        <v>843</v>
      </c>
      <c r="W889">
        <v>250</v>
      </c>
      <c r="X889">
        <v>250</v>
      </c>
      <c r="Y889" t="s">
        <v>844</v>
      </c>
      <c r="Z889" t="s">
        <v>792</v>
      </c>
      <c r="AB889" t="s">
        <v>793</v>
      </c>
      <c r="AD889" t="s">
        <v>794</v>
      </c>
      <c r="AE889" t="s">
        <v>804</v>
      </c>
      <c r="AF889" t="s">
        <v>864</v>
      </c>
      <c r="AG889" t="s">
        <v>861</v>
      </c>
      <c r="AH889">
        <v>250000</v>
      </c>
      <c r="AI889">
        <v>250000</v>
      </c>
      <c r="AJ889">
        <v>9.7516847000736159E-4</v>
      </c>
    </row>
    <row r="890" spans="1:36" x14ac:dyDescent="0.3">
      <c r="A890">
        <f>COUNTIF($D$2:D890,D890)</f>
        <v>4</v>
      </c>
      <c r="B890" t="str">
        <f t="shared" si="53"/>
        <v>4Hampshire</v>
      </c>
      <c r="C890" t="s">
        <v>3093</v>
      </c>
      <c r="D890" t="s">
        <v>163</v>
      </c>
      <c r="E890">
        <v>6</v>
      </c>
      <c r="F890" t="s">
        <v>3094</v>
      </c>
      <c r="G890" t="s">
        <v>787</v>
      </c>
      <c r="H890" t="s">
        <v>930</v>
      </c>
      <c r="I890" t="s">
        <v>789</v>
      </c>
      <c r="J890">
        <f t="shared" ca="1" si="54"/>
        <v>9179283</v>
      </c>
      <c r="K890">
        <f t="shared" ca="1" si="55"/>
        <v>4500</v>
      </c>
      <c r="N890" t="str">
        <f t="shared" si="52"/>
        <v>Essex40002ECC discharge - ctywide Incentive Scheme ResidentialResidential PlacementsCare home</v>
      </c>
      <c r="O890" t="s">
        <v>149</v>
      </c>
      <c r="P890" t="s">
        <v>1056</v>
      </c>
      <c r="Q890">
        <v>40002</v>
      </c>
      <c r="R890" t="s">
        <v>2761</v>
      </c>
      <c r="S890" t="s">
        <v>3095</v>
      </c>
      <c r="T890" t="s">
        <v>806</v>
      </c>
      <c r="U890" t="s">
        <v>807</v>
      </c>
      <c r="W890">
        <v>400</v>
      </c>
      <c r="X890">
        <v>400</v>
      </c>
      <c r="Y890" t="s">
        <v>808</v>
      </c>
      <c r="Z890" t="s">
        <v>792</v>
      </c>
      <c r="AB890" t="s">
        <v>793</v>
      </c>
      <c r="AD890" t="s">
        <v>794</v>
      </c>
      <c r="AE890" t="s">
        <v>804</v>
      </c>
      <c r="AF890" t="s">
        <v>864</v>
      </c>
      <c r="AG890" t="s">
        <v>861</v>
      </c>
      <c r="AH890">
        <v>400000</v>
      </c>
      <c r="AI890">
        <v>400000</v>
      </c>
      <c r="AJ890">
        <v>1.5449894874666552E-3</v>
      </c>
    </row>
    <row r="891" spans="1:36" x14ac:dyDescent="0.3">
      <c r="A891">
        <f>COUNTIF($D$2:D891,D891)</f>
        <v>5</v>
      </c>
      <c r="B891" t="str">
        <f t="shared" si="53"/>
        <v>5Hampshire</v>
      </c>
      <c r="C891" t="s">
        <v>3096</v>
      </c>
      <c r="D891" t="s">
        <v>163</v>
      </c>
      <c r="E891">
        <v>8</v>
      </c>
      <c r="F891" t="s">
        <v>1513</v>
      </c>
      <c r="G891" t="s">
        <v>800</v>
      </c>
      <c r="H891" t="s">
        <v>903</v>
      </c>
      <c r="I891" t="s">
        <v>802</v>
      </c>
      <c r="J891">
        <f t="shared" ca="1" si="54"/>
        <v>3310461</v>
      </c>
      <c r="K891">
        <f t="shared" ca="1" si="55"/>
        <v>50000</v>
      </c>
      <c r="N891" t="str">
        <f t="shared" si="52"/>
        <v>Essex40006ECC discharge - Recovery to Home beds Bed based intermediate Care Services (Reablement, rehabilitation, wider short-term services supporting recovery)Bed-based intermediate care with reablement (to support discharge)</v>
      </c>
      <c r="O891" t="s">
        <v>149</v>
      </c>
      <c r="P891" t="s">
        <v>1056</v>
      </c>
      <c r="Q891">
        <v>40006</v>
      </c>
      <c r="R891" t="s">
        <v>2763</v>
      </c>
      <c r="S891" t="s">
        <v>3097</v>
      </c>
      <c r="T891" t="s">
        <v>877</v>
      </c>
      <c r="U891" t="s">
        <v>878</v>
      </c>
      <c r="W891">
        <v>429</v>
      </c>
      <c r="X891">
        <v>941</v>
      </c>
      <c r="Y891" t="s">
        <v>879</v>
      </c>
      <c r="Z891" t="s">
        <v>792</v>
      </c>
      <c r="AB891" t="s">
        <v>793</v>
      </c>
      <c r="AD891" t="s">
        <v>794</v>
      </c>
      <c r="AE891" t="s">
        <v>804</v>
      </c>
      <c r="AF891" t="s">
        <v>864</v>
      </c>
      <c r="AG891" t="s">
        <v>861</v>
      </c>
      <c r="AH891">
        <v>1262000</v>
      </c>
      <c r="AI891">
        <v>3243000</v>
      </c>
      <c r="AJ891">
        <v>0.20794273870880159</v>
      </c>
    </row>
    <row r="892" spans="1:36" x14ac:dyDescent="0.3">
      <c r="A892">
        <f>COUNTIF($D$2:D892,D892)</f>
        <v>6</v>
      </c>
      <c r="B892" t="str">
        <f t="shared" si="53"/>
        <v>6Hampshire</v>
      </c>
      <c r="C892" t="s">
        <v>3098</v>
      </c>
      <c r="D892" t="s">
        <v>163</v>
      </c>
      <c r="E892">
        <v>9</v>
      </c>
      <c r="F892" t="s">
        <v>3099</v>
      </c>
      <c r="G892" t="s">
        <v>811</v>
      </c>
      <c r="H892" t="s">
        <v>895</v>
      </c>
      <c r="I892" t="s">
        <v>813</v>
      </c>
      <c r="J892">
        <f t="shared" ca="1" si="54"/>
        <v>234729</v>
      </c>
      <c r="K892">
        <f t="shared" ca="1" si="55"/>
        <v>10500</v>
      </c>
      <c r="N892" t="str">
        <f t="shared" si="52"/>
        <v xml:space="preserve">Essex40009ECC discharge - Additional ReablementHome-based intermediate care servicesReablement at home (to support discharge) </v>
      </c>
      <c r="O892" t="s">
        <v>149</v>
      </c>
      <c r="P892" t="s">
        <v>1056</v>
      </c>
      <c r="Q892">
        <v>40009</v>
      </c>
      <c r="R892" t="s">
        <v>2766</v>
      </c>
      <c r="S892" t="s">
        <v>3100</v>
      </c>
      <c r="T892" t="s">
        <v>787</v>
      </c>
      <c r="U892" t="s">
        <v>788</v>
      </c>
      <c r="W892">
        <v>550</v>
      </c>
      <c r="X892">
        <v>280</v>
      </c>
      <c r="Y892" t="s">
        <v>789</v>
      </c>
      <c r="Z892" t="s">
        <v>792</v>
      </c>
      <c r="AB892" t="s">
        <v>793</v>
      </c>
      <c r="AD892" t="s">
        <v>794</v>
      </c>
      <c r="AE892" t="s">
        <v>804</v>
      </c>
      <c r="AF892" t="s">
        <v>864</v>
      </c>
      <c r="AG892" t="s">
        <v>861</v>
      </c>
      <c r="AH892">
        <v>1700000</v>
      </c>
      <c r="AI892">
        <v>850000</v>
      </c>
      <c r="AJ892">
        <v>2.4788219176228567E-2</v>
      </c>
    </row>
    <row r="893" spans="1:36" x14ac:dyDescent="0.3">
      <c r="A893">
        <f>COUNTIF($D$2:D893,D893)</f>
        <v>7</v>
      </c>
      <c r="B893" t="str">
        <f t="shared" si="53"/>
        <v>7Hampshire</v>
      </c>
      <c r="C893" t="s">
        <v>3101</v>
      </c>
      <c r="D893" t="s">
        <v>163</v>
      </c>
      <c r="E893">
        <v>10</v>
      </c>
      <c r="F893" t="s">
        <v>3102</v>
      </c>
      <c r="G893" t="s">
        <v>811</v>
      </c>
      <c r="H893" t="s">
        <v>895</v>
      </c>
      <c r="I893" t="s">
        <v>813</v>
      </c>
      <c r="J893">
        <f t="shared" ca="1" si="54"/>
        <v>5091936</v>
      </c>
      <c r="K893">
        <f t="shared" ca="1" si="55"/>
        <v>9000</v>
      </c>
      <c r="N893" t="str">
        <f t="shared" si="52"/>
        <v>Essex30101DFG Basildon Stairlift GrantDFG Related SchemesAdaptations, including statutory DFG grants</v>
      </c>
      <c r="O893" t="s">
        <v>149</v>
      </c>
      <c r="P893" t="s">
        <v>1056</v>
      </c>
      <c r="Q893">
        <v>30101</v>
      </c>
      <c r="R893" t="s">
        <v>2769</v>
      </c>
      <c r="S893" t="s">
        <v>3103</v>
      </c>
      <c r="T893" t="s">
        <v>834</v>
      </c>
      <c r="U893" t="s">
        <v>835</v>
      </c>
      <c r="W893">
        <v>50</v>
      </c>
      <c r="X893">
        <v>60</v>
      </c>
      <c r="Y893" t="s">
        <v>836</v>
      </c>
      <c r="Z893" t="s">
        <v>812</v>
      </c>
      <c r="AA893" t="s">
        <v>840</v>
      </c>
      <c r="AB893" t="s">
        <v>793</v>
      </c>
      <c r="AD893" t="s">
        <v>794</v>
      </c>
      <c r="AE893" t="s">
        <v>795</v>
      </c>
      <c r="AF893" t="s">
        <v>840</v>
      </c>
      <c r="AG893" t="s">
        <v>797</v>
      </c>
      <c r="AH893">
        <v>220000</v>
      </c>
      <c r="AI893">
        <v>250000</v>
      </c>
      <c r="AJ893">
        <v>1.9772085903739557E-2</v>
      </c>
    </row>
    <row r="894" spans="1:36" x14ac:dyDescent="0.3">
      <c r="A894">
        <f>COUNTIF($D$2:D894,D894)</f>
        <v>8</v>
      </c>
      <c r="B894" t="str">
        <f t="shared" si="53"/>
        <v>8Hampshire</v>
      </c>
      <c r="C894" t="s">
        <v>3104</v>
      </c>
      <c r="D894" t="s">
        <v>163</v>
      </c>
      <c r="E894">
        <v>21</v>
      </c>
      <c r="F894" t="s">
        <v>3105</v>
      </c>
      <c r="G894" t="s">
        <v>834</v>
      </c>
      <c r="H894" t="s">
        <v>835</v>
      </c>
      <c r="I894" t="s">
        <v>836</v>
      </c>
      <c r="J894">
        <f t="shared" ca="1" si="54"/>
        <v>14252433</v>
      </c>
      <c r="K894">
        <f t="shared" ca="1" si="55"/>
        <v>1500</v>
      </c>
      <c r="N894" t="str">
        <f t="shared" si="52"/>
        <v>Essex30102DFG Basildon All other mandatory GrantsDFG Related SchemesAdaptations, including statutory DFG grants</v>
      </c>
      <c r="O894" t="s">
        <v>149</v>
      </c>
      <c r="P894" t="s">
        <v>1056</v>
      </c>
      <c r="Q894">
        <v>30102</v>
      </c>
      <c r="R894" t="s">
        <v>2772</v>
      </c>
      <c r="S894" t="s">
        <v>840</v>
      </c>
      <c r="T894" t="s">
        <v>834</v>
      </c>
      <c r="U894" t="s">
        <v>835</v>
      </c>
      <c r="W894">
        <v>85</v>
      </c>
      <c r="X894">
        <v>110</v>
      </c>
      <c r="Y894" t="s">
        <v>836</v>
      </c>
      <c r="Z894" t="s">
        <v>812</v>
      </c>
      <c r="AA894" t="s">
        <v>840</v>
      </c>
      <c r="AB894" t="s">
        <v>793</v>
      </c>
      <c r="AD894" t="s">
        <v>794</v>
      </c>
      <c r="AE894" t="s">
        <v>795</v>
      </c>
      <c r="AF894" t="s">
        <v>840</v>
      </c>
      <c r="AG894" t="s">
        <v>797</v>
      </c>
      <c r="AH894">
        <v>1098660</v>
      </c>
      <c r="AI894">
        <v>1038660</v>
      </c>
      <c r="AJ894">
        <v>8.991335030591624E-2</v>
      </c>
    </row>
    <row r="895" spans="1:36" x14ac:dyDescent="0.3">
      <c r="A895">
        <f>COUNTIF($D$2:D895,D895)</f>
        <v>9</v>
      </c>
      <c r="B895" t="str">
        <f t="shared" si="53"/>
        <v>9Hampshire</v>
      </c>
      <c r="C895" t="s">
        <v>3106</v>
      </c>
      <c r="D895" t="s">
        <v>163</v>
      </c>
      <c r="E895">
        <v>22</v>
      </c>
      <c r="F895" t="s">
        <v>3107</v>
      </c>
      <c r="G895" t="s">
        <v>787</v>
      </c>
      <c r="H895" t="s">
        <v>1195</v>
      </c>
      <c r="I895" t="s">
        <v>789</v>
      </c>
      <c r="J895">
        <f t="shared" ca="1" si="54"/>
        <v>1446620</v>
      </c>
      <c r="K895">
        <f t="shared" ca="1" si="55"/>
        <v>1339</v>
      </c>
      <c r="N895" t="str">
        <f t="shared" si="52"/>
        <v>Essex30103DFG Basildon Discretionary GrantDFG Related SchemesDiscretionary use of DFG</v>
      </c>
      <c r="O895" t="s">
        <v>149</v>
      </c>
      <c r="P895" t="s">
        <v>1056</v>
      </c>
      <c r="Q895">
        <v>30103</v>
      </c>
      <c r="R895" t="s">
        <v>2775</v>
      </c>
      <c r="S895" t="s">
        <v>3108</v>
      </c>
      <c r="T895" t="s">
        <v>834</v>
      </c>
      <c r="U895" t="s">
        <v>1293</v>
      </c>
      <c r="W895">
        <v>8</v>
      </c>
      <c r="X895">
        <v>15</v>
      </c>
      <c r="Y895" t="s">
        <v>836</v>
      </c>
      <c r="Z895" t="s">
        <v>812</v>
      </c>
      <c r="AA895" t="s">
        <v>840</v>
      </c>
      <c r="AB895" t="s">
        <v>793</v>
      </c>
      <c r="AD895" t="s">
        <v>794</v>
      </c>
      <c r="AE895" t="s">
        <v>795</v>
      </c>
      <c r="AF895" t="s">
        <v>840</v>
      </c>
      <c r="AG895" t="s">
        <v>797</v>
      </c>
      <c r="AH895">
        <v>120000</v>
      </c>
      <c r="AI895">
        <v>150000</v>
      </c>
      <c r="AJ895">
        <v>1.1358432327680173E-2</v>
      </c>
    </row>
    <row r="896" spans="1:36" x14ac:dyDescent="0.3">
      <c r="A896">
        <f>COUNTIF($D$2:D896,D896)</f>
        <v>10</v>
      </c>
      <c r="B896" t="str">
        <f t="shared" si="53"/>
        <v>10Hampshire</v>
      </c>
      <c r="C896" t="s">
        <v>3109</v>
      </c>
      <c r="D896" t="s">
        <v>163</v>
      </c>
      <c r="E896">
        <v>23</v>
      </c>
      <c r="F896" t="s">
        <v>3107</v>
      </c>
      <c r="G896" t="s">
        <v>787</v>
      </c>
      <c r="H896" t="s">
        <v>1195</v>
      </c>
      <c r="I896" t="s">
        <v>789</v>
      </c>
      <c r="J896">
        <f t="shared" ca="1" si="54"/>
        <v>1260380</v>
      </c>
      <c r="K896">
        <f t="shared" ca="1" si="55"/>
        <v>1167</v>
      </c>
      <c r="N896" t="str">
        <f t="shared" si="52"/>
        <v>Essex30201DFG Braintree Mandatory DFGDFG Related SchemesAdaptations, including statutory DFG grants</v>
      </c>
      <c r="O896" t="s">
        <v>149</v>
      </c>
      <c r="P896" t="s">
        <v>1056</v>
      </c>
      <c r="Q896">
        <v>30201</v>
      </c>
      <c r="R896" t="s">
        <v>2777</v>
      </c>
      <c r="S896" t="s">
        <v>3110</v>
      </c>
      <c r="T896" t="s">
        <v>834</v>
      </c>
      <c r="U896" t="s">
        <v>835</v>
      </c>
      <c r="W896">
        <v>140</v>
      </c>
      <c r="X896">
        <v>140</v>
      </c>
      <c r="Y896" t="s">
        <v>836</v>
      </c>
      <c r="Z896" t="s">
        <v>812</v>
      </c>
      <c r="AA896" t="s">
        <v>840</v>
      </c>
      <c r="AB896" t="s">
        <v>793</v>
      </c>
      <c r="AD896" t="s">
        <v>794</v>
      </c>
      <c r="AE896" t="s">
        <v>795</v>
      </c>
      <c r="AF896" t="s">
        <v>840</v>
      </c>
      <c r="AG896" t="s">
        <v>797</v>
      </c>
      <c r="AH896">
        <v>866891</v>
      </c>
      <c r="AI896">
        <v>857413</v>
      </c>
      <c r="AJ896">
        <v>7.2538482579067518E-2</v>
      </c>
    </row>
    <row r="897" spans="1:36" x14ac:dyDescent="0.3">
      <c r="A897">
        <f>COUNTIF($D$2:D897,D897)</f>
        <v>11</v>
      </c>
      <c r="B897" t="str">
        <f t="shared" si="53"/>
        <v>11Hampshire</v>
      </c>
      <c r="C897" t="s">
        <v>3111</v>
      </c>
      <c r="D897" t="s">
        <v>163</v>
      </c>
      <c r="E897">
        <v>24</v>
      </c>
      <c r="F897" t="s">
        <v>3112</v>
      </c>
      <c r="G897" t="s">
        <v>877</v>
      </c>
      <c r="H897" t="s">
        <v>878</v>
      </c>
      <c r="I897" t="s">
        <v>879</v>
      </c>
      <c r="J897">
        <f t="shared" ca="1" si="54"/>
        <v>5820952</v>
      </c>
      <c r="K897">
        <f t="shared" ca="1" si="55"/>
        <v>737</v>
      </c>
      <c r="N897" t="str">
        <f t="shared" si="52"/>
        <v>Essex30202DFG Braintree Discretionary DFGDFG Related SchemesDiscretionary use of DFG</v>
      </c>
      <c r="O897" t="s">
        <v>149</v>
      </c>
      <c r="P897" t="s">
        <v>1056</v>
      </c>
      <c r="Q897">
        <v>30202</v>
      </c>
      <c r="R897" t="s">
        <v>2779</v>
      </c>
      <c r="S897" t="s">
        <v>3113</v>
      </c>
      <c r="T897" t="s">
        <v>834</v>
      </c>
      <c r="U897" t="s">
        <v>1293</v>
      </c>
      <c r="W897">
        <v>15</v>
      </c>
      <c r="X897">
        <v>15</v>
      </c>
      <c r="Y897" t="s">
        <v>836</v>
      </c>
      <c r="Z897" t="s">
        <v>812</v>
      </c>
      <c r="AA897" t="s">
        <v>840</v>
      </c>
      <c r="AB897" t="s">
        <v>793</v>
      </c>
      <c r="AD897" t="s">
        <v>794</v>
      </c>
      <c r="AE897" t="s">
        <v>795</v>
      </c>
      <c r="AF897" t="s">
        <v>840</v>
      </c>
      <c r="AG897" t="s">
        <v>797</v>
      </c>
      <c r="AH897">
        <v>176320</v>
      </c>
      <c r="AI897">
        <v>185136</v>
      </c>
      <c r="AJ897">
        <v>1.5205827834940608E-2</v>
      </c>
    </row>
    <row r="898" spans="1:36" x14ac:dyDescent="0.3">
      <c r="A898">
        <f>COUNTIF($D$2:D898,D898)</f>
        <v>12</v>
      </c>
      <c r="B898" t="str">
        <f t="shared" si="53"/>
        <v>12Hampshire</v>
      </c>
      <c r="C898" t="s">
        <v>3114</v>
      </c>
      <c r="D898" t="s">
        <v>163</v>
      </c>
      <c r="E898">
        <v>25</v>
      </c>
      <c r="F898" t="s">
        <v>3112</v>
      </c>
      <c r="G898" t="s">
        <v>877</v>
      </c>
      <c r="H898" t="s">
        <v>878</v>
      </c>
      <c r="I898" t="s">
        <v>879</v>
      </c>
      <c r="J898">
        <f t="shared" ca="1" si="54"/>
        <v>2431287</v>
      </c>
      <c r="K898">
        <f t="shared" ca="1" si="55"/>
        <v>308</v>
      </c>
      <c r="N898" t="str">
        <f t="shared" ref="N898:N961" si="56">O898&amp;Q898&amp;R898&amp;T898&amp;U898</f>
        <v>Essex30203DFG Braintree Handyman ServiceDFG Related SchemesHandyperson services</v>
      </c>
      <c r="O898" t="s">
        <v>149</v>
      </c>
      <c r="P898" t="s">
        <v>1056</v>
      </c>
      <c r="Q898">
        <v>30203</v>
      </c>
      <c r="R898" t="s">
        <v>2782</v>
      </c>
      <c r="S898" t="s">
        <v>3115</v>
      </c>
      <c r="T898" t="s">
        <v>834</v>
      </c>
      <c r="U898" t="s">
        <v>1732</v>
      </c>
      <c r="W898">
        <v>120</v>
      </c>
      <c r="X898">
        <v>120</v>
      </c>
      <c r="Y898" t="s">
        <v>836</v>
      </c>
      <c r="Z898" t="s">
        <v>812</v>
      </c>
      <c r="AA898" t="s">
        <v>840</v>
      </c>
      <c r="AB898" t="s">
        <v>793</v>
      </c>
      <c r="AD898" t="s">
        <v>794</v>
      </c>
      <c r="AE898" t="s">
        <v>795</v>
      </c>
      <c r="AF898" t="s">
        <v>840</v>
      </c>
      <c r="AG898" t="s">
        <v>797</v>
      </c>
      <c r="AH898">
        <v>13230</v>
      </c>
      <c r="AI898">
        <v>13892</v>
      </c>
      <c r="AJ898">
        <v>1.1409755614494137E-3</v>
      </c>
    </row>
    <row r="899" spans="1:36" x14ac:dyDescent="0.3">
      <c r="A899">
        <f>COUNTIF($D$2:D899,D899)</f>
        <v>13</v>
      </c>
      <c r="B899" t="str">
        <f t="shared" ref="B899:B962" si="57">A899&amp;D899</f>
        <v>13Hampshire</v>
      </c>
      <c r="C899" t="s">
        <v>3116</v>
      </c>
      <c r="D899" t="s">
        <v>163</v>
      </c>
      <c r="E899">
        <v>26</v>
      </c>
      <c r="F899" t="s">
        <v>3112</v>
      </c>
      <c r="G899" t="s">
        <v>877</v>
      </c>
      <c r="H899" t="s">
        <v>878</v>
      </c>
      <c r="I899" t="s">
        <v>879</v>
      </c>
      <c r="J899">
        <f t="shared" ref="J899:J962" ca="1" si="58">SUMIF($N:$AI,C899,AH:AH)</f>
        <v>871220</v>
      </c>
      <c r="K899">
        <f t="shared" ref="K899:K962" ca="1" si="59">SUMIF($N:$AI,C899,W:W)</f>
        <v>110</v>
      </c>
      <c r="N899" t="str">
        <f t="shared" si="56"/>
        <v>Essex30301DFG Brentwood Disabled Facilities GrantsDFG Related SchemesAdaptations, including statutory DFG grants</v>
      </c>
      <c r="O899" t="s">
        <v>149</v>
      </c>
      <c r="P899" t="s">
        <v>1056</v>
      </c>
      <c r="Q899">
        <v>30301</v>
      </c>
      <c r="R899" t="s">
        <v>2785</v>
      </c>
      <c r="S899" t="s">
        <v>3117</v>
      </c>
      <c r="T899" t="s">
        <v>834</v>
      </c>
      <c r="U899" t="s">
        <v>835</v>
      </c>
      <c r="W899">
        <v>35</v>
      </c>
      <c r="X899">
        <v>35</v>
      </c>
      <c r="Y899" t="s">
        <v>836</v>
      </c>
      <c r="Z899" t="s">
        <v>3118</v>
      </c>
      <c r="AB899" t="s">
        <v>793</v>
      </c>
      <c r="AD899" t="s">
        <v>794</v>
      </c>
      <c r="AE899" t="s">
        <v>795</v>
      </c>
      <c r="AF899" t="s">
        <v>840</v>
      </c>
      <c r="AG899" t="s">
        <v>797</v>
      </c>
      <c r="AH899">
        <v>420142</v>
      </c>
      <c r="AI899">
        <v>420142</v>
      </c>
      <c r="AJ899">
        <v>3.5349292407527426E-2</v>
      </c>
    </row>
    <row r="900" spans="1:36" x14ac:dyDescent="0.3">
      <c r="A900">
        <f>COUNTIF($D$2:D900,D900)</f>
        <v>1</v>
      </c>
      <c r="B900" t="str">
        <f t="shared" si="57"/>
        <v>1Haringey</v>
      </c>
      <c r="C900" t="s">
        <v>3119</v>
      </c>
      <c r="D900" t="s">
        <v>165</v>
      </c>
      <c r="E900">
        <v>6</v>
      </c>
      <c r="F900" t="s">
        <v>3120</v>
      </c>
      <c r="G900" t="s">
        <v>834</v>
      </c>
      <c r="H900" t="s">
        <v>835</v>
      </c>
      <c r="I900" t="s">
        <v>836</v>
      </c>
      <c r="J900">
        <f t="shared" ca="1" si="58"/>
        <v>2678851</v>
      </c>
      <c r="K900">
        <f t="shared" ca="1" si="59"/>
        <v>380</v>
      </c>
      <c r="N900" t="str">
        <f t="shared" si="56"/>
        <v>Essex30401DFG Castle Point DFG related spendDFG Related SchemesAdaptations, including statutory DFG grants</v>
      </c>
      <c r="O900" t="s">
        <v>149</v>
      </c>
      <c r="P900" t="s">
        <v>1056</v>
      </c>
      <c r="Q900">
        <v>30401</v>
      </c>
      <c r="R900" t="s">
        <v>2788</v>
      </c>
      <c r="S900" t="s">
        <v>3121</v>
      </c>
      <c r="T900" t="s">
        <v>834</v>
      </c>
      <c r="U900" t="s">
        <v>835</v>
      </c>
      <c r="W900">
        <v>40</v>
      </c>
      <c r="X900">
        <v>50</v>
      </c>
      <c r="Y900" t="s">
        <v>836</v>
      </c>
      <c r="Z900" t="s">
        <v>812</v>
      </c>
      <c r="AA900" t="s">
        <v>840</v>
      </c>
      <c r="AB900" t="s">
        <v>793</v>
      </c>
      <c r="AD900" t="s">
        <v>794</v>
      </c>
      <c r="AE900" t="s">
        <v>795</v>
      </c>
      <c r="AF900" t="s">
        <v>840</v>
      </c>
      <c r="AG900" t="s">
        <v>797</v>
      </c>
      <c r="AH900">
        <v>771407</v>
      </c>
      <c r="AI900">
        <v>751407</v>
      </c>
      <c r="AJ900">
        <v>6.4062147283866486E-2</v>
      </c>
    </row>
    <row r="901" spans="1:36" x14ac:dyDescent="0.3">
      <c r="A901">
        <f>COUNTIF($D$2:D901,D901)</f>
        <v>2</v>
      </c>
      <c r="B901" t="str">
        <f t="shared" si="57"/>
        <v>2Haringey</v>
      </c>
      <c r="C901" t="s">
        <v>3122</v>
      </c>
      <c r="D901" t="s">
        <v>165</v>
      </c>
      <c r="E901">
        <v>20</v>
      </c>
      <c r="F901" t="s">
        <v>3123</v>
      </c>
      <c r="G901" t="s">
        <v>842</v>
      </c>
      <c r="H901" t="s">
        <v>843</v>
      </c>
      <c r="I901" t="s">
        <v>844</v>
      </c>
      <c r="J901">
        <f t="shared" ca="1" si="58"/>
        <v>7561793</v>
      </c>
      <c r="K901">
        <f t="shared" ca="1" si="59"/>
        <v>391770</v>
      </c>
      <c r="N901" t="str">
        <f t="shared" si="56"/>
        <v>Essex30402DFG Castle Point DFG related spendDFG Related SchemesDiscretionary use of DFG</v>
      </c>
      <c r="O901" t="s">
        <v>149</v>
      </c>
      <c r="P901" t="s">
        <v>1056</v>
      </c>
      <c r="Q901">
        <v>30402</v>
      </c>
      <c r="R901" t="s">
        <v>2788</v>
      </c>
      <c r="S901" t="s">
        <v>3124</v>
      </c>
      <c r="T901" t="s">
        <v>834</v>
      </c>
      <c r="U901" t="s">
        <v>1293</v>
      </c>
      <c r="W901">
        <v>3</v>
      </c>
      <c r="X901">
        <v>4</v>
      </c>
      <c r="Y901" t="s">
        <v>836</v>
      </c>
      <c r="Z901" t="s">
        <v>812</v>
      </c>
      <c r="AA901" t="s">
        <v>840</v>
      </c>
      <c r="AB901" t="s">
        <v>793</v>
      </c>
      <c r="AD901" t="s">
        <v>794</v>
      </c>
      <c r="AE901" t="s">
        <v>795</v>
      </c>
      <c r="AF901" t="s">
        <v>840</v>
      </c>
      <c r="AG901" t="s">
        <v>797</v>
      </c>
      <c r="AH901">
        <v>60000</v>
      </c>
      <c r="AI901">
        <v>80000</v>
      </c>
      <c r="AJ901">
        <v>5.8895575032415701E-3</v>
      </c>
    </row>
    <row r="902" spans="1:36" x14ac:dyDescent="0.3">
      <c r="A902">
        <f>COUNTIF($D$2:D902,D902)</f>
        <v>3</v>
      </c>
      <c r="B902" t="str">
        <f t="shared" si="57"/>
        <v>3Haringey</v>
      </c>
      <c r="C902" t="s">
        <v>3125</v>
      </c>
      <c r="D902" t="s">
        <v>165</v>
      </c>
      <c r="E902">
        <v>52</v>
      </c>
      <c r="F902" t="s">
        <v>1180</v>
      </c>
      <c r="G902" t="s">
        <v>800</v>
      </c>
      <c r="H902" t="s">
        <v>903</v>
      </c>
      <c r="I902" t="s">
        <v>802</v>
      </c>
      <c r="J902">
        <f t="shared" ca="1" si="58"/>
        <v>693206</v>
      </c>
      <c r="K902">
        <f t="shared" ca="1" si="59"/>
        <v>2353</v>
      </c>
      <c r="N902" t="str">
        <f t="shared" si="56"/>
        <v>Essex30601DFG Colchester Mandatory Disabled Facilities GrantDFG Related SchemesAdaptations, including statutory DFG grants</v>
      </c>
      <c r="O902" t="s">
        <v>149</v>
      </c>
      <c r="P902" t="s">
        <v>1056</v>
      </c>
      <c r="Q902">
        <v>30601</v>
      </c>
      <c r="R902" t="s">
        <v>2793</v>
      </c>
      <c r="S902" t="s">
        <v>3126</v>
      </c>
      <c r="T902" t="s">
        <v>834</v>
      </c>
      <c r="U902" t="s">
        <v>835</v>
      </c>
      <c r="W902">
        <v>60</v>
      </c>
      <c r="X902">
        <v>70</v>
      </c>
      <c r="Y902" t="s">
        <v>836</v>
      </c>
      <c r="Z902" t="s">
        <v>812</v>
      </c>
      <c r="AA902" t="s">
        <v>840</v>
      </c>
      <c r="AB902" t="s">
        <v>793</v>
      </c>
      <c r="AD902" t="s">
        <v>794</v>
      </c>
      <c r="AE902" t="s">
        <v>795</v>
      </c>
      <c r="AF902" t="s">
        <v>840</v>
      </c>
      <c r="AG902" t="s">
        <v>3127</v>
      </c>
      <c r="AH902">
        <v>1176605</v>
      </c>
      <c r="AI902">
        <v>1080605</v>
      </c>
      <c r="AJ902">
        <v>9.4956914942085038E-2</v>
      </c>
    </row>
    <row r="903" spans="1:36" x14ac:dyDescent="0.3">
      <c r="A903">
        <f>COUNTIF($D$2:D903,D903)</f>
        <v>4</v>
      </c>
      <c r="B903" t="str">
        <f t="shared" si="57"/>
        <v>4Haringey</v>
      </c>
      <c r="C903" t="s">
        <v>3128</v>
      </c>
      <c r="D903" t="s">
        <v>165</v>
      </c>
      <c r="E903">
        <v>50</v>
      </c>
      <c r="F903" t="s">
        <v>3129</v>
      </c>
      <c r="G903" t="s">
        <v>800</v>
      </c>
      <c r="H903" t="s">
        <v>903</v>
      </c>
      <c r="I903" t="s">
        <v>802</v>
      </c>
      <c r="J903">
        <f t="shared" ca="1" si="58"/>
        <v>1150000</v>
      </c>
      <c r="K903">
        <f t="shared" ca="1" si="59"/>
        <v>10562</v>
      </c>
      <c r="N903" t="str">
        <f t="shared" si="56"/>
        <v>Essex30602DFG Colchester Fast-Track GrantDFG Related SchemesDiscretionary use of DFG</v>
      </c>
      <c r="O903" t="s">
        <v>149</v>
      </c>
      <c r="P903" t="s">
        <v>1056</v>
      </c>
      <c r="Q903">
        <v>30602</v>
      </c>
      <c r="R903" t="s">
        <v>2796</v>
      </c>
      <c r="S903" t="s">
        <v>3130</v>
      </c>
      <c r="T903" t="s">
        <v>834</v>
      </c>
      <c r="U903" t="s">
        <v>1293</v>
      </c>
      <c r="W903">
        <v>20</v>
      </c>
      <c r="X903">
        <v>25</v>
      </c>
      <c r="Y903" t="s">
        <v>836</v>
      </c>
      <c r="Z903" t="s">
        <v>1061</v>
      </c>
      <c r="AB903" t="s">
        <v>793</v>
      </c>
      <c r="AD903" t="s">
        <v>794</v>
      </c>
      <c r="AE903" t="s">
        <v>795</v>
      </c>
      <c r="AF903" t="s">
        <v>840</v>
      </c>
      <c r="AG903" t="s">
        <v>3127</v>
      </c>
      <c r="AH903">
        <v>160000</v>
      </c>
      <c r="AI903">
        <v>200000</v>
      </c>
      <c r="AJ903">
        <v>1.5144576436906896E-2</v>
      </c>
    </row>
    <row r="904" spans="1:36" x14ac:dyDescent="0.3">
      <c r="A904">
        <f>COUNTIF($D$2:D904,D904)</f>
        <v>5</v>
      </c>
      <c r="B904" t="str">
        <f t="shared" si="57"/>
        <v>5Haringey</v>
      </c>
      <c r="C904" t="s">
        <v>3131</v>
      </c>
      <c r="D904" t="s">
        <v>165</v>
      </c>
      <c r="E904">
        <v>33</v>
      </c>
      <c r="F904" t="s">
        <v>3132</v>
      </c>
      <c r="G904" t="s">
        <v>787</v>
      </c>
      <c r="H904" t="s">
        <v>930</v>
      </c>
      <c r="I904" t="s">
        <v>789</v>
      </c>
      <c r="J904">
        <f t="shared" ca="1" si="58"/>
        <v>3389534</v>
      </c>
      <c r="K904">
        <f t="shared" ca="1" si="59"/>
        <v>2200</v>
      </c>
      <c r="N904" t="str">
        <f t="shared" si="56"/>
        <v>Essex30603DFG Colchester Home Repair LoanDFG Related SchemesDiscretionary use of DFG</v>
      </c>
      <c r="O904" t="s">
        <v>149</v>
      </c>
      <c r="P904" t="s">
        <v>1056</v>
      </c>
      <c r="Q904">
        <v>30603</v>
      </c>
      <c r="R904" t="s">
        <v>2799</v>
      </c>
      <c r="S904" t="s">
        <v>3133</v>
      </c>
      <c r="T904" t="s">
        <v>834</v>
      </c>
      <c r="U904" t="s">
        <v>1293</v>
      </c>
      <c r="W904">
        <v>6</v>
      </c>
      <c r="X904">
        <v>8</v>
      </c>
      <c r="Y904" t="s">
        <v>836</v>
      </c>
      <c r="Z904" t="s">
        <v>823</v>
      </c>
      <c r="AB904" t="s">
        <v>793</v>
      </c>
      <c r="AD904" t="s">
        <v>794</v>
      </c>
      <c r="AE904" t="s">
        <v>795</v>
      </c>
      <c r="AF904" t="s">
        <v>840</v>
      </c>
      <c r="AG904" t="s">
        <v>3127</v>
      </c>
      <c r="AH904">
        <v>27000</v>
      </c>
      <c r="AI904">
        <v>36000</v>
      </c>
      <c r="AJ904">
        <v>2.6503008764587068E-3</v>
      </c>
    </row>
    <row r="905" spans="1:36" x14ac:dyDescent="0.3">
      <c r="A905">
        <f>COUNTIF($D$2:D905,D905)</f>
        <v>6</v>
      </c>
      <c r="B905" t="str">
        <f t="shared" si="57"/>
        <v>6Haringey</v>
      </c>
      <c r="C905" t="s">
        <v>3134</v>
      </c>
      <c r="D905" t="s">
        <v>165</v>
      </c>
      <c r="E905">
        <v>36</v>
      </c>
      <c r="F905" t="s">
        <v>3135</v>
      </c>
      <c r="G905" t="s">
        <v>787</v>
      </c>
      <c r="H905" t="s">
        <v>930</v>
      </c>
      <c r="I905" t="s">
        <v>789</v>
      </c>
      <c r="J905">
        <f t="shared" ca="1" si="58"/>
        <v>183523</v>
      </c>
      <c r="K905">
        <f t="shared" ca="1" si="59"/>
        <v>54</v>
      </c>
      <c r="N905" t="str">
        <f t="shared" si="56"/>
        <v>Essex30604DFG Colchester Disabled Facilities Assistance DFG Related SchemesDiscretionary use of DFG</v>
      </c>
      <c r="O905" t="s">
        <v>149</v>
      </c>
      <c r="P905" t="s">
        <v>1056</v>
      </c>
      <c r="Q905">
        <v>30604</v>
      </c>
      <c r="R905" t="s">
        <v>2802</v>
      </c>
      <c r="S905" t="s">
        <v>3136</v>
      </c>
      <c r="T905" t="s">
        <v>834</v>
      </c>
      <c r="U905" t="s">
        <v>1293</v>
      </c>
      <c r="W905">
        <v>6</v>
      </c>
      <c r="X905">
        <v>8</v>
      </c>
      <c r="Y905" t="s">
        <v>836</v>
      </c>
      <c r="Z905" t="s">
        <v>823</v>
      </c>
      <c r="AB905" t="s">
        <v>793</v>
      </c>
      <c r="AD905" t="s">
        <v>794</v>
      </c>
      <c r="AE905" t="s">
        <v>795</v>
      </c>
      <c r="AF905" t="s">
        <v>840</v>
      </c>
      <c r="AG905" t="s">
        <v>3127</v>
      </c>
      <c r="AH905">
        <v>36000</v>
      </c>
      <c r="AI905">
        <v>48000</v>
      </c>
      <c r="AJ905">
        <v>3.5337345019449424E-3</v>
      </c>
    </row>
    <row r="906" spans="1:36" x14ac:dyDescent="0.3">
      <c r="A906">
        <f>COUNTIF($D$2:D906,D906)</f>
        <v>7</v>
      </c>
      <c r="B906" t="str">
        <f t="shared" si="57"/>
        <v>7Haringey</v>
      </c>
      <c r="C906" t="s">
        <v>3137</v>
      </c>
      <c r="D906" t="s">
        <v>165</v>
      </c>
      <c r="E906">
        <v>39</v>
      </c>
      <c r="F906" t="s">
        <v>3138</v>
      </c>
      <c r="G906" t="s">
        <v>877</v>
      </c>
      <c r="H906" t="s">
        <v>878</v>
      </c>
      <c r="I906" t="s">
        <v>879</v>
      </c>
      <c r="J906">
        <f t="shared" ca="1" si="58"/>
        <v>644736</v>
      </c>
      <c r="K906">
        <f t="shared" ca="1" si="59"/>
        <v>68</v>
      </c>
      <c r="N906" t="str">
        <f t="shared" si="56"/>
        <v>Essex30605DFG Colchester Stairlift Grant DFG Related SchemesDiscretionary use of DFG</v>
      </c>
      <c r="O906" t="s">
        <v>149</v>
      </c>
      <c r="P906" t="s">
        <v>1056</v>
      </c>
      <c r="Q906">
        <v>30605</v>
      </c>
      <c r="R906" t="s">
        <v>2804</v>
      </c>
      <c r="S906" t="s">
        <v>3139</v>
      </c>
      <c r="T906" t="s">
        <v>834</v>
      </c>
      <c r="U906" t="s">
        <v>1293</v>
      </c>
      <c r="W906">
        <v>15</v>
      </c>
      <c r="X906">
        <v>25</v>
      </c>
      <c r="Y906" t="s">
        <v>836</v>
      </c>
      <c r="Z906" t="s">
        <v>823</v>
      </c>
      <c r="AB906" t="s">
        <v>793</v>
      </c>
      <c r="AD906" t="s">
        <v>794</v>
      </c>
      <c r="AE906" t="s">
        <v>795</v>
      </c>
      <c r="AF906" t="s">
        <v>840</v>
      </c>
      <c r="AG906" t="s">
        <v>861</v>
      </c>
      <c r="AH906">
        <v>52500</v>
      </c>
      <c r="AI906">
        <v>87500</v>
      </c>
      <c r="AJ906">
        <v>5.8895575032415701E-3</v>
      </c>
    </row>
    <row r="907" spans="1:36" x14ac:dyDescent="0.3">
      <c r="A907">
        <f>COUNTIF($D$2:D907,D907)</f>
        <v>8</v>
      </c>
      <c r="B907" t="str">
        <f t="shared" si="57"/>
        <v>8Haringey</v>
      </c>
      <c r="C907" t="s">
        <v>3140</v>
      </c>
      <c r="D907" t="s">
        <v>165</v>
      </c>
      <c r="E907">
        <v>40</v>
      </c>
      <c r="F907" t="s">
        <v>3141</v>
      </c>
      <c r="G907" t="s">
        <v>877</v>
      </c>
      <c r="H907" t="s">
        <v>878</v>
      </c>
      <c r="I907" t="s">
        <v>879</v>
      </c>
      <c r="J907">
        <f t="shared" ca="1" si="58"/>
        <v>155000</v>
      </c>
      <c r="K907">
        <f t="shared" ca="1" si="59"/>
        <v>17</v>
      </c>
      <c r="N907" t="str">
        <f t="shared" si="56"/>
        <v>Essex30701DFG Epping Forest Stairlift GrantsDFG Related SchemesDiscretionary use of DFG</v>
      </c>
      <c r="O907" t="s">
        <v>149</v>
      </c>
      <c r="P907" t="s">
        <v>1056</v>
      </c>
      <c r="Q907">
        <v>30701</v>
      </c>
      <c r="R907" t="s">
        <v>2806</v>
      </c>
      <c r="S907" t="s">
        <v>3142</v>
      </c>
      <c r="T907" t="s">
        <v>834</v>
      </c>
      <c r="U907" t="s">
        <v>1293</v>
      </c>
      <c r="W907">
        <v>40</v>
      </c>
      <c r="X907">
        <v>50</v>
      </c>
      <c r="Y907" t="s">
        <v>836</v>
      </c>
      <c r="Z907" t="s">
        <v>812</v>
      </c>
      <c r="AA907" t="s">
        <v>840</v>
      </c>
      <c r="AB907" t="s">
        <v>793</v>
      </c>
      <c r="AD907" t="s">
        <v>794</v>
      </c>
      <c r="AE907" t="s">
        <v>795</v>
      </c>
      <c r="AF907" t="s">
        <v>840</v>
      </c>
      <c r="AG907" t="s">
        <v>3127</v>
      </c>
      <c r="AH907">
        <v>214681</v>
      </c>
      <c r="AI907">
        <v>268351</v>
      </c>
      <c r="AJ907">
        <v>2.0320319570755589E-2</v>
      </c>
    </row>
    <row r="908" spans="1:36" x14ac:dyDescent="0.3">
      <c r="A908">
        <f>COUNTIF($D$2:D908,D908)</f>
        <v>9</v>
      </c>
      <c r="B908" t="str">
        <f t="shared" si="57"/>
        <v>9Haringey</v>
      </c>
      <c r="C908" t="s">
        <v>3143</v>
      </c>
      <c r="D908" t="s">
        <v>165</v>
      </c>
      <c r="E908">
        <v>41</v>
      </c>
      <c r="F908" t="s">
        <v>3144</v>
      </c>
      <c r="G908" t="s">
        <v>877</v>
      </c>
      <c r="H908" t="s">
        <v>995</v>
      </c>
      <c r="I908" t="s">
        <v>879</v>
      </c>
      <c r="J908" t="e">
        <f t="shared" si="58"/>
        <v>#VALUE!</v>
      </c>
      <c r="K908" t="e">
        <f t="shared" si="59"/>
        <v>#VALUE!</v>
      </c>
      <c r="N908" t="str">
        <f t="shared" si="56"/>
        <v>Essex30702DFG Epping Forest DFGDFG Related SchemesAdaptations, including statutory DFG grants</v>
      </c>
      <c r="O908" t="s">
        <v>149</v>
      </c>
      <c r="P908" t="s">
        <v>1056</v>
      </c>
      <c r="Q908">
        <v>30702</v>
      </c>
      <c r="R908" t="s">
        <v>2808</v>
      </c>
      <c r="S908" t="s">
        <v>3145</v>
      </c>
      <c r="T908" t="s">
        <v>834</v>
      </c>
      <c r="U908" t="s">
        <v>835</v>
      </c>
      <c r="W908">
        <v>90</v>
      </c>
      <c r="X908">
        <v>100</v>
      </c>
      <c r="Y908" t="s">
        <v>836</v>
      </c>
      <c r="Z908" t="s">
        <v>812</v>
      </c>
      <c r="AA908" t="s">
        <v>840</v>
      </c>
      <c r="AB908" t="s">
        <v>793</v>
      </c>
      <c r="AD908" t="s">
        <v>794</v>
      </c>
      <c r="AE908" t="s">
        <v>795</v>
      </c>
      <c r="AF908" t="s">
        <v>840</v>
      </c>
      <c r="AG908" t="s">
        <v>3127</v>
      </c>
      <c r="AH908">
        <v>716532</v>
      </c>
      <c r="AI908">
        <v>662862</v>
      </c>
      <c r="AJ908">
        <v>5.8028716304474301E-2</v>
      </c>
    </row>
    <row r="909" spans="1:36" x14ac:dyDescent="0.3">
      <c r="A909">
        <f>COUNTIF($D$2:D909,D909)</f>
        <v>10</v>
      </c>
      <c r="B909" t="str">
        <f t="shared" si="57"/>
        <v>10Haringey</v>
      </c>
      <c r="C909" t="s">
        <v>3146</v>
      </c>
      <c r="D909" t="s">
        <v>165</v>
      </c>
      <c r="E909">
        <v>51</v>
      </c>
      <c r="F909" t="s">
        <v>3147</v>
      </c>
      <c r="G909" t="s">
        <v>877</v>
      </c>
      <c r="H909" t="s">
        <v>878</v>
      </c>
      <c r="I909" t="s">
        <v>879</v>
      </c>
      <c r="J909" t="e">
        <f t="shared" si="58"/>
        <v>#VALUE!</v>
      </c>
      <c r="K909" t="e">
        <f t="shared" si="59"/>
        <v>#VALUE!</v>
      </c>
      <c r="N909" t="str">
        <f t="shared" si="56"/>
        <v>Essex30703DFG Epping Forest DFGDFG Related SchemesDiscretionary use of DFG</v>
      </c>
      <c r="O909" t="s">
        <v>149</v>
      </c>
      <c r="P909" t="s">
        <v>1056</v>
      </c>
      <c r="Q909">
        <v>30703</v>
      </c>
      <c r="R909" t="s">
        <v>2808</v>
      </c>
      <c r="S909" t="s">
        <v>3148</v>
      </c>
      <c r="T909" t="s">
        <v>834</v>
      </c>
      <c r="U909" t="s">
        <v>1293</v>
      </c>
      <c r="W909">
        <v>2</v>
      </c>
      <c r="X909">
        <v>2</v>
      </c>
      <c r="Y909" t="s">
        <v>836</v>
      </c>
      <c r="Z909" t="s">
        <v>812</v>
      </c>
      <c r="AA909" t="s">
        <v>840</v>
      </c>
      <c r="AB909" t="s">
        <v>793</v>
      </c>
      <c r="AD909" t="s">
        <v>794</v>
      </c>
      <c r="AE909" t="s">
        <v>795</v>
      </c>
      <c r="AF909" t="s">
        <v>840</v>
      </c>
      <c r="AG909" t="s">
        <v>3127</v>
      </c>
      <c r="AH909">
        <v>40000</v>
      </c>
      <c r="AI909">
        <v>40000</v>
      </c>
      <c r="AJ909">
        <v>3.3654614304237545E-3</v>
      </c>
    </row>
    <row r="910" spans="1:36" x14ac:dyDescent="0.3">
      <c r="A910">
        <f>COUNTIF($D$2:D910,D910)</f>
        <v>11</v>
      </c>
      <c r="B910" t="str">
        <f t="shared" si="57"/>
        <v>11Haringey</v>
      </c>
      <c r="C910" t="s">
        <v>3149</v>
      </c>
      <c r="D910" t="s">
        <v>165</v>
      </c>
      <c r="E910">
        <v>46</v>
      </c>
      <c r="F910" t="s">
        <v>3150</v>
      </c>
      <c r="G910" t="s">
        <v>811</v>
      </c>
      <c r="H910" t="s">
        <v>812</v>
      </c>
      <c r="I910" t="s">
        <v>813</v>
      </c>
      <c r="J910">
        <f t="shared" ca="1" si="58"/>
        <v>1434916</v>
      </c>
      <c r="K910">
        <f t="shared" ca="1" si="59"/>
        <v>1995</v>
      </c>
      <c r="N910" t="str">
        <f t="shared" si="56"/>
        <v>Essex30801DFG Harlow Fast track GrantsDFG Related SchemesDiscretionary use of DFG</v>
      </c>
      <c r="O910" t="s">
        <v>149</v>
      </c>
      <c r="P910" t="s">
        <v>1056</v>
      </c>
      <c r="Q910">
        <v>30801</v>
      </c>
      <c r="R910" t="s">
        <v>2812</v>
      </c>
      <c r="S910" t="s">
        <v>3151</v>
      </c>
      <c r="T910" t="s">
        <v>834</v>
      </c>
      <c r="U910" t="s">
        <v>1293</v>
      </c>
      <c r="W910">
        <v>65</v>
      </c>
      <c r="X910">
        <v>70</v>
      </c>
      <c r="Y910" t="s">
        <v>836</v>
      </c>
      <c r="Z910" t="s">
        <v>812</v>
      </c>
      <c r="AA910" t="s">
        <v>840</v>
      </c>
      <c r="AB910" t="s">
        <v>793</v>
      </c>
      <c r="AD910" t="s">
        <v>794</v>
      </c>
      <c r="AE910" t="s">
        <v>804</v>
      </c>
      <c r="AF910" t="s">
        <v>840</v>
      </c>
      <c r="AG910" t="s">
        <v>3127</v>
      </c>
      <c r="AH910">
        <v>337642.80000000005</v>
      </c>
      <c r="AI910">
        <v>371407.08000000007</v>
      </c>
      <c r="AJ910">
        <v>2.9828500292332399E-2</v>
      </c>
    </row>
    <row r="911" spans="1:36" x14ac:dyDescent="0.3">
      <c r="A911">
        <f>COUNTIF($D$2:D911,D911)</f>
        <v>12</v>
      </c>
      <c r="B911" t="str">
        <f t="shared" si="57"/>
        <v>12Haringey</v>
      </c>
      <c r="C911" t="s">
        <v>3152</v>
      </c>
      <c r="D911" t="s">
        <v>165</v>
      </c>
      <c r="E911">
        <v>65</v>
      </c>
      <c r="F911" t="s">
        <v>3153</v>
      </c>
      <c r="G911" t="s">
        <v>842</v>
      </c>
      <c r="H911" t="s">
        <v>856</v>
      </c>
      <c r="I911" t="s">
        <v>844</v>
      </c>
      <c r="J911">
        <f t="shared" ca="1" si="58"/>
        <v>190762</v>
      </c>
      <c r="K911">
        <f t="shared" ca="1" si="59"/>
        <v>9884</v>
      </c>
      <c r="N911" t="str">
        <f t="shared" si="56"/>
        <v>Essex30802DFG Harlow Small Works GrantsDFG Related SchemesDiscretionary use of DFG</v>
      </c>
      <c r="O911" t="s">
        <v>149</v>
      </c>
      <c r="P911" t="s">
        <v>1056</v>
      </c>
      <c r="Q911">
        <v>30802</v>
      </c>
      <c r="R911" t="s">
        <v>2815</v>
      </c>
      <c r="S911" t="s">
        <v>3154</v>
      </c>
      <c r="T911" t="s">
        <v>834</v>
      </c>
      <c r="U911" t="s">
        <v>1293</v>
      </c>
      <c r="W911">
        <v>6</v>
      </c>
      <c r="X911">
        <v>6</v>
      </c>
      <c r="Y911" t="s">
        <v>836</v>
      </c>
      <c r="Z911" t="s">
        <v>812</v>
      </c>
      <c r="AA911" t="s">
        <v>840</v>
      </c>
      <c r="AB911" t="s">
        <v>793</v>
      </c>
      <c r="AD911" t="s">
        <v>794</v>
      </c>
      <c r="AE911" t="s">
        <v>804</v>
      </c>
      <c r="AF911" t="s">
        <v>840</v>
      </c>
      <c r="AG911" t="s">
        <v>3127</v>
      </c>
      <c r="AH911">
        <v>26212.2</v>
      </c>
      <c r="AI911">
        <v>28833.42</v>
      </c>
      <c r="AJ911">
        <v>2.3156738877970302E-3</v>
      </c>
    </row>
    <row r="912" spans="1:36" x14ac:dyDescent="0.3">
      <c r="A912">
        <f>COUNTIF($D$2:D912,D912)</f>
        <v>1</v>
      </c>
      <c r="B912" t="str">
        <f t="shared" si="57"/>
        <v>1Harrow</v>
      </c>
      <c r="C912" t="s">
        <v>3155</v>
      </c>
      <c r="D912" t="s">
        <v>167</v>
      </c>
      <c r="E912">
        <v>3</v>
      </c>
      <c r="F912" t="s">
        <v>1494</v>
      </c>
      <c r="G912" t="s">
        <v>811</v>
      </c>
      <c r="H912" t="s">
        <v>812</v>
      </c>
      <c r="I912" t="s">
        <v>813</v>
      </c>
      <c r="J912">
        <f t="shared" ca="1" si="58"/>
        <v>1803032</v>
      </c>
      <c r="K912">
        <f t="shared" ca="1" si="59"/>
        <v>3896</v>
      </c>
      <c r="N912" t="str">
        <f t="shared" si="56"/>
        <v>Essex30803DFG Harlow DFGDFG Related SchemesAdaptations, including statutory DFG grants</v>
      </c>
      <c r="O912" t="s">
        <v>149</v>
      </c>
      <c r="P912" t="s">
        <v>1056</v>
      </c>
      <c r="Q912">
        <v>30803</v>
      </c>
      <c r="R912" t="s">
        <v>2817</v>
      </c>
      <c r="S912" t="s">
        <v>3156</v>
      </c>
      <c r="T912" t="s">
        <v>834</v>
      </c>
      <c r="U912" t="s">
        <v>835</v>
      </c>
      <c r="W912">
        <v>45</v>
      </c>
      <c r="X912">
        <v>48</v>
      </c>
      <c r="Y912" t="s">
        <v>836</v>
      </c>
      <c r="Z912" t="s">
        <v>812</v>
      </c>
      <c r="AA912" t="s">
        <v>840</v>
      </c>
      <c r="AB912" t="s">
        <v>793</v>
      </c>
      <c r="AD912" t="s">
        <v>794</v>
      </c>
      <c r="AE912" t="s">
        <v>804</v>
      </c>
      <c r="AF912" t="s">
        <v>840</v>
      </c>
      <c r="AG912" t="s">
        <v>3127</v>
      </c>
      <c r="AH912">
        <v>443204.4</v>
      </c>
      <c r="AI912">
        <v>396962.16500000015</v>
      </c>
      <c r="AJ912">
        <v>3.5344352120488913E-2</v>
      </c>
    </row>
    <row r="913" spans="1:36" x14ac:dyDescent="0.3">
      <c r="A913">
        <f>COUNTIF($D$2:D913,D913)</f>
        <v>2</v>
      </c>
      <c r="B913" t="str">
        <f t="shared" si="57"/>
        <v>2Harrow</v>
      </c>
      <c r="C913" t="s">
        <v>3157</v>
      </c>
      <c r="D913" t="s">
        <v>167</v>
      </c>
      <c r="E913">
        <v>8</v>
      </c>
      <c r="F913" t="s">
        <v>3158</v>
      </c>
      <c r="G913" t="s">
        <v>834</v>
      </c>
      <c r="H913" t="s">
        <v>835</v>
      </c>
      <c r="I913" t="s">
        <v>836</v>
      </c>
      <c r="J913">
        <f t="shared" ca="1" si="58"/>
        <v>1721553</v>
      </c>
      <c r="K913">
        <f t="shared" ca="1" si="59"/>
        <v>170</v>
      </c>
      <c r="N913" t="str">
        <f t="shared" si="56"/>
        <v>Essex30804DFG Harlow Discretionary DFGDFG Related SchemesDiscretionary use of DFG</v>
      </c>
      <c r="O913" t="s">
        <v>149</v>
      </c>
      <c r="P913" t="s">
        <v>1056</v>
      </c>
      <c r="Q913">
        <v>30804</v>
      </c>
      <c r="R913" t="s">
        <v>2820</v>
      </c>
      <c r="S913" t="s">
        <v>3159</v>
      </c>
      <c r="T913" t="s">
        <v>834</v>
      </c>
      <c r="U913" t="s">
        <v>1293</v>
      </c>
      <c r="W913">
        <v>4</v>
      </c>
      <c r="X913">
        <v>6</v>
      </c>
      <c r="Y913" t="s">
        <v>836</v>
      </c>
      <c r="Z913" t="s">
        <v>812</v>
      </c>
      <c r="AA913" t="s">
        <v>840</v>
      </c>
      <c r="AB913" t="s">
        <v>793</v>
      </c>
      <c r="AD913" t="s">
        <v>794</v>
      </c>
      <c r="AE913" t="s">
        <v>804</v>
      </c>
      <c r="AF913" t="s">
        <v>840</v>
      </c>
      <c r="AG913" t="s">
        <v>3127</v>
      </c>
      <c r="AH913">
        <v>67716.25</v>
      </c>
      <c r="AI913">
        <v>74487.875</v>
      </c>
      <c r="AJ913">
        <v>5.98228122418323E-3</v>
      </c>
    </row>
    <row r="914" spans="1:36" x14ac:dyDescent="0.3">
      <c r="A914">
        <f>COUNTIF($D$2:D914,D914)</f>
        <v>3</v>
      </c>
      <c r="B914" t="str">
        <f t="shared" si="57"/>
        <v>3Harrow</v>
      </c>
      <c r="C914" t="s">
        <v>3160</v>
      </c>
      <c r="D914" t="s">
        <v>167</v>
      </c>
      <c r="E914">
        <v>9</v>
      </c>
      <c r="F914" t="s">
        <v>3161</v>
      </c>
      <c r="G914" t="s">
        <v>787</v>
      </c>
      <c r="H914" t="s">
        <v>788</v>
      </c>
      <c r="I914" t="s">
        <v>789</v>
      </c>
      <c r="J914">
        <f t="shared" ca="1" si="58"/>
        <v>1647488.8216827</v>
      </c>
      <c r="K914">
        <f t="shared" ca="1" si="59"/>
        <v>648</v>
      </c>
      <c r="N914" t="str">
        <f t="shared" si="56"/>
        <v>Essex30805DFG Harlow OT ServicesDFG Related SchemesOther</v>
      </c>
      <c r="O914" t="s">
        <v>149</v>
      </c>
      <c r="P914" t="s">
        <v>1056</v>
      </c>
      <c r="Q914">
        <v>30805</v>
      </c>
      <c r="R914" t="s">
        <v>2823</v>
      </c>
      <c r="S914" t="s">
        <v>3162</v>
      </c>
      <c r="T914" t="s">
        <v>834</v>
      </c>
      <c r="U914" t="s">
        <v>812</v>
      </c>
      <c r="V914" t="s">
        <v>3163</v>
      </c>
      <c r="W914">
        <v>1</v>
      </c>
      <c r="X914">
        <v>1</v>
      </c>
      <c r="Y914" t="s">
        <v>836</v>
      </c>
      <c r="Z914" t="s">
        <v>792</v>
      </c>
      <c r="AB914" t="s">
        <v>793</v>
      </c>
      <c r="AD914" t="s">
        <v>794</v>
      </c>
      <c r="AE914" t="s">
        <v>804</v>
      </c>
      <c r="AF914" t="s">
        <v>840</v>
      </c>
      <c r="AG914" t="s">
        <v>3127</v>
      </c>
      <c r="AH914">
        <v>30851.1</v>
      </c>
      <c r="AI914">
        <v>33936.210000000006</v>
      </c>
      <c r="AJ914">
        <v>2.7254899123238408E-3</v>
      </c>
    </row>
    <row r="915" spans="1:36" x14ac:dyDescent="0.3">
      <c r="A915">
        <f>COUNTIF($D$2:D915,D915)</f>
        <v>4</v>
      </c>
      <c r="B915" t="str">
        <f t="shared" si="57"/>
        <v>4Harrow</v>
      </c>
      <c r="C915" t="s">
        <v>3164</v>
      </c>
      <c r="D915" t="s">
        <v>167</v>
      </c>
      <c r="E915">
        <v>17</v>
      </c>
      <c r="F915" t="s">
        <v>1051</v>
      </c>
      <c r="G915" t="s">
        <v>800</v>
      </c>
      <c r="H915" t="s">
        <v>850</v>
      </c>
      <c r="I915" t="s">
        <v>802</v>
      </c>
      <c r="J915">
        <f t="shared" ca="1" si="58"/>
        <v>1239323</v>
      </c>
      <c r="K915">
        <f t="shared" ca="1" si="59"/>
        <v>6300</v>
      </c>
      <c r="N915" t="str">
        <f t="shared" si="56"/>
        <v>Essex30901DFG Maldon Mandatory DFG related schemesDFG Related SchemesAdaptations, including statutory DFG grants</v>
      </c>
      <c r="O915" t="s">
        <v>149</v>
      </c>
      <c r="P915" t="s">
        <v>1056</v>
      </c>
      <c r="Q915">
        <v>30901</v>
      </c>
      <c r="R915" t="s">
        <v>2826</v>
      </c>
      <c r="S915" t="s">
        <v>3165</v>
      </c>
      <c r="T915" t="s">
        <v>834</v>
      </c>
      <c r="U915" t="s">
        <v>835</v>
      </c>
      <c r="W915">
        <v>100</v>
      </c>
      <c r="X915">
        <v>125</v>
      </c>
      <c r="Y915" t="s">
        <v>836</v>
      </c>
      <c r="Z915" t="s">
        <v>812</v>
      </c>
      <c r="AA915" t="s">
        <v>840</v>
      </c>
      <c r="AB915" t="s">
        <v>793</v>
      </c>
      <c r="AD915" t="s">
        <v>794</v>
      </c>
      <c r="AE915" t="s">
        <v>795</v>
      </c>
      <c r="AF915" t="s">
        <v>840</v>
      </c>
      <c r="AG915" t="s">
        <v>3127</v>
      </c>
      <c r="AH915">
        <v>612131.75</v>
      </c>
      <c r="AI915">
        <v>612131.75</v>
      </c>
      <c r="AJ915">
        <v>5.15026448740699E-2</v>
      </c>
    </row>
    <row r="916" spans="1:36" x14ac:dyDescent="0.3">
      <c r="A916">
        <f>COUNTIF($D$2:D916,D916)</f>
        <v>5</v>
      </c>
      <c r="B916" t="str">
        <f t="shared" si="57"/>
        <v>5Harrow</v>
      </c>
      <c r="C916" t="s">
        <v>3166</v>
      </c>
      <c r="D916" t="s">
        <v>167</v>
      </c>
      <c r="E916">
        <v>23</v>
      </c>
      <c r="F916" t="s">
        <v>3167</v>
      </c>
      <c r="G916" t="s">
        <v>842</v>
      </c>
      <c r="H916" t="s">
        <v>843</v>
      </c>
      <c r="I916" t="s">
        <v>844</v>
      </c>
      <c r="J916">
        <f t="shared" ca="1" si="58"/>
        <v>2348966</v>
      </c>
      <c r="K916">
        <f t="shared" ca="1" si="59"/>
        <v>134611</v>
      </c>
      <c r="N916" t="str">
        <f t="shared" si="56"/>
        <v>Essex31001DFG Rochford Statutory SpendDFG Related SchemesAdaptations, including statutory DFG grants</v>
      </c>
      <c r="O916" t="s">
        <v>149</v>
      </c>
      <c r="P916" t="s">
        <v>1056</v>
      </c>
      <c r="Q916">
        <v>31001</v>
      </c>
      <c r="R916" t="s">
        <v>2828</v>
      </c>
      <c r="S916" t="s">
        <v>3168</v>
      </c>
      <c r="T916" t="s">
        <v>834</v>
      </c>
      <c r="U916" t="s">
        <v>835</v>
      </c>
      <c r="W916">
        <v>90</v>
      </c>
      <c r="X916">
        <v>90</v>
      </c>
      <c r="Y916" t="s">
        <v>836</v>
      </c>
      <c r="Z916" t="s">
        <v>812</v>
      </c>
      <c r="AA916" t="s">
        <v>840</v>
      </c>
      <c r="AB916" t="s">
        <v>793</v>
      </c>
      <c r="AD916" t="s">
        <v>794</v>
      </c>
      <c r="AE916" t="s">
        <v>795</v>
      </c>
      <c r="AF916" t="s">
        <v>840</v>
      </c>
      <c r="AG916" t="s">
        <v>3127</v>
      </c>
      <c r="AH916">
        <v>540058.75</v>
      </c>
      <c r="AI916">
        <v>540058.75</v>
      </c>
      <c r="AJ916">
        <v>4.5438672332196624E-2</v>
      </c>
    </row>
    <row r="917" spans="1:36" x14ac:dyDescent="0.3">
      <c r="A917">
        <f>COUNTIF($D$2:D917,D917)</f>
        <v>6</v>
      </c>
      <c r="B917" t="str">
        <f t="shared" si="57"/>
        <v>6Harrow</v>
      </c>
      <c r="C917" t="s">
        <v>3169</v>
      </c>
      <c r="D917" t="s">
        <v>167</v>
      </c>
      <c r="E917">
        <v>24</v>
      </c>
      <c r="F917" t="s">
        <v>3170</v>
      </c>
      <c r="G917" t="s">
        <v>806</v>
      </c>
      <c r="H917" t="s">
        <v>807</v>
      </c>
      <c r="I917" t="s">
        <v>808</v>
      </c>
      <c r="J917">
        <f t="shared" ca="1" si="58"/>
        <v>3315022</v>
      </c>
      <c r="K917">
        <f t="shared" ca="1" si="59"/>
        <v>66</v>
      </c>
      <c r="N917" t="str">
        <f t="shared" si="56"/>
        <v>Essex31101DFG Tendring DFGDFG Related SchemesAdaptations, including statutory DFG grants</v>
      </c>
      <c r="O917" t="s">
        <v>149</v>
      </c>
      <c r="P917" t="s">
        <v>1056</v>
      </c>
      <c r="Q917">
        <v>31101</v>
      </c>
      <c r="R917" t="s">
        <v>2832</v>
      </c>
      <c r="S917" t="s">
        <v>3171</v>
      </c>
      <c r="T917" t="s">
        <v>834</v>
      </c>
      <c r="U917" t="s">
        <v>835</v>
      </c>
      <c r="W917">
        <v>175</v>
      </c>
      <c r="X917">
        <v>200</v>
      </c>
      <c r="Y917" t="s">
        <v>836</v>
      </c>
      <c r="Z917" t="s">
        <v>812</v>
      </c>
      <c r="AA917" t="s">
        <v>840</v>
      </c>
      <c r="AB917" t="s">
        <v>793</v>
      </c>
      <c r="AD917" t="s">
        <v>794</v>
      </c>
      <c r="AE917" t="s">
        <v>795</v>
      </c>
      <c r="AF917" t="s">
        <v>840</v>
      </c>
      <c r="AG917" t="s">
        <v>797</v>
      </c>
      <c r="AH917">
        <v>1704960.75</v>
      </c>
      <c r="AI917">
        <v>1541190.75</v>
      </c>
      <c r="AJ917">
        <v>0.1365599708820277</v>
      </c>
    </row>
    <row r="918" spans="1:36" x14ac:dyDescent="0.3">
      <c r="A918">
        <f>COUNTIF($D$2:D918,D918)</f>
        <v>7</v>
      </c>
      <c r="B918" t="str">
        <f t="shared" si="57"/>
        <v>7Harrow</v>
      </c>
      <c r="C918" t="s">
        <v>3172</v>
      </c>
      <c r="D918" t="s">
        <v>167</v>
      </c>
      <c r="E918">
        <v>26</v>
      </c>
      <c r="F918" t="s">
        <v>677</v>
      </c>
      <c r="G918" t="s">
        <v>806</v>
      </c>
      <c r="H918" t="s">
        <v>807</v>
      </c>
      <c r="I918" t="s">
        <v>808</v>
      </c>
      <c r="J918">
        <f t="shared" ca="1" si="58"/>
        <v>372000</v>
      </c>
      <c r="K918">
        <f t="shared" ca="1" si="59"/>
        <v>8</v>
      </c>
      <c r="N918" t="str">
        <f t="shared" si="56"/>
        <v>Essex31102DFG Tendring Stairlift GrantDFG Related SchemesDiscretionary use of DFG</v>
      </c>
      <c r="O918" t="s">
        <v>149</v>
      </c>
      <c r="P918" t="s">
        <v>1056</v>
      </c>
      <c r="Q918">
        <v>31102</v>
      </c>
      <c r="R918" t="s">
        <v>2835</v>
      </c>
      <c r="S918" t="s">
        <v>3173</v>
      </c>
      <c r="T918" t="s">
        <v>834</v>
      </c>
      <c r="U918" t="s">
        <v>1293</v>
      </c>
      <c r="W918">
        <v>40</v>
      </c>
      <c r="X918">
        <v>50</v>
      </c>
      <c r="Y918" t="s">
        <v>836</v>
      </c>
      <c r="Z918" t="s">
        <v>812</v>
      </c>
      <c r="AA918" t="s">
        <v>840</v>
      </c>
      <c r="AB918" t="s">
        <v>793</v>
      </c>
      <c r="AD918" t="s">
        <v>794</v>
      </c>
      <c r="AE918" t="s">
        <v>795</v>
      </c>
      <c r="AF918" t="s">
        <v>840</v>
      </c>
      <c r="AG918" t="s">
        <v>797</v>
      </c>
      <c r="AH918">
        <v>140000</v>
      </c>
      <c r="AI918">
        <v>175000</v>
      </c>
      <c r="AJ918">
        <v>1.3251504382293533E-2</v>
      </c>
    </row>
    <row r="919" spans="1:36" x14ac:dyDescent="0.3">
      <c r="A919">
        <f>COUNTIF($D$2:D919,D919)</f>
        <v>8</v>
      </c>
      <c r="B919" t="str">
        <f t="shared" si="57"/>
        <v>8Harrow</v>
      </c>
      <c r="C919" t="s">
        <v>3174</v>
      </c>
      <c r="D919" t="s">
        <v>167</v>
      </c>
      <c r="E919">
        <v>27</v>
      </c>
      <c r="F919" t="s">
        <v>677</v>
      </c>
      <c r="G919" t="s">
        <v>806</v>
      </c>
      <c r="H919" t="s">
        <v>807</v>
      </c>
      <c r="I919" t="s">
        <v>808</v>
      </c>
      <c r="J919">
        <f t="shared" ca="1" si="58"/>
        <v>140211</v>
      </c>
      <c r="K919">
        <f t="shared" ca="1" si="59"/>
        <v>3</v>
      </c>
      <c r="N919" t="str">
        <f t="shared" si="56"/>
        <v>Essex31103DFG Tendring ERGDFG Related SchemesDiscretionary use of DFG</v>
      </c>
      <c r="O919" t="s">
        <v>149</v>
      </c>
      <c r="P919" t="s">
        <v>1056</v>
      </c>
      <c r="Q919">
        <v>31103</v>
      </c>
      <c r="R919" t="s">
        <v>2839</v>
      </c>
      <c r="S919" t="s">
        <v>3175</v>
      </c>
      <c r="T919" t="s">
        <v>834</v>
      </c>
      <c r="U919" t="s">
        <v>1293</v>
      </c>
      <c r="W919">
        <v>50</v>
      </c>
      <c r="X919">
        <v>75</v>
      </c>
      <c r="Y919" t="s">
        <v>836</v>
      </c>
      <c r="Z919" t="s">
        <v>812</v>
      </c>
      <c r="AA919" t="s">
        <v>840</v>
      </c>
      <c r="AB919" t="s">
        <v>793</v>
      </c>
      <c r="AD919" t="s">
        <v>794</v>
      </c>
      <c r="AE919" t="s">
        <v>795</v>
      </c>
      <c r="AF919" t="s">
        <v>840</v>
      </c>
      <c r="AG919" t="s">
        <v>797</v>
      </c>
      <c r="AH919">
        <v>250000</v>
      </c>
      <c r="AI919">
        <v>375000</v>
      </c>
      <c r="AJ919">
        <v>2.6292667425185583E-2</v>
      </c>
    </row>
    <row r="920" spans="1:36" x14ac:dyDescent="0.3">
      <c r="A920">
        <f>COUNTIF($D$2:D920,D920)</f>
        <v>9</v>
      </c>
      <c r="B920" t="str">
        <f t="shared" si="57"/>
        <v>9Harrow</v>
      </c>
      <c r="C920" t="s">
        <v>3176</v>
      </c>
      <c r="D920" t="s">
        <v>167</v>
      </c>
      <c r="E920">
        <v>30</v>
      </c>
      <c r="F920" t="s">
        <v>677</v>
      </c>
      <c r="G920" t="s">
        <v>787</v>
      </c>
      <c r="H920" t="s">
        <v>788</v>
      </c>
      <c r="I920" t="s">
        <v>789</v>
      </c>
      <c r="J920">
        <f t="shared" ca="1" si="58"/>
        <v>359000</v>
      </c>
      <c r="K920">
        <f t="shared" ca="1" si="59"/>
        <v>400</v>
      </c>
      <c r="N920" t="str">
        <f t="shared" si="56"/>
        <v>Essex31104DFG Tendring DFADFG Related SchemesDiscretionary use of DFG</v>
      </c>
      <c r="O920" t="s">
        <v>149</v>
      </c>
      <c r="P920" t="s">
        <v>1056</v>
      </c>
      <c r="Q920">
        <v>31104</v>
      </c>
      <c r="R920" t="s">
        <v>2842</v>
      </c>
      <c r="S920" t="s">
        <v>3177</v>
      </c>
      <c r="T920" t="s">
        <v>834</v>
      </c>
      <c r="U920" t="s">
        <v>1293</v>
      </c>
      <c r="W920">
        <v>1</v>
      </c>
      <c r="X920">
        <v>1</v>
      </c>
      <c r="Y920" t="s">
        <v>836</v>
      </c>
      <c r="Z920" t="s">
        <v>812</v>
      </c>
      <c r="AA920" t="s">
        <v>840</v>
      </c>
      <c r="AB920" t="s">
        <v>793</v>
      </c>
      <c r="AD920" t="s">
        <v>794</v>
      </c>
      <c r="AE920" t="s">
        <v>795</v>
      </c>
      <c r="AF920" t="s">
        <v>840</v>
      </c>
      <c r="AG920" t="s">
        <v>797</v>
      </c>
      <c r="AH920">
        <v>15000</v>
      </c>
      <c r="AI920">
        <v>15000</v>
      </c>
      <c r="AJ920">
        <v>1.262048036408908E-3</v>
      </c>
    </row>
    <row r="921" spans="1:36" x14ac:dyDescent="0.3">
      <c r="A921">
        <f>COUNTIF($D$2:D921,D921)</f>
        <v>10</v>
      </c>
      <c r="B921" t="str">
        <f t="shared" si="57"/>
        <v>10Harrow</v>
      </c>
      <c r="C921" t="s">
        <v>3178</v>
      </c>
      <c r="D921" t="s">
        <v>167</v>
      </c>
      <c r="E921">
        <v>31</v>
      </c>
      <c r="F921" t="s">
        <v>677</v>
      </c>
      <c r="G921" t="s">
        <v>842</v>
      </c>
      <c r="H921" t="s">
        <v>843</v>
      </c>
      <c r="I921" t="s">
        <v>844</v>
      </c>
      <c r="J921">
        <f t="shared" ca="1" si="58"/>
        <v>245218</v>
      </c>
      <c r="K921">
        <f t="shared" ca="1" si="59"/>
        <v>14000</v>
      </c>
      <c r="N921" t="str">
        <f t="shared" si="56"/>
        <v>Essex31105DFG Tendring DFG Top UpDFG Related SchemesDiscretionary use of DFG</v>
      </c>
      <c r="O921" t="s">
        <v>149</v>
      </c>
      <c r="P921" t="s">
        <v>1056</v>
      </c>
      <c r="Q921">
        <v>31105</v>
      </c>
      <c r="R921" t="s">
        <v>2845</v>
      </c>
      <c r="S921" t="s">
        <v>3179</v>
      </c>
      <c r="T921" t="s">
        <v>834</v>
      </c>
      <c r="U921" t="s">
        <v>1293</v>
      </c>
      <c r="W921">
        <v>1</v>
      </c>
      <c r="X921">
        <v>1</v>
      </c>
      <c r="Y921" t="s">
        <v>836</v>
      </c>
      <c r="Z921" t="s">
        <v>812</v>
      </c>
      <c r="AA921" t="s">
        <v>840</v>
      </c>
      <c r="AB921" t="s">
        <v>793</v>
      </c>
      <c r="AD921" t="s">
        <v>794</v>
      </c>
      <c r="AE921" t="s">
        <v>795</v>
      </c>
      <c r="AF921" t="s">
        <v>840</v>
      </c>
      <c r="AG921" t="s">
        <v>797</v>
      </c>
      <c r="AH921">
        <v>30000</v>
      </c>
      <c r="AI921">
        <v>30000</v>
      </c>
      <c r="AJ921">
        <v>2.524096072817816E-3</v>
      </c>
    </row>
    <row r="922" spans="1:36" x14ac:dyDescent="0.3">
      <c r="A922">
        <f>COUNTIF($D$2:D922,D922)</f>
        <v>11</v>
      </c>
      <c r="B922" t="str">
        <f t="shared" si="57"/>
        <v>11Harrow</v>
      </c>
      <c r="C922" t="s">
        <v>3180</v>
      </c>
      <c r="D922" t="s">
        <v>167</v>
      </c>
      <c r="E922">
        <v>32</v>
      </c>
      <c r="F922" t="s">
        <v>677</v>
      </c>
      <c r="G922" t="s">
        <v>806</v>
      </c>
      <c r="H922" t="s">
        <v>807</v>
      </c>
      <c r="I922" t="s">
        <v>808</v>
      </c>
      <c r="J922">
        <f t="shared" ca="1" si="58"/>
        <v>330000</v>
      </c>
      <c r="K922">
        <f t="shared" ca="1" si="59"/>
        <v>6</v>
      </c>
      <c r="N922" t="str">
        <f t="shared" si="56"/>
        <v>Essex31201DFG Uttlesford DFGDFG Related SchemesAdaptations, including statutory DFG grants</v>
      </c>
      <c r="O922" t="s">
        <v>149</v>
      </c>
      <c r="P922" t="s">
        <v>1056</v>
      </c>
      <c r="Q922">
        <v>31201</v>
      </c>
      <c r="R922" t="s">
        <v>2848</v>
      </c>
      <c r="S922" t="s">
        <v>3181</v>
      </c>
      <c r="T922" t="s">
        <v>834</v>
      </c>
      <c r="U922" t="s">
        <v>835</v>
      </c>
      <c r="W922">
        <v>33</v>
      </c>
      <c r="X922">
        <v>35</v>
      </c>
      <c r="Y922" t="s">
        <v>836</v>
      </c>
      <c r="Z922" t="s">
        <v>812</v>
      </c>
      <c r="AA922" t="s">
        <v>840</v>
      </c>
      <c r="AB922" t="s">
        <v>793</v>
      </c>
      <c r="AD922" t="s">
        <v>794</v>
      </c>
      <c r="AE922" t="s">
        <v>795</v>
      </c>
      <c r="AF922" t="s">
        <v>840</v>
      </c>
      <c r="AG922" t="s">
        <v>3127</v>
      </c>
      <c r="AH922">
        <v>225575.75</v>
      </c>
      <c r="AI922">
        <v>215575.75</v>
      </c>
      <c r="AJ922">
        <v>1.8558479477794813E-2</v>
      </c>
    </row>
    <row r="923" spans="1:36" x14ac:dyDescent="0.3">
      <c r="A923">
        <f>COUNTIF($D$2:D923,D923)</f>
        <v>1</v>
      </c>
      <c r="B923" t="str">
        <f t="shared" si="57"/>
        <v>1Hartlepool</v>
      </c>
      <c r="C923" t="s">
        <v>3182</v>
      </c>
      <c r="D923" t="s">
        <v>169</v>
      </c>
      <c r="E923">
        <v>2</v>
      </c>
      <c r="F923" t="s">
        <v>1578</v>
      </c>
      <c r="G923" t="s">
        <v>800</v>
      </c>
      <c r="H923" t="s">
        <v>850</v>
      </c>
      <c r="I923" t="s">
        <v>802</v>
      </c>
      <c r="J923">
        <f t="shared" ca="1" si="58"/>
        <v>395623</v>
      </c>
      <c r="K923">
        <f t="shared" ca="1" si="59"/>
        <v>3100</v>
      </c>
      <c r="N923" t="str">
        <f t="shared" si="56"/>
        <v>Essex31202DFG Uttlesford DFGDFG Related SchemesDiscretionary use of DFG</v>
      </c>
      <c r="O923" t="s">
        <v>149</v>
      </c>
      <c r="P923" t="s">
        <v>1056</v>
      </c>
      <c r="Q923">
        <v>31202</v>
      </c>
      <c r="R923" t="s">
        <v>2848</v>
      </c>
      <c r="S923" t="s">
        <v>3183</v>
      </c>
      <c r="T923" t="s">
        <v>834</v>
      </c>
      <c r="U923" t="s">
        <v>1293</v>
      </c>
      <c r="W923">
        <v>2</v>
      </c>
      <c r="X923">
        <v>4</v>
      </c>
      <c r="Y923" t="s">
        <v>836</v>
      </c>
      <c r="Z923" t="s">
        <v>812</v>
      </c>
      <c r="AA923" t="s">
        <v>840</v>
      </c>
      <c r="AB923" t="s">
        <v>793</v>
      </c>
      <c r="AD923" t="s">
        <v>794</v>
      </c>
      <c r="AE923" t="s">
        <v>795</v>
      </c>
      <c r="AF923" t="s">
        <v>840</v>
      </c>
      <c r="AG923" t="s">
        <v>3127</v>
      </c>
      <c r="AH923">
        <v>10000</v>
      </c>
      <c r="AI923">
        <v>20000</v>
      </c>
      <c r="AJ923">
        <v>1.262048036408908E-3</v>
      </c>
    </row>
    <row r="924" spans="1:36" x14ac:dyDescent="0.3">
      <c r="A924">
        <f>COUNTIF($D$2:D924,D924)</f>
        <v>2</v>
      </c>
      <c r="B924" t="str">
        <f t="shared" si="57"/>
        <v>2Hartlepool</v>
      </c>
      <c r="C924" t="s">
        <v>3184</v>
      </c>
      <c r="D924" t="s">
        <v>169</v>
      </c>
      <c r="E924">
        <v>8</v>
      </c>
      <c r="F924" t="s">
        <v>3185</v>
      </c>
      <c r="G924" t="s">
        <v>787</v>
      </c>
      <c r="H924" t="s">
        <v>1551</v>
      </c>
      <c r="I924" t="s">
        <v>789</v>
      </c>
      <c r="J924">
        <f t="shared" ca="1" si="58"/>
        <v>637844</v>
      </c>
      <c r="K924">
        <f t="shared" ca="1" si="59"/>
        <v>100</v>
      </c>
      <c r="N924" t="str">
        <f t="shared" si="56"/>
        <v>Essex10005Carers First Contract (Countywide)Carers ServicesCarer advice and support related to Care Act duties</v>
      </c>
      <c r="O924" t="s">
        <v>149</v>
      </c>
      <c r="P924" t="s">
        <v>1056</v>
      </c>
      <c r="Q924">
        <v>10005</v>
      </c>
      <c r="R924" t="s">
        <v>2853</v>
      </c>
      <c r="S924" t="s">
        <v>3186</v>
      </c>
      <c r="T924" t="s">
        <v>811</v>
      </c>
      <c r="U924" t="s">
        <v>895</v>
      </c>
      <c r="W924">
        <v>5000</v>
      </c>
      <c r="X924">
        <v>5000</v>
      </c>
      <c r="Y924" t="s">
        <v>813</v>
      </c>
      <c r="Z924" t="s">
        <v>792</v>
      </c>
      <c r="AB924" t="s">
        <v>793</v>
      </c>
      <c r="AD924" t="s">
        <v>794</v>
      </c>
      <c r="AE924" t="s">
        <v>795</v>
      </c>
      <c r="AF924" t="s">
        <v>796</v>
      </c>
      <c r="AG924" t="s">
        <v>797</v>
      </c>
      <c r="AH924">
        <v>927000</v>
      </c>
      <c r="AI924">
        <v>978912</v>
      </c>
      <c r="AJ924">
        <v>0.14808030580849676</v>
      </c>
    </row>
    <row r="925" spans="1:36" x14ac:dyDescent="0.3">
      <c r="A925">
        <f>COUNTIF($D$2:D925,D925)</f>
        <v>3</v>
      </c>
      <c r="B925" t="str">
        <f t="shared" si="57"/>
        <v>3Hartlepool</v>
      </c>
      <c r="C925" t="s">
        <v>3187</v>
      </c>
      <c r="D925" t="s">
        <v>169</v>
      </c>
      <c r="E925">
        <v>10</v>
      </c>
      <c r="F925" t="s">
        <v>3188</v>
      </c>
      <c r="G925" t="s">
        <v>877</v>
      </c>
      <c r="H925" t="s">
        <v>878</v>
      </c>
      <c r="I925" t="s">
        <v>879</v>
      </c>
      <c r="J925">
        <f t="shared" ca="1" si="58"/>
        <v>737233</v>
      </c>
      <c r="K925">
        <f t="shared" ca="1" si="59"/>
        <v>195</v>
      </c>
      <c r="N925" t="str">
        <f t="shared" si="56"/>
        <v>Essex51003North ICB - Increased acute Therapies to support dischargeBed based intermediate Care Services (Reablement, rehabilitation, wider short-term services supporting recovery)Bed-based intermediate care with rehabilitation (to support discharge)</v>
      </c>
      <c r="O925" t="s">
        <v>149</v>
      </c>
      <c r="P925" t="s">
        <v>1056</v>
      </c>
      <c r="Q925">
        <v>51003</v>
      </c>
      <c r="R925" t="s">
        <v>2856</v>
      </c>
      <c r="S925" t="s">
        <v>3189</v>
      </c>
      <c r="T925" t="s">
        <v>877</v>
      </c>
      <c r="U925" t="s">
        <v>968</v>
      </c>
      <c r="W925">
        <v>48</v>
      </c>
      <c r="X925">
        <v>48</v>
      </c>
      <c r="Y925" t="s">
        <v>879</v>
      </c>
      <c r="Z925" t="s">
        <v>1118</v>
      </c>
      <c r="AB925" t="s">
        <v>824</v>
      </c>
      <c r="AD925" t="s">
        <v>794</v>
      </c>
      <c r="AE925" t="s">
        <v>1119</v>
      </c>
      <c r="AF925" t="s">
        <v>860</v>
      </c>
      <c r="AG925" t="s">
        <v>797</v>
      </c>
      <c r="AH925">
        <v>109392</v>
      </c>
      <c r="AI925">
        <v>115517.952</v>
      </c>
      <c r="AJ925">
        <v>1.0381440928245307E-2</v>
      </c>
    </row>
    <row r="926" spans="1:36" x14ac:dyDescent="0.3">
      <c r="A926">
        <f>COUNTIF($D$2:D926,D926)</f>
        <v>4</v>
      </c>
      <c r="B926" t="str">
        <f t="shared" si="57"/>
        <v>4Hartlepool</v>
      </c>
      <c r="C926" t="s">
        <v>3190</v>
      </c>
      <c r="D926" t="s">
        <v>169</v>
      </c>
      <c r="E926">
        <v>13</v>
      </c>
      <c r="F926" t="s">
        <v>3191</v>
      </c>
      <c r="G926" t="s">
        <v>800</v>
      </c>
      <c r="H926" t="s">
        <v>850</v>
      </c>
      <c r="I926" t="s">
        <v>802</v>
      </c>
      <c r="J926">
        <f t="shared" ca="1" si="58"/>
        <v>158905</v>
      </c>
      <c r="K926">
        <f t="shared" ca="1" si="59"/>
        <v>3100</v>
      </c>
      <c r="N926" t="str">
        <f t="shared" si="56"/>
        <v xml:space="preserve">Essex51009North ICB - Home to AssessHome-based intermediate care servicesReablement at home (to support discharge) </v>
      </c>
      <c r="O926" t="s">
        <v>149</v>
      </c>
      <c r="P926" t="s">
        <v>1056</v>
      </c>
      <c r="Q926">
        <v>51009</v>
      </c>
      <c r="R926" t="s">
        <v>2859</v>
      </c>
      <c r="S926" t="s">
        <v>3192</v>
      </c>
      <c r="T926" t="s">
        <v>787</v>
      </c>
      <c r="U926" t="s">
        <v>788</v>
      </c>
      <c r="W926">
        <v>60</v>
      </c>
      <c r="X926">
        <v>60</v>
      </c>
      <c r="Y926" t="s">
        <v>789</v>
      </c>
      <c r="Z926" t="s">
        <v>792</v>
      </c>
      <c r="AB926" t="s">
        <v>793</v>
      </c>
      <c r="AD926" t="s">
        <v>794</v>
      </c>
      <c r="AE926" t="s">
        <v>804</v>
      </c>
      <c r="AF926" t="s">
        <v>860</v>
      </c>
      <c r="AG926" t="s">
        <v>797</v>
      </c>
      <c r="AH926">
        <v>426834</v>
      </c>
      <c r="AI926">
        <v>450000</v>
      </c>
      <c r="AJ926">
        <v>8.5235895581055685E-3</v>
      </c>
    </row>
    <row r="927" spans="1:36" x14ac:dyDescent="0.3">
      <c r="A927">
        <f>COUNTIF($D$2:D927,D927)</f>
        <v>5</v>
      </c>
      <c r="B927" t="str">
        <f t="shared" si="57"/>
        <v>5Hartlepool</v>
      </c>
      <c r="C927" t="s">
        <v>3193</v>
      </c>
      <c r="D927" t="s">
        <v>169</v>
      </c>
      <c r="E927">
        <v>14</v>
      </c>
      <c r="F927" t="s">
        <v>3194</v>
      </c>
      <c r="G927" t="s">
        <v>842</v>
      </c>
      <c r="H927" t="s">
        <v>856</v>
      </c>
      <c r="I927" t="s">
        <v>844</v>
      </c>
      <c r="J927">
        <f t="shared" ca="1" si="58"/>
        <v>69318</v>
      </c>
      <c r="K927">
        <f t="shared" ca="1" si="59"/>
        <v>3200</v>
      </c>
      <c r="N927" t="str">
        <f t="shared" si="56"/>
        <v>Essex52001MSE ICB - Discharge Spend - Ward Based EnablementBed based intermediate Care Services (Reablement, rehabilitation, wider short-term services supporting recovery)Bed-based intermediate care with reablement (to support discharge)</v>
      </c>
      <c r="O927" t="s">
        <v>149</v>
      </c>
      <c r="P927" t="s">
        <v>1056</v>
      </c>
      <c r="Q927">
        <v>52001</v>
      </c>
      <c r="R927" t="s">
        <v>2862</v>
      </c>
      <c r="S927" t="s">
        <v>3195</v>
      </c>
      <c r="T927" t="s">
        <v>877</v>
      </c>
      <c r="U927" t="s">
        <v>878</v>
      </c>
      <c r="W927">
        <v>777</v>
      </c>
      <c r="X927">
        <v>777</v>
      </c>
      <c r="Y927" t="s">
        <v>879</v>
      </c>
      <c r="Z927" t="s">
        <v>792</v>
      </c>
      <c r="AB927" t="s">
        <v>824</v>
      </c>
      <c r="AD927" t="s">
        <v>794</v>
      </c>
      <c r="AE927" t="s">
        <v>795</v>
      </c>
      <c r="AF927" t="s">
        <v>860</v>
      </c>
      <c r="AG927" t="s">
        <v>797</v>
      </c>
      <c r="AH927">
        <v>412311</v>
      </c>
      <c r="AI927">
        <v>573120</v>
      </c>
      <c r="AJ927">
        <v>4.548573162010057E-2</v>
      </c>
    </row>
    <row r="928" spans="1:36" x14ac:dyDescent="0.3">
      <c r="A928">
        <f>COUNTIF($D$2:D928,D928)</f>
        <v>6</v>
      </c>
      <c r="B928" t="str">
        <f t="shared" si="57"/>
        <v>6Hartlepool</v>
      </c>
      <c r="C928" t="s">
        <v>3196</v>
      </c>
      <c r="D928" t="s">
        <v>169</v>
      </c>
      <c r="E928">
        <v>27</v>
      </c>
      <c r="F928" t="s">
        <v>1781</v>
      </c>
      <c r="G928" t="s">
        <v>811</v>
      </c>
      <c r="H928" t="s">
        <v>812</v>
      </c>
      <c r="I928" t="s">
        <v>813</v>
      </c>
      <c r="J928">
        <f t="shared" ca="1" si="58"/>
        <v>223963</v>
      </c>
      <c r="K928">
        <f t="shared" ca="1" si="59"/>
        <v>2000</v>
      </c>
      <c r="N928" t="str">
        <f t="shared" si="56"/>
        <v xml:space="preserve">Gateshead1Managing Discharges and Admission AvoidanceHome-based intermediate care servicesReablement at home (to support discharge) </v>
      </c>
      <c r="O928" t="s">
        <v>151</v>
      </c>
      <c r="P928" t="s">
        <v>2195</v>
      </c>
      <c r="Q928">
        <v>1</v>
      </c>
      <c r="R928" t="s">
        <v>2865</v>
      </c>
      <c r="S928" t="s">
        <v>3197</v>
      </c>
      <c r="T928" t="s">
        <v>787</v>
      </c>
      <c r="U928" t="s">
        <v>788</v>
      </c>
      <c r="W928">
        <v>946</v>
      </c>
      <c r="X928">
        <v>946</v>
      </c>
      <c r="Y928" t="s">
        <v>789</v>
      </c>
      <c r="Z928" t="s">
        <v>792</v>
      </c>
      <c r="AB928" t="s">
        <v>793</v>
      </c>
      <c r="AD928" t="s">
        <v>794</v>
      </c>
      <c r="AE928" t="s">
        <v>795</v>
      </c>
      <c r="AF928" t="s">
        <v>796</v>
      </c>
      <c r="AG928" t="s">
        <v>797</v>
      </c>
      <c r="AH928">
        <v>2723479</v>
      </c>
      <c r="AI928">
        <v>2723479</v>
      </c>
      <c r="AJ928">
        <v>0.84</v>
      </c>
    </row>
    <row r="929" spans="1:36" x14ac:dyDescent="0.3">
      <c r="A929">
        <f>COUNTIF($D$2:D929,D929)</f>
        <v>7</v>
      </c>
      <c r="B929" t="str">
        <f t="shared" si="57"/>
        <v>7Hartlepool</v>
      </c>
      <c r="C929" t="s">
        <v>3198</v>
      </c>
      <c r="D929" t="s">
        <v>169</v>
      </c>
      <c r="E929">
        <v>28</v>
      </c>
      <c r="F929" t="s">
        <v>3199</v>
      </c>
      <c r="G929" t="s">
        <v>811</v>
      </c>
      <c r="H929" t="s">
        <v>2205</v>
      </c>
      <c r="I929" t="s">
        <v>813</v>
      </c>
      <c r="J929">
        <f t="shared" ca="1" si="58"/>
        <v>103904</v>
      </c>
      <c r="K929">
        <f t="shared" ca="1" si="59"/>
        <v>34</v>
      </c>
      <c r="N929" t="str">
        <f t="shared" si="56"/>
        <v>Gateshead2Market Shaping and StabilisationResidential PlacementsCare Home</v>
      </c>
      <c r="O929" t="s">
        <v>151</v>
      </c>
      <c r="P929" t="s">
        <v>2195</v>
      </c>
      <c r="Q929">
        <v>2</v>
      </c>
      <c r="R929" t="s">
        <v>2868</v>
      </c>
      <c r="S929" t="s">
        <v>3200</v>
      </c>
      <c r="T929" t="s">
        <v>806</v>
      </c>
      <c r="U929" t="s">
        <v>2869</v>
      </c>
      <c r="W929">
        <v>20</v>
      </c>
      <c r="X929">
        <v>21</v>
      </c>
      <c r="Y929" t="s">
        <v>808</v>
      </c>
      <c r="Z929" t="s">
        <v>823</v>
      </c>
      <c r="AB929" t="s">
        <v>824</v>
      </c>
      <c r="AD929" t="s">
        <v>794</v>
      </c>
      <c r="AE929" t="s">
        <v>832</v>
      </c>
      <c r="AF929" t="s">
        <v>796</v>
      </c>
      <c r="AG929" t="s">
        <v>797</v>
      </c>
      <c r="AH929">
        <v>567367.03</v>
      </c>
      <c r="AI929">
        <v>577579.63654000009</v>
      </c>
      <c r="AJ929">
        <v>1</v>
      </c>
    </row>
    <row r="930" spans="1:36" x14ac:dyDescent="0.3">
      <c r="A930">
        <f>COUNTIF($D$2:D930,D930)</f>
        <v>8</v>
      </c>
      <c r="B930" t="str">
        <f t="shared" si="57"/>
        <v>8Hartlepool</v>
      </c>
      <c r="C930" t="s">
        <v>3201</v>
      </c>
      <c r="D930" t="s">
        <v>169</v>
      </c>
      <c r="E930">
        <v>29</v>
      </c>
      <c r="F930" t="s">
        <v>3202</v>
      </c>
      <c r="G930" t="s">
        <v>811</v>
      </c>
      <c r="H930" t="s">
        <v>812</v>
      </c>
      <c r="I930" t="s">
        <v>813</v>
      </c>
      <c r="J930">
        <f t="shared" ca="1" si="58"/>
        <v>116352</v>
      </c>
      <c r="K930">
        <f t="shared" ca="1" si="59"/>
        <v>275</v>
      </c>
      <c r="N930" t="str">
        <f t="shared" si="56"/>
        <v>Gateshead2Market Shaping and StabilisationHome Care or Domiciliary CareDomiciliary care packages</v>
      </c>
      <c r="O930" t="s">
        <v>151</v>
      </c>
      <c r="P930" t="s">
        <v>2195</v>
      </c>
      <c r="Q930">
        <v>2</v>
      </c>
      <c r="R930" t="s">
        <v>2868</v>
      </c>
      <c r="S930" t="s">
        <v>3203</v>
      </c>
      <c r="T930" t="s">
        <v>842</v>
      </c>
      <c r="U930" t="s">
        <v>843</v>
      </c>
      <c r="W930">
        <v>94090</v>
      </c>
      <c r="X930">
        <v>94090</v>
      </c>
      <c r="Y930" t="s">
        <v>844</v>
      </c>
      <c r="Z930" t="s">
        <v>792</v>
      </c>
      <c r="AB930" t="s">
        <v>793</v>
      </c>
      <c r="AD930" t="s">
        <v>794</v>
      </c>
      <c r="AE930" t="s">
        <v>804</v>
      </c>
      <c r="AF930" t="s">
        <v>845</v>
      </c>
      <c r="AG930" t="s">
        <v>797</v>
      </c>
      <c r="AH930">
        <v>1816000</v>
      </c>
      <c r="AI930">
        <v>1816000</v>
      </c>
      <c r="AJ930">
        <v>0.18</v>
      </c>
    </row>
    <row r="931" spans="1:36" x14ac:dyDescent="0.3">
      <c r="A931">
        <f>COUNTIF($D$2:D931,D931)</f>
        <v>9</v>
      </c>
      <c r="B931" t="str">
        <f t="shared" si="57"/>
        <v>9Hartlepool</v>
      </c>
      <c r="C931" t="s">
        <v>3204</v>
      </c>
      <c r="D931" t="s">
        <v>169</v>
      </c>
      <c r="E931">
        <v>31</v>
      </c>
      <c r="F931" t="s">
        <v>3205</v>
      </c>
      <c r="G931" t="s">
        <v>834</v>
      </c>
      <c r="H931" t="s">
        <v>835</v>
      </c>
      <c r="I931" t="s">
        <v>836</v>
      </c>
      <c r="J931">
        <f t="shared" ca="1" si="58"/>
        <v>1221874</v>
      </c>
      <c r="K931">
        <f t="shared" ca="1" si="59"/>
        <v>160</v>
      </c>
      <c r="N931" t="str">
        <f t="shared" si="56"/>
        <v>Gateshead2Market Shaping and StabilisationHome Care or Domiciliary CareDomiciliary care packages</v>
      </c>
      <c r="O931" t="s">
        <v>151</v>
      </c>
      <c r="P931" t="s">
        <v>2195</v>
      </c>
      <c r="Q931">
        <v>2</v>
      </c>
      <c r="R931" t="s">
        <v>2868</v>
      </c>
      <c r="S931" t="s">
        <v>3203</v>
      </c>
      <c r="T931" t="s">
        <v>842</v>
      </c>
      <c r="U931" t="s">
        <v>843</v>
      </c>
      <c r="W931">
        <v>103935</v>
      </c>
      <c r="X931">
        <v>103935</v>
      </c>
      <c r="Y931" t="s">
        <v>844</v>
      </c>
      <c r="Z931" t="s">
        <v>792</v>
      </c>
      <c r="AB931" t="s">
        <v>793</v>
      </c>
      <c r="AD931" t="s">
        <v>794</v>
      </c>
      <c r="AE931" t="s">
        <v>804</v>
      </c>
      <c r="AF931" t="s">
        <v>845</v>
      </c>
      <c r="AG931" t="s">
        <v>797</v>
      </c>
      <c r="AH931">
        <v>2006000</v>
      </c>
      <c r="AI931">
        <v>2006000</v>
      </c>
      <c r="AJ931">
        <v>0.2</v>
      </c>
    </row>
    <row r="932" spans="1:36" x14ac:dyDescent="0.3">
      <c r="A932">
        <f>COUNTIF($D$2:D932,D932)</f>
        <v>10</v>
      </c>
      <c r="B932" t="str">
        <f t="shared" si="57"/>
        <v>10Hartlepool</v>
      </c>
      <c r="C932" t="s">
        <v>3206</v>
      </c>
      <c r="D932" t="s">
        <v>169</v>
      </c>
      <c r="E932">
        <v>38</v>
      </c>
      <c r="F932" t="s">
        <v>3207</v>
      </c>
      <c r="G932" t="s">
        <v>834</v>
      </c>
      <c r="H932" t="s">
        <v>835</v>
      </c>
      <c r="I932" t="s">
        <v>836</v>
      </c>
      <c r="J932">
        <f t="shared" ca="1" si="58"/>
        <v>427603</v>
      </c>
      <c r="K932">
        <f t="shared" ca="1" si="59"/>
        <v>160</v>
      </c>
      <c r="N932" t="str">
        <f t="shared" si="56"/>
        <v>Gateshead2Market Shaping and StabilisationResidential PlacementsCare Home</v>
      </c>
      <c r="O932" t="s">
        <v>151</v>
      </c>
      <c r="P932" t="s">
        <v>2195</v>
      </c>
      <c r="Q932">
        <v>2</v>
      </c>
      <c r="R932" t="s">
        <v>2868</v>
      </c>
      <c r="S932" t="s">
        <v>3203</v>
      </c>
      <c r="T932" t="s">
        <v>806</v>
      </c>
      <c r="U932" t="s">
        <v>2869</v>
      </c>
      <c r="W932">
        <v>120</v>
      </c>
      <c r="X932">
        <v>120</v>
      </c>
      <c r="Y932" t="s">
        <v>808</v>
      </c>
      <c r="Z932" t="s">
        <v>792</v>
      </c>
      <c r="AB932" t="s">
        <v>793</v>
      </c>
      <c r="AD932" t="s">
        <v>794</v>
      </c>
      <c r="AE932" t="s">
        <v>804</v>
      </c>
      <c r="AF932" t="s">
        <v>845</v>
      </c>
      <c r="AG932" t="s">
        <v>797</v>
      </c>
      <c r="AH932">
        <v>3395795</v>
      </c>
      <c r="AI932">
        <v>3395795</v>
      </c>
      <c r="AJ932">
        <v>0.13</v>
      </c>
    </row>
    <row r="933" spans="1:36" x14ac:dyDescent="0.3">
      <c r="A933">
        <f>COUNTIF($D$2:D933,D933)</f>
        <v>11</v>
      </c>
      <c r="B933" t="str">
        <f t="shared" si="57"/>
        <v>11Hartlepool</v>
      </c>
      <c r="C933" t="s">
        <v>3208</v>
      </c>
      <c r="D933" t="s">
        <v>169</v>
      </c>
      <c r="E933">
        <v>40</v>
      </c>
      <c r="F933" t="s">
        <v>3209</v>
      </c>
      <c r="G933" t="s">
        <v>800</v>
      </c>
      <c r="H933" t="s">
        <v>903</v>
      </c>
      <c r="I933" t="s">
        <v>802</v>
      </c>
      <c r="J933">
        <f t="shared" ca="1" si="58"/>
        <v>41256</v>
      </c>
      <c r="K933">
        <f t="shared" ca="1" si="59"/>
        <v>2600</v>
      </c>
      <c r="N933" t="str">
        <f t="shared" si="56"/>
        <v>Gateshead1Managing Discharges and Admission AvoidanceBed based intermediate Care Services (Reablement, rehabilitation, wider short-term services supporting recovery)Bed-based intermediate care with rehabilitation (to support discharge)</v>
      </c>
      <c r="O933" t="s">
        <v>151</v>
      </c>
      <c r="P933" t="s">
        <v>2195</v>
      </c>
      <c r="Q933">
        <v>1</v>
      </c>
      <c r="R933" t="s">
        <v>2865</v>
      </c>
      <c r="S933" t="s">
        <v>3210</v>
      </c>
      <c r="T933" t="s">
        <v>877</v>
      </c>
      <c r="U933" t="s">
        <v>968</v>
      </c>
      <c r="V933" t="s">
        <v>3211</v>
      </c>
      <c r="W933">
        <v>7</v>
      </c>
      <c r="X933">
        <v>7</v>
      </c>
      <c r="Y933" t="s">
        <v>879</v>
      </c>
      <c r="Z933" t="s">
        <v>792</v>
      </c>
      <c r="AB933" t="s">
        <v>793</v>
      </c>
      <c r="AD933" t="s">
        <v>794</v>
      </c>
      <c r="AE933" t="s">
        <v>795</v>
      </c>
      <c r="AF933" t="s">
        <v>796</v>
      </c>
      <c r="AG933" t="s">
        <v>797</v>
      </c>
      <c r="AH933">
        <v>31364</v>
      </c>
      <c r="AI933">
        <v>31364</v>
      </c>
      <c r="AJ933">
        <v>1</v>
      </c>
    </row>
    <row r="934" spans="1:36" x14ac:dyDescent="0.3">
      <c r="A934">
        <f>COUNTIF($D$2:D934,D934)</f>
        <v>1</v>
      </c>
      <c r="B934" t="str">
        <f t="shared" si="57"/>
        <v>1Havering</v>
      </c>
      <c r="C934" t="s">
        <v>3212</v>
      </c>
      <c r="D934" t="s">
        <v>171</v>
      </c>
      <c r="E934">
        <v>11</v>
      </c>
      <c r="F934" t="s">
        <v>3213</v>
      </c>
      <c r="G934" t="s">
        <v>800</v>
      </c>
      <c r="H934" t="s">
        <v>850</v>
      </c>
      <c r="I934" t="s">
        <v>802</v>
      </c>
      <c r="J934">
        <f t="shared" ca="1" si="58"/>
        <v>638152</v>
      </c>
      <c r="K934">
        <f t="shared" ca="1" si="59"/>
        <v>1901</v>
      </c>
      <c r="N934" t="str">
        <f t="shared" si="56"/>
        <v>Gateshead4Service PressuresHome Care or Domiciliary CareDomiciliary care packages</v>
      </c>
      <c r="O934" t="s">
        <v>151</v>
      </c>
      <c r="P934" t="s">
        <v>2195</v>
      </c>
      <c r="Q934">
        <v>4</v>
      </c>
      <c r="R934" t="s">
        <v>2876</v>
      </c>
      <c r="S934" t="s">
        <v>3214</v>
      </c>
      <c r="T934" t="s">
        <v>842</v>
      </c>
      <c r="U934" t="s">
        <v>843</v>
      </c>
      <c r="W934">
        <v>18960</v>
      </c>
      <c r="X934">
        <v>18960</v>
      </c>
      <c r="Y934" t="s">
        <v>844</v>
      </c>
      <c r="Z934" t="s">
        <v>792</v>
      </c>
      <c r="AB934" t="s">
        <v>793</v>
      </c>
      <c r="AD934" t="s">
        <v>794</v>
      </c>
      <c r="AE934" t="s">
        <v>804</v>
      </c>
      <c r="AF934" t="s">
        <v>845</v>
      </c>
      <c r="AG934" t="s">
        <v>797</v>
      </c>
      <c r="AH934">
        <v>366000</v>
      </c>
      <c r="AI934">
        <v>366000</v>
      </c>
      <c r="AJ934">
        <v>0.03</v>
      </c>
    </row>
    <row r="935" spans="1:36" x14ac:dyDescent="0.3">
      <c r="A935">
        <f>COUNTIF($D$2:D935,D935)</f>
        <v>2</v>
      </c>
      <c r="B935" t="str">
        <f t="shared" si="57"/>
        <v>2Havering</v>
      </c>
      <c r="C935" t="s">
        <v>3215</v>
      </c>
      <c r="D935" t="s">
        <v>171</v>
      </c>
      <c r="E935">
        <v>113</v>
      </c>
      <c r="F935" t="s">
        <v>3216</v>
      </c>
      <c r="G935" t="s">
        <v>787</v>
      </c>
      <c r="H935" t="s">
        <v>788</v>
      </c>
      <c r="I935" t="s">
        <v>789</v>
      </c>
      <c r="J935">
        <f t="shared" ca="1" si="58"/>
        <v>2117880</v>
      </c>
      <c r="K935">
        <f t="shared" ca="1" si="59"/>
        <v>1091</v>
      </c>
      <c r="N935" t="str">
        <f t="shared" si="56"/>
        <v>Gateshead4Service PressuresBed based intermediate Care Services (Reablement, rehabilitation, wider short-term services supporting recovery)Bed-based intermediate care with rehabilitation (to support discharge)</v>
      </c>
      <c r="O935" t="s">
        <v>151</v>
      </c>
      <c r="P935" t="s">
        <v>2195</v>
      </c>
      <c r="Q935">
        <v>4</v>
      </c>
      <c r="R935" t="s">
        <v>2876</v>
      </c>
      <c r="S935" t="s">
        <v>3217</v>
      </c>
      <c r="T935" t="s">
        <v>877</v>
      </c>
      <c r="U935" t="s">
        <v>968</v>
      </c>
      <c r="W935">
        <v>60</v>
      </c>
      <c r="X935">
        <v>60</v>
      </c>
      <c r="Y935" t="s">
        <v>879</v>
      </c>
      <c r="Z935" t="s">
        <v>792</v>
      </c>
      <c r="AB935" t="s">
        <v>793</v>
      </c>
      <c r="AD935" t="s">
        <v>794</v>
      </c>
      <c r="AE935" t="s">
        <v>795</v>
      </c>
      <c r="AF935" t="s">
        <v>845</v>
      </c>
      <c r="AG935" t="s">
        <v>797</v>
      </c>
      <c r="AH935">
        <v>300000</v>
      </c>
      <c r="AI935">
        <v>300000</v>
      </c>
      <c r="AJ935">
        <v>0.14000000000000001</v>
      </c>
    </row>
    <row r="936" spans="1:36" x14ac:dyDescent="0.3">
      <c r="A936">
        <f>COUNTIF($D$2:D936,D936)</f>
        <v>3</v>
      </c>
      <c r="B936" t="str">
        <f t="shared" si="57"/>
        <v>3Havering</v>
      </c>
      <c r="C936" t="s">
        <v>3218</v>
      </c>
      <c r="D936" t="s">
        <v>171</v>
      </c>
      <c r="E936">
        <v>156</v>
      </c>
      <c r="F936" t="s">
        <v>3213</v>
      </c>
      <c r="G936" t="s">
        <v>811</v>
      </c>
      <c r="H936" t="s">
        <v>830</v>
      </c>
      <c r="I936" t="s">
        <v>813</v>
      </c>
      <c r="J936">
        <f t="shared" ca="1" si="58"/>
        <v>479190</v>
      </c>
      <c r="K936">
        <f t="shared" ca="1" si="59"/>
        <v>103</v>
      </c>
      <c r="N936" t="str">
        <f t="shared" si="56"/>
        <v>Gateshead4Service PressuresResidential PlacementsCare Home</v>
      </c>
      <c r="O936" t="s">
        <v>151</v>
      </c>
      <c r="P936" t="s">
        <v>2195</v>
      </c>
      <c r="Q936">
        <v>4</v>
      </c>
      <c r="R936" t="s">
        <v>2876</v>
      </c>
      <c r="S936" t="s">
        <v>3219</v>
      </c>
      <c r="T936" t="s">
        <v>806</v>
      </c>
      <c r="U936" t="s">
        <v>2869</v>
      </c>
      <c r="W936">
        <v>31</v>
      </c>
      <c r="X936">
        <v>31</v>
      </c>
      <c r="Y936" t="s">
        <v>808</v>
      </c>
      <c r="Z936" t="s">
        <v>792</v>
      </c>
      <c r="AB936" t="s">
        <v>793</v>
      </c>
      <c r="AD936" t="s">
        <v>794</v>
      </c>
      <c r="AE936" t="s">
        <v>804</v>
      </c>
      <c r="AF936" t="s">
        <v>845</v>
      </c>
      <c r="AG936" t="s">
        <v>797</v>
      </c>
      <c r="AH936">
        <v>875000</v>
      </c>
      <c r="AI936">
        <v>875000</v>
      </c>
      <c r="AJ936">
        <v>0.03</v>
      </c>
    </row>
    <row r="937" spans="1:36" x14ac:dyDescent="0.3">
      <c r="A937">
        <f>COUNTIF($D$2:D937,D937)</f>
        <v>4</v>
      </c>
      <c r="B937" t="str">
        <f t="shared" si="57"/>
        <v>4Havering</v>
      </c>
      <c r="C937" t="s">
        <v>3220</v>
      </c>
      <c r="D937" t="s">
        <v>171</v>
      </c>
      <c r="E937">
        <v>904</v>
      </c>
      <c r="F937" t="s">
        <v>3216</v>
      </c>
      <c r="G937" t="s">
        <v>806</v>
      </c>
      <c r="H937" t="s">
        <v>873</v>
      </c>
      <c r="I937" t="s">
        <v>808</v>
      </c>
      <c r="J937">
        <f t="shared" ca="1" si="58"/>
        <v>217914</v>
      </c>
      <c r="K937">
        <f t="shared" ca="1" si="59"/>
        <v>3</v>
      </c>
      <c r="N937" t="str">
        <f t="shared" si="56"/>
        <v>Gateshead5TransformationHome Care or Domiciliary CareDomiciliary care packages</v>
      </c>
      <c r="O937" t="s">
        <v>151</v>
      </c>
      <c r="P937" t="s">
        <v>2195</v>
      </c>
      <c r="Q937">
        <v>5</v>
      </c>
      <c r="R937" t="s">
        <v>2885</v>
      </c>
      <c r="S937" t="s">
        <v>3221</v>
      </c>
      <c r="T937" t="s">
        <v>842</v>
      </c>
      <c r="U937" t="s">
        <v>843</v>
      </c>
      <c r="W937">
        <v>26920</v>
      </c>
      <c r="X937">
        <v>27400</v>
      </c>
      <c r="Y937" t="s">
        <v>844</v>
      </c>
      <c r="Z937" t="s">
        <v>823</v>
      </c>
      <c r="AB937" t="s">
        <v>824</v>
      </c>
      <c r="AD937" t="s">
        <v>794</v>
      </c>
      <c r="AE937" t="s">
        <v>832</v>
      </c>
      <c r="AF937" t="s">
        <v>796</v>
      </c>
      <c r="AG937" t="s">
        <v>797</v>
      </c>
      <c r="AH937">
        <v>519535.28200000001</v>
      </c>
      <c r="AI937">
        <v>528886.91707600001</v>
      </c>
      <c r="AJ937">
        <v>0.4</v>
      </c>
    </row>
    <row r="938" spans="1:36" x14ac:dyDescent="0.3">
      <c r="A938">
        <f>COUNTIF($D$2:D938,D938)</f>
        <v>5</v>
      </c>
      <c r="B938" t="str">
        <f t="shared" si="57"/>
        <v>5Havering</v>
      </c>
      <c r="C938" t="s">
        <v>3222</v>
      </c>
      <c r="D938" t="s">
        <v>171</v>
      </c>
      <c r="E938">
        <v>702</v>
      </c>
      <c r="F938" t="s">
        <v>3216</v>
      </c>
      <c r="G938" t="s">
        <v>806</v>
      </c>
      <c r="H938" t="s">
        <v>917</v>
      </c>
      <c r="I938" t="s">
        <v>808</v>
      </c>
      <c r="J938">
        <f t="shared" ca="1" si="58"/>
        <v>421318</v>
      </c>
      <c r="K938">
        <f t="shared" ca="1" si="59"/>
        <v>8</v>
      </c>
      <c r="N938" t="str">
        <f t="shared" si="56"/>
        <v>Gateshead6CarersCarers ServicesRespite Services</v>
      </c>
      <c r="O938" t="s">
        <v>151</v>
      </c>
      <c r="P938" t="s">
        <v>2195</v>
      </c>
      <c r="Q938">
        <v>6</v>
      </c>
      <c r="R938" t="s">
        <v>1250</v>
      </c>
      <c r="S938" t="s">
        <v>3223</v>
      </c>
      <c r="T938" t="s">
        <v>811</v>
      </c>
      <c r="U938" t="s">
        <v>2205</v>
      </c>
      <c r="W938">
        <v>622</v>
      </c>
      <c r="X938">
        <v>622</v>
      </c>
      <c r="Y938" t="s">
        <v>813</v>
      </c>
      <c r="Z938" t="s">
        <v>823</v>
      </c>
      <c r="AB938" t="s">
        <v>824</v>
      </c>
      <c r="AD938" t="s">
        <v>794</v>
      </c>
      <c r="AE938" t="s">
        <v>825</v>
      </c>
      <c r="AF938" t="s">
        <v>796</v>
      </c>
      <c r="AG938" t="s">
        <v>797</v>
      </c>
      <c r="AH938">
        <v>523958.25300000003</v>
      </c>
      <c r="AI938">
        <v>533389.50155399996</v>
      </c>
      <c r="AJ938">
        <v>0.5</v>
      </c>
    </row>
    <row r="939" spans="1:36" x14ac:dyDescent="0.3">
      <c r="A939">
        <f>COUNTIF($D$2:D939,D939)</f>
        <v>6</v>
      </c>
      <c r="B939" t="str">
        <f t="shared" si="57"/>
        <v>6Havering</v>
      </c>
      <c r="C939" t="s">
        <v>3224</v>
      </c>
      <c r="D939" t="s">
        <v>171</v>
      </c>
      <c r="E939">
        <v>704</v>
      </c>
      <c r="F939" t="s">
        <v>3216</v>
      </c>
      <c r="G939" t="s">
        <v>842</v>
      </c>
      <c r="H939" t="s">
        <v>843</v>
      </c>
      <c r="I939" t="s">
        <v>844</v>
      </c>
      <c r="J939">
        <f t="shared" ca="1" si="58"/>
        <v>200000</v>
      </c>
      <c r="K939">
        <f t="shared" ca="1" si="59"/>
        <v>9158</v>
      </c>
      <c r="N939" t="str">
        <f t="shared" si="56"/>
        <v>Gateshead6CarersCarers ServicesOther</v>
      </c>
      <c r="O939" t="s">
        <v>151</v>
      </c>
      <c r="P939" t="s">
        <v>2195</v>
      </c>
      <c r="Q939">
        <v>6</v>
      </c>
      <c r="R939" t="s">
        <v>1250</v>
      </c>
      <c r="S939" t="s">
        <v>3223</v>
      </c>
      <c r="T939" t="s">
        <v>811</v>
      </c>
      <c r="U939" t="s">
        <v>812</v>
      </c>
      <c r="V939" t="s">
        <v>3225</v>
      </c>
      <c r="W939">
        <v>623</v>
      </c>
      <c r="X939">
        <v>623</v>
      </c>
      <c r="Y939" t="s">
        <v>813</v>
      </c>
      <c r="Z939" t="s">
        <v>792</v>
      </c>
      <c r="AB939" t="s">
        <v>793</v>
      </c>
      <c r="AD939" t="s">
        <v>794</v>
      </c>
      <c r="AE939" t="s">
        <v>825</v>
      </c>
      <c r="AF939" t="s">
        <v>796</v>
      </c>
      <c r="AG939" t="s">
        <v>797</v>
      </c>
      <c r="AH939">
        <v>524025</v>
      </c>
      <c r="AI939">
        <v>524025</v>
      </c>
      <c r="AJ939">
        <v>0.5</v>
      </c>
    </row>
    <row r="940" spans="1:36" x14ac:dyDescent="0.3">
      <c r="A940">
        <f>COUNTIF($D$2:D940,D940)</f>
        <v>7</v>
      </c>
      <c r="B940" t="str">
        <f t="shared" si="57"/>
        <v>7Havering</v>
      </c>
      <c r="C940" t="s">
        <v>3226</v>
      </c>
      <c r="D940" t="s">
        <v>171</v>
      </c>
      <c r="E940">
        <v>801</v>
      </c>
      <c r="F940" t="s">
        <v>3216</v>
      </c>
      <c r="G940" t="s">
        <v>842</v>
      </c>
      <c r="H940" t="s">
        <v>843</v>
      </c>
      <c r="I940" t="s">
        <v>844</v>
      </c>
      <c r="J940">
        <f t="shared" ca="1" si="58"/>
        <v>2722197</v>
      </c>
      <c r="K940">
        <f t="shared" ca="1" si="59"/>
        <v>124642</v>
      </c>
      <c r="N940" t="str">
        <f t="shared" si="56"/>
        <v>Gateshead7Disabled Facilities GrantDFG Related SchemesAdaptations, including statutory DFG grants</v>
      </c>
      <c r="O940" t="s">
        <v>151</v>
      </c>
      <c r="P940" t="s">
        <v>2195</v>
      </c>
      <c r="Q940">
        <v>7</v>
      </c>
      <c r="R940" t="s">
        <v>891</v>
      </c>
      <c r="S940" t="s">
        <v>3227</v>
      </c>
      <c r="T940" t="s">
        <v>834</v>
      </c>
      <c r="U940" t="s">
        <v>835</v>
      </c>
      <c r="W940">
        <v>488</v>
      </c>
      <c r="X940">
        <v>488</v>
      </c>
      <c r="Y940" t="s">
        <v>836</v>
      </c>
      <c r="Z940" t="s">
        <v>792</v>
      </c>
      <c r="AB940" t="s">
        <v>793</v>
      </c>
      <c r="AD940" t="s">
        <v>794</v>
      </c>
      <c r="AE940" t="s">
        <v>795</v>
      </c>
      <c r="AF940" t="s">
        <v>840</v>
      </c>
      <c r="AG940" t="s">
        <v>797</v>
      </c>
      <c r="AH940">
        <v>2111149</v>
      </c>
      <c r="AI940">
        <v>2111149</v>
      </c>
      <c r="AJ940">
        <v>1</v>
      </c>
    </row>
    <row r="941" spans="1:36" x14ac:dyDescent="0.3">
      <c r="A941">
        <f>COUNTIF($D$2:D941,D941)</f>
        <v>8</v>
      </c>
      <c r="B941" t="str">
        <f t="shared" si="57"/>
        <v>8Havering</v>
      </c>
      <c r="C941" t="s">
        <v>3228</v>
      </c>
      <c r="D941" t="s">
        <v>171</v>
      </c>
      <c r="E941">
        <v>124</v>
      </c>
      <c r="F941" t="s">
        <v>3216</v>
      </c>
      <c r="G941" t="s">
        <v>806</v>
      </c>
      <c r="H941" t="s">
        <v>917</v>
      </c>
      <c r="I941" t="s">
        <v>808</v>
      </c>
      <c r="J941">
        <f t="shared" ca="1" si="58"/>
        <v>1255908</v>
      </c>
      <c r="K941">
        <f t="shared" ca="1" si="59"/>
        <v>23</v>
      </c>
      <c r="N941" t="str">
        <f t="shared" si="56"/>
        <v>Gateshead1Managing Discharges and Admission AvoidanceHome Care or Domiciliary CareDomiciliary care to support hospital discharge (Discharge to Assess pathway 1)</v>
      </c>
      <c r="O941" t="s">
        <v>151</v>
      </c>
      <c r="P941" t="s">
        <v>2195</v>
      </c>
      <c r="Q941">
        <v>1</v>
      </c>
      <c r="R941" t="s">
        <v>2865</v>
      </c>
      <c r="S941" t="s">
        <v>720</v>
      </c>
      <c r="T941" t="s">
        <v>842</v>
      </c>
      <c r="U941" t="s">
        <v>856</v>
      </c>
      <c r="W941">
        <v>6990</v>
      </c>
      <c r="X941">
        <v>6990</v>
      </c>
      <c r="Y941" t="s">
        <v>844</v>
      </c>
      <c r="Z941" t="s">
        <v>792</v>
      </c>
      <c r="AB941" t="s">
        <v>793</v>
      </c>
      <c r="AD941" t="s">
        <v>794</v>
      </c>
      <c r="AE941" t="s">
        <v>795</v>
      </c>
      <c r="AF941" t="s">
        <v>845</v>
      </c>
      <c r="AG941" t="s">
        <v>797</v>
      </c>
      <c r="AH941">
        <v>135000</v>
      </c>
      <c r="AI941">
        <v>135000</v>
      </c>
      <c r="AJ941">
        <v>0.04</v>
      </c>
    </row>
    <row r="942" spans="1:36" x14ac:dyDescent="0.3">
      <c r="A942">
        <f>COUNTIF($D$2:D942,D942)</f>
        <v>9</v>
      </c>
      <c r="B942" t="str">
        <f t="shared" si="57"/>
        <v>9Havering</v>
      </c>
      <c r="C942" t="s">
        <v>3229</v>
      </c>
      <c r="D942" t="s">
        <v>171</v>
      </c>
      <c r="E942">
        <v>152</v>
      </c>
      <c r="F942" t="s">
        <v>3216</v>
      </c>
      <c r="G942" t="s">
        <v>806</v>
      </c>
      <c r="H942" t="s">
        <v>873</v>
      </c>
      <c r="I942" t="s">
        <v>808</v>
      </c>
      <c r="J942">
        <f t="shared" ca="1" si="58"/>
        <v>66000</v>
      </c>
      <c r="K942">
        <f t="shared" ca="1" si="59"/>
        <v>1</v>
      </c>
      <c r="N942" t="str">
        <f t="shared" si="56"/>
        <v>Gateshead3Planned CareResidential PlacementsCare Home</v>
      </c>
      <c r="O942" t="s">
        <v>151</v>
      </c>
      <c r="P942" t="s">
        <v>2195</v>
      </c>
      <c r="Q942">
        <v>3</v>
      </c>
      <c r="R942" t="s">
        <v>2895</v>
      </c>
      <c r="S942" t="s">
        <v>3230</v>
      </c>
      <c r="T942" t="s">
        <v>806</v>
      </c>
      <c r="U942" t="s">
        <v>2869</v>
      </c>
      <c r="W942">
        <v>14</v>
      </c>
      <c r="X942">
        <v>14</v>
      </c>
      <c r="Y942" t="s">
        <v>808</v>
      </c>
      <c r="Z942" t="s">
        <v>792</v>
      </c>
      <c r="AB942" t="s">
        <v>793</v>
      </c>
      <c r="AD942" t="s">
        <v>794</v>
      </c>
      <c r="AE942" t="s">
        <v>804</v>
      </c>
      <c r="AF942" t="s">
        <v>845</v>
      </c>
      <c r="AG942" t="s">
        <v>797</v>
      </c>
      <c r="AH942">
        <v>400000</v>
      </c>
      <c r="AI942">
        <v>400000</v>
      </c>
      <c r="AJ942">
        <v>0.02</v>
      </c>
    </row>
    <row r="943" spans="1:36" x14ac:dyDescent="0.3">
      <c r="A943">
        <f>COUNTIF($D$2:D943,D943)</f>
        <v>10</v>
      </c>
      <c r="B943" t="str">
        <f t="shared" si="57"/>
        <v>10Havering</v>
      </c>
      <c r="C943" t="s">
        <v>3231</v>
      </c>
      <c r="D943" t="s">
        <v>171</v>
      </c>
      <c r="E943">
        <v>154</v>
      </c>
      <c r="F943" t="s">
        <v>3216</v>
      </c>
      <c r="G943" t="s">
        <v>806</v>
      </c>
      <c r="H943" t="s">
        <v>807</v>
      </c>
      <c r="I943" t="s">
        <v>808</v>
      </c>
      <c r="J943">
        <f t="shared" ca="1" si="58"/>
        <v>370139</v>
      </c>
      <c r="K943">
        <f t="shared" ca="1" si="59"/>
        <v>6</v>
      </c>
      <c r="N943" t="str">
        <f t="shared" si="56"/>
        <v>Gateshead3Planned CareHome Care or Domiciliary CareDomiciliary care packages</v>
      </c>
      <c r="O943" t="s">
        <v>151</v>
      </c>
      <c r="P943" t="s">
        <v>2195</v>
      </c>
      <c r="Q943">
        <v>3</v>
      </c>
      <c r="R943" t="s">
        <v>2895</v>
      </c>
      <c r="S943" t="s">
        <v>3232</v>
      </c>
      <c r="T943" t="s">
        <v>842</v>
      </c>
      <c r="U943" t="s">
        <v>843</v>
      </c>
      <c r="W943">
        <v>23310</v>
      </c>
      <c r="X943">
        <v>23310</v>
      </c>
      <c r="Y943" t="s">
        <v>844</v>
      </c>
      <c r="Z943" t="s">
        <v>792</v>
      </c>
      <c r="AB943" t="s">
        <v>793</v>
      </c>
      <c r="AD943" t="s">
        <v>794</v>
      </c>
      <c r="AE943" t="s">
        <v>804</v>
      </c>
      <c r="AF943" t="s">
        <v>845</v>
      </c>
      <c r="AG943" t="s">
        <v>797</v>
      </c>
      <c r="AH943">
        <v>450000</v>
      </c>
      <c r="AI943">
        <v>450000</v>
      </c>
      <c r="AJ943">
        <v>0.04</v>
      </c>
    </row>
    <row r="944" spans="1:36" x14ac:dyDescent="0.3">
      <c r="A944">
        <f>COUNTIF($D$2:D944,D944)</f>
        <v>11</v>
      </c>
      <c r="B944" t="str">
        <f t="shared" si="57"/>
        <v>11Havering</v>
      </c>
      <c r="C944" t="s">
        <v>3233</v>
      </c>
      <c r="D944" t="s">
        <v>171</v>
      </c>
      <c r="E944">
        <v>155</v>
      </c>
      <c r="F944" t="s">
        <v>3216</v>
      </c>
      <c r="G944" t="s">
        <v>806</v>
      </c>
      <c r="H944" t="s">
        <v>917</v>
      </c>
      <c r="I944" t="s">
        <v>808</v>
      </c>
      <c r="J944">
        <f t="shared" ca="1" si="58"/>
        <v>351252</v>
      </c>
      <c r="K944">
        <f t="shared" ca="1" si="59"/>
        <v>6</v>
      </c>
      <c r="N944" t="str">
        <f t="shared" si="56"/>
        <v>Gateshead2Market Shaping and StabilisationHome Care or Domiciliary CareDomiciliary care to support hospital discharge (Discharge to Assess pathway 1)</v>
      </c>
      <c r="O944" t="s">
        <v>151</v>
      </c>
      <c r="P944" t="s">
        <v>2195</v>
      </c>
      <c r="Q944">
        <v>2</v>
      </c>
      <c r="R944" t="s">
        <v>2868</v>
      </c>
      <c r="S944" t="s">
        <v>3234</v>
      </c>
      <c r="T944" t="s">
        <v>842</v>
      </c>
      <c r="U944" t="s">
        <v>856</v>
      </c>
      <c r="W944">
        <v>3690</v>
      </c>
      <c r="X944">
        <v>3690</v>
      </c>
      <c r="Y944" t="s">
        <v>844</v>
      </c>
      <c r="Z944" t="s">
        <v>792</v>
      </c>
      <c r="AB944" t="s">
        <v>793</v>
      </c>
      <c r="AD944" t="s">
        <v>794</v>
      </c>
      <c r="AE944" t="s">
        <v>795</v>
      </c>
      <c r="AF944" t="s">
        <v>845</v>
      </c>
      <c r="AG944" t="s">
        <v>797</v>
      </c>
      <c r="AH944">
        <v>71285</v>
      </c>
      <c r="AI944">
        <v>71285</v>
      </c>
      <c r="AJ944">
        <v>0.09</v>
      </c>
    </row>
    <row r="945" spans="1:36" x14ac:dyDescent="0.3">
      <c r="A945">
        <f>COUNTIF($D$2:D945,D945)</f>
        <v>12</v>
      </c>
      <c r="B945" t="str">
        <f t="shared" si="57"/>
        <v>12Havering</v>
      </c>
      <c r="C945" t="s">
        <v>3235</v>
      </c>
      <c r="D945" t="s">
        <v>171</v>
      </c>
      <c r="E945">
        <v>124</v>
      </c>
      <c r="F945" t="s">
        <v>3216</v>
      </c>
      <c r="G945" t="s">
        <v>842</v>
      </c>
      <c r="H945" t="s">
        <v>843</v>
      </c>
      <c r="I945" t="s">
        <v>844</v>
      </c>
      <c r="J945">
        <f t="shared" ca="1" si="58"/>
        <v>130739</v>
      </c>
      <c r="K945">
        <f t="shared" ca="1" si="59"/>
        <v>5986</v>
      </c>
      <c r="N945" t="str">
        <f t="shared" si="56"/>
        <v xml:space="preserve">Gateshead1Managing Discharges and Admission AvoidanceHome-based intermediate care servicesReablement at home (to support discharge) </v>
      </c>
      <c r="O945" t="s">
        <v>151</v>
      </c>
      <c r="P945" t="s">
        <v>2195</v>
      </c>
      <c r="Q945">
        <v>1</v>
      </c>
      <c r="R945" t="s">
        <v>2865</v>
      </c>
      <c r="S945" t="s">
        <v>3236</v>
      </c>
      <c r="T945" t="s">
        <v>787</v>
      </c>
      <c r="U945" t="s">
        <v>788</v>
      </c>
      <c r="W945">
        <v>785</v>
      </c>
      <c r="X945">
        <v>1665</v>
      </c>
      <c r="Y945" t="s">
        <v>789</v>
      </c>
      <c r="Z945" t="s">
        <v>792</v>
      </c>
      <c r="AB945" t="s">
        <v>793</v>
      </c>
      <c r="AD945" t="s">
        <v>794</v>
      </c>
      <c r="AE945" t="s">
        <v>795</v>
      </c>
      <c r="AF945" t="s">
        <v>796</v>
      </c>
      <c r="AG945" t="s">
        <v>797</v>
      </c>
      <c r="AH945">
        <v>393999</v>
      </c>
      <c r="AI945">
        <v>833861</v>
      </c>
      <c r="AJ945">
        <v>0.19</v>
      </c>
    </row>
    <row r="946" spans="1:36" x14ac:dyDescent="0.3">
      <c r="A946">
        <f>COUNTIF($D$2:D946,D946)</f>
        <v>13</v>
      </c>
      <c r="B946" t="str">
        <f t="shared" si="57"/>
        <v>13Havering</v>
      </c>
      <c r="C946" t="s">
        <v>3237</v>
      </c>
      <c r="D946" t="s">
        <v>171</v>
      </c>
      <c r="E946">
        <v>501</v>
      </c>
      <c r="F946" t="s">
        <v>3213</v>
      </c>
      <c r="G946" t="s">
        <v>834</v>
      </c>
      <c r="H946" t="s">
        <v>835</v>
      </c>
      <c r="I946" t="s">
        <v>836</v>
      </c>
      <c r="J946">
        <f t="shared" ca="1" si="58"/>
        <v>2056802</v>
      </c>
      <c r="K946">
        <f t="shared" ca="1" si="59"/>
        <v>103</v>
      </c>
      <c r="N946" t="str">
        <f t="shared" si="56"/>
        <v>Gateshead1Managing Discharges and Admission AvoidanceAssistive Technologies and EquipmentAssistive technologies including telecare</v>
      </c>
      <c r="O946" t="s">
        <v>151</v>
      </c>
      <c r="P946" t="s">
        <v>2195</v>
      </c>
      <c r="Q946">
        <v>1</v>
      </c>
      <c r="R946" t="s">
        <v>2865</v>
      </c>
      <c r="S946" t="s">
        <v>3238</v>
      </c>
      <c r="T946" t="s">
        <v>800</v>
      </c>
      <c r="U946" t="s">
        <v>850</v>
      </c>
      <c r="W946">
        <v>102</v>
      </c>
      <c r="X946">
        <v>102</v>
      </c>
      <c r="Y946" t="s">
        <v>802</v>
      </c>
      <c r="Z946" t="s">
        <v>792</v>
      </c>
      <c r="AB946" t="s">
        <v>793</v>
      </c>
      <c r="AD946" t="s">
        <v>794</v>
      </c>
      <c r="AE946" t="s">
        <v>795</v>
      </c>
      <c r="AF946" t="s">
        <v>796</v>
      </c>
      <c r="AG946" t="s">
        <v>797</v>
      </c>
      <c r="AH946">
        <v>20910</v>
      </c>
      <c r="AI946">
        <v>20910</v>
      </c>
      <c r="AJ946">
        <v>0.27</v>
      </c>
    </row>
    <row r="947" spans="1:36" x14ac:dyDescent="0.3">
      <c r="A947">
        <f>COUNTIF($D$2:D947,D947)</f>
        <v>14</v>
      </c>
      <c r="B947" t="str">
        <f t="shared" si="57"/>
        <v>14Havering</v>
      </c>
      <c r="C947" t="s">
        <v>3239</v>
      </c>
      <c r="D947" t="s">
        <v>171</v>
      </c>
      <c r="E947">
        <v>1</v>
      </c>
      <c r="F947" t="s">
        <v>3240</v>
      </c>
      <c r="G947" t="s">
        <v>806</v>
      </c>
      <c r="H947" t="s">
        <v>807</v>
      </c>
      <c r="I947" t="s">
        <v>808</v>
      </c>
      <c r="J947">
        <f t="shared" ca="1" si="58"/>
        <v>606889</v>
      </c>
      <c r="K947">
        <f t="shared" ca="1" si="59"/>
        <v>9</v>
      </c>
      <c r="N947" t="str">
        <f t="shared" si="56"/>
        <v>Gateshead1Managing Discharges and Admission AvoidanceResidential PlacementsShort term residential care (without rehabilitation or reablement input)</v>
      </c>
      <c r="O947" t="s">
        <v>151</v>
      </c>
      <c r="P947" t="s">
        <v>2195</v>
      </c>
      <c r="Q947">
        <v>1</v>
      </c>
      <c r="R947" t="s">
        <v>2865</v>
      </c>
      <c r="S947" t="s">
        <v>3241</v>
      </c>
      <c r="T947" t="s">
        <v>806</v>
      </c>
      <c r="U947" t="s">
        <v>955</v>
      </c>
      <c r="W947">
        <v>187</v>
      </c>
      <c r="X947">
        <v>280</v>
      </c>
      <c r="Y947" t="s">
        <v>808</v>
      </c>
      <c r="Z947" t="s">
        <v>792</v>
      </c>
      <c r="AB947" t="s">
        <v>793</v>
      </c>
      <c r="AD947" t="s">
        <v>794</v>
      </c>
      <c r="AE947" t="s">
        <v>804</v>
      </c>
      <c r="AF947" t="s">
        <v>864</v>
      </c>
      <c r="AG947" t="s">
        <v>861</v>
      </c>
      <c r="AH947">
        <v>601200</v>
      </c>
      <c r="AI947">
        <v>997992</v>
      </c>
      <c r="AJ947">
        <v>0.7</v>
      </c>
    </row>
    <row r="948" spans="1:36" x14ac:dyDescent="0.3">
      <c r="A948">
        <f>COUNTIF($D$2:D948,D948)</f>
        <v>15</v>
      </c>
      <c r="B948" t="str">
        <f t="shared" si="57"/>
        <v>15Havering</v>
      </c>
      <c r="C948" t="s">
        <v>3242</v>
      </c>
      <c r="D948" t="s">
        <v>171</v>
      </c>
      <c r="E948">
        <v>2</v>
      </c>
      <c r="F948" t="s">
        <v>3243</v>
      </c>
      <c r="G948" t="s">
        <v>806</v>
      </c>
      <c r="H948" t="s">
        <v>917</v>
      </c>
      <c r="I948" t="s">
        <v>808</v>
      </c>
      <c r="J948">
        <f t="shared" ca="1" si="58"/>
        <v>123784</v>
      </c>
      <c r="K948">
        <f t="shared" ca="1" si="59"/>
        <v>2</v>
      </c>
      <c r="N948" t="str">
        <f t="shared" si="56"/>
        <v>Gateshead1Managing Discharges and Admission AvoidanceBed based intermediate Care Services (Reablement, rehabilitation, wider short-term services supporting recovery)Bed-based intermediate care with rehabilitation (to support discharge)</v>
      </c>
      <c r="O948" t="s">
        <v>151</v>
      </c>
      <c r="P948" t="s">
        <v>2195</v>
      </c>
      <c r="Q948">
        <v>1</v>
      </c>
      <c r="R948" t="s">
        <v>2865</v>
      </c>
      <c r="S948" t="s">
        <v>3244</v>
      </c>
      <c r="T948" t="s">
        <v>877</v>
      </c>
      <c r="U948" t="s">
        <v>968</v>
      </c>
      <c r="W948">
        <v>35</v>
      </c>
      <c r="X948">
        <v>35</v>
      </c>
      <c r="Y948" t="s">
        <v>879</v>
      </c>
      <c r="Z948" t="s">
        <v>792</v>
      </c>
      <c r="AB948" t="s">
        <v>793</v>
      </c>
      <c r="AD948" t="s">
        <v>794</v>
      </c>
      <c r="AE948" t="s">
        <v>804</v>
      </c>
      <c r="AF948" t="s">
        <v>864</v>
      </c>
      <c r="AG948" t="s">
        <v>861</v>
      </c>
      <c r="AH948">
        <v>321200</v>
      </c>
      <c r="AI948">
        <v>533192</v>
      </c>
      <c r="AJ948">
        <v>0.1</v>
      </c>
    </row>
    <row r="949" spans="1:36" x14ac:dyDescent="0.3">
      <c r="A949">
        <f>COUNTIF($D$2:D949,D949)</f>
        <v>16</v>
      </c>
      <c r="B949" t="str">
        <f t="shared" si="57"/>
        <v>16Havering</v>
      </c>
      <c r="C949" t="s">
        <v>3245</v>
      </c>
      <c r="D949" t="s">
        <v>171</v>
      </c>
      <c r="E949">
        <v>3</v>
      </c>
      <c r="F949" t="s">
        <v>3246</v>
      </c>
      <c r="G949" t="s">
        <v>842</v>
      </c>
      <c r="H949" t="s">
        <v>843</v>
      </c>
      <c r="I949" t="s">
        <v>844</v>
      </c>
      <c r="J949">
        <f t="shared" ca="1" si="58"/>
        <v>216551</v>
      </c>
      <c r="K949">
        <f t="shared" ca="1" si="59"/>
        <v>9915</v>
      </c>
      <c r="N949" t="str">
        <f t="shared" si="56"/>
        <v>Gateshead1Managing Discharges and Admission AvoidanceBed based intermediate Care Services (Reablement, rehabilitation, wider short-term services supporting recovery)Bed-based intermediate care with rehabilitation (to support discharge)</v>
      </c>
      <c r="O949" t="s">
        <v>151</v>
      </c>
      <c r="P949" t="s">
        <v>2195</v>
      </c>
      <c r="Q949">
        <v>1</v>
      </c>
      <c r="R949" t="s">
        <v>2865</v>
      </c>
      <c r="S949" t="s">
        <v>3244</v>
      </c>
      <c r="T949" t="s">
        <v>877</v>
      </c>
      <c r="U949" t="s">
        <v>968</v>
      </c>
      <c r="W949">
        <v>24</v>
      </c>
      <c r="X949">
        <v>24</v>
      </c>
      <c r="Y949" t="s">
        <v>879</v>
      </c>
      <c r="Z949" t="s">
        <v>792</v>
      </c>
      <c r="AB949" t="s">
        <v>824</v>
      </c>
      <c r="AD949" t="s">
        <v>794</v>
      </c>
      <c r="AE949" t="s">
        <v>795</v>
      </c>
      <c r="AF949" t="s">
        <v>860</v>
      </c>
      <c r="AG949" t="s">
        <v>861</v>
      </c>
      <c r="AH949">
        <v>214133</v>
      </c>
      <c r="AI949">
        <v>355461</v>
      </c>
      <c r="AJ949">
        <v>7.0000000000000007E-2</v>
      </c>
    </row>
    <row r="950" spans="1:36" x14ac:dyDescent="0.3">
      <c r="A950">
        <f>COUNTIF($D$2:D950,D950)</f>
        <v>17</v>
      </c>
      <c r="B950" t="str">
        <f t="shared" si="57"/>
        <v>17Havering</v>
      </c>
      <c r="C950" t="s">
        <v>3247</v>
      </c>
      <c r="D950" t="s">
        <v>171</v>
      </c>
      <c r="E950">
        <v>4</v>
      </c>
      <c r="F950" t="s">
        <v>1051</v>
      </c>
      <c r="G950" t="s">
        <v>800</v>
      </c>
      <c r="H950" t="s">
        <v>850</v>
      </c>
      <c r="I950" t="s">
        <v>802</v>
      </c>
      <c r="J950">
        <f t="shared" ca="1" si="58"/>
        <v>9624</v>
      </c>
      <c r="K950">
        <f t="shared" ca="1" si="59"/>
        <v>38</v>
      </c>
      <c r="N950" t="str">
        <f t="shared" si="56"/>
        <v>Gateshead2Market Shaping and StabilisationHome Care or Domiciliary CareDomiciliary care packages</v>
      </c>
      <c r="O950" t="s">
        <v>151</v>
      </c>
      <c r="P950" t="s">
        <v>2195</v>
      </c>
      <c r="Q950">
        <v>2</v>
      </c>
      <c r="R950" t="s">
        <v>2868</v>
      </c>
      <c r="S950" t="s">
        <v>3203</v>
      </c>
      <c r="T950" t="s">
        <v>842</v>
      </c>
      <c r="U950" t="s">
        <v>843</v>
      </c>
      <c r="W950">
        <v>20985</v>
      </c>
      <c r="X950">
        <v>20985</v>
      </c>
      <c r="Y950" t="s">
        <v>844</v>
      </c>
      <c r="Z950" t="s">
        <v>792</v>
      </c>
      <c r="AB950" t="s">
        <v>793</v>
      </c>
      <c r="AD950" t="s">
        <v>794</v>
      </c>
      <c r="AE950" t="s">
        <v>795</v>
      </c>
      <c r="AF950" t="s">
        <v>845</v>
      </c>
      <c r="AG950" t="s">
        <v>797</v>
      </c>
      <c r="AH950">
        <v>405000</v>
      </c>
      <c r="AI950">
        <v>405000</v>
      </c>
      <c r="AJ950">
        <v>0.04</v>
      </c>
    </row>
    <row r="951" spans="1:36" x14ac:dyDescent="0.3">
      <c r="A951">
        <f>COUNTIF($D$2:D951,D951)</f>
        <v>18</v>
      </c>
      <c r="B951" t="str">
        <f t="shared" si="57"/>
        <v>18Havering</v>
      </c>
      <c r="C951" t="s">
        <v>3248</v>
      </c>
      <c r="D951" t="s">
        <v>171</v>
      </c>
      <c r="E951">
        <v>7</v>
      </c>
      <c r="F951" t="s">
        <v>3249</v>
      </c>
      <c r="G951" t="s">
        <v>842</v>
      </c>
      <c r="H951" t="s">
        <v>856</v>
      </c>
      <c r="I951" t="s">
        <v>844</v>
      </c>
      <c r="J951">
        <f t="shared" ca="1" si="58"/>
        <v>22090</v>
      </c>
      <c r="K951">
        <f t="shared" ca="1" si="59"/>
        <v>1318</v>
      </c>
      <c r="N951" t="str">
        <f t="shared" si="56"/>
        <v>Gloucestershire2VCS DischargeHome-based intermediate care servicesRehabilitation at home (to support discharge)</v>
      </c>
      <c r="O951" t="s">
        <v>153</v>
      </c>
      <c r="P951" t="s">
        <v>976</v>
      </c>
      <c r="Q951">
        <v>2</v>
      </c>
      <c r="R951" t="s">
        <v>2905</v>
      </c>
      <c r="S951" t="s">
        <v>3250</v>
      </c>
      <c r="T951" t="s">
        <v>787</v>
      </c>
      <c r="U951" t="s">
        <v>1195</v>
      </c>
      <c r="W951">
        <v>1620</v>
      </c>
      <c r="X951">
        <v>1620</v>
      </c>
      <c r="Y951" t="s">
        <v>789</v>
      </c>
      <c r="Z951" t="s">
        <v>823</v>
      </c>
      <c r="AB951" t="s">
        <v>824</v>
      </c>
      <c r="AD951" t="s">
        <v>794</v>
      </c>
      <c r="AE951" t="s">
        <v>825</v>
      </c>
      <c r="AF951" t="s">
        <v>796</v>
      </c>
      <c r="AG951" t="s">
        <v>861</v>
      </c>
      <c r="AH951">
        <v>63100</v>
      </c>
      <c r="AI951">
        <v>64992.999999999993</v>
      </c>
      <c r="AJ951">
        <v>7.4235920530282763E-4</v>
      </c>
    </row>
    <row r="952" spans="1:36" x14ac:dyDescent="0.3">
      <c r="A952">
        <f>COUNTIF($D$2:D952,D952)</f>
        <v>19</v>
      </c>
      <c r="B952" t="str">
        <f t="shared" si="57"/>
        <v>19Havering</v>
      </c>
      <c r="C952" t="s">
        <v>3251</v>
      </c>
      <c r="D952" t="s">
        <v>171</v>
      </c>
      <c r="E952">
        <v>8</v>
      </c>
      <c r="F952" t="s">
        <v>3252</v>
      </c>
      <c r="G952" t="s">
        <v>842</v>
      </c>
      <c r="H952" t="s">
        <v>856</v>
      </c>
      <c r="I952" t="s">
        <v>844</v>
      </c>
      <c r="J952">
        <f t="shared" ca="1" si="58"/>
        <v>8380</v>
      </c>
      <c r="K952">
        <f t="shared" ca="1" si="59"/>
        <v>450</v>
      </c>
      <c r="N952" t="str">
        <f t="shared" si="56"/>
        <v>Gloucestershire8Carers ServiceCarers ServicesOther</v>
      </c>
      <c r="O952" t="s">
        <v>153</v>
      </c>
      <c r="P952" t="s">
        <v>976</v>
      </c>
      <c r="Q952">
        <v>8</v>
      </c>
      <c r="R952" t="s">
        <v>2908</v>
      </c>
      <c r="S952" t="s">
        <v>3253</v>
      </c>
      <c r="T952" t="s">
        <v>811</v>
      </c>
      <c r="U952" t="s">
        <v>812</v>
      </c>
      <c r="V952" t="s">
        <v>3254</v>
      </c>
      <c r="W952">
        <v>13500</v>
      </c>
      <c r="X952">
        <v>16200</v>
      </c>
      <c r="Y952" t="s">
        <v>813</v>
      </c>
      <c r="Z952" t="s">
        <v>823</v>
      </c>
      <c r="AB952" t="s">
        <v>1739</v>
      </c>
      <c r="AC952">
        <v>0.28399999999999997</v>
      </c>
      <c r="AD952">
        <v>0.71599999999999997</v>
      </c>
      <c r="AE952" t="s">
        <v>804</v>
      </c>
      <c r="AF952" t="s">
        <v>796</v>
      </c>
      <c r="AG952" t="s">
        <v>797</v>
      </c>
      <c r="AH952">
        <v>2955664</v>
      </c>
      <c r="AI952">
        <v>2980853.92</v>
      </c>
      <c r="AJ952">
        <v>3.4404914596091865E-2</v>
      </c>
    </row>
    <row r="953" spans="1:36" x14ac:dyDescent="0.3">
      <c r="A953">
        <f>COUNTIF($D$2:D953,D953)</f>
        <v>20</v>
      </c>
      <c r="B953" t="str">
        <f t="shared" si="57"/>
        <v>20Havering</v>
      </c>
      <c r="C953" t="s">
        <v>3255</v>
      </c>
      <c r="D953" t="s">
        <v>171</v>
      </c>
      <c r="E953">
        <v>9</v>
      </c>
      <c r="F953" t="s">
        <v>3246</v>
      </c>
      <c r="G953" t="s">
        <v>842</v>
      </c>
      <c r="H953" t="s">
        <v>843</v>
      </c>
      <c r="I953" t="s">
        <v>844</v>
      </c>
      <c r="J953">
        <f t="shared" ca="1" si="58"/>
        <v>507864</v>
      </c>
      <c r="K953">
        <f t="shared" ca="1" si="59"/>
        <v>23254</v>
      </c>
      <c r="N953" t="str">
        <f t="shared" si="56"/>
        <v>Gloucestershire35Home FirstHome Care or Domiciliary CareDomiciliary care to support hospital discharge (Discharge to Assess pathway 1)</v>
      </c>
      <c r="O953" t="s">
        <v>153</v>
      </c>
      <c r="P953" t="s">
        <v>976</v>
      </c>
      <c r="Q953">
        <v>35</v>
      </c>
      <c r="R953" t="s">
        <v>1977</v>
      </c>
      <c r="S953" t="s">
        <v>3256</v>
      </c>
      <c r="T953" t="s">
        <v>842</v>
      </c>
      <c r="U953" t="s">
        <v>856</v>
      </c>
      <c r="W953">
        <v>2210</v>
      </c>
      <c r="X953">
        <v>3640</v>
      </c>
      <c r="Y953" t="s">
        <v>844</v>
      </c>
      <c r="Z953" t="s">
        <v>812</v>
      </c>
      <c r="AA953" t="s">
        <v>1977</v>
      </c>
      <c r="AB953" t="s">
        <v>793</v>
      </c>
      <c r="AD953" t="s">
        <v>794</v>
      </c>
      <c r="AE953" t="s">
        <v>804</v>
      </c>
      <c r="AF953" t="s">
        <v>845</v>
      </c>
      <c r="AG953" t="s">
        <v>797</v>
      </c>
      <c r="AH953">
        <v>847000</v>
      </c>
      <c r="AI953">
        <v>847000</v>
      </c>
      <c r="AJ953">
        <v>9.8175270606745899E-3</v>
      </c>
    </row>
    <row r="954" spans="1:36" x14ac:dyDescent="0.3">
      <c r="A954">
        <f>COUNTIF($D$2:D954,D954)</f>
        <v>21</v>
      </c>
      <c r="B954" t="str">
        <f t="shared" si="57"/>
        <v>21Havering</v>
      </c>
      <c r="C954" t="s">
        <v>3257</v>
      </c>
      <c r="D954" t="s">
        <v>171</v>
      </c>
      <c r="E954">
        <v>10</v>
      </c>
      <c r="F954" t="s">
        <v>3243</v>
      </c>
      <c r="G954" t="s">
        <v>806</v>
      </c>
      <c r="H954" t="s">
        <v>917</v>
      </c>
      <c r="I954" t="s">
        <v>808</v>
      </c>
      <c r="J954">
        <f t="shared" ca="1" si="58"/>
        <v>298183</v>
      </c>
      <c r="K954">
        <f t="shared" ca="1" si="59"/>
        <v>5</v>
      </c>
      <c r="N954" t="str">
        <f t="shared" si="56"/>
        <v>Greenwich1Disabled Facilities GrantDFG Related SchemesOther</v>
      </c>
      <c r="O954" t="s">
        <v>155</v>
      </c>
      <c r="P954" t="s">
        <v>790</v>
      </c>
      <c r="Q954">
        <v>1</v>
      </c>
      <c r="R954" t="s">
        <v>891</v>
      </c>
      <c r="S954" t="s">
        <v>834</v>
      </c>
      <c r="T954" t="s">
        <v>834</v>
      </c>
      <c r="U954" t="s">
        <v>812</v>
      </c>
      <c r="V954" t="s">
        <v>834</v>
      </c>
      <c r="W954">
        <v>1775</v>
      </c>
      <c r="X954">
        <v>1850</v>
      </c>
      <c r="Y954" t="s">
        <v>836</v>
      </c>
      <c r="Z954" t="s">
        <v>792</v>
      </c>
      <c r="AB954" t="s">
        <v>793</v>
      </c>
      <c r="AD954" t="s">
        <v>794</v>
      </c>
      <c r="AE954" t="s">
        <v>795</v>
      </c>
      <c r="AF954" t="s">
        <v>840</v>
      </c>
      <c r="AG954" t="s">
        <v>797</v>
      </c>
      <c r="AH954">
        <v>2856842</v>
      </c>
      <c r="AI954">
        <v>2856842</v>
      </c>
      <c r="AJ954">
        <v>1</v>
      </c>
    </row>
    <row r="955" spans="1:36" x14ac:dyDescent="0.3">
      <c r="A955">
        <f>COUNTIF($D$2:D955,D955)</f>
        <v>22</v>
      </c>
      <c r="B955" t="str">
        <f t="shared" si="57"/>
        <v>22Havering</v>
      </c>
      <c r="C955" t="s">
        <v>3258</v>
      </c>
      <c r="D955" t="s">
        <v>171</v>
      </c>
      <c r="E955">
        <v>11</v>
      </c>
      <c r="F955" t="s">
        <v>3240</v>
      </c>
      <c r="G955" t="s">
        <v>806</v>
      </c>
      <c r="H955" t="s">
        <v>807</v>
      </c>
      <c r="I955" t="s">
        <v>808</v>
      </c>
      <c r="J955">
        <f t="shared" ca="1" si="58"/>
        <v>585641</v>
      </c>
      <c r="K955">
        <f t="shared" ca="1" si="59"/>
        <v>9</v>
      </c>
      <c r="N955" t="str">
        <f t="shared" si="56"/>
        <v>Greenwich9WheelchairsAssistive Technologies and EquipmentCommunity based equipment</v>
      </c>
      <c r="O955" t="s">
        <v>155</v>
      </c>
      <c r="P955" t="s">
        <v>790</v>
      </c>
      <c r="Q955">
        <v>9</v>
      </c>
      <c r="R955" t="s">
        <v>2914</v>
      </c>
      <c r="S955" t="s">
        <v>3259</v>
      </c>
      <c r="T955" t="s">
        <v>800</v>
      </c>
      <c r="U955" t="s">
        <v>903</v>
      </c>
      <c r="W955">
        <v>3973</v>
      </c>
      <c r="X955">
        <v>4200</v>
      </c>
      <c r="Y955" t="s">
        <v>802</v>
      </c>
      <c r="Z955" t="s">
        <v>823</v>
      </c>
      <c r="AB955" t="s">
        <v>824</v>
      </c>
      <c r="AD955" t="s">
        <v>794</v>
      </c>
      <c r="AE955" t="s">
        <v>832</v>
      </c>
      <c r="AF955" t="s">
        <v>796</v>
      </c>
      <c r="AG955" t="s">
        <v>797</v>
      </c>
      <c r="AH955">
        <v>693533</v>
      </c>
      <c r="AI955">
        <v>732787</v>
      </c>
      <c r="AJ955">
        <v>0.2</v>
      </c>
    </row>
    <row r="956" spans="1:36" x14ac:dyDescent="0.3">
      <c r="A956">
        <f>COUNTIF($D$2:D956,D956)</f>
        <v>23</v>
      </c>
      <c r="B956" t="str">
        <f t="shared" si="57"/>
        <v>23Havering</v>
      </c>
      <c r="C956" t="s">
        <v>3260</v>
      </c>
      <c r="D956" t="s">
        <v>171</v>
      </c>
      <c r="E956">
        <v>12</v>
      </c>
      <c r="F956" t="s">
        <v>3261</v>
      </c>
      <c r="G956" t="s">
        <v>800</v>
      </c>
      <c r="H956" t="s">
        <v>903</v>
      </c>
      <c r="I956" t="s">
        <v>802</v>
      </c>
      <c r="J956">
        <f t="shared" ca="1" si="58"/>
        <v>68000</v>
      </c>
      <c r="K956">
        <f t="shared" ca="1" si="59"/>
        <v>272</v>
      </c>
      <c r="N956" t="str">
        <f t="shared" si="56"/>
        <v>Greenwich10Equipment Budget (ICES)Assistive Technologies and EquipmentCommunity based equipment</v>
      </c>
      <c r="O956" t="s">
        <v>155</v>
      </c>
      <c r="P956" t="s">
        <v>790</v>
      </c>
      <c r="Q956">
        <v>10</v>
      </c>
      <c r="R956" t="s">
        <v>2916</v>
      </c>
      <c r="S956" t="s">
        <v>3262</v>
      </c>
      <c r="T956" t="s">
        <v>800</v>
      </c>
      <c r="U956" t="s">
        <v>903</v>
      </c>
      <c r="W956">
        <v>5709</v>
      </c>
      <c r="X956">
        <v>6100</v>
      </c>
      <c r="Y956" t="s">
        <v>802</v>
      </c>
      <c r="Z956" t="s">
        <v>823</v>
      </c>
      <c r="AB956" t="s">
        <v>824</v>
      </c>
      <c r="AD956" t="s">
        <v>794</v>
      </c>
      <c r="AE956" t="s">
        <v>832</v>
      </c>
      <c r="AF956" t="s">
        <v>796</v>
      </c>
      <c r="AG956" t="s">
        <v>797</v>
      </c>
      <c r="AH956">
        <v>1450000</v>
      </c>
      <c r="AI956">
        <v>1532070</v>
      </c>
      <c r="AJ956">
        <v>0.41</v>
      </c>
    </row>
    <row r="957" spans="1:36" x14ac:dyDescent="0.3">
      <c r="A957">
        <f>COUNTIF($D$2:D957,D957)</f>
        <v>24</v>
      </c>
      <c r="B957" t="str">
        <f t="shared" si="57"/>
        <v>24Havering</v>
      </c>
      <c r="C957" t="s">
        <v>3263</v>
      </c>
      <c r="D957" t="s">
        <v>171</v>
      </c>
      <c r="E957">
        <v>13</v>
      </c>
      <c r="F957" t="s">
        <v>3264</v>
      </c>
      <c r="G957" t="s">
        <v>800</v>
      </c>
      <c r="H957" t="s">
        <v>850</v>
      </c>
      <c r="I957" t="s">
        <v>802</v>
      </c>
      <c r="J957">
        <f t="shared" ca="1" si="58"/>
        <v>52376</v>
      </c>
      <c r="K957">
        <f t="shared" ca="1" si="59"/>
        <v>156</v>
      </c>
      <c r="N957" t="str">
        <f t="shared" si="56"/>
        <v>Greenwich11Discharge to Assess SchemesBed based intermediate Care Services (Reablement, rehabilitation, wider short-term services supporting recovery)Bed-based intermediate care with rehabilitation (to support discharge)</v>
      </c>
      <c r="O957" t="s">
        <v>155</v>
      </c>
      <c r="P957" t="s">
        <v>790</v>
      </c>
      <c r="Q957">
        <v>11</v>
      </c>
      <c r="R957" t="s">
        <v>2918</v>
      </c>
      <c r="S957" t="s">
        <v>3265</v>
      </c>
      <c r="T957" t="s">
        <v>877</v>
      </c>
      <c r="U957" t="s">
        <v>968</v>
      </c>
      <c r="W957">
        <v>120</v>
      </c>
      <c r="X957">
        <v>120</v>
      </c>
      <c r="Y957" t="s">
        <v>879</v>
      </c>
      <c r="Z957" t="s">
        <v>792</v>
      </c>
      <c r="AB957" t="s">
        <v>824</v>
      </c>
      <c r="AD957" t="s">
        <v>794</v>
      </c>
      <c r="AE957" t="s">
        <v>824</v>
      </c>
      <c r="AF957" t="s">
        <v>796</v>
      </c>
      <c r="AG957" t="s">
        <v>797</v>
      </c>
      <c r="AH957">
        <v>440000</v>
      </c>
      <c r="AI957">
        <v>464904</v>
      </c>
      <c r="AJ957">
        <v>0.108</v>
      </c>
    </row>
    <row r="958" spans="1:36" x14ac:dyDescent="0.3">
      <c r="A958">
        <f>COUNTIF($D$2:D958,D958)</f>
        <v>25</v>
      </c>
      <c r="B958" t="str">
        <f t="shared" si="57"/>
        <v>25Havering</v>
      </c>
      <c r="C958" t="s">
        <v>3266</v>
      </c>
      <c r="D958" t="s">
        <v>171</v>
      </c>
      <c r="E958">
        <v>3</v>
      </c>
      <c r="F958" t="s">
        <v>829</v>
      </c>
      <c r="G958" t="s">
        <v>811</v>
      </c>
      <c r="H958" t="s">
        <v>830</v>
      </c>
      <c r="I958" t="s">
        <v>813</v>
      </c>
      <c r="J958">
        <f t="shared" ca="1" si="58"/>
        <v>174572.45554970205</v>
      </c>
      <c r="K958">
        <f t="shared" ca="1" si="59"/>
        <v>11</v>
      </c>
      <c r="N958" t="str">
        <f t="shared" si="56"/>
        <v>Greenwich13ReablementHome-based intermediate care servicesReablement at home (accepting step up and step down users)</v>
      </c>
      <c r="O958" t="s">
        <v>155</v>
      </c>
      <c r="P958" t="s">
        <v>790</v>
      </c>
      <c r="Q958">
        <v>13</v>
      </c>
      <c r="R958" t="s">
        <v>434</v>
      </c>
      <c r="S958" t="s">
        <v>3267</v>
      </c>
      <c r="T958" t="s">
        <v>787</v>
      </c>
      <c r="U958" t="s">
        <v>930</v>
      </c>
      <c r="W958">
        <v>634</v>
      </c>
      <c r="X958">
        <v>747</v>
      </c>
      <c r="Y958" t="s">
        <v>789</v>
      </c>
      <c r="Z958" t="s">
        <v>792</v>
      </c>
      <c r="AB958" t="s">
        <v>793</v>
      </c>
      <c r="AD958" t="s">
        <v>794</v>
      </c>
      <c r="AE958" t="s">
        <v>795</v>
      </c>
      <c r="AF958" t="s">
        <v>796</v>
      </c>
      <c r="AG958" t="s">
        <v>797</v>
      </c>
      <c r="AH958">
        <v>1612000</v>
      </c>
      <c r="AI958">
        <v>1612000</v>
      </c>
      <c r="AJ958">
        <v>0.11252146616578876</v>
      </c>
    </row>
    <row r="959" spans="1:36" x14ac:dyDescent="0.3">
      <c r="A959">
        <f>COUNTIF($D$2:D959,D959)</f>
        <v>1</v>
      </c>
      <c r="B959" t="str">
        <f t="shared" si="57"/>
        <v>1Herefordshire, County of</v>
      </c>
      <c r="C959" t="s">
        <v>3268</v>
      </c>
      <c r="D959" t="s">
        <v>173</v>
      </c>
      <c r="E959">
        <v>52</v>
      </c>
      <c r="F959" t="s">
        <v>3269</v>
      </c>
      <c r="G959" t="s">
        <v>787</v>
      </c>
      <c r="H959" t="s">
        <v>930</v>
      </c>
      <c r="I959" t="s">
        <v>789</v>
      </c>
      <c r="J959">
        <f t="shared" ca="1" si="58"/>
        <v>2363048</v>
      </c>
      <c r="K959">
        <f t="shared" ca="1" si="59"/>
        <v>1322</v>
      </c>
      <c r="N959" t="str">
        <f t="shared" si="56"/>
        <v>Greenwich16Care and support (Care workers supporting residents to stay in their own homes)Home Care or Domiciliary CareDomiciliary care packages</v>
      </c>
      <c r="O959" t="s">
        <v>155</v>
      </c>
      <c r="P959" t="s">
        <v>790</v>
      </c>
      <c r="Q959">
        <v>16</v>
      </c>
      <c r="R959" t="s">
        <v>2923</v>
      </c>
      <c r="S959" t="s">
        <v>3270</v>
      </c>
      <c r="T959" t="s">
        <v>842</v>
      </c>
      <c r="U959" t="s">
        <v>843</v>
      </c>
      <c r="W959">
        <v>1230736</v>
      </c>
      <c r="X959">
        <v>1255350.72</v>
      </c>
      <c r="Y959" t="s">
        <v>844</v>
      </c>
      <c r="Z959" t="s">
        <v>792</v>
      </c>
      <c r="AB959" t="s">
        <v>793</v>
      </c>
      <c r="AD959" t="s">
        <v>794</v>
      </c>
      <c r="AE959" t="s">
        <v>804</v>
      </c>
      <c r="AF959" t="s">
        <v>796</v>
      </c>
      <c r="AG959" t="s">
        <v>797</v>
      </c>
      <c r="AH959">
        <v>5837756</v>
      </c>
      <c r="AI959">
        <v>5923249</v>
      </c>
      <c r="AJ959">
        <v>0.28249267349574386</v>
      </c>
    </row>
    <row r="960" spans="1:36" x14ac:dyDescent="0.3">
      <c r="A960">
        <f>COUNTIF($D$2:D960,D960)</f>
        <v>2</v>
      </c>
      <c r="B960" t="str">
        <f t="shared" si="57"/>
        <v>2Herefordshire, County of</v>
      </c>
      <c r="C960" t="s">
        <v>3271</v>
      </c>
      <c r="D960" t="s">
        <v>173</v>
      </c>
      <c r="E960">
        <v>57</v>
      </c>
      <c r="F960" t="s">
        <v>1781</v>
      </c>
      <c r="G960" t="s">
        <v>811</v>
      </c>
      <c r="H960" t="s">
        <v>830</v>
      </c>
      <c r="I960" t="s">
        <v>813</v>
      </c>
      <c r="J960">
        <f t="shared" ca="1" si="58"/>
        <v>298782</v>
      </c>
      <c r="K960">
        <f t="shared" ca="1" si="59"/>
        <v>308</v>
      </c>
      <c r="N960" t="str">
        <f t="shared" si="56"/>
        <v>Greenwich17Double handed supportHome Care or Domiciliary CareDomiciliary care packages</v>
      </c>
      <c r="O960" t="s">
        <v>155</v>
      </c>
      <c r="P960" t="s">
        <v>790</v>
      </c>
      <c r="Q960">
        <v>17</v>
      </c>
      <c r="R960" t="s">
        <v>2926</v>
      </c>
      <c r="S960" t="s">
        <v>3272</v>
      </c>
      <c r="T960" t="s">
        <v>842</v>
      </c>
      <c r="U960" t="s">
        <v>843</v>
      </c>
      <c r="W960">
        <v>1230736</v>
      </c>
      <c r="X960">
        <v>1255350.72</v>
      </c>
      <c r="Y960" t="s">
        <v>844</v>
      </c>
      <c r="Z960" t="s">
        <v>792</v>
      </c>
      <c r="AB960" t="s">
        <v>793</v>
      </c>
      <c r="AD960" t="s">
        <v>794</v>
      </c>
      <c r="AE960" t="s">
        <v>832</v>
      </c>
      <c r="AF960" t="s">
        <v>796</v>
      </c>
      <c r="AG960" t="s">
        <v>797</v>
      </c>
      <c r="AH960">
        <v>1450276.5</v>
      </c>
      <c r="AI960">
        <v>1535769</v>
      </c>
      <c r="AJ960">
        <v>7.0179789253447755E-2</v>
      </c>
    </row>
    <row r="961" spans="1:36" x14ac:dyDescent="0.3">
      <c r="A961">
        <f>COUNTIF($D$2:D961,D961)</f>
        <v>3</v>
      </c>
      <c r="B961" t="str">
        <f t="shared" si="57"/>
        <v>3Herefordshire, County of</v>
      </c>
      <c r="C961" t="s">
        <v>3273</v>
      </c>
      <c r="D961" t="s">
        <v>173</v>
      </c>
      <c r="E961">
        <v>60</v>
      </c>
      <c r="F961" t="s">
        <v>3274</v>
      </c>
      <c r="G961" t="s">
        <v>877</v>
      </c>
      <c r="H961" t="s">
        <v>1015</v>
      </c>
      <c r="I961" t="s">
        <v>808</v>
      </c>
      <c r="J961">
        <f t="shared" ca="1" si="58"/>
        <v>5618768</v>
      </c>
      <c r="K961">
        <f t="shared" ca="1" si="59"/>
        <v>657</v>
      </c>
      <c r="N961" t="str">
        <f t="shared" si="56"/>
        <v>Greenwich10Equipment Budget (ICES)Assistive Technologies and EquipmentCommunity based equipment</v>
      </c>
      <c r="O961" t="s">
        <v>155</v>
      </c>
      <c r="P961" t="s">
        <v>790</v>
      </c>
      <c r="Q961">
        <v>10</v>
      </c>
      <c r="R961" t="s">
        <v>2916</v>
      </c>
      <c r="S961" t="s">
        <v>3275</v>
      </c>
      <c r="T961" t="s">
        <v>800</v>
      </c>
      <c r="U961" t="s">
        <v>903</v>
      </c>
      <c r="W961">
        <v>5709</v>
      </c>
      <c r="X961">
        <v>6100</v>
      </c>
      <c r="Y961" t="s">
        <v>802</v>
      </c>
      <c r="Z961" t="s">
        <v>792</v>
      </c>
      <c r="AB961" t="s">
        <v>793</v>
      </c>
      <c r="AD961" t="s">
        <v>794</v>
      </c>
      <c r="AE961" t="s">
        <v>804</v>
      </c>
      <c r="AF961" t="s">
        <v>796</v>
      </c>
      <c r="AG961" t="s">
        <v>797</v>
      </c>
      <c r="AH961">
        <v>191741.55390014901</v>
      </c>
      <c r="AI961">
        <v>191742</v>
      </c>
      <c r="AJ961">
        <v>0.05</v>
      </c>
    </row>
    <row r="962" spans="1:36" x14ac:dyDescent="0.3">
      <c r="A962">
        <f>COUNTIF($D$2:D962,D962)</f>
        <v>4</v>
      </c>
      <c r="B962" t="str">
        <f t="shared" si="57"/>
        <v>4Herefordshire, County of</v>
      </c>
      <c r="C962" t="s">
        <v>3276</v>
      </c>
      <c r="D962" t="s">
        <v>173</v>
      </c>
      <c r="E962">
        <v>33</v>
      </c>
      <c r="F962" t="s">
        <v>891</v>
      </c>
      <c r="G962" t="s">
        <v>834</v>
      </c>
      <c r="H962" t="s">
        <v>835</v>
      </c>
      <c r="I962" t="s">
        <v>836</v>
      </c>
      <c r="J962">
        <f t="shared" ca="1" si="58"/>
        <v>2268653</v>
      </c>
      <c r="K962">
        <f t="shared" ca="1" si="59"/>
        <v>165</v>
      </c>
      <c r="N962" t="str">
        <f t="shared" ref="N962:N1025" si="60">O962&amp;Q962&amp;R962&amp;T962&amp;U962</f>
        <v>Greenwich11Discharge to Assess SchemesBed based intermediate Care Services (Reablement, rehabilitation, wider short-term services supporting recovery)Bed-based intermediate care with rehabilitation (to support discharge)</v>
      </c>
      <c r="O962" t="s">
        <v>155</v>
      </c>
      <c r="P962" t="s">
        <v>790</v>
      </c>
      <c r="Q962">
        <v>11</v>
      </c>
      <c r="R962" t="s">
        <v>2918</v>
      </c>
      <c r="S962" t="s">
        <v>3277</v>
      </c>
      <c r="T962" t="s">
        <v>877</v>
      </c>
      <c r="U962" t="s">
        <v>968</v>
      </c>
      <c r="W962">
        <v>120</v>
      </c>
      <c r="X962">
        <v>120</v>
      </c>
      <c r="Y962" t="s">
        <v>879</v>
      </c>
      <c r="Z962" t="s">
        <v>792</v>
      </c>
      <c r="AB962" t="s">
        <v>793</v>
      </c>
      <c r="AD962" t="s">
        <v>794</v>
      </c>
      <c r="AE962" t="s">
        <v>824</v>
      </c>
      <c r="AF962" t="s">
        <v>796</v>
      </c>
      <c r="AG962" t="s">
        <v>797</v>
      </c>
      <c r="AH962">
        <v>503178</v>
      </c>
      <c r="AI962">
        <v>503178</v>
      </c>
      <c r="AJ962">
        <v>0.12306909977238172</v>
      </c>
    </row>
    <row r="963" spans="1:36" x14ac:dyDescent="0.3">
      <c r="A963">
        <f>COUNTIF($D$2:D963,D963)</f>
        <v>5</v>
      </c>
      <c r="B963" t="str">
        <f t="shared" ref="B963:B1026" si="61">A963&amp;D963</f>
        <v>5Herefordshire, County of</v>
      </c>
      <c r="C963" t="s">
        <v>3278</v>
      </c>
      <c r="D963" t="s">
        <v>173</v>
      </c>
      <c r="E963">
        <v>154</v>
      </c>
      <c r="F963" t="s">
        <v>3279</v>
      </c>
      <c r="G963" t="s">
        <v>806</v>
      </c>
      <c r="H963" t="s">
        <v>812</v>
      </c>
      <c r="I963" t="s">
        <v>808</v>
      </c>
      <c r="J963">
        <f t="shared" ref="J963:J1026" ca="1" si="62">SUMIF($N:$AI,C963,AH:AH)</f>
        <v>163728</v>
      </c>
      <c r="K963">
        <f t="shared" ref="K963:K1026" ca="1" si="63">SUMIF($N:$AI,C963,W:W)</f>
        <v>57</v>
      </c>
      <c r="N963" t="str">
        <f t="shared" si="60"/>
        <v>Greenwich19Home CareHome Care or Domiciliary CareDomiciliary care packages</v>
      </c>
      <c r="O963" t="s">
        <v>155</v>
      </c>
      <c r="P963" t="s">
        <v>790</v>
      </c>
      <c r="Q963">
        <v>19</v>
      </c>
      <c r="R963" t="s">
        <v>1447</v>
      </c>
      <c r="S963" t="s">
        <v>3270</v>
      </c>
      <c r="T963" t="s">
        <v>842</v>
      </c>
      <c r="U963" t="s">
        <v>843</v>
      </c>
      <c r="W963">
        <v>1230736</v>
      </c>
      <c r="X963">
        <v>1255350.72</v>
      </c>
      <c r="Y963" t="s">
        <v>844</v>
      </c>
      <c r="Z963" t="s">
        <v>792</v>
      </c>
      <c r="AB963" t="s">
        <v>793</v>
      </c>
      <c r="AD963" t="s">
        <v>794</v>
      </c>
      <c r="AE963" t="s">
        <v>795</v>
      </c>
      <c r="AF963" t="s">
        <v>845</v>
      </c>
      <c r="AG963" t="s">
        <v>797</v>
      </c>
      <c r="AH963">
        <v>4616715</v>
      </c>
      <c r="AI963">
        <v>4616714.5426000003</v>
      </c>
      <c r="AJ963">
        <v>0.22340573383298359</v>
      </c>
    </row>
    <row r="964" spans="1:36" x14ac:dyDescent="0.3">
      <c r="A964">
        <f>COUNTIF($D$2:D964,D964)</f>
        <v>6</v>
      </c>
      <c r="B964" t="str">
        <f t="shared" si="61"/>
        <v>6Herefordshire, County of</v>
      </c>
      <c r="C964" t="s">
        <v>3280</v>
      </c>
      <c r="D964" t="s">
        <v>173</v>
      </c>
      <c r="E964">
        <v>401</v>
      </c>
      <c r="F964" t="s">
        <v>3269</v>
      </c>
      <c r="G964" t="s">
        <v>787</v>
      </c>
      <c r="H964" t="s">
        <v>930</v>
      </c>
      <c r="I964" t="s">
        <v>789</v>
      </c>
      <c r="J964">
        <f t="shared" ca="1" si="62"/>
        <v>217605</v>
      </c>
      <c r="K964">
        <f t="shared" ca="1" si="63"/>
        <v>120</v>
      </c>
      <c r="N964" t="str">
        <f t="shared" si="60"/>
        <v>Greenwich20Discharge to Assess (Bed Based Care)Bed based intermediate Care Services (Reablement, rehabilitation, wider short-term services supporting recovery)Bed-based intermediate care with reablement (to support discharge)</v>
      </c>
      <c r="O964" t="s">
        <v>155</v>
      </c>
      <c r="P964" t="s">
        <v>790</v>
      </c>
      <c r="Q964">
        <v>20</v>
      </c>
      <c r="R964" t="s">
        <v>2930</v>
      </c>
      <c r="S964" t="s">
        <v>3281</v>
      </c>
      <c r="T964" t="s">
        <v>877</v>
      </c>
      <c r="U964" t="s">
        <v>878</v>
      </c>
      <c r="W964">
        <v>120</v>
      </c>
      <c r="X964">
        <v>120</v>
      </c>
      <c r="Y964" t="s">
        <v>879</v>
      </c>
      <c r="Z964" t="s">
        <v>792</v>
      </c>
      <c r="AB964" t="s">
        <v>793</v>
      </c>
      <c r="AD964" t="s">
        <v>794</v>
      </c>
      <c r="AE964" t="s">
        <v>795</v>
      </c>
      <c r="AF964" t="s">
        <v>845</v>
      </c>
      <c r="AG964" t="s">
        <v>797</v>
      </c>
      <c r="AH964">
        <v>925708</v>
      </c>
      <c r="AI964">
        <v>925708.43</v>
      </c>
      <c r="AJ964">
        <v>0.22</v>
      </c>
    </row>
    <row r="965" spans="1:36" x14ac:dyDescent="0.3">
      <c r="A965">
        <f>COUNTIF($D$2:D965,D965)</f>
        <v>1</v>
      </c>
      <c r="B965" t="str">
        <f t="shared" si="61"/>
        <v>1Hertfordshire</v>
      </c>
      <c r="C965" t="s">
        <v>3282</v>
      </c>
      <c r="D965" t="s">
        <v>175</v>
      </c>
      <c r="E965">
        <v>1</v>
      </c>
      <c r="F965" t="s">
        <v>3283</v>
      </c>
      <c r="G965" t="s">
        <v>834</v>
      </c>
      <c r="H965" t="s">
        <v>835</v>
      </c>
      <c r="I965" t="s">
        <v>836</v>
      </c>
      <c r="J965">
        <f t="shared" ca="1" si="62"/>
        <v>4958604</v>
      </c>
      <c r="K965">
        <f t="shared" ca="1" si="63"/>
        <v>660</v>
      </c>
      <c r="N965" t="str">
        <f t="shared" si="60"/>
        <v>Greenwich23Neighbourhood Resource CentresResidential PlacementsCare home</v>
      </c>
      <c r="O965" t="s">
        <v>155</v>
      </c>
      <c r="P965" t="s">
        <v>790</v>
      </c>
      <c r="Q965">
        <v>23</v>
      </c>
      <c r="R965" t="s">
        <v>2933</v>
      </c>
      <c r="S965" t="s">
        <v>3284</v>
      </c>
      <c r="T965" t="s">
        <v>806</v>
      </c>
      <c r="U965" t="s">
        <v>807</v>
      </c>
      <c r="W965">
        <v>167</v>
      </c>
      <c r="X965">
        <v>167</v>
      </c>
      <c r="Y965" t="s">
        <v>808</v>
      </c>
      <c r="Z965" t="s">
        <v>792</v>
      </c>
      <c r="AB965" t="s">
        <v>793</v>
      </c>
      <c r="AD965" t="s">
        <v>794</v>
      </c>
      <c r="AE965" t="s">
        <v>795</v>
      </c>
      <c r="AF965" t="s">
        <v>845</v>
      </c>
      <c r="AG965" t="s">
        <v>797</v>
      </c>
      <c r="AH965">
        <v>669367.36459999997</v>
      </c>
      <c r="AI965">
        <v>669367.36459999997</v>
      </c>
      <c r="AJ965">
        <v>2.1271414316884084E-2</v>
      </c>
    </row>
    <row r="966" spans="1:36" x14ac:dyDescent="0.3">
      <c r="A966">
        <f>COUNTIF($D$2:D966,D966)</f>
        <v>2</v>
      </c>
      <c r="B966" t="str">
        <f t="shared" si="61"/>
        <v>2Hertfordshire</v>
      </c>
      <c r="C966" t="s">
        <v>3285</v>
      </c>
      <c r="D966" t="s">
        <v>175</v>
      </c>
      <c r="E966">
        <v>2</v>
      </c>
      <c r="F966" t="s">
        <v>3286</v>
      </c>
      <c r="G966" t="s">
        <v>834</v>
      </c>
      <c r="H966" t="s">
        <v>835</v>
      </c>
      <c r="I966" t="s">
        <v>836</v>
      </c>
      <c r="J966">
        <f t="shared" ca="1" si="62"/>
        <v>3305284</v>
      </c>
      <c r="K966">
        <f t="shared" ca="1" si="63"/>
        <v>351</v>
      </c>
      <c r="N966" t="str">
        <f t="shared" si="60"/>
        <v>Greenwich22Residential and Nursing pressureResidential PlacementsCare home</v>
      </c>
      <c r="O966" t="s">
        <v>155</v>
      </c>
      <c r="P966" t="s">
        <v>790</v>
      </c>
      <c r="Q966">
        <v>22</v>
      </c>
      <c r="R966" t="s">
        <v>2936</v>
      </c>
      <c r="S966" t="s">
        <v>3287</v>
      </c>
      <c r="T966" t="s">
        <v>806</v>
      </c>
      <c r="U966" t="s">
        <v>807</v>
      </c>
      <c r="W966">
        <v>450</v>
      </c>
      <c r="X966">
        <v>487</v>
      </c>
      <c r="Y966" t="s">
        <v>808</v>
      </c>
      <c r="Z966" t="s">
        <v>792</v>
      </c>
      <c r="AB966" t="s">
        <v>793</v>
      </c>
      <c r="AD966" t="s">
        <v>794</v>
      </c>
      <c r="AE966" t="s">
        <v>795</v>
      </c>
      <c r="AF966" t="s">
        <v>845</v>
      </c>
      <c r="AG966" t="s">
        <v>797</v>
      </c>
      <c r="AH966">
        <v>4815404</v>
      </c>
      <c r="AI966">
        <v>4815403.6673940998</v>
      </c>
      <c r="AJ966">
        <v>0.15302576582649977</v>
      </c>
    </row>
    <row r="967" spans="1:36" x14ac:dyDescent="0.3">
      <c r="A967">
        <f>COUNTIF($D$2:D967,D967)</f>
        <v>3</v>
      </c>
      <c r="B967" t="str">
        <f t="shared" si="61"/>
        <v>3Hertfordshire</v>
      </c>
      <c r="C967" t="s">
        <v>3288</v>
      </c>
      <c r="D967" t="s">
        <v>175</v>
      </c>
      <c r="E967">
        <v>3</v>
      </c>
      <c r="F967" t="s">
        <v>3289</v>
      </c>
      <c r="G967" t="s">
        <v>842</v>
      </c>
      <c r="H967" t="s">
        <v>843</v>
      </c>
      <c r="I967" t="s">
        <v>844</v>
      </c>
      <c r="J967">
        <f t="shared" ca="1" si="62"/>
        <v>21102000</v>
      </c>
      <c r="K967">
        <f t="shared" ca="1" si="63"/>
        <v>753328</v>
      </c>
      <c r="N967" t="str">
        <f t="shared" si="60"/>
        <v>Greenwich13Reablement Home-based intermediate care servicesReablement at home (accepting step up and step down users)</v>
      </c>
      <c r="O967" t="s">
        <v>155</v>
      </c>
      <c r="P967" t="s">
        <v>790</v>
      </c>
      <c r="Q967">
        <v>13</v>
      </c>
      <c r="R967" t="s">
        <v>2939</v>
      </c>
      <c r="S967" t="s">
        <v>3290</v>
      </c>
      <c r="T967" t="s">
        <v>787</v>
      </c>
      <c r="U967" t="s">
        <v>930</v>
      </c>
      <c r="W967">
        <v>634</v>
      </c>
      <c r="X967">
        <v>747</v>
      </c>
      <c r="Y967" t="s">
        <v>789</v>
      </c>
      <c r="Z967" t="s">
        <v>792</v>
      </c>
      <c r="AB967" t="s">
        <v>793</v>
      </c>
      <c r="AD967" t="s">
        <v>794</v>
      </c>
      <c r="AE967" t="s">
        <v>795</v>
      </c>
      <c r="AF967" t="s">
        <v>845</v>
      </c>
      <c r="AG967" t="s">
        <v>797</v>
      </c>
      <c r="AH967">
        <v>385000</v>
      </c>
      <c r="AI967">
        <v>385000</v>
      </c>
      <c r="AJ967">
        <v>2.6873923370861461E-2</v>
      </c>
    </row>
    <row r="968" spans="1:36" x14ac:dyDescent="0.3">
      <c r="A968">
        <f>COUNTIF($D$2:D968,D968)</f>
        <v>4</v>
      </c>
      <c r="B968" t="str">
        <f t="shared" si="61"/>
        <v>4Hertfordshire</v>
      </c>
      <c r="C968" t="s">
        <v>3291</v>
      </c>
      <c r="D968" t="s">
        <v>175</v>
      </c>
      <c r="E968">
        <v>7</v>
      </c>
      <c r="F968" t="s">
        <v>3292</v>
      </c>
      <c r="G968" t="s">
        <v>806</v>
      </c>
      <c r="H968" t="s">
        <v>807</v>
      </c>
      <c r="I968" t="s">
        <v>808</v>
      </c>
      <c r="J968">
        <f t="shared" ca="1" si="62"/>
        <v>49715024</v>
      </c>
      <c r="K968">
        <f t="shared" ca="1" si="63"/>
        <v>1818</v>
      </c>
      <c r="N968" t="str">
        <f t="shared" si="60"/>
        <v>Greenwich24Extra Care Residential PlacementsExtra care</v>
      </c>
      <c r="O968" t="s">
        <v>155</v>
      </c>
      <c r="P968" t="s">
        <v>790</v>
      </c>
      <c r="Q968">
        <v>24</v>
      </c>
      <c r="R968" t="s">
        <v>2942</v>
      </c>
      <c r="S968" t="s">
        <v>3287</v>
      </c>
      <c r="T968" t="s">
        <v>806</v>
      </c>
      <c r="U968" t="s">
        <v>934</v>
      </c>
      <c r="W968">
        <v>159</v>
      </c>
      <c r="X968">
        <v>159</v>
      </c>
      <c r="Y968" t="s">
        <v>808</v>
      </c>
      <c r="Z968" t="s">
        <v>792</v>
      </c>
      <c r="AB968" t="s">
        <v>793</v>
      </c>
      <c r="AD968" t="s">
        <v>794</v>
      </c>
      <c r="AE968" t="s">
        <v>795</v>
      </c>
      <c r="AF968" t="s">
        <v>845</v>
      </c>
      <c r="AG968" t="s">
        <v>797</v>
      </c>
      <c r="AH968">
        <v>245000</v>
      </c>
      <c r="AI968">
        <v>245000</v>
      </c>
      <c r="AJ968">
        <v>7.785704507346101E-3</v>
      </c>
    </row>
    <row r="969" spans="1:36" x14ac:dyDescent="0.3">
      <c r="A969">
        <f>COUNTIF($D$2:D969,D969)</f>
        <v>5</v>
      </c>
      <c r="B969" t="str">
        <f t="shared" si="61"/>
        <v>5Hertfordshire</v>
      </c>
      <c r="C969" t="s">
        <v>3293</v>
      </c>
      <c r="D969" t="s">
        <v>175</v>
      </c>
      <c r="E969">
        <v>8</v>
      </c>
      <c r="F969" t="s">
        <v>3294</v>
      </c>
      <c r="G969" t="s">
        <v>842</v>
      </c>
      <c r="H969" t="s">
        <v>843</v>
      </c>
      <c r="I969" t="s">
        <v>844</v>
      </c>
      <c r="J969">
        <f t="shared" ca="1" si="62"/>
        <v>15229526</v>
      </c>
      <c r="K969">
        <f t="shared" ca="1" si="63"/>
        <v>1079603</v>
      </c>
      <c r="N969" t="str">
        <f t="shared" si="60"/>
        <v>Greenwich28Facilitate discharges of people from acute beds back homeHome Care or Domiciliary CareDomiciliary care to support hospital discharge (Discharge to Assess pathway 1)</v>
      </c>
      <c r="O969" t="s">
        <v>155</v>
      </c>
      <c r="P969" t="s">
        <v>790</v>
      </c>
      <c r="Q969">
        <v>28</v>
      </c>
      <c r="R969" t="s">
        <v>2945</v>
      </c>
      <c r="S969" t="s">
        <v>3295</v>
      </c>
      <c r="T969" t="s">
        <v>842</v>
      </c>
      <c r="U969" t="s">
        <v>856</v>
      </c>
      <c r="W969">
        <v>56018</v>
      </c>
      <c r="X969">
        <v>92989.88</v>
      </c>
      <c r="Y969" t="s">
        <v>844</v>
      </c>
      <c r="Z969" t="s">
        <v>792</v>
      </c>
      <c r="AB969" t="s">
        <v>793</v>
      </c>
      <c r="AD969" t="s">
        <v>794</v>
      </c>
      <c r="AE969" t="s">
        <v>804</v>
      </c>
      <c r="AF969" t="s">
        <v>864</v>
      </c>
      <c r="AG969" t="s">
        <v>861</v>
      </c>
      <c r="AH969">
        <v>638000</v>
      </c>
      <c r="AI969">
        <v>1059080</v>
      </c>
      <c r="AJ969">
        <v>0.04</v>
      </c>
    </row>
    <row r="970" spans="1:36" x14ac:dyDescent="0.3">
      <c r="A970">
        <f>COUNTIF($D$2:D970,D970)</f>
        <v>6</v>
      </c>
      <c r="B970" t="str">
        <f t="shared" si="61"/>
        <v>6Hertfordshire</v>
      </c>
      <c r="C970" t="s">
        <v>3296</v>
      </c>
      <c r="D970" t="s">
        <v>175</v>
      </c>
      <c r="E970">
        <v>11</v>
      </c>
      <c r="F970" t="s">
        <v>3297</v>
      </c>
      <c r="G970" t="s">
        <v>800</v>
      </c>
      <c r="H970" t="s">
        <v>850</v>
      </c>
      <c r="I970" t="s">
        <v>802</v>
      </c>
      <c r="J970">
        <f t="shared" ca="1" si="62"/>
        <v>831385</v>
      </c>
      <c r="K970">
        <f t="shared" ca="1" si="63"/>
        <v>11800</v>
      </c>
      <c r="N970" t="str">
        <f t="shared" si="60"/>
        <v>Greenwich29Facilitate discharges of people from acute beds into a residential placementResidential PlacementsShort term residential care (without rehabilitation or reablement input)</v>
      </c>
      <c r="O970" t="s">
        <v>155</v>
      </c>
      <c r="P970" t="s">
        <v>790</v>
      </c>
      <c r="Q970">
        <v>29</v>
      </c>
      <c r="R970" t="s">
        <v>2948</v>
      </c>
      <c r="S970" t="s">
        <v>3298</v>
      </c>
      <c r="T970" t="s">
        <v>806</v>
      </c>
      <c r="U970" t="s">
        <v>955</v>
      </c>
      <c r="W970">
        <v>119</v>
      </c>
      <c r="X970">
        <v>125</v>
      </c>
      <c r="Y970" t="s">
        <v>808</v>
      </c>
      <c r="Z970" t="s">
        <v>792</v>
      </c>
      <c r="AB970" t="s">
        <v>793</v>
      </c>
      <c r="AD970" t="s">
        <v>794</v>
      </c>
      <c r="AE970" t="s">
        <v>804</v>
      </c>
      <c r="AF970" t="s">
        <v>864</v>
      </c>
      <c r="AG970" t="s">
        <v>861</v>
      </c>
      <c r="AH970">
        <v>176000</v>
      </c>
      <c r="AI970">
        <v>292160</v>
      </c>
      <c r="AJ970">
        <v>5.5929958909914845E-3</v>
      </c>
    </row>
    <row r="971" spans="1:36" x14ac:dyDescent="0.3">
      <c r="A971">
        <f>COUNTIF($D$2:D971,D971)</f>
        <v>7</v>
      </c>
      <c r="B971" t="str">
        <f t="shared" si="61"/>
        <v>7Hertfordshire</v>
      </c>
      <c r="C971" t="s">
        <v>3299</v>
      </c>
      <c r="D971" t="s">
        <v>175</v>
      </c>
      <c r="E971">
        <v>13</v>
      </c>
      <c r="F971" t="s">
        <v>3300</v>
      </c>
      <c r="G971" t="s">
        <v>877</v>
      </c>
      <c r="H971" t="s">
        <v>812</v>
      </c>
      <c r="I971" t="s">
        <v>879</v>
      </c>
      <c r="J971">
        <f t="shared" ca="1" si="62"/>
        <v>1198262</v>
      </c>
      <c r="K971">
        <f t="shared" ca="1" si="63"/>
        <v>168</v>
      </c>
      <c r="N971" t="str">
        <f t="shared" si="60"/>
        <v>Greenwich29Facilitate discharges of people from acute beds into a nursing placementResidential PlacementsNursing home</v>
      </c>
      <c r="O971" t="s">
        <v>155</v>
      </c>
      <c r="P971" t="s">
        <v>790</v>
      </c>
      <c r="Q971">
        <v>29</v>
      </c>
      <c r="R971" t="s">
        <v>2952</v>
      </c>
      <c r="S971" t="s">
        <v>3301</v>
      </c>
      <c r="T971" t="s">
        <v>806</v>
      </c>
      <c r="U971" t="s">
        <v>917</v>
      </c>
      <c r="W971">
        <v>193</v>
      </c>
      <c r="X971">
        <v>210</v>
      </c>
      <c r="Y971" t="s">
        <v>808</v>
      </c>
      <c r="Z971" t="s">
        <v>792</v>
      </c>
      <c r="AB971" t="s">
        <v>793</v>
      </c>
      <c r="AD971" t="s">
        <v>794</v>
      </c>
      <c r="AE971" t="s">
        <v>804</v>
      </c>
      <c r="AF971" t="s">
        <v>864</v>
      </c>
      <c r="AG971" t="s">
        <v>861</v>
      </c>
      <c r="AH971">
        <v>268000</v>
      </c>
      <c r="AI971">
        <v>444880</v>
      </c>
      <c r="AJ971">
        <v>8.5166073794643062E-3</v>
      </c>
    </row>
    <row r="972" spans="1:36" x14ac:dyDescent="0.3">
      <c r="A972">
        <f>COUNTIF($D$2:D972,D972)</f>
        <v>8</v>
      </c>
      <c r="B972" t="str">
        <f t="shared" si="61"/>
        <v>8Hertfordshire</v>
      </c>
      <c r="C972" t="s">
        <v>3302</v>
      </c>
      <c r="D972" t="s">
        <v>175</v>
      </c>
      <c r="E972">
        <v>16</v>
      </c>
      <c r="F972" t="s">
        <v>3303</v>
      </c>
      <c r="G972" t="s">
        <v>787</v>
      </c>
      <c r="H972" t="s">
        <v>812</v>
      </c>
      <c r="I972" t="s">
        <v>789</v>
      </c>
      <c r="J972">
        <f t="shared" ca="1" si="62"/>
        <v>9417410</v>
      </c>
      <c r="K972">
        <f t="shared" ca="1" si="63"/>
        <v>4306</v>
      </c>
      <c r="N972" t="str">
        <f t="shared" si="60"/>
        <v>Hackney1Service to Support CarersCarers ServicesCarer advice and support related to Care Act duties</v>
      </c>
      <c r="O972" t="s">
        <v>157</v>
      </c>
      <c r="P972" t="s">
        <v>790</v>
      </c>
      <c r="Q972">
        <v>1</v>
      </c>
      <c r="R972" t="s">
        <v>2955</v>
      </c>
      <c r="S972" t="s">
        <v>3304</v>
      </c>
      <c r="T972" t="s">
        <v>811</v>
      </c>
      <c r="U972" t="s">
        <v>895</v>
      </c>
      <c r="W972">
        <v>601</v>
      </c>
      <c r="X972">
        <v>601</v>
      </c>
      <c r="Y972" t="s">
        <v>813</v>
      </c>
      <c r="Z972" t="s">
        <v>812</v>
      </c>
      <c r="AA972" t="s">
        <v>3305</v>
      </c>
      <c r="AB972" t="s">
        <v>793</v>
      </c>
      <c r="AD972" t="s">
        <v>794</v>
      </c>
      <c r="AE972" t="s">
        <v>825</v>
      </c>
      <c r="AF972" t="s">
        <v>796</v>
      </c>
      <c r="AG972" t="s">
        <v>797</v>
      </c>
      <c r="AH972">
        <v>741176</v>
      </c>
      <c r="AI972">
        <v>741176</v>
      </c>
      <c r="AJ972">
        <v>1</v>
      </c>
    </row>
    <row r="973" spans="1:36" x14ac:dyDescent="0.3">
      <c r="A973">
        <f>COUNTIF($D$2:D973,D973)</f>
        <v>9</v>
      </c>
      <c r="B973" t="str">
        <f t="shared" si="61"/>
        <v>9Hertfordshire</v>
      </c>
      <c r="C973" t="s">
        <v>3306</v>
      </c>
      <c r="D973" t="s">
        <v>175</v>
      </c>
      <c r="E973">
        <v>17</v>
      </c>
      <c r="F973" t="s">
        <v>3307</v>
      </c>
      <c r="G973" t="s">
        <v>806</v>
      </c>
      <c r="H973" t="s">
        <v>807</v>
      </c>
      <c r="I973" t="s">
        <v>808</v>
      </c>
      <c r="J973">
        <f t="shared" ca="1" si="62"/>
        <v>15141000</v>
      </c>
      <c r="K973">
        <f t="shared" ca="1" si="63"/>
        <v>351</v>
      </c>
      <c r="N973" t="str">
        <f t="shared" si="60"/>
        <v>Hackney2Community adaptations and equipmentAssistive Technologies and EquipmentCommunity based equipment</v>
      </c>
      <c r="O973" t="s">
        <v>157</v>
      </c>
      <c r="P973" t="s">
        <v>790</v>
      </c>
      <c r="Q973">
        <v>2</v>
      </c>
      <c r="R973" t="s">
        <v>2958</v>
      </c>
      <c r="S973" t="s">
        <v>2639</v>
      </c>
      <c r="T973" t="s">
        <v>800</v>
      </c>
      <c r="U973" t="s">
        <v>903</v>
      </c>
      <c r="W973">
        <v>16942</v>
      </c>
      <c r="X973">
        <v>16290</v>
      </c>
      <c r="Y973" t="s">
        <v>802</v>
      </c>
      <c r="Z973" t="s">
        <v>792</v>
      </c>
      <c r="AB973" t="s">
        <v>1739</v>
      </c>
      <c r="AC973">
        <v>0.55000000000000004</v>
      </c>
      <c r="AD973">
        <v>0.45</v>
      </c>
      <c r="AE973" t="s">
        <v>804</v>
      </c>
      <c r="AF973" t="s">
        <v>796</v>
      </c>
      <c r="AG973" t="s">
        <v>797</v>
      </c>
      <c r="AH973">
        <v>2427894</v>
      </c>
      <c r="AI973">
        <v>2329418</v>
      </c>
      <c r="AJ973">
        <v>0.86390792360557123</v>
      </c>
    </row>
    <row r="974" spans="1:36" x14ac:dyDescent="0.3">
      <c r="A974">
        <f>COUNTIF($D$2:D974,D974)</f>
        <v>10</v>
      </c>
      <c r="B974" t="str">
        <f t="shared" si="61"/>
        <v>10Hertfordshire</v>
      </c>
      <c r="C974" t="s">
        <v>3308</v>
      </c>
      <c r="D974" t="s">
        <v>175</v>
      </c>
      <c r="E974">
        <v>18</v>
      </c>
      <c r="F974" t="s">
        <v>3309</v>
      </c>
      <c r="G974" t="s">
        <v>811</v>
      </c>
      <c r="H974" t="s">
        <v>895</v>
      </c>
      <c r="I974" t="s">
        <v>813</v>
      </c>
      <c r="J974">
        <f t="shared" ca="1" si="62"/>
        <v>450521</v>
      </c>
      <c r="K974">
        <f t="shared" ca="1" si="63"/>
        <v>16795</v>
      </c>
      <c r="N974" t="str">
        <f t="shared" si="60"/>
        <v>Hackney3Maintaining eligibility criteriaHome Care or Domiciliary CareOther</v>
      </c>
      <c r="O974" t="s">
        <v>157</v>
      </c>
      <c r="P974" t="s">
        <v>790</v>
      </c>
      <c r="Q974">
        <v>3</v>
      </c>
      <c r="R974" t="s">
        <v>1133</v>
      </c>
      <c r="S974" t="s">
        <v>2145</v>
      </c>
      <c r="T974" t="s">
        <v>842</v>
      </c>
      <c r="U974" t="s">
        <v>812</v>
      </c>
      <c r="V974" t="s">
        <v>2145</v>
      </c>
      <c r="W974">
        <v>234187</v>
      </c>
      <c r="X974">
        <v>281390</v>
      </c>
      <c r="Y974" t="s">
        <v>844</v>
      </c>
      <c r="Z974" t="s">
        <v>792</v>
      </c>
      <c r="AB974" t="s">
        <v>793</v>
      </c>
      <c r="AD974" t="s">
        <v>794</v>
      </c>
      <c r="AE974" t="s">
        <v>804</v>
      </c>
      <c r="AF974" t="s">
        <v>796</v>
      </c>
      <c r="AG974" t="s">
        <v>797</v>
      </c>
      <c r="AH974">
        <v>4683758</v>
      </c>
      <c r="AI974">
        <v>5262010</v>
      </c>
      <c r="AJ974">
        <v>0.59342077239655178</v>
      </c>
    </row>
    <row r="975" spans="1:36" x14ac:dyDescent="0.3">
      <c r="A975">
        <f>COUNTIF($D$2:D975,D975)</f>
        <v>11</v>
      </c>
      <c r="B975" t="str">
        <f t="shared" si="61"/>
        <v>11Hertfordshire</v>
      </c>
      <c r="C975" t="s">
        <v>3310</v>
      </c>
      <c r="D975" t="s">
        <v>175</v>
      </c>
      <c r="E975">
        <v>21</v>
      </c>
      <c r="F975" t="s">
        <v>3311</v>
      </c>
      <c r="G975" t="s">
        <v>787</v>
      </c>
      <c r="H975" t="s">
        <v>886</v>
      </c>
      <c r="I975" t="s">
        <v>789</v>
      </c>
      <c r="J975">
        <f t="shared" ca="1" si="62"/>
        <v>1227521</v>
      </c>
      <c r="K975">
        <f t="shared" ca="1" si="63"/>
        <v>1681</v>
      </c>
      <c r="N975" t="str">
        <f t="shared" si="60"/>
        <v>Hackney5TelecareAssistive Technologies and EquipmentAssistive technologies including telecare</v>
      </c>
      <c r="O975" t="s">
        <v>157</v>
      </c>
      <c r="P975" t="s">
        <v>790</v>
      </c>
      <c r="Q975">
        <v>5</v>
      </c>
      <c r="R975" t="s">
        <v>2108</v>
      </c>
      <c r="S975" t="s">
        <v>800</v>
      </c>
      <c r="T975" t="s">
        <v>800</v>
      </c>
      <c r="U975" t="s">
        <v>850</v>
      </c>
      <c r="W975">
        <v>3500</v>
      </c>
      <c r="X975">
        <v>3500</v>
      </c>
      <c r="Y975" t="s">
        <v>802</v>
      </c>
      <c r="Z975" t="s">
        <v>792</v>
      </c>
      <c r="AB975" t="s">
        <v>793</v>
      </c>
      <c r="AD975" t="s">
        <v>794</v>
      </c>
      <c r="AE975" t="s">
        <v>804</v>
      </c>
      <c r="AF975" t="s">
        <v>796</v>
      </c>
      <c r="AG975" t="s">
        <v>797</v>
      </c>
      <c r="AH975">
        <v>352468</v>
      </c>
      <c r="AI975">
        <v>352468</v>
      </c>
      <c r="AJ975">
        <v>0.12541729499616064</v>
      </c>
    </row>
    <row r="976" spans="1:36" x14ac:dyDescent="0.3">
      <c r="A976">
        <f>COUNTIF($D$2:D976,D976)</f>
        <v>12</v>
      </c>
      <c r="B976" t="str">
        <f t="shared" si="61"/>
        <v>12Hertfordshire</v>
      </c>
      <c r="C976" t="s">
        <v>3312</v>
      </c>
      <c r="D976" t="s">
        <v>175</v>
      </c>
      <c r="E976">
        <v>23</v>
      </c>
      <c r="F976" t="s">
        <v>3313</v>
      </c>
      <c r="G976" t="s">
        <v>806</v>
      </c>
      <c r="H976" t="s">
        <v>917</v>
      </c>
      <c r="I976" t="s">
        <v>808</v>
      </c>
      <c r="J976">
        <f t="shared" ca="1" si="62"/>
        <v>37999629</v>
      </c>
      <c r="K976">
        <f t="shared" ca="1" si="63"/>
        <v>542</v>
      </c>
      <c r="N976" t="str">
        <f t="shared" si="60"/>
        <v>Hackney6Interim bedsResidential PlacementsExtra care</v>
      </c>
      <c r="O976" t="s">
        <v>157</v>
      </c>
      <c r="P976" t="s">
        <v>790</v>
      </c>
      <c r="Q976">
        <v>6</v>
      </c>
      <c r="R976" t="s">
        <v>2966</v>
      </c>
      <c r="S976" t="s">
        <v>3314</v>
      </c>
      <c r="T976" t="s">
        <v>806</v>
      </c>
      <c r="U976" t="s">
        <v>934</v>
      </c>
      <c r="W976">
        <v>22</v>
      </c>
      <c r="X976">
        <v>22</v>
      </c>
      <c r="Y976" t="s">
        <v>808</v>
      </c>
      <c r="Z976" t="s">
        <v>792</v>
      </c>
      <c r="AB976" t="s">
        <v>793</v>
      </c>
      <c r="AD976" t="s">
        <v>794</v>
      </c>
      <c r="AE976" t="s">
        <v>804</v>
      </c>
      <c r="AF976" t="s">
        <v>796</v>
      </c>
      <c r="AG976" t="s">
        <v>797</v>
      </c>
      <c r="AH976">
        <v>369532</v>
      </c>
      <c r="AI976">
        <v>369532</v>
      </c>
      <c r="AJ976">
        <v>2.4478713147242773E-2</v>
      </c>
    </row>
    <row r="977" spans="1:36" x14ac:dyDescent="0.3">
      <c r="A977">
        <f>COUNTIF($D$2:D977,D977)</f>
        <v>13</v>
      </c>
      <c r="B977" t="str">
        <f t="shared" si="61"/>
        <v>13Hertfordshire</v>
      </c>
      <c r="C977" t="s">
        <v>3315</v>
      </c>
      <c r="D977" t="s">
        <v>175</v>
      </c>
      <c r="E977">
        <v>26</v>
      </c>
      <c r="F977" t="s">
        <v>3316</v>
      </c>
      <c r="G977" t="s">
        <v>806</v>
      </c>
      <c r="H977" t="s">
        <v>917</v>
      </c>
      <c r="I977" t="s">
        <v>808</v>
      </c>
      <c r="J977">
        <f t="shared" ca="1" si="62"/>
        <v>16429897</v>
      </c>
      <c r="K977">
        <f t="shared" ca="1" si="63"/>
        <v>2642</v>
      </c>
      <c r="N977" t="str">
        <f t="shared" si="60"/>
        <v>Hackney8Integrated Independence Team (LBH)Home-based intermediate care servicesOther</v>
      </c>
      <c r="O977" t="s">
        <v>157</v>
      </c>
      <c r="P977" t="s">
        <v>790</v>
      </c>
      <c r="Q977">
        <v>8</v>
      </c>
      <c r="R977" t="s">
        <v>2969</v>
      </c>
      <c r="S977" t="s">
        <v>3317</v>
      </c>
      <c r="T977" t="s">
        <v>787</v>
      </c>
      <c r="U977" t="s">
        <v>812</v>
      </c>
      <c r="V977" t="s">
        <v>3318</v>
      </c>
      <c r="W977">
        <v>268</v>
      </c>
      <c r="X977">
        <v>268</v>
      </c>
      <c r="Y977" t="s">
        <v>789</v>
      </c>
      <c r="Z977" t="s">
        <v>792</v>
      </c>
      <c r="AB977" t="s">
        <v>793</v>
      </c>
      <c r="AD977" t="s">
        <v>794</v>
      </c>
      <c r="AE977" t="s">
        <v>795</v>
      </c>
      <c r="AF977" t="s">
        <v>796</v>
      </c>
      <c r="AG977" t="s">
        <v>797</v>
      </c>
      <c r="AH977">
        <v>1581232</v>
      </c>
      <c r="AI977">
        <v>1581232</v>
      </c>
      <c r="AJ977">
        <v>0.37643146762450175</v>
      </c>
    </row>
    <row r="978" spans="1:36" x14ac:dyDescent="0.3">
      <c r="A978">
        <f>COUNTIF($D$2:D978,D978)</f>
        <v>14</v>
      </c>
      <c r="B978" t="str">
        <f t="shared" si="61"/>
        <v>14Hertfordshire</v>
      </c>
      <c r="C978" t="s">
        <v>3319</v>
      </c>
      <c r="D978" t="s">
        <v>175</v>
      </c>
      <c r="E978">
        <v>27</v>
      </c>
      <c r="F978" t="s">
        <v>969</v>
      </c>
      <c r="G978" t="s">
        <v>877</v>
      </c>
      <c r="H978" t="s">
        <v>812</v>
      </c>
      <c r="I978" t="s">
        <v>879</v>
      </c>
      <c r="J978">
        <f t="shared" ca="1" si="62"/>
        <v>1727794</v>
      </c>
      <c r="K978">
        <f t="shared" ca="1" si="63"/>
        <v>27</v>
      </c>
      <c r="N978" t="str">
        <f t="shared" si="60"/>
        <v>Hackney9Integrated Independence Team (HH)Home-based intermediate care servicesOther</v>
      </c>
      <c r="O978" t="s">
        <v>157</v>
      </c>
      <c r="P978" t="s">
        <v>790</v>
      </c>
      <c r="Q978">
        <v>9</v>
      </c>
      <c r="R978" t="s">
        <v>2971</v>
      </c>
      <c r="S978" t="s">
        <v>3320</v>
      </c>
      <c r="T978" t="s">
        <v>787</v>
      </c>
      <c r="U978" t="s">
        <v>812</v>
      </c>
      <c r="V978" t="s">
        <v>3321</v>
      </c>
      <c r="W978">
        <v>1076</v>
      </c>
      <c r="X978">
        <v>1076</v>
      </c>
      <c r="Y978" t="s">
        <v>789</v>
      </c>
      <c r="Z978" t="s">
        <v>823</v>
      </c>
      <c r="AB978" t="s">
        <v>824</v>
      </c>
      <c r="AD978" t="s">
        <v>794</v>
      </c>
      <c r="AE978" t="s">
        <v>832</v>
      </c>
      <c r="AF978" t="s">
        <v>796</v>
      </c>
      <c r="AG978" t="s">
        <v>797</v>
      </c>
      <c r="AH978">
        <v>2619352</v>
      </c>
      <c r="AI978">
        <v>2700884</v>
      </c>
      <c r="AJ978">
        <v>0.62356853237549825</v>
      </c>
    </row>
    <row r="979" spans="1:36" x14ac:dyDescent="0.3">
      <c r="A979">
        <f>COUNTIF($D$2:D979,D979)</f>
        <v>15</v>
      </c>
      <c r="B979" t="str">
        <f t="shared" si="61"/>
        <v>15Hertfordshire</v>
      </c>
      <c r="C979" t="s">
        <v>3322</v>
      </c>
      <c r="D979" t="s">
        <v>175</v>
      </c>
      <c r="E979">
        <v>29</v>
      </c>
      <c r="F979" t="s">
        <v>1250</v>
      </c>
      <c r="G979" t="s">
        <v>811</v>
      </c>
      <c r="H979" t="s">
        <v>830</v>
      </c>
      <c r="I979" t="s">
        <v>813</v>
      </c>
      <c r="J979">
        <f t="shared" ca="1" si="62"/>
        <v>703044</v>
      </c>
      <c r="K979">
        <f t="shared" ca="1" si="63"/>
        <v>26205</v>
      </c>
      <c r="N979" t="str">
        <f t="shared" si="60"/>
        <v>Hackney25IBCF - meeting adult social care needResidential PlacementsNursing home</v>
      </c>
      <c r="O979" t="s">
        <v>157</v>
      </c>
      <c r="P979" t="s">
        <v>790</v>
      </c>
      <c r="Q979">
        <v>25</v>
      </c>
      <c r="R979" t="s">
        <v>2974</v>
      </c>
      <c r="S979" t="s">
        <v>3323</v>
      </c>
      <c r="T979" t="s">
        <v>806</v>
      </c>
      <c r="U979" t="s">
        <v>917</v>
      </c>
      <c r="W979">
        <v>210</v>
      </c>
      <c r="X979">
        <v>210</v>
      </c>
      <c r="Y979" t="s">
        <v>808</v>
      </c>
      <c r="Z979" t="s">
        <v>792</v>
      </c>
      <c r="AB979" t="s">
        <v>793</v>
      </c>
      <c r="AD979" t="s">
        <v>794</v>
      </c>
      <c r="AE979" t="s">
        <v>795</v>
      </c>
      <c r="AF979" t="s">
        <v>845</v>
      </c>
      <c r="AG979" t="s">
        <v>797</v>
      </c>
      <c r="AH979">
        <v>10904652</v>
      </c>
      <c r="AI979">
        <v>10904652</v>
      </c>
      <c r="AJ979">
        <v>0.72235110431168925</v>
      </c>
    </row>
    <row r="980" spans="1:36" x14ac:dyDescent="0.3">
      <c r="A980">
        <f>COUNTIF($D$2:D980,D980)</f>
        <v>16</v>
      </c>
      <c r="B980" t="str">
        <f t="shared" si="61"/>
        <v>16Hertfordshire</v>
      </c>
      <c r="C980" t="s">
        <v>3324</v>
      </c>
      <c r="D980" t="s">
        <v>175</v>
      </c>
      <c r="E980">
        <v>32</v>
      </c>
      <c r="F980" t="s">
        <v>3325</v>
      </c>
      <c r="G980" t="s">
        <v>877</v>
      </c>
      <c r="H980" t="s">
        <v>812</v>
      </c>
      <c r="I980" t="s">
        <v>879</v>
      </c>
      <c r="J980">
        <f t="shared" ca="1" si="62"/>
        <v>1052000</v>
      </c>
      <c r="K980">
        <f t="shared" ca="1" si="63"/>
        <v>147</v>
      </c>
      <c r="N980" t="str">
        <f t="shared" si="60"/>
        <v>Hackney26IBCF reducing pressures on the NHSHome Care or Domiciliary CareDomiciliary care packages</v>
      </c>
      <c r="O980" t="s">
        <v>157</v>
      </c>
      <c r="P980" t="s">
        <v>790</v>
      </c>
      <c r="Q980">
        <v>26</v>
      </c>
      <c r="R980" t="s">
        <v>2976</v>
      </c>
      <c r="S980" t="s">
        <v>3326</v>
      </c>
      <c r="T980" t="s">
        <v>842</v>
      </c>
      <c r="U980" t="s">
        <v>843</v>
      </c>
      <c r="W980">
        <v>120700</v>
      </c>
      <c r="X980">
        <v>120700</v>
      </c>
      <c r="Y980" t="s">
        <v>844</v>
      </c>
      <c r="Z980" t="s">
        <v>792</v>
      </c>
      <c r="AB980" t="s">
        <v>793</v>
      </c>
      <c r="AD980" t="s">
        <v>794</v>
      </c>
      <c r="AE980" t="s">
        <v>795</v>
      </c>
      <c r="AF980" t="s">
        <v>845</v>
      </c>
      <c r="AG980" t="s">
        <v>797</v>
      </c>
      <c r="AH980">
        <v>2256967</v>
      </c>
      <c r="AI980">
        <v>2256967</v>
      </c>
      <c r="AJ980">
        <v>0.28595224185654516</v>
      </c>
    </row>
    <row r="981" spans="1:36" x14ac:dyDescent="0.3">
      <c r="A981">
        <f>COUNTIF($D$2:D981,D981)</f>
        <v>17</v>
      </c>
      <c r="B981" t="str">
        <f t="shared" si="61"/>
        <v>17Hertfordshire</v>
      </c>
      <c r="C981" t="s">
        <v>3327</v>
      </c>
      <c r="D981" t="s">
        <v>175</v>
      </c>
      <c r="E981">
        <v>37</v>
      </c>
      <c r="F981" t="s">
        <v>3328</v>
      </c>
      <c r="G981" t="s">
        <v>787</v>
      </c>
      <c r="H981" t="s">
        <v>788</v>
      </c>
      <c r="I981" t="s">
        <v>789</v>
      </c>
      <c r="J981">
        <f t="shared" ca="1" si="62"/>
        <v>1838130</v>
      </c>
      <c r="K981">
        <f t="shared" ca="1" si="63"/>
        <v>840</v>
      </c>
      <c r="N981" t="str">
        <f t="shared" si="60"/>
        <v>Hackney27IBCF stabilising the care marketResidential PlacementsCare home</v>
      </c>
      <c r="O981" t="s">
        <v>157</v>
      </c>
      <c r="P981" t="s">
        <v>790</v>
      </c>
      <c r="Q981">
        <v>27</v>
      </c>
      <c r="R981" t="s">
        <v>2979</v>
      </c>
      <c r="S981" t="s">
        <v>3329</v>
      </c>
      <c r="T981" t="s">
        <v>806</v>
      </c>
      <c r="U981" t="s">
        <v>807</v>
      </c>
      <c r="W981">
        <v>67</v>
      </c>
      <c r="X981">
        <v>67</v>
      </c>
      <c r="Y981" t="s">
        <v>808</v>
      </c>
      <c r="Z981" t="s">
        <v>792</v>
      </c>
      <c r="AB981" t="s">
        <v>793</v>
      </c>
      <c r="AD981" t="s">
        <v>794</v>
      </c>
      <c r="AE981" t="s">
        <v>804</v>
      </c>
      <c r="AF981" t="s">
        <v>845</v>
      </c>
      <c r="AG981" t="s">
        <v>797</v>
      </c>
      <c r="AH981">
        <v>3475126</v>
      </c>
      <c r="AI981">
        <v>3475126</v>
      </c>
      <c r="AJ981">
        <v>0.230200936602311</v>
      </c>
    </row>
    <row r="982" spans="1:36" x14ac:dyDescent="0.3">
      <c r="A982">
        <f>COUNTIF($D$2:D982,D982)</f>
        <v>18</v>
      </c>
      <c r="B982" t="str">
        <f t="shared" si="61"/>
        <v>18Hertfordshire</v>
      </c>
      <c r="C982" t="s">
        <v>3330</v>
      </c>
      <c r="D982" t="s">
        <v>175</v>
      </c>
      <c r="E982">
        <v>38</v>
      </c>
      <c r="F982" t="s">
        <v>3328</v>
      </c>
      <c r="G982" t="s">
        <v>842</v>
      </c>
      <c r="H982" t="s">
        <v>843</v>
      </c>
      <c r="I982" t="s">
        <v>844</v>
      </c>
      <c r="J982">
        <f t="shared" ca="1" si="62"/>
        <v>1464244</v>
      </c>
      <c r="K982">
        <f t="shared" ca="1" si="63"/>
        <v>52276</v>
      </c>
      <c r="N982" t="str">
        <f t="shared" si="60"/>
        <v>Hackney28Disabled Facilities GrantDFG Related SchemesAdaptations, including statutory DFG grants</v>
      </c>
      <c r="O982" t="s">
        <v>157</v>
      </c>
      <c r="P982" t="s">
        <v>790</v>
      </c>
      <c r="Q982">
        <v>28</v>
      </c>
      <c r="R982" t="s">
        <v>891</v>
      </c>
      <c r="S982" t="s">
        <v>3331</v>
      </c>
      <c r="T982" t="s">
        <v>834</v>
      </c>
      <c r="U982" t="s">
        <v>835</v>
      </c>
      <c r="W982">
        <v>94</v>
      </c>
      <c r="X982">
        <v>100</v>
      </c>
      <c r="Y982" t="s">
        <v>836</v>
      </c>
      <c r="Z982" t="s">
        <v>792</v>
      </c>
      <c r="AB982" t="s">
        <v>793</v>
      </c>
      <c r="AD982" t="s">
        <v>794</v>
      </c>
      <c r="AE982" t="s">
        <v>804</v>
      </c>
      <c r="AF982" t="s">
        <v>840</v>
      </c>
      <c r="AG982" t="s">
        <v>797</v>
      </c>
      <c r="AH982">
        <v>1730686</v>
      </c>
      <c r="AI982">
        <v>1730686</v>
      </c>
      <c r="AJ982">
        <v>1</v>
      </c>
    </row>
    <row r="983" spans="1:36" x14ac:dyDescent="0.3">
      <c r="A983">
        <f>COUNTIF($D$2:D983,D983)</f>
        <v>19</v>
      </c>
      <c r="B983" t="str">
        <f t="shared" si="61"/>
        <v>19Hertfordshire</v>
      </c>
      <c r="C983" t="s">
        <v>3332</v>
      </c>
      <c r="D983" t="s">
        <v>175</v>
      </c>
      <c r="E983">
        <v>40</v>
      </c>
      <c r="F983" t="s">
        <v>3333</v>
      </c>
      <c r="G983" t="s">
        <v>877</v>
      </c>
      <c r="H983" t="s">
        <v>968</v>
      </c>
      <c r="I983" t="s">
        <v>879</v>
      </c>
      <c r="J983">
        <f t="shared" ca="1" si="62"/>
        <v>3406989</v>
      </c>
      <c r="K983">
        <f t="shared" ca="1" si="63"/>
        <v>477</v>
      </c>
      <c r="N983" t="str">
        <f t="shared" si="60"/>
        <v>Hackney29DF01 LBH  Lowrie House (6 Beds)Bed based intermediate Care Services (Reablement, rehabilitation, wider short-term services supporting recovery)Bed-based intermediate care with rehabilitation accepting step up and step down users</v>
      </c>
      <c r="O983" t="s">
        <v>157</v>
      </c>
      <c r="P983" t="s">
        <v>790</v>
      </c>
      <c r="Q983">
        <v>29</v>
      </c>
      <c r="R983" t="s">
        <v>2983</v>
      </c>
      <c r="S983" t="s">
        <v>3334</v>
      </c>
      <c r="T983" t="s">
        <v>877</v>
      </c>
      <c r="U983" t="s">
        <v>1015</v>
      </c>
      <c r="W983">
        <v>48</v>
      </c>
      <c r="X983">
        <v>48</v>
      </c>
      <c r="Y983" t="s">
        <v>879</v>
      </c>
      <c r="Z983" t="s">
        <v>792</v>
      </c>
      <c r="AB983" t="s">
        <v>793</v>
      </c>
      <c r="AD983" t="s">
        <v>794</v>
      </c>
      <c r="AE983" t="s">
        <v>804</v>
      </c>
      <c r="AF983" t="s">
        <v>864</v>
      </c>
      <c r="AG983" t="s">
        <v>797</v>
      </c>
      <c r="AH983">
        <v>184618</v>
      </c>
      <c r="AI983">
        <v>184618</v>
      </c>
      <c r="AJ983">
        <v>0.24426573944705535</v>
      </c>
    </row>
    <row r="984" spans="1:36" x14ac:dyDescent="0.3">
      <c r="A984">
        <f>COUNTIF($D$2:D984,D984)</f>
        <v>1</v>
      </c>
      <c r="B984" t="str">
        <f t="shared" si="61"/>
        <v>1Hillingdon</v>
      </c>
      <c r="C984" t="s">
        <v>3335</v>
      </c>
      <c r="D984" t="s">
        <v>177</v>
      </c>
      <c r="E984">
        <v>1</v>
      </c>
      <c r="F984" t="s">
        <v>3336</v>
      </c>
      <c r="G984" t="s">
        <v>787</v>
      </c>
      <c r="H984" t="s">
        <v>886</v>
      </c>
      <c r="I984" t="s">
        <v>789</v>
      </c>
      <c r="J984">
        <f t="shared" ca="1" si="62"/>
        <v>169534</v>
      </c>
      <c r="K984">
        <f t="shared" ca="1" si="63"/>
        <v>901</v>
      </c>
      <c r="N984" t="str">
        <f t="shared" si="60"/>
        <v>Hackney31DF 03 LBH Goodmayes interim accommodation for working age adults - 28 Goodmayes LaneBed based intermediate Care Services (Reablement, rehabilitation, wider short-term services supporting recovery)Other</v>
      </c>
      <c r="O984" t="s">
        <v>157</v>
      </c>
      <c r="P984" t="s">
        <v>790</v>
      </c>
      <c r="Q984">
        <v>31</v>
      </c>
      <c r="R984" t="s">
        <v>2985</v>
      </c>
      <c r="S984" t="s">
        <v>3337</v>
      </c>
      <c r="T984" t="s">
        <v>877</v>
      </c>
      <c r="U984" t="s">
        <v>812</v>
      </c>
      <c r="V984" t="s">
        <v>3338</v>
      </c>
      <c r="W984">
        <v>91</v>
      </c>
      <c r="X984">
        <v>91</v>
      </c>
      <c r="Y984" t="s">
        <v>879</v>
      </c>
      <c r="Z984" t="s">
        <v>792</v>
      </c>
      <c r="AB984" t="s">
        <v>793</v>
      </c>
      <c r="AD984" t="s">
        <v>794</v>
      </c>
      <c r="AE984" t="s">
        <v>804</v>
      </c>
      <c r="AF984" t="s">
        <v>860</v>
      </c>
      <c r="AG984" t="s">
        <v>797</v>
      </c>
      <c r="AH984">
        <v>182490</v>
      </c>
      <c r="AI984">
        <v>182490</v>
      </c>
      <c r="AJ984">
        <v>0.24145020957703545</v>
      </c>
    </row>
    <row r="985" spans="1:36" x14ac:dyDescent="0.3">
      <c r="A985">
        <f>COUNTIF($D$2:D985,D985)</f>
        <v>2</v>
      </c>
      <c r="B985" t="str">
        <f t="shared" si="61"/>
        <v>2Hillingdon</v>
      </c>
      <c r="C985" t="s">
        <v>3339</v>
      </c>
      <c r="D985" t="s">
        <v>177</v>
      </c>
      <c r="E985">
        <v>1</v>
      </c>
      <c r="F985" t="s">
        <v>3336</v>
      </c>
      <c r="G985" t="s">
        <v>800</v>
      </c>
      <c r="H985" t="s">
        <v>850</v>
      </c>
      <c r="I985" t="s">
        <v>802</v>
      </c>
      <c r="J985">
        <f t="shared" ca="1" si="62"/>
        <v>360000</v>
      </c>
      <c r="K985">
        <f t="shared" ca="1" si="63"/>
        <v>7470</v>
      </c>
      <c r="N985" t="str">
        <f t="shared" si="60"/>
        <v>Hackney32DF 04 LBH Goodmayes interim accommodation - Flats 1/2 Rear 30 Goodmayes LaneBed based intermediate Care Services (Reablement, rehabilitation, wider short-term services supporting recovery)Other</v>
      </c>
      <c r="O985" t="s">
        <v>157</v>
      </c>
      <c r="P985" t="s">
        <v>790</v>
      </c>
      <c r="Q985">
        <v>32</v>
      </c>
      <c r="R985" t="s">
        <v>2987</v>
      </c>
      <c r="S985" t="s">
        <v>3340</v>
      </c>
      <c r="T985" t="s">
        <v>877</v>
      </c>
      <c r="U985" t="s">
        <v>812</v>
      </c>
      <c r="V985" t="s">
        <v>3338</v>
      </c>
      <c r="W985">
        <v>4</v>
      </c>
      <c r="X985">
        <v>4</v>
      </c>
      <c r="Y985" t="s">
        <v>879</v>
      </c>
      <c r="Z985" t="s">
        <v>792</v>
      </c>
      <c r="AB985" t="s">
        <v>793</v>
      </c>
      <c r="AD985" t="s">
        <v>794</v>
      </c>
      <c r="AE985" t="s">
        <v>804</v>
      </c>
      <c r="AF985" t="s">
        <v>864</v>
      </c>
      <c r="AG985" t="s">
        <v>797</v>
      </c>
      <c r="AH985">
        <v>58453</v>
      </c>
      <c r="AI985">
        <v>58453</v>
      </c>
      <c r="AJ985">
        <v>7.7338424573436634E-2</v>
      </c>
    </row>
    <row r="986" spans="1:36" x14ac:dyDescent="0.3">
      <c r="A986">
        <f>COUNTIF($D$2:D986,D986)</f>
        <v>3</v>
      </c>
      <c r="B986" t="str">
        <f t="shared" si="61"/>
        <v>3Hillingdon</v>
      </c>
      <c r="C986" t="s">
        <v>3341</v>
      </c>
      <c r="D986" t="s">
        <v>177</v>
      </c>
      <c r="E986">
        <v>1</v>
      </c>
      <c r="F986" t="s">
        <v>3336</v>
      </c>
      <c r="G986" t="s">
        <v>834</v>
      </c>
      <c r="H986" t="s">
        <v>835</v>
      </c>
      <c r="I986" t="s">
        <v>836</v>
      </c>
      <c r="J986">
        <f t="shared" ca="1" si="62"/>
        <v>2692273</v>
      </c>
      <c r="K986">
        <f t="shared" ca="1" si="63"/>
        <v>350</v>
      </c>
      <c r="N986" t="str">
        <f t="shared" si="60"/>
        <v>Hackney33DF 05 LBH Housing with Care FlatsBed based intermediate Care Services (Reablement, rehabilitation, wider short-term services supporting recovery)Bed-based intermediate care with reablement (to support discharge)</v>
      </c>
      <c r="O986" t="s">
        <v>157</v>
      </c>
      <c r="P986" t="s">
        <v>790</v>
      </c>
      <c r="Q986">
        <v>33</v>
      </c>
      <c r="R986" t="s">
        <v>2989</v>
      </c>
      <c r="S986" t="s">
        <v>3342</v>
      </c>
      <c r="T986" t="s">
        <v>877</v>
      </c>
      <c r="U986" t="s">
        <v>878</v>
      </c>
      <c r="W986">
        <v>5</v>
      </c>
      <c r="X986">
        <v>5</v>
      </c>
      <c r="Y986" t="s">
        <v>879</v>
      </c>
      <c r="Z986" t="s">
        <v>792</v>
      </c>
      <c r="AB986" t="s">
        <v>793</v>
      </c>
      <c r="AD986" t="s">
        <v>794</v>
      </c>
      <c r="AE986" t="s">
        <v>804</v>
      </c>
      <c r="AF986" t="s">
        <v>864</v>
      </c>
      <c r="AG986" t="s">
        <v>797</v>
      </c>
      <c r="AH986">
        <v>83002</v>
      </c>
      <c r="AI986">
        <v>83002</v>
      </c>
      <c r="AJ986">
        <v>0.10981889580422539</v>
      </c>
    </row>
    <row r="987" spans="1:36" x14ac:dyDescent="0.3">
      <c r="A987">
        <f>COUNTIF($D$2:D987,D987)</f>
        <v>4</v>
      </c>
      <c r="B987" t="str">
        <f t="shared" si="61"/>
        <v>4Hillingdon</v>
      </c>
      <c r="C987" t="s">
        <v>3343</v>
      </c>
      <c r="D987" t="s">
        <v>177</v>
      </c>
      <c r="E987">
        <v>1</v>
      </c>
      <c r="F987" t="s">
        <v>3336</v>
      </c>
      <c r="G987" t="s">
        <v>806</v>
      </c>
      <c r="H987" t="s">
        <v>917</v>
      </c>
      <c r="I987" t="s">
        <v>808</v>
      </c>
      <c r="J987">
        <f t="shared" ca="1" si="62"/>
        <v>18795</v>
      </c>
      <c r="K987">
        <f t="shared" ca="1" si="63"/>
        <v>10</v>
      </c>
      <c r="N987" t="str">
        <f t="shared" si="60"/>
        <v>Hackney34DF 06 LBH Housing with Care FlatsBed based intermediate Care Services (Reablement, rehabilitation, wider short-term services supporting recovery)Bed-based intermediate care with reablement (to support discharge)</v>
      </c>
      <c r="O987" t="s">
        <v>157</v>
      </c>
      <c r="P987" t="s">
        <v>790</v>
      </c>
      <c r="Q987">
        <v>34</v>
      </c>
      <c r="R987" t="s">
        <v>2991</v>
      </c>
      <c r="S987" t="s">
        <v>3344</v>
      </c>
      <c r="T987" t="s">
        <v>877</v>
      </c>
      <c r="U987" t="s">
        <v>878</v>
      </c>
      <c r="W987">
        <v>9</v>
      </c>
      <c r="X987">
        <v>9</v>
      </c>
      <c r="Y987" t="s">
        <v>879</v>
      </c>
      <c r="Z987" t="s">
        <v>792</v>
      </c>
      <c r="AB987" t="s">
        <v>793</v>
      </c>
      <c r="AD987" t="s">
        <v>794</v>
      </c>
      <c r="AE987" t="s">
        <v>804</v>
      </c>
      <c r="AF987" t="s">
        <v>864</v>
      </c>
      <c r="AG987" t="s">
        <v>797</v>
      </c>
      <c r="AH987">
        <v>153181</v>
      </c>
      <c r="AI987">
        <v>153181</v>
      </c>
      <c r="AJ987">
        <v>0.20267184258436005</v>
      </c>
    </row>
    <row r="988" spans="1:36" x14ac:dyDescent="0.3">
      <c r="A988">
        <f>COUNTIF($D$2:D988,D988)</f>
        <v>5</v>
      </c>
      <c r="B988" t="str">
        <f t="shared" si="61"/>
        <v>5Hillingdon</v>
      </c>
      <c r="C988" t="s">
        <v>3345</v>
      </c>
      <c r="D988" t="s">
        <v>177</v>
      </c>
      <c r="E988">
        <v>2</v>
      </c>
      <c r="F988" t="s">
        <v>3346</v>
      </c>
      <c r="G988" t="s">
        <v>811</v>
      </c>
      <c r="H988" t="s">
        <v>895</v>
      </c>
      <c r="I988" t="s">
        <v>813</v>
      </c>
      <c r="J988">
        <f t="shared" ca="1" si="62"/>
        <v>690000</v>
      </c>
      <c r="K988">
        <f t="shared" ca="1" si="63"/>
        <v>6077</v>
      </c>
      <c r="N988" t="str">
        <f t="shared" si="60"/>
        <v>Hackney35DF 07 LBH Housing with Care Flatsbed based intermediate Care Services (Reablement, rehabilitation, wider short-term services supporting recovery)Bed-based intermediate care with reablement (to support discharge)</v>
      </c>
      <c r="O988" t="s">
        <v>157</v>
      </c>
      <c r="P988" t="s">
        <v>790</v>
      </c>
      <c r="Q988">
        <v>35</v>
      </c>
      <c r="R988" t="s">
        <v>2994</v>
      </c>
      <c r="S988" t="s">
        <v>3347</v>
      </c>
      <c r="T988" t="s">
        <v>2995</v>
      </c>
      <c r="U988" t="s">
        <v>878</v>
      </c>
      <c r="W988">
        <v>4</v>
      </c>
      <c r="X988">
        <v>4</v>
      </c>
      <c r="Y988" t="s">
        <v>879</v>
      </c>
      <c r="Z988" t="s">
        <v>792</v>
      </c>
      <c r="AB988" t="s">
        <v>793</v>
      </c>
      <c r="AD988" t="s">
        <v>794</v>
      </c>
      <c r="AE988" t="s">
        <v>804</v>
      </c>
      <c r="AF988" t="s">
        <v>864</v>
      </c>
      <c r="AG988" t="s">
        <v>797</v>
      </c>
      <c r="AH988">
        <v>50993</v>
      </c>
      <c r="AI988">
        <v>50993</v>
      </c>
      <c r="AJ988">
        <v>6.7468192980227784E-2</v>
      </c>
    </row>
    <row r="989" spans="1:36" x14ac:dyDescent="0.3">
      <c r="A989">
        <f>COUNTIF($D$2:D989,D989)</f>
        <v>6</v>
      </c>
      <c r="B989" t="str">
        <f t="shared" si="61"/>
        <v>6Hillingdon</v>
      </c>
      <c r="C989" t="s">
        <v>3348</v>
      </c>
      <c r="D989" t="s">
        <v>177</v>
      </c>
      <c r="E989">
        <v>2</v>
      </c>
      <c r="F989" t="s">
        <v>3346</v>
      </c>
      <c r="G989" t="s">
        <v>811</v>
      </c>
      <c r="H989" t="s">
        <v>830</v>
      </c>
      <c r="I989" t="s">
        <v>813</v>
      </c>
      <c r="J989">
        <f t="shared" ca="1" si="62"/>
        <v>470187</v>
      </c>
      <c r="K989">
        <f t="shared" ca="1" si="63"/>
        <v>60</v>
      </c>
      <c r="N989" t="str">
        <f t="shared" si="60"/>
        <v>Hackney36DF 08 LBH Housing with Care FlatsBed based intermediate Care Services (Reablement, rehabilitation, wider short-term services supporting recovery)Bed-based intermediate care with reablement (to support discharge)</v>
      </c>
      <c r="O989" t="s">
        <v>157</v>
      </c>
      <c r="P989" t="s">
        <v>790</v>
      </c>
      <c r="Q989">
        <v>36</v>
      </c>
      <c r="R989" t="s">
        <v>2997</v>
      </c>
      <c r="S989" t="s">
        <v>3349</v>
      </c>
      <c r="T989" t="s">
        <v>877</v>
      </c>
      <c r="U989" t="s">
        <v>878</v>
      </c>
      <c r="W989">
        <v>2</v>
      </c>
      <c r="X989">
        <v>2</v>
      </c>
      <c r="Y989" t="s">
        <v>879</v>
      </c>
      <c r="Z989" t="s">
        <v>792</v>
      </c>
      <c r="AB989" t="s">
        <v>793</v>
      </c>
      <c r="AD989" t="s">
        <v>794</v>
      </c>
      <c r="AE989" t="s">
        <v>804</v>
      </c>
      <c r="AF989" t="s">
        <v>864</v>
      </c>
      <c r="AG989" t="s">
        <v>797</v>
      </c>
      <c r="AH989">
        <v>25071</v>
      </c>
      <c r="AI989">
        <v>25071</v>
      </c>
      <c r="AJ989">
        <v>3.3171122824844405E-2</v>
      </c>
    </row>
    <row r="990" spans="1:36" x14ac:dyDescent="0.3">
      <c r="A990">
        <f>COUNTIF($D$2:D990,D990)</f>
        <v>7</v>
      </c>
      <c r="B990" t="str">
        <f t="shared" si="61"/>
        <v>7Hillingdon</v>
      </c>
      <c r="C990" t="s">
        <v>3350</v>
      </c>
      <c r="D990" t="s">
        <v>177</v>
      </c>
      <c r="E990">
        <v>3</v>
      </c>
      <c r="F990" t="s">
        <v>3351</v>
      </c>
      <c r="G990" t="s">
        <v>787</v>
      </c>
      <c r="H990" t="s">
        <v>1195</v>
      </c>
      <c r="I990" t="s">
        <v>789</v>
      </c>
      <c r="J990">
        <f t="shared" ca="1" si="62"/>
        <v>2676813</v>
      </c>
      <c r="K990">
        <f t="shared" ca="1" si="63"/>
        <v>67816</v>
      </c>
      <c r="N990" t="str">
        <f t="shared" si="60"/>
        <v>Hackney37DF 09 LBH HwC flat furnishingBed based intermediate Care Services (Reablement, rehabilitation, wider short-term services supporting recovery)Other</v>
      </c>
      <c r="O990" t="s">
        <v>157</v>
      </c>
      <c r="P990" t="s">
        <v>790</v>
      </c>
      <c r="Q990">
        <v>37</v>
      </c>
      <c r="R990" t="s">
        <v>3000</v>
      </c>
      <c r="S990" t="s">
        <v>3352</v>
      </c>
      <c r="T990" t="s">
        <v>877</v>
      </c>
      <c r="U990" t="s">
        <v>812</v>
      </c>
      <c r="V990" t="s">
        <v>3353</v>
      </c>
      <c r="W990">
        <v>4</v>
      </c>
      <c r="X990">
        <v>4</v>
      </c>
      <c r="Y990" t="s">
        <v>879</v>
      </c>
      <c r="Z990" t="s">
        <v>792</v>
      </c>
      <c r="AB990" t="s">
        <v>793</v>
      </c>
      <c r="AD990" t="s">
        <v>794</v>
      </c>
      <c r="AE990" t="s">
        <v>804</v>
      </c>
      <c r="AF990" t="s">
        <v>864</v>
      </c>
      <c r="AG990" t="s">
        <v>797</v>
      </c>
      <c r="AH990">
        <v>3000</v>
      </c>
      <c r="AI990">
        <v>3000</v>
      </c>
      <c r="AJ990">
        <v>3.9692620348024893E-3</v>
      </c>
    </row>
    <row r="991" spans="1:36" x14ac:dyDescent="0.3">
      <c r="A991">
        <f>COUNTIF($D$2:D991,D991)</f>
        <v>8</v>
      </c>
      <c r="B991" t="str">
        <f t="shared" si="61"/>
        <v>8Hillingdon</v>
      </c>
      <c r="C991" t="s">
        <v>3354</v>
      </c>
      <c r="D991" t="s">
        <v>177</v>
      </c>
      <c r="E991">
        <v>3</v>
      </c>
      <c r="F991" t="s">
        <v>3351</v>
      </c>
      <c r="G991" t="s">
        <v>877</v>
      </c>
      <c r="H991" t="s">
        <v>968</v>
      </c>
      <c r="I991" t="s">
        <v>879</v>
      </c>
      <c r="J991">
        <f t="shared" ca="1" si="62"/>
        <v>2052248</v>
      </c>
      <c r="K991">
        <f t="shared" ca="1" si="63"/>
        <v>7016</v>
      </c>
      <c r="N991" t="str">
        <f t="shared" si="60"/>
        <v>Hackney38DF 10 LBH HwC utilitiesBed based intermediate Care Services (Reablement, rehabilitation, wider short-term services supporting recovery)Other</v>
      </c>
      <c r="O991" t="s">
        <v>157</v>
      </c>
      <c r="P991" t="s">
        <v>790</v>
      </c>
      <c r="Q991">
        <v>38</v>
      </c>
      <c r="R991" t="s">
        <v>3003</v>
      </c>
      <c r="S991" t="s">
        <v>3355</v>
      </c>
      <c r="T991" t="s">
        <v>877</v>
      </c>
      <c r="U991" t="s">
        <v>812</v>
      </c>
      <c r="V991" t="s">
        <v>3356</v>
      </c>
      <c r="W991">
        <v>4</v>
      </c>
      <c r="X991">
        <v>4</v>
      </c>
      <c r="Y991" t="s">
        <v>879</v>
      </c>
      <c r="Z991" t="s">
        <v>792</v>
      </c>
      <c r="AB991" t="s">
        <v>793</v>
      </c>
      <c r="AD991" t="s">
        <v>794</v>
      </c>
      <c r="AE991" t="s">
        <v>804</v>
      </c>
      <c r="AF991" t="s">
        <v>864</v>
      </c>
      <c r="AG991" t="s">
        <v>797</v>
      </c>
      <c r="AH991">
        <v>15000</v>
      </c>
      <c r="AI991">
        <v>15000</v>
      </c>
      <c r="AJ991">
        <v>1.9846310174012449E-2</v>
      </c>
    </row>
    <row r="992" spans="1:36" x14ac:dyDescent="0.3">
      <c r="A992">
        <f>COUNTIF($D$2:D992,D992)</f>
        <v>9</v>
      </c>
      <c r="B992" t="str">
        <f t="shared" si="61"/>
        <v>9Hillingdon</v>
      </c>
      <c r="C992" t="s">
        <v>3357</v>
      </c>
      <c r="D992" t="s">
        <v>177</v>
      </c>
      <c r="E992">
        <v>3</v>
      </c>
      <c r="F992" t="s">
        <v>3351</v>
      </c>
      <c r="G992" t="s">
        <v>842</v>
      </c>
      <c r="H992" t="s">
        <v>1102</v>
      </c>
      <c r="I992" t="s">
        <v>789</v>
      </c>
      <c r="J992">
        <f t="shared" ca="1" si="62"/>
        <v>641000</v>
      </c>
      <c r="K992">
        <f t="shared" ca="1" si="63"/>
        <v>1630</v>
      </c>
      <c r="N992" t="str">
        <f t="shared" si="60"/>
        <v>Hackney39DF 11 LBH Bridging ServiceHome Care or Domiciliary CareShort term domiciliary care (without reablement input)</v>
      </c>
      <c r="O992" t="s">
        <v>157</v>
      </c>
      <c r="P992" t="s">
        <v>790</v>
      </c>
      <c r="Q992">
        <v>39</v>
      </c>
      <c r="R992" t="s">
        <v>3006</v>
      </c>
      <c r="S992" t="s">
        <v>3358</v>
      </c>
      <c r="T992" t="s">
        <v>842</v>
      </c>
      <c r="U992" t="s">
        <v>1102</v>
      </c>
      <c r="W992">
        <v>624</v>
      </c>
      <c r="X992">
        <v>624</v>
      </c>
      <c r="Y992" t="s">
        <v>789</v>
      </c>
      <c r="Z992" t="s">
        <v>792</v>
      </c>
      <c r="AB992" t="s">
        <v>793</v>
      </c>
      <c r="AD992" t="s">
        <v>794</v>
      </c>
      <c r="AE992" t="s">
        <v>804</v>
      </c>
      <c r="AF992" t="s">
        <v>864</v>
      </c>
      <c r="AG992" t="s">
        <v>797</v>
      </c>
      <c r="AH992">
        <v>175190</v>
      </c>
      <c r="AI992">
        <v>175190</v>
      </c>
      <c r="AJ992">
        <v>2.2196147861642701E-2</v>
      </c>
    </row>
    <row r="993" spans="1:36" x14ac:dyDescent="0.3">
      <c r="A993">
        <f>COUNTIF($D$2:D993,D993)</f>
        <v>10</v>
      </c>
      <c r="B993" t="str">
        <f t="shared" si="61"/>
        <v>10Hillingdon</v>
      </c>
      <c r="C993" t="s">
        <v>3359</v>
      </c>
      <c r="D993" t="s">
        <v>177</v>
      </c>
      <c r="E993">
        <v>3</v>
      </c>
      <c r="F993" t="s">
        <v>3351</v>
      </c>
      <c r="G993" t="s">
        <v>787</v>
      </c>
      <c r="H993" t="s">
        <v>788</v>
      </c>
      <c r="I993" t="s">
        <v>789</v>
      </c>
      <c r="J993">
        <f t="shared" ca="1" si="62"/>
        <v>1354999</v>
      </c>
      <c r="K993">
        <f t="shared" ca="1" si="63"/>
        <v>871</v>
      </c>
      <c r="N993" t="str">
        <f t="shared" si="60"/>
        <v>Hackney40DF 12 LBH Rose Court Extra Care- to support interim flatsHome Care or Domiciliary CareShort term domiciliary care (without reablement input)</v>
      </c>
      <c r="O993" t="s">
        <v>157</v>
      </c>
      <c r="P993" t="s">
        <v>790</v>
      </c>
      <c r="Q993">
        <v>40</v>
      </c>
      <c r="R993" t="s">
        <v>3008</v>
      </c>
      <c r="S993" t="s">
        <v>3360</v>
      </c>
      <c r="T993" t="s">
        <v>842</v>
      </c>
      <c r="U993" t="s">
        <v>1102</v>
      </c>
      <c r="W993">
        <v>624</v>
      </c>
      <c r="X993">
        <v>624</v>
      </c>
      <c r="Y993" t="s">
        <v>789</v>
      </c>
      <c r="Z993" t="s">
        <v>792</v>
      </c>
      <c r="AB993" t="s">
        <v>793</v>
      </c>
      <c r="AD993" t="s">
        <v>794</v>
      </c>
      <c r="AE993" t="s">
        <v>804</v>
      </c>
      <c r="AF993" t="s">
        <v>860</v>
      </c>
      <c r="AG993" t="s">
        <v>797</v>
      </c>
      <c r="AH993">
        <v>175190</v>
      </c>
      <c r="AI993">
        <v>175190</v>
      </c>
      <c r="AJ993">
        <v>2.2196147861642701E-2</v>
      </c>
    </row>
    <row r="994" spans="1:36" x14ac:dyDescent="0.3">
      <c r="A994">
        <f>COUNTIF($D$2:D994,D994)</f>
        <v>11</v>
      </c>
      <c r="B994" t="str">
        <f t="shared" si="61"/>
        <v>11Hillingdon</v>
      </c>
      <c r="C994" t="s">
        <v>3361</v>
      </c>
      <c r="D994" t="s">
        <v>177</v>
      </c>
      <c r="E994">
        <v>3</v>
      </c>
      <c r="F994" t="s">
        <v>3351</v>
      </c>
      <c r="G994" t="s">
        <v>800</v>
      </c>
      <c r="H994" t="s">
        <v>903</v>
      </c>
      <c r="I994" t="s">
        <v>802</v>
      </c>
      <c r="J994">
        <f t="shared" ca="1" si="62"/>
        <v>2048785</v>
      </c>
      <c r="K994">
        <f t="shared" ca="1" si="63"/>
        <v>17000</v>
      </c>
      <c r="N994" t="str">
        <f t="shared" si="60"/>
        <v>Hackney42DF 14 LBH Integrated Community Equipment ServiceAssistive Technologies and EquipmentCommunity based equipment</v>
      </c>
      <c r="O994" t="s">
        <v>157</v>
      </c>
      <c r="P994" t="s">
        <v>790</v>
      </c>
      <c r="Q994">
        <v>42</v>
      </c>
      <c r="R994" t="s">
        <v>3011</v>
      </c>
      <c r="S994" t="s">
        <v>3362</v>
      </c>
      <c r="T994" t="s">
        <v>800</v>
      </c>
      <c r="U994" t="s">
        <v>903</v>
      </c>
      <c r="W994">
        <v>210</v>
      </c>
      <c r="X994">
        <v>210</v>
      </c>
      <c r="Y994" t="s">
        <v>802</v>
      </c>
      <c r="Z994" t="s">
        <v>792</v>
      </c>
      <c r="AB994" t="s">
        <v>793</v>
      </c>
      <c r="AD994" t="s">
        <v>794</v>
      </c>
      <c r="AE994" t="s">
        <v>804</v>
      </c>
      <c r="AF994" t="s">
        <v>864</v>
      </c>
      <c r="AG994" t="s">
        <v>797</v>
      </c>
      <c r="AH994">
        <v>30000</v>
      </c>
      <c r="AI994">
        <v>30000</v>
      </c>
      <c r="AJ994">
        <v>1.0674781398268263E-2</v>
      </c>
    </row>
    <row r="995" spans="1:36" x14ac:dyDescent="0.3">
      <c r="A995">
        <f>COUNTIF($D$2:D995,D995)</f>
        <v>12</v>
      </c>
      <c r="B995" t="str">
        <f t="shared" si="61"/>
        <v>12Hillingdon</v>
      </c>
      <c r="C995" t="s">
        <v>3363</v>
      </c>
      <c r="D995" t="s">
        <v>177</v>
      </c>
      <c r="E995">
        <v>3</v>
      </c>
      <c r="F995" t="s">
        <v>3351</v>
      </c>
      <c r="G995" t="s">
        <v>834</v>
      </c>
      <c r="H995" t="s">
        <v>1293</v>
      </c>
      <c r="I995" t="s">
        <v>836</v>
      </c>
      <c r="J995">
        <f t="shared" ca="1" si="62"/>
        <v>10000</v>
      </c>
      <c r="K995">
        <f t="shared" ca="1" si="63"/>
        <v>20</v>
      </c>
      <c r="N995" t="str">
        <f t="shared" si="60"/>
        <v>Hackney47DF 19 LBH Housing Discharge FundResidential PlacementsOther</v>
      </c>
      <c r="O995" t="s">
        <v>157</v>
      </c>
      <c r="P995" t="s">
        <v>790</v>
      </c>
      <c r="Q995">
        <v>47</v>
      </c>
      <c r="R995" t="s">
        <v>3014</v>
      </c>
      <c r="S995" t="s">
        <v>3364</v>
      </c>
      <c r="T995" t="s">
        <v>806</v>
      </c>
      <c r="U995" t="s">
        <v>812</v>
      </c>
      <c r="V995" t="s">
        <v>3365</v>
      </c>
      <c r="W995">
        <v>125</v>
      </c>
      <c r="X995">
        <v>125</v>
      </c>
      <c r="Y995" t="s">
        <v>808</v>
      </c>
      <c r="Z995" t="s">
        <v>792</v>
      </c>
      <c r="AB995" t="s">
        <v>793</v>
      </c>
      <c r="AD995" t="s">
        <v>794</v>
      </c>
      <c r="AE995" t="s">
        <v>804</v>
      </c>
      <c r="AF995" t="s">
        <v>864</v>
      </c>
      <c r="AG995" t="s">
        <v>797</v>
      </c>
      <c r="AH995">
        <v>30000</v>
      </c>
      <c r="AI995">
        <v>30000</v>
      </c>
      <c r="AJ995">
        <v>1.9872741587123256E-3</v>
      </c>
    </row>
    <row r="996" spans="1:36" x14ac:dyDescent="0.3">
      <c r="A996">
        <f>COUNTIF($D$2:D996,D996)</f>
        <v>13</v>
      </c>
      <c r="B996" t="str">
        <f t="shared" si="61"/>
        <v>13Hillingdon</v>
      </c>
      <c r="C996" t="s">
        <v>3366</v>
      </c>
      <c r="D996" t="s">
        <v>177</v>
      </c>
      <c r="E996">
        <v>3</v>
      </c>
      <c r="F996" t="s">
        <v>3351</v>
      </c>
      <c r="G996" t="s">
        <v>842</v>
      </c>
      <c r="H996" t="s">
        <v>856</v>
      </c>
      <c r="I996" t="s">
        <v>844</v>
      </c>
      <c r="J996">
        <f t="shared" ca="1" si="62"/>
        <v>1431677</v>
      </c>
      <c r="K996">
        <f t="shared" ca="1" si="63"/>
        <v>92301</v>
      </c>
      <c r="N996" t="str">
        <f t="shared" si="60"/>
        <v>Hackney50DF 21 LBH Care packages for 4 weeks post discharge Home Care or Domiciliary CareDomiciliary care to support hospital discharge (Discharge to Assess pathway 1)</v>
      </c>
      <c r="O996" t="s">
        <v>157</v>
      </c>
      <c r="P996" t="s">
        <v>790</v>
      </c>
      <c r="Q996">
        <v>50</v>
      </c>
      <c r="R996" t="s">
        <v>3017</v>
      </c>
      <c r="S996" t="s">
        <v>3367</v>
      </c>
      <c r="T996" t="s">
        <v>842</v>
      </c>
      <c r="U996" t="s">
        <v>856</v>
      </c>
      <c r="W996">
        <v>28652</v>
      </c>
      <c r="X996">
        <v>28652</v>
      </c>
      <c r="Y996" t="s">
        <v>844</v>
      </c>
      <c r="Z996" t="s">
        <v>792</v>
      </c>
      <c r="AB996" t="s">
        <v>793</v>
      </c>
      <c r="AD996" t="s">
        <v>794</v>
      </c>
      <c r="AE996" t="s">
        <v>795</v>
      </c>
      <c r="AF996" t="s">
        <v>864</v>
      </c>
      <c r="AG996" t="s">
        <v>797</v>
      </c>
      <c r="AH996">
        <v>601706</v>
      </c>
      <c r="AI996">
        <v>2140380</v>
      </c>
      <c r="AJ996">
        <v>7.6234690023617699E-2</v>
      </c>
    </row>
    <row r="997" spans="1:36" x14ac:dyDescent="0.3">
      <c r="A997">
        <f>COUNTIF($D$2:D997,D997)</f>
        <v>14</v>
      </c>
      <c r="B997" t="str">
        <f t="shared" si="61"/>
        <v>14Hillingdon</v>
      </c>
      <c r="C997" t="s">
        <v>3368</v>
      </c>
      <c r="D997" t="s">
        <v>177</v>
      </c>
      <c r="E997">
        <v>4</v>
      </c>
      <c r="F997" t="s">
        <v>3369</v>
      </c>
      <c r="G997" t="s">
        <v>806</v>
      </c>
      <c r="H997" t="s">
        <v>807</v>
      </c>
      <c r="I997" t="s">
        <v>808</v>
      </c>
      <c r="J997">
        <f t="shared" ca="1" si="62"/>
        <v>6687700</v>
      </c>
      <c r="K997">
        <f t="shared" ca="1" si="63"/>
        <v>202</v>
      </c>
      <c r="N997" t="str">
        <f t="shared" si="60"/>
        <v>Halton1Halton Integrated Community Equipment ServiceAssistive Technologies and EquipmentCommunity based equipment</v>
      </c>
      <c r="O997" t="s">
        <v>159</v>
      </c>
      <c r="P997" t="s">
        <v>1201</v>
      </c>
      <c r="Q997">
        <v>1</v>
      </c>
      <c r="R997" t="s">
        <v>3020</v>
      </c>
      <c r="S997" t="s">
        <v>3370</v>
      </c>
      <c r="T997" t="s">
        <v>800</v>
      </c>
      <c r="U997" t="s">
        <v>903</v>
      </c>
      <c r="W997">
        <v>5832</v>
      </c>
      <c r="X997">
        <v>5832</v>
      </c>
      <c r="Y997" t="s">
        <v>802</v>
      </c>
      <c r="Z997" t="s">
        <v>823</v>
      </c>
      <c r="AB997" t="s">
        <v>824</v>
      </c>
      <c r="AD997" t="s">
        <v>794</v>
      </c>
      <c r="AE997" t="s">
        <v>832</v>
      </c>
      <c r="AF997" t="s">
        <v>796</v>
      </c>
      <c r="AG997" t="s">
        <v>797</v>
      </c>
      <c r="AH997">
        <v>829466</v>
      </c>
      <c r="AI997">
        <v>876414</v>
      </c>
      <c r="AJ997">
        <v>1</v>
      </c>
    </row>
    <row r="998" spans="1:36" x14ac:dyDescent="0.3">
      <c r="A998">
        <f>COUNTIF($D$2:D998,D998)</f>
        <v>15</v>
      </c>
      <c r="B998" t="str">
        <f t="shared" si="61"/>
        <v>15Hillingdon</v>
      </c>
      <c r="C998" t="s">
        <v>3371</v>
      </c>
      <c r="D998" t="s">
        <v>177</v>
      </c>
      <c r="E998">
        <v>4</v>
      </c>
      <c r="F998" t="s">
        <v>3369</v>
      </c>
      <c r="G998" t="s">
        <v>806</v>
      </c>
      <c r="H998" t="s">
        <v>917</v>
      </c>
      <c r="I998" t="s">
        <v>808</v>
      </c>
      <c r="J998">
        <f t="shared" ca="1" si="62"/>
        <v>11642800</v>
      </c>
      <c r="K998">
        <f t="shared" ca="1" si="63"/>
        <v>230</v>
      </c>
      <c r="N998" t="str">
        <f t="shared" si="60"/>
        <v>Halton3Carers CentreCarers ServicesCarer advice and support related to Care Act duties</v>
      </c>
      <c r="O998" t="s">
        <v>159</v>
      </c>
      <c r="P998" t="s">
        <v>1201</v>
      </c>
      <c r="Q998">
        <v>3</v>
      </c>
      <c r="R998" t="s">
        <v>3023</v>
      </c>
      <c r="S998" t="s">
        <v>3023</v>
      </c>
      <c r="T998" t="s">
        <v>811</v>
      </c>
      <c r="U998" t="s">
        <v>895</v>
      </c>
      <c r="W998">
        <v>6000</v>
      </c>
      <c r="X998">
        <v>6000</v>
      </c>
      <c r="Y998" t="s">
        <v>813</v>
      </c>
      <c r="Z998" t="s">
        <v>792</v>
      </c>
      <c r="AB998" t="s">
        <v>824</v>
      </c>
      <c r="AD998" t="s">
        <v>794</v>
      </c>
      <c r="AE998" t="s">
        <v>825</v>
      </c>
      <c r="AF998" t="s">
        <v>796</v>
      </c>
      <c r="AG998" t="s">
        <v>797</v>
      </c>
      <c r="AH998">
        <v>341866</v>
      </c>
      <c r="AI998">
        <v>362104</v>
      </c>
      <c r="AJ998">
        <v>0.76</v>
      </c>
    </row>
    <row r="999" spans="1:36" x14ac:dyDescent="0.3">
      <c r="A999">
        <f>COUNTIF($D$2:D999,D999)</f>
        <v>16</v>
      </c>
      <c r="B999" t="str">
        <f t="shared" si="61"/>
        <v>16Hillingdon</v>
      </c>
      <c r="C999" t="s">
        <v>3372</v>
      </c>
      <c r="D999" t="s">
        <v>177</v>
      </c>
      <c r="E999">
        <v>4</v>
      </c>
      <c r="F999" t="s">
        <v>3369</v>
      </c>
      <c r="G999" t="s">
        <v>842</v>
      </c>
      <c r="H999" t="s">
        <v>843</v>
      </c>
      <c r="I999" t="s">
        <v>844</v>
      </c>
      <c r="J999">
        <f t="shared" ca="1" si="62"/>
        <v>11682800</v>
      </c>
      <c r="K999">
        <f t="shared" ca="1" si="63"/>
        <v>683022</v>
      </c>
      <c r="N999" t="str">
        <f t="shared" si="60"/>
        <v>Halton3Halton Home Based Respite ServiceCarers ServicesRespite services</v>
      </c>
      <c r="O999" t="s">
        <v>159</v>
      </c>
      <c r="P999" t="s">
        <v>1201</v>
      </c>
      <c r="Q999">
        <v>3</v>
      </c>
      <c r="R999" t="s">
        <v>3026</v>
      </c>
      <c r="S999" t="s">
        <v>3373</v>
      </c>
      <c r="T999" t="s">
        <v>811</v>
      </c>
      <c r="U999" t="s">
        <v>830</v>
      </c>
      <c r="W999">
        <v>30</v>
      </c>
      <c r="X999">
        <v>30</v>
      </c>
      <c r="Y999" t="s">
        <v>813</v>
      </c>
      <c r="Z999" t="s">
        <v>792</v>
      </c>
      <c r="AB999" t="s">
        <v>793</v>
      </c>
      <c r="AD999" t="s">
        <v>794</v>
      </c>
      <c r="AE999" t="s">
        <v>804</v>
      </c>
      <c r="AF999" t="s">
        <v>796</v>
      </c>
      <c r="AG999" t="s">
        <v>797</v>
      </c>
      <c r="AH999">
        <v>110453</v>
      </c>
      <c r="AI999">
        <v>116705</v>
      </c>
      <c r="AJ999">
        <v>0.24</v>
      </c>
    </row>
    <row r="1000" spans="1:36" x14ac:dyDescent="0.3">
      <c r="A1000">
        <f>COUNTIF($D$2:D1000,D1000)</f>
        <v>17</v>
      </c>
      <c r="B1000" t="str">
        <f t="shared" si="61"/>
        <v>17Hillingdon</v>
      </c>
      <c r="C1000" t="s">
        <v>3374</v>
      </c>
      <c r="D1000" t="s">
        <v>177</v>
      </c>
      <c r="E1000">
        <v>5</v>
      </c>
      <c r="F1000" t="s">
        <v>3375</v>
      </c>
      <c r="G1000" t="s">
        <v>842</v>
      </c>
      <c r="H1000" t="s">
        <v>843</v>
      </c>
      <c r="I1000" t="s">
        <v>844</v>
      </c>
      <c r="J1000">
        <f t="shared" ca="1" si="62"/>
        <v>1051299</v>
      </c>
      <c r="K1000">
        <f t="shared" ca="1" si="63"/>
        <v>107359</v>
      </c>
      <c r="N1000" t="str">
        <f t="shared" si="60"/>
        <v>Halton8Domicilary Care PackagesHome Care or Domiciliary CareDomiciliary care packages</v>
      </c>
      <c r="O1000" t="s">
        <v>159</v>
      </c>
      <c r="P1000" t="s">
        <v>1201</v>
      </c>
      <c r="Q1000">
        <v>8</v>
      </c>
      <c r="R1000" t="s">
        <v>3029</v>
      </c>
      <c r="S1000" t="s">
        <v>3376</v>
      </c>
      <c r="T1000" t="s">
        <v>842</v>
      </c>
      <c r="U1000" t="s">
        <v>843</v>
      </c>
      <c r="W1000">
        <v>137864</v>
      </c>
      <c r="X1000">
        <v>132431</v>
      </c>
      <c r="Y1000" t="s">
        <v>844</v>
      </c>
      <c r="Z1000" t="s">
        <v>792</v>
      </c>
      <c r="AB1000" t="s">
        <v>793</v>
      </c>
      <c r="AD1000" t="s">
        <v>794</v>
      </c>
      <c r="AE1000" t="s">
        <v>804</v>
      </c>
      <c r="AF1000" t="s">
        <v>796</v>
      </c>
      <c r="AG1000" t="s">
        <v>797</v>
      </c>
      <c r="AH1000">
        <v>2703515</v>
      </c>
      <c r="AI1000">
        <v>2856533</v>
      </c>
      <c r="AJ1000">
        <v>0.53</v>
      </c>
    </row>
    <row r="1001" spans="1:36" x14ac:dyDescent="0.3">
      <c r="A1001">
        <f>COUNTIF($D$2:D1001,D1001)</f>
        <v>18</v>
      </c>
      <c r="B1001" t="str">
        <f t="shared" si="61"/>
        <v>18Hillingdon</v>
      </c>
      <c r="C1001" t="s">
        <v>3377</v>
      </c>
      <c r="D1001" t="s">
        <v>177</v>
      </c>
      <c r="E1001">
        <v>5</v>
      </c>
      <c r="F1001" t="s">
        <v>3375</v>
      </c>
      <c r="G1001" t="s">
        <v>806</v>
      </c>
      <c r="H1001" t="s">
        <v>854</v>
      </c>
      <c r="I1001" t="s">
        <v>808</v>
      </c>
      <c r="J1001">
        <f t="shared" ca="1" si="62"/>
        <v>21868900</v>
      </c>
      <c r="K1001">
        <f t="shared" ca="1" si="63"/>
        <v>350</v>
      </c>
      <c r="N1001" t="str">
        <f t="shared" si="60"/>
        <v>Halton8Domicilary Care PackagesHome Care or Domiciliary CareDomiciliary care packages</v>
      </c>
      <c r="O1001" t="s">
        <v>159</v>
      </c>
      <c r="P1001" t="s">
        <v>1201</v>
      </c>
      <c r="Q1001">
        <v>8</v>
      </c>
      <c r="R1001" t="s">
        <v>3029</v>
      </c>
      <c r="S1001" t="s">
        <v>3376</v>
      </c>
      <c r="T1001" t="s">
        <v>842</v>
      </c>
      <c r="U1001" t="s">
        <v>843</v>
      </c>
      <c r="W1001">
        <v>46533</v>
      </c>
      <c r="X1001">
        <v>42305</v>
      </c>
      <c r="Y1001" t="s">
        <v>844</v>
      </c>
      <c r="Z1001" t="s">
        <v>792</v>
      </c>
      <c r="AB1001" t="s">
        <v>793</v>
      </c>
      <c r="AD1001" t="s">
        <v>794</v>
      </c>
      <c r="AE1001" t="s">
        <v>804</v>
      </c>
      <c r="AF1001" t="s">
        <v>845</v>
      </c>
      <c r="AG1001" t="s">
        <v>797</v>
      </c>
      <c r="AH1001">
        <v>912518</v>
      </c>
      <c r="AI1001">
        <v>912518</v>
      </c>
      <c r="AJ1001">
        <v>0.17</v>
      </c>
    </row>
    <row r="1002" spans="1:36" x14ac:dyDescent="0.3">
      <c r="A1002">
        <f>COUNTIF($D$2:D1002,D1002)</f>
        <v>19</v>
      </c>
      <c r="B1002" t="str">
        <f t="shared" si="61"/>
        <v>19Hillingdon</v>
      </c>
      <c r="C1002" t="s">
        <v>3378</v>
      </c>
      <c r="D1002" t="s">
        <v>177</v>
      </c>
      <c r="E1002">
        <v>5</v>
      </c>
      <c r="F1002" t="s">
        <v>3375</v>
      </c>
      <c r="G1002" t="s">
        <v>811</v>
      </c>
      <c r="H1002" t="s">
        <v>830</v>
      </c>
      <c r="I1002" t="s">
        <v>813</v>
      </c>
      <c r="J1002">
        <f t="shared" ca="1" si="62"/>
        <v>174339</v>
      </c>
      <c r="K1002">
        <f t="shared" ca="1" si="63"/>
        <v>30</v>
      </c>
      <c r="N1002" t="str">
        <f t="shared" si="60"/>
        <v>Halton17Residentail Care Home PlacementsResidential PlacementsCare home</v>
      </c>
      <c r="O1002" t="s">
        <v>159</v>
      </c>
      <c r="P1002" t="s">
        <v>1201</v>
      </c>
      <c r="Q1002">
        <v>17</v>
      </c>
      <c r="R1002" t="s">
        <v>3032</v>
      </c>
      <c r="S1002" t="s">
        <v>3379</v>
      </c>
      <c r="T1002" t="s">
        <v>806</v>
      </c>
      <c r="U1002" t="s">
        <v>807</v>
      </c>
      <c r="W1002">
        <v>39</v>
      </c>
      <c r="X1002">
        <v>37</v>
      </c>
      <c r="Y1002" t="s">
        <v>808</v>
      </c>
      <c r="Z1002" t="s">
        <v>792</v>
      </c>
      <c r="AB1002" t="s">
        <v>793</v>
      </c>
      <c r="AD1002" t="s">
        <v>794</v>
      </c>
      <c r="AE1002" t="s">
        <v>804</v>
      </c>
      <c r="AF1002" t="s">
        <v>796</v>
      </c>
      <c r="AG1002" t="s">
        <v>797</v>
      </c>
      <c r="AH1002">
        <v>1272243</v>
      </c>
      <c r="AI1002">
        <v>1344252</v>
      </c>
      <c r="AJ1002">
        <v>0.19</v>
      </c>
    </row>
    <row r="1003" spans="1:36" x14ac:dyDescent="0.3">
      <c r="A1003">
        <f>COUNTIF($D$2:D1003,D1003)</f>
        <v>1</v>
      </c>
      <c r="B1003" t="str">
        <f t="shared" si="61"/>
        <v>1Hounslow</v>
      </c>
      <c r="C1003" t="s">
        <v>3380</v>
      </c>
      <c r="D1003" t="s">
        <v>179</v>
      </c>
      <c r="E1003">
        <v>5</v>
      </c>
      <c r="F1003" t="s">
        <v>3381</v>
      </c>
      <c r="G1003" t="s">
        <v>806</v>
      </c>
      <c r="H1003" t="s">
        <v>873</v>
      </c>
      <c r="I1003" t="s">
        <v>808</v>
      </c>
      <c r="J1003">
        <f t="shared" ca="1" si="62"/>
        <v>200000</v>
      </c>
      <c r="K1003">
        <f t="shared" ca="1" si="63"/>
        <v>4.5</v>
      </c>
      <c r="N1003" t="str">
        <f t="shared" si="60"/>
        <v>Halton17Residential Care Home PlacementsResidential PlacementsCare home</v>
      </c>
      <c r="O1003" t="s">
        <v>159</v>
      </c>
      <c r="P1003" t="s">
        <v>1201</v>
      </c>
      <c r="Q1003">
        <v>17</v>
      </c>
      <c r="R1003" t="s">
        <v>3035</v>
      </c>
      <c r="S1003" t="s">
        <v>3379</v>
      </c>
      <c r="T1003" t="s">
        <v>806</v>
      </c>
      <c r="U1003" t="s">
        <v>807</v>
      </c>
      <c r="W1003">
        <v>175</v>
      </c>
      <c r="X1003">
        <v>155</v>
      </c>
      <c r="Y1003" t="s">
        <v>808</v>
      </c>
      <c r="Z1003" t="s">
        <v>792</v>
      </c>
      <c r="AB1003" t="s">
        <v>793</v>
      </c>
      <c r="AD1003" t="s">
        <v>794</v>
      </c>
      <c r="AE1003" t="s">
        <v>804</v>
      </c>
      <c r="AF1003" t="s">
        <v>845</v>
      </c>
      <c r="AG1003" t="s">
        <v>797</v>
      </c>
      <c r="AH1003">
        <v>5702916</v>
      </c>
      <c r="AI1003">
        <v>5702916</v>
      </c>
      <c r="AJ1003">
        <v>0.81</v>
      </c>
    </row>
    <row r="1004" spans="1:36" x14ac:dyDescent="0.3">
      <c r="A1004">
        <f>COUNTIF($D$2:D1004,D1004)</f>
        <v>2</v>
      </c>
      <c r="B1004" t="str">
        <f t="shared" si="61"/>
        <v>2Hounslow</v>
      </c>
      <c r="C1004" t="s">
        <v>3382</v>
      </c>
      <c r="D1004" t="s">
        <v>179</v>
      </c>
      <c r="E1004">
        <v>6</v>
      </c>
      <c r="F1004" t="s">
        <v>3383</v>
      </c>
      <c r="G1004" t="s">
        <v>842</v>
      </c>
      <c r="H1004" t="s">
        <v>843</v>
      </c>
      <c r="I1004" t="s">
        <v>844</v>
      </c>
      <c r="J1004">
        <f t="shared" ca="1" si="62"/>
        <v>4240000</v>
      </c>
      <c r="K1004">
        <f t="shared" ca="1" si="63"/>
        <v>192727</v>
      </c>
      <c r="N1004" t="str">
        <f t="shared" si="60"/>
        <v>Halton11Intermediate Care Bed Based ServiceBed based intermediate Care Services (Reablement, rehabilitation, wider short-term services supporting recovery)Bed-based intermediate care with rehabilitation (to support discharge)</v>
      </c>
      <c r="O1004" t="s">
        <v>159</v>
      </c>
      <c r="P1004" t="s">
        <v>1201</v>
      </c>
      <c r="Q1004">
        <v>11</v>
      </c>
      <c r="R1004" t="s">
        <v>3038</v>
      </c>
      <c r="S1004" t="s">
        <v>3384</v>
      </c>
      <c r="T1004" t="s">
        <v>877</v>
      </c>
      <c r="U1004" t="s">
        <v>968</v>
      </c>
      <c r="W1004">
        <v>35</v>
      </c>
      <c r="X1004">
        <v>32</v>
      </c>
      <c r="Y1004" t="s">
        <v>879</v>
      </c>
      <c r="Z1004" t="s">
        <v>792</v>
      </c>
      <c r="AB1004" t="s">
        <v>793</v>
      </c>
      <c r="AD1004" t="s">
        <v>794</v>
      </c>
      <c r="AE1004" t="s">
        <v>795</v>
      </c>
      <c r="AF1004" t="s">
        <v>796</v>
      </c>
      <c r="AG1004" t="s">
        <v>797</v>
      </c>
      <c r="AH1004">
        <v>467690</v>
      </c>
      <c r="AI1004">
        <v>494161</v>
      </c>
      <c r="AJ1004">
        <v>0.41</v>
      </c>
    </row>
    <row r="1005" spans="1:36" x14ac:dyDescent="0.3">
      <c r="A1005">
        <f>COUNTIF($D$2:D1005,D1005)</f>
        <v>3</v>
      </c>
      <c r="B1005" t="str">
        <f t="shared" si="61"/>
        <v>3Hounslow</v>
      </c>
      <c r="C1005" t="s">
        <v>3385</v>
      </c>
      <c r="D1005" t="s">
        <v>179</v>
      </c>
      <c r="E1005">
        <v>7</v>
      </c>
      <c r="F1005" t="s">
        <v>3386</v>
      </c>
      <c r="G1005" t="s">
        <v>806</v>
      </c>
      <c r="H1005" t="s">
        <v>934</v>
      </c>
      <c r="I1005" t="s">
        <v>808</v>
      </c>
      <c r="J1005">
        <f t="shared" ca="1" si="62"/>
        <v>420000</v>
      </c>
      <c r="K1005">
        <f t="shared" ca="1" si="63"/>
        <v>14</v>
      </c>
      <c r="N1005" t="str">
        <f t="shared" si="60"/>
        <v>Halton11Intermediate Care Bed Based ServiceBed based intermediate Care Services (Reablement, rehabilitation, wider short-term services supporting recovery)Bed-based intermediate care with rehabilitation (to support discharge)</v>
      </c>
      <c r="O1005" t="s">
        <v>159</v>
      </c>
      <c r="P1005" t="s">
        <v>1201</v>
      </c>
      <c r="Q1005">
        <v>11</v>
      </c>
      <c r="R1005" t="s">
        <v>3038</v>
      </c>
      <c r="S1005" t="s">
        <v>3384</v>
      </c>
      <c r="T1005" t="s">
        <v>877</v>
      </c>
      <c r="U1005" t="s">
        <v>968</v>
      </c>
      <c r="W1005">
        <v>40</v>
      </c>
      <c r="X1005">
        <v>57</v>
      </c>
      <c r="Y1005" t="s">
        <v>879</v>
      </c>
      <c r="Z1005" t="s">
        <v>792</v>
      </c>
      <c r="AB1005" t="s">
        <v>793</v>
      </c>
      <c r="AD1005" t="s">
        <v>794</v>
      </c>
      <c r="AE1005" t="s">
        <v>795</v>
      </c>
      <c r="AF1005" t="s">
        <v>864</v>
      </c>
      <c r="AG1005" t="s">
        <v>797</v>
      </c>
      <c r="AH1005">
        <v>544586</v>
      </c>
      <c r="AI1005">
        <v>847376</v>
      </c>
      <c r="AJ1005">
        <v>0.59</v>
      </c>
    </row>
    <row r="1006" spans="1:36" x14ac:dyDescent="0.3">
      <c r="A1006">
        <f>COUNTIF($D$2:D1006,D1006)</f>
        <v>4</v>
      </c>
      <c r="B1006" t="str">
        <f t="shared" si="61"/>
        <v>4Hounslow</v>
      </c>
      <c r="C1006" t="s">
        <v>3387</v>
      </c>
      <c r="D1006" t="s">
        <v>179</v>
      </c>
      <c r="E1006">
        <v>8</v>
      </c>
      <c r="F1006" t="s">
        <v>3388</v>
      </c>
      <c r="G1006" t="s">
        <v>800</v>
      </c>
      <c r="H1006" t="s">
        <v>850</v>
      </c>
      <c r="I1006" t="s">
        <v>802</v>
      </c>
      <c r="J1006">
        <f t="shared" ca="1" si="62"/>
        <v>350000</v>
      </c>
      <c r="K1006">
        <f t="shared" ca="1" si="63"/>
        <v>200</v>
      </c>
      <c r="N1006" t="str">
        <f t="shared" si="60"/>
        <v xml:space="preserve">Halton12Intermediate Care Community ServicesHome-based intermediate care servicesJoint reablement and rehabilitation service (to support discharge) </v>
      </c>
      <c r="O1006" t="s">
        <v>159</v>
      </c>
      <c r="P1006" t="s">
        <v>1201</v>
      </c>
      <c r="Q1006">
        <v>12</v>
      </c>
      <c r="R1006" t="s">
        <v>3041</v>
      </c>
      <c r="S1006" t="s">
        <v>3389</v>
      </c>
      <c r="T1006" t="s">
        <v>787</v>
      </c>
      <c r="U1006" t="s">
        <v>1551</v>
      </c>
      <c r="W1006">
        <v>408</v>
      </c>
      <c r="X1006">
        <v>446</v>
      </c>
      <c r="Y1006" t="s">
        <v>789</v>
      </c>
      <c r="Z1006" t="s">
        <v>792</v>
      </c>
      <c r="AB1006" t="s">
        <v>793</v>
      </c>
      <c r="AD1006" t="s">
        <v>794</v>
      </c>
      <c r="AE1006" t="s">
        <v>795</v>
      </c>
      <c r="AF1006" t="s">
        <v>860</v>
      </c>
      <c r="AG1006" t="s">
        <v>797</v>
      </c>
      <c r="AH1006">
        <v>942072</v>
      </c>
      <c r="AI1006">
        <v>1281956</v>
      </c>
      <c r="AJ1006">
        <v>0.54</v>
      </c>
    </row>
    <row r="1007" spans="1:36" x14ac:dyDescent="0.3">
      <c r="A1007">
        <f>COUNTIF($D$2:D1007,D1007)</f>
        <v>5</v>
      </c>
      <c r="B1007" t="str">
        <f t="shared" si="61"/>
        <v>5Hounslow</v>
      </c>
      <c r="C1007" t="s">
        <v>3390</v>
      </c>
      <c r="D1007" t="s">
        <v>179</v>
      </c>
      <c r="E1007">
        <v>9</v>
      </c>
      <c r="F1007" t="s">
        <v>1578</v>
      </c>
      <c r="G1007" t="s">
        <v>800</v>
      </c>
      <c r="H1007" t="s">
        <v>903</v>
      </c>
      <c r="I1007" t="s">
        <v>802</v>
      </c>
      <c r="J1007">
        <f t="shared" ca="1" si="62"/>
        <v>330000</v>
      </c>
      <c r="K1007">
        <f t="shared" ca="1" si="63"/>
        <v>105</v>
      </c>
      <c r="N1007" t="str">
        <f t="shared" si="60"/>
        <v xml:space="preserve">Halton12Intermediate Care Community ServicesHome-based intermediate care servicesJoint reablement and rehabilitation service (to support discharge) </v>
      </c>
      <c r="O1007" t="s">
        <v>159</v>
      </c>
      <c r="P1007" t="s">
        <v>1201</v>
      </c>
      <c r="Q1007">
        <v>12</v>
      </c>
      <c r="R1007" t="s">
        <v>3041</v>
      </c>
      <c r="S1007" t="s">
        <v>3389</v>
      </c>
      <c r="T1007" t="s">
        <v>787</v>
      </c>
      <c r="U1007" t="s">
        <v>1551</v>
      </c>
      <c r="W1007">
        <v>192</v>
      </c>
      <c r="X1007">
        <v>311</v>
      </c>
      <c r="Y1007" t="s">
        <v>789</v>
      </c>
      <c r="Z1007" t="s">
        <v>792</v>
      </c>
      <c r="AB1007" t="s">
        <v>793</v>
      </c>
      <c r="AD1007" t="s">
        <v>794</v>
      </c>
      <c r="AE1007" t="s">
        <v>795</v>
      </c>
      <c r="AF1007" t="s">
        <v>864</v>
      </c>
      <c r="AG1007" t="s">
        <v>797</v>
      </c>
      <c r="AH1007">
        <v>434290</v>
      </c>
      <c r="AI1007">
        <v>746951</v>
      </c>
      <c r="AJ1007">
        <v>0.28000000000000003</v>
      </c>
    </row>
    <row r="1008" spans="1:36" x14ac:dyDescent="0.3">
      <c r="A1008">
        <f>COUNTIF($D$2:D1008,D1008)</f>
        <v>6</v>
      </c>
      <c r="B1008" t="str">
        <f t="shared" si="61"/>
        <v>6Hounslow</v>
      </c>
      <c r="C1008" t="s">
        <v>3391</v>
      </c>
      <c r="D1008" t="s">
        <v>179</v>
      </c>
      <c r="E1008">
        <v>18</v>
      </c>
      <c r="F1008" t="s">
        <v>3392</v>
      </c>
      <c r="G1008" t="s">
        <v>811</v>
      </c>
      <c r="H1008" t="s">
        <v>830</v>
      </c>
      <c r="I1008" t="s">
        <v>813</v>
      </c>
      <c r="J1008">
        <f t="shared" ca="1" si="62"/>
        <v>243000</v>
      </c>
      <c r="K1008">
        <f t="shared" ca="1" si="63"/>
        <v>0</v>
      </c>
      <c r="N1008" t="str">
        <f t="shared" si="60"/>
        <v>Halton5DFG &amp; Equipment AdaptationsDFG Related SchemesAdaptations, including statutory DFG grants</v>
      </c>
      <c r="O1008" t="s">
        <v>159</v>
      </c>
      <c r="P1008" t="s">
        <v>1201</v>
      </c>
      <c r="Q1008">
        <v>5</v>
      </c>
      <c r="R1008" t="s">
        <v>3044</v>
      </c>
      <c r="S1008" t="s">
        <v>840</v>
      </c>
      <c r="T1008" t="s">
        <v>834</v>
      </c>
      <c r="U1008" t="s">
        <v>835</v>
      </c>
      <c r="W1008">
        <v>131</v>
      </c>
      <c r="X1008">
        <v>115</v>
      </c>
      <c r="Y1008" t="s">
        <v>836</v>
      </c>
      <c r="Z1008" t="s">
        <v>792</v>
      </c>
      <c r="AB1008" t="s">
        <v>793</v>
      </c>
      <c r="AD1008" t="s">
        <v>794</v>
      </c>
      <c r="AE1008" t="s">
        <v>804</v>
      </c>
      <c r="AF1008" t="s">
        <v>840</v>
      </c>
      <c r="AG1008" t="s">
        <v>797</v>
      </c>
      <c r="AH1008">
        <v>1994703</v>
      </c>
      <c r="AI1008">
        <v>1994703</v>
      </c>
      <c r="AJ1008">
        <v>1</v>
      </c>
    </row>
    <row r="1009" spans="1:36" x14ac:dyDescent="0.3">
      <c r="A1009">
        <f>COUNTIF($D$2:D1009,D1009)</f>
        <v>7</v>
      </c>
      <c r="B1009" t="str">
        <f t="shared" si="61"/>
        <v>7Hounslow</v>
      </c>
      <c r="C1009" t="s">
        <v>3393</v>
      </c>
      <c r="D1009" t="s">
        <v>179</v>
      </c>
      <c r="E1009">
        <v>20</v>
      </c>
      <c r="F1009" t="s">
        <v>3394</v>
      </c>
      <c r="G1009" t="s">
        <v>811</v>
      </c>
      <c r="H1009" t="s">
        <v>830</v>
      </c>
      <c r="I1009" t="s">
        <v>813</v>
      </c>
      <c r="J1009">
        <f t="shared" ca="1" si="62"/>
        <v>6000</v>
      </c>
      <c r="K1009">
        <f t="shared" ca="1" si="63"/>
        <v>0</v>
      </c>
      <c r="N1009" t="str">
        <f t="shared" si="60"/>
        <v xml:space="preserve">Halton12Intermediate Care Community ServicesHome-based intermediate care servicesJoint reablement and rehabilitation service (to support discharge) </v>
      </c>
      <c r="O1009" t="s">
        <v>159</v>
      </c>
      <c r="P1009" t="s">
        <v>1201</v>
      </c>
      <c r="Q1009">
        <v>12</v>
      </c>
      <c r="R1009" t="s">
        <v>3041</v>
      </c>
      <c r="S1009" t="s">
        <v>3389</v>
      </c>
      <c r="T1009" t="s">
        <v>787</v>
      </c>
      <c r="U1009" t="s">
        <v>1551</v>
      </c>
      <c r="W1009">
        <v>108</v>
      </c>
      <c r="X1009">
        <v>87</v>
      </c>
      <c r="Y1009" t="s">
        <v>789</v>
      </c>
      <c r="Z1009" t="s">
        <v>792</v>
      </c>
      <c r="AB1009" t="s">
        <v>793</v>
      </c>
      <c r="AD1009" t="s">
        <v>794</v>
      </c>
      <c r="AE1009" t="s">
        <v>795</v>
      </c>
      <c r="AF1009" t="s">
        <v>845</v>
      </c>
      <c r="AG1009" t="s">
        <v>797</v>
      </c>
      <c r="AH1009">
        <v>366640</v>
      </c>
      <c r="AI1009">
        <v>366640</v>
      </c>
      <c r="AJ1009">
        <v>0.18</v>
      </c>
    </row>
    <row r="1010" spans="1:36" x14ac:dyDescent="0.3">
      <c r="A1010">
        <f>COUNTIF($D$2:D1010,D1010)</f>
        <v>8</v>
      </c>
      <c r="B1010" t="str">
        <f t="shared" si="61"/>
        <v>8Hounslow</v>
      </c>
      <c r="C1010" t="s">
        <v>3395</v>
      </c>
      <c r="D1010" t="s">
        <v>179</v>
      </c>
      <c r="E1010">
        <v>21</v>
      </c>
      <c r="F1010" t="s">
        <v>3396</v>
      </c>
      <c r="G1010" t="s">
        <v>811</v>
      </c>
      <c r="H1010" t="s">
        <v>830</v>
      </c>
      <c r="I1010" t="s">
        <v>813</v>
      </c>
      <c r="J1010">
        <f t="shared" ca="1" si="62"/>
        <v>4000</v>
      </c>
      <c r="K1010">
        <f t="shared" ca="1" si="63"/>
        <v>0</v>
      </c>
      <c r="N1010" t="str">
        <f t="shared" si="60"/>
        <v>Halton8Home First SupportHome Care or Domiciliary CareDomiciliary care packages</v>
      </c>
      <c r="O1010" t="s">
        <v>159</v>
      </c>
      <c r="P1010" t="s">
        <v>1201</v>
      </c>
      <c r="Q1010">
        <v>8</v>
      </c>
      <c r="R1010" t="s">
        <v>3047</v>
      </c>
      <c r="S1010" t="s">
        <v>3047</v>
      </c>
      <c r="T1010" t="s">
        <v>842</v>
      </c>
      <c r="U1010" t="s">
        <v>843</v>
      </c>
      <c r="W1010">
        <v>78021</v>
      </c>
      <c r="X1010">
        <v>74904</v>
      </c>
      <c r="Y1010" t="s">
        <v>844</v>
      </c>
      <c r="Z1010" t="s">
        <v>792</v>
      </c>
      <c r="AB1010" t="s">
        <v>793</v>
      </c>
      <c r="AD1010" t="s">
        <v>794</v>
      </c>
      <c r="AE1010" t="s">
        <v>804</v>
      </c>
      <c r="AF1010" t="s">
        <v>796</v>
      </c>
      <c r="AG1010" t="s">
        <v>797</v>
      </c>
      <c r="AH1010">
        <v>1530000</v>
      </c>
      <c r="AI1010">
        <v>1615680</v>
      </c>
      <c r="AJ1010">
        <v>0.3</v>
      </c>
    </row>
    <row r="1011" spans="1:36" x14ac:dyDescent="0.3">
      <c r="A1011">
        <f>COUNTIF($D$2:D1011,D1011)</f>
        <v>9</v>
      </c>
      <c r="B1011" t="str">
        <f t="shared" si="61"/>
        <v>9Hounslow</v>
      </c>
      <c r="C1011" t="s">
        <v>3397</v>
      </c>
      <c r="D1011" t="s">
        <v>179</v>
      </c>
      <c r="E1011">
        <v>22</v>
      </c>
      <c r="F1011" t="s">
        <v>3398</v>
      </c>
      <c r="G1011" t="s">
        <v>787</v>
      </c>
      <c r="H1011" t="s">
        <v>899</v>
      </c>
      <c r="I1011" t="s">
        <v>789</v>
      </c>
      <c r="J1011">
        <f t="shared" ca="1" si="62"/>
        <v>2421877</v>
      </c>
      <c r="K1011">
        <f t="shared" ca="1" si="63"/>
        <v>513</v>
      </c>
      <c r="N1011" t="str">
        <f t="shared" si="60"/>
        <v>Hammersmith and Fulham009Community EquipmentAssistive Technologies and EquipmentCommunity based equipment</v>
      </c>
      <c r="O1011" t="s">
        <v>161</v>
      </c>
      <c r="P1011" t="s">
        <v>790</v>
      </c>
      <c r="Q1011" t="s">
        <v>3050</v>
      </c>
      <c r="R1011" t="s">
        <v>1051</v>
      </c>
      <c r="S1011" t="s">
        <v>1051</v>
      </c>
      <c r="T1011" t="s">
        <v>800</v>
      </c>
      <c r="U1011" t="s">
        <v>903</v>
      </c>
      <c r="W1011">
        <v>13568</v>
      </c>
      <c r="X1011">
        <v>13568</v>
      </c>
      <c r="Y1011" t="s">
        <v>802</v>
      </c>
      <c r="Z1011" t="s">
        <v>823</v>
      </c>
      <c r="AB1011" t="s">
        <v>824</v>
      </c>
      <c r="AD1011" t="s">
        <v>794</v>
      </c>
      <c r="AE1011" t="s">
        <v>795</v>
      </c>
      <c r="AF1011" t="s">
        <v>796</v>
      </c>
      <c r="AG1011" t="s">
        <v>797</v>
      </c>
      <c r="AH1011">
        <v>1148100</v>
      </c>
      <c r="AI1011">
        <v>1213082.46</v>
      </c>
      <c r="AJ1011">
        <v>0.59336472580729471</v>
      </c>
    </row>
    <row r="1012" spans="1:36" x14ac:dyDescent="0.3">
      <c r="A1012">
        <f>COUNTIF($D$2:D1012,D1012)</f>
        <v>10</v>
      </c>
      <c r="B1012" t="str">
        <f t="shared" si="61"/>
        <v>10Hounslow</v>
      </c>
      <c r="C1012" t="s">
        <v>3399</v>
      </c>
      <c r="D1012" t="s">
        <v>179</v>
      </c>
      <c r="E1012">
        <v>23</v>
      </c>
      <c r="F1012" t="s">
        <v>3400</v>
      </c>
      <c r="G1012" t="s">
        <v>787</v>
      </c>
      <c r="H1012" t="s">
        <v>886</v>
      </c>
      <c r="I1012" t="s">
        <v>789</v>
      </c>
      <c r="J1012">
        <f t="shared" ca="1" si="62"/>
        <v>58100</v>
      </c>
      <c r="K1012">
        <f t="shared" ca="1" si="63"/>
        <v>513</v>
      </c>
      <c r="N1012" t="str">
        <f t="shared" si="60"/>
        <v>Hammersmith and Fulham012Intermediate care Beds (Alexandra Ward) – CLCHBed based intermediate Care Services (Reablement, rehabilitation, wider short-term services supporting recovery)Bed-based intermediate care with rehabilitation (to support discharge)</v>
      </c>
      <c r="O1012" t="s">
        <v>161</v>
      </c>
      <c r="P1012" t="s">
        <v>790</v>
      </c>
      <c r="Q1012" t="s">
        <v>3053</v>
      </c>
      <c r="R1012" t="s">
        <v>3054</v>
      </c>
      <c r="S1012" t="s">
        <v>3401</v>
      </c>
      <c r="T1012" t="s">
        <v>877</v>
      </c>
      <c r="U1012" t="s">
        <v>968</v>
      </c>
      <c r="W1012">
        <v>154</v>
      </c>
      <c r="X1012">
        <v>154</v>
      </c>
      <c r="Y1012" t="s">
        <v>879</v>
      </c>
      <c r="Z1012" t="s">
        <v>823</v>
      </c>
      <c r="AB1012" t="s">
        <v>824</v>
      </c>
      <c r="AD1012" t="s">
        <v>794</v>
      </c>
      <c r="AE1012" t="s">
        <v>832</v>
      </c>
      <c r="AF1012" t="s">
        <v>796</v>
      </c>
      <c r="AG1012" t="s">
        <v>861</v>
      </c>
      <c r="AH1012">
        <v>526638</v>
      </c>
      <c r="AI1012">
        <v>556445.7108</v>
      </c>
      <c r="AJ1012">
        <v>0.4032089008871334</v>
      </c>
    </row>
    <row r="1013" spans="1:36" x14ac:dyDescent="0.3">
      <c r="A1013">
        <f>COUNTIF($D$2:D1013,D1013)</f>
        <v>11</v>
      </c>
      <c r="B1013" t="str">
        <f t="shared" si="61"/>
        <v>11Hounslow</v>
      </c>
      <c r="C1013" t="s">
        <v>3402</v>
      </c>
      <c r="D1013" t="s">
        <v>179</v>
      </c>
      <c r="E1013">
        <v>30</v>
      </c>
      <c r="F1013" t="s">
        <v>3403</v>
      </c>
      <c r="G1013" t="s">
        <v>787</v>
      </c>
      <c r="H1013" t="s">
        <v>886</v>
      </c>
      <c r="I1013" t="s">
        <v>789</v>
      </c>
      <c r="J1013">
        <f t="shared" ca="1" si="62"/>
        <v>2332426.8112849402</v>
      </c>
      <c r="K1013">
        <f t="shared" ca="1" si="63"/>
        <v>4363</v>
      </c>
      <c r="N1013" t="str">
        <f t="shared" si="60"/>
        <v>Hammersmith and Fulham013Intermediate care Beds (Athlone Ward) – CLCHBed based intermediate Care Services (Reablement, rehabilitation, wider short-term services supporting recovery)Bed-based intermediate care with rehabilitation (to support discharge)</v>
      </c>
      <c r="O1013" t="s">
        <v>161</v>
      </c>
      <c r="P1013" t="s">
        <v>790</v>
      </c>
      <c r="Q1013" t="s">
        <v>3057</v>
      </c>
      <c r="R1013" t="s">
        <v>3058</v>
      </c>
      <c r="S1013" t="s">
        <v>3401</v>
      </c>
      <c r="T1013" t="s">
        <v>877</v>
      </c>
      <c r="U1013" t="s">
        <v>968</v>
      </c>
      <c r="W1013">
        <v>154</v>
      </c>
      <c r="X1013">
        <v>154</v>
      </c>
      <c r="Y1013" t="s">
        <v>879</v>
      </c>
      <c r="Z1013" t="s">
        <v>823</v>
      </c>
      <c r="AB1013" t="s">
        <v>824</v>
      </c>
      <c r="AD1013" t="s">
        <v>794</v>
      </c>
      <c r="AE1013" t="s">
        <v>832</v>
      </c>
      <c r="AF1013" t="s">
        <v>796</v>
      </c>
      <c r="AG1013" t="s">
        <v>861</v>
      </c>
      <c r="AH1013">
        <v>779479</v>
      </c>
      <c r="AI1013">
        <v>823597.51139999996</v>
      </c>
      <c r="AJ1013">
        <v>0.59679109911286665</v>
      </c>
    </row>
    <row r="1014" spans="1:36" x14ac:dyDescent="0.3">
      <c r="A1014">
        <f>COUNTIF($D$2:D1014,D1014)</f>
        <v>12</v>
      </c>
      <c r="B1014" t="str">
        <f t="shared" si="61"/>
        <v>12Hounslow</v>
      </c>
      <c r="C1014" t="s">
        <v>3404</v>
      </c>
      <c r="D1014" t="s">
        <v>179</v>
      </c>
      <c r="E1014">
        <v>31</v>
      </c>
      <c r="F1014" t="s">
        <v>1034</v>
      </c>
      <c r="G1014" t="s">
        <v>800</v>
      </c>
      <c r="H1014" t="s">
        <v>850</v>
      </c>
      <c r="I1014" t="s">
        <v>802</v>
      </c>
      <c r="J1014">
        <f t="shared" ca="1" si="62"/>
        <v>2175605.6342000002</v>
      </c>
      <c r="K1014">
        <f t="shared" ca="1" si="63"/>
        <v>500</v>
      </c>
      <c r="N1014" t="str">
        <f t="shared" si="60"/>
        <v>Hammersmith and Fulham019Farm Lane PFIResidential PlacementsNursing home</v>
      </c>
      <c r="O1014" t="s">
        <v>161</v>
      </c>
      <c r="P1014" t="s">
        <v>790</v>
      </c>
      <c r="Q1014" t="s">
        <v>3061</v>
      </c>
      <c r="R1014" t="s">
        <v>3062</v>
      </c>
      <c r="S1014" t="s">
        <v>3405</v>
      </c>
      <c r="T1014" t="s">
        <v>806</v>
      </c>
      <c r="U1014" t="s">
        <v>917</v>
      </c>
      <c r="W1014">
        <v>18</v>
      </c>
      <c r="X1014">
        <v>18</v>
      </c>
      <c r="Y1014" t="s">
        <v>808</v>
      </c>
      <c r="Z1014" t="s">
        <v>823</v>
      </c>
      <c r="AB1014" t="s">
        <v>824</v>
      </c>
      <c r="AD1014" t="s">
        <v>794</v>
      </c>
      <c r="AE1014" t="s">
        <v>795</v>
      </c>
      <c r="AF1014" t="s">
        <v>1042</v>
      </c>
      <c r="AG1014" t="s">
        <v>797</v>
      </c>
      <c r="AH1014">
        <v>1507589.5602001513</v>
      </c>
      <c r="AI1014">
        <v>1507589.5602001513</v>
      </c>
      <c r="AJ1014">
        <v>0.20851562968056328</v>
      </c>
    </row>
    <row r="1015" spans="1:36" x14ac:dyDescent="0.3">
      <c r="A1015">
        <f>COUNTIF($D$2:D1015,D1015)</f>
        <v>13</v>
      </c>
      <c r="B1015" t="str">
        <f t="shared" si="61"/>
        <v>13Hounslow</v>
      </c>
      <c r="C1015" t="s">
        <v>3406</v>
      </c>
      <c r="D1015" t="s">
        <v>179</v>
      </c>
      <c r="E1015">
        <v>41</v>
      </c>
      <c r="F1015" t="s">
        <v>891</v>
      </c>
      <c r="G1015" t="s">
        <v>834</v>
      </c>
      <c r="H1015" t="s">
        <v>835</v>
      </c>
      <c r="I1015" t="s">
        <v>836</v>
      </c>
      <c r="J1015">
        <f t="shared" ca="1" si="62"/>
        <v>2999580</v>
      </c>
      <c r="K1015">
        <f t="shared" ca="1" si="63"/>
        <v>880</v>
      </c>
      <c r="N1015" t="str">
        <f t="shared" si="60"/>
        <v>Hammersmith and Fulham020St Vincent PFIResidential PlacementsNursing home</v>
      </c>
      <c r="O1015" t="s">
        <v>161</v>
      </c>
      <c r="P1015" t="s">
        <v>790</v>
      </c>
      <c r="Q1015" t="s">
        <v>3066</v>
      </c>
      <c r="R1015" t="s">
        <v>3067</v>
      </c>
      <c r="S1015" t="s">
        <v>3405</v>
      </c>
      <c r="T1015" t="s">
        <v>806</v>
      </c>
      <c r="U1015" t="s">
        <v>917</v>
      </c>
      <c r="W1015">
        <v>13</v>
      </c>
      <c r="X1015">
        <v>13</v>
      </c>
      <c r="Y1015" t="s">
        <v>808</v>
      </c>
      <c r="Z1015" t="s">
        <v>1061</v>
      </c>
      <c r="AB1015" t="s">
        <v>824</v>
      </c>
      <c r="AD1015" t="s">
        <v>794</v>
      </c>
      <c r="AE1015" t="s">
        <v>795</v>
      </c>
      <c r="AF1015" t="s">
        <v>1042</v>
      </c>
      <c r="AG1015" t="s">
        <v>797</v>
      </c>
      <c r="AH1015">
        <v>1726343.5458611797</v>
      </c>
      <c r="AI1015">
        <v>1726343.5458611797</v>
      </c>
      <c r="AJ1015">
        <v>0.23877162658411477</v>
      </c>
    </row>
    <row r="1016" spans="1:36" x14ac:dyDescent="0.3">
      <c r="A1016">
        <f>COUNTIF($D$2:D1016,D1016)</f>
        <v>14</v>
      </c>
      <c r="B1016" t="str">
        <f t="shared" si="61"/>
        <v>14Hounslow</v>
      </c>
      <c r="C1016" t="s">
        <v>3407</v>
      </c>
      <c r="D1016" t="s">
        <v>179</v>
      </c>
      <c r="E1016">
        <v>50</v>
      </c>
      <c r="F1016" t="s">
        <v>3408</v>
      </c>
      <c r="G1016" t="s">
        <v>806</v>
      </c>
      <c r="H1016" t="s">
        <v>807</v>
      </c>
      <c r="I1016" t="s">
        <v>808</v>
      </c>
      <c r="J1016">
        <f t="shared" ca="1" si="62"/>
        <v>5243903</v>
      </c>
      <c r="K1016">
        <f t="shared" ca="1" si="63"/>
        <v>80</v>
      </c>
      <c r="N1016" t="str">
        <f t="shared" si="60"/>
        <v xml:space="preserve">Hammersmith and Fulham032S256 Recurrent ReablementHome-based intermediate care servicesReablement at home (to support discharge) </v>
      </c>
      <c r="O1016" t="s">
        <v>161</v>
      </c>
      <c r="P1016" t="s">
        <v>790</v>
      </c>
      <c r="Q1016" t="s">
        <v>3069</v>
      </c>
      <c r="R1016" t="s">
        <v>3070</v>
      </c>
      <c r="S1016" t="s">
        <v>3409</v>
      </c>
      <c r="T1016" t="s">
        <v>787</v>
      </c>
      <c r="U1016" t="s">
        <v>788</v>
      </c>
      <c r="W1016">
        <v>347</v>
      </c>
      <c r="X1016">
        <v>347</v>
      </c>
      <c r="Y1016" t="s">
        <v>789</v>
      </c>
      <c r="Z1016" t="s">
        <v>823</v>
      </c>
      <c r="AB1016" t="s">
        <v>824</v>
      </c>
      <c r="AD1016" t="s">
        <v>794</v>
      </c>
      <c r="AE1016" t="s">
        <v>795</v>
      </c>
      <c r="AF1016" t="s">
        <v>1042</v>
      </c>
      <c r="AG1016" t="s">
        <v>797</v>
      </c>
      <c r="AH1016">
        <v>267755.152</v>
      </c>
      <c r="AI1016">
        <v>267755.152</v>
      </c>
      <c r="AJ1016">
        <v>1</v>
      </c>
    </row>
    <row r="1017" spans="1:36" x14ac:dyDescent="0.3">
      <c r="A1017">
        <f>COUNTIF($D$2:D1017,D1017)</f>
        <v>1</v>
      </c>
      <c r="B1017" t="str">
        <f t="shared" si="61"/>
        <v>1Isle of Wight</v>
      </c>
      <c r="C1017" t="s">
        <v>3410</v>
      </c>
      <c r="D1017" t="s">
        <v>181</v>
      </c>
      <c r="E1017">
        <v>1</v>
      </c>
      <c r="F1017" t="s">
        <v>3411</v>
      </c>
      <c r="G1017" t="s">
        <v>800</v>
      </c>
      <c r="H1017" t="s">
        <v>850</v>
      </c>
      <c r="I1017" t="s">
        <v>802</v>
      </c>
      <c r="J1017">
        <f t="shared" ca="1" si="62"/>
        <v>48350</v>
      </c>
      <c r="K1017">
        <f t="shared" ca="1" si="63"/>
        <v>1102</v>
      </c>
      <c r="N1017" t="str">
        <f t="shared" si="60"/>
        <v>Hammersmith and Fulham38Contract Beds Older People (Farm Lane) Residential PlacementsNursing home</v>
      </c>
      <c r="O1017" t="s">
        <v>161</v>
      </c>
      <c r="P1017" t="s">
        <v>790</v>
      </c>
      <c r="Q1017">
        <v>38</v>
      </c>
      <c r="R1017" t="s">
        <v>3073</v>
      </c>
      <c r="S1017" t="s">
        <v>3412</v>
      </c>
      <c r="T1017" t="s">
        <v>806</v>
      </c>
      <c r="U1017" t="s">
        <v>917</v>
      </c>
      <c r="W1017">
        <v>18</v>
      </c>
      <c r="X1017">
        <v>18</v>
      </c>
      <c r="Y1017" t="s">
        <v>808</v>
      </c>
      <c r="Z1017" t="s">
        <v>792</v>
      </c>
      <c r="AB1017" t="s">
        <v>793</v>
      </c>
      <c r="AD1017" t="s">
        <v>794</v>
      </c>
      <c r="AE1017" t="s">
        <v>804</v>
      </c>
      <c r="AF1017" t="s">
        <v>1029</v>
      </c>
      <c r="AG1017" t="s">
        <v>797</v>
      </c>
      <c r="AH1017">
        <v>1493728</v>
      </c>
      <c r="AI1017">
        <v>1553477.12</v>
      </c>
      <c r="AJ1017">
        <v>0.21073039742935093</v>
      </c>
    </row>
    <row r="1018" spans="1:36" x14ac:dyDescent="0.3">
      <c r="A1018">
        <f>COUNTIF($D$2:D1018,D1018)</f>
        <v>2</v>
      </c>
      <c r="B1018" t="str">
        <f t="shared" si="61"/>
        <v>2Isle of Wight</v>
      </c>
      <c r="C1018" t="s">
        <v>3413</v>
      </c>
      <c r="D1018" t="s">
        <v>181</v>
      </c>
      <c r="E1018">
        <v>2</v>
      </c>
      <c r="F1018" t="s">
        <v>3414</v>
      </c>
      <c r="G1018" t="s">
        <v>811</v>
      </c>
      <c r="H1018" t="s">
        <v>812</v>
      </c>
      <c r="I1018" t="s">
        <v>813</v>
      </c>
      <c r="J1018">
        <f t="shared" ca="1" si="62"/>
        <v>296008</v>
      </c>
      <c r="K1018">
        <f t="shared" ca="1" si="63"/>
        <v>1088</v>
      </c>
      <c r="N1018" t="str">
        <f t="shared" si="60"/>
        <v>Hammersmith and Fulham39Contract Beds  Older People (St Vincent) Residential PlacementsNursing home</v>
      </c>
      <c r="O1018" t="s">
        <v>161</v>
      </c>
      <c r="P1018" t="s">
        <v>790</v>
      </c>
      <c r="Q1018">
        <v>39</v>
      </c>
      <c r="R1018" t="s">
        <v>3075</v>
      </c>
      <c r="S1018" t="s">
        <v>3415</v>
      </c>
      <c r="T1018" t="s">
        <v>806</v>
      </c>
      <c r="U1018" t="s">
        <v>917</v>
      </c>
      <c r="W1018">
        <v>17</v>
      </c>
      <c r="X1018">
        <v>17</v>
      </c>
      <c r="Y1018" t="s">
        <v>808</v>
      </c>
      <c r="Z1018" t="s">
        <v>792</v>
      </c>
      <c r="AB1018" t="s">
        <v>793</v>
      </c>
      <c r="AD1018" t="s">
        <v>794</v>
      </c>
      <c r="AE1018" t="s">
        <v>804</v>
      </c>
      <c r="AF1018" t="s">
        <v>1029</v>
      </c>
      <c r="AG1018" t="s">
        <v>797</v>
      </c>
      <c r="AH1018">
        <v>2424086</v>
      </c>
      <c r="AI1018">
        <v>2521049.44</v>
      </c>
      <c r="AJ1018">
        <v>0.34198234630597102</v>
      </c>
    </row>
    <row r="1019" spans="1:36" x14ac:dyDescent="0.3">
      <c r="A1019">
        <f>COUNTIF($D$2:D1019,D1019)</f>
        <v>3</v>
      </c>
      <c r="B1019" t="str">
        <f t="shared" si="61"/>
        <v>3Isle of Wight</v>
      </c>
      <c r="C1019" t="s">
        <v>3416</v>
      </c>
      <c r="D1019" t="s">
        <v>181</v>
      </c>
      <c r="E1019">
        <v>2</v>
      </c>
      <c r="F1019" t="s">
        <v>3414</v>
      </c>
      <c r="G1019" t="s">
        <v>834</v>
      </c>
      <c r="H1019" t="s">
        <v>835</v>
      </c>
      <c r="I1019" t="s">
        <v>836</v>
      </c>
      <c r="J1019">
        <f t="shared" ca="1" si="62"/>
        <v>2272039</v>
      </c>
      <c r="K1019">
        <f t="shared" ca="1" si="63"/>
        <v>320</v>
      </c>
      <c r="N1019" t="str">
        <f t="shared" si="60"/>
        <v>Hammersmith and Fulham41Joint Equipment BudgetAssistive Technologies and EquipmentAssistive technologies including telecare</v>
      </c>
      <c r="O1019" t="s">
        <v>161</v>
      </c>
      <c r="P1019" t="s">
        <v>790</v>
      </c>
      <c r="Q1019">
        <v>41</v>
      </c>
      <c r="R1019" t="s">
        <v>3077</v>
      </c>
      <c r="S1019" t="s">
        <v>3417</v>
      </c>
      <c r="T1019" t="s">
        <v>800</v>
      </c>
      <c r="U1019" t="s">
        <v>850</v>
      </c>
      <c r="W1019">
        <v>6188</v>
      </c>
      <c r="X1019">
        <v>6188</v>
      </c>
      <c r="Y1019" t="s">
        <v>802</v>
      </c>
      <c r="Z1019" t="s">
        <v>792</v>
      </c>
      <c r="AB1019" t="s">
        <v>793</v>
      </c>
      <c r="AD1019" t="s">
        <v>794</v>
      </c>
      <c r="AE1019" t="s">
        <v>795</v>
      </c>
      <c r="AF1019" t="s">
        <v>1029</v>
      </c>
      <c r="AG1019" t="s">
        <v>797</v>
      </c>
      <c r="AH1019">
        <v>793200</v>
      </c>
      <c r="AI1019">
        <v>824928</v>
      </c>
      <c r="AJ1019">
        <v>0.40663527419270518</v>
      </c>
    </row>
    <row r="1020" spans="1:36" x14ac:dyDescent="0.3">
      <c r="A1020">
        <f>COUNTIF($D$2:D1020,D1020)</f>
        <v>4</v>
      </c>
      <c r="B1020" t="str">
        <f t="shared" si="61"/>
        <v>4Isle of Wight</v>
      </c>
      <c r="C1020" t="s">
        <v>3418</v>
      </c>
      <c r="D1020" t="s">
        <v>181</v>
      </c>
      <c r="E1020">
        <v>2</v>
      </c>
      <c r="F1020" t="s">
        <v>3414</v>
      </c>
      <c r="G1020" t="s">
        <v>787</v>
      </c>
      <c r="H1020" t="s">
        <v>1688</v>
      </c>
      <c r="I1020" t="s">
        <v>789</v>
      </c>
      <c r="J1020">
        <f t="shared" ca="1" si="62"/>
        <v>2301405</v>
      </c>
      <c r="K1020">
        <f t="shared" ca="1" si="63"/>
        <v>5359</v>
      </c>
      <c r="N1020" t="str">
        <f t="shared" si="60"/>
        <v>Hammersmith and Fulham49Disabled Facilities GrantDFG Related SchemesAdaptations, including statutory DFG grants</v>
      </c>
      <c r="O1020" t="s">
        <v>161</v>
      </c>
      <c r="P1020" t="s">
        <v>790</v>
      </c>
      <c r="Q1020">
        <v>49</v>
      </c>
      <c r="R1020" t="s">
        <v>891</v>
      </c>
      <c r="S1020" t="s">
        <v>3419</v>
      </c>
      <c r="T1020" t="s">
        <v>834</v>
      </c>
      <c r="U1020" t="s">
        <v>835</v>
      </c>
      <c r="W1020">
        <v>160</v>
      </c>
      <c r="X1020">
        <v>160</v>
      </c>
      <c r="Y1020" t="s">
        <v>836</v>
      </c>
      <c r="Z1020" t="s">
        <v>792</v>
      </c>
      <c r="AB1020" t="s">
        <v>793</v>
      </c>
      <c r="AD1020" t="s">
        <v>794</v>
      </c>
      <c r="AE1020" t="s">
        <v>795</v>
      </c>
      <c r="AF1020" t="s">
        <v>840</v>
      </c>
      <c r="AG1020" t="s">
        <v>797</v>
      </c>
      <c r="AH1020">
        <v>1495597</v>
      </c>
      <c r="AI1020">
        <v>1495597</v>
      </c>
      <c r="AJ1020">
        <v>1</v>
      </c>
    </row>
    <row r="1021" spans="1:36" x14ac:dyDescent="0.3">
      <c r="A1021">
        <f>COUNTIF($D$2:D1021,D1021)</f>
        <v>5</v>
      </c>
      <c r="B1021" t="str">
        <f t="shared" si="61"/>
        <v>5Isle of Wight</v>
      </c>
      <c r="C1021" t="s">
        <v>3420</v>
      </c>
      <c r="D1021" t="s">
        <v>181</v>
      </c>
      <c r="E1021">
        <v>2</v>
      </c>
      <c r="F1021" t="s">
        <v>3414</v>
      </c>
      <c r="G1021" t="s">
        <v>877</v>
      </c>
      <c r="H1021" t="s">
        <v>878</v>
      </c>
      <c r="I1021" t="s">
        <v>879</v>
      </c>
      <c r="J1021">
        <f t="shared" ca="1" si="62"/>
        <v>3444717</v>
      </c>
      <c r="K1021">
        <f t="shared" ca="1" si="63"/>
        <v>40</v>
      </c>
      <c r="N1021" t="str">
        <f t="shared" si="60"/>
        <v>Hammersmith and Fulham50IBCFHigh Impact Change Model for Managing Transfer of CareMulti-Disciplinary/Multi-Agency Discharge Teams supporting discharge</v>
      </c>
      <c r="O1021" t="s">
        <v>161</v>
      </c>
      <c r="P1021" t="s">
        <v>790</v>
      </c>
      <c r="Q1021">
        <v>50</v>
      </c>
      <c r="R1021" t="s">
        <v>3080</v>
      </c>
      <c r="S1021" t="s">
        <v>3421</v>
      </c>
      <c r="T1021" t="s">
        <v>1402</v>
      </c>
      <c r="U1021" t="s">
        <v>1403</v>
      </c>
      <c r="W1021">
        <v>356011</v>
      </c>
      <c r="X1021">
        <v>356011</v>
      </c>
      <c r="Y1021" t="s">
        <v>794</v>
      </c>
      <c r="Z1021" t="s">
        <v>792</v>
      </c>
      <c r="AB1021" t="s">
        <v>793</v>
      </c>
      <c r="AD1021" t="s">
        <v>794</v>
      </c>
      <c r="AE1021" t="s">
        <v>804</v>
      </c>
      <c r="AF1021" t="s">
        <v>845</v>
      </c>
      <c r="AG1021" t="s">
        <v>797</v>
      </c>
      <c r="AH1021">
        <v>5808036</v>
      </c>
      <c r="AI1021">
        <v>5808036</v>
      </c>
      <c r="AJ1021">
        <v>0.34932803272315183</v>
      </c>
    </row>
    <row r="1022" spans="1:36" x14ac:dyDescent="0.3">
      <c r="A1022">
        <f>COUNTIF($D$2:D1022,D1022)</f>
        <v>6</v>
      </c>
      <c r="B1022" t="str">
        <f t="shared" si="61"/>
        <v>6Isle of Wight</v>
      </c>
      <c r="C1022" t="s">
        <v>3422</v>
      </c>
      <c r="D1022" t="s">
        <v>181</v>
      </c>
      <c r="E1022">
        <v>2</v>
      </c>
      <c r="F1022" t="s">
        <v>3414</v>
      </c>
      <c r="G1022" t="s">
        <v>877</v>
      </c>
      <c r="H1022" t="s">
        <v>968</v>
      </c>
      <c r="I1022" t="s">
        <v>879</v>
      </c>
      <c r="J1022">
        <f t="shared" ca="1" si="62"/>
        <v>2691887</v>
      </c>
      <c r="K1022">
        <f t="shared" ca="1" si="63"/>
        <v>58</v>
      </c>
      <c r="N1022" t="str">
        <f t="shared" si="60"/>
        <v>Hammersmith and Fulham51IBCFHigh Impact Change Model for Managing Transfer of CareMulti-Disciplinary/Multi-Agency Discharge Teams supporting discharge</v>
      </c>
      <c r="O1022" t="s">
        <v>161</v>
      </c>
      <c r="P1022" t="s">
        <v>790</v>
      </c>
      <c r="Q1022">
        <v>51</v>
      </c>
      <c r="R1022" t="s">
        <v>3080</v>
      </c>
      <c r="S1022" t="s">
        <v>806</v>
      </c>
      <c r="T1022" t="s">
        <v>1402</v>
      </c>
      <c r="U1022" t="s">
        <v>1403</v>
      </c>
      <c r="W1022">
        <v>69</v>
      </c>
      <c r="X1022">
        <v>69</v>
      </c>
      <c r="Y1022" t="s">
        <v>794</v>
      </c>
      <c r="Z1022" t="s">
        <v>792</v>
      </c>
      <c r="AB1022" t="s">
        <v>793</v>
      </c>
      <c r="AD1022" t="s">
        <v>794</v>
      </c>
      <c r="AE1022" t="s">
        <v>804</v>
      </c>
      <c r="AF1022" t="s">
        <v>845</v>
      </c>
      <c r="AG1022" t="s">
        <v>797</v>
      </c>
      <c r="AH1022">
        <v>4219200</v>
      </c>
      <c r="AI1022">
        <v>4219200</v>
      </c>
      <c r="AJ1022">
        <v>0.25376647728518248</v>
      </c>
    </row>
    <row r="1023" spans="1:36" x14ac:dyDescent="0.3">
      <c r="A1023">
        <f>COUNTIF($D$2:D1023,D1023)</f>
        <v>7</v>
      </c>
      <c r="B1023" t="str">
        <f t="shared" si="61"/>
        <v>7Isle of Wight</v>
      </c>
      <c r="C1023" t="s">
        <v>3423</v>
      </c>
      <c r="D1023" t="s">
        <v>181</v>
      </c>
      <c r="E1023">
        <v>2</v>
      </c>
      <c r="F1023" t="s">
        <v>3414</v>
      </c>
      <c r="G1023" t="s">
        <v>806</v>
      </c>
      <c r="H1023" t="s">
        <v>807</v>
      </c>
      <c r="I1023" t="s">
        <v>808</v>
      </c>
      <c r="J1023">
        <f t="shared" ca="1" si="62"/>
        <v>162978</v>
      </c>
      <c r="K1023">
        <f t="shared" ca="1" si="63"/>
        <v>4</v>
      </c>
      <c r="N1023" t="str">
        <f t="shared" si="60"/>
        <v>Hampshire1 Home Care provision for independent living at home Home Care or Domiciliary CareDomiciliary care packages</v>
      </c>
      <c r="O1023" t="s">
        <v>163</v>
      </c>
      <c r="P1023" t="s">
        <v>1437</v>
      </c>
      <c r="Q1023">
        <v>1</v>
      </c>
      <c r="R1023" t="s">
        <v>3085</v>
      </c>
      <c r="S1023" t="s">
        <v>3424</v>
      </c>
      <c r="T1023" t="s">
        <v>842</v>
      </c>
      <c r="U1023" t="s">
        <v>843</v>
      </c>
      <c r="W1023">
        <v>1225000</v>
      </c>
      <c r="X1023">
        <v>1160000</v>
      </c>
      <c r="Y1023" t="s">
        <v>844</v>
      </c>
      <c r="Z1023" t="s">
        <v>792</v>
      </c>
      <c r="AB1023" t="s">
        <v>793</v>
      </c>
      <c r="AD1023" t="s">
        <v>794</v>
      </c>
      <c r="AE1023" t="s">
        <v>804</v>
      </c>
      <c r="AF1023" t="s">
        <v>845</v>
      </c>
      <c r="AG1023" t="s">
        <v>797</v>
      </c>
      <c r="AH1023">
        <v>31279425</v>
      </c>
      <c r="AI1023">
        <v>31279425</v>
      </c>
      <c r="AJ1023">
        <v>0.47</v>
      </c>
    </row>
    <row r="1024" spans="1:36" x14ac:dyDescent="0.3">
      <c r="A1024">
        <f>COUNTIF($D$2:D1024,D1024)</f>
        <v>8</v>
      </c>
      <c r="B1024" t="str">
        <f t="shared" si="61"/>
        <v>8Isle of Wight</v>
      </c>
      <c r="C1024" t="s">
        <v>3425</v>
      </c>
      <c r="D1024" t="s">
        <v>181</v>
      </c>
      <c r="E1024">
        <v>3</v>
      </c>
      <c r="F1024" t="s">
        <v>3426</v>
      </c>
      <c r="G1024" t="s">
        <v>842</v>
      </c>
      <c r="H1024" t="s">
        <v>856</v>
      </c>
      <c r="I1024" t="s">
        <v>844</v>
      </c>
      <c r="J1024">
        <f t="shared" ca="1" si="62"/>
        <v>1234365</v>
      </c>
      <c r="K1024">
        <f t="shared" ca="1" si="63"/>
        <v>2874</v>
      </c>
      <c r="N1024" t="str">
        <f t="shared" si="60"/>
        <v>Hampshire2Home Care provision for independent living at home Home Care or Domiciliary CareDomiciliary care packages</v>
      </c>
      <c r="O1024" t="s">
        <v>163</v>
      </c>
      <c r="P1024" t="s">
        <v>1437</v>
      </c>
      <c r="Q1024">
        <v>2</v>
      </c>
      <c r="R1024" t="s">
        <v>3088</v>
      </c>
      <c r="S1024" t="s">
        <v>3424</v>
      </c>
      <c r="T1024" t="s">
        <v>842</v>
      </c>
      <c r="U1024" t="s">
        <v>843</v>
      </c>
      <c r="W1024">
        <v>532000</v>
      </c>
      <c r="X1024">
        <v>545666</v>
      </c>
      <c r="Y1024" t="s">
        <v>844</v>
      </c>
      <c r="Z1024" t="s">
        <v>792</v>
      </c>
      <c r="AB1024" t="s">
        <v>793</v>
      </c>
      <c r="AD1024" t="s">
        <v>794</v>
      </c>
      <c r="AE1024" t="s">
        <v>804</v>
      </c>
      <c r="AF1024" t="s">
        <v>796</v>
      </c>
      <c r="AG1024" t="s">
        <v>797</v>
      </c>
      <c r="AH1024">
        <v>13577094</v>
      </c>
      <c r="AI1024">
        <v>14345557.520400001</v>
      </c>
      <c r="AJ1024">
        <v>0.2</v>
      </c>
    </row>
    <row r="1025" spans="1:36" x14ac:dyDescent="0.3">
      <c r="A1025">
        <f>COUNTIF($D$2:D1025,D1025)</f>
        <v>9</v>
      </c>
      <c r="B1025" t="str">
        <f t="shared" si="61"/>
        <v>9Isle of Wight</v>
      </c>
      <c r="C1025" t="s">
        <v>3427</v>
      </c>
      <c r="D1025" t="s">
        <v>181</v>
      </c>
      <c r="E1025">
        <v>3</v>
      </c>
      <c r="F1025" t="s">
        <v>3426</v>
      </c>
      <c r="G1025" t="s">
        <v>811</v>
      </c>
      <c r="H1025" t="s">
        <v>812</v>
      </c>
      <c r="I1025" t="s">
        <v>813</v>
      </c>
      <c r="J1025">
        <f t="shared" ca="1" si="62"/>
        <v>287158</v>
      </c>
      <c r="K1025">
        <f t="shared" ca="1" si="63"/>
        <v>1055</v>
      </c>
      <c r="N1025" t="str">
        <f t="shared" si="60"/>
        <v>Hampshire3Digital Technology Provision Assistive Technologies and EquipmentAssistive technologies including telecare</v>
      </c>
      <c r="O1025" t="s">
        <v>163</v>
      </c>
      <c r="P1025" t="s">
        <v>1437</v>
      </c>
      <c r="Q1025">
        <v>3</v>
      </c>
      <c r="R1025" t="s">
        <v>3091</v>
      </c>
      <c r="S1025" t="s">
        <v>3428</v>
      </c>
      <c r="T1025" t="s">
        <v>800</v>
      </c>
      <c r="U1025" t="s">
        <v>850</v>
      </c>
      <c r="W1025">
        <v>10000</v>
      </c>
      <c r="X1025">
        <v>10100</v>
      </c>
      <c r="Y1025" t="s">
        <v>802</v>
      </c>
      <c r="Z1025" t="s">
        <v>792</v>
      </c>
      <c r="AB1025" t="s">
        <v>793</v>
      </c>
      <c r="AD1025" t="s">
        <v>794</v>
      </c>
      <c r="AE1025" t="s">
        <v>795</v>
      </c>
      <c r="AF1025" t="s">
        <v>796</v>
      </c>
      <c r="AG1025" t="s">
        <v>797</v>
      </c>
      <c r="AH1025">
        <v>2361911</v>
      </c>
      <c r="AI1025">
        <v>2495595.1625999999</v>
      </c>
      <c r="AJ1025">
        <v>0.5</v>
      </c>
    </row>
    <row r="1026" spans="1:36" x14ac:dyDescent="0.3">
      <c r="A1026">
        <f>COUNTIF($D$2:D1026,D1026)</f>
        <v>10</v>
      </c>
      <c r="B1026" t="str">
        <f t="shared" si="61"/>
        <v>10Isle of Wight</v>
      </c>
      <c r="C1026" t="s">
        <v>3429</v>
      </c>
      <c r="D1026" t="s">
        <v>181</v>
      </c>
      <c r="E1026">
        <v>3</v>
      </c>
      <c r="F1026" t="s">
        <v>3426</v>
      </c>
      <c r="G1026" t="s">
        <v>800</v>
      </c>
      <c r="H1026" t="s">
        <v>903</v>
      </c>
      <c r="I1026" t="s">
        <v>802</v>
      </c>
      <c r="J1026">
        <f t="shared" ca="1" si="62"/>
        <v>1044166</v>
      </c>
      <c r="K1026">
        <f t="shared" ca="1" si="63"/>
        <v>14934</v>
      </c>
      <c r="N1026" t="str">
        <f t="shared" ref="N1026:N1089" si="64">O1026&amp;Q1026&amp;R1026&amp;T1026&amp;U1026</f>
        <v>Hampshire6Reablement support Home-based intermediate care servicesReablement at home (accepting step up and step down users)</v>
      </c>
      <c r="O1026" t="s">
        <v>163</v>
      </c>
      <c r="P1026" t="s">
        <v>1437</v>
      </c>
      <c r="Q1026">
        <v>6</v>
      </c>
      <c r="R1026" t="s">
        <v>3094</v>
      </c>
      <c r="S1026" t="s">
        <v>3430</v>
      </c>
      <c r="T1026" t="s">
        <v>787</v>
      </c>
      <c r="U1026" t="s">
        <v>930</v>
      </c>
      <c r="W1026">
        <v>4500</v>
      </c>
      <c r="X1026">
        <v>5000</v>
      </c>
      <c r="Y1026" t="s">
        <v>789</v>
      </c>
      <c r="Z1026" t="s">
        <v>792</v>
      </c>
      <c r="AB1026" t="s">
        <v>793</v>
      </c>
      <c r="AD1026" t="s">
        <v>794</v>
      </c>
      <c r="AE1026" t="s">
        <v>795</v>
      </c>
      <c r="AF1026" t="s">
        <v>796</v>
      </c>
      <c r="AG1026" t="s">
        <v>797</v>
      </c>
      <c r="AH1026">
        <v>9179283</v>
      </c>
      <c r="AI1026">
        <v>9698830.4177999999</v>
      </c>
      <c r="AJ1026">
        <v>0.4</v>
      </c>
    </row>
    <row r="1027" spans="1:36" x14ac:dyDescent="0.3">
      <c r="A1027">
        <f>COUNTIF($D$2:D1027,D1027)</f>
        <v>11</v>
      </c>
      <c r="B1027" t="str">
        <f t="shared" ref="B1027:B1090" si="65">A1027&amp;D1027</f>
        <v>11Isle of Wight</v>
      </c>
      <c r="C1027" t="s">
        <v>3431</v>
      </c>
      <c r="D1027" t="s">
        <v>181</v>
      </c>
      <c r="E1027">
        <v>4</v>
      </c>
      <c r="F1027" t="s">
        <v>3432</v>
      </c>
      <c r="G1027" t="s">
        <v>811</v>
      </c>
      <c r="H1027" t="s">
        <v>830</v>
      </c>
      <c r="I1027" t="s">
        <v>813</v>
      </c>
      <c r="J1027">
        <f t="shared" ref="J1027:J1090" ca="1" si="66">SUMIF($N:$AI,C1027,AH:AH)</f>
        <v>616489</v>
      </c>
      <c r="K1027">
        <f t="shared" ref="K1027:K1090" ca="1" si="67">SUMIF($N:$AI,C1027,W:W)</f>
        <v>10</v>
      </c>
      <c r="N1027" t="str">
        <f t="shared" si="64"/>
        <v>Hampshire8Community Equipment Service Assistive Technologies and EquipmentCommunity based equipment</v>
      </c>
      <c r="O1027" t="s">
        <v>163</v>
      </c>
      <c r="P1027" t="s">
        <v>1437</v>
      </c>
      <c r="Q1027">
        <v>8</v>
      </c>
      <c r="R1027" t="s">
        <v>1513</v>
      </c>
      <c r="S1027" t="s">
        <v>3433</v>
      </c>
      <c r="T1027" t="s">
        <v>800</v>
      </c>
      <c r="U1027" t="s">
        <v>903</v>
      </c>
      <c r="W1027">
        <v>50000</v>
      </c>
      <c r="X1027">
        <v>52000</v>
      </c>
      <c r="Y1027" t="s">
        <v>802</v>
      </c>
      <c r="Z1027" t="s">
        <v>792</v>
      </c>
      <c r="AB1027" t="s">
        <v>1739</v>
      </c>
      <c r="AC1027">
        <v>0.5</v>
      </c>
      <c r="AD1027">
        <v>0.5</v>
      </c>
      <c r="AE1027" t="s">
        <v>795</v>
      </c>
      <c r="AF1027" t="s">
        <v>796</v>
      </c>
      <c r="AG1027" t="s">
        <v>797</v>
      </c>
      <c r="AH1027">
        <v>3310461</v>
      </c>
      <c r="AI1027">
        <v>3497833.0926000001</v>
      </c>
      <c r="AJ1027">
        <v>0.39</v>
      </c>
    </row>
    <row r="1028" spans="1:36" x14ac:dyDescent="0.3">
      <c r="A1028">
        <f>COUNTIF($D$2:D1028,D1028)</f>
        <v>1</v>
      </c>
      <c r="B1028" t="str">
        <f t="shared" si="65"/>
        <v>1Islington</v>
      </c>
      <c r="C1028" t="s">
        <v>3434</v>
      </c>
      <c r="D1028" t="s">
        <v>183</v>
      </c>
      <c r="E1028">
        <v>1</v>
      </c>
      <c r="F1028" t="s">
        <v>3435</v>
      </c>
      <c r="G1028" t="s">
        <v>806</v>
      </c>
      <c r="H1028" t="s">
        <v>807</v>
      </c>
      <c r="I1028" t="s">
        <v>808</v>
      </c>
      <c r="J1028">
        <f t="shared" ca="1" si="66"/>
        <v>3543033</v>
      </c>
      <c r="K1028">
        <f t="shared" ca="1" si="67"/>
        <v>129</v>
      </c>
      <c r="N1028" t="str">
        <f t="shared" si="64"/>
        <v>Hampshire9Emergency Planning for Carers Carers ServicesCarer advice and support related to Care Act duties</v>
      </c>
      <c r="O1028" t="s">
        <v>163</v>
      </c>
      <c r="P1028" t="s">
        <v>1437</v>
      </c>
      <c r="Q1028">
        <v>9</v>
      </c>
      <c r="R1028" t="s">
        <v>3099</v>
      </c>
      <c r="S1028" t="s">
        <v>3436</v>
      </c>
      <c r="T1028" t="s">
        <v>811</v>
      </c>
      <c r="U1028" t="s">
        <v>895</v>
      </c>
      <c r="W1028">
        <v>10500</v>
      </c>
      <c r="X1028">
        <v>10500</v>
      </c>
      <c r="Y1028" t="s">
        <v>813</v>
      </c>
      <c r="Z1028" t="s">
        <v>792</v>
      </c>
      <c r="AB1028" t="s">
        <v>793</v>
      </c>
      <c r="AD1028" t="s">
        <v>794</v>
      </c>
      <c r="AE1028" t="s">
        <v>825</v>
      </c>
      <c r="AF1028" t="s">
        <v>796</v>
      </c>
      <c r="AG1028" t="s">
        <v>797</v>
      </c>
      <c r="AH1028">
        <v>234729</v>
      </c>
      <c r="AI1028">
        <v>248014.66140000001</v>
      </c>
      <c r="AJ1028">
        <v>0.06</v>
      </c>
    </row>
    <row r="1029" spans="1:36" x14ac:dyDescent="0.3">
      <c r="A1029">
        <f>COUNTIF($D$2:D1029,D1029)</f>
        <v>2</v>
      </c>
      <c r="B1029" t="str">
        <f t="shared" si="65"/>
        <v>2Islington</v>
      </c>
      <c r="C1029" t="s">
        <v>3437</v>
      </c>
      <c r="D1029" t="s">
        <v>183</v>
      </c>
      <c r="E1029">
        <v>2</v>
      </c>
      <c r="F1029" t="s">
        <v>3435</v>
      </c>
      <c r="G1029" t="s">
        <v>842</v>
      </c>
      <c r="H1029" t="s">
        <v>843</v>
      </c>
      <c r="I1029" t="s">
        <v>844</v>
      </c>
      <c r="J1029">
        <f t="shared" ca="1" si="66"/>
        <v>3892509</v>
      </c>
      <c r="K1029">
        <f t="shared" ca="1" si="67"/>
        <v>207822</v>
      </c>
      <c r="N1029" t="str">
        <f t="shared" si="64"/>
        <v>Hampshire10Carer Support Carers ServicesCarer advice and support related to Care Act duties</v>
      </c>
      <c r="O1029" t="s">
        <v>163</v>
      </c>
      <c r="P1029" t="s">
        <v>1437</v>
      </c>
      <c r="Q1029">
        <v>10</v>
      </c>
      <c r="R1029" t="s">
        <v>3102</v>
      </c>
      <c r="S1029" t="s">
        <v>3438</v>
      </c>
      <c r="T1029" t="s">
        <v>811</v>
      </c>
      <c r="U1029" t="s">
        <v>895</v>
      </c>
      <c r="W1029">
        <v>9000</v>
      </c>
      <c r="X1029">
        <v>9000</v>
      </c>
      <c r="Y1029" t="s">
        <v>813</v>
      </c>
      <c r="Z1029" t="s">
        <v>792</v>
      </c>
      <c r="AB1029" t="s">
        <v>793</v>
      </c>
      <c r="AD1029" t="s">
        <v>794</v>
      </c>
      <c r="AE1029" t="s">
        <v>795</v>
      </c>
      <c r="AF1029" t="s">
        <v>796</v>
      </c>
      <c r="AG1029" t="s">
        <v>797</v>
      </c>
      <c r="AH1029">
        <v>5091936</v>
      </c>
      <c r="AI1029">
        <v>5380139.5775999995</v>
      </c>
      <c r="AJ1029">
        <v>0.2</v>
      </c>
    </row>
    <row r="1030" spans="1:36" x14ac:dyDescent="0.3">
      <c r="A1030">
        <f>COUNTIF($D$2:D1030,D1030)</f>
        <v>3</v>
      </c>
      <c r="B1030" t="str">
        <f t="shared" si="65"/>
        <v>3Islington</v>
      </c>
      <c r="C1030" t="s">
        <v>3439</v>
      </c>
      <c r="D1030" t="s">
        <v>183</v>
      </c>
      <c r="E1030">
        <v>3</v>
      </c>
      <c r="F1030" t="s">
        <v>3435</v>
      </c>
      <c r="G1030" t="s">
        <v>806</v>
      </c>
      <c r="H1030" t="s">
        <v>854</v>
      </c>
      <c r="I1030" t="s">
        <v>808</v>
      </c>
      <c r="J1030">
        <f t="shared" ca="1" si="66"/>
        <v>1072449</v>
      </c>
      <c r="K1030">
        <f t="shared" ca="1" si="67"/>
        <v>11</v>
      </c>
      <c r="N1030" t="str">
        <f t="shared" si="64"/>
        <v>Hampshire21Disabled Facilities Grant DFG Related SchemesAdaptations, including statutory DFG grants</v>
      </c>
      <c r="O1030" t="s">
        <v>163</v>
      </c>
      <c r="P1030" t="s">
        <v>1437</v>
      </c>
      <c r="Q1030">
        <v>21</v>
      </c>
      <c r="R1030" t="s">
        <v>3105</v>
      </c>
      <c r="S1030" t="s">
        <v>835</v>
      </c>
      <c r="T1030" t="s">
        <v>834</v>
      </c>
      <c r="U1030" t="s">
        <v>835</v>
      </c>
      <c r="W1030">
        <v>1500</v>
      </c>
      <c r="X1030">
        <v>1500</v>
      </c>
      <c r="Y1030" t="s">
        <v>836</v>
      </c>
      <c r="Z1030" t="s">
        <v>792</v>
      </c>
      <c r="AB1030" t="s">
        <v>793</v>
      </c>
      <c r="AD1030" t="s">
        <v>794</v>
      </c>
      <c r="AE1030" t="s">
        <v>795</v>
      </c>
      <c r="AF1030" t="s">
        <v>840</v>
      </c>
      <c r="AG1030" t="s">
        <v>797</v>
      </c>
      <c r="AH1030">
        <v>14252433</v>
      </c>
      <c r="AI1030">
        <v>14252433</v>
      </c>
      <c r="AJ1030">
        <v>1</v>
      </c>
    </row>
    <row r="1031" spans="1:36" x14ac:dyDescent="0.3">
      <c r="A1031">
        <f>COUNTIF($D$2:D1031,D1031)</f>
        <v>4</v>
      </c>
      <c r="B1031" t="str">
        <f t="shared" si="65"/>
        <v>4Islington</v>
      </c>
      <c r="C1031" t="s">
        <v>3440</v>
      </c>
      <c r="D1031" t="s">
        <v>183</v>
      </c>
      <c r="E1031">
        <v>5</v>
      </c>
      <c r="F1031" t="s">
        <v>434</v>
      </c>
      <c r="G1031" t="s">
        <v>787</v>
      </c>
      <c r="H1031" t="s">
        <v>1688</v>
      </c>
      <c r="I1031" t="s">
        <v>789</v>
      </c>
      <c r="J1031">
        <f t="shared" ca="1" si="66"/>
        <v>600000</v>
      </c>
      <c r="K1031">
        <f t="shared" ca="1" si="67"/>
        <v>480</v>
      </c>
      <c r="N1031" t="str">
        <f t="shared" si="64"/>
        <v>Hampshire22Discharge - RSS ServciesHome-based intermediate care servicesRehabilitation at home (to support discharge)</v>
      </c>
      <c r="O1031" t="s">
        <v>163</v>
      </c>
      <c r="P1031" t="s">
        <v>1437</v>
      </c>
      <c r="Q1031">
        <v>22</v>
      </c>
      <c r="R1031" t="s">
        <v>3107</v>
      </c>
      <c r="S1031" t="s">
        <v>3441</v>
      </c>
      <c r="T1031" t="s">
        <v>787</v>
      </c>
      <c r="U1031" t="s">
        <v>1195</v>
      </c>
      <c r="W1031">
        <v>1339</v>
      </c>
      <c r="X1031">
        <v>2910</v>
      </c>
      <c r="Y1031" t="s">
        <v>789</v>
      </c>
      <c r="Z1031" t="s">
        <v>792</v>
      </c>
      <c r="AA1031" t="s">
        <v>3442</v>
      </c>
      <c r="AB1031" t="s">
        <v>824</v>
      </c>
      <c r="AD1031" t="s">
        <v>794</v>
      </c>
      <c r="AE1031" t="s">
        <v>795</v>
      </c>
      <c r="AF1031" t="s">
        <v>860</v>
      </c>
      <c r="AG1031" t="s">
        <v>861</v>
      </c>
      <c r="AH1031">
        <v>1446620</v>
      </c>
      <c r="AI1031">
        <v>3300000</v>
      </c>
      <c r="AJ1031">
        <v>1</v>
      </c>
    </row>
    <row r="1032" spans="1:36" x14ac:dyDescent="0.3">
      <c r="A1032">
        <f>COUNTIF($D$2:D1032,D1032)</f>
        <v>5</v>
      </c>
      <c r="B1032" t="str">
        <f t="shared" si="65"/>
        <v>5Islington</v>
      </c>
      <c r="C1032" t="s">
        <v>3443</v>
      </c>
      <c r="D1032" t="s">
        <v>183</v>
      </c>
      <c r="E1032">
        <v>10</v>
      </c>
      <c r="F1032" t="s">
        <v>891</v>
      </c>
      <c r="G1032" t="s">
        <v>834</v>
      </c>
      <c r="H1032" t="s">
        <v>835</v>
      </c>
      <c r="I1032" t="s">
        <v>836</v>
      </c>
      <c r="J1032">
        <f t="shared" ca="1" si="66"/>
        <v>1939775</v>
      </c>
      <c r="K1032">
        <f t="shared" ca="1" si="67"/>
        <v>147</v>
      </c>
      <c r="N1032" t="str">
        <f t="shared" si="64"/>
        <v>Hampshire23Discharge - RSS ServciesHome-based intermediate care servicesRehabilitation at home (to support discharge)</v>
      </c>
      <c r="O1032" t="s">
        <v>163</v>
      </c>
      <c r="P1032" t="s">
        <v>1437</v>
      </c>
      <c r="Q1032">
        <v>23</v>
      </c>
      <c r="R1032" t="s">
        <v>3107</v>
      </c>
      <c r="S1032" t="s">
        <v>3441</v>
      </c>
      <c r="T1032" t="s">
        <v>787</v>
      </c>
      <c r="U1032" t="s">
        <v>1195</v>
      </c>
      <c r="W1032">
        <v>1167</v>
      </c>
      <c r="X1032">
        <v>1499</v>
      </c>
      <c r="Y1032" t="s">
        <v>789</v>
      </c>
      <c r="Z1032" t="s">
        <v>792</v>
      </c>
      <c r="AA1032" t="s">
        <v>3442</v>
      </c>
      <c r="AB1032" t="s">
        <v>793</v>
      </c>
      <c r="AD1032" t="s">
        <v>794</v>
      </c>
      <c r="AE1032" t="s">
        <v>795</v>
      </c>
      <c r="AF1032" t="s">
        <v>864</v>
      </c>
      <c r="AG1032" t="s">
        <v>861</v>
      </c>
      <c r="AH1032">
        <v>1260380</v>
      </c>
      <c r="AI1032">
        <v>1700000</v>
      </c>
      <c r="AJ1032">
        <v>1</v>
      </c>
    </row>
    <row r="1033" spans="1:36" x14ac:dyDescent="0.3">
      <c r="A1033">
        <f>COUNTIF($D$2:D1033,D1033)</f>
        <v>6</v>
      </c>
      <c r="B1033" t="str">
        <f t="shared" si="65"/>
        <v>6Islington</v>
      </c>
      <c r="C1033" t="s">
        <v>3444</v>
      </c>
      <c r="D1033" t="s">
        <v>183</v>
      </c>
      <c r="E1033">
        <v>11</v>
      </c>
      <c r="F1033" t="s">
        <v>3445</v>
      </c>
      <c r="G1033" t="s">
        <v>877</v>
      </c>
      <c r="H1033" t="s">
        <v>1015</v>
      </c>
      <c r="I1033" t="s">
        <v>879</v>
      </c>
      <c r="J1033">
        <f t="shared" ca="1" si="66"/>
        <v>2800000</v>
      </c>
      <c r="K1033">
        <f t="shared" ca="1" si="67"/>
        <v>500</v>
      </c>
      <c r="N1033" t="str">
        <f t="shared" si="64"/>
        <v>Hampshire24Discharge - STS Bed ServicesBed based intermediate Care Services (Reablement, rehabilitation, wider short-term services supporting recovery)Bed-based intermediate care with reablement (to support discharge)</v>
      </c>
      <c r="O1033" t="s">
        <v>163</v>
      </c>
      <c r="P1033" t="s">
        <v>1437</v>
      </c>
      <c r="Q1033">
        <v>24</v>
      </c>
      <c r="R1033" t="s">
        <v>3112</v>
      </c>
      <c r="S1033" t="s">
        <v>3446</v>
      </c>
      <c r="T1033" t="s">
        <v>877</v>
      </c>
      <c r="U1033" t="s">
        <v>878</v>
      </c>
      <c r="W1033">
        <v>737</v>
      </c>
      <c r="X1033">
        <v>990</v>
      </c>
      <c r="Y1033" t="s">
        <v>879</v>
      </c>
      <c r="Z1033" t="s">
        <v>792</v>
      </c>
      <c r="AA1033" t="s">
        <v>3442</v>
      </c>
      <c r="AB1033" t="s">
        <v>824</v>
      </c>
      <c r="AD1033" t="s">
        <v>794</v>
      </c>
      <c r="AE1033" t="s">
        <v>795</v>
      </c>
      <c r="AF1033" t="s">
        <v>860</v>
      </c>
      <c r="AG1033" t="s">
        <v>861</v>
      </c>
      <c r="AH1033">
        <v>5820952</v>
      </c>
      <c r="AI1033">
        <v>6564505</v>
      </c>
      <c r="AJ1033">
        <v>1</v>
      </c>
    </row>
    <row r="1034" spans="1:36" x14ac:dyDescent="0.3">
      <c r="A1034">
        <f>COUNTIF($D$2:D1034,D1034)</f>
        <v>7</v>
      </c>
      <c r="B1034" t="str">
        <f t="shared" si="65"/>
        <v>7Islington</v>
      </c>
      <c r="C1034" t="s">
        <v>3447</v>
      </c>
      <c r="D1034" t="s">
        <v>183</v>
      </c>
      <c r="E1034">
        <v>12</v>
      </c>
      <c r="F1034" t="s">
        <v>3448</v>
      </c>
      <c r="G1034" t="s">
        <v>787</v>
      </c>
      <c r="H1034" t="s">
        <v>1688</v>
      </c>
      <c r="I1034" t="s">
        <v>789</v>
      </c>
      <c r="J1034">
        <f t="shared" ca="1" si="66"/>
        <v>1875000</v>
      </c>
      <c r="K1034">
        <f t="shared" ca="1" si="67"/>
        <v>5850</v>
      </c>
      <c r="N1034" t="str">
        <f t="shared" si="64"/>
        <v>Hampshire25Discharge - STS Bed ServicesBed based intermediate Care Services (Reablement, rehabilitation, wider short-term services supporting recovery)Bed-based intermediate care with reablement (to support discharge)</v>
      </c>
      <c r="O1034" t="s">
        <v>163</v>
      </c>
      <c r="P1034" t="s">
        <v>1437</v>
      </c>
      <c r="Q1034">
        <v>25</v>
      </c>
      <c r="R1034" t="s">
        <v>3112</v>
      </c>
      <c r="S1034" t="s">
        <v>3446</v>
      </c>
      <c r="T1034" t="s">
        <v>877</v>
      </c>
      <c r="U1034" t="s">
        <v>878</v>
      </c>
      <c r="W1034">
        <v>308</v>
      </c>
      <c r="X1034">
        <v>448</v>
      </c>
      <c r="Y1034" t="s">
        <v>879</v>
      </c>
      <c r="Z1034" t="s">
        <v>792</v>
      </c>
      <c r="AB1034" t="s">
        <v>793</v>
      </c>
      <c r="AD1034" t="s">
        <v>794</v>
      </c>
      <c r="AE1034" t="s">
        <v>795</v>
      </c>
      <c r="AF1034" t="s">
        <v>864</v>
      </c>
      <c r="AG1034" t="s">
        <v>861</v>
      </c>
      <c r="AH1034">
        <v>2431287</v>
      </c>
      <c r="AI1034">
        <v>2968878</v>
      </c>
      <c r="AJ1034">
        <v>1</v>
      </c>
    </row>
    <row r="1035" spans="1:36" x14ac:dyDescent="0.3">
      <c r="A1035">
        <f>COUNTIF($D$2:D1035,D1035)</f>
        <v>8</v>
      </c>
      <c r="B1035" t="str">
        <f t="shared" si="65"/>
        <v>8Islington</v>
      </c>
      <c r="C1035" t="s">
        <v>3449</v>
      </c>
      <c r="D1035" t="s">
        <v>183</v>
      </c>
      <c r="E1035">
        <v>23</v>
      </c>
      <c r="F1035" t="s">
        <v>3450</v>
      </c>
      <c r="G1035" t="s">
        <v>811</v>
      </c>
      <c r="H1035" t="s">
        <v>895</v>
      </c>
      <c r="I1035" t="s">
        <v>813</v>
      </c>
      <c r="J1035">
        <f t="shared" ca="1" si="66"/>
        <v>95000</v>
      </c>
      <c r="K1035">
        <f t="shared" ca="1" si="67"/>
        <v>200</v>
      </c>
      <c r="N1035" t="str">
        <f t="shared" si="64"/>
        <v>Hampshire26Discharge - STS Bed ServicesBed based intermediate Care Services (Reablement, rehabilitation, wider short-term services supporting recovery)Bed-based intermediate care with reablement (to support discharge)</v>
      </c>
      <c r="O1035" t="s">
        <v>163</v>
      </c>
      <c r="P1035" t="s">
        <v>1437</v>
      </c>
      <c r="Q1035">
        <v>26</v>
      </c>
      <c r="R1035" t="s">
        <v>3112</v>
      </c>
      <c r="S1035" t="s">
        <v>3446</v>
      </c>
      <c r="T1035" t="s">
        <v>877</v>
      </c>
      <c r="U1035" t="s">
        <v>878</v>
      </c>
      <c r="W1035">
        <v>110</v>
      </c>
      <c r="X1035">
        <v>509</v>
      </c>
      <c r="Y1035" t="s">
        <v>879</v>
      </c>
      <c r="Z1035" t="s">
        <v>792</v>
      </c>
      <c r="AB1035" t="s">
        <v>824</v>
      </c>
      <c r="AD1035" t="s">
        <v>794</v>
      </c>
      <c r="AE1035" t="s">
        <v>795</v>
      </c>
      <c r="AF1035" t="s">
        <v>1042</v>
      </c>
      <c r="AG1035" t="s">
        <v>861</v>
      </c>
      <c r="AH1035">
        <v>871220</v>
      </c>
      <c r="AI1035">
        <v>3375850</v>
      </c>
      <c r="AJ1035">
        <v>1</v>
      </c>
    </row>
    <row r="1036" spans="1:36" x14ac:dyDescent="0.3">
      <c r="A1036">
        <f>COUNTIF($D$2:D1036,D1036)</f>
        <v>9</v>
      </c>
      <c r="B1036" t="str">
        <f t="shared" si="65"/>
        <v>9Islington</v>
      </c>
      <c r="C1036" t="s">
        <v>3451</v>
      </c>
      <c r="D1036" t="s">
        <v>183</v>
      </c>
      <c r="E1036">
        <v>29</v>
      </c>
      <c r="F1036" t="s">
        <v>3452</v>
      </c>
      <c r="G1036" t="s">
        <v>800</v>
      </c>
      <c r="H1036" t="s">
        <v>903</v>
      </c>
      <c r="I1036" t="s">
        <v>802</v>
      </c>
      <c r="J1036">
        <f t="shared" ca="1" si="66"/>
        <v>532298</v>
      </c>
      <c r="K1036">
        <f t="shared" ca="1" si="67"/>
        <v>974</v>
      </c>
      <c r="N1036" t="str">
        <f t="shared" si="64"/>
        <v>Haringey6Disabled facilities grantDFG Related SchemesAdaptations, including statutory DFG grants</v>
      </c>
      <c r="O1036" t="s">
        <v>165</v>
      </c>
      <c r="P1036" t="s">
        <v>790</v>
      </c>
      <c r="Q1036">
        <v>6</v>
      </c>
      <c r="R1036" t="s">
        <v>3120</v>
      </c>
      <c r="S1036" t="s">
        <v>3453</v>
      </c>
      <c r="T1036" t="s">
        <v>834</v>
      </c>
      <c r="U1036" t="s">
        <v>835</v>
      </c>
      <c r="W1036">
        <v>380</v>
      </c>
      <c r="X1036">
        <v>425</v>
      </c>
      <c r="Y1036" t="s">
        <v>836</v>
      </c>
      <c r="Z1036" t="s">
        <v>792</v>
      </c>
      <c r="AB1036" t="s">
        <v>793</v>
      </c>
      <c r="AD1036" t="s">
        <v>794</v>
      </c>
      <c r="AE1036" t="s">
        <v>804</v>
      </c>
      <c r="AF1036" t="s">
        <v>840</v>
      </c>
      <c r="AG1036" t="s">
        <v>797</v>
      </c>
      <c r="AH1036">
        <v>2678851</v>
      </c>
      <c r="AI1036">
        <v>2678851</v>
      </c>
      <c r="AJ1036">
        <v>1</v>
      </c>
    </row>
    <row r="1037" spans="1:36" x14ac:dyDescent="0.3">
      <c r="A1037">
        <f>COUNTIF($D$2:D1037,D1037)</f>
        <v>10</v>
      </c>
      <c r="B1037" t="str">
        <f t="shared" si="65"/>
        <v>10Islington</v>
      </c>
      <c r="C1037" t="s">
        <v>3454</v>
      </c>
      <c r="D1037" t="s">
        <v>183</v>
      </c>
      <c r="E1037">
        <v>30</v>
      </c>
      <c r="F1037" t="s">
        <v>3455</v>
      </c>
      <c r="G1037" t="s">
        <v>800</v>
      </c>
      <c r="H1037" t="s">
        <v>903</v>
      </c>
      <c r="I1037" t="s">
        <v>802</v>
      </c>
      <c r="J1037">
        <f t="shared" ca="1" si="66"/>
        <v>532298</v>
      </c>
      <c r="K1037">
        <f t="shared" ca="1" si="67"/>
        <v>974</v>
      </c>
      <c r="N1037" t="str">
        <f t="shared" si="64"/>
        <v>Haringey20IBCF Supporting Social Care Home Care or Domiciliary CareDomiciliary care packages</v>
      </c>
      <c r="O1037" t="s">
        <v>165</v>
      </c>
      <c r="P1037" t="s">
        <v>790</v>
      </c>
      <c r="Q1037">
        <v>20</v>
      </c>
      <c r="R1037" t="s">
        <v>3123</v>
      </c>
      <c r="S1037" t="s">
        <v>3456</v>
      </c>
      <c r="T1037" t="s">
        <v>842</v>
      </c>
      <c r="U1037" t="s">
        <v>843</v>
      </c>
      <c r="W1037">
        <v>391770</v>
      </c>
      <c r="X1037">
        <v>368837</v>
      </c>
      <c r="Y1037" t="s">
        <v>844</v>
      </c>
      <c r="Z1037" t="s">
        <v>792</v>
      </c>
      <c r="AB1037" t="s">
        <v>793</v>
      </c>
      <c r="AD1037" t="s">
        <v>794</v>
      </c>
      <c r="AE1037" t="s">
        <v>804</v>
      </c>
      <c r="AF1037" t="s">
        <v>845</v>
      </c>
      <c r="AG1037" t="s">
        <v>797</v>
      </c>
      <c r="AH1037">
        <v>7561793</v>
      </c>
      <c r="AI1037">
        <v>7561793</v>
      </c>
      <c r="AJ1037">
        <v>0.7</v>
      </c>
    </row>
    <row r="1038" spans="1:36" x14ac:dyDescent="0.3">
      <c r="A1038">
        <f>COUNTIF($D$2:D1038,D1038)</f>
        <v>11</v>
      </c>
      <c r="B1038" t="str">
        <f t="shared" si="65"/>
        <v>11Islington</v>
      </c>
      <c r="C1038" t="s">
        <v>3457</v>
      </c>
      <c r="D1038" t="s">
        <v>183</v>
      </c>
      <c r="E1038">
        <v>31</v>
      </c>
      <c r="F1038" t="s">
        <v>3458</v>
      </c>
      <c r="G1038" t="s">
        <v>877</v>
      </c>
      <c r="H1038" t="s">
        <v>878</v>
      </c>
      <c r="I1038" t="s">
        <v>879</v>
      </c>
      <c r="J1038">
        <f t="shared" ca="1" si="66"/>
        <v>165204</v>
      </c>
      <c r="K1038">
        <f t="shared" ca="1" si="67"/>
        <v>29</v>
      </c>
      <c r="N1038" t="str">
        <f t="shared" si="64"/>
        <v>Haringey52Wheelchair ServicesAssistive Technologies and EquipmentCommunity based equipment</v>
      </c>
      <c r="O1038" t="s">
        <v>165</v>
      </c>
      <c r="P1038" t="s">
        <v>790</v>
      </c>
      <c r="Q1038">
        <v>52</v>
      </c>
      <c r="R1038" t="s">
        <v>1180</v>
      </c>
      <c r="S1038" t="s">
        <v>3459</v>
      </c>
      <c r="T1038" t="s">
        <v>800</v>
      </c>
      <c r="U1038" t="s">
        <v>903</v>
      </c>
      <c r="W1038">
        <v>2353</v>
      </c>
      <c r="X1038">
        <v>2424</v>
      </c>
      <c r="Y1038" t="s">
        <v>802</v>
      </c>
      <c r="Z1038" t="s">
        <v>823</v>
      </c>
      <c r="AB1038" t="s">
        <v>824</v>
      </c>
      <c r="AD1038" t="s">
        <v>794</v>
      </c>
      <c r="AE1038" t="s">
        <v>832</v>
      </c>
      <c r="AF1038" t="s">
        <v>796</v>
      </c>
      <c r="AG1038" t="s">
        <v>861</v>
      </c>
      <c r="AH1038">
        <v>693206</v>
      </c>
      <c r="AI1038">
        <v>693206</v>
      </c>
      <c r="AJ1038">
        <v>0.85</v>
      </c>
    </row>
    <row r="1039" spans="1:36" x14ac:dyDescent="0.3">
      <c r="A1039">
        <f>COUNTIF($D$2:D1039,D1039)</f>
        <v>12</v>
      </c>
      <c r="B1039" t="str">
        <f t="shared" si="65"/>
        <v>12Islington</v>
      </c>
      <c r="C1039" t="s">
        <v>3460</v>
      </c>
      <c r="D1039" t="s">
        <v>183</v>
      </c>
      <c r="E1039">
        <v>32</v>
      </c>
      <c r="F1039" t="s">
        <v>3461</v>
      </c>
      <c r="G1039" t="s">
        <v>877</v>
      </c>
      <c r="H1039" t="s">
        <v>878</v>
      </c>
      <c r="I1039" t="s">
        <v>879</v>
      </c>
      <c r="J1039">
        <f t="shared" ca="1" si="66"/>
        <v>195459</v>
      </c>
      <c r="K1039">
        <f t="shared" ca="1" si="67"/>
        <v>34</v>
      </c>
      <c r="N1039" t="str">
        <f t="shared" si="64"/>
        <v>Haringey50Community Equipment Provision (ICB Component)Assistive Technologies and EquipmentCommunity based equipment</v>
      </c>
      <c r="O1039" t="s">
        <v>165</v>
      </c>
      <c r="P1039" t="s">
        <v>790</v>
      </c>
      <c r="Q1039">
        <v>50</v>
      </c>
      <c r="R1039" t="s">
        <v>3129</v>
      </c>
      <c r="S1039" t="s">
        <v>3462</v>
      </c>
      <c r="T1039" t="s">
        <v>800</v>
      </c>
      <c r="U1039" t="s">
        <v>903</v>
      </c>
      <c r="W1039">
        <v>10562</v>
      </c>
      <c r="X1039">
        <v>10752</v>
      </c>
      <c r="Y1039" t="s">
        <v>802</v>
      </c>
      <c r="Z1039" t="s">
        <v>823</v>
      </c>
      <c r="AB1039" t="s">
        <v>824</v>
      </c>
      <c r="AD1039" t="s">
        <v>794</v>
      </c>
      <c r="AE1039" t="s">
        <v>804</v>
      </c>
      <c r="AF1039" t="s">
        <v>796</v>
      </c>
      <c r="AG1039" t="s">
        <v>797</v>
      </c>
      <c r="AH1039">
        <v>1150000</v>
      </c>
      <c r="AI1039">
        <v>1150000</v>
      </c>
      <c r="AJ1039">
        <v>1</v>
      </c>
    </row>
    <row r="1040" spans="1:36" x14ac:dyDescent="0.3">
      <c r="A1040">
        <f>COUNTIF($D$2:D1040,D1040)</f>
        <v>13</v>
      </c>
      <c r="B1040" t="str">
        <f t="shared" si="65"/>
        <v>13Islington</v>
      </c>
      <c r="C1040" t="s">
        <v>3463</v>
      </c>
      <c r="D1040" t="s">
        <v>183</v>
      </c>
      <c r="E1040">
        <v>35</v>
      </c>
      <c r="F1040" t="s">
        <v>3464</v>
      </c>
      <c r="G1040" t="s">
        <v>877</v>
      </c>
      <c r="H1040" t="s">
        <v>878</v>
      </c>
      <c r="I1040" t="s">
        <v>879</v>
      </c>
      <c r="J1040">
        <f t="shared" ca="1" si="66"/>
        <v>304003</v>
      </c>
      <c r="K1040">
        <f t="shared" ca="1" si="67"/>
        <v>53</v>
      </c>
      <c r="N1040" t="str">
        <f t="shared" si="64"/>
        <v>Haringey33Reablement SolutionsHome-based intermediate care servicesReablement at home (accepting step up and step down users)</v>
      </c>
      <c r="O1040" t="s">
        <v>165</v>
      </c>
      <c r="P1040" t="s">
        <v>790</v>
      </c>
      <c r="Q1040">
        <v>33</v>
      </c>
      <c r="R1040" t="s">
        <v>3132</v>
      </c>
      <c r="S1040" t="s">
        <v>3465</v>
      </c>
      <c r="T1040" t="s">
        <v>787</v>
      </c>
      <c r="U1040" t="s">
        <v>930</v>
      </c>
      <c r="W1040">
        <v>2200</v>
      </c>
      <c r="X1040">
        <v>2400</v>
      </c>
      <c r="Y1040" t="s">
        <v>789</v>
      </c>
      <c r="Z1040" t="s">
        <v>792</v>
      </c>
      <c r="AB1040" t="s">
        <v>793</v>
      </c>
      <c r="AD1040" t="s">
        <v>794</v>
      </c>
      <c r="AE1040" t="s">
        <v>795</v>
      </c>
      <c r="AF1040" t="s">
        <v>796</v>
      </c>
      <c r="AG1040" t="s">
        <v>797</v>
      </c>
      <c r="AH1040">
        <v>3389534</v>
      </c>
      <c r="AI1040">
        <v>3389534</v>
      </c>
      <c r="AJ1040">
        <v>0.7</v>
      </c>
    </row>
    <row r="1041" spans="1:36" x14ac:dyDescent="0.3">
      <c r="A1041">
        <f>COUNTIF($D$2:D1041,D1041)</f>
        <v>14</v>
      </c>
      <c r="B1041" t="str">
        <f t="shared" si="65"/>
        <v>14Islington</v>
      </c>
      <c r="C1041" t="s">
        <v>3466</v>
      </c>
      <c r="D1041" t="s">
        <v>183</v>
      </c>
      <c r="E1041">
        <v>36</v>
      </c>
      <c r="F1041" t="s">
        <v>3467</v>
      </c>
      <c r="G1041" t="s">
        <v>877</v>
      </c>
      <c r="H1041" t="s">
        <v>878</v>
      </c>
      <c r="I1041" t="s">
        <v>879</v>
      </c>
      <c r="J1041">
        <f t="shared" ca="1" si="66"/>
        <v>359678</v>
      </c>
      <c r="K1041">
        <f t="shared" ca="1" si="67"/>
        <v>34</v>
      </c>
      <c r="N1041" t="str">
        <f t="shared" si="64"/>
        <v>Haringey36iBCF Short-term packages of care to support people to return home from hospital with reablementHome-based intermediate care servicesReablement at home (accepting step up and step down users)</v>
      </c>
      <c r="O1041" t="s">
        <v>165</v>
      </c>
      <c r="P1041" t="s">
        <v>790</v>
      </c>
      <c r="Q1041">
        <v>36</v>
      </c>
      <c r="R1041" t="s">
        <v>3135</v>
      </c>
      <c r="S1041" t="s">
        <v>3468</v>
      </c>
      <c r="T1041" t="s">
        <v>787</v>
      </c>
      <c r="U1041" t="s">
        <v>930</v>
      </c>
      <c r="W1041">
        <v>54</v>
      </c>
      <c r="X1041">
        <v>49</v>
      </c>
      <c r="Y1041" t="s">
        <v>789</v>
      </c>
      <c r="Z1041" t="s">
        <v>792</v>
      </c>
      <c r="AB1041" t="s">
        <v>793</v>
      </c>
      <c r="AD1041" t="s">
        <v>794</v>
      </c>
      <c r="AE1041" t="s">
        <v>804</v>
      </c>
      <c r="AF1041" t="s">
        <v>845</v>
      </c>
      <c r="AG1041" t="s">
        <v>797</v>
      </c>
      <c r="AH1041">
        <v>183523</v>
      </c>
      <c r="AI1041">
        <v>183523</v>
      </c>
      <c r="AJ1041">
        <v>1</v>
      </c>
    </row>
    <row r="1042" spans="1:36" x14ac:dyDescent="0.3">
      <c r="A1042">
        <f>COUNTIF($D$2:D1042,D1042)</f>
        <v>15</v>
      </c>
      <c r="B1042" t="str">
        <f t="shared" si="65"/>
        <v>15Islington</v>
      </c>
      <c r="C1042" t="s">
        <v>3469</v>
      </c>
      <c r="D1042" t="s">
        <v>183</v>
      </c>
      <c r="E1042">
        <v>41</v>
      </c>
      <c r="F1042" t="s">
        <v>3470</v>
      </c>
      <c r="G1042" t="s">
        <v>787</v>
      </c>
      <c r="H1042" t="s">
        <v>1688</v>
      </c>
      <c r="I1042" t="s">
        <v>789</v>
      </c>
      <c r="J1042">
        <f t="shared" ca="1" si="66"/>
        <v>146393.73000000001</v>
      </c>
      <c r="K1042">
        <f t="shared" ca="1" si="67"/>
        <v>470</v>
      </c>
      <c r="N1042" t="str">
        <f t="shared" si="64"/>
        <v>Haringey39Care Home Intermediate Care Beds  (iBCF-funded)Bed based intermediate Care Services (Reablement, rehabilitation, wider short-term services supporting recovery)Bed-based intermediate care with reablement (to support discharge)</v>
      </c>
      <c r="O1042" t="s">
        <v>165</v>
      </c>
      <c r="P1042" t="s">
        <v>790</v>
      </c>
      <c r="Q1042">
        <v>39</v>
      </c>
      <c r="R1042" t="s">
        <v>3138</v>
      </c>
      <c r="S1042" t="s">
        <v>3471</v>
      </c>
      <c r="T1042" t="s">
        <v>877</v>
      </c>
      <c r="U1042" t="s">
        <v>878</v>
      </c>
      <c r="W1042">
        <v>68</v>
      </c>
      <c r="X1042">
        <v>71</v>
      </c>
      <c r="Y1042" t="s">
        <v>879</v>
      </c>
      <c r="Z1042" t="s">
        <v>792</v>
      </c>
      <c r="AB1042" t="s">
        <v>793</v>
      </c>
      <c r="AD1042" t="s">
        <v>794</v>
      </c>
      <c r="AE1042" t="s">
        <v>804</v>
      </c>
      <c r="AF1042" t="s">
        <v>845</v>
      </c>
      <c r="AG1042" t="s">
        <v>797</v>
      </c>
      <c r="AH1042">
        <v>644736</v>
      </c>
      <c r="AI1042">
        <v>644736</v>
      </c>
      <c r="AJ1042">
        <v>0.9</v>
      </c>
    </row>
    <row r="1043" spans="1:36" x14ac:dyDescent="0.3">
      <c r="A1043">
        <f>COUNTIF($D$2:D1043,D1043)</f>
        <v>16</v>
      </c>
      <c r="B1043" t="str">
        <f t="shared" si="65"/>
        <v>16Islington</v>
      </c>
      <c r="C1043" t="s">
        <v>3472</v>
      </c>
      <c r="D1043" t="s">
        <v>183</v>
      </c>
      <c r="E1043">
        <v>42</v>
      </c>
      <c r="F1043" t="s">
        <v>3473</v>
      </c>
      <c r="G1043" t="s">
        <v>806</v>
      </c>
      <c r="H1043" t="s">
        <v>807</v>
      </c>
      <c r="I1043" t="s">
        <v>808</v>
      </c>
      <c r="J1043">
        <f t="shared" ca="1" si="66"/>
        <v>762066.78</v>
      </c>
      <c r="K1043">
        <f t="shared" ca="1" si="67"/>
        <v>116</v>
      </c>
      <c r="N1043" t="str">
        <f t="shared" si="64"/>
        <v>Haringey40Care Home Intermediate Care Beds (Minimum CCG Contribution)Bed based intermediate Care Services (Reablement, rehabilitation, wider short-term services supporting recovery)Bed-based intermediate care with reablement (to support discharge)</v>
      </c>
      <c r="O1043" t="s">
        <v>165</v>
      </c>
      <c r="P1043" t="s">
        <v>790</v>
      </c>
      <c r="Q1043">
        <v>40</v>
      </c>
      <c r="R1043" t="s">
        <v>3141</v>
      </c>
      <c r="S1043" t="s">
        <v>3471</v>
      </c>
      <c r="T1043" t="s">
        <v>877</v>
      </c>
      <c r="U1043" t="s">
        <v>878</v>
      </c>
      <c r="W1043">
        <v>17</v>
      </c>
      <c r="X1043">
        <v>17</v>
      </c>
      <c r="Y1043" t="s">
        <v>879</v>
      </c>
      <c r="Z1043" t="s">
        <v>1061</v>
      </c>
      <c r="AB1043" t="s">
        <v>793</v>
      </c>
      <c r="AD1043" t="s">
        <v>794</v>
      </c>
      <c r="AE1043" t="s">
        <v>804</v>
      </c>
      <c r="AF1043" t="s">
        <v>796</v>
      </c>
      <c r="AG1043" t="s">
        <v>797</v>
      </c>
      <c r="AH1043">
        <v>155000</v>
      </c>
      <c r="AI1043">
        <v>155000</v>
      </c>
      <c r="AJ1043">
        <v>0.9</v>
      </c>
    </row>
    <row r="1044" spans="1:36" x14ac:dyDescent="0.3">
      <c r="A1044">
        <f>COUNTIF($D$2:D1044,D1044)</f>
        <v>17</v>
      </c>
      <c r="B1044" t="str">
        <f t="shared" si="65"/>
        <v>17Islington</v>
      </c>
      <c r="C1044" t="s">
        <v>3474</v>
      </c>
      <c r="D1044" t="s">
        <v>183</v>
      </c>
      <c r="E1044">
        <v>43</v>
      </c>
      <c r="F1044" t="s">
        <v>3470</v>
      </c>
      <c r="G1044" t="s">
        <v>842</v>
      </c>
      <c r="H1044" t="s">
        <v>843</v>
      </c>
      <c r="I1044" t="s">
        <v>844</v>
      </c>
      <c r="J1044">
        <f t="shared" ca="1" si="66"/>
        <v>1124543</v>
      </c>
      <c r="K1044">
        <f t="shared" ca="1" si="67"/>
        <v>54169</v>
      </c>
      <c r="N1044" t="str">
        <f t="shared" si="64"/>
        <v>Haringey41Community-Based Nursing &amp; Care Home Intermediate Care (Convalescence) BedsBed based intermediate Care Services (Reablement, rehabilitation, wider short-term services supporting recovery)Bed-based intermediate care with reablement (to support admissions avoidance)</v>
      </c>
      <c r="O1044" t="s">
        <v>165</v>
      </c>
      <c r="P1044" t="s">
        <v>790</v>
      </c>
      <c r="Q1044">
        <v>41</v>
      </c>
      <c r="R1044" t="s">
        <v>3144</v>
      </c>
      <c r="S1044" t="s">
        <v>3475</v>
      </c>
      <c r="T1044" t="s">
        <v>877</v>
      </c>
      <c r="U1044" t="s">
        <v>995</v>
      </c>
      <c r="W1044">
        <v>50</v>
      </c>
      <c r="X1044">
        <v>52</v>
      </c>
      <c r="Y1044" t="s">
        <v>879</v>
      </c>
      <c r="Z1044" t="s">
        <v>823</v>
      </c>
      <c r="AB1044" t="s">
        <v>793</v>
      </c>
      <c r="AD1044" t="s">
        <v>794</v>
      </c>
      <c r="AE1044" t="s">
        <v>804</v>
      </c>
      <c r="AF1044" t="s">
        <v>796</v>
      </c>
      <c r="AG1044" t="s">
        <v>797</v>
      </c>
      <c r="AH1044">
        <v>466523</v>
      </c>
      <c r="AI1044">
        <v>466523</v>
      </c>
      <c r="AJ1044">
        <v>0.9</v>
      </c>
    </row>
    <row r="1045" spans="1:36" x14ac:dyDescent="0.3">
      <c r="A1045">
        <f>COUNTIF($D$2:D1045,D1045)</f>
        <v>18</v>
      </c>
      <c r="B1045" t="str">
        <f t="shared" si="65"/>
        <v>18Islington</v>
      </c>
      <c r="C1045" t="s">
        <v>3476</v>
      </c>
      <c r="D1045" t="s">
        <v>183</v>
      </c>
      <c r="E1045">
        <v>44</v>
      </c>
      <c r="F1045" t="s">
        <v>3477</v>
      </c>
      <c r="G1045" t="s">
        <v>806</v>
      </c>
      <c r="H1045" t="s">
        <v>807</v>
      </c>
      <c r="I1045" t="s">
        <v>808</v>
      </c>
      <c r="J1045">
        <f t="shared" ca="1" si="66"/>
        <v>7144355</v>
      </c>
      <c r="K1045">
        <f t="shared" ca="1" si="67"/>
        <v>273</v>
      </c>
      <c r="N1045" t="str">
        <f t="shared" si="64"/>
        <v>Haringey51Additional Care Home Intermediate Care Beds (Minimum CCG Contribution)Bed based intermediate Care Services (Reablement, rehabilitation, wider short-term services supporting recovery)Bed-based intermediate care with reablement (to support discharge)</v>
      </c>
      <c r="O1045" t="s">
        <v>165</v>
      </c>
      <c r="P1045" t="s">
        <v>790</v>
      </c>
      <c r="Q1045">
        <v>51</v>
      </c>
      <c r="R1045" t="s">
        <v>3147</v>
      </c>
      <c r="S1045" t="s">
        <v>3478</v>
      </c>
      <c r="T1045" t="s">
        <v>877</v>
      </c>
      <c r="U1045" t="s">
        <v>878</v>
      </c>
      <c r="W1045">
        <v>18</v>
      </c>
      <c r="X1045">
        <v>18</v>
      </c>
      <c r="Y1045" t="s">
        <v>879</v>
      </c>
      <c r="Z1045" t="s">
        <v>792</v>
      </c>
      <c r="AB1045" t="s">
        <v>793</v>
      </c>
      <c r="AD1045" t="s">
        <v>794</v>
      </c>
      <c r="AE1045" t="s">
        <v>804</v>
      </c>
      <c r="AF1045" t="s">
        <v>796</v>
      </c>
      <c r="AG1045" t="s">
        <v>797</v>
      </c>
      <c r="AH1045">
        <v>125136</v>
      </c>
      <c r="AI1045">
        <v>125136</v>
      </c>
      <c r="AJ1045">
        <v>0.9</v>
      </c>
    </row>
    <row r="1046" spans="1:36" x14ac:dyDescent="0.3">
      <c r="A1046">
        <f>COUNTIF($D$2:D1046,D1046)</f>
        <v>19</v>
      </c>
      <c r="B1046" t="str">
        <f t="shared" si="65"/>
        <v>19Islington</v>
      </c>
      <c r="C1046" t="s">
        <v>3479</v>
      </c>
      <c r="D1046" t="s">
        <v>183</v>
      </c>
      <c r="E1046">
        <v>45</v>
      </c>
      <c r="F1046" t="s">
        <v>3477</v>
      </c>
      <c r="G1046" t="s">
        <v>842</v>
      </c>
      <c r="H1046" t="s">
        <v>843</v>
      </c>
      <c r="I1046" t="s">
        <v>844</v>
      </c>
      <c r="J1046">
        <f t="shared" ca="1" si="66"/>
        <v>6494356</v>
      </c>
      <c r="K1046">
        <f t="shared" ca="1" si="67"/>
        <v>346736</v>
      </c>
      <c r="N1046" t="str">
        <f t="shared" si="64"/>
        <v>Haringey46Carers' SupportCarers ServicesOther</v>
      </c>
      <c r="O1046" t="s">
        <v>165</v>
      </c>
      <c r="P1046" t="s">
        <v>790</v>
      </c>
      <c r="Q1046">
        <v>46</v>
      </c>
      <c r="R1046" t="s">
        <v>3150</v>
      </c>
      <c r="S1046" t="s">
        <v>3480</v>
      </c>
      <c r="T1046" t="s">
        <v>811</v>
      </c>
      <c r="U1046" t="s">
        <v>812</v>
      </c>
      <c r="V1046" t="s">
        <v>3481</v>
      </c>
      <c r="W1046">
        <v>1995</v>
      </c>
      <c r="X1046">
        <v>2100</v>
      </c>
      <c r="Y1046" t="s">
        <v>813</v>
      </c>
      <c r="Z1046" t="s">
        <v>792</v>
      </c>
      <c r="AB1046" t="s">
        <v>793</v>
      </c>
      <c r="AD1046" t="s">
        <v>794</v>
      </c>
      <c r="AE1046" t="s">
        <v>795</v>
      </c>
      <c r="AF1046" t="s">
        <v>796</v>
      </c>
      <c r="AG1046" t="s">
        <v>797</v>
      </c>
      <c r="AH1046">
        <v>1434916</v>
      </c>
      <c r="AI1046">
        <v>1434916</v>
      </c>
      <c r="AJ1046">
        <v>0.56999999999999995</v>
      </c>
    </row>
    <row r="1047" spans="1:36" x14ac:dyDescent="0.3">
      <c r="A1047">
        <f>COUNTIF($D$2:D1047,D1047)</f>
        <v>20</v>
      </c>
      <c r="B1047" t="str">
        <f t="shared" si="65"/>
        <v>20Islington</v>
      </c>
      <c r="C1047" t="s">
        <v>3482</v>
      </c>
      <c r="D1047" t="s">
        <v>183</v>
      </c>
      <c r="E1047">
        <v>46</v>
      </c>
      <c r="F1047" t="s">
        <v>1866</v>
      </c>
      <c r="G1047" t="s">
        <v>842</v>
      </c>
      <c r="H1047" t="s">
        <v>856</v>
      </c>
      <c r="I1047" t="s">
        <v>844</v>
      </c>
      <c r="J1047">
        <f t="shared" ca="1" si="66"/>
        <v>81000</v>
      </c>
      <c r="K1047">
        <f t="shared" ca="1" si="67"/>
        <v>7363</v>
      </c>
      <c r="N1047" t="str">
        <f t="shared" si="64"/>
        <v>Haringey65Discharge Funding 2023-24 - Care PurchasingHome Care or Domiciliary CareDomiciliary care to support hospital discharge (Discharge to Assess pathway 1)</v>
      </c>
      <c r="O1047" t="s">
        <v>165</v>
      </c>
      <c r="P1047" t="s">
        <v>790</v>
      </c>
      <c r="Q1047">
        <v>65</v>
      </c>
      <c r="R1047" t="s">
        <v>3153</v>
      </c>
      <c r="S1047" t="s">
        <v>3483</v>
      </c>
      <c r="T1047" t="s">
        <v>842</v>
      </c>
      <c r="U1047" t="s">
        <v>856</v>
      </c>
      <c r="W1047">
        <v>9884</v>
      </c>
      <c r="X1047">
        <v>56000</v>
      </c>
      <c r="Y1047" t="s">
        <v>844</v>
      </c>
      <c r="Z1047" t="s">
        <v>792</v>
      </c>
      <c r="AB1047" t="s">
        <v>793</v>
      </c>
      <c r="AD1047" t="s">
        <v>794</v>
      </c>
      <c r="AE1047" t="s">
        <v>795</v>
      </c>
      <c r="AF1047" t="s">
        <v>864</v>
      </c>
      <c r="AG1047" t="s">
        <v>861</v>
      </c>
      <c r="AH1047">
        <v>190762</v>
      </c>
      <c r="AI1047">
        <v>1147993</v>
      </c>
      <c r="AJ1047">
        <v>0.14000000000000001</v>
      </c>
    </row>
    <row r="1048" spans="1:36" x14ac:dyDescent="0.3">
      <c r="A1048">
        <f>COUNTIF($D$2:D1048,D1048)</f>
        <v>1</v>
      </c>
      <c r="B1048" t="str">
        <f t="shared" si="65"/>
        <v>1Kensington and Chelsea</v>
      </c>
      <c r="C1048" t="s">
        <v>3484</v>
      </c>
      <c r="D1048" t="s">
        <v>185</v>
      </c>
      <c r="E1048">
        <v>1</v>
      </c>
      <c r="F1048" t="s">
        <v>3485</v>
      </c>
      <c r="G1048" t="s">
        <v>811</v>
      </c>
      <c r="H1048" t="s">
        <v>830</v>
      </c>
      <c r="I1048" t="s">
        <v>813</v>
      </c>
      <c r="J1048">
        <f t="shared" ca="1" si="66"/>
        <v>426769.19280000002</v>
      </c>
      <c r="K1048">
        <f t="shared" ca="1" si="67"/>
        <v>924</v>
      </c>
      <c r="N1048" t="str">
        <f t="shared" si="64"/>
        <v>Harrow3Support to CarersCarers ServicesOther</v>
      </c>
      <c r="O1048" t="s">
        <v>167</v>
      </c>
      <c r="P1048" t="s">
        <v>790</v>
      </c>
      <c r="Q1048">
        <v>3</v>
      </c>
      <c r="R1048" t="s">
        <v>1494</v>
      </c>
      <c r="S1048" t="s">
        <v>3486</v>
      </c>
      <c r="T1048" t="s">
        <v>811</v>
      </c>
      <c r="U1048" t="s">
        <v>812</v>
      </c>
      <c r="V1048" t="s">
        <v>3487</v>
      </c>
      <c r="W1048">
        <v>3896</v>
      </c>
      <c r="X1048">
        <v>4090</v>
      </c>
      <c r="Y1048" t="s">
        <v>813</v>
      </c>
      <c r="Z1048" t="s">
        <v>792</v>
      </c>
      <c r="AB1048" t="s">
        <v>793</v>
      </c>
      <c r="AD1048" t="s">
        <v>794</v>
      </c>
      <c r="AE1048" t="s">
        <v>795</v>
      </c>
      <c r="AF1048" t="s">
        <v>796</v>
      </c>
      <c r="AG1048" t="s">
        <v>797</v>
      </c>
      <c r="AH1048">
        <v>1803032</v>
      </c>
      <c r="AI1048">
        <v>1905084</v>
      </c>
      <c r="AJ1048">
        <v>1</v>
      </c>
    </row>
    <row r="1049" spans="1:36" x14ac:dyDescent="0.3">
      <c r="A1049">
        <f>COUNTIF($D$2:D1049,D1049)</f>
        <v>2</v>
      </c>
      <c r="B1049" t="str">
        <f t="shared" si="65"/>
        <v>2Kensington and Chelsea</v>
      </c>
      <c r="C1049" t="s">
        <v>3488</v>
      </c>
      <c r="D1049" t="s">
        <v>185</v>
      </c>
      <c r="E1049">
        <v>4</v>
      </c>
      <c r="F1049" t="s">
        <v>3489</v>
      </c>
      <c r="G1049" t="s">
        <v>800</v>
      </c>
      <c r="H1049" t="s">
        <v>850</v>
      </c>
      <c r="I1049" t="s">
        <v>802</v>
      </c>
      <c r="J1049">
        <f t="shared" ca="1" si="66"/>
        <v>387386.788223268</v>
      </c>
      <c r="K1049">
        <f t="shared" ca="1" si="67"/>
        <v>703</v>
      </c>
      <c r="N1049" t="str">
        <f t="shared" si="64"/>
        <v>Harrow8Dwelling AdaptationsDFG Related SchemesAdaptations, including statutory DFG grants</v>
      </c>
      <c r="O1049" t="s">
        <v>167</v>
      </c>
      <c r="P1049" t="s">
        <v>790</v>
      </c>
      <c r="Q1049">
        <v>8</v>
      </c>
      <c r="R1049" t="s">
        <v>3158</v>
      </c>
      <c r="S1049" t="s">
        <v>3490</v>
      </c>
      <c r="T1049" t="s">
        <v>834</v>
      </c>
      <c r="U1049" t="s">
        <v>835</v>
      </c>
      <c r="W1049">
        <v>170</v>
      </c>
      <c r="X1049">
        <v>170</v>
      </c>
      <c r="Y1049" t="s">
        <v>836</v>
      </c>
      <c r="Z1049" t="s">
        <v>792</v>
      </c>
      <c r="AB1049" t="s">
        <v>793</v>
      </c>
      <c r="AD1049" t="s">
        <v>794</v>
      </c>
      <c r="AE1049" t="s">
        <v>804</v>
      </c>
      <c r="AF1049" t="s">
        <v>840</v>
      </c>
      <c r="AG1049" t="s">
        <v>797</v>
      </c>
      <c r="AH1049">
        <v>1721553</v>
      </c>
      <c r="AI1049">
        <v>1721553</v>
      </c>
      <c r="AJ1049">
        <v>1</v>
      </c>
    </row>
    <row r="1050" spans="1:36" x14ac:dyDescent="0.3">
      <c r="A1050">
        <f>COUNTIF($D$2:D1050,D1050)</f>
        <v>3</v>
      </c>
      <c r="B1050" t="str">
        <f t="shared" si="65"/>
        <v>3Kensington and Chelsea</v>
      </c>
      <c r="C1050" t="s">
        <v>3491</v>
      </c>
      <c r="D1050" t="s">
        <v>185</v>
      </c>
      <c r="E1050">
        <v>7</v>
      </c>
      <c r="F1050" t="s">
        <v>3492</v>
      </c>
      <c r="G1050" t="s">
        <v>842</v>
      </c>
      <c r="H1050" t="s">
        <v>843</v>
      </c>
      <c r="I1050" t="s">
        <v>844</v>
      </c>
      <c r="J1050">
        <f t="shared" ca="1" si="66"/>
        <v>4358429.5</v>
      </c>
      <c r="K1050">
        <f t="shared" ca="1" si="67"/>
        <v>223509</v>
      </c>
      <c r="N1050" t="str">
        <f t="shared" si="64"/>
        <v xml:space="preserve">Harrow9Short-Term Rehabiliation TeamHome-based intermediate care servicesReablement at home (to support discharge) </v>
      </c>
      <c r="O1050" t="s">
        <v>167</v>
      </c>
      <c r="P1050" t="s">
        <v>790</v>
      </c>
      <c r="Q1050">
        <v>9</v>
      </c>
      <c r="R1050" t="s">
        <v>3161</v>
      </c>
      <c r="S1050" t="s">
        <v>3161</v>
      </c>
      <c r="T1050" t="s">
        <v>787</v>
      </c>
      <c r="U1050" t="s">
        <v>788</v>
      </c>
      <c r="W1050">
        <v>648</v>
      </c>
      <c r="X1050">
        <v>720</v>
      </c>
      <c r="Y1050" t="s">
        <v>789</v>
      </c>
      <c r="Z1050" t="s">
        <v>823</v>
      </c>
      <c r="AB1050" t="s">
        <v>824</v>
      </c>
      <c r="AD1050" t="s">
        <v>794</v>
      </c>
      <c r="AE1050" t="s">
        <v>832</v>
      </c>
      <c r="AF1050" t="s">
        <v>796</v>
      </c>
      <c r="AG1050" t="s">
        <v>797</v>
      </c>
      <c r="AH1050">
        <v>1647488.8216827</v>
      </c>
      <c r="AI1050">
        <v>1740736.6889899406</v>
      </c>
      <c r="AJ1050">
        <v>0.82514355382240445</v>
      </c>
    </row>
    <row r="1051" spans="1:36" x14ac:dyDescent="0.3">
      <c r="A1051">
        <f>COUNTIF($D$2:D1051,D1051)</f>
        <v>4</v>
      </c>
      <c r="B1051" t="str">
        <f t="shared" si="65"/>
        <v>4Kensington and Chelsea</v>
      </c>
      <c r="C1051" t="s">
        <v>3493</v>
      </c>
      <c r="D1051" t="s">
        <v>185</v>
      </c>
      <c r="E1051">
        <v>12</v>
      </c>
      <c r="F1051" t="s">
        <v>1051</v>
      </c>
      <c r="G1051" t="s">
        <v>800</v>
      </c>
      <c r="H1051" t="s">
        <v>903</v>
      </c>
      <c r="I1051" t="s">
        <v>802</v>
      </c>
      <c r="J1051">
        <f t="shared" ca="1" si="66"/>
        <v>870881</v>
      </c>
      <c r="K1051">
        <f t="shared" ca="1" si="67"/>
        <v>1580</v>
      </c>
      <c r="N1051" t="str">
        <f t="shared" si="64"/>
        <v>Harrow17Community EquipmentAssistive Technologies and EquipmentAssistive technologies including telecare</v>
      </c>
      <c r="O1051" t="s">
        <v>167</v>
      </c>
      <c r="P1051" t="s">
        <v>790</v>
      </c>
      <c r="Q1051">
        <v>17</v>
      </c>
      <c r="R1051" t="s">
        <v>1051</v>
      </c>
      <c r="S1051" t="s">
        <v>1598</v>
      </c>
      <c r="T1051" t="s">
        <v>800</v>
      </c>
      <c r="U1051" t="s">
        <v>850</v>
      </c>
      <c r="W1051">
        <v>6300</v>
      </c>
      <c r="X1051">
        <v>7000</v>
      </c>
      <c r="Y1051" t="s">
        <v>802</v>
      </c>
      <c r="Z1051" t="s">
        <v>823</v>
      </c>
      <c r="AB1051" t="s">
        <v>824</v>
      </c>
      <c r="AD1051" t="s">
        <v>794</v>
      </c>
      <c r="AE1051" t="s">
        <v>795</v>
      </c>
      <c r="AF1051" t="s">
        <v>796</v>
      </c>
      <c r="AG1051" t="s">
        <v>861</v>
      </c>
      <c r="AH1051">
        <v>1239323</v>
      </c>
      <c r="AI1051">
        <v>1309468.6817999999</v>
      </c>
      <c r="AJ1051">
        <v>1</v>
      </c>
    </row>
    <row r="1052" spans="1:36" x14ac:dyDescent="0.3">
      <c r="A1052">
        <f>COUNTIF($D$2:D1052,D1052)</f>
        <v>5</v>
      </c>
      <c r="B1052" t="str">
        <f t="shared" si="65"/>
        <v>5Kensington and Chelsea</v>
      </c>
      <c r="C1052" t="s">
        <v>3494</v>
      </c>
      <c r="D1052" t="s">
        <v>185</v>
      </c>
      <c r="E1052">
        <v>20</v>
      </c>
      <c r="F1052" t="s">
        <v>3495</v>
      </c>
      <c r="G1052" t="s">
        <v>834</v>
      </c>
      <c r="H1052" t="s">
        <v>835</v>
      </c>
      <c r="I1052" t="s">
        <v>836</v>
      </c>
      <c r="J1052">
        <f t="shared" ca="1" si="66"/>
        <v>879824</v>
      </c>
      <c r="K1052">
        <f t="shared" ca="1" si="67"/>
        <v>95</v>
      </c>
      <c r="N1052" t="str">
        <f t="shared" si="64"/>
        <v>Harrow23Managing Community Social Care DemandHome Care or Domiciliary CareDomiciliary care packages</v>
      </c>
      <c r="O1052" t="s">
        <v>167</v>
      </c>
      <c r="P1052" t="s">
        <v>790</v>
      </c>
      <c r="Q1052">
        <v>23</v>
      </c>
      <c r="R1052" t="s">
        <v>3167</v>
      </c>
      <c r="S1052" t="s">
        <v>3496</v>
      </c>
      <c r="T1052" t="s">
        <v>842</v>
      </c>
      <c r="U1052" t="s">
        <v>843</v>
      </c>
      <c r="W1052">
        <v>134611</v>
      </c>
      <c r="X1052">
        <v>134611</v>
      </c>
      <c r="Y1052" t="s">
        <v>844</v>
      </c>
      <c r="Z1052" t="s">
        <v>792</v>
      </c>
      <c r="AB1052" t="s">
        <v>793</v>
      </c>
      <c r="AD1052" t="s">
        <v>794</v>
      </c>
      <c r="AE1052" t="s">
        <v>795</v>
      </c>
      <c r="AF1052" t="s">
        <v>845</v>
      </c>
      <c r="AG1052" t="s">
        <v>797</v>
      </c>
      <c r="AH1052">
        <v>2348966</v>
      </c>
      <c r="AI1052">
        <v>2348966</v>
      </c>
      <c r="AJ1052">
        <v>0.89315111620790444</v>
      </c>
    </row>
    <row r="1053" spans="1:36" x14ac:dyDescent="0.3">
      <c r="A1053">
        <f>COUNTIF($D$2:D1053,D1053)</f>
        <v>6</v>
      </c>
      <c r="B1053" t="str">
        <f t="shared" si="65"/>
        <v>6Kensington and Chelsea</v>
      </c>
      <c r="C1053" t="s">
        <v>3497</v>
      </c>
      <c r="D1053" t="s">
        <v>185</v>
      </c>
      <c r="E1053">
        <v>21</v>
      </c>
      <c r="F1053" t="s">
        <v>3498</v>
      </c>
      <c r="G1053" t="s">
        <v>834</v>
      </c>
      <c r="H1053" t="s">
        <v>1293</v>
      </c>
      <c r="I1053" t="s">
        <v>836</v>
      </c>
      <c r="J1053">
        <f t="shared" ca="1" si="66"/>
        <v>80000</v>
      </c>
      <c r="K1053">
        <f t="shared" ca="1" si="67"/>
        <v>40</v>
      </c>
      <c r="N1053" t="str">
        <f t="shared" si="64"/>
        <v>Harrow24Managing Demand for ResidentialResidential PlacementsCare home</v>
      </c>
      <c r="O1053" t="s">
        <v>167</v>
      </c>
      <c r="P1053" t="s">
        <v>790</v>
      </c>
      <c r="Q1053">
        <v>24</v>
      </c>
      <c r="R1053" t="s">
        <v>3170</v>
      </c>
      <c r="S1053" t="s">
        <v>3499</v>
      </c>
      <c r="T1053" t="s">
        <v>806</v>
      </c>
      <c r="U1053" t="s">
        <v>807</v>
      </c>
      <c r="W1053">
        <v>66</v>
      </c>
      <c r="X1053">
        <v>60</v>
      </c>
      <c r="Y1053" t="s">
        <v>808</v>
      </c>
      <c r="Z1053" t="s">
        <v>792</v>
      </c>
      <c r="AB1053" t="s">
        <v>793</v>
      </c>
      <c r="AD1053" t="s">
        <v>794</v>
      </c>
      <c r="AE1053" t="s">
        <v>795</v>
      </c>
      <c r="AF1053" t="s">
        <v>845</v>
      </c>
      <c r="AG1053" t="s">
        <v>797</v>
      </c>
      <c r="AH1053">
        <v>3315022</v>
      </c>
      <c r="AI1053">
        <v>3315022</v>
      </c>
      <c r="AJ1053">
        <v>0.74835706802193269</v>
      </c>
    </row>
    <row r="1054" spans="1:36" x14ac:dyDescent="0.3">
      <c r="A1054">
        <f>COUNTIF($D$2:D1054,D1054)</f>
        <v>7</v>
      </c>
      <c r="B1054" t="str">
        <f t="shared" si="65"/>
        <v>7Kensington and Chelsea</v>
      </c>
      <c r="C1054" t="s">
        <v>3500</v>
      </c>
      <c r="D1054" t="s">
        <v>185</v>
      </c>
      <c r="E1054">
        <v>22</v>
      </c>
      <c r="F1054" t="s">
        <v>3501</v>
      </c>
      <c r="G1054" t="s">
        <v>842</v>
      </c>
      <c r="H1054" t="s">
        <v>843</v>
      </c>
      <c r="I1054" t="s">
        <v>844</v>
      </c>
      <c r="J1054">
        <f t="shared" ca="1" si="66"/>
        <v>6229686</v>
      </c>
      <c r="K1054">
        <f t="shared" ca="1" si="67"/>
        <v>322506</v>
      </c>
      <c r="N1054" t="str">
        <f t="shared" si="64"/>
        <v>Harrow26Hospital DischargeResidential PlacementsCare home</v>
      </c>
      <c r="O1054" t="s">
        <v>167</v>
      </c>
      <c r="P1054" t="s">
        <v>790</v>
      </c>
      <c r="Q1054">
        <v>26</v>
      </c>
      <c r="R1054" t="s">
        <v>677</v>
      </c>
      <c r="S1054" t="s">
        <v>3502</v>
      </c>
      <c r="T1054" t="s">
        <v>806</v>
      </c>
      <c r="U1054" t="s">
        <v>807</v>
      </c>
      <c r="W1054">
        <v>8</v>
      </c>
      <c r="X1054">
        <v>8</v>
      </c>
      <c r="Y1054" t="s">
        <v>808</v>
      </c>
      <c r="Z1054" t="s">
        <v>792</v>
      </c>
      <c r="AB1054" t="s">
        <v>793</v>
      </c>
      <c r="AD1054" t="s">
        <v>794</v>
      </c>
      <c r="AE1054" t="s">
        <v>795</v>
      </c>
      <c r="AF1054" t="s">
        <v>860</v>
      </c>
      <c r="AG1054" t="s">
        <v>797</v>
      </c>
      <c r="AH1054">
        <v>372000</v>
      </c>
      <c r="AI1054">
        <v>372000</v>
      </c>
      <c r="AJ1054">
        <v>8.39779733902698E-2</v>
      </c>
    </row>
    <row r="1055" spans="1:36" x14ac:dyDescent="0.3">
      <c r="A1055">
        <f>COUNTIF($D$2:D1055,D1055)</f>
        <v>8</v>
      </c>
      <c r="B1055" t="str">
        <f t="shared" si="65"/>
        <v>8Kensington and Chelsea</v>
      </c>
      <c r="C1055" t="s">
        <v>3503</v>
      </c>
      <c r="D1055" t="s">
        <v>185</v>
      </c>
      <c r="E1055">
        <v>25</v>
      </c>
      <c r="F1055" t="s">
        <v>3504</v>
      </c>
      <c r="G1055" t="s">
        <v>877</v>
      </c>
      <c r="H1055" t="s">
        <v>1259</v>
      </c>
      <c r="I1055" t="s">
        <v>879</v>
      </c>
      <c r="J1055">
        <f t="shared" ca="1" si="66"/>
        <v>67082</v>
      </c>
      <c r="K1055">
        <f t="shared" ca="1" si="67"/>
        <v>2</v>
      </c>
      <c r="N1055" t="str">
        <f t="shared" si="64"/>
        <v>Harrow27Hospital DischargeResidential PlacementsCare home</v>
      </c>
      <c r="O1055" t="s">
        <v>167</v>
      </c>
      <c r="P1055" t="s">
        <v>790</v>
      </c>
      <c r="Q1055">
        <v>27</v>
      </c>
      <c r="R1055" t="s">
        <v>677</v>
      </c>
      <c r="S1055" t="s">
        <v>3505</v>
      </c>
      <c r="T1055" t="s">
        <v>806</v>
      </c>
      <c r="U1055" t="s">
        <v>807</v>
      </c>
      <c r="W1055">
        <v>3</v>
      </c>
      <c r="X1055">
        <v>3</v>
      </c>
      <c r="Y1055" t="s">
        <v>808</v>
      </c>
      <c r="Z1055" t="s">
        <v>792</v>
      </c>
      <c r="AB1055" t="s">
        <v>793</v>
      </c>
      <c r="AD1055" t="s">
        <v>794</v>
      </c>
      <c r="AE1055" t="s">
        <v>795</v>
      </c>
      <c r="AF1055" t="s">
        <v>860</v>
      </c>
      <c r="AG1055" t="s">
        <v>797</v>
      </c>
      <c r="AH1055">
        <v>140211</v>
      </c>
      <c r="AI1055">
        <v>140211</v>
      </c>
      <c r="AJ1055">
        <v>3.165224630920193E-2</v>
      </c>
    </row>
    <row r="1056" spans="1:36" x14ac:dyDescent="0.3">
      <c r="A1056">
        <f>COUNTIF($D$2:D1056,D1056)</f>
        <v>9</v>
      </c>
      <c r="B1056" t="str">
        <f t="shared" si="65"/>
        <v>9Kensington and Chelsea</v>
      </c>
      <c r="C1056" t="s">
        <v>3506</v>
      </c>
      <c r="D1056" t="s">
        <v>185</v>
      </c>
      <c r="E1056">
        <v>27</v>
      </c>
      <c r="F1056" t="s">
        <v>3507</v>
      </c>
      <c r="G1056" t="s">
        <v>877</v>
      </c>
      <c r="H1056" t="s">
        <v>968</v>
      </c>
      <c r="I1056" t="s">
        <v>879</v>
      </c>
      <c r="J1056">
        <f t="shared" ca="1" si="66"/>
        <v>268382</v>
      </c>
      <c r="K1056">
        <f t="shared" ca="1" si="67"/>
        <v>7</v>
      </c>
      <c r="N1056" t="str">
        <f t="shared" si="64"/>
        <v xml:space="preserve">Harrow30Hospital DischargeHome-based intermediate care servicesReablement at home (to support discharge) </v>
      </c>
      <c r="O1056" t="s">
        <v>167</v>
      </c>
      <c r="P1056" t="s">
        <v>790</v>
      </c>
      <c r="Q1056">
        <v>30</v>
      </c>
      <c r="R1056" t="s">
        <v>677</v>
      </c>
      <c r="S1056" t="s">
        <v>3508</v>
      </c>
      <c r="T1056" t="s">
        <v>787</v>
      </c>
      <c r="U1056" t="s">
        <v>788</v>
      </c>
      <c r="W1056">
        <v>400</v>
      </c>
      <c r="X1056">
        <v>400</v>
      </c>
      <c r="Y1056" t="s">
        <v>789</v>
      </c>
      <c r="Z1056" t="s">
        <v>792</v>
      </c>
      <c r="AB1056" t="s">
        <v>793</v>
      </c>
      <c r="AD1056" t="s">
        <v>794</v>
      </c>
      <c r="AE1056" t="s">
        <v>795</v>
      </c>
      <c r="AF1056" t="s">
        <v>864</v>
      </c>
      <c r="AG1056" t="s">
        <v>797</v>
      </c>
      <c r="AH1056">
        <v>359000</v>
      </c>
      <c r="AI1056">
        <v>359000</v>
      </c>
      <c r="AJ1056">
        <v>0.17485644617759546</v>
      </c>
    </row>
    <row r="1057" spans="1:36" x14ac:dyDescent="0.3">
      <c r="A1057">
        <f>COUNTIF($D$2:D1057,D1057)</f>
        <v>10</v>
      </c>
      <c r="B1057" t="str">
        <f t="shared" si="65"/>
        <v>10Kensington and Chelsea</v>
      </c>
      <c r="C1057" t="s">
        <v>3509</v>
      </c>
      <c r="D1057" t="s">
        <v>185</v>
      </c>
      <c r="E1057">
        <v>28</v>
      </c>
      <c r="F1057" t="s">
        <v>3510</v>
      </c>
      <c r="G1057" t="s">
        <v>877</v>
      </c>
      <c r="H1057" t="s">
        <v>968</v>
      </c>
      <c r="I1057" t="s">
        <v>879</v>
      </c>
      <c r="J1057">
        <f t="shared" ca="1" si="66"/>
        <v>688407</v>
      </c>
      <c r="K1057">
        <f t="shared" ca="1" si="67"/>
        <v>18</v>
      </c>
      <c r="N1057" t="str">
        <f t="shared" si="64"/>
        <v>Harrow31Hospital DischargeHome Care or Domiciliary CareDomiciliary care packages</v>
      </c>
      <c r="O1057" t="s">
        <v>167</v>
      </c>
      <c r="P1057" t="s">
        <v>790</v>
      </c>
      <c r="Q1057">
        <v>31</v>
      </c>
      <c r="R1057" t="s">
        <v>677</v>
      </c>
      <c r="S1057" t="s">
        <v>3508</v>
      </c>
      <c r="T1057" t="s">
        <v>842</v>
      </c>
      <c r="U1057" t="s">
        <v>843</v>
      </c>
      <c r="W1057">
        <v>14000</v>
      </c>
      <c r="X1057">
        <v>18000</v>
      </c>
      <c r="Y1057" t="s">
        <v>844</v>
      </c>
      <c r="Z1057" t="s">
        <v>792</v>
      </c>
      <c r="AB1057" t="s">
        <v>793</v>
      </c>
      <c r="AD1057" t="s">
        <v>794</v>
      </c>
      <c r="AE1057" t="s">
        <v>795</v>
      </c>
      <c r="AF1057" t="s">
        <v>864</v>
      </c>
      <c r="AG1057" t="s">
        <v>797</v>
      </c>
      <c r="AH1057">
        <v>245218</v>
      </c>
      <c r="AI1057">
        <v>316802</v>
      </c>
      <c r="AJ1057">
        <v>0.10684888379209544</v>
      </c>
    </row>
    <row r="1058" spans="1:36" x14ac:dyDescent="0.3">
      <c r="A1058">
        <f>COUNTIF($D$2:D1058,D1058)</f>
        <v>11</v>
      </c>
      <c r="B1058" t="str">
        <f t="shared" si="65"/>
        <v>11Kensington and Chelsea</v>
      </c>
      <c r="C1058" t="s">
        <v>3511</v>
      </c>
      <c r="D1058" t="s">
        <v>185</v>
      </c>
      <c r="E1058">
        <v>30</v>
      </c>
      <c r="F1058" t="s">
        <v>3512</v>
      </c>
      <c r="G1058" t="s">
        <v>842</v>
      </c>
      <c r="H1058" t="s">
        <v>843</v>
      </c>
      <c r="I1058" t="s">
        <v>844</v>
      </c>
      <c r="J1058">
        <f t="shared" ca="1" si="66"/>
        <v>313141</v>
      </c>
      <c r="K1058">
        <f t="shared" ca="1" si="67"/>
        <v>16059</v>
      </c>
      <c r="N1058" t="str">
        <f t="shared" si="64"/>
        <v>Harrow32Hospital DischargeResidential PlacementsCare home</v>
      </c>
      <c r="O1058" t="s">
        <v>167</v>
      </c>
      <c r="P1058" t="s">
        <v>790</v>
      </c>
      <c r="Q1058">
        <v>32</v>
      </c>
      <c r="R1058" t="s">
        <v>677</v>
      </c>
      <c r="S1058" t="s">
        <v>3505</v>
      </c>
      <c r="T1058" t="s">
        <v>806</v>
      </c>
      <c r="U1058" t="s">
        <v>807</v>
      </c>
      <c r="W1058">
        <v>6</v>
      </c>
      <c r="X1058">
        <v>16</v>
      </c>
      <c r="Y1058" t="s">
        <v>808</v>
      </c>
      <c r="Z1058" t="s">
        <v>792</v>
      </c>
      <c r="AB1058" t="s">
        <v>793</v>
      </c>
      <c r="AD1058" t="s">
        <v>794</v>
      </c>
      <c r="AE1058" t="s">
        <v>795</v>
      </c>
      <c r="AF1058" t="s">
        <v>864</v>
      </c>
      <c r="AG1058" t="s">
        <v>797</v>
      </c>
      <c r="AH1058">
        <v>330000</v>
      </c>
      <c r="AI1058">
        <v>875000</v>
      </c>
      <c r="AJ1058">
        <v>0.13601271227859557</v>
      </c>
    </row>
    <row r="1059" spans="1:36" x14ac:dyDescent="0.3">
      <c r="A1059">
        <f>COUNTIF($D$2:D1059,D1059)</f>
        <v>12</v>
      </c>
      <c r="B1059" t="str">
        <f t="shared" si="65"/>
        <v>12Kensington and Chelsea</v>
      </c>
      <c r="C1059" t="s">
        <v>3513</v>
      </c>
      <c r="D1059" t="s">
        <v>185</v>
      </c>
      <c r="E1059">
        <v>31</v>
      </c>
      <c r="F1059" t="s">
        <v>3514</v>
      </c>
      <c r="G1059" t="s">
        <v>787</v>
      </c>
      <c r="H1059" t="s">
        <v>788</v>
      </c>
      <c r="I1059" t="s">
        <v>789</v>
      </c>
      <c r="J1059">
        <f t="shared" ca="1" si="66"/>
        <v>546523</v>
      </c>
      <c r="K1059">
        <f t="shared" ca="1" si="67"/>
        <v>196</v>
      </c>
      <c r="N1059" t="str">
        <f t="shared" si="64"/>
        <v>Hartlepool2Assistive TechnologyAssistive Technologies and EquipmentAssistive technologies including telecare</v>
      </c>
      <c r="O1059" t="s">
        <v>169</v>
      </c>
      <c r="P1059" t="s">
        <v>2195</v>
      </c>
      <c r="Q1059">
        <v>2</v>
      </c>
      <c r="R1059" t="s">
        <v>1578</v>
      </c>
      <c r="S1059" t="s">
        <v>3515</v>
      </c>
      <c r="T1059" t="s">
        <v>800</v>
      </c>
      <c r="U1059" t="s">
        <v>850</v>
      </c>
      <c r="W1059">
        <v>3100</v>
      </c>
      <c r="X1059">
        <v>3100</v>
      </c>
      <c r="Y1059" t="s">
        <v>802</v>
      </c>
      <c r="Z1059" t="s">
        <v>792</v>
      </c>
      <c r="AB1059" t="s">
        <v>793</v>
      </c>
      <c r="AD1059" t="s">
        <v>794</v>
      </c>
      <c r="AE1059" t="s">
        <v>795</v>
      </c>
      <c r="AF1059" t="s">
        <v>796</v>
      </c>
      <c r="AG1059" t="s">
        <v>797</v>
      </c>
      <c r="AH1059">
        <v>395623</v>
      </c>
      <c r="AI1059">
        <v>418015</v>
      </c>
      <c r="AJ1059">
        <v>0.21</v>
      </c>
    </row>
    <row r="1060" spans="1:36" x14ac:dyDescent="0.3">
      <c r="A1060">
        <f>COUNTIF($D$2:D1060,D1060)</f>
        <v>1</v>
      </c>
      <c r="B1060" t="str">
        <f t="shared" si="65"/>
        <v>1Kent</v>
      </c>
      <c r="C1060" t="s">
        <v>3516</v>
      </c>
      <c r="D1060" t="s">
        <v>187</v>
      </c>
      <c r="E1060">
        <v>4</v>
      </c>
      <c r="F1060" t="s">
        <v>3517</v>
      </c>
      <c r="G1060" t="s">
        <v>842</v>
      </c>
      <c r="H1060" t="s">
        <v>843</v>
      </c>
      <c r="I1060" t="s">
        <v>844</v>
      </c>
      <c r="J1060">
        <f t="shared" ca="1" si="66"/>
        <v>2020100</v>
      </c>
      <c r="K1060">
        <f t="shared" ca="1" si="67"/>
        <v>76508</v>
      </c>
      <c r="N1060" t="str">
        <f t="shared" si="64"/>
        <v xml:space="preserve">Hartlepool8Multi-Link Reablement &amp; Direct Care and SupportHome-based intermediate care servicesJoint reablement and rehabilitation service (to support discharge) </v>
      </c>
      <c r="O1060" t="s">
        <v>169</v>
      </c>
      <c r="P1060" t="s">
        <v>2195</v>
      </c>
      <c r="Q1060">
        <v>8</v>
      </c>
      <c r="R1060" t="s">
        <v>3185</v>
      </c>
      <c r="S1060" t="s">
        <v>3518</v>
      </c>
      <c r="T1060" t="s">
        <v>787</v>
      </c>
      <c r="U1060" t="s">
        <v>1551</v>
      </c>
      <c r="W1060">
        <v>100</v>
      </c>
      <c r="X1060">
        <v>100</v>
      </c>
      <c r="Y1060" t="s">
        <v>789</v>
      </c>
      <c r="Z1060" t="s">
        <v>792</v>
      </c>
      <c r="AB1060" t="s">
        <v>793</v>
      </c>
      <c r="AD1060" t="s">
        <v>794</v>
      </c>
      <c r="AE1060" t="s">
        <v>795</v>
      </c>
      <c r="AF1060" t="s">
        <v>796</v>
      </c>
      <c r="AG1060" t="s">
        <v>797</v>
      </c>
      <c r="AH1060">
        <v>637844</v>
      </c>
      <c r="AI1060">
        <v>673946</v>
      </c>
      <c r="AJ1060">
        <v>0.01</v>
      </c>
    </row>
    <row r="1061" spans="1:36" x14ac:dyDescent="0.3">
      <c r="A1061">
        <f>COUNTIF($D$2:D1061,D1061)</f>
        <v>2</v>
      </c>
      <c r="B1061" t="str">
        <f t="shared" si="65"/>
        <v>2Kent</v>
      </c>
      <c r="C1061" t="s">
        <v>3519</v>
      </c>
      <c r="D1061" t="s">
        <v>187</v>
      </c>
      <c r="E1061">
        <v>6</v>
      </c>
      <c r="F1061" t="s">
        <v>3520</v>
      </c>
      <c r="G1061" t="s">
        <v>877</v>
      </c>
      <c r="H1061" t="s">
        <v>968</v>
      </c>
      <c r="I1061" t="s">
        <v>879</v>
      </c>
      <c r="J1061">
        <f t="shared" ca="1" si="66"/>
        <v>6020600</v>
      </c>
      <c r="K1061">
        <f t="shared" ca="1" si="67"/>
        <v>5000</v>
      </c>
      <c r="N1061" t="str">
        <f t="shared" si="64"/>
        <v>Hartlepool10Transitional CareBed based intermediate Care Services (Reablement, rehabilitation, wider short-term services supporting recovery)Bed-based intermediate care with reablement (to support discharge)</v>
      </c>
      <c r="O1061" t="s">
        <v>169</v>
      </c>
      <c r="P1061" t="s">
        <v>2195</v>
      </c>
      <c r="Q1061">
        <v>10</v>
      </c>
      <c r="R1061" t="s">
        <v>3188</v>
      </c>
      <c r="S1061" t="s">
        <v>3521</v>
      </c>
      <c r="T1061" t="s">
        <v>877</v>
      </c>
      <c r="U1061" t="s">
        <v>878</v>
      </c>
      <c r="W1061">
        <v>195</v>
      </c>
      <c r="X1061">
        <v>200</v>
      </c>
      <c r="Y1061" t="s">
        <v>879</v>
      </c>
      <c r="Z1061" t="s">
        <v>792</v>
      </c>
      <c r="AB1061" t="s">
        <v>1739</v>
      </c>
      <c r="AC1061">
        <v>0.5</v>
      </c>
      <c r="AD1061">
        <v>0.5</v>
      </c>
      <c r="AE1061" t="s">
        <v>804</v>
      </c>
      <c r="AF1061" t="s">
        <v>796</v>
      </c>
      <c r="AG1061" t="s">
        <v>797</v>
      </c>
      <c r="AH1061">
        <v>737233</v>
      </c>
      <c r="AI1061">
        <v>778960</v>
      </c>
      <c r="AJ1061">
        <v>1</v>
      </c>
    </row>
    <row r="1062" spans="1:36" x14ac:dyDescent="0.3">
      <c r="A1062">
        <f>COUNTIF($D$2:D1062,D1062)</f>
        <v>3</v>
      </c>
      <c r="B1062" t="str">
        <f t="shared" si="65"/>
        <v>3Kent</v>
      </c>
      <c r="C1062" t="s">
        <v>3522</v>
      </c>
      <c r="D1062" t="s">
        <v>187</v>
      </c>
      <c r="E1062">
        <v>7</v>
      </c>
      <c r="F1062" t="s">
        <v>3523</v>
      </c>
      <c r="G1062" t="s">
        <v>806</v>
      </c>
      <c r="H1062" t="s">
        <v>807</v>
      </c>
      <c r="I1062" t="s">
        <v>808</v>
      </c>
      <c r="J1062">
        <f t="shared" ca="1" si="66"/>
        <v>13642471</v>
      </c>
      <c r="K1062">
        <f t="shared" ca="1" si="67"/>
        <v>321</v>
      </c>
      <c r="N1062" t="str">
        <f t="shared" si="64"/>
        <v>Hartlepool13Telecare Expansion Assistive Technologies and EquipmentAssistive technologies including telecare</v>
      </c>
      <c r="O1062" t="s">
        <v>169</v>
      </c>
      <c r="P1062" t="s">
        <v>2195</v>
      </c>
      <c r="Q1062">
        <v>13</v>
      </c>
      <c r="R1062" t="s">
        <v>3191</v>
      </c>
      <c r="S1062" t="s">
        <v>3524</v>
      </c>
      <c r="T1062" t="s">
        <v>800</v>
      </c>
      <c r="U1062" t="s">
        <v>850</v>
      </c>
      <c r="W1062">
        <v>3100</v>
      </c>
      <c r="X1062">
        <v>3100</v>
      </c>
      <c r="Y1062" t="s">
        <v>802</v>
      </c>
      <c r="Z1062" t="s">
        <v>792</v>
      </c>
      <c r="AB1062" t="s">
        <v>793</v>
      </c>
      <c r="AD1062" t="s">
        <v>794</v>
      </c>
      <c r="AE1062" t="s">
        <v>795</v>
      </c>
      <c r="AF1062" t="s">
        <v>796</v>
      </c>
      <c r="AG1062" t="s">
        <v>797</v>
      </c>
      <c r="AH1062">
        <v>158905</v>
      </c>
      <c r="AI1062">
        <v>167899</v>
      </c>
      <c r="AJ1062">
        <v>0.08</v>
      </c>
    </row>
    <row r="1063" spans="1:36" x14ac:dyDescent="0.3">
      <c r="A1063">
        <f>COUNTIF($D$2:D1063,D1063)</f>
        <v>4</v>
      </c>
      <c r="B1063" t="str">
        <f t="shared" si="65"/>
        <v>4Kent</v>
      </c>
      <c r="C1063" t="s">
        <v>3525</v>
      </c>
      <c r="D1063" t="s">
        <v>187</v>
      </c>
      <c r="E1063">
        <v>8</v>
      </c>
      <c r="F1063" t="s">
        <v>3526</v>
      </c>
      <c r="G1063" t="s">
        <v>806</v>
      </c>
      <c r="H1063" t="s">
        <v>917</v>
      </c>
      <c r="I1063" t="s">
        <v>808</v>
      </c>
      <c r="J1063">
        <f t="shared" ca="1" si="66"/>
        <v>6167100</v>
      </c>
      <c r="K1063">
        <f t="shared" ca="1" si="67"/>
        <v>117</v>
      </c>
      <c r="N1063" t="str">
        <f t="shared" si="64"/>
        <v>Hartlepool14Winter Pressures - Home CareHome Care or Domiciliary CareDomiciliary care to support hospital discharge (Discharge to Assess pathway 1)</v>
      </c>
      <c r="O1063" t="s">
        <v>169</v>
      </c>
      <c r="P1063" t="s">
        <v>2195</v>
      </c>
      <c r="Q1063">
        <v>14</v>
      </c>
      <c r="R1063" t="s">
        <v>3194</v>
      </c>
      <c r="S1063" t="s">
        <v>3527</v>
      </c>
      <c r="T1063" t="s">
        <v>842</v>
      </c>
      <c r="U1063" t="s">
        <v>856</v>
      </c>
      <c r="W1063">
        <v>3200</v>
      </c>
      <c r="X1063">
        <v>3200</v>
      </c>
      <c r="Y1063" t="s">
        <v>844</v>
      </c>
      <c r="Z1063" t="s">
        <v>792</v>
      </c>
      <c r="AB1063" t="s">
        <v>793</v>
      </c>
      <c r="AD1063" t="s">
        <v>794</v>
      </c>
      <c r="AE1063" t="s">
        <v>804</v>
      </c>
      <c r="AF1063" t="s">
        <v>796</v>
      </c>
      <c r="AG1063" t="s">
        <v>797</v>
      </c>
      <c r="AH1063">
        <v>69318</v>
      </c>
      <c r="AI1063">
        <v>73241</v>
      </c>
      <c r="AJ1063">
        <v>0.02</v>
      </c>
    </row>
    <row r="1064" spans="1:36" x14ac:dyDescent="0.3">
      <c r="A1064">
        <f>COUNTIF($D$2:D1064,D1064)</f>
        <v>5</v>
      </c>
      <c r="B1064" t="str">
        <f t="shared" si="65"/>
        <v>5Kent</v>
      </c>
      <c r="C1064" t="s">
        <v>3528</v>
      </c>
      <c r="D1064" t="s">
        <v>187</v>
      </c>
      <c r="E1064">
        <v>11</v>
      </c>
      <c r="F1064" t="s">
        <v>3520</v>
      </c>
      <c r="G1064" t="s">
        <v>877</v>
      </c>
      <c r="H1064" t="s">
        <v>968</v>
      </c>
      <c r="I1064" t="s">
        <v>879</v>
      </c>
      <c r="J1064">
        <f t="shared" ca="1" si="66"/>
        <v>3116700</v>
      </c>
      <c r="K1064">
        <f t="shared" ca="1" si="67"/>
        <v>619</v>
      </c>
      <c r="N1064" t="str">
        <f t="shared" si="64"/>
        <v>Hartlepool27Carers SupportCarers ServicesOther</v>
      </c>
      <c r="O1064" t="s">
        <v>169</v>
      </c>
      <c r="P1064" t="s">
        <v>2195</v>
      </c>
      <c r="Q1064">
        <v>27</v>
      </c>
      <c r="R1064" t="s">
        <v>1781</v>
      </c>
      <c r="S1064" t="s">
        <v>3529</v>
      </c>
      <c r="T1064" t="s">
        <v>811</v>
      </c>
      <c r="U1064" t="s">
        <v>812</v>
      </c>
      <c r="V1064" t="s">
        <v>3529</v>
      </c>
      <c r="W1064">
        <v>2000</v>
      </c>
      <c r="X1064">
        <v>2000</v>
      </c>
      <c r="Y1064" t="s">
        <v>813</v>
      </c>
      <c r="Z1064" t="s">
        <v>792</v>
      </c>
      <c r="AB1064" t="s">
        <v>1739</v>
      </c>
      <c r="AC1064">
        <v>0.5</v>
      </c>
      <c r="AD1064">
        <v>0.5</v>
      </c>
      <c r="AE1064" t="s">
        <v>825</v>
      </c>
      <c r="AF1064" t="s">
        <v>796</v>
      </c>
      <c r="AG1064" t="s">
        <v>797</v>
      </c>
      <c r="AH1064">
        <v>223963</v>
      </c>
      <c r="AI1064">
        <v>236639</v>
      </c>
      <c r="AJ1064">
        <v>0.62</v>
      </c>
    </row>
    <row r="1065" spans="1:36" x14ac:dyDescent="0.3">
      <c r="A1065">
        <f>COUNTIF($D$2:D1065,D1065)</f>
        <v>6</v>
      </c>
      <c r="B1065" t="str">
        <f t="shared" si="65"/>
        <v>6Kent</v>
      </c>
      <c r="C1065" t="s">
        <v>3530</v>
      </c>
      <c r="D1065" t="s">
        <v>187</v>
      </c>
      <c r="E1065">
        <v>12</v>
      </c>
      <c r="F1065" t="s">
        <v>3523</v>
      </c>
      <c r="G1065" t="s">
        <v>806</v>
      </c>
      <c r="H1065" t="s">
        <v>807</v>
      </c>
      <c r="I1065" t="s">
        <v>808</v>
      </c>
      <c r="J1065">
        <f t="shared" ca="1" si="66"/>
        <v>272600</v>
      </c>
      <c r="K1065">
        <f t="shared" ca="1" si="67"/>
        <v>5</v>
      </c>
      <c r="N1065" t="str">
        <f t="shared" si="64"/>
        <v>Hartlepool28Carers Support - RespiteCarers ServicesRespite Services</v>
      </c>
      <c r="O1065" t="s">
        <v>169</v>
      </c>
      <c r="P1065" t="s">
        <v>2195</v>
      </c>
      <c r="Q1065">
        <v>28</v>
      </c>
      <c r="R1065" t="s">
        <v>3199</v>
      </c>
      <c r="S1065" t="s">
        <v>3531</v>
      </c>
      <c r="T1065" t="s">
        <v>811</v>
      </c>
      <c r="U1065" t="s">
        <v>2205</v>
      </c>
      <c r="W1065">
        <v>34</v>
      </c>
      <c r="X1065">
        <v>34</v>
      </c>
      <c r="Y1065" t="s">
        <v>813</v>
      </c>
      <c r="Z1065" t="s">
        <v>792</v>
      </c>
      <c r="AB1065" t="s">
        <v>793</v>
      </c>
      <c r="AD1065" t="s">
        <v>794</v>
      </c>
      <c r="AE1065" t="s">
        <v>804</v>
      </c>
      <c r="AF1065" t="s">
        <v>796</v>
      </c>
      <c r="AG1065" t="s">
        <v>797</v>
      </c>
      <c r="AH1065">
        <v>103904</v>
      </c>
      <c r="AI1065">
        <v>109785</v>
      </c>
      <c r="AJ1065">
        <v>0.22</v>
      </c>
    </row>
    <row r="1066" spans="1:36" x14ac:dyDescent="0.3">
      <c r="A1066">
        <f>COUNTIF($D$2:D1066,D1066)</f>
        <v>7</v>
      </c>
      <c r="B1066" t="str">
        <f t="shared" si="65"/>
        <v>7Kent</v>
      </c>
      <c r="C1066" t="s">
        <v>3532</v>
      </c>
      <c r="D1066" t="s">
        <v>187</v>
      </c>
      <c r="E1066">
        <v>13</v>
      </c>
      <c r="F1066" t="s">
        <v>3523</v>
      </c>
      <c r="G1066" t="s">
        <v>806</v>
      </c>
      <c r="H1066" t="s">
        <v>873</v>
      </c>
      <c r="I1066" t="s">
        <v>808</v>
      </c>
      <c r="J1066">
        <f t="shared" ca="1" si="66"/>
        <v>1307400</v>
      </c>
      <c r="K1066">
        <f t="shared" ca="1" si="67"/>
        <v>10</v>
      </c>
      <c r="N1066" t="str">
        <f t="shared" si="64"/>
        <v>Hartlepool29Carers Support - Direct Payments Carers ServicesOther</v>
      </c>
      <c r="O1066" t="s">
        <v>169</v>
      </c>
      <c r="P1066" t="s">
        <v>2195</v>
      </c>
      <c r="Q1066">
        <v>29</v>
      </c>
      <c r="R1066" t="s">
        <v>3202</v>
      </c>
      <c r="S1066" t="s">
        <v>3533</v>
      </c>
      <c r="T1066" t="s">
        <v>811</v>
      </c>
      <c r="U1066" t="s">
        <v>812</v>
      </c>
      <c r="V1066" t="s">
        <v>2810</v>
      </c>
      <c r="W1066">
        <v>275</v>
      </c>
      <c r="X1066">
        <v>275</v>
      </c>
      <c r="Y1066" t="s">
        <v>813</v>
      </c>
      <c r="Z1066" t="s">
        <v>792</v>
      </c>
      <c r="AB1066" t="s">
        <v>793</v>
      </c>
      <c r="AD1066" t="s">
        <v>794</v>
      </c>
      <c r="AE1066" t="s">
        <v>795</v>
      </c>
      <c r="AF1066" t="s">
        <v>796</v>
      </c>
      <c r="AG1066" t="s">
        <v>797</v>
      </c>
      <c r="AH1066">
        <v>116352</v>
      </c>
      <c r="AI1066">
        <v>122938</v>
      </c>
      <c r="AJ1066">
        <v>0.75</v>
      </c>
    </row>
    <row r="1067" spans="1:36" x14ac:dyDescent="0.3">
      <c r="A1067">
        <f>COUNTIF($D$2:D1067,D1067)</f>
        <v>8</v>
      </c>
      <c r="B1067" t="str">
        <f t="shared" si="65"/>
        <v>8Kent</v>
      </c>
      <c r="C1067" t="s">
        <v>3534</v>
      </c>
      <c r="D1067" t="s">
        <v>187</v>
      </c>
      <c r="E1067">
        <v>14</v>
      </c>
      <c r="F1067" t="s">
        <v>1578</v>
      </c>
      <c r="G1067" t="s">
        <v>800</v>
      </c>
      <c r="H1067" t="s">
        <v>850</v>
      </c>
      <c r="I1067" t="s">
        <v>802</v>
      </c>
      <c r="J1067">
        <f t="shared" ca="1" si="66"/>
        <v>509100</v>
      </c>
      <c r="K1067">
        <f t="shared" ca="1" si="67"/>
        <v>1260</v>
      </c>
      <c r="N1067" t="str">
        <f t="shared" si="64"/>
        <v>Hartlepool31Disabled Facility GrantDFG Related SchemesAdaptations, including statutory DFG grants</v>
      </c>
      <c r="O1067" t="s">
        <v>169</v>
      </c>
      <c r="P1067" t="s">
        <v>2195</v>
      </c>
      <c r="Q1067">
        <v>31</v>
      </c>
      <c r="R1067" t="s">
        <v>3205</v>
      </c>
      <c r="S1067" t="s">
        <v>3205</v>
      </c>
      <c r="T1067" t="s">
        <v>834</v>
      </c>
      <c r="U1067" t="s">
        <v>835</v>
      </c>
      <c r="W1067">
        <v>160</v>
      </c>
      <c r="X1067">
        <v>160</v>
      </c>
      <c r="Y1067" t="s">
        <v>836</v>
      </c>
      <c r="Z1067" t="s">
        <v>792</v>
      </c>
      <c r="AB1067" t="s">
        <v>793</v>
      </c>
      <c r="AD1067" t="s">
        <v>794</v>
      </c>
      <c r="AE1067" t="s">
        <v>795</v>
      </c>
      <c r="AF1067" t="s">
        <v>840</v>
      </c>
      <c r="AG1067" t="s">
        <v>797</v>
      </c>
      <c r="AH1067">
        <v>1221874</v>
      </c>
      <c r="AI1067">
        <v>1221874</v>
      </c>
      <c r="AJ1067">
        <v>1</v>
      </c>
    </row>
    <row r="1068" spans="1:36" x14ac:dyDescent="0.3">
      <c r="A1068">
        <f>COUNTIF($D$2:D1068,D1068)</f>
        <v>9</v>
      </c>
      <c r="B1068" t="str">
        <f t="shared" si="65"/>
        <v>9Kent</v>
      </c>
      <c r="C1068" t="s">
        <v>3535</v>
      </c>
      <c r="D1068" t="s">
        <v>187</v>
      </c>
      <c r="E1068">
        <v>15</v>
      </c>
      <c r="F1068" t="s">
        <v>1247</v>
      </c>
      <c r="G1068" t="s">
        <v>834</v>
      </c>
      <c r="H1068" t="s">
        <v>835</v>
      </c>
      <c r="I1068" t="s">
        <v>836</v>
      </c>
      <c r="J1068">
        <f t="shared" ca="1" si="66"/>
        <v>19155883</v>
      </c>
      <c r="K1068">
        <f t="shared" ca="1" si="67"/>
        <v>19411</v>
      </c>
      <c r="N1068" t="str">
        <f t="shared" si="64"/>
        <v>Hartlepool38Disabled Facility Grant (c/f from 22/23)DFG Related SchemesAdaptations, including statutory DFG grants</v>
      </c>
      <c r="O1068" t="s">
        <v>169</v>
      </c>
      <c r="P1068" t="s">
        <v>2195</v>
      </c>
      <c r="Q1068">
        <v>38</v>
      </c>
      <c r="R1068" t="s">
        <v>3207</v>
      </c>
      <c r="S1068" t="s">
        <v>3205</v>
      </c>
      <c r="T1068" t="s">
        <v>834</v>
      </c>
      <c r="U1068" t="s">
        <v>835</v>
      </c>
      <c r="W1068">
        <v>160</v>
      </c>
      <c r="X1068">
        <v>160</v>
      </c>
      <c r="Y1068" t="s">
        <v>836</v>
      </c>
      <c r="Z1068" t="s">
        <v>792</v>
      </c>
      <c r="AB1068" t="s">
        <v>793</v>
      </c>
      <c r="AD1068" t="s">
        <v>794</v>
      </c>
      <c r="AE1068" t="s">
        <v>795</v>
      </c>
      <c r="AF1068" t="s">
        <v>1029</v>
      </c>
      <c r="AG1068" t="s">
        <v>797</v>
      </c>
      <c r="AH1068">
        <v>427603</v>
      </c>
      <c r="AI1068">
        <v>0</v>
      </c>
      <c r="AJ1068">
        <v>1</v>
      </c>
    </row>
    <row r="1069" spans="1:36" x14ac:dyDescent="0.3">
      <c r="A1069">
        <f>COUNTIF($D$2:D1069,D1069)</f>
        <v>10</v>
      </c>
      <c r="B1069" t="str">
        <f t="shared" si="65"/>
        <v>10Kent</v>
      </c>
      <c r="C1069" t="s">
        <v>3536</v>
      </c>
      <c r="D1069" t="s">
        <v>187</v>
      </c>
      <c r="E1069">
        <v>16</v>
      </c>
      <c r="F1069" t="s">
        <v>3517</v>
      </c>
      <c r="G1069" t="s">
        <v>842</v>
      </c>
      <c r="H1069" t="s">
        <v>843</v>
      </c>
      <c r="I1069" t="s">
        <v>844</v>
      </c>
      <c r="J1069">
        <f t="shared" ca="1" si="66"/>
        <v>13405548</v>
      </c>
      <c r="K1069">
        <f t="shared" ca="1" si="67"/>
        <v>507710</v>
      </c>
      <c r="N1069" t="str">
        <f t="shared" si="64"/>
        <v>Hartlepool40Tees Community Equipment Services (TCES)
Assistive Technologies and EquipmentCommunity based equipment</v>
      </c>
      <c r="O1069" t="s">
        <v>169</v>
      </c>
      <c r="P1069" t="s">
        <v>2195</v>
      </c>
      <c r="Q1069">
        <v>40</v>
      </c>
      <c r="R1069" t="s">
        <v>3209</v>
      </c>
      <c r="S1069" t="s">
        <v>3537</v>
      </c>
      <c r="T1069" t="s">
        <v>800</v>
      </c>
      <c r="U1069" t="s">
        <v>903</v>
      </c>
      <c r="W1069">
        <v>2600</v>
      </c>
      <c r="X1069">
        <v>2600</v>
      </c>
      <c r="Y1069" t="s">
        <v>802</v>
      </c>
      <c r="Z1069" t="s">
        <v>792</v>
      </c>
      <c r="AB1069" t="s">
        <v>1739</v>
      </c>
      <c r="AC1069">
        <v>0.5</v>
      </c>
      <c r="AD1069">
        <v>0.5</v>
      </c>
      <c r="AE1069" t="s">
        <v>795</v>
      </c>
      <c r="AF1069" t="s">
        <v>860</v>
      </c>
      <c r="AG1069" t="s">
        <v>861</v>
      </c>
      <c r="AH1069">
        <v>41256</v>
      </c>
      <c r="AI1069">
        <v>55008</v>
      </c>
      <c r="AJ1069">
        <v>0.01</v>
      </c>
    </row>
    <row r="1070" spans="1:36" x14ac:dyDescent="0.3">
      <c r="A1070">
        <f>COUNTIF($D$2:D1070,D1070)</f>
        <v>11</v>
      </c>
      <c r="B1070" t="str">
        <f t="shared" si="65"/>
        <v>11Kent</v>
      </c>
      <c r="C1070" t="s">
        <v>3538</v>
      </c>
      <c r="D1070" t="s">
        <v>187</v>
      </c>
      <c r="E1070">
        <v>18</v>
      </c>
      <c r="F1070" t="s">
        <v>3523</v>
      </c>
      <c r="G1070" t="s">
        <v>806</v>
      </c>
      <c r="H1070" t="s">
        <v>807</v>
      </c>
      <c r="I1070" t="s">
        <v>808</v>
      </c>
      <c r="J1070">
        <f t="shared" ca="1" si="66"/>
        <v>26278161</v>
      </c>
      <c r="K1070">
        <f t="shared" ca="1" si="67"/>
        <v>618</v>
      </c>
      <c r="N1070" t="str">
        <f t="shared" si="64"/>
        <v>Havering11Community Support and IndependenceAssistive Technologies and EquipmentAssistive technologies including telecare</v>
      </c>
      <c r="O1070" t="s">
        <v>171</v>
      </c>
      <c r="P1070" t="s">
        <v>790</v>
      </c>
      <c r="Q1070">
        <v>11</v>
      </c>
      <c r="R1070" t="s">
        <v>3213</v>
      </c>
      <c r="S1070" t="s">
        <v>3539</v>
      </c>
      <c r="T1070" t="s">
        <v>800</v>
      </c>
      <c r="U1070" t="s">
        <v>850</v>
      </c>
      <c r="W1070">
        <v>1794</v>
      </c>
      <c r="X1070">
        <v>1708</v>
      </c>
      <c r="Y1070" t="s">
        <v>802</v>
      </c>
      <c r="Z1070" t="s">
        <v>792</v>
      </c>
      <c r="AB1070" t="s">
        <v>793</v>
      </c>
      <c r="AD1070" t="s">
        <v>794</v>
      </c>
      <c r="AE1070" t="s">
        <v>804</v>
      </c>
      <c r="AF1070" t="s">
        <v>796</v>
      </c>
      <c r="AG1070" t="s">
        <v>797</v>
      </c>
      <c r="AH1070">
        <v>602270</v>
      </c>
      <c r="AI1070">
        <v>602270</v>
      </c>
      <c r="AJ1070">
        <v>0.2</v>
      </c>
    </row>
    <row r="1071" spans="1:36" x14ac:dyDescent="0.3">
      <c r="A1071">
        <f>COUNTIF($D$2:D1071,D1071)</f>
        <v>12</v>
      </c>
      <c r="B1071" t="str">
        <f t="shared" si="65"/>
        <v>12Kent</v>
      </c>
      <c r="C1071" t="s">
        <v>3540</v>
      </c>
      <c r="D1071" t="s">
        <v>187</v>
      </c>
      <c r="E1071">
        <v>19</v>
      </c>
      <c r="F1071" t="s">
        <v>3526</v>
      </c>
      <c r="G1071" t="s">
        <v>806</v>
      </c>
      <c r="H1071" t="s">
        <v>917</v>
      </c>
      <c r="I1071" t="s">
        <v>808</v>
      </c>
      <c r="J1071">
        <f t="shared" ca="1" si="66"/>
        <v>2687731</v>
      </c>
      <c r="K1071">
        <f t="shared" ca="1" si="67"/>
        <v>51</v>
      </c>
      <c r="N1071" t="str">
        <f t="shared" si="64"/>
        <v xml:space="preserve">Havering113Targeted Out of Hospital CareHome-based intermediate care servicesReablement at home (to support discharge) </v>
      </c>
      <c r="O1071" t="s">
        <v>171</v>
      </c>
      <c r="P1071" t="s">
        <v>790</v>
      </c>
      <c r="Q1071">
        <v>113</v>
      </c>
      <c r="R1071" t="s">
        <v>3216</v>
      </c>
      <c r="S1071" t="s">
        <v>3541</v>
      </c>
      <c r="T1071" t="s">
        <v>787</v>
      </c>
      <c r="U1071" t="s">
        <v>788</v>
      </c>
      <c r="W1071">
        <v>641</v>
      </c>
      <c r="X1071">
        <v>609</v>
      </c>
      <c r="Y1071" t="s">
        <v>789</v>
      </c>
      <c r="Z1071" t="s">
        <v>792</v>
      </c>
      <c r="AB1071" t="s">
        <v>793</v>
      </c>
      <c r="AD1071" t="s">
        <v>794</v>
      </c>
      <c r="AE1071" t="s">
        <v>804</v>
      </c>
      <c r="AF1071" t="s">
        <v>796</v>
      </c>
      <c r="AG1071" t="s">
        <v>797</v>
      </c>
      <c r="AH1071">
        <v>1244150</v>
      </c>
      <c r="AI1071">
        <v>1244150</v>
      </c>
      <c r="AJ1071">
        <v>0.32</v>
      </c>
    </row>
    <row r="1072" spans="1:36" x14ac:dyDescent="0.3">
      <c r="A1072">
        <f>COUNTIF($D$2:D1072,D1072)</f>
        <v>13</v>
      </c>
      <c r="B1072" t="str">
        <f t="shared" si="65"/>
        <v>13Kent</v>
      </c>
      <c r="C1072" t="s">
        <v>3542</v>
      </c>
      <c r="D1072" t="s">
        <v>187</v>
      </c>
      <c r="E1072">
        <v>20</v>
      </c>
      <c r="F1072" t="s">
        <v>3543</v>
      </c>
      <c r="G1072" t="s">
        <v>806</v>
      </c>
      <c r="H1072" t="s">
        <v>873</v>
      </c>
      <c r="I1072" t="s">
        <v>808</v>
      </c>
      <c r="J1072">
        <f t="shared" ca="1" si="66"/>
        <v>163600</v>
      </c>
      <c r="K1072">
        <f t="shared" ca="1" si="67"/>
        <v>15</v>
      </c>
      <c r="N1072" t="str">
        <f t="shared" si="64"/>
        <v>Havering156Community Support and IndependenceCarers ServicesRespite services</v>
      </c>
      <c r="O1072" t="s">
        <v>171</v>
      </c>
      <c r="P1072" t="s">
        <v>790</v>
      </c>
      <c r="Q1072">
        <v>156</v>
      </c>
      <c r="R1072" t="s">
        <v>3213</v>
      </c>
      <c r="S1072" t="s">
        <v>3544</v>
      </c>
      <c r="T1072" t="s">
        <v>811</v>
      </c>
      <c r="U1072" t="s">
        <v>830</v>
      </c>
      <c r="W1072">
        <v>103</v>
      </c>
      <c r="X1072">
        <v>98</v>
      </c>
      <c r="Y1072" t="s">
        <v>813</v>
      </c>
      <c r="Z1072" t="s">
        <v>792</v>
      </c>
      <c r="AB1072" t="s">
        <v>793</v>
      </c>
      <c r="AD1072" t="s">
        <v>794</v>
      </c>
      <c r="AE1072" t="s">
        <v>804</v>
      </c>
      <c r="AF1072" t="s">
        <v>796</v>
      </c>
      <c r="AG1072" t="s">
        <v>797</v>
      </c>
      <c r="AH1072">
        <v>479190</v>
      </c>
      <c r="AI1072">
        <v>479190</v>
      </c>
      <c r="AJ1072">
        <v>0.28999999999999998</v>
      </c>
    </row>
    <row r="1073" spans="1:36" x14ac:dyDescent="0.3">
      <c r="A1073">
        <f>COUNTIF($D$2:D1073,D1073)</f>
        <v>14</v>
      </c>
      <c r="B1073" t="str">
        <f t="shared" si="65"/>
        <v>14Kent</v>
      </c>
      <c r="C1073" t="s">
        <v>3545</v>
      </c>
      <c r="D1073" t="s">
        <v>187</v>
      </c>
      <c r="E1073">
        <v>26</v>
      </c>
      <c r="F1073" t="s">
        <v>3546</v>
      </c>
      <c r="G1073" t="s">
        <v>800</v>
      </c>
      <c r="H1073" t="s">
        <v>903</v>
      </c>
      <c r="I1073" t="s">
        <v>802</v>
      </c>
      <c r="J1073">
        <f t="shared" ca="1" si="66"/>
        <v>1619517</v>
      </c>
      <c r="K1073">
        <f t="shared" ca="1" si="67"/>
        <v>29299</v>
      </c>
      <c r="N1073" t="str">
        <f t="shared" si="64"/>
        <v>Havering904Targeted Out of Hospital CareResidential PlacementsSupported housing</v>
      </c>
      <c r="O1073" t="s">
        <v>171</v>
      </c>
      <c r="P1073" t="s">
        <v>790</v>
      </c>
      <c r="Q1073">
        <v>904</v>
      </c>
      <c r="R1073" t="s">
        <v>3216</v>
      </c>
      <c r="S1073" t="s">
        <v>872</v>
      </c>
      <c r="T1073" t="s">
        <v>806</v>
      </c>
      <c r="U1073" t="s">
        <v>873</v>
      </c>
      <c r="W1073">
        <v>3</v>
      </c>
      <c r="X1073">
        <v>3</v>
      </c>
      <c r="Y1073" t="s">
        <v>808</v>
      </c>
      <c r="Z1073" t="s">
        <v>792</v>
      </c>
      <c r="AB1073" t="s">
        <v>793</v>
      </c>
      <c r="AD1073" t="s">
        <v>794</v>
      </c>
      <c r="AE1073" t="s">
        <v>804</v>
      </c>
      <c r="AF1073" t="s">
        <v>796</v>
      </c>
      <c r="AG1073" t="s">
        <v>797</v>
      </c>
      <c r="AH1073">
        <v>217914</v>
      </c>
      <c r="AI1073">
        <v>217914</v>
      </c>
      <c r="AJ1073">
        <v>0</v>
      </c>
    </row>
    <row r="1074" spans="1:36" x14ac:dyDescent="0.3">
      <c r="A1074">
        <f>COUNTIF($D$2:D1074,D1074)</f>
        <v>15</v>
      </c>
      <c r="B1074" t="str">
        <f t="shared" si="65"/>
        <v>15Kent</v>
      </c>
      <c r="C1074" t="s">
        <v>3547</v>
      </c>
      <c r="D1074" t="s">
        <v>187</v>
      </c>
      <c r="E1074">
        <v>27</v>
      </c>
      <c r="F1074" t="s">
        <v>3548</v>
      </c>
      <c r="G1074" t="s">
        <v>800</v>
      </c>
      <c r="H1074" t="s">
        <v>903</v>
      </c>
      <c r="I1074" t="s">
        <v>802</v>
      </c>
      <c r="J1074">
        <f t="shared" ca="1" si="66"/>
        <v>12600117</v>
      </c>
      <c r="K1074">
        <f t="shared" ca="1" si="67"/>
        <v>8834</v>
      </c>
      <c r="N1074" t="str">
        <f t="shared" si="64"/>
        <v>Havering702Targeted Out of Hospital CareResidential PlacementsNursing home</v>
      </c>
      <c r="O1074" t="s">
        <v>171</v>
      </c>
      <c r="P1074" t="s">
        <v>790</v>
      </c>
      <c r="Q1074">
        <v>702</v>
      </c>
      <c r="R1074" t="s">
        <v>3216</v>
      </c>
      <c r="S1074" t="s">
        <v>3549</v>
      </c>
      <c r="T1074" t="s">
        <v>806</v>
      </c>
      <c r="U1074" t="s">
        <v>917</v>
      </c>
      <c r="W1074">
        <v>8</v>
      </c>
      <c r="X1074">
        <v>7</v>
      </c>
      <c r="Y1074" t="s">
        <v>808</v>
      </c>
      <c r="Z1074" t="s">
        <v>792</v>
      </c>
      <c r="AB1074" t="s">
        <v>793</v>
      </c>
      <c r="AD1074" t="s">
        <v>794</v>
      </c>
      <c r="AE1074" t="s">
        <v>804</v>
      </c>
      <c r="AF1074" t="s">
        <v>796</v>
      </c>
      <c r="AG1074" t="s">
        <v>797</v>
      </c>
      <c r="AH1074">
        <v>421318</v>
      </c>
      <c r="AI1074">
        <v>421318</v>
      </c>
      <c r="AJ1074">
        <v>0.01</v>
      </c>
    </row>
    <row r="1075" spans="1:36" x14ac:dyDescent="0.3">
      <c r="A1075">
        <f>COUNTIF($D$2:D1075,D1075)</f>
        <v>16</v>
      </c>
      <c r="B1075" t="str">
        <f t="shared" si="65"/>
        <v>16Kent</v>
      </c>
      <c r="C1075" t="s">
        <v>3550</v>
      </c>
      <c r="D1075" t="s">
        <v>187</v>
      </c>
      <c r="E1075">
        <v>28</v>
      </c>
      <c r="F1075" t="s">
        <v>1834</v>
      </c>
      <c r="G1075" t="s">
        <v>811</v>
      </c>
      <c r="H1075" t="s">
        <v>830</v>
      </c>
      <c r="I1075" t="s">
        <v>813</v>
      </c>
      <c r="J1075">
        <f t="shared" ca="1" si="66"/>
        <v>428293</v>
      </c>
      <c r="K1075">
        <f t="shared" ca="1" si="67"/>
        <v>52</v>
      </c>
      <c r="N1075" t="str">
        <f t="shared" si="64"/>
        <v xml:space="preserve">Havering113Targeted Out of Hospital CareHome-based intermediate care servicesReablement at home (to support discharge) </v>
      </c>
      <c r="O1075" t="s">
        <v>171</v>
      </c>
      <c r="P1075" t="s">
        <v>790</v>
      </c>
      <c r="Q1075">
        <v>113</v>
      </c>
      <c r="R1075" t="s">
        <v>3216</v>
      </c>
      <c r="S1075" t="s">
        <v>3541</v>
      </c>
      <c r="T1075" t="s">
        <v>787</v>
      </c>
      <c r="U1075" t="s">
        <v>788</v>
      </c>
      <c r="W1075">
        <v>450</v>
      </c>
      <c r="X1075">
        <v>428</v>
      </c>
      <c r="Y1075" t="s">
        <v>789</v>
      </c>
      <c r="Z1075" t="s">
        <v>792</v>
      </c>
      <c r="AB1075" t="s">
        <v>793</v>
      </c>
      <c r="AD1075" t="s">
        <v>794</v>
      </c>
      <c r="AE1075" t="s">
        <v>795</v>
      </c>
      <c r="AF1075" t="s">
        <v>1029</v>
      </c>
      <c r="AG1075" t="s">
        <v>797</v>
      </c>
      <c r="AH1075">
        <v>873730</v>
      </c>
      <c r="AI1075">
        <v>873730</v>
      </c>
      <c r="AJ1075">
        <v>0.22</v>
      </c>
    </row>
    <row r="1076" spans="1:36" x14ac:dyDescent="0.3">
      <c r="A1076">
        <f>COUNTIF($D$2:D1076,D1076)</f>
        <v>17</v>
      </c>
      <c r="B1076" t="str">
        <f t="shared" si="65"/>
        <v>17Kent</v>
      </c>
      <c r="C1076" t="s">
        <v>3551</v>
      </c>
      <c r="D1076" t="s">
        <v>187</v>
      </c>
      <c r="E1076">
        <v>29</v>
      </c>
      <c r="F1076" t="s">
        <v>3552</v>
      </c>
      <c r="G1076" t="s">
        <v>877</v>
      </c>
      <c r="H1076" t="s">
        <v>1259</v>
      </c>
      <c r="I1076" t="s">
        <v>879</v>
      </c>
      <c r="J1076">
        <f t="shared" ca="1" si="66"/>
        <v>1244065</v>
      </c>
      <c r="K1076">
        <f t="shared" ca="1" si="67"/>
        <v>29</v>
      </c>
      <c r="N1076" t="str">
        <f t="shared" si="64"/>
        <v>Havering704Targeted Out of Hospital CareHome Care or Domiciliary CareDomiciliary care packages</v>
      </c>
      <c r="O1076" t="s">
        <v>171</v>
      </c>
      <c r="P1076" t="s">
        <v>790</v>
      </c>
      <c r="Q1076">
        <v>704</v>
      </c>
      <c r="R1076" t="s">
        <v>3216</v>
      </c>
      <c r="S1076" t="s">
        <v>843</v>
      </c>
      <c r="T1076" t="s">
        <v>842</v>
      </c>
      <c r="U1076" t="s">
        <v>843</v>
      </c>
      <c r="W1076">
        <v>9158</v>
      </c>
      <c r="X1076">
        <v>8721</v>
      </c>
      <c r="Y1076" t="s">
        <v>844</v>
      </c>
      <c r="Z1076" t="s">
        <v>792</v>
      </c>
      <c r="AB1076" t="s">
        <v>793</v>
      </c>
      <c r="AD1076" t="s">
        <v>794</v>
      </c>
      <c r="AE1076" t="s">
        <v>795</v>
      </c>
      <c r="AF1076" t="s">
        <v>845</v>
      </c>
      <c r="AG1076" t="s">
        <v>797</v>
      </c>
      <c r="AH1076">
        <v>200000</v>
      </c>
      <c r="AI1076">
        <v>200000</v>
      </c>
      <c r="AJ1076">
        <v>0.01</v>
      </c>
    </row>
    <row r="1077" spans="1:36" x14ac:dyDescent="0.3">
      <c r="A1077">
        <f>COUNTIF($D$2:D1077,D1077)</f>
        <v>18</v>
      </c>
      <c r="B1077" t="str">
        <f t="shared" si="65"/>
        <v>18Kent</v>
      </c>
      <c r="C1077" t="s">
        <v>3553</v>
      </c>
      <c r="D1077" t="s">
        <v>187</v>
      </c>
      <c r="E1077">
        <v>30</v>
      </c>
      <c r="F1077" t="s">
        <v>3554</v>
      </c>
      <c r="G1077" t="s">
        <v>877</v>
      </c>
      <c r="H1077" t="s">
        <v>1259</v>
      </c>
      <c r="I1077" t="s">
        <v>879</v>
      </c>
      <c r="J1077">
        <f t="shared" ca="1" si="66"/>
        <v>659720</v>
      </c>
      <c r="K1077">
        <f t="shared" ca="1" si="67"/>
        <v>15</v>
      </c>
      <c r="N1077" t="str">
        <f t="shared" si="64"/>
        <v>Havering801Targeted Out of Hospital CareHome Care or Domiciliary CareDomiciliary care packages</v>
      </c>
      <c r="O1077" t="s">
        <v>171</v>
      </c>
      <c r="P1077" t="s">
        <v>790</v>
      </c>
      <c r="Q1077">
        <v>801</v>
      </c>
      <c r="R1077" t="s">
        <v>3216</v>
      </c>
      <c r="S1077" t="s">
        <v>3555</v>
      </c>
      <c r="T1077" t="s">
        <v>842</v>
      </c>
      <c r="U1077" t="s">
        <v>843</v>
      </c>
      <c r="W1077">
        <v>99316</v>
      </c>
      <c r="X1077">
        <v>94587</v>
      </c>
      <c r="Y1077" t="s">
        <v>844</v>
      </c>
      <c r="Z1077" t="s">
        <v>792</v>
      </c>
      <c r="AB1077" t="s">
        <v>793</v>
      </c>
      <c r="AD1077" t="s">
        <v>794</v>
      </c>
      <c r="AE1077" t="s">
        <v>804</v>
      </c>
      <c r="AF1077" t="s">
        <v>845</v>
      </c>
      <c r="AG1077" t="s">
        <v>797</v>
      </c>
      <c r="AH1077">
        <v>2169071</v>
      </c>
      <c r="AI1077">
        <v>2169071</v>
      </c>
      <c r="AJ1077">
        <v>0.12</v>
      </c>
    </row>
    <row r="1078" spans="1:36" x14ac:dyDescent="0.3">
      <c r="A1078">
        <f>COUNTIF($D$2:D1078,D1078)</f>
        <v>19</v>
      </c>
      <c r="B1078" t="str">
        <f t="shared" si="65"/>
        <v>19Kent</v>
      </c>
      <c r="C1078" t="s">
        <v>3556</v>
      </c>
      <c r="D1078" t="s">
        <v>187</v>
      </c>
      <c r="E1078">
        <v>36</v>
      </c>
      <c r="F1078" t="s">
        <v>3557</v>
      </c>
      <c r="G1078" t="s">
        <v>842</v>
      </c>
      <c r="H1078" t="s">
        <v>843</v>
      </c>
      <c r="I1078" t="s">
        <v>844</v>
      </c>
      <c r="J1078">
        <f t="shared" ca="1" si="66"/>
        <v>1563429</v>
      </c>
      <c r="K1078">
        <f t="shared" ca="1" si="67"/>
        <v>1950</v>
      </c>
      <c r="N1078" t="str">
        <f t="shared" si="64"/>
        <v>Havering124Targeted Out of Hospital CareResidential PlacementsNursing home</v>
      </c>
      <c r="O1078" t="s">
        <v>171</v>
      </c>
      <c r="P1078" t="s">
        <v>790</v>
      </c>
      <c r="Q1078">
        <v>124</v>
      </c>
      <c r="R1078" t="s">
        <v>3216</v>
      </c>
      <c r="S1078" t="s">
        <v>3558</v>
      </c>
      <c r="T1078" t="s">
        <v>806</v>
      </c>
      <c r="U1078" t="s">
        <v>917</v>
      </c>
      <c r="W1078">
        <v>23</v>
      </c>
      <c r="X1078">
        <v>21</v>
      </c>
      <c r="Y1078" t="s">
        <v>808</v>
      </c>
      <c r="Z1078" t="s">
        <v>792</v>
      </c>
      <c r="AB1078" t="s">
        <v>793</v>
      </c>
      <c r="AD1078" t="s">
        <v>794</v>
      </c>
      <c r="AE1078" t="s">
        <v>804</v>
      </c>
      <c r="AF1078" t="s">
        <v>845</v>
      </c>
      <c r="AG1078" t="s">
        <v>797</v>
      </c>
      <c r="AH1078">
        <v>1255908</v>
      </c>
      <c r="AI1078">
        <v>1255908</v>
      </c>
      <c r="AJ1078">
        <v>0.03</v>
      </c>
    </row>
    <row r="1079" spans="1:36" x14ac:dyDescent="0.3">
      <c r="A1079">
        <f>COUNTIF($D$2:D1079,D1079)</f>
        <v>20</v>
      </c>
      <c r="B1079" t="str">
        <f t="shared" si="65"/>
        <v>20Kent</v>
      </c>
      <c r="C1079" t="s">
        <v>3559</v>
      </c>
      <c r="D1079" t="s">
        <v>187</v>
      </c>
      <c r="E1079">
        <v>38</v>
      </c>
      <c r="F1079" t="s">
        <v>3560</v>
      </c>
      <c r="G1079" t="s">
        <v>877</v>
      </c>
      <c r="H1079" t="s">
        <v>968</v>
      </c>
      <c r="I1079" t="s">
        <v>879</v>
      </c>
      <c r="J1079">
        <f t="shared" ca="1" si="66"/>
        <v>3884059</v>
      </c>
      <c r="K1079">
        <f t="shared" ca="1" si="67"/>
        <v>852</v>
      </c>
      <c r="N1079" t="str">
        <f t="shared" si="64"/>
        <v>Havering152Targeted Out of Hospital CareResidential PlacementsSupported housing</v>
      </c>
      <c r="O1079" t="s">
        <v>171</v>
      </c>
      <c r="P1079" t="s">
        <v>790</v>
      </c>
      <c r="Q1079">
        <v>152</v>
      </c>
      <c r="R1079" t="s">
        <v>3216</v>
      </c>
      <c r="S1079" t="s">
        <v>3561</v>
      </c>
      <c r="T1079" t="s">
        <v>806</v>
      </c>
      <c r="U1079" t="s">
        <v>873</v>
      </c>
      <c r="W1079">
        <v>1</v>
      </c>
      <c r="X1079">
        <v>1</v>
      </c>
      <c r="Y1079" t="s">
        <v>808</v>
      </c>
      <c r="Z1079" t="s">
        <v>792</v>
      </c>
      <c r="AB1079" t="s">
        <v>793</v>
      </c>
      <c r="AD1079" t="s">
        <v>794</v>
      </c>
      <c r="AE1079" t="s">
        <v>804</v>
      </c>
      <c r="AF1079" t="s">
        <v>845</v>
      </c>
      <c r="AG1079" t="s">
        <v>797</v>
      </c>
      <c r="AH1079">
        <v>66000</v>
      </c>
      <c r="AI1079">
        <v>66000</v>
      </c>
      <c r="AJ1079">
        <v>0</v>
      </c>
    </row>
    <row r="1080" spans="1:36" x14ac:dyDescent="0.3">
      <c r="A1080">
        <f>COUNTIF($D$2:D1080,D1080)</f>
        <v>21</v>
      </c>
      <c r="B1080" t="str">
        <f t="shared" si="65"/>
        <v>21Kent</v>
      </c>
      <c r="C1080" t="s">
        <v>3562</v>
      </c>
      <c r="D1080" t="s">
        <v>187</v>
      </c>
      <c r="E1080">
        <v>40</v>
      </c>
      <c r="F1080" t="s">
        <v>964</v>
      </c>
      <c r="G1080" t="s">
        <v>877</v>
      </c>
      <c r="H1080" t="s">
        <v>1259</v>
      </c>
      <c r="I1080" t="s">
        <v>879</v>
      </c>
      <c r="J1080">
        <f t="shared" ca="1" si="66"/>
        <v>3112376</v>
      </c>
      <c r="K1080">
        <f t="shared" ca="1" si="67"/>
        <v>683</v>
      </c>
      <c r="N1080" t="str">
        <f t="shared" si="64"/>
        <v>Havering154Targeted Out of Hospital CareResidential PlacementsCare home</v>
      </c>
      <c r="O1080" t="s">
        <v>171</v>
      </c>
      <c r="P1080" t="s">
        <v>790</v>
      </c>
      <c r="Q1080">
        <v>154</v>
      </c>
      <c r="R1080" t="s">
        <v>3216</v>
      </c>
      <c r="S1080" t="s">
        <v>3563</v>
      </c>
      <c r="T1080" t="s">
        <v>806</v>
      </c>
      <c r="U1080" t="s">
        <v>807</v>
      </c>
      <c r="W1080">
        <v>4</v>
      </c>
      <c r="X1080">
        <v>3</v>
      </c>
      <c r="Y1080" t="s">
        <v>808</v>
      </c>
      <c r="Z1080" t="s">
        <v>792</v>
      </c>
      <c r="AB1080" t="s">
        <v>793</v>
      </c>
      <c r="AD1080" t="s">
        <v>794</v>
      </c>
      <c r="AE1080" t="s">
        <v>804</v>
      </c>
      <c r="AF1080" t="s">
        <v>845</v>
      </c>
      <c r="AG1080" t="s">
        <v>797</v>
      </c>
      <c r="AH1080">
        <v>239400</v>
      </c>
      <c r="AI1080">
        <v>239400</v>
      </c>
      <c r="AJ1080">
        <v>0.01</v>
      </c>
    </row>
    <row r="1081" spans="1:36" x14ac:dyDescent="0.3">
      <c r="A1081">
        <f>COUNTIF($D$2:D1081,D1081)</f>
        <v>22</v>
      </c>
      <c r="B1081" t="str">
        <f t="shared" si="65"/>
        <v>22Kent</v>
      </c>
      <c r="C1081" t="s">
        <v>3564</v>
      </c>
      <c r="D1081" t="s">
        <v>187</v>
      </c>
      <c r="E1081">
        <v>42</v>
      </c>
      <c r="F1081" t="s">
        <v>3565</v>
      </c>
      <c r="G1081" t="s">
        <v>877</v>
      </c>
      <c r="H1081" t="s">
        <v>1259</v>
      </c>
      <c r="I1081" t="s">
        <v>879</v>
      </c>
      <c r="J1081">
        <f t="shared" ca="1" si="66"/>
        <v>8893241</v>
      </c>
      <c r="K1081">
        <f t="shared" ca="1" si="67"/>
        <v>1951</v>
      </c>
      <c r="N1081" t="str">
        <f t="shared" si="64"/>
        <v>Havering155Targeted Out of Hospital CareResidential PlacementsNursing home</v>
      </c>
      <c r="O1081" t="s">
        <v>171</v>
      </c>
      <c r="P1081" t="s">
        <v>790</v>
      </c>
      <c r="Q1081">
        <v>155</v>
      </c>
      <c r="R1081" t="s">
        <v>3216</v>
      </c>
      <c r="S1081" t="s">
        <v>3549</v>
      </c>
      <c r="T1081" t="s">
        <v>806</v>
      </c>
      <c r="U1081" t="s">
        <v>917</v>
      </c>
      <c r="W1081">
        <v>6</v>
      </c>
      <c r="X1081">
        <v>6</v>
      </c>
      <c r="Y1081" t="s">
        <v>808</v>
      </c>
      <c r="Z1081" t="s">
        <v>792</v>
      </c>
      <c r="AB1081" t="s">
        <v>793</v>
      </c>
      <c r="AD1081" t="s">
        <v>794</v>
      </c>
      <c r="AE1081" t="s">
        <v>804</v>
      </c>
      <c r="AF1081" t="s">
        <v>845</v>
      </c>
      <c r="AG1081" t="s">
        <v>797</v>
      </c>
      <c r="AH1081">
        <v>351252</v>
      </c>
      <c r="AI1081">
        <v>351252</v>
      </c>
      <c r="AJ1081">
        <v>0.01</v>
      </c>
    </row>
    <row r="1082" spans="1:36" x14ac:dyDescent="0.3">
      <c r="A1082">
        <f>COUNTIF($D$2:D1082,D1082)</f>
        <v>23</v>
      </c>
      <c r="B1082" t="str">
        <f t="shared" si="65"/>
        <v>23Kent</v>
      </c>
      <c r="C1082" t="s">
        <v>3566</v>
      </c>
      <c r="D1082" t="s">
        <v>187</v>
      </c>
      <c r="E1082">
        <v>43</v>
      </c>
      <c r="F1082" t="s">
        <v>3567</v>
      </c>
      <c r="G1082" t="s">
        <v>787</v>
      </c>
      <c r="H1082" t="s">
        <v>788</v>
      </c>
      <c r="I1082" t="s">
        <v>789</v>
      </c>
      <c r="J1082">
        <f t="shared" ca="1" si="66"/>
        <v>1184976</v>
      </c>
      <c r="K1082">
        <f t="shared" ca="1" si="67"/>
        <v>260</v>
      </c>
      <c r="N1082" t="str">
        <f t="shared" si="64"/>
        <v>Havering154Targeted Out of Hospital CareResidential PlacementsCare home</v>
      </c>
      <c r="O1082" t="s">
        <v>171</v>
      </c>
      <c r="P1082" t="s">
        <v>790</v>
      </c>
      <c r="Q1082">
        <v>154</v>
      </c>
      <c r="R1082" t="s">
        <v>3216</v>
      </c>
      <c r="S1082" t="s">
        <v>3563</v>
      </c>
      <c r="T1082" t="s">
        <v>806</v>
      </c>
      <c r="U1082" t="s">
        <v>807</v>
      </c>
      <c r="W1082">
        <v>2</v>
      </c>
      <c r="X1082">
        <v>2</v>
      </c>
      <c r="Y1082" t="s">
        <v>808</v>
      </c>
      <c r="Z1082" t="s">
        <v>792</v>
      </c>
      <c r="AB1082" t="s">
        <v>793</v>
      </c>
      <c r="AD1082" t="s">
        <v>794</v>
      </c>
      <c r="AE1082" t="s">
        <v>804</v>
      </c>
      <c r="AF1082" t="s">
        <v>845</v>
      </c>
      <c r="AG1082" t="s">
        <v>797</v>
      </c>
      <c r="AH1082">
        <v>130739</v>
      </c>
      <c r="AI1082">
        <v>130739</v>
      </c>
      <c r="AJ1082">
        <v>0</v>
      </c>
    </row>
    <row r="1083" spans="1:36" x14ac:dyDescent="0.3">
      <c r="A1083">
        <f>COUNTIF($D$2:D1083,D1083)</f>
        <v>24</v>
      </c>
      <c r="B1083" t="str">
        <f t="shared" si="65"/>
        <v>24Kent</v>
      </c>
      <c r="C1083" t="s">
        <v>3568</v>
      </c>
      <c r="D1083" t="s">
        <v>187</v>
      </c>
      <c r="E1083">
        <v>46</v>
      </c>
      <c r="F1083" t="s">
        <v>3569</v>
      </c>
      <c r="G1083" t="s">
        <v>787</v>
      </c>
      <c r="H1083" t="s">
        <v>930</v>
      </c>
      <c r="I1083" t="s">
        <v>789</v>
      </c>
      <c r="J1083">
        <f t="shared" ca="1" si="66"/>
        <v>2620826</v>
      </c>
      <c r="K1083">
        <f t="shared" ca="1" si="67"/>
        <v>575</v>
      </c>
      <c r="N1083" t="str">
        <f t="shared" si="64"/>
        <v>Havering124Targeted Out of Hospital CareHome Care or Domiciliary CareDomiciliary care packages</v>
      </c>
      <c r="O1083" t="s">
        <v>171</v>
      </c>
      <c r="P1083" t="s">
        <v>790</v>
      </c>
      <c r="Q1083">
        <v>124</v>
      </c>
      <c r="R1083" t="s">
        <v>3216</v>
      </c>
      <c r="S1083" t="s">
        <v>3570</v>
      </c>
      <c r="T1083" t="s">
        <v>842</v>
      </c>
      <c r="U1083" t="s">
        <v>843</v>
      </c>
      <c r="W1083">
        <v>5986</v>
      </c>
      <c r="X1083">
        <v>5701</v>
      </c>
      <c r="Y1083" t="s">
        <v>844</v>
      </c>
      <c r="Z1083" t="s">
        <v>792</v>
      </c>
      <c r="AB1083" t="s">
        <v>793</v>
      </c>
      <c r="AD1083" t="s">
        <v>794</v>
      </c>
      <c r="AE1083" t="s">
        <v>804</v>
      </c>
      <c r="AF1083" t="s">
        <v>845</v>
      </c>
      <c r="AG1083" t="s">
        <v>797</v>
      </c>
      <c r="AH1083">
        <v>130739</v>
      </c>
      <c r="AI1083">
        <v>130739</v>
      </c>
      <c r="AJ1083">
        <v>0.01</v>
      </c>
    </row>
    <row r="1084" spans="1:36" x14ac:dyDescent="0.3">
      <c r="A1084">
        <f>COUNTIF($D$2:D1084,D1084)</f>
        <v>25</v>
      </c>
      <c r="B1084" t="str">
        <f t="shared" si="65"/>
        <v>25Kent</v>
      </c>
      <c r="C1084" t="s">
        <v>3571</v>
      </c>
      <c r="D1084" t="s">
        <v>187</v>
      </c>
      <c r="E1084">
        <v>47</v>
      </c>
      <c r="F1084" t="s">
        <v>1399</v>
      </c>
      <c r="G1084" t="s">
        <v>811</v>
      </c>
      <c r="H1084" t="s">
        <v>830</v>
      </c>
      <c r="I1084" t="s">
        <v>813</v>
      </c>
      <c r="J1084">
        <f t="shared" ca="1" si="66"/>
        <v>1338209</v>
      </c>
      <c r="K1084">
        <f t="shared" ca="1" si="67"/>
        <v>52</v>
      </c>
      <c r="N1084" t="str">
        <f t="shared" si="64"/>
        <v>Havering801Targeted Out of Hospital CareHome Care or Domiciliary CareDomiciliary care packages</v>
      </c>
      <c r="O1084" t="s">
        <v>171</v>
      </c>
      <c r="P1084" t="s">
        <v>790</v>
      </c>
      <c r="Q1084">
        <v>801</v>
      </c>
      <c r="R1084" t="s">
        <v>3216</v>
      </c>
      <c r="S1084" t="s">
        <v>3555</v>
      </c>
      <c r="T1084" t="s">
        <v>842</v>
      </c>
      <c r="U1084" t="s">
        <v>843</v>
      </c>
      <c r="W1084">
        <v>25326</v>
      </c>
      <c r="X1084">
        <v>24120</v>
      </c>
      <c r="Y1084" t="s">
        <v>844</v>
      </c>
      <c r="Z1084" t="s">
        <v>792</v>
      </c>
      <c r="AB1084" t="s">
        <v>793</v>
      </c>
      <c r="AD1084" t="s">
        <v>794</v>
      </c>
      <c r="AE1084" t="s">
        <v>832</v>
      </c>
      <c r="AF1084" t="s">
        <v>845</v>
      </c>
      <c r="AG1084" t="s">
        <v>797</v>
      </c>
      <c r="AH1084">
        <v>553126</v>
      </c>
      <c r="AI1084">
        <v>553126</v>
      </c>
      <c r="AJ1084">
        <v>0.03</v>
      </c>
    </row>
    <row r="1085" spans="1:36" x14ac:dyDescent="0.3">
      <c r="A1085">
        <f>COUNTIF($D$2:D1085,D1085)</f>
        <v>26</v>
      </c>
      <c r="B1085" t="str">
        <f t="shared" si="65"/>
        <v>26Kent</v>
      </c>
      <c r="C1085" t="s">
        <v>3572</v>
      </c>
      <c r="D1085" t="s">
        <v>187</v>
      </c>
      <c r="E1085">
        <v>52</v>
      </c>
      <c r="F1085" t="s">
        <v>3573</v>
      </c>
      <c r="G1085" t="s">
        <v>806</v>
      </c>
      <c r="H1085" t="s">
        <v>934</v>
      </c>
      <c r="I1085" t="s">
        <v>808</v>
      </c>
      <c r="J1085">
        <f t="shared" ca="1" si="66"/>
        <v>8102868</v>
      </c>
      <c r="K1085">
        <f t="shared" ca="1" si="67"/>
        <v>1778</v>
      </c>
      <c r="N1085" t="str">
        <f t="shared" si="64"/>
        <v>Havering11Community Support and IndependenceAssistive Technologies and EquipmentAssistive technologies including telecare</v>
      </c>
      <c r="O1085" t="s">
        <v>171</v>
      </c>
      <c r="P1085" t="s">
        <v>790</v>
      </c>
      <c r="Q1085">
        <v>11</v>
      </c>
      <c r="R1085" t="s">
        <v>3213</v>
      </c>
      <c r="S1085" t="s">
        <v>3539</v>
      </c>
      <c r="T1085" t="s">
        <v>800</v>
      </c>
      <c r="U1085" t="s">
        <v>850</v>
      </c>
      <c r="W1085">
        <v>107</v>
      </c>
      <c r="X1085">
        <v>102</v>
      </c>
      <c r="Y1085" t="s">
        <v>802</v>
      </c>
      <c r="Z1085" t="s">
        <v>792</v>
      </c>
      <c r="AB1085" t="s">
        <v>793</v>
      </c>
      <c r="AD1085" t="s">
        <v>794</v>
      </c>
      <c r="AE1085" t="s">
        <v>804</v>
      </c>
      <c r="AF1085" t="s">
        <v>845</v>
      </c>
      <c r="AG1085" t="s">
        <v>797</v>
      </c>
      <c r="AH1085">
        <v>35882</v>
      </c>
      <c r="AI1085">
        <v>35882</v>
      </c>
      <c r="AJ1085">
        <v>0.02</v>
      </c>
    </row>
    <row r="1086" spans="1:36" x14ac:dyDescent="0.3">
      <c r="A1086">
        <f>COUNTIF($D$2:D1086,D1086)</f>
        <v>27</v>
      </c>
      <c r="B1086" t="str">
        <f t="shared" si="65"/>
        <v>27Kent</v>
      </c>
      <c r="C1086" t="s">
        <v>3574</v>
      </c>
      <c r="D1086" t="s">
        <v>187</v>
      </c>
      <c r="E1086">
        <v>53</v>
      </c>
      <c r="F1086" t="s">
        <v>3575</v>
      </c>
      <c r="G1086" t="s">
        <v>877</v>
      </c>
      <c r="H1086" t="s">
        <v>968</v>
      </c>
      <c r="I1086" t="s">
        <v>879</v>
      </c>
      <c r="J1086">
        <f t="shared" ca="1" si="66"/>
        <v>1220000</v>
      </c>
      <c r="K1086">
        <f t="shared" ca="1" si="67"/>
        <v>173</v>
      </c>
      <c r="N1086" t="str">
        <f t="shared" si="64"/>
        <v>Havering501Community Support and IndependenceDFG Related SchemesAdaptations, including statutory DFG grants</v>
      </c>
      <c r="O1086" t="s">
        <v>171</v>
      </c>
      <c r="P1086" t="s">
        <v>790</v>
      </c>
      <c r="Q1086">
        <v>501</v>
      </c>
      <c r="R1086" t="s">
        <v>3213</v>
      </c>
      <c r="S1086" t="s">
        <v>1479</v>
      </c>
      <c r="T1086" t="s">
        <v>834</v>
      </c>
      <c r="U1086" t="s">
        <v>835</v>
      </c>
      <c r="W1086">
        <v>103</v>
      </c>
      <c r="X1086">
        <v>103</v>
      </c>
      <c r="Y1086" t="s">
        <v>836</v>
      </c>
      <c r="Z1086" t="s">
        <v>812</v>
      </c>
      <c r="AA1086" t="s">
        <v>3576</v>
      </c>
      <c r="AB1086" t="s">
        <v>793</v>
      </c>
      <c r="AD1086" t="s">
        <v>794</v>
      </c>
      <c r="AE1086" t="s">
        <v>795</v>
      </c>
      <c r="AF1086" t="s">
        <v>840</v>
      </c>
      <c r="AG1086" t="s">
        <v>797</v>
      </c>
      <c r="AH1086">
        <v>2056802</v>
      </c>
      <c r="AI1086">
        <v>2056802</v>
      </c>
      <c r="AJ1086">
        <v>0.96</v>
      </c>
    </row>
    <row r="1087" spans="1:36" x14ac:dyDescent="0.3">
      <c r="A1087">
        <f>COUNTIF($D$2:D1087,D1087)</f>
        <v>28</v>
      </c>
      <c r="B1087" t="str">
        <f t="shared" si="65"/>
        <v>28Kent</v>
      </c>
      <c r="C1087" t="s">
        <v>3577</v>
      </c>
      <c r="D1087" t="s">
        <v>187</v>
      </c>
      <c r="E1087">
        <v>56</v>
      </c>
      <c r="F1087" t="s">
        <v>3578</v>
      </c>
      <c r="G1087" t="s">
        <v>787</v>
      </c>
      <c r="H1087" t="s">
        <v>788</v>
      </c>
      <c r="I1087" t="s">
        <v>789</v>
      </c>
      <c r="J1087">
        <f t="shared" ca="1" si="66"/>
        <v>1546495</v>
      </c>
      <c r="K1087">
        <f t="shared" ca="1" si="67"/>
        <v>55</v>
      </c>
      <c r="N1087" t="str">
        <f t="shared" si="64"/>
        <v>Havering1Winter Care Home funding SchemeResidential PlacementsCare home</v>
      </c>
      <c r="O1087" t="s">
        <v>171</v>
      </c>
      <c r="P1087" t="s">
        <v>790</v>
      </c>
      <c r="Q1087">
        <v>1</v>
      </c>
      <c r="R1087" t="s">
        <v>3240</v>
      </c>
      <c r="S1087" t="s">
        <v>3579</v>
      </c>
      <c r="T1087" t="s">
        <v>806</v>
      </c>
      <c r="U1087" t="s">
        <v>807</v>
      </c>
      <c r="W1087">
        <v>9</v>
      </c>
      <c r="X1087">
        <v>9</v>
      </c>
      <c r="Y1087" t="s">
        <v>808</v>
      </c>
      <c r="Z1087" t="s">
        <v>792</v>
      </c>
      <c r="AB1087" t="s">
        <v>793</v>
      </c>
      <c r="AD1087" t="s">
        <v>794</v>
      </c>
      <c r="AE1087" t="s">
        <v>795</v>
      </c>
      <c r="AF1087" t="s">
        <v>864</v>
      </c>
      <c r="AG1087" t="s">
        <v>797</v>
      </c>
      <c r="AH1087">
        <v>606889</v>
      </c>
      <c r="AI1087">
        <v>943931</v>
      </c>
      <c r="AJ1087">
        <v>0.02</v>
      </c>
    </row>
    <row r="1088" spans="1:36" x14ac:dyDescent="0.3">
      <c r="A1088">
        <f>COUNTIF($D$2:D1088,D1088)</f>
        <v>29</v>
      </c>
      <c r="B1088" t="str">
        <f t="shared" si="65"/>
        <v>29Kent</v>
      </c>
      <c r="C1088" t="s">
        <v>3580</v>
      </c>
      <c r="D1088" t="s">
        <v>187</v>
      </c>
      <c r="E1088">
        <v>58</v>
      </c>
      <c r="F1088" t="s">
        <v>3581</v>
      </c>
      <c r="G1088" t="s">
        <v>811</v>
      </c>
      <c r="H1088" t="s">
        <v>812</v>
      </c>
      <c r="I1088" t="s">
        <v>813</v>
      </c>
      <c r="J1088">
        <f t="shared" ca="1" si="66"/>
        <v>740856</v>
      </c>
      <c r="K1088">
        <f t="shared" ca="1" si="67"/>
        <v>36</v>
      </c>
      <c r="N1088" t="str">
        <f t="shared" si="64"/>
        <v>Havering2Winter Nursing Care SchemeResidential PlacementsNursing home</v>
      </c>
      <c r="O1088" t="s">
        <v>171</v>
      </c>
      <c r="P1088" t="s">
        <v>790</v>
      </c>
      <c r="Q1088">
        <v>2</v>
      </c>
      <c r="R1088" t="s">
        <v>3243</v>
      </c>
      <c r="S1088" t="s">
        <v>3582</v>
      </c>
      <c r="T1088" t="s">
        <v>806</v>
      </c>
      <c r="U1088" t="s">
        <v>917</v>
      </c>
      <c r="W1088">
        <v>2</v>
      </c>
      <c r="X1088">
        <v>2</v>
      </c>
      <c r="Y1088" t="s">
        <v>808</v>
      </c>
      <c r="Z1088" t="s">
        <v>792</v>
      </c>
      <c r="AB1088" t="s">
        <v>793</v>
      </c>
      <c r="AD1088" t="s">
        <v>794</v>
      </c>
      <c r="AE1088" t="s">
        <v>795</v>
      </c>
      <c r="AF1088" t="s">
        <v>864</v>
      </c>
      <c r="AG1088" t="s">
        <v>797</v>
      </c>
      <c r="AH1088">
        <v>123784</v>
      </c>
      <c r="AI1088">
        <v>227944</v>
      </c>
      <c r="AJ1088">
        <v>0</v>
      </c>
    </row>
    <row r="1089" spans="1:36" x14ac:dyDescent="0.3">
      <c r="A1089">
        <f>COUNTIF($D$2:D1089,D1089)</f>
        <v>30</v>
      </c>
      <c r="B1089" t="str">
        <f t="shared" si="65"/>
        <v>30Kent</v>
      </c>
      <c r="C1089" t="s">
        <v>3583</v>
      </c>
      <c r="D1089" t="s">
        <v>187</v>
      </c>
      <c r="E1089">
        <v>64</v>
      </c>
      <c r="F1089" t="s">
        <v>2959</v>
      </c>
      <c r="G1089" t="s">
        <v>877</v>
      </c>
      <c r="H1089" t="s">
        <v>878</v>
      </c>
      <c r="I1089" t="s">
        <v>879</v>
      </c>
      <c r="J1089">
        <f t="shared" ca="1" si="66"/>
        <v>621000</v>
      </c>
      <c r="K1089">
        <f t="shared" ca="1" si="67"/>
        <v>16</v>
      </c>
      <c r="N1089" t="str">
        <f t="shared" si="64"/>
        <v>Havering3Winter Home Care SchemeHome Care or Domiciliary CareDomiciliary care packages</v>
      </c>
      <c r="O1089" t="s">
        <v>171</v>
      </c>
      <c r="P1089" t="s">
        <v>790</v>
      </c>
      <c r="Q1089">
        <v>3</v>
      </c>
      <c r="R1089" t="s">
        <v>3246</v>
      </c>
      <c r="S1089" t="s">
        <v>3584</v>
      </c>
      <c r="T1089" t="s">
        <v>842</v>
      </c>
      <c r="U1089" t="s">
        <v>843</v>
      </c>
      <c r="W1089">
        <v>9915</v>
      </c>
      <c r="X1089">
        <v>9443</v>
      </c>
      <c r="Y1089" t="s">
        <v>844</v>
      </c>
      <c r="Z1089" t="s">
        <v>792</v>
      </c>
      <c r="AB1089" t="s">
        <v>793</v>
      </c>
      <c r="AD1089" t="s">
        <v>794</v>
      </c>
      <c r="AE1089" t="s">
        <v>795</v>
      </c>
      <c r="AF1089" t="s">
        <v>864</v>
      </c>
      <c r="AG1089" t="s">
        <v>797</v>
      </c>
      <c r="AH1089">
        <v>216551</v>
      </c>
      <c r="AI1089">
        <v>398771</v>
      </c>
      <c r="AJ1089">
        <v>0.02</v>
      </c>
    </row>
    <row r="1090" spans="1:36" x14ac:dyDescent="0.3">
      <c r="A1090">
        <f>COUNTIF($D$2:D1090,D1090)</f>
        <v>1</v>
      </c>
      <c r="B1090" t="str">
        <f t="shared" si="65"/>
        <v>1Kingston upon Hull, City of</v>
      </c>
      <c r="C1090" t="s">
        <v>3585</v>
      </c>
      <c r="D1090" t="s">
        <v>189</v>
      </c>
      <c r="E1090">
        <v>2</v>
      </c>
      <c r="F1090" t="s">
        <v>3586</v>
      </c>
      <c r="G1090" t="s">
        <v>800</v>
      </c>
      <c r="H1090" t="s">
        <v>850</v>
      </c>
      <c r="I1090" t="s">
        <v>802</v>
      </c>
      <c r="J1090">
        <f t="shared" ca="1" si="66"/>
        <v>797880</v>
      </c>
      <c r="K1090">
        <f t="shared" ca="1" si="67"/>
        <v>2171</v>
      </c>
      <c r="N1090" t="str">
        <f t="shared" ref="N1090:N1153" si="68">O1090&amp;Q1090&amp;R1090&amp;T1090&amp;U1090</f>
        <v>Havering4Community EquipmentAssistive Technologies and EquipmentAssistive technologies including telecare</v>
      </c>
      <c r="O1090" t="s">
        <v>171</v>
      </c>
      <c r="P1090" t="s">
        <v>790</v>
      </c>
      <c r="Q1090">
        <v>4</v>
      </c>
      <c r="R1090" t="s">
        <v>1051</v>
      </c>
      <c r="S1090" t="s">
        <v>3587</v>
      </c>
      <c r="T1090" t="s">
        <v>800</v>
      </c>
      <c r="U1090" t="s">
        <v>850</v>
      </c>
      <c r="W1090">
        <v>38</v>
      </c>
      <c r="X1090">
        <v>27</v>
      </c>
      <c r="Y1090" t="s">
        <v>802</v>
      </c>
      <c r="Z1090" t="s">
        <v>792</v>
      </c>
      <c r="AB1090" t="s">
        <v>793</v>
      </c>
      <c r="AD1090" t="s">
        <v>794</v>
      </c>
      <c r="AE1090" t="s">
        <v>795</v>
      </c>
      <c r="AF1090" t="s">
        <v>864</v>
      </c>
      <c r="AG1090" t="s">
        <v>797</v>
      </c>
      <c r="AH1090">
        <v>9624</v>
      </c>
      <c r="AI1090">
        <v>17722</v>
      </c>
      <c r="AJ1090">
        <v>0.01</v>
      </c>
    </row>
    <row r="1091" spans="1:36" x14ac:dyDescent="0.3">
      <c r="A1091">
        <f>COUNTIF($D$2:D1091,D1091)</f>
        <v>2</v>
      </c>
      <c r="B1091" t="str">
        <f t="shared" ref="B1091:B1154" si="69">A1091&amp;D1091</f>
        <v>2Kingston upon Hull, City of</v>
      </c>
      <c r="C1091" t="s">
        <v>3588</v>
      </c>
      <c r="D1091" t="s">
        <v>189</v>
      </c>
      <c r="E1091">
        <v>7</v>
      </c>
      <c r="F1091" t="s">
        <v>3589</v>
      </c>
      <c r="G1091" t="s">
        <v>877</v>
      </c>
      <c r="H1091" t="s">
        <v>812</v>
      </c>
      <c r="I1091" t="s">
        <v>879</v>
      </c>
      <c r="J1091">
        <f t="shared" ref="J1091:J1154" ca="1" si="70">SUMIF($N:$AI,C1091,AH:AH)</f>
        <v>389100</v>
      </c>
      <c r="K1091">
        <f t="shared" ref="K1091:K1154" ca="1" si="71">SUMIF($N:$AI,C1091,W:W)</f>
        <v>120</v>
      </c>
      <c r="N1091" t="str">
        <f t="shared" si="68"/>
        <v>Havering7Direct payment schemeHome Care or Domiciliary CareDomiciliary care to support hospital discharge (Discharge to Assess pathway 1)</v>
      </c>
      <c r="O1091" t="s">
        <v>171</v>
      </c>
      <c r="P1091" t="s">
        <v>790</v>
      </c>
      <c r="Q1091">
        <v>7</v>
      </c>
      <c r="R1091" t="s">
        <v>3249</v>
      </c>
      <c r="S1091" t="s">
        <v>3590</v>
      </c>
      <c r="T1091" t="s">
        <v>842</v>
      </c>
      <c r="U1091" t="s">
        <v>856</v>
      </c>
      <c r="W1091">
        <v>1318</v>
      </c>
      <c r="X1091">
        <v>1315</v>
      </c>
      <c r="Y1091" t="s">
        <v>844</v>
      </c>
      <c r="Z1091" t="s">
        <v>792</v>
      </c>
      <c r="AB1091" t="s">
        <v>793</v>
      </c>
      <c r="AD1091" t="s">
        <v>794</v>
      </c>
      <c r="AE1091" t="s">
        <v>795</v>
      </c>
      <c r="AF1091" t="s">
        <v>860</v>
      </c>
      <c r="AG1091" t="s">
        <v>797</v>
      </c>
      <c r="AH1091">
        <v>22090</v>
      </c>
      <c r="AI1091">
        <v>30887</v>
      </c>
      <c r="AJ1091">
        <v>0</v>
      </c>
    </row>
    <row r="1092" spans="1:36" x14ac:dyDescent="0.3">
      <c r="A1092">
        <f>COUNTIF($D$2:D1092,D1092)</f>
        <v>3</v>
      </c>
      <c r="B1092" t="str">
        <f t="shared" si="69"/>
        <v>3Kingston upon Hull, City of</v>
      </c>
      <c r="C1092" t="s">
        <v>3591</v>
      </c>
      <c r="D1092" t="s">
        <v>189</v>
      </c>
      <c r="E1092">
        <v>8</v>
      </c>
      <c r="F1092" t="s">
        <v>3592</v>
      </c>
      <c r="G1092" t="s">
        <v>811</v>
      </c>
      <c r="H1092" t="s">
        <v>812</v>
      </c>
      <c r="I1092" t="s">
        <v>813</v>
      </c>
      <c r="J1092">
        <f t="shared" ca="1" si="70"/>
        <v>553656</v>
      </c>
      <c r="K1092">
        <f t="shared" ca="1" si="71"/>
        <v>21509</v>
      </c>
      <c r="N1092" t="str">
        <f t="shared" si="68"/>
        <v>Havering8Extra Care schemeHome Care or Domiciliary CareDomiciliary care to support hospital discharge (Discharge to Assess pathway 1)</v>
      </c>
      <c r="O1092" t="s">
        <v>171</v>
      </c>
      <c r="P1092" t="s">
        <v>790</v>
      </c>
      <c r="Q1092">
        <v>8</v>
      </c>
      <c r="R1092" t="s">
        <v>3252</v>
      </c>
      <c r="S1092" t="s">
        <v>3593</v>
      </c>
      <c r="T1092" t="s">
        <v>842</v>
      </c>
      <c r="U1092" t="s">
        <v>856</v>
      </c>
      <c r="W1092">
        <v>450</v>
      </c>
      <c r="X1092">
        <v>428</v>
      </c>
      <c r="Y1092" t="s">
        <v>844</v>
      </c>
      <c r="Z1092" t="s">
        <v>792</v>
      </c>
      <c r="AB1092" t="s">
        <v>793</v>
      </c>
      <c r="AD1092" t="s">
        <v>794</v>
      </c>
      <c r="AE1092" t="s">
        <v>795</v>
      </c>
      <c r="AF1092" t="s">
        <v>860</v>
      </c>
      <c r="AG1092" t="s">
        <v>797</v>
      </c>
      <c r="AH1092">
        <v>8380</v>
      </c>
      <c r="AI1092">
        <v>11717</v>
      </c>
      <c r="AJ1092">
        <v>0</v>
      </c>
    </row>
    <row r="1093" spans="1:36" x14ac:dyDescent="0.3">
      <c r="A1093">
        <f>COUNTIF($D$2:D1093,D1093)</f>
        <v>4</v>
      </c>
      <c r="B1093" t="str">
        <f t="shared" si="69"/>
        <v>4Kingston upon Hull, City of</v>
      </c>
      <c r="C1093" t="s">
        <v>3594</v>
      </c>
      <c r="D1093" t="s">
        <v>189</v>
      </c>
      <c r="E1093">
        <v>10</v>
      </c>
      <c r="F1093" t="s">
        <v>3595</v>
      </c>
      <c r="G1093" t="s">
        <v>806</v>
      </c>
      <c r="H1093" t="s">
        <v>812</v>
      </c>
      <c r="I1093" t="s">
        <v>808</v>
      </c>
      <c r="J1093">
        <f t="shared" ca="1" si="70"/>
        <v>565554</v>
      </c>
      <c r="K1093">
        <f t="shared" ca="1" si="71"/>
        <v>17</v>
      </c>
      <c r="N1093" t="str">
        <f t="shared" si="68"/>
        <v>Havering9Winter Home Care SchemeHome Care or Domiciliary CareDomiciliary care packages</v>
      </c>
      <c r="O1093" t="s">
        <v>171</v>
      </c>
      <c r="P1093" t="s">
        <v>790</v>
      </c>
      <c r="Q1093">
        <v>9</v>
      </c>
      <c r="R1093" t="s">
        <v>3246</v>
      </c>
      <c r="S1093" t="s">
        <v>3584</v>
      </c>
      <c r="T1093" t="s">
        <v>842</v>
      </c>
      <c r="U1093" t="s">
        <v>843</v>
      </c>
      <c r="W1093">
        <v>23254</v>
      </c>
      <c r="X1093">
        <v>22147</v>
      </c>
      <c r="Y1093" t="s">
        <v>844</v>
      </c>
      <c r="Z1093" t="s">
        <v>792</v>
      </c>
      <c r="AB1093" t="s">
        <v>793</v>
      </c>
      <c r="AD1093" t="s">
        <v>794</v>
      </c>
      <c r="AE1093" t="s">
        <v>795</v>
      </c>
      <c r="AF1093" t="s">
        <v>860</v>
      </c>
      <c r="AG1093" t="s">
        <v>797</v>
      </c>
      <c r="AH1093">
        <v>507864</v>
      </c>
      <c r="AI1093">
        <v>710119</v>
      </c>
      <c r="AJ1093">
        <v>0.04</v>
      </c>
    </row>
    <row r="1094" spans="1:36" x14ac:dyDescent="0.3">
      <c r="A1094">
        <f>COUNTIF($D$2:D1094,D1094)</f>
        <v>5</v>
      </c>
      <c r="B1094" t="str">
        <f t="shared" si="69"/>
        <v>5Kingston upon Hull, City of</v>
      </c>
      <c r="C1094" t="s">
        <v>3596</v>
      </c>
      <c r="D1094" t="s">
        <v>189</v>
      </c>
      <c r="E1094">
        <v>12</v>
      </c>
      <c r="F1094" t="s">
        <v>3597</v>
      </c>
      <c r="G1094" t="s">
        <v>877</v>
      </c>
      <c r="H1094" t="s">
        <v>1015</v>
      </c>
      <c r="I1094" t="s">
        <v>879</v>
      </c>
      <c r="J1094">
        <f t="shared" ca="1" si="70"/>
        <v>1633654</v>
      </c>
      <c r="K1094">
        <f t="shared" ca="1" si="71"/>
        <v>20</v>
      </c>
      <c r="N1094" t="str">
        <f t="shared" si="68"/>
        <v>Havering10Winter Nursing Care SchemeResidential PlacementsNursing home</v>
      </c>
      <c r="O1094" t="s">
        <v>171</v>
      </c>
      <c r="P1094" t="s">
        <v>790</v>
      </c>
      <c r="Q1094">
        <v>10</v>
      </c>
      <c r="R1094" t="s">
        <v>3243</v>
      </c>
      <c r="S1094" t="s">
        <v>3582</v>
      </c>
      <c r="T1094" t="s">
        <v>806</v>
      </c>
      <c r="U1094" t="s">
        <v>917</v>
      </c>
      <c r="W1094">
        <v>5</v>
      </c>
      <c r="X1094">
        <v>5</v>
      </c>
      <c r="Y1094" t="s">
        <v>808</v>
      </c>
      <c r="Z1094" t="s">
        <v>792</v>
      </c>
      <c r="AB1094" t="s">
        <v>793</v>
      </c>
      <c r="AD1094" t="s">
        <v>794</v>
      </c>
      <c r="AE1094" t="s">
        <v>795</v>
      </c>
      <c r="AF1094" t="s">
        <v>860</v>
      </c>
      <c r="AG1094" t="s">
        <v>797</v>
      </c>
      <c r="AH1094">
        <v>298183</v>
      </c>
      <c r="AI1094">
        <v>416933</v>
      </c>
      <c r="AJ1094">
        <v>0.01</v>
      </c>
    </row>
    <row r="1095" spans="1:36" x14ac:dyDescent="0.3">
      <c r="A1095">
        <f>COUNTIF($D$2:D1095,D1095)</f>
        <v>6</v>
      </c>
      <c r="B1095" t="str">
        <f t="shared" si="69"/>
        <v>6Kingston upon Hull, City of</v>
      </c>
      <c r="C1095" t="s">
        <v>3598</v>
      </c>
      <c r="D1095" t="s">
        <v>189</v>
      </c>
      <c r="E1095">
        <v>15</v>
      </c>
      <c r="F1095" t="s">
        <v>3599</v>
      </c>
      <c r="G1095" t="s">
        <v>877</v>
      </c>
      <c r="H1095" t="s">
        <v>878</v>
      </c>
      <c r="I1095" t="s">
        <v>879</v>
      </c>
      <c r="J1095">
        <f t="shared" ca="1" si="70"/>
        <v>1727126</v>
      </c>
      <c r="K1095">
        <f t="shared" ca="1" si="71"/>
        <v>21</v>
      </c>
      <c r="N1095" t="str">
        <f t="shared" si="68"/>
        <v>Havering11Winter Care Home funding SchemeResidential PlacementsCare home</v>
      </c>
      <c r="O1095" t="s">
        <v>171</v>
      </c>
      <c r="P1095" t="s">
        <v>790</v>
      </c>
      <c r="Q1095">
        <v>11</v>
      </c>
      <c r="R1095" t="s">
        <v>3240</v>
      </c>
      <c r="S1095" t="s">
        <v>3579</v>
      </c>
      <c r="T1095" t="s">
        <v>806</v>
      </c>
      <c r="U1095" t="s">
        <v>807</v>
      </c>
      <c r="W1095">
        <v>9</v>
      </c>
      <c r="X1095">
        <v>8</v>
      </c>
      <c r="Y1095" t="s">
        <v>808</v>
      </c>
      <c r="Z1095" t="s">
        <v>792</v>
      </c>
      <c r="AB1095" t="s">
        <v>793</v>
      </c>
      <c r="AD1095" t="s">
        <v>794</v>
      </c>
      <c r="AE1095" t="s">
        <v>795</v>
      </c>
      <c r="AF1095" t="s">
        <v>860</v>
      </c>
      <c r="AG1095" t="s">
        <v>797</v>
      </c>
      <c r="AH1095">
        <v>585641</v>
      </c>
      <c r="AI1095">
        <v>818871</v>
      </c>
      <c r="AJ1095">
        <v>0.02</v>
      </c>
    </row>
    <row r="1096" spans="1:36" x14ac:dyDescent="0.3">
      <c r="A1096">
        <f>COUNTIF($D$2:D1096,D1096)</f>
        <v>7</v>
      </c>
      <c r="B1096" t="str">
        <f t="shared" si="69"/>
        <v>7Kingston upon Hull, City of</v>
      </c>
      <c r="C1096" t="s">
        <v>3600</v>
      </c>
      <c r="D1096" t="s">
        <v>189</v>
      </c>
      <c r="E1096">
        <v>19</v>
      </c>
      <c r="F1096" t="s">
        <v>3601</v>
      </c>
      <c r="G1096" t="s">
        <v>800</v>
      </c>
      <c r="H1096" t="s">
        <v>812</v>
      </c>
      <c r="I1096" t="s">
        <v>802</v>
      </c>
      <c r="J1096">
        <f t="shared" ca="1" si="70"/>
        <v>106047</v>
      </c>
      <c r="K1096">
        <f t="shared" ca="1" si="71"/>
        <v>2</v>
      </c>
      <c r="N1096" t="str">
        <f t="shared" si="68"/>
        <v>Havering12Community Equipment schemeAssistive Technologies and EquipmentCommunity based equipment</v>
      </c>
      <c r="O1096" t="s">
        <v>171</v>
      </c>
      <c r="P1096" t="s">
        <v>790</v>
      </c>
      <c r="Q1096">
        <v>12</v>
      </c>
      <c r="R1096" t="s">
        <v>3261</v>
      </c>
      <c r="S1096" t="s">
        <v>3602</v>
      </c>
      <c r="T1096" t="s">
        <v>800</v>
      </c>
      <c r="U1096" t="s">
        <v>903</v>
      </c>
      <c r="W1096">
        <v>272</v>
      </c>
      <c r="X1096">
        <v>259</v>
      </c>
      <c r="Y1096" t="s">
        <v>802</v>
      </c>
      <c r="Z1096" t="s">
        <v>792</v>
      </c>
      <c r="AB1096" t="s">
        <v>793</v>
      </c>
      <c r="AD1096" t="s">
        <v>794</v>
      </c>
      <c r="AE1096" t="s">
        <v>795</v>
      </c>
      <c r="AF1096" t="s">
        <v>860</v>
      </c>
      <c r="AG1096" t="s">
        <v>797</v>
      </c>
      <c r="AH1096">
        <v>68000</v>
      </c>
      <c r="AI1096">
        <v>268000</v>
      </c>
      <c r="AJ1096">
        <v>0.09</v>
      </c>
    </row>
    <row r="1097" spans="1:36" x14ac:dyDescent="0.3">
      <c r="A1097">
        <f>COUNTIF($D$2:D1097,D1097)</f>
        <v>8</v>
      </c>
      <c r="B1097" t="str">
        <f t="shared" si="69"/>
        <v>8Kingston upon Hull, City of</v>
      </c>
      <c r="C1097" t="s">
        <v>3603</v>
      </c>
      <c r="D1097" t="s">
        <v>189</v>
      </c>
      <c r="E1097">
        <v>20</v>
      </c>
      <c r="F1097" t="s">
        <v>3604</v>
      </c>
      <c r="G1097" t="s">
        <v>800</v>
      </c>
      <c r="H1097" t="s">
        <v>903</v>
      </c>
      <c r="I1097" t="s">
        <v>802</v>
      </c>
      <c r="J1097">
        <f t="shared" ca="1" si="70"/>
        <v>49773</v>
      </c>
      <c r="K1097">
        <f t="shared" ca="1" si="71"/>
        <v>60</v>
      </c>
      <c r="N1097" t="str">
        <f t="shared" si="68"/>
        <v>Havering13Assistive technology schemeAssistive Technologies and EquipmentAssistive technologies including telecare</v>
      </c>
      <c r="O1097" t="s">
        <v>171</v>
      </c>
      <c r="P1097" t="s">
        <v>790</v>
      </c>
      <c r="Q1097">
        <v>13</v>
      </c>
      <c r="R1097" t="s">
        <v>3264</v>
      </c>
      <c r="S1097" t="s">
        <v>3605</v>
      </c>
      <c r="T1097" t="s">
        <v>800</v>
      </c>
      <c r="U1097" t="s">
        <v>850</v>
      </c>
      <c r="W1097">
        <v>156</v>
      </c>
      <c r="X1097">
        <v>149</v>
      </c>
      <c r="Y1097" t="s">
        <v>802</v>
      </c>
      <c r="Z1097" t="s">
        <v>792</v>
      </c>
      <c r="AB1097" t="s">
        <v>793</v>
      </c>
      <c r="AD1097" t="s">
        <v>794</v>
      </c>
      <c r="AE1097" t="s">
        <v>795</v>
      </c>
      <c r="AF1097" t="s">
        <v>860</v>
      </c>
      <c r="AG1097" t="s">
        <v>797</v>
      </c>
      <c r="AH1097">
        <v>52376</v>
      </c>
      <c r="AI1097">
        <v>52376</v>
      </c>
      <c r="AJ1097">
        <v>0.03</v>
      </c>
    </row>
    <row r="1098" spans="1:36" x14ac:dyDescent="0.3">
      <c r="A1098">
        <f>COUNTIF($D$2:D1098,D1098)</f>
        <v>9</v>
      </c>
      <c r="B1098" t="str">
        <f t="shared" si="69"/>
        <v>9Kingston upon Hull, City of</v>
      </c>
      <c r="C1098" t="s">
        <v>3606</v>
      </c>
      <c r="D1098" t="s">
        <v>189</v>
      </c>
      <c r="E1098">
        <v>27</v>
      </c>
      <c r="F1098" t="s">
        <v>3586</v>
      </c>
      <c r="G1098" t="s">
        <v>800</v>
      </c>
      <c r="H1098" t="s">
        <v>850</v>
      </c>
      <c r="I1098" t="s">
        <v>802</v>
      </c>
      <c r="J1098">
        <f t="shared" ca="1" si="70"/>
        <v>406656</v>
      </c>
      <c r="K1098">
        <f t="shared" ca="1" si="71"/>
        <v>1119</v>
      </c>
      <c r="N1098" t="str">
        <f t="shared" si="68"/>
        <v>Havering3Enable people to stay well, safe and independent at home for longer - Targeted Out-of-Hospital CareCarers ServicesRespite services</v>
      </c>
      <c r="O1098" t="s">
        <v>171</v>
      </c>
      <c r="P1098" t="s">
        <v>790</v>
      </c>
      <c r="Q1098">
        <v>3</v>
      </c>
      <c r="R1098" t="s">
        <v>829</v>
      </c>
      <c r="S1098" t="s">
        <v>837</v>
      </c>
      <c r="T1098" t="s">
        <v>811</v>
      </c>
      <c r="U1098" t="s">
        <v>830</v>
      </c>
      <c r="W1098">
        <v>11</v>
      </c>
      <c r="X1098">
        <v>11</v>
      </c>
      <c r="Y1098" t="s">
        <v>813</v>
      </c>
      <c r="Z1098" t="s">
        <v>823</v>
      </c>
      <c r="AB1098" t="s">
        <v>824</v>
      </c>
      <c r="AD1098" t="s">
        <v>794</v>
      </c>
      <c r="AE1098" t="s">
        <v>825</v>
      </c>
      <c r="AF1098" t="s">
        <v>796</v>
      </c>
      <c r="AG1098" t="s">
        <v>797</v>
      </c>
      <c r="AH1098">
        <v>174572.45554970205</v>
      </c>
      <c r="AI1098">
        <v>177871.87495959143</v>
      </c>
      <c r="AJ1098">
        <v>0.11</v>
      </c>
    </row>
    <row r="1099" spans="1:36" x14ac:dyDescent="0.3">
      <c r="A1099">
        <f>COUNTIF($D$2:D1099,D1099)</f>
        <v>10</v>
      </c>
      <c r="B1099" t="str">
        <f t="shared" si="69"/>
        <v>10Kingston upon Hull, City of</v>
      </c>
      <c r="C1099" t="s">
        <v>3607</v>
      </c>
      <c r="D1099" t="s">
        <v>189</v>
      </c>
      <c r="E1099">
        <v>31</v>
      </c>
      <c r="F1099" t="s">
        <v>3592</v>
      </c>
      <c r="G1099" t="s">
        <v>811</v>
      </c>
      <c r="H1099" t="s">
        <v>812</v>
      </c>
      <c r="I1099" t="s">
        <v>813</v>
      </c>
      <c r="J1099">
        <f t="shared" ca="1" si="70"/>
        <v>49600</v>
      </c>
      <c r="K1099">
        <f t="shared" ca="1" si="71"/>
        <v>2127</v>
      </c>
      <c r="N1099" t="str">
        <f t="shared" si="68"/>
        <v>Herefordshire, County of52Support for Hospital DischargeHome-based intermediate care servicesReablement at home (accepting step up and step down users)</v>
      </c>
      <c r="O1099" t="s">
        <v>173</v>
      </c>
      <c r="P1099" t="s">
        <v>1172</v>
      </c>
      <c r="Q1099">
        <v>52</v>
      </c>
      <c r="R1099" t="s">
        <v>3269</v>
      </c>
      <c r="S1099" t="s">
        <v>3608</v>
      </c>
      <c r="T1099" t="s">
        <v>787</v>
      </c>
      <c r="U1099" t="s">
        <v>930</v>
      </c>
      <c r="W1099">
        <v>1322</v>
      </c>
      <c r="X1099">
        <v>1550</v>
      </c>
      <c r="Y1099" t="s">
        <v>789</v>
      </c>
      <c r="Z1099" t="s">
        <v>792</v>
      </c>
      <c r="AB1099" t="s">
        <v>793</v>
      </c>
      <c r="AD1099" t="s">
        <v>794</v>
      </c>
      <c r="AE1099" t="s">
        <v>804</v>
      </c>
      <c r="AF1099" t="s">
        <v>796</v>
      </c>
      <c r="AG1099" t="s">
        <v>797</v>
      </c>
      <c r="AH1099">
        <v>2363048</v>
      </c>
      <c r="AI1099">
        <v>2496797</v>
      </c>
      <c r="AJ1099">
        <v>1</v>
      </c>
    </row>
    <row r="1100" spans="1:36" x14ac:dyDescent="0.3">
      <c r="A1100">
        <f>COUNTIF($D$2:D1100,D1100)</f>
        <v>11</v>
      </c>
      <c r="B1100" t="str">
        <f t="shared" si="69"/>
        <v>11Kingston upon Hull, City of</v>
      </c>
      <c r="C1100" t="s">
        <v>3609</v>
      </c>
      <c r="D1100" t="s">
        <v>189</v>
      </c>
      <c r="E1100">
        <v>35</v>
      </c>
      <c r="F1100" t="s">
        <v>3610</v>
      </c>
      <c r="G1100" t="s">
        <v>842</v>
      </c>
      <c r="H1100" t="s">
        <v>843</v>
      </c>
      <c r="I1100" t="s">
        <v>844</v>
      </c>
      <c r="J1100">
        <f t="shared" ca="1" si="70"/>
        <v>325000</v>
      </c>
      <c r="K1100">
        <f t="shared" ca="1" si="71"/>
        <v>2708</v>
      </c>
      <c r="N1100" t="str">
        <f t="shared" si="68"/>
        <v>Herefordshire, County of57Carers SupportCarers ServicesRespite services</v>
      </c>
      <c r="O1100" t="s">
        <v>173</v>
      </c>
      <c r="P1100" t="s">
        <v>1172</v>
      </c>
      <c r="Q1100">
        <v>57</v>
      </c>
      <c r="R1100" t="s">
        <v>1781</v>
      </c>
      <c r="S1100" t="s">
        <v>3611</v>
      </c>
      <c r="T1100" t="s">
        <v>811</v>
      </c>
      <c r="U1100" t="s">
        <v>830</v>
      </c>
      <c r="W1100">
        <v>20</v>
      </c>
      <c r="X1100">
        <v>21</v>
      </c>
      <c r="Y1100" t="s">
        <v>813</v>
      </c>
      <c r="Z1100" t="s">
        <v>823</v>
      </c>
      <c r="AB1100" t="s">
        <v>824</v>
      </c>
      <c r="AD1100" t="s">
        <v>794</v>
      </c>
      <c r="AE1100" t="s">
        <v>825</v>
      </c>
      <c r="AF1100" t="s">
        <v>796</v>
      </c>
      <c r="AG1100" t="s">
        <v>797</v>
      </c>
      <c r="AH1100">
        <v>32733</v>
      </c>
      <c r="AI1100">
        <v>33322</v>
      </c>
      <c r="AJ1100">
        <v>1</v>
      </c>
    </row>
    <row r="1101" spans="1:36" x14ac:dyDescent="0.3">
      <c r="A1101">
        <f>COUNTIF($D$2:D1101,D1101)</f>
        <v>12</v>
      </c>
      <c r="B1101" t="str">
        <f t="shared" si="69"/>
        <v>12Kingston upon Hull, City of</v>
      </c>
      <c r="C1101" t="s">
        <v>3612</v>
      </c>
      <c r="D1101" t="s">
        <v>189</v>
      </c>
      <c r="E1101">
        <v>36</v>
      </c>
      <c r="F1101" t="s">
        <v>3613</v>
      </c>
      <c r="G1101" t="s">
        <v>811</v>
      </c>
      <c r="H1101" t="s">
        <v>812</v>
      </c>
      <c r="I1101" t="s">
        <v>813</v>
      </c>
      <c r="J1101">
        <f t="shared" ca="1" si="70"/>
        <v>44000</v>
      </c>
      <c r="K1101">
        <f t="shared" ca="1" si="71"/>
        <v>219</v>
      </c>
      <c r="N1101" t="str">
        <f t="shared" si="68"/>
        <v>Herefordshire, County of57Carers SupportCarers ServicesRespite services</v>
      </c>
      <c r="O1101" t="s">
        <v>173</v>
      </c>
      <c r="P1101" t="s">
        <v>1172</v>
      </c>
      <c r="Q1101">
        <v>57</v>
      </c>
      <c r="R1101" t="s">
        <v>1781</v>
      </c>
      <c r="S1101" t="s">
        <v>3614</v>
      </c>
      <c r="T1101" t="s">
        <v>811</v>
      </c>
      <c r="U1101" t="s">
        <v>830</v>
      </c>
      <c r="W1101">
        <v>288</v>
      </c>
      <c r="X1101">
        <v>288</v>
      </c>
      <c r="Y1101" t="s">
        <v>813</v>
      </c>
      <c r="Z1101" t="s">
        <v>823</v>
      </c>
      <c r="AB1101" t="s">
        <v>824</v>
      </c>
      <c r="AD1101" t="s">
        <v>794</v>
      </c>
      <c r="AE1101" t="s">
        <v>825</v>
      </c>
      <c r="AF1101" t="s">
        <v>796</v>
      </c>
      <c r="AG1101" t="s">
        <v>797</v>
      </c>
      <c r="AH1101">
        <v>266049</v>
      </c>
      <c r="AI1101">
        <v>270838</v>
      </c>
      <c r="AJ1101">
        <v>0.13</v>
      </c>
    </row>
    <row r="1102" spans="1:36" x14ac:dyDescent="0.3">
      <c r="A1102">
        <f>COUNTIF($D$2:D1102,D1102)</f>
        <v>13</v>
      </c>
      <c r="B1102" t="str">
        <f t="shared" si="69"/>
        <v>13Kingston upon Hull, City of</v>
      </c>
      <c r="C1102" t="s">
        <v>3615</v>
      </c>
      <c r="D1102" t="s">
        <v>189</v>
      </c>
      <c r="E1102">
        <v>40</v>
      </c>
      <c r="F1102" t="s">
        <v>3616</v>
      </c>
      <c r="G1102" t="s">
        <v>842</v>
      </c>
      <c r="H1102" t="s">
        <v>843</v>
      </c>
      <c r="I1102" t="s">
        <v>844</v>
      </c>
      <c r="J1102">
        <f t="shared" ca="1" si="70"/>
        <v>1141746</v>
      </c>
      <c r="K1102">
        <f t="shared" ca="1" si="71"/>
        <v>572</v>
      </c>
      <c r="N1102" t="str">
        <f t="shared" si="68"/>
        <v>Herefordshire, County of60Community Health ServicesBed based intermediate Care Services (Reablement, rehabilitation, wider short-term services supporting recovery)Bed-based intermediate care with rehabilitation accepting step up and step down users</v>
      </c>
      <c r="O1102" t="s">
        <v>173</v>
      </c>
      <c r="P1102" t="s">
        <v>1172</v>
      </c>
      <c r="Q1102">
        <v>60</v>
      </c>
      <c r="R1102" t="s">
        <v>3274</v>
      </c>
      <c r="S1102" t="s">
        <v>3617</v>
      </c>
      <c r="T1102" t="s">
        <v>877</v>
      </c>
      <c r="U1102" t="s">
        <v>1015</v>
      </c>
      <c r="W1102">
        <v>657</v>
      </c>
      <c r="X1102">
        <v>666</v>
      </c>
      <c r="Y1102" t="s">
        <v>808</v>
      </c>
      <c r="Z1102" t="s">
        <v>823</v>
      </c>
      <c r="AB1102" t="s">
        <v>824</v>
      </c>
      <c r="AD1102" t="s">
        <v>794</v>
      </c>
      <c r="AE1102" t="s">
        <v>832</v>
      </c>
      <c r="AF1102" t="s">
        <v>796</v>
      </c>
      <c r="AG1102" t="s">
        <v>797</v>
      </c>
      <c r="AH1102">
        <v>5618768</v>
      </c>
      <c r="AI1102">
        <v>5804188</v>
      </c>
      <c r="AJ1102">
        <v>0.57999999999999996</v>
      </c>
    </row>
    <row r="1103" spans="1:36" x14ac:dyDescent="0.3">
      <c r="A1103">
        <f>COUNTIF($D$2:D1103,D1103)</f>
        <v>14</v>
      </c>
      <c r="B1103" t="str">
        <f t="shared" si="69"/>
        <v>14Kingston upon Hull, City of</v>
      </c>
      <c r="C1103" t="s">
        <v>3618</v>
      </c>
      <c r="D1103" t="s">
        <v>189</v>
      </c>
      <c r="E1103">
        <v>41</v>
      </c>
      <c r="F1103" t="s">
        <v>891</v>
      </c>
      <c r="G1103" t="s">
        <v>834</v>
      </c>
      <c r="H1103" t="s">
        <v>835</v>
      </c>
      <c r="I1103" t="s">
        <v>836</v>
      </c>
      <c r="J1103">
        <f t="shared" ca="1" si="70"/>
        <v>5131548</v>
      </c>
      <c r="K1103">
        <f t="shared" ca="1" si="71"/>
        <v>129</v>
      </c>
      <c r="N1103" t="str">
        <f t="shared" si="68"/>
        <v>Herefordshire, County of33Disabled Facilities GrantDFG Related SchemesAdaptations, including statutory DFG grants</v>
      </c>
      <c r="O1103" t="s">
        <v>173</v>
      </c>
      <c r="P1103" t="s">
        <v>1172</v>
      </c>
      <c r="Q1103">
        <v>33</v>
      </c>
      <c r="R1103" t="s">
        <v>891</v>
      </c>
      <c r="S1103" t="s">
        <v>891</v>
      </c>
      <c r="T1103" t="s">
        <v>834</v>
      </c>
      <c r="U1103" t="s">
        <v>835</v>
      </c>
      <c r="W1103">
        <v>165</v>
      </c>
      <c r="X1103">
        <v>165</v>
      </c>
      <c r="Y1103" t="s">
        <v>836</v>
      </c>
      <c r="Z1103" t="s">
        <v>792</v>
      </c>
      <c r="AB1103" t="s">
        <v>793</v>
      </c>
      <c r="AD1103" t="s">
        <v>794</v>
      </c>
      <c r="AE1103" t="s">
        <v>795</v>
      </c>
      <c r="AF1103" t="s">
        <v>840</v>
      </c>
      <c r="AG1103" t="s">
        <v>797</v>
      </c>
      <c r="AH1103">
        <v>2268653</v>
      </c>
      <c r="AI1103">
        <v>2268653</v>
      </c>
      <c r="AJ1103">
        <v>1</v>
      </c>
    </row>
    <row r="1104" spans="1:36" x14ac:dyDescent="0.3">
      <c r="A1104">
        <f>COUNTIF($D$2:D1104,D1104)</f>
        <v>15</v>
      </c>
      <c r="B1104" t="str">
        <f t="shared" si="69"/>
        <v>15Kingston upon Hull, City of</v>
      </c>
      <c r="C1104" t="s">
        <v>3619</v>
      </c>
      <c r="D1104" t="s">
        <v>189</v>
      </c>
      <c r="E1104">
        <v>43</v>
      </c>
      <c r="F1104" t="s">
        <v>3620</v>
      </c>
      <c r="G1104" t="s">
        <v>806</v>
      </c>
      <c r="H1104" t="s">
        <v>807</v>
      </c>
      <c r="I1104" t="s">
        <v>808</v>
      </c>
      <c r="J1104">
        <f t="shared" ca="1" si="70"/>
        <v>6020582</v>
      </c>
      <c r="K1104">
        <f t="shared" ca="1" si="71"/>
        <v>324</v>
      </c>
      <c r="N1104" t="str">
        <f t="shared" si="68"/>
        <v>Herefordshire, County of154Social Care ServicesResidential PlacementsOther</v>
      </c>
      <c r="O1104" t="s">
        <v>173</v>
      </c>
      <c r="P1104" t="s">
        <v>1172</v>
      </c>
      <c r="Q1104">
        <v>154</v>
      </c>
      <c r="R1104" t="s">
        <v>3279</v>
      </c>
      <c r="S1104" t="s">
        <v>3621</v>
      </c>
      <c r="T1104" t="s">
        <v>806</v>
      </c>
      <c r="U1104" t="s">
        <v>812</v>
      </c>
      <c r="V1104" t="s">
        <v>3621</v>
      </c>
      <c r="W1104">
        <v>57</v>
      </c>
      <c r="X1104">
        <v>57</v>
      </c>
      <c r="Y1104" t="s">
        <v>808</v>
      </c>
      <c r="Z1104" t="s">
        <v>792</v>
      </c>
      <c r="AB1104" t="s">
        <v>793</v>
      </c>
      <c r="AD1104" t="s">
        <v>794</v>
      </c>
      <c r="AE1104" t="s">
        <v>795</v>
      </c>
      <c r="AF1104" t="s">
        <v>845</v>
      </c>
      <c r="AG1104" t="s">
        <v>797</v>
      </c>
      <c r="AH1104">
        <v>163728</v>
      </c>
      <c r="AI1104">
        <v>163728</v>
      </c>
      <c r="AJ1104">
        <v>1</v>
      </c>
    </row>
    <row r="1105" spans="1:36" x14ac:dyDescent="0.3">
      <c r="A1105">
        <f>COUNTIF($D$2:D1105,D1105)</f>
        <v>16</v>
      </c>
      <c r="B1105" t="str">
        <f t="shared" si="69"/>
        <v>16Kingston upon Hull, City of</v>
      </c>
      <c r="C1105" t="s">
        <v>3622</v>
      </c>
      <c r="D1105" t="s">
        <v>189</v>
      </c>
      <c r="E1105">
        <v>44</v>
      </c>
      <c r="F1105" t="s">
        <v>3623</v>
      </c>
      <c r="G1105" t="s">
        <v>842</v>
      </c>
      <c r="H1105" t="s">
        <v>843</v>
      </c>
      <c r="I1105" t="s">
        <v>844</v>
      </c>
      <c r="J1105">
        <f t="shared" ca="1" si="70"/>
        <v>617008</v>
      </c>
      <c r="K1105">
        <f t="shared" ca="1" si="71"/>
        <v>308</v>
      </c>
      <c r="N1105" t="str">
        <f t="shared" si="68"/>
        <v>Herefordshire, County of401Support for Hospital DischargeHome-based intermediate care servicesReablement at home (accepting step up and step down users)</v>
      </c>
      <c r="O1105" t="s">
        <v>173</v>
      </c>
      <c r="P1105" t="s">
        <v>1172</v>
      </c>
      <c r="Q1105">
        <v>401</v>
      </c>
      <c r="R1105" t="s">
        <v>3269</v>
      </c>
      <c r="S1105" t="s">
        <v>3624</v>
      </c>
      <c r="T1105" t="s">
        <v>787</v>
      </c>
      <c r="U1105" t="s">
        <v>930</v>
      </c>
      <c r="W1105">
        <v>120</v>
      </c>
      <c r="X1105">
        <v>120</v>
      </c>
      <c r="Y1105" t="s">
        <v>789</v>
      </c>
      <c r="Z1105" t="s">
        <v>823</v>
      </c>
      <c r="AB1105" t="s">
        <v>793</v>
      </c>
      <c r="AD1105" t="s">
        <v>794</v>
      </c>
      <c r="AE1105" t="s">
        <v>832</v>
      </c>
      <c r="AF1105" t="s">
        <v>864</v>
      </c>
      <c r="AG1105" t="s">
        <v>861</v>
      </c>
      <c r="AH1105">
        <v>217605</v>
      </c>
      <c r="AI1105">
        <v>361224</v>
      </c>
      <c r="AJ1105">
        <v>1</v>
      </c>
    </row>
    <row r="1106" spans="1:36" x14ac:dyDescent="0.3">
      <c r="A1106">
        <f>COUNTIF($D$2:D1106,D1106)</f>
        <v>17</v>
      </c>
      <c r="B1106" t="str">
        <f t="shared" si="69"/>
        <v>17Kingston upon Hull, City of</v>
      </c>
      <c r="C1106" t="s">
        <v>3625</v>
      </c>
      <c r="D1106" t="s">
        <v>189</v>
      </c>
      <c r="E1106">
        <v>52</v>
      </c>
      <c r="F1106" t="s">
        <v>3626</v>
      </c>
      <c r="G1106" t="s">
        <v>806</v>
      </c>
      <c r="H1106" t="s">
        <v>807</v>
      </c>
      <c r="I1106" t="s">
        <v>808</v>
      </c>
      <c r="J1106">
        <f t="shared" ca="1" si="70"/>
        <v>1230512</v>
      </c>
      <c r="K1106">
        <f t="shared" ca="1" si="71"/>
        <v>66</v>
      </c>
      <c r="N1106" t="str">
        <f t="shared" si="68"/>
        <v>Hertfordshire1Hertfordshire Home Improvement Agency (HHIA)DFG Related SchemesAdaptations, including statutory DFG grants</v>
      </c>
      <c r="O1106" t="s">
        <v>175</v>
      </c>
      <c r="P1106" t="s">
        <v>1056</v>
      </c>
      <c r="Q1106">
        <v>1</v>
      </c>
      <c r="R1106" t="s">
        <v>3283</v>
      </c>
      <c r="S1106" t="s">
        <v>3627</v>
      </c>
      <c r="T1106" t="s">
        <v>834</v>
      </c>
      <c r="U1106" t="s">
        <v>835</v>
      </c>
      <c r="W1106">
        <v>660</v>
      </c>
      <c r="X1106">
        <v>660</v>
      </c>
      <c r="Y1106" t="s">
        <v>836</v>
      </c>
      <c r="Z1106" t="s">
        <v>792</v>
      </c>
      <c r="AB1106" t="s">
        <v>793</v>
      </c>
      <c r="AD1106" t="s">
        <v>794</v>
      </c>
      <c r="AE1106" t="s">
        <v>804</v>
      </c>
      <c r="AF1106" t="s">
        <v>840</v>
      </c>
      <c r="AG1106" t="s">
        <v>797</v>
      </c>
      <c r="AH1106">
        <v>4958604</v>
      </c>
      <c r="AI1106">
        <v>4958604</v>
      </c>
      <c r="AJ1106">
        <v>0.6</v>
      </c>
    </row>
    <row r="1107" spans="1:36" x14ac:dyDescent="0.3">
      <c r="A1107">
        <f>COUNTIF($D$2:D1107,D1107)</f>
        <v>18</v>
      </c>
      <c r="B1107" t="str">
        <f t="shared" si="69"/>
        <v>18Kingston upon Hull, City of</v>
      </c>
      <c r="C1107" t="s">
        <v>3628</v>
      </c>
      <c r="D1107" t="s">
        <v>189</v>
      </c>
      <c r="E1107">
        <v>59</v>
      </c>
      <c r="F1107" t="s">
        <v>3629</v>
      </c>
      <c r="G1107" t="s">
        <v>842</v>
      </c>
      <c r="H1107" t="s">
        <v>856</v>
      </c>
      <c r="I1107" t="s">
        <v>844</v>
      </c>
      <c r="J1107">
        <f t="shared" ca="1" si="70"/>
        <v>51500</v>
      </c>
      <c r="K1107">
        <f t="shared" ca="1" si="71"/>
        <v>1</v>
      </c>
      <c r="N1107" t="str">
        <f t="shared" si="68"/>
        <v>Hertfordshire2DFG not associated with Hertfordshire Home Improvement AgencyDFG Related SchemesAdaptations, including statutory DFG grants</v>
      </c>
      <c r="O1107" t="s">
        <v>175</v>
      </c>
      <c r="P1107" t="s">
        <v>1056</v>
      </c>
      <c r="Q1107">
        <v>2</v>
      </c>
      <c r="R1107" t="s">
        <v>3286</v>
      </c>
      <c r="S1107" t="s">
        <v>3630</v>
      </c>
      <c r="T1107" t="s">
        <v>834</v>
      </c>
      <c r="U1107" t="s">
        <v>835</v>
      </c>
      <c r="W1107">
        <v>351</v>
      </c>
      <c r="X1107">
        <v>351</v>
      </c>
      <c r="Y1107" t="s">
        <v>836</v>
      </c>
      <c r="Z1107" t="s">
        <v>792</v>
      </c>
      <c r="AB1107" t="s">
        <v>793</v>
      </c>
      <c r="AD1107" t="s">
        <v>794</v>
      </c>
      <c r="AE1107" t="s">
        <v>804</v>
      </c>
      <c r="AF1107" t="s">
        <v>840</v>
      </c>
      <c r="AG1107" t="s">
        <v>797</v>
      </c>
      <c r="AH1107">
        <v>3305284</v>
      </c>
      <c r="AI1107">
        <v>3305284</v>
      </c>
      <c r="AJ1107">
        <v>0.4</v>
      </c>
    </row>
    <row r="1108" spans="1:36" x14ac:dyDescent="0.3">
      <c r="A1108">
        <f>COUNTIF($D$2:D1108,D1108)</f>
        <v>19</v>
      </c>
      <c r="B1108" t="str">
        <f t="shared" si="69"/>
        <v>19Kingston upon Hull, City of</v>
      </c>
      <c r="C1108" t="s">
        <v>3631</v>
      </c>
      <c r="D1108" t="s">
        <v>189</v>
      </c>
      <c r="E1108">
        <v>77</v>
      </c>
      <c r="F1108" t="s">
        <v>3632</v>
      </c>
      <c r="G1108" t="s">
        <v>800</v>
      </c>
      <c r="H1108" t="s">
        <v>907</v>
      </c>
      <c r="I1108" t="s">
        <v>802</v>
      </c>
      <c r="J1108">
        <f t="shared" ca="1" si="70"/>
        <v>17600</v>
      </c>
      <c r="K1108">
        <f t="shared" ca="1" si="71"/>
        <v>224</v>
      </c>
      <c r="N1108" t="str">
        <f t="shared" si="68"/>
        <v>Hertfordshire3Social Care Baseline FundingHome Care or Domiciliary CareDomiciliary care packages</v>
      </c>
      <c r="O1108" t="s">
        <v>175</v>
      </c>
      <c r="P1108" t="s">
        <v>1056</v>
      </c>
      <c r="Q1108">
        <v>3</v>
      </c>
      <c r="R1108" t="s">
        <v>3289</v>
      </c>
      <c r="S1108" t="s">
        <v>3633</v>
      </c>
      <c r="T1108" t="s">
        <v>842</v>
      </c>
      <c r="U1108" t="s">
        <v>843</v>
      </c>
      <c r="W1108">
        <v>753328</v>
      </c>
      <c r="X1108">
        <v>753328</v>
      </c>
      <c r="Y1108" t="s">
        <v>844</v>
      </c>
      <c r="Z1108" t="s">
        <v>792</v>
      </c>
      <c r="AB1108" t="s">
        <v>793</v>
      </c>
      <c r="AD1108" t="s">
        <v>794</v>
      </c>
      <c r="AE1108" t="s">
        <v>804</v>
      </c>
      <c r="AF1108" t="s">
        <v>845</v>
      </c>
      <c r="AG1108" t="s">
        <v>797</v>
      </c>
      <c r="AH1108">
        <v>21102000</v>
      </c>
      <c r="AI1108">
        <v>21102000</v>
      </c>
      <c r="AJ1108">
        <v>0.47</v>
      </c>
    </row>
    <row r="1109" spans="1:36" x14ac:dyDescent="0.3">
      <c r="A1109">
        <f>COUNTIF($D$2:D1109,D1109)</f>
        <v>20</v>
      </c>
      <c r="B1109" t="str">
        <f t="shared" si="69"/>
        <v>20Kingston upon Hull, City of</v>
      </c>
      <c r="C1109" t="s">
        <v>3634</v>
      </c>
      <c r="D1109" t="s">
        <v>189</v>
      </c>
      <c r="E1109">
        <v>86</v>
      </c>
      <c r="F1109" t="s">
        <v>3635</v>
      </c>
      <c r="G1109" t="s">
        <v>877</v>
      </c>
      <c r="H1109" t="s">
        <v>812</v>
      </c>
      <c r="I1109" t="s">
        <v>879</v>
      </c>
      <c r="J1109">
        <f t="shared" ca="1" si="70"/>
        <v>2007000</v>
      </c>
      <c r="K1109">
        <f t="shared" ca="1" si="71"/>
        <v>832</v>
      </c>
      <c r="N1109" t="str">
        <f t="shared" si="68"/>
        <v>Hertfordshire7Older Peoples Budget - Residential and Nursing (less client contribution)Residential PlacementsCare home</v>
      </c>
      <c r="O1109" t="s">
        <v>175</v>
      </c>
      <c r="P1109" t="s">
        <v>1056</v>
      </c>
      <c r="Q1109">
        <v>7</v>
      </c>
      <c r="R1109" t="s">
        <v>3292</v>
      </c>
      <c r="S1109" t="s">
        <v>3636</v>
      </c>
      <c r="T1109" t="s">
        <v>806</v>
      </c>
      <c r="U1109" t="s">
        <v>807</v>
      </c>
      <c r="W1109">
        <v>1818</v>
      </c>
      <c r="X1109">
        <v>1818</v>
      </c>
      <c r="Y1109" t="s">
        <v>808</v>
      </c>
      <c r="Z1109" t="s">
        <v>792</v>
      </c>
      <c r="AB1109" t="s">
        <v>793</v>
      </c>
      <c r="AD1109" t="s">
        <v>794</v>
      </c>
      <c r="AE1109" t="s">
        <v>804</v>
      </c>
      <c r="AF1109" t="s">
        <v>1029</v>
      </c>
      <c r="AG1109" t="s">
        <v>797</v>
      </c>
      <c r="AH1109">
        <v>49715024</v>
      </c>
      <c r="AI1109">
        <v>49715024</v>
      </c>
      <c r="AJ1109">
        <v>0.25</v>
      </c>
    </row>
    <row r="1110" spans="1:36" x14ac:dyDescent="0.3">
      <c r="A1110">
        <f>COUNTIF($D$2:D1110,D1110)</f>
        <v>1</v>
      </c>
      <c r="B1110" t="str">
        <f t="shared" si="69"/>
        <v>1Kingston upon Thames</v>
      </c>
      <c r="C1110" t="s">
        <v>3637</v>
      </c>
      <c r="D1110" t="s">
        <v>191</v>
      </c>
      <c r="E1110">
        <v>5</v>
      </c>
      <c r="F1110" t="s">
        <v>3638</v>
      </c>
      <c r="G1110" t="s">
        <v>834</v>
      </c>
      <c r="H1110" t="s">
        <v>835</v>
      </c>
      <c r="I1110" t="s">
        <v>836</v>
      </c>
      <c r="J1110">
        <f t="shared" ca="1" si="70"/>
        <v>1520112</v>
      </c>
      <c r="K1110">
        <f t="shared" ca="1" si="71"/>
        <v>115</v>
      </c>
      <c r="N1110" t="str">
        <f t="shared" si="68"/>
        <v>Hertfordshire8Older Peoples Budget - Home CareHome Care or Domiciliary CareDomiciliary care packages</v>
      </c>
      <c r="O1110" t="s">
        <v>175</v>
      </c>
      <c r="P1110" t="s">
        <v>1056</v>
      </c>
      <c r="Q1110">
        <v>8</v>
      </c>
      <c r="R1110" t="s">
        <v>3294</v>
      </c>
      <c r="S1110" t="s">
        <v>3639</v>
      </c>
      <c r="T1110" t="s">
        <v>842</v>
      </c>
      <c r="U1110" t="s">
        <v>843</v>
      </c>
      <c r="W1110">
        <v>1079603</v>
      </c>
      <c r="X1110">
        <v>1079603</v>
      </c>
      <c r="Y1110" t="s">
        <v>844</v>
      </c>
      <c r="Z1110" t="s">
        <v>792</v>
      </c>
      <c r="AB1110" t="s">
        <v>793</v>
      </c>
      <c r="AD1110" t="s">
        <v>794</v>
      </c>
      <c r="AE1110" t="s">
        <v>804</v>
      </c>
      <c r="AF1110" t="s">
        <v>1029</v>
      </c>
      <c r="AG1110" t="s">
        <v>797</v>
      </c>
      <c r="AH1110">
        <v>15229526</v>
      </c>
      <c r="AI1110">
        <v>15229526</v>
      </c>
      <c r="AJ1110">
        <v>0.31</v>
      </c>
    </row>
    <row r="1111" spans="1:36" x14ac:dyDescent="0.3">
      <c r="A1111">
        <f>COUNTIF($D$2:D1111,D1111)</f>
        <v>2</v>
      </c>
      <c r="B1111" t="str">
        <f t="shared" si="69"/>
        <v>2Kingston upon Thames</v>
      </c>
      <c r="C1111" t="s">
        <v>3640</v>
      </c>
      <c r="D1111" t="s">
        <v>191</v>
      </c>
      <c r="E1111">
        <v>6</v>
      </c>
      <c r="F1111" t="s">
        <v>3641</v>
      </c>
      <c r="G1111" t="s">
        <v>787</v>
      </c>
      <c r="H1111" t="s">
        <v>930</v>
      </c>
      <c r="I1111" t="s">
        <v>789</v>
      </c>
      <c r="J1111">
        <f t="shared" ca="1" si="70"/>
        <v>178067</v>
      </c>
      <c r="K1111">
        <f t="shared" ca="1" si="71"/>
        <v>216</v>
      </c>
      <c r="N1111" t="str">
        <f t="shared" si="68"/>
        <v>Hertfordshire11Older Peoples Budget - Assistive Technologies and EquipmentAssistive Technologies and EquipmentAssistive technologies including telecare</v>
      </c>
      <c r="O1111" t="s">
        <v>175</v>
      </c>
      <c r="P1111" t="s">
        <v>1056</v>
      </c>
      <c r="Q1111">
        <v>11</v>
      </c>
      <c r="R1111" t="s">
        <v>3297</v>
      </c>
      <c r="S1111" t="s">
        <v>3642</v>
      </c>
      <c r="T1111" t="s">
        <v>800</v>
      </c>
      <c r="U1111" t="s">
        <v>850</v>
      </c>
      <c r="W1111">
        <v>11800</v>
      </c>
      <c r="X1111">
        <v>11800</v>
      </c>
      <c r="Y1111" t="s">
        <v>802</v>
      </c>
      <c r="Z1111" t="s">
        <v>792</v>
      </c>
      <c r="AB1111" t="s">
        <v>793</v>
      </c>
      <c r="AD1111" t="s">
        <v>794</v>
      </c>
      <c r="AE1111" t="s">
        <v>825</v>
      </c>
      <c r="AF1111" t="s">
        <v>1029</v>
      </c>
      <c r="AG1111" t="s">
        <v>797</v>
      </c>
      <c r="AH1111">
        <v>831385</v>
      </c>
      <c r="AI1111">
        <v>831385</v>
      </c>
      <c r="AJ1111">
        <v>0.18</v>
      </c>
    </row>
    <row r="1112" spans="1:36" x14ac:dyDescent="0.3">
      <c r="A1112">
        <f>COUNTIF($D$2:D1112,D1112)</f>
        <v>3</v>
      </c>
      <c r="B1112" t="str">
        <f t="shared" si="69"/>
        <v>3Kingston upon Thames</v>
      </c>
      <c r="C1112" t="s">
        <v>3643</v>
      </c>
      <c r="D1112" t="s">
        <v>191</v>
      </c>
      <c r="E1112">
        <v>7</v>
      </c>
      <c r="F1112" t="s">
        <v>3644</v>
      </c>
      <c r="G1112" t="s">
        <v>842</v>
      </c>
      <c r="H1112" t="s">
        <v>843</v>
      </c>
      <c r="I1112" t="s">
        <v>844</v>
      </c>
      <c r="J1112">
        <f t="shared" ca="1" si="70"/>
        <v>905801</v>
      </c>
      <c r="K1112">
        <f t="shared" ca="1" si="71"/>
        <v>50155</v>
      </c>
      <c r="N1112" t="str">
        <f t="shared" si="68"/>
        <v>Hertfordshire13Older Peoples Budget - IMCBed based intermediate Care Services (Reablement, rehabilitation, wider short-term services supporting recovery)Other</v>
      </c>
      <c r="O1112" t="s">
        <v>175</v>
      </c>
      <c r="P1112" t="s">
        <v>1056</v>
      </c>
      <c r="Q1112">
        <v>13</v>
      </c>
      <c r="R1112" t="s">
        <v>3300</v>
      </c>
      <c r="S1112" t="s">
        <v>3645</v>
      </c>
      <c r="T1112" t="s">
        <v>877</v>
      </c>
      <c r="U1112" t="s">
        <v>812</v>
      </c>
      <c r="V1112" t="s">
        <v>3646</v>
      </c>
      <c r="W1112">
        <v>168</v>
      </c>
      <c r="X1112">
        <v>168</v>
      </c>
      <c r="Y1112" t="s">
        <v>879</v>
      </c>
      <c r="Z1112" t="s">
        <v>792</v>
      </c>
      <c r="AB1112" t="s">
        <v>793</v>
      </c>
      <c r="AD1112" t="s">
        <v>794</v>
      </c>
      <c r="AE1112" t="s">
        <v>804</v>
      </c>
      <c r="AF1112" t="s">
        <v>1029</v>
      </c>
      <c r="AG1112" t="s">
        <v>797</v>
      </c>
      <c r="AH1112">
        <v>1198262</v>
      </c>
      <c r="AI1112">
        <v>1198262</v>
      </c>
      <c r="AJ1112">
        <v>0.11</v>
      </c>
    </row>
    <row r="1113" spans="1:36" x14ac:dyDescent="0.3">
      <c r="A1113">
        <f>COUNTIF($D$2:D1113,D1113)</f>
        <v>4</v>
      </c>
      <c r="B1113" t="str">
        <f t="shared" si="69"/>
        <v>4Kingston upon Thames</v>
      </c>
      <c r="C1113" t="s">
        <v>3647</v>
      </c>
      <c r="D1113" t="s">
        <v>191</v>
      </c>
      <c r="E1113">
        <v>8</v>
      </c>
      <c r="F1113" t="s">
        <v>3648</v>
      </c>
      <c r="G1113" t="s">
        <v>806</v>
      </c>
      <c r="H1113" t="s">
        <v>807</v>
      </c>
      <c r="I1113" t="s">
        <v>808</v>
      </c>
      <c r="J1113">
        <f t="shared" ca="1" si="70"/>
        <v>221116</v>
      </c>
      <c r="K1113">
        <f t="shared" ca="1" si="71"/>
        <v>4</v>
      </c>
      <c r="N1113" t="str">
        <f t="shared" si="68"/>
        <v>Hertfordshire16Reablement at home (formerly Specialist Care at Home)Home-based intermediate care servicesOther</v>
      </c>
      <c r="O1113" t="s">
        <v>175</v>
      </c>
      <c r="P1113" t="s">
        <v>1056</v>
      </c>
      <c r="Q1113">
        <v>16</v>
      </c>
      <c r="R1113" t="s">
        <v>3303</v>
      </c>
      <c r="S1113" t="s">
        <v>3649</v>
      </c>
      <c r="T1113" t="s">
        <v>787</v>
      </c>
      <c r="U1113" t="s">
        <v>812</v>
      </c>
      <c r="V1113" t="s">
        <v>3650</v>
      </c>
      <c r="W1113">
        <v>4306</v>
      </c>
      <c r="X1113">
        <v>4704</v>
      </c>
      <c r="Y1113" t="s">
        <v>789</v>
      </c>
      <c r="Z1113" t="s">
        <v>792</v>
      </c>
      <c r="AB1113" t="s">
        <v>793</v>
      </c>
      <c r="AD1113" t="s">
        <v>794</v>
      </c>
      <c r="AE1113" t="s">
        <v>804</v>
      </c>
      <c r="AF1113" t="s">
        <v>796</v>
      </c>
      <c r="AG1113" t="s">
        <v>797</v>
      </c>
      <c r="AH1113">
        <v>9417410</v>
      </c>
      <c r="AI1113">
        <v>10288521</v>
      </c>
      <c r="AJ1113">
        <v>0.79</v>
      </c>
    </row>
    <row r="1114" spans="1:36" x14ac:dyDescent="0.3">
      <c r="A1114">
        <f>COUNTIF($D$2:D1114,D1114)</f>
        <v>5</v>
      </c>
      <c r="B1114" t="str">
        <f t="shared" si="69"/>
        <v>5Kingston upon Thames</v>
      </c>
      <c r="C1114" t="s">
        <v>3651</v>
      </c>
      <c r="D1114" t="s">
        <v>191</v>
      </c>
      <c r="E1114">
        <v>9</v>
      </c>
      <c r="F1114" t="s">
        <v>3648</v>
      </c>
      <c r="G1114" t="s">
        <v>806</v>
      </c>
      <c r="H1114" t="s">
        <v>807</v>
      </c>
      <c r="I1114" t="s">
        <v>808</v>
      </c>
      <c r="J1114">
        <f t="shared" ca="1" si="70"/>
        <v>2460692</v>
      </c>
      <c r="K1114">
        <f t="shared" ca="1" si="71"/>
        <v>39</v>
      </c>
      <c r="N1114" t="str">
        <f t="shared" si="68"/>
        <v>Hertfordshire17Social care baseline fundingResidential PlacementsCare home</v>
      </c>
      <c r="O1114" t="s">
        <v>175</v>
      </c>
      <c r="P1114" t="s">
        <v>1056</v>
      </c>
      <c r="Q1114">
        <v>17</v>
      </c>
      <c r="R1114" t="s">
        <v>3307</v>
      </c>
      <c r="S1114" t="s">
        <v>3652</v>
      </c>
      <c r="T1114" t="s">
        <v>806</v>
      </c>
      <c r="U1114" t="s">
        <v>807</v>
      </c>
      <c r="W1114">
        <v>351</v>
      </c>
      <c r="X1114">
        <v>351</v>
      </c>
      <c r="Y1114" t="s">
        <v>808</v>
      </c>
      <c r="Z1114" t="s">
        <v>792</v>
      </c>
      <c r="AB1114" t="s">
        <v>793</v>
      </c>
      <c r="AD1114" t="s">
        <v>794</v>
      </c>
      <c r="AE1114" t="s">
        <v>804</v>
      </c>
      <c r="AF1114" t="s">
        <v>796</v>
      </c>
      <c r="AG1114" t="s">
        <v>797</v>
      </c>
      <c r="AH1114">
        <v>15141000</v>
      </c>
      <c r="AI1114">
        <v>15141000</v>
      </c>
      <c r="AJ1114">
        <v>7.0000000000000007E-2</v>
      </c>
    </row>
    <row r="1115" spans="1:36" x14ac:dyDescent="0.3">
      <c r="A1115">
        <f>COUNTIF($D$2:D1115,D1115)</f>
        <v>6</v>
      </c>
      <c r="B1115" t="str">
        <f t="shared" si="69"/>
        <v>6Kingston upon Thames</v>
      </c>
      <c r="C1115" t="s">
        <v>3653</v>
      </c>
      <c r="D1115" t="s">
        <v>191</v>
      </c>
      <c r="E1115">
        <v>10</v>
      </c>
      <c r="F1115" t="s">
        <v>1051</v>
      </c>
      <c r="G1115" t="s">
        <v>800</v>
      </c>
      <c r="H1115" t="s">
        <v>903</v>
      </c>
      <c r="I1115" t="s">
        <v>802</v>
      </c>
      <c r="J1115">
        <f t="shared" ca="1" si="70"/>
        <v>430622</v>
      </c>
      <c r="K1115">
        <f t="shared" ca="1" si="71"/>
        <v>1090</v>
      </c>
      <c r="N1115" t="str">
        <f t="shared" si="68"/>
        <v>Hertfordshire18Preventative BudgetCarers ServicesCarer advice and support related to Care Act duties</v>
      </c>
      <c r="O1115" t="s">
        <v>175</v>
      </c>
      <c r="P1115" t="s">
        <v>1056</v>
      </c>
      <c r="Q1115">
        <v>18</v>
      </c>
      <c r="R1115" t="s">
        <v>3309</v>
      </c>
      <c r="S1115" t="s">
        <v>3654</v>
      </c>
      <c r="T1115" t="s">
        <v>811</v>
      </c>
      <c r="U1115" t="s">
        <v>895</v>
      </c>
      <c r="W1115">
        <v>16795</v>
      </c>
      <c r="X1115">
        <v>16795</v>
      </c>
      <c r="Y1115" t="s">
        <v>813</v>
      </c>
      <c r="Z1115" t="s">
        <v>792</v>
      </c>
      <c r="AB1115" t="s">
        <v>793</v>
      </c>
      <c r="AD1115" t="s">
        <v>794</v>
      </c>
      <c r="AE1115" t="s">
        <v>825</v>
      </c>
      <c r="AF1115" t="s">
        <v>1029</v>
      </c>
      <c r="AG1115" t="s">
        <v>797</v>
      </c>
      <c r="AH1115">
        <v>450521</v>
      </c>
      <c r="AI1115">
        <v>450521</v>
      </c>
      <c r="AJ1115">
        <v>0.19</v>
      </c>
    </row>
    <row r="1116" spans="1:36" x14ac:dyDescent="0.3">
      <c r="A1116">
        <f>COUNTIF($D$2:D1116,D1116)</f>
        <v>7</v>
      </c>
      <c r="B1116" t="str">
        <f t="shared" si="69"/>
        <v>7Kingston upon Thames</v>
      </c>
      <c r="C1116" t="s">
        <v>3655</v>
      </c>
      <c r="D1116" t="s">
        <v>191</v>
      </c>
      <c r="E1116">
        <v>16</v>
      </c>
      <c r="F1116" t="s">
        <v>3656</v>
      </c>
      <c r="G1116" t="s">
        <v>787</v>
      </c>
      <c r="H1116" t="s">
        <v>788</v>
      </c>
      <c r="I1116" t="s">
        <v>789</v>
      </c>
      <c r="J1116">
        <f t="shared" ca="1" si="70"/>
        <v>56547</v>
      </c>
      <c r="K1116">
        <f t="shared" ca="1" si="71"/>
        <v>1500</v>
      </c>
      <c r="N1116" t="str">
        <f t="shared" si="68"/>
        <v>Hertfordshire21Emergency Intervention Vehicle and Prevention of Admission ServiceHome-based intermediate care servicesReablement at home (to prevent admission to hospital or residential care)</v>
      </c>
      <c r="O1116" t="s">
        <v>175</v>
      </c>
      <c r="P1116" t="s">
        <v>1056</v>
      </c>
      <c r="Q1116">
        <v>21</v>
      </c>
      <c r="R1116" t="s">
        <v>3311</v>
      </c>
      <c r="S1116" t="s">
        <v>3657</v>
      </c>
      <c r="T1116" t="s">
        <v>787</v>
      </c>
      <c r="U1116" t="s">
        <v>886</v>
      </c>
      <c r="W1116">
        <v>1681</v>
      </c>
      <c r="X1116">
        <v>1776</v>
      </c>
      <c r="Y1116" t="s">
        <v>789</v>
      </c>
      <c r="Z1116" t="s">
        <v>823</v>
      </c>
      <c r="AB1116" t="s">
        <v>824</v>
      </c>
      <c r="AD1116" t="s">
        <v>794</v>
      </c>
      <c r="AE1116" t="s">
        <v>832</v>
      </c>
      <c r="AF1116" t="s">
        <v>796</v>
      </c>
      <c r="AG1116" t="s">
        <v>797</v>
      </c>
      <c r="AH1116">
        <v>1227521</v>
      </c>
      <c r="AI1116">
        <v>1296999</v>
      </c>
      <c r="AJ1116">
        <v>0.1</v>
      </c>
    </row>
    <row r="1117" spans="1:36" x14ac:dyDescent="0.3">
      <c r="A1117">
        <f>COUNTIF($D$2:D1117,D1117)</f>
        <v>8</v>
      </c>
      <c r="B1117" t="str">
        <f t="shared" si="69"/>
        <v>8Kingston upon Thames</v>
      </c>
      <c r="C1117" t="s">
        <v>3658</v>
      </c>
      <c r="D1117" t="s">
        <v>191</v>
      </c>
      <c r="E1117">
        <v>17</v>
      </c>
      <c r="F1117" t="s">
        <v>3659</v>
      </c>
      <c r="G1117" t="s">
        <v>842</v>
      </c>
      <c r="H1117" t="s">
        <v>1102</v>
      </c>
      <c r="I1117" t="s">
        <v>789</v>
      </c>
      <c r="J1117">
        <f t="shared" ca="1" si="70"/>
        <v>290073</v>
      </c>
      <c r="K1117">
        <f t="shared" ca="1" si="71"/>
        <v>16080</v>
      </c>
      <c r="N1117" t="str">
        <f t="shared" si="68"/>
        <v>Hertfordshire23Continuing Care (Adults) Residential PlacementsNursing home</v>
      </c>
      <c r="O1117" t="s">
        <v>175</v>
      </c>
      <c r="P1117" t="s">
        <v>1056</v>
      </c>
      <c r="Q1117">
        <v>23</v>
      </c>
      <c r="R1117" t="s">
        <v>3313</v>
      </c>
      <c r="S1117" t="s">
        <v>3313</v>
      </c>
      <c r="T1117" t="s">
        <v>806</v>
      </c>
      <c r="U1117" t="s">
        <v>917</v>
      </c>
      <c r="W1117">
        <v>542</v>
      </c>
      <c r="X1117">
        <v>572</v>
      </c>
      <c r="Y1117" t="s">
        <v>808</v>
      </c>
      <c r="Z1117" t="s">
        <v>1061</v>
      </c>
      <c r="AB1117" t="s">
        <v>824</v>
      </c>
      <c r="AD1117" t="s">
        <v>794</v>
      </c>
      <c r="AE1117" t="s">
        <v>804</v>
      </c>
      <c r="AF1117" t="s">
        <v>796</v>
      </c>
      <c r="AG1117" t="s">
        <v>797</v>
      </c>
      <c r="AH1117">
        <v>37999629</v>
      </c>
      <c r="AI1117">
        <v>40150408</v>
      </c>
      <c r="AJ1117">
        <v>0.19</v>
      </c>
    </row>
    <row r="1118" spans="1:36" x14ac:dyDescent="0.3">
      <c r="A1118">
        <f>COUNTIF($D$2:D1118,D1118)</f>
        <v>9</v>
      </c>
      <c r="B1118" t="str">
        <f t="shared" si="69"/>
        <v>9Kingston upon Thames</v>
      </c>
      <c r="C1118" t="s">
        <v>3660</v>
      </c>
      <c r="D1118" t="s">
        <v>191</v>
      </c>
      <c r="E1118">
        <v>18</v>
      </c>
      <c r="F1118" t="s">
        <v>3661</v>
      </c>
      <c r="G1118" t="s">
        <v>806</v>
      </c>
      <c r="H1118" t="s">
        <v>955</v>
      </c>
      <c r="I1118" t="s">
        <v>808</v>
      </c>
      <c r="J1118">
        <f t="shared" ca="1" si="70"/>
        <v>62997</v>
      </c>
      <c r="K1118">
        <f t="shared" ca="1" si="71"/>
        <v>1</v>
      </c>
      <c r="N1118" t="str">
        <f t="shared" si="68"/>
        <v>Hertfordshire26Funded Nursing Care (FNC) Residential PlacementsNursing home</v>
      </c>
      <c r="O1118" t="s">
        <v>175</v>
      </c>
      <c r="P1118" t="s">
        <v>1056</v>
      </c>
      <c r="Q1118">
        <v>26</v>
      </c>
      <c r="R1118" t="s">
        <v>3316</v>
      </c>
      <c r="S1118" t="s">
        <v>3662</v>
      </c>
      <c r="T1118" t="s">
        <v>806</v>
      </c>
      <c r="U1118" t="s">
        <v>917</v>
      </c>
      <c r="W1118">
        <v>2642</v>
      </c>
      <c r="X1118">
        <v>2642</v>
      </c>
      <c r="Y1118" t="s">
        <v>808</v>
      </c>
      <c r="Z1118" t="s">
        <v>1061</v>
      </c>
      <c r="AB1118" t="s">
        <v>824</v>
      </c>
      <c r="AD1118" t="s">
        <v>794</v>
      </c>
      <c r="AE1118" t="s">
        <v>804</v>
      </c>
      <c r="AF1118" t="s">
        <v>1042</v>
      </c>
      <c r="AG1118" t="s">
        <v>797</v>
      </c>
      <c r="AH1118">
        <v>16429897</v>
      </c>
      <c r="AI1118">
        <v>16429897</v>
      </c>
      <c r="AJ1118">
        <v>0.08</v>
      </c>
    </row>
    <row r="1119" spans="1:36" x14ac:dyDescent="0.3">
      <c r="A1119">
        <f>COUNTIF($D$2:D1119,D1119)</f>
        <v>1</v>
      </c>
      <c r="B1119" t="str">
        <f t="shared" si="69"/>
        <v>1Kirklees</v>
      </c>
      <c r="C1119" t="s">
        <v>3663</v>
      </c>
      <c r="D1119" t="s">
        <v>193</v>
      </c>
      <c r="E1119">
        <v>1</v>
      </c>
      <c r="F1119" t="s">
        <v>3664</v>
      </c>
      <c r="G1119" t="s">
        <v>800</v>
      </c>
      <c r="H1119" t="s">
        <v>903</v>
      </c>
      <c r="I1119" t="s">
        <v>802</v>
      </c>
      <c r="J1119">
        <f t="shared" ca="1" si="70"/>
        <v>4714747</v>
      </c>
      <c r="K1119">
        <f t="shared" ca="1" si="71"/>
        <v>19330</v>
      </c>
      <c r="N1119" t="str">
        <f t="shared" si="68"/>
        <v>Hertfordshire27Intermediate Care ServicesBed based intermediate Care Services (Reablement, rehabilitation, wider short-term services supporting recovery)Other</v>
      </c>
      <c r="O1119" t="s">
        <v>175</v>
      </c>
      <c r="P1119" t="s">
        <v>1056</v>
      </c>
      <c r="Q1119">
        <v>27</v>
      </c>
      <c r="R1119" t="s">
        <v>969</v>
      </c>
      <c r="S1119" t="s">
        <v>3665</v>
      </c>
      <c r="T1119" t="s">
        <v>877</v>
      </c>
      <c r="U1119" t="s">
        <v>812</v>
      </c>
      <c r="V1119" t="s">
        <v>3646</v>
      </c>
      <c r="W1119">
        <v>27</v>
      </c>
      <c r="X1119">
        <v>27</v>
      </c>
      <c r="Y1119" t="s">
        <v>879</v>
      </c>
      <c r="Z1119" t="s">
        <v>823</v>
      </c>
      <c r="AB1119" t="s">
        <v>824</v>
      </c>
      <c r="AD1119" t="s">
        <v>794</v>
      </c>
      <c r="AE1119" t="s">
        <v>804</v>
      </c>
      <c r="AF1119" t="s">
        <v>1042</v>
      </c>
      <c r="AG1119" t="s">
        <v>797</v>
      </c>
      <c r="AH1119">
        <v>1727794</v>
      </c>
      <c r="AI1119">
        <v>1727794</v>
      </c>
      <c r="AJ1119">
        <v>0.16</v>
      </c>
    </row>
    <row r="1120" spans="1:36" x14ac:dyDescent="0.3">
      <c r="A1120">
        <f>COUNTIF($D$2:D1120,D1120)</f>
        <v>2</v>
      </c>
      <c r="B1120" t="str">
        <f t="shared" si="69"/>
        <v>2Kirklees</v>
      </c>
      <c r="C1120" t="s">
        <v>3666</v>
      </c>
      <c r="D1120" t="s">
        <v>193</v>
      </c>
      <c r="E1120">
        <v>1</v>
      </c>
      <c r="F1120" t="s">
        <v>3664</v>
      </c>
      <c r="G1120" t="s">
        <v>834</v>
      </c>
      <c r="H1120" t="s">
        <v>835</v>
      </c>
      <c r="I1120" t="s">
        <v>836</v>
      </c>
      <c r="J1120">
        <f t="shared" ca="1" si="70"/>
        <v>3623994</v>
      </c>
      <c r="K1120">
        <f t="shared" ca="1" si="71"/>
        <v>382</v>
      </c>
      <c r="N1120" t="str">
        <f t="shared" si="68"/>
        <v>Hertfordshire29CarersCarers ServicesRespite services</v>
      </c>
      <c r="O1120" t="s">
        <v>175</v>
      </c>
      <c r="P1120" t="s">
        <v>1056</v>
      </c>
      <c r="Q1120">
        <v>29</v>
      </c>
      <c r="R1120" t="s">
        <v>1250</v>
      </c>
      <c r="S1120" t="s">
        <v>3667</v>
      </c>
      <c r="T1120" t="s">
        <v>811</v>
      </c>
      <c r="U1120" t="s">
        <v>830</v>
      </c>
      <c r="W1120">
        <v>26205</v>
      </c>
      <c r="X1120">
        <v>26205</v>
      </c>
      <c r="Y1120" t="s">
        <v>813</v>
      </c>
      <c r="Z1120" t="s">
        <v>792</v>
      </c>
      <c r="AB1120" t="s">
        <v>793</v>
      </c>
      <c r="AD1120" t="s">
        <v>794</v>
      </c>
      <c r="AE1120" t="s">
        <v>825</v>
      </c>
      <c r="AF1120" t="s">
        <v>1042</v>
      </c>
      <c r="AG1120" t="s">
        <v>797</v>
      </c>
      <c r="AH1120">
        <v>703044</v>
      </c>
      <c r="AI1120">
        <v>703044</v>
      </c>
      <c r="AJ1120">
        <v>1</v>
      </c>
    </row>
    <row r="1121" spans="1:36" x14ac:dyDescent="0.3">
      <c r="A1121">
        <f>COUNTIF($D$2:D1121,D1121)</f>
        <v>3</v>
      </c>
      <c r="B1121" t="str">
        <f t="shared" si="69"/>
        <v>3Kirklees</v>
      </c>
      <c r="C1121" t="s">
        <v>3668</v>
      </c>
      <c r="D1121" t="s">
        <v>193</v>
      </c>
      <c r="E1121">
        <v>2</v>
      </c>
      <c r="F1121" t="s">
        <v>1778</v>
      </c>
      <c r="G1121" t="s">
        <v>787</v>
      </c>
      <c r="H1121" t="s">
        <v>788</v>
      </c>
      <c r="I1121" t="s">
        <v>789</v>
      </c>
      <c r="J1121">
        <f t="shared" ca="1" si="70"/>
        <v>7100610</v>
      </c>
      <c r="K1121">
        <f t="shared" ca="1" si="71"/>
        <v>1800</v>
      </c>
      <c r="N1121" t="str">
        <f t="shared" si="68"/>
        <v>Hertfordshire32Additional contribution to maintenance of social careBed based intermediate Care Services (Reablement, rehabilitation, wider short-term services supporting recovery)Other</v>
      </c>
      <c r="O1121" t="s">
        <v>175</v>
      </c>
      <c r="P1121" t="s">
        <v>1056</v>
      </c>
      <c r="Q1121">
        <v>32</v>
      </c>
      <c r="R1121" t="s">
        <v>3325</v>
      </c>
      <c r="S1121" t="s">
        <v>3645</v>
      </c>
      <c r="T1121" t="s">
        <v>877</v>
      </c>
      <c r="U1121" t="s">
        <v>812</v>
      </c>
      <c r="V1121" t="s">
        <v>3646</v>
      </c>
      <c r="W1121">
        <v>147</v>
      </c>
      <c r="X1121">
        <v>147</v>
      </c>
      <c r="Y1121" t="s">
        <v>879</v>
      </c>
      <c r="Z1121" t="s">
        <v>792</v>
      </c>
      <c r="AB1121" t="s">
        <v>793</v>
      </c>
      <c r="AD1121" t="s">
        <v>794</v>
      </c>
      <c r="AE1121" t="s">
        <v>804</v>
      </c>
      <c r="AF1121" t="s">
        <v>1042</v>
      </c>
      <c r="AG1121" t="s">
        <v>797</v>
      </c>
      <c r="AH1121">
        <v>1052000</v>
      </c>
      <c r="AI1121">
        <v>1052000</v>
      </c>
      <c r="AJ1121">
        <v>0.1</v>
      </c>
    </row>
    <row r="1122" spans="1:36" x14ac:dyDescent="0.3">
      <c r="A1122">
        <f>COUNTIF($D$2:D1122,D1122)</f>
        <v>4</v>
      </c>
      <c r="B1122" t="str">
        <f t="shared" si="69"/>
        <v>4Kirklees</v>
      </c>
      <c r="C1122" t="s">
        <v>3669</v>
      </c>
      <c r="D1122" t="s">
        <v>193</v>
      </c>
      <c r="E1122">
        <v>2</v>
      </c>
      <c r="F1122" t="s">
        <v>1778</v>
      </c>
      <c r="G1122" t="s">
        <v>877</v>
      </c>
      <c r="H1122" t="s">
        <v>968</v>
      </c>
      <c r="I1122" t="s">
        <v>879</v>
      </c>
      <c r="J1122">
        <f t="shared" ca="1" si="70"/>
        <v>1358438</v>
      </c>
      <c r="K1122">
        <f t="shared" ca="1" si="71"/>
        <v>30</v>
      </c>
      <c r="N1122" t="str">
        <f t="shared" si="68"/>
        <v xml:space="preserve">Hertfordshire37DTA Business Case - Pathway 1Home-based intermediate care servicesReablement at home (to support discharge) </v>
      </c>
      <c r="O1122" t="s">
        <v>175</v>
      </c>
      <c r="P1122" t="s">
        <v>1056</v>
      </c>
      <c r="Q1122">
        <v>37</v>
      </c>
      <c r="R1122" t="s">
        <v>3328</v>
      </c>
      <c r="S1122" t="s">
        <v>3670</v>
      </c>
      <c r="T1122" t="s">
        <v>787</v>
      </c>
      <c r="U1122" t="s">
        <v>788</v>
      </c>
      <c r="W1122">
        <v>840</v>
      </c>
      <c r="X1122">
        <v>1406</v>
      </c>
      <c r="Y1122" t="s">
        <v>789</v>
      </c>
      <c r="Z1122" t="s">
        <v>792</v>
      </c>
      <c r="AB1122" t="s">
        <v>793</v>
      </c>
      <c r="AD1122" t="s">
        <v>794</v>
      </c>
      <c r="AE1122" t="s">
        <v>804</v>
      </c>
      <c r="AF1122" t="s">
        <v>864</v>
      </c>
      <c r="AG1122" t="s">
        <v>861</v>
      </c>
      <c r="AH1122">
        <v>1838130</v>
      </c>
      <c r="AI1122">
        <v>3074261</v>
      </c>
      <c r="AJ1122">
        <v>0.2</v>
      </c>
    </row>
    <row r="1123" spans="1:36" x14ac:dyDescent="0.3">
      <c r="A1123">
        <f>COUNTIF($D$2:D1123,D1123)</f>
        <v>5</v>
      </c>
      <c r="B1123" t="str">
        <f t="shared" si="69"/>
        <v>5Kirklees</v>
      </c>
      <c r="C1123" t="s">
        <v>3671</v>
      </c>
      <c r="D1123" t="s">
        <v>193</v>
      </c>
      <c r="E1123">
        <v>2</v>
      </c>
      <c r="F1123" t="s">
        <v>1778</v>
      </c>
      <c r="G1123" t="s">
        <v>787</v>
      </c>
      <c r="H1123" t="s">
        <v>812</v>
      </c>
      <c r="I1123" t="s">
        <v>789</v>
      </c>
      <c r="J1123">
        <f t="shared" ca="1" si="70"/>
        <v>2256846</v>
      </c>
      <c r="K1123">
        <f t="shared" ca="1" si="71"/>
        <v>640</v>
      </c>
      <c r="N1123" t="str">
        <f t="shared" si="68"/>
        <v>Hertfordshire38DTA Business Case - Pathway 1Home Care or Domiciliary CareDomiciliary care packages</v>
      </c>
      <c r="O1123" t="s">
        <v>175</v>
      </c>
      <c r="P1123" t="s">
        <v>1056</v>
      </c>
      <c r="Q1123">
        <v>38</v>
      </c>
      <c r="R1123" t="s">
        <v>3328</v>
      </c>
      <c r="S1123" t="s">
        <v>3672</v>
      </c>
      <c r="T1123" t="s">
        <v>842</v>
      </c>
      <c r="U1123" t="s">
        <v>843</v>
      </c>
      <c r="W1123">
        <v>52276</v>
      </c>
      <c r="X1123">
        <v>58141</v>
      </c>
      <c r="Y1123" t="s">
        <v>844</v>
      </c>
      <c r="Z1123" t="s">
        <v>792</v>
      </c>
      <c r="AB1123" t="s">
        <v>793</v>
      </c>
      <c r="AD1123" t="s">
        <v>794</v>
      </c>
      <c r="AE1123" t="s">
        <v>804</v>
      </c>
      <c r="AF1123" t="s">
        <v>864</v>
      </c>
      <c r="AG1123" t="s">
        <v>861</v>
      </c>
      <c r="AH1123">
        <v>1464244</v>
      </c>
      <c r="AI1123">
        <v>1628534</v>
      </c>
      <c r="AJ1123">
        <v>0.03</v>
      </c>
    </row>
    <row r="1124" spans="1:36" x14ac:dyDescent="0.3">
      <c r="A1124">
        <f>COUNTIF($D$2:D1124,D1124)</f>
        <v>6</v>
      </c>
      <c r="B1124" t="str">
        <f t="shared" si="69"/>
        <v>6Kirklees</v>
      </c>
      <c r="C1124" t="s">
        <v>3673</v>
      </c>
      <c r="D1124" t="s">
        <v>193</v>
      </c>
      <c r="E1124">
        <v>3</v>
      </c>
      <c r="F1124" t="s">
        <v>3674</v>
      </c>
      <c r="G1124" t="s">
        <v>811</v>
      </c>
      <c r="H1124" t="s">
        <v>895</v>
      </c>
      <c r="I1124" t="s">
        <v>813</v>
      </c>
      <c r="J1124">
        <f t="shared" ca="1" si="70"/>
        <v>1167112</v>
      </c>
      <c r="K1124">
        <f t="shared" ca="1" si="71"/>
        <v>696</v>
      </c>
      <c r="N1124" t="str">
        <f t="shared" si="68"/>
        <v>Hertfordshire40DTA Business Case - Pathway 2Bed based intermediate Care Services (Reablement, rehabilitation, wider short-term services supporting recovery)Bed-based intermediate care with rehabilitation (to support discharge)</v>
      </c>
      <c r="O1124" t="s">
        <v>175</v>
      </c>
      <c r="P1124" t="s">
        <v>1056</v>
      </c>
      <c r="Q1124">
        <v>40</v>
      </c>
      <c r="R1124" t="s">
        <v>3333</v>
      </c>
      <c r="S1124" t="s">
        <v>3675</v>
      </c>
      <c r="T1124" t="s">
        <v>877</v>
      </c>
      <c r="U1124" t="s">
        <v>968</v>
      </c>
      <c r="W1124">
        <v>477</v>
      </c>
      <c r="X1124">
        <v>839</v>
      </c>
      <c r="Y1124" t="s">
        <v>879</v>
      </c>
      <c r="Z1124" t="s">
        <v>792</v>
      </c>
      <c r="AB1124" t="s">
        <v>793</v>
      </c>
      <c r="AD1124" t="s">
        <v>794</v>
      </c>
      <c r="AE1124" t="s">
        <v>804</v>
      </c>
      <c r="AF1124" t="s">
        <v>860</v>
      </c>
      <c r="AG1124" t="s">
        <v>797</v>
      </c>
      <c r="AH1124">
        <v>3406989</v>
      </c>
      <c r="AI1124">
        <v>5994028</v>
      </c>
      <c r="AJ1124">
        <v>0.43</v>
      </c>
    </row>
    <row r="1125" spans="1:36" x14ac:dyDescent="0.3">
      <c r="A1125">
        <f>COUNTIF($D$2:D1125,D1125)</f>
        <v>7</v>
      </c>
      <c r="B1125" t="str">
        <f t="shared" si="69"/>
        <v>7Kirklees</v>
      </c>
      <c r="C1125" t="s">
        <v>3676</v>
      </c>
      <c r="D1125" t="s">
        <v>193</v>
      </c>
      <c r="E1125">
        <v>3</v>
      </c>
      <c r="F1125" t="s">
        <v>3674</v>
      </c>
      <c r="G1125" t="s">
        <v>811</v>
      </c>
      <c r="H1125" t="s">
        <v>830</v>
      </c>
      <c r="I1125" t="s">
        <v>813</v>
      </c>
      <c r="J1125">
        <f t="shared" ca="1" si="70"/>
        <v>2149128</v>
      </c>
      <c r="K1125">
        <f t="shared" ca="1" si="71"/>
        <v>184</v>
      </c>
      <c r="N1125" t="str">
        <f t="shared" si="68"/>
        <v>Hillingdon1Neighbourhood developmentHome-based intermediate care servicesReablement at home (to prevent admission to hospital or residential care)</v>
      </c>
      <c r="O1125" t="s">
        <v>177</v>
      </c>
      <c r="P1125" t="s">
        <v>790</v>
      </c>
      <c r="Q1125">
        <v>1</v>
      </c>
      <c r="R1125" t="s">
        <v>3336</v>
      </c>
      <c r="S1125" t="s">
        <v>3677</v>
      </c>
      <c r="T1125" t="s">
        <v>787</v>
      </c>
      <c r="U1125" t="s">
        <v>886</v>
      </c>
      <c r="W1125">
        <v>901</v>
      </c>
      <c r="X1125">
        <v>901</v>
      </c>
      <c r="Y1125" t="s">
        <v>789</v>
      </c>
      <c r="Z1125" t="s">
        <v>823</v>
      </c>
      <c r="AB1125" t="s">
        <v>824</v>
      </c>
      <c r="AD1125" t="s">
        <v>794</v>
      </c>
      <c r="AE1125" t="s">
        <v>832</v>
      </c>
      <c r="AF1125" t="s">
        <v>1042</v>
      </c>
      <c r="AG1125" t="s">
        <v>797</v>
      </c>
      <c r="AH1125">
        <v>169534</v>
      </c>
      <c r="AI1125">
        <v>169534</v>
      </c>
      <c r="AJ1125">
        <v>3.883936431222465E-2</v>
      </c>
    </row>
    <row r="1126" spans="1:36" x14ac:dyDescent="0.3">
      <c r="A1126">
        <f>COUNTIF($D$2:D1126,D1126)</f>
        <v>8</v>
      </c>
      <c r="B1126" t="str">
        <f t="shared" si="69"/>
        <v>8Kirklees</v>
      </c>
      <c r="C1126" t="s">
        <v>3678</v>
      </c>
      <c r="D1126" t="s">
        <v>193</v>
      </c>
      <c r="E1126">
        <v>4</v>
      </c>
      <c r="F1126" t="s">
        <v>2066</v>
      </c>
      <c r="G1126" t="s">
        <v>842</v>
      </c>
      <c r="H1126" t="s">
        <v>843</v>
      </c>
      <c r="I1126" t="s">
        <v>844</v>
      </c>
      <c r="J1126">
        <f t="shared" ca="1" si="70"/>
        <v>3831000</v>
      </c>
      <c r="K1126">
        <f t="shared" ca="1" si="71"/>
        <v>164350</v>
      </c>
      <c r="N1126" t="str">
        <f t="shared" si="68"/>
        <v>Hillingdon1Neighbourhood developmentAssistive Technologies and EquipmentAssistive technologies including telecare</v>
      </c>
      <c r="O1126" t="s">
        <v>177</v>
      </c>
      <c r="P1126" t="s">
        <v>790</v>
      </c>
      <c r="Q1126">
        <v>1</v>
      </c>
      <c r="R1126" t="s">
        <v>3336</v>
      </c>
      <c r="S1126" t="s">
        <v>3679</v>
      </c>
      <c r="T1126" t="s">
        <v>800</v>
      </c>
      <c r="U1126" t="s">
        <v>850</v>
      </c>
      <c r="W1126">
        <v>7470</v>
      </c>
      <c r="X1126">
        <v>7300</v>
      </c>
      <c r="Y1126" t="s">
        <v>802</v>
      </c>
      <c r="Z1126" t="s">
        <v>792</v>
      </c>
      <c r="AB1126" t="s">
        <v>793</v>
      </c>
      <c r="AD1126" t="s">
        <v>794</v>
      </c>
      <c r="AE1126" t="s">
        <v>804</v>
      </c>
      <c r="AF1126" t="s">
        <v>840</v>
      </c>
      <c r="AG1126" t="s">
        <v>797</v>
      </c>
      <c r="AH1126">
        <v>360000</v>
      </c>
      <c r="AI1126">
        <v>360000</v>
      </c>
      <c r="AJ1126">
        <v>0.14945293996766004</v>
      </c>
    </row>
    <row r="1127" spans="1:36" x14ac:dyDescent="0.3">
      <c r="A1127">
        <f>COUNTIF($D$2:D1127,D1127)</f>
        <v>9</v>
      </c>
      <c r="B1127" t="str">
        <f t="shared" si="69"/>
        <v>9Kirklees</v>
      </c>
      <c r="C1127" t="s">
        <v>3680</v>
      </c>
      <c r="D1127" t="s">
        <v>193</v>
      </c>
      <c r="E1127">
        <v>7</v>
      </c>
      <c r="F1127" t="s">
        <v>1786</v>
      </c>
      <c r="G1127" t="s">
        <v>842</v>
      </c>
      <c r="H1127" t="s">
        <v>856</v>
      </c>
      <c r="I1127" t="s">
        <v>844</v>
      </c>
      <c r="J1127">
        <f t="shared" ca="1" si="70"/>
        <v>337348</v>
      </c>
      <c r="K1127">
        <f t="shared" ca="1" si="71"/>
        <v>14807</v>
      </c>
      <c r="N1127" t="str">
        <f t="shared" si="68"/>
        <v>Hillingdon1Neighbourhood developmentDFG Related SchemesAdaptations, including statutory DFG grants</v>
      </c>
      <c r="O1127" t="s">
        <v>177</v>
      </c>
      <c r="P1127" t="s">
        <v>790</v>
      </c>
      <c r="Q1127">
        <v>1</v>
      </c>
      <c r="R1127" t="s">
        <v>3336</v>
      </c>
      <c r="S1127" t="s">
        <v>3681</v>
      </c>
      <c r="T1127" t="s">
        <v>834</v>
      </c>
      <c r="U1127" t="s">
        <v>835</v>
      </c>
      <c r="W1127">
        <v>350</v>
      </c>
      <c r="X1127">
        <v>350</v>
      </c>
      <c r="Y1127" t="s">
        <v>836</v>
      </c>
      <c r="Z1127" t="s">
        <v>792</v>
      </c>
      <c r="AB1127" t="s">
        <v>793</v>
      </c>
      <c r="AD1127" t="s">
        <v>794</v>
      </c>
      <c r="AE1127" t="s">
        <v>804</v>
      </c>
      <c r="AF1127" t="s">
        <v>840</v>
      </c>
      <c r="AG1127" t="s">
        <v>797</v>
      </c>
      <c r="AH1127">
        <v>2692273</v>
      </c>
      <c r="AI1127">
        <v>2692273</v>
      </c>
      <c r="AJ1127">
        <v>0.99629941164345714</v>
      </c>
    </row>
    <row r="1128" spans="1:36" x14ac:dyDescent="0.3">
      <c r="A1128">
        <f>COUNTIF($D$2:D1128,D1128)</f>
        <v>10</v>
      </c>
      <c r="B1128" t="str">
        <f t="shared" si="69"/>
        <v>10Kirklees</v>
      </c>
      <c r="C1128" t="s">
        <v>3682</v>
      </c>
      <c r="D1128" t="s">
        <v>193</v>
      </c>
      <c r="E1128">
        <v>7</v>
      </c>
      <c r="F1128" t="s">
        <v>1786</v>
      </c>
      <c r="G1128" t="s">
        <v>787</v>
      </c>
      <c r="H1128" t="s">
        <v>788</v>
      </c>
      <c r="I1128" t="s">
        <v>789</v>
      </c>
      <c r="J1128">
        <f t="shared" ca="1" si="70"/>
        <v>191880</v>
      </c>
      <c r="K1128">
        <f t="shared" ca="1" si="71"/>
        <v>49</v>
      </c>
      <c r="N1128" t="str">
        <f t="shared" si="68"/>
        <v>Hillingdon1Neighbourhood developmentResidential PlacementsNursing home</v>
      </c>
      <c r="O1128" t="s">
        <v>177</v>
      </c>
      <c r="P1128" t="s">
        <v>790</v>
      </c>
      <c r="Q1128">
        <v>1</v>
      </c>
      <c r="R1128" t="s">
        <v>3336</v>
      </c>
      <c r="S1128" t="s">
        <v>3683</v>
      </c>
      <c r="T1128" t="s">
        <v>806</v>
      </c>
      <c r="U1128" t="s">
        <v>917</v>
      </c>
      <c r="W1128">
        <v>10</v>
      </c>
      <c r="X1128">
        <v>10</v>
      </c>
      <c r="Y1128" t="s">
        <v>808</v>
      </c>
      <c r="Z1128" t="s">
        <v>792</v>
      </c>
      <c r="AB1128" t="s">
        <v>793</v>
      </c>
      <c r="AD1128" t="s">
        <v>794</v>
      </c>
      <c r="AE1128" t="s">
        <v>804</v>
      </c>
      <c r="AF1128" t="s">
        <v>1042</v>
      </c>
      <c r="AG1128" t="s">
        <v>861</v>
      </c>
      <c r="AH1128">
        <v>18795</v>
      </c>
      <c r="AI1128">
        <v>18795</v>
      </c>
      <c r="AJ1128">
        <v>4.3317442166230727E-4</v>
      </c>
    </row>
    <row r="1129" spans="1:36" x14ac:dyDescent="0.3">
      <c r="A1129">
        <f>COUNTIF($D$2:D1129,D1129)</f>
        <v>11</v>
      </c>
      <c r="B1129" t="str">
        <f t="shared" si="69"/>
        <v>11Kirklees</v>
      </c>
      <c r="C1129" t="s">
        <v>3684</v>
      </c>
      <c r="D1129" t="s">
        <v>193</v>
      </c>
      <c r="E1129">
        <v>7</v>
      </c>
      <c r="F1129" t="s">
        <v>1786</v>
      </c>
      <c r="G1129" t="s">
        <v>877</v>
      </c>
      <c r="H1129" t="s">
        <v>968</v>
      </c>
      <c r="I1129" t="s">
        <v>879</v>
      </c>
      <c r="J1129">
        <f t="shared" ca="1" si="70"/>
        <v>1811381</v>
      </c>
      <c r="K1129">
        <f t="shared" ca="1" si="71"/>
        <v>851</v>
      </c>
      <c r="N1129" t="str">
        <f t="shared" si="68"/>
        <v>Hillingdon2Supporting carersCarers ServicesCarer advice and support related to Care Act duties</v>
      </c>
      <c r="O1129" t="s">
        <v>177</v>
      </c>
      <c r="P1129" t="s">
        <v>790</v>
      </c>
      <c r="Q1129">
        <v>2</v>
      </c>
      <c r="R1129" t="s">
        <v>3346</v>
      </c>
      <c r="S1129" t="s">
        <v>3685</v>
      </c>
      <c r="T1129" t="s">
        <v>811</v>
      </c>
      <c r="U1129" t="s">
        <v>895</v>
      </c>
      <c r="W1129">
        <v>6077</v>
      </c>
      <c r="X1129">
        <v>6100</v>
      </c>
      <c r="Y1129" t="s">
        <v>813</v>
      </c>
      <c r="Z1129" t="s">
        <v>792</v>
      </c>
      <c r="AB1129" t="s">
        <v>793</v>
      </c>
      <c r="AD1129" t="s">
        <v>794</v>
      </c>
      <c r="AE1129" t="s">
        <v>825</v>
      </c>
      <c r="AF1129" t="s">
        <v>1029</v>
      </c>
      <c r="AG1129" t="s">
        <v>797</v>
      </c>
      <c r="AH1129">
        <v>690000</v>
      </c>
      <c r="AI1129">
        <v>690000</v>
      </c>
      <c r="AJ1129">
        <v>0.51399825836532165</v>
      </c>
    </row>
    <row r="1130" spans="1:36" x14ac:dyDescent="0.3">
      <c r="A1130">
        <f>COUNTIF($D$2:D1130,D1130)</f>
        <v>12</v>
      </c>
      <c r="B1130" t="str">
        <f t="shared" si="69"/>
        <v>12Kirklees</v>
      </c>
      <c r="C1130" t="s">
        <v>3686</v>
      </c>
      <c r="D1130" t="s">
        <v>193</v>
      </c>
      <c r="E1130">
        <v>7</v>
      </c>
      <c r="F1130" t="s">
        <v>1786</v>
      </c>
      <c r="G1130" t="s">
        <v>800</v>
      </c>
      <c r="H1130" t="s">
        <v>903</v>
      </c>
      <c r="I1130" t="s">
        <v>802</v>
      </c>
      <c r="J1130">
        <f t="shared" ca="1" si="70"/>
        <v>200000</v>
      </c>
      <c r="K1130">
        <f t="shared" ca="1" si="71"/>
        <v>1032</v>
      </c>
      <c r="N1130" t="str">
        <f t="shared" si="68"/>
        <v>Hillingdon2Supporting carersCarers ServicesRespite services</v>
      </c>
      <c r="O1130" t="s">
        <v>177</v>
      </c>
      <c r="P1130" t="s">
        <v>790</v>
      </c>
      <c r="Q1130">
        <v>2</v>
      </c>
      <c r="R1130" t="s">
        <v>3346</v>
      </c>
      <c r="S1130" t="s">
        <v>3687</v>
      </c>
      <c r="T1130" t="s">
        <v>811</v>
      </c>
      <c r="U1130" t="s">
        <v>830</v>
      </c>
      <c r="W1130">
        <v>30</v>
      </c>
      <c r="X1130">
        <v>30</v>
      </c>
      <c r="Y1130" t="s">
        <v>813</v>
      </c>
      <c r="Z1130" t="s">
        <v>792</v>
      </c>
      <c r="AB1130" t="s">
        <v>793</v>
      </c>
      <c r="AD1130" t="s">
        <v>794</v>
      </c>
      <c r="AE1130" t="s">
        <v>804</v>
      </c>
      <c r="AF1130" t="s">
        <v>796</v>
      </c>
      <c r="AG1130" t="s">
        <v>797</v>
      </c>
      <c r="AH1130">
        <v>83471</v>
      </c>
      <c r="AI1130">
        <v>88196</v>
      </c>
      <c r="AJ1130">
        <v>6.3939521028115703E-2</v>
      </c>
    </row>
    <row r="1131" spans="1:36" x14ac:dyDescent="0.3">
      <c r="A1131">
        <f>COUNTIF($D$2:D1131,D1131)</f>
        <v>1</v>
      </c>
      <c r="B1131" t="str">
        <f t="shared" si="69"/>
        <v>1Knowsley</v>
      </c>
      <c r="C1131" t="s">
        <v>3688</v>
      </c>
      <c r="D1131" t="s">
        <v>195</v>
      </c>
      <c r="E1131">
        <v>2</v>
      </c>
      <c r="F1131" t="s">
        <v>434</v>
      </c>
      <c r="G1131" t="s">
        <v>787</v>
      </c>
      <c r="H1131" t="s">
        <v>788</v>
      </c>
      <c r="I1131" t="s">
        <v>789</v>
      </c>
      <c r="J1131">
        <f t="shared" ca="1" si="70"/>
        <v>951262</v>
      </c>
      <c r="K1131">
        <f t="shared" ca="1" si="71"/>
        <v>120</v>
      </c>
      <c r="N1131" t="str">
        <f t="shared" si="68"/>
        <v>Hillingdon2Supporting carersCarers ServicesRespite services</v>
      </c>
      <c r="O1131" t="s">
        <v>177</v>
      </c>
      <c r="P1131" t="s">
        <v>790</v>
      </c>
      <c r="Q1131">
        <v>2</v>
      </c>
      <c r="R1131" t="s">
        <v>3346</v>
      </c>
      <c r="S1131" t="s">
        <v>3689</v>
      </c>
      <c r="T1131" t="s">
        <v>811</v>
      </c>
      <c r="U1131" t="s">
        <v>830</v>
      </c>
      <c r="W1131">
        <v>30</v>
      </c>
      <c r="X1131">
        <v>30</v>
      </c>
      <c r="Y1131" t="s">
        <v>813</v>
      </c>
      <c r="Z1131" t="s">
        <v>792</v>
      </c>
      <c r="AB1131" t="s">
        <v>793</v>
      </c>
      <c r="AD1131" t="s">
        <v>794</v>
      </c>
      <c r="AE1131" t="s">
        <v>804</v>
      </c>
      <c r="AF1131" t="s">
        <v>796</v>
      </c>
      <c r="AG1131" t="s">
        <v>797</v>
      </c>
      <c r="AH1131">
        <v>386716</v>
      </c>
      <c r="AI1131">
        <v>386716</v>
      </c>
      <c r="AJ1131">
        <v>0.28807442098841118</v>
      </c>
    </row>
    <row r="1132" spans="1:36" x14ac:dyDescent="0.3">
      <c r="A1132">
        <f>COUNTIF($D$2:D1132,D1132)</f>
        <v>2</v>
      </c>
      <c r="B1132" t="str">
        <f t="shared" si="69"/>
        <v>2Knowsley</v>
      </c>
      <c r="C1132" t="s">
        <v>3690</v>
      </c>
      <c r="D1132" t="s">
        <v>195</v>
      </c>
      <c r="E1132">
        <v>4</v>
      </c>
      <c r="F1132" t="s">
        <v>3691</v>
      </c>
      <c r="G1132" t="s">
        <v>842</v>
      </c>
      <c r="H1132" t="s">
        <v>843</v>
      </c>
      <c r="I1132" t="s">
        <v>844</v>
      </c>
      <c r="J1132">
        <f t="shared" ca="1" si="70"/>
        <v>84000</v>
      </c>
      <c r="K1132">
        <f t="shared" ca="1" si="71"/>
        <v>4268</v>
      </c>
      <c r="N1132" t="str">
        <f t="shared" si="68"/>
        <v>Hillingdon3Reactive careHome-based intermediate care servicesRehabilitation at home (to support discharge)</v>
      </c>
      <c r="O1132" t="s">
        <v>177</v>
      </c>
      <c r="P1132" t="s">
        <v>790</v>
      </c>
      <c r="Q1132">
        <v>3</v>
      </c>
      <c r="R1132" t="s">
        <v>3351</v>
      </c>
      <c r="S1132" t="s">
        <v>3692</v>
      </c>
      <c r="T1132" t="s">
        <v>787</v>
      </c>
      <c r="U1132" t="s">
        <v>1195</v>
      </c>
      <c r="W1132">
        <v>65320</v>
      </c>
      <c r="X1132">
        <v>65320</v>
      </c>
      <c r="Y1132" t="s">
        <v>789</v>
      </c>
      <c r="Z1132" t="s">
        <v>823</v>
      </c>
      <c r="AB1132" t="s">
        <v>824</v>
      </c>
      <c r="AD1132" t="s">
        <v>794</v>
      </c>
      <c r="AE1132" t="s">
        <v>832</v>
      </c>
      <c r="AF1132" t="s">
        <v>796</v>
      </c>
      <c r="AG1132" t="s">
        <v>797</v>
      </c>
      <c r="AH1132">
        <v>2085215</v>
      </c>
      <c r="AI1132">
        <v>2203238</v>
      </c>
      <c r="AJ1132">
        <v>0.49123122324387064</v>
      </c>
    </row>
    <row r="1133" spans="1:36" x14ac:dyDescent="0.3">
      <c r="A1133">
        <f>COUNTIF($D$2:D1133,D1133)</f>
        <v>3</v>
      </c>
      <c r="B1133" t="str">
        <f t="shared" si="69"/>
        <v>3Knowsley</v>
      </c>
      <c r="C1133" t="s">
        <v>3693</v>
      </c>
      <c r="D1133" t="s">
        <v>195</v>
      </c>
      <c r="E1133">
        <v>5</v>
      </c>
      <c r="F1133" t="s">
        <v>3694</v>
      </c>
      <c r="G1133" t="s">
        <v>806</v>
      </c>
      <c r="H1133" t="s">
        <v>807</v>
      </c>
      <c r="I1133" t="s">
        <v>808</v>
      </c>
      <c r="J1133">
        <f t="shared" ca="1" si="70"/>
        <v>229950</v>
      </c>
      <c r="K1133">
        <f t="shared" ca="1" si="71"/>
        <v>7</v>
      </c>
      <c r="N1133" t="str">
        <f t="shared" si="68"/>
        <v>Hillingdon3Reactive careBed based intermediate Care Services (Reablement, rehabilitation, wider short-term services supporting recovery)Bed-based intermediate care with rehabilitation (to support discharge)</v>
      </c>
      <c r="O1133" t="s">
        <v>177</v>
      </c>
      <c r="P1133" t="s">
        <v>790</v>
      </c>
      <c r="Q1133">
        <v>3</v>
      </c>
      <c r="R1133" t="s">
        <v>3351</v>
      </c>
      <c r="S1133" t="s">
        <v>3695</v>
      </c>
      <c r="T1133" t="s">
        <v>877</v>
      </c>
      <c r="U1133" t="s">
        <v>968</v>
      </c>
      <c r="W1133">
        <v>7016</v>
      </c>
      <c r="X1133">
        <v>7016</v>
      </c>
      <c r="Y1133" t="s">
        <v>879</v>
      </c>
      <c r="Z1133" t="s">
        <v>823</v>
      </c>
      <c r="AB1133" t="s">
        <v>824</v>
      </c>
      <c r="AD1133" t="s">
        <v>794</v>
      </c>
      <c r="AE1133" t="s">
        <v>832</v>
      </c>
      <c r="AF1133" t="s">
        <v>796</v>
      </c>
      <c r="AG1133" t="s">
        <v>797</v>
      </c>
      <c r="AH1133">
        <v>2052248</v>
      </c>
      <c r="AI1133">
        <v>2168405</v>
      </c>
      <c r="AJ1133">
        <v>1</v>
      </c>
    </row>
    <row r="1134" spans="1:36" x14ac:dyDescent="0.3">
      <c r="A1134">
        <f>COUNTIF($D$2:D1134,D1134)</f>
        <v>4</v>
      </c>
      <c r="B1134" t="str">
        <f t="shared" si="69"/>
        <v>4Knowsley</v>
      </c>
      <c r="C1134" t="s">
        <v>3696</v>
      </c>
      <c r="D1134" t="s">
        <v>195</v>
      </c>
      <c r="E1134">
        <v>6</v>
      </c>
      <c r="F1134" t="s">
        <v>3694</v>
      </c>
      <c r="G1134" t="s">
        <v>806</v>
      </c>
      <c r="H1134" t="s">
        <v>917</v>
      </c>
      <c r="I1134" t="s">
        <v>808</v>
      </c>
      <c r="J1134">
        <f t="shared" ca="1" si="70"/>
        <v>282450</v>
      </c>
      <c r="K1134">
        <f t="shared" ca="1" si="71"/>
        <v>8</v>
      </c>
      <c r="N1134" t="str">
        <f t="shared" si="68"/>
        <v>Hillingdon3Reactive careHome Care or Domiciliary CareShort term domiciliary care (without reablement input)</v>
      </c>
      <c r="O1134" t="s">
        <v>177</v>
      </c>
      <c r="P1134" t="s">
        <v>790</v>
      </c>
      <c r="Q1134">
        <v>3</v>
      </c>
      <c r="R1134" t="s">
        <v>3351</v>
      </c>
      <c r="S1134" t="s">
        <v>3697</v>
      </c>
      <c r="T1134" t="s">
        <v>842</v>
      </c>
      <c r="U1134" t="s">
        <v>1102</v>
      </c>
      <c r="W1134">
        <v>1630</v>
      </c>
      <c r="X1134">
        <v>1630</v>
      </c>
      <c r="Y1134" t="s">
        <v>789</v>
      </c>
      <c r="Z1134" t="s">
        <v>792</v>
      </c>
      <c r="AB1134" t="s">
        <v>793</v>
      </c>
      <c r="AD1134" t="s">
        <v>794</v>
      </c>
      <c r="AE1134" t="s">
        <v>804</v>
      </c>
      <c r="AF1134" t="s">
        <v>1042</v>
      </c>
      <c r="AG1134" t="s">
        <v>797</v>
      </c>
      <c r="AH1134">
        <v>641000</v>
      </c>
      <c r="AI1134">
        <v>641000</v>
      </c>
      <c r="AJ1134">
        <v>4.1946459695897984E-2</v>
      </c>
    </row>
    <row r="1135" spans="1:36" x14ac:dyDescent="0.3">
      <c r="A1135">
        <f>COUNTIF($D$2:D1135,D1135)</f>
        <v>5</v>
      </c>
      <c r="B1135" t="str">
        <f t="shared" si="69"/>
        <v>5Knowsley</v>
      </c>
      <c r="C1135" t="s">
        <v>3698</v>
      </c>
      <c r="D1135" t="s">
        <v>195</v>
      </c>
      <c r="E1135">
        <v>8</v>
      </c>
      <c r="F1135" t="s">
        <v>3694</v>
      </c>
      <c r="G1135" t="s">
        <v>806</v>
      </c>
      <c r="H1135" t="s">
        <v>917</v>
      </c>
      <c r="I1135" t="s">
        <v>808</v>
      </c>
      <c r="J1135">
        <f t="shared" ca="1" si="70"/>
        <v>848400</v>
      </c>
      <c r="K1135">
        <f t="shared" ca="1" si="71"/>
        <v>25</v>
      </c>
      <c r="N1135" t="str">
        <f t="shared" si="68"/>
        <v xml:space="preserve">Hillingdon3Reactive careHome-based intermediate care servicesReablement at home (to support discharge) </v>
      </c>
      <c r="O1135" t="s">
        <v>177</v>
      </c>
      <c r="P1135" t="s">
        <v>790</v>
      </c>
      <c r="Q1135">
        <v>3</v>
      </c>
      <c r="R1135" t="s">
        <v>3351</v>
      </c>
      <c r="S1135" t="s">
        <v>3699</v>
      </c>
      <c r="T1135" t="s">
        <v>787</v>
      </c>
      <c r="U1135" t="s">
        <v>788</v>
      </c>
      <c r="W1135">
        <v>574</v>
      </c>
      <c r="X1135">
        <v>574</v>
      </c>
      <c r="Y1135" t="s">
        <v>789</v>
      </c>
      <c r="Z1135" t="s">
        <v>792</v>
      </c>
      <c r="AB1135" t="s">
        <v>793</v>
      </c>
      <c r="AD1135" t="s">
        <v>794</v>
      </c>
      <c r="AE1135" t="s">
        <v>804</v>
      </c>
      <c r="AF1135" t="s">
        <v>1042</v>
      </c>
      <c r="AG1135" t="s">
        <v>797</v>
      </c>
      <c r="AH1135">
        <v>963000</v>
      </c>
      <c r="AI1135">
        <v>963000</v>
      </c>
      <c r="AJ1135">
        <v>0.2206183292594544</v>
      </c>
    </row>
    <row r="1136" spans="1:36" x14ac:dyDescent="0.3">
      <c r="A1136">
        <f>COUNTIF($D$2:D1136,D1136)</f>
        <v>6</v>
      </c>
      <c r="B1136" t="str">
        <f t="shared" si="69"/>
        <v>6Knowsley</v>
      </c>
      <c r="C1136" t="s">
        <v>3700</v>
      </c>
      <c r="D1136" t="s">
        <v>195</v>
      </c>
      <c r="E1136">
        <v>9</v>
      </c>
      <c r="F1136" t="s">
        <v>3701</v>
      </c>
      <c r="G1136" t="s">
        <v>877</v>
      </c>
      <c r="H1136" t="s">
        <v>968</v>
      </c>
      <c r="I1136" t="s">
        <v>879</v>
      </c>
      <c r="J1136">
        <f t="shared" ca="1" si="70"/>
        <v>62370</v>
      </c>
      <c r="K1136">
        <f t="shared" ca="1" si="71"/>
        <v>2</v>
      </c>
      <c r="N1136" t="str">
        <f t="shared" si="68"/>
        <v xml:space="preserve">Hillingdon3Reactive careHome-based intermediate care servicesReablement at home (to support discharge) </v>
      </c>
      <c r="O1136" t="s">
        <v>177</v>
      </c>
      <c r="P1136" t="s">
        <v>790</v>
      </c>
      <c r="Q1136">
        <v>3</v>
      </c>
      <c r="R1136" t="s">
        <v>3351</v>
      </c>
      <c r="S1136" t="s">
        <v>3699</v>
      </c>
      <c r="T1136" t="s">
        <v>787</v>
      </c>
      <c r="U1136" t="s">
        <v>788</v>
      </c>
      <c r="W1136">
        <v>297</v>
      </c>
      <c r="X1136">
        <v>297</v>
      </c>
      <c r="Y1136" t="s">
        <v>789</v>
      </c>
      <c r="Z1136" t="s">
        <v>792</v>
      </c>
      <c r="AB1136" t="s">
        <v>793</v>
      </c>
      <c r="AD1136" t="s">
        <v>794</v>
      </c>
      <c r="AE1136" t="s">
        <v>804</v>
      </c>
      <c r="AF1136" t="s">
        <v>796</v>
      </c>
      <c r="AG1136" t="s">
        <v>797</v>
      </c>
      <c r="AH1136">
        <v>391999</v>
      </c>
      <c r="AI1136">
        <v>407678</v>
      </c>
      <c r="AJ1136">
        <v>9.1600936493879903E-2</v>
      </c>
    </row>
    <row r="1137" spans="1:36" x14ac:dyDescent="0.3">
      <c r="A1137">
        <f>COUNTIF($D$2:D1137,D1137)</f>
        <v>7</v>
      </c>
      <c r="B1137" t="str">
        <f t="shared" si="69"/>
        <v>7Knowsley</v>
      </c>
      <c r="C1137" t="s">
        <v>3702</v>
      </c>
      <c r="D1137" t="s">
        <v>195</v>
      </c>
      <c r="E1137">
        <v>10</v>
      </c>
      <c r="F1137" t="s">
        <v>1183</v>
      </c>
      <c r="G1137" t="s">
        <v>877</v>
      </c>
      <c r="H1137" t="s">
        <v>968</v>
      </c>
      <c r="I1137" t="s">
        <v>879</v>
      </c>
      <c r="J1137">
        <f t="shared" ca="1" si="70"/>
        <v>126630</v>
      </c>
      <c r="K1137">
        <f t="shared" ca="1" si="71"/>
        <v>3</v>
      </c>
      <c r="N1137" t="str">
        <f t="shared" si="68"/>
        <v>Hillingdon3Reactive careAssistive Technologies and EquipmentCommunity based equipment</v>
      </c>
      <c r="O1137" t="s">
        <v>177</v>
      </c>
      <c r="P1137" t="s">
        <v>790</v>
      </c>
      <c r="Q1137">
        <v>3</v>
      </c>
      <c r="R1137" t="s">
        <v>3351</v>
      </c>
      <c r="S1137" t="s">
        <v>1051</v>
      </c>
      <c r="T1137" t="s">
        <v>800</v>
      </c>
      <c r="U1137" t="s">
        <v>903</v>
      </c>
      <c r="W1137">
        <v>13141</v>
      </c>
      <c r="X1137">
        <v>13272</v>
      </c>
      <c r="Y1137" t="s">
        <v>802</v>
      </c>
      <c r="Z1137" t="s">
        <v>823</v>
      </c>
      <c r="AB1137" t="s">
        <v>793</v>
      </c>
      <c r="AD1137" t="s">
        <v>794</v>
      </c>
      <c r="AE1137" t="s">
        <v>804</v>
      </c>
      <c r="AF1137" t="s">
        <v>840</v>
      </c>
      <c r="AG1137" t="s">
        <v>797</v>
      </c>
      <c r="AH1137">
        <v>1583716</v>
      </c>
      <c r="AI1137">
        <v>1583716</v>
      </c>
      <c r="AJ1137">
        <v>0.65747503409395192</v>
      </c>
    </row>
    <row r="1138" spans="1:36" x14ac:dyDescent="0.3">
      <c r="A1138">
        <f>COUNTIF($D$2:D1138,D1138)</f>
        <v>8</v>
      </c>
      <c r="B1138" t="str">
        <f t="shared" si="69"/>
        <v>8Knowsley</v>
      </c>
      <c r="C1138" t="s">
        <v>3703</v>
      </c>
      <c r="D1138" t="s">
        <v>195</v>
      </c>
      <c r="E1138">
        <v>11</v>
      </c>
      <c r="F1138" t="s">
        <v>3704</v>
      </c>
      <c r="G1138" t="s">
        <v>842</v>
      </c>
      <c r="H1138" t="s">
        <v>843</v>
      </c>
      <c r="I1138" t="s">
        <v>844</v>
      </c>
      <c r="J1138">
        <f t="shared" ca="1" si="70"/>
        <v>213150</v>
      </c>
      <c r="K1138">
        <f t="shared" ca="1" si="71"/>
        <v>10830</v>
      </c>
      <c r="N1138" t="str">
        <f t="shared" si="68"/>
        <v>Hillingdon3Reactive careAssistive Technologies and EquipmentCommunity based equipment</v>
      </c>
      <c r="O1138" t="s">
        <v>177</v>
      </c>
      <c r="P1138" t="s">
        <v>790</v>
      </c>
      <c r="Q1138">
        <v>3</v>
      </c>
      <c r="R1138" t="s">
        <v>3351</v>
      </c>
      <c r="S1138" t="s">
        <v>1051</v>
      </c>
      <c r="T1138" t="s">
        <v>800</v>
      </c>
      <c r="U1138" t="s">
        <v>903</v>
      </c>
      <c r="W1138">
        <v>3859</v>
      </c>
      <c r="X1138">
        <v>3898</v>
      </c>
      <c r="Y1138" t="s">
        <v>802</v>
      </c>
      <c r="Z1138" t="s">
        <v>792</v>
      </c>
      <c r="AB1138" t="s">
        <v>793</v>
      </c>
      <c r="AD1138" t="s">
        <v>794</v>
      </c>
      <c r="AE1138" t="s">
        <v>804</v>
      </c>
      <c r="AF1138" t="s">
        <v>840</v>
      </c>
      <c r="AG1138" t="s">
        <v>797</v>
      </c>
      <c r="AH1138">
        <v>465069</v>
      </c>
      <c r="AI1138">
        <v>465069</v>
      </c>
      <c r="AJ1138">
        <v>0.19307202593838799</v>
      </c>
    </row>
    <row r="1139" spans="1:36" x14ac:dyDescent="0.3">
      <c r="A1139">
        <f>COUNTIF($D$2:D1139,D1139)</f>
        <v>9</v>
      </c>
      <c r="B1139" t="str">
        <f t="shared" si="69"/>
        <v>9Knowsley</v>
      </c>
      <c r="C1139" t="s">
        <v>3705</v>
      </c>
      <c r="D1139" t="s">
        <v>195</v>
      </c>
      <c r="E1139">
        <v>12</v>
      </c>
      <c r="F1139" t="s">
        <v>3704</v>
      </c>
      <c r="G1139" t="s">
        <v>806</v>
      </c>
      <c r="H1139" t="s">
        <v>807</v>
      </c>
      <c r="I1139" t="s">
        <v>808</v>
      </c>
      <c r="J1139">
        <f t="shared" ca="1" si="70"/>
        <v>89250</v>
      </c>
      <c r="K1139">
        <f t="shared" ca="1" si="71"/>
        <v>3</v>
      </c>
      <c r="N1139" t="str">
        <f t="shared" si="68"/>
        <v>Hillingdon3Reactive careDFG Related SchemesDiscretionary use of DFG</v>
      </c>
      <c r="O1139" t="s">
        <v>177</v>
      </c>
      <c r="P1139" t="s">
        <v>790</v>
      </c>
      <c r="Q1139">
        <v>3</v>
      </c>
      <c r="R1139" t="s">
        <v>3351</v>
      </c>
      <c r="S1139" t="s">
        <v>3706</v>
      </c>
      <c r="T1139" t="s">
        <v>834</v>
      </c>
      <c r="U1139" t="s">
        <v>1293</v>
      </c>
      <c r="W1139">
        <v>20</v>
      </c>
      <c r="X1139">
        <v>20</v>
      </c>
      <c r="Y1139" t="s">
        <v>836</v>
      </c>
      <c r="Z1139" t="s">
        <v>792</v>
      </c>
      <c r="AB1139" t="s">
        <v>793</v>
      </c>
      <c r="AD1139" t="s">
        <v>794</v>
      </c>
      <c r="AE1139" t="s">
        <v>804</v>
      </c>
      <c r="AF1139" t="s">
        <v>840</v>
      </c>
      <c r="AG1139" t="s">
        <v>797</v>
      </c>
      <c r="AH1139">
        <v>10000</v>
      </c>
      <c r="AI1139">
        <v>10000</v>
      </c>
      <c r="AJ1139">
        <v>3.7005883565428073E-3</v>
      </c>
    </row>
    <row r="1140" spans="1:36" x14ac:dyDescent="0.3">
      <c r="A1140">
        <f>COUNTIF($D$2:D1140,D1140)</f>
        <v>10</v>
      </c>
      <c r="B1140" t="str">
        <f t="shared" si="69"/>
        <v>10Knowsley</v>
      </c>
      <c r="C1140" t="s">
        <v>3707</v>
      </c>
      <c r="D1140" t="s">
        <v>195</v>
      </c>
      <c r="E1140">
        <v>13</v>
      </c>
      <c r="F1140" t="s">
        <v>3704</v>
      </c>
      <c r="G1140" t="s">
        <v>806</v>
      </c>
      <c r="H1140" t="s">
        <v>917</v>
      </c>
      <c r="I1140" t="s">
        <v>808</v>
      </c>
      <c r="J1140">
        <f t="shared" ca="1" si="70"/>
        <v>1244250</v>
      </c>
      <c r="K1140">
        <f t="shared" ca="1" si="71"/>
        <v>36</v>
      </c>
      <c r="N1140" t="str">
        <f t="shared" si="68"/>
        <v>Hillingdon3Reactive careHome Care or Domiciliary CareDomiciliary care to support hospital discharge (Discharge to Assess pathway 1)</v>
      </c>
      <c r="O1140" t="s">
        <v>177</v>
      </c>
      <c r="P1140" t="s">
        <v>790</v>
      </c>
      <c r="Q1140">
        <v>3</v>
      </c>
      <c r="R1140" t="s">
        <v>3351</v>
      </c>
      <c r="S1140" t="s">
        <v>3708</v>
      </c>
      <c r="T1140" t="s">
        <v>842</v>
      </c>
      <c r="U1140" t="s">
        <v>856</v>
      </c>
      <c r="W1140">
        <v>4823</v>
      </c>
      <c r="X1140">
        <v>4823</v>
      </c>
      <c r="Y1140" t="s">
        <v>844</v>
      </c>
      <c r="Z1140" t="s">
        <v>792</v>
      </c>
      <c r="AB1140" t="s">
        <v>793</v>
      </c>
      <c r="AD1140" t="s">
        <v>794</v>
      </c>
      <c r="AE1140" t="s">
        <v>804</v>
      </c>
      <c r="AF1140" t="s">
        <v>796</v>
      </c>
      <c r="AG1140" t="s">
        <v>797</v>
      </c>
      <c r="AH1140">
        <v>74871</v>
      </c>
      <c r="AI1140">
        <v>79108</v>
      </c>
      <c r="AJ1140">
        <v>5.0381231805886701E-3</v>
      </c>
    </row>
    <row r="1141" spans="1:36" x14ac:dyDescent="0.3">
      <c r="A1141">
        <f>COUNTIF($D$2:D1141,D1141)</f>
        <v>11</v>
      </c>
      <c r="B1141" t="str">
        <f t="shared" si="69"/>
        <v>11Knowsley</v>
      </c>
      <c r="C1141" t="s">
        <v>3709</v>
      </c>
      <c r="D1141" t="s">
        <v>195</v>
      </c>
      <c r="E1141">
        <v>14</v>
      </c>
      <c r="F1141" t="s">
        <v>3704</v>
      </c>
      <c r="G1141" t="s">
        <v>842</v>
      </c>
      <c r="H1141" t="s">
        <v>843</v>
      </c>
      <c r="I1141" t="s">
        <v>844</v>
      </c>
      <c r="J1141">
        <f t="shared" ca="1" si="70"/>
        <v>1259573</v>
      </c>
      <c r="K1141">
        <f t="shared" ca="1" si="71"/>
        <v>64002</v>
      </c>
      <c r="N1141" t="str">
        <f t="shared" si="68"/>
        <v>Hillingdon3Reactive careHome Care or Domiciliary CareDomiciliary care to support hospital discharge (Discharge to Assess pathway 1)</v>
      </c>
      <c r="O1141" t="s">
        <v>177</v>
      </c>
      <c r="P1141" t="s">
        <v>790</v>
      </c>
      <c r="Q1141">
        <v>3</v>
      </c>
      <c r="R1141" t="s">
        <v>3351</v>
      </c>
      <c r="S1141" t="s">
        <v>3708</v>
      </c>
      <c r="T1141" t="s">
        <v>842</v>
      </c>
      <c r="U1141" t="s">
        <v>856</v>
      </c>
      <c r="W1141">
        <v>26383</v>
      </c>
      <c r="X1141">
        <v>45721</v>
      </c>
      <c r="Y1141" t="s">
        <v>844</v>
      </c>
      <c r="Z1141" t="s">
        <v>792</v>
      </c>
      <c r="AB1141" t="s">
        <v>793</v>
      </c>
      <c r="AD1141" t="s">
        <v>794</v>
      </c>
      <c r="AE1141" t="s">
        <v>804</v>
      </c>
      <c r="AF1141" t="s">
        <v>864</v>
      </c>
      <c r="AG1141" t="s">
        <v>861</v>
      </c>
      <c r="AH1141">
        <v>409206</v>
      </c>
      <c r="AI1141">
        <v>709206</v>
      </c>
      <c r="AJ1141">
        <v>3.6593934384874141E-2</v>
      </c>
    </row>
    <row r="1142" spans="1:36" x14ac:dyDescent="0.3">
      <c r="A1142">
        <f>COUNTIF($D$2:D1142,D1142)</f>
        <v>12</v>
      </c>
      <c r="B1142" t="str">
        <f t="shared" si="69"/>
        <v>12Knowsley</v>
      </c>
      <c r="C1142" t="s">
        <v>3710</v>
      </c>
      <c r="D1142" t="s">
        <v>195</v>
      </c>
      <c r="E1142">
        <v>15</v>
      </c>
      <c r="F1142" t="s">
        <v>3704</v>
      </c>
      <c r="G1142" t="s">
        <v>806</v>
      </c>
      <c r="H1142" t="s">
        <v>917</v>
      </c>
      <c r="I1142" t="s">
        <v>808</v>
      </c>
      <c r="J1142">
        <f t="shared" ca="1" si="70"/>
        <v>1817530</v>
      </c>
      <c r="K1142">
        <f t="shared" ca="1" si="71"/>
        <v>53</v>
      </c>
      <c r="N1142" t="str">
        <f t="shared" si="68"/>
        <v>Hillingdon3Reactive careHome Care or Domiciliary CareDomiciliary care to support hospital discharge (Discharge to Assess pathway 1)</v>
      </c>
      <c r="O1142" t="s">
        <v>177</v>
      </c>
      <c r="P1142" t="s">
        <v>790</v>
      </c>
      <c r="Q1142">
        <v>3</v>
      </c>
      <c r="R1142" t="s">
        <v>3351</v>
      </c>
      <c r="S1142" t="s">
        <v>3708</v>
      </c>
      <c r="T1142" t="s">
        <v>842</v>
      </c>
      <c r="U1142" t="s">
        <v>856</v>
      </c>
      <c r="W1142">
        <v>61095</v>
      </c>
      <c r="X1142">
        <v>61095</v>
      </c>
      <c r="Y1142" t="s">
        <v>844</v>
      </c>
      <c r="Z1142" t="s">
        <v>792</v>
      </c>
      <c r="AB1142" t="s">
        <v>793</v>
      </c>
      <c r="AD1142" t="s">
        <v>794</v>
      </c>
      <c r="AE1142" t="s">
        <v>804</v>
      </c>
      <c r="AF1142" t="s">
        <v>1029</v>
      </c>
      <c r="AG1142" t="s">
        <v>797</v>
      </c>
      <c r="AH1142">
        <v>947600</v>
      </c>
      <c r="AI1142">
        <v>947600</v>
      </c>
      <c r="AJ1142">
        <v>6.2010086127664475E-2</v>
      </c>
    </row>
    <row r="1143" spans="1:36" x14ac:dyDescent="0.3">
      <c r="A1143">
        <f>COUNTIF($D$2:D1143,D1143)</f>
        <v>13</v>
      </c>
      <c r="B1143" t="str">
        <f t="shared" si="69"/>
        <v>13Knowsley</v>
      </c>
      <c r="C1143" t="s">
        <v>3711</v>
      </c>
      <c r="D1143" t="s">
        <v>195</v>
      </c>
      <c r="E1143">
        <v>16</v>
      </c>
      <c r="F1143" t="s">
        <v>3704</v>
      </c>
      <c r="G1143" t="s">
        <v>811</v>
      </c>
      <c r="H1143" t="s">
        <v>812</v>
      </c>
      <c r="I1143" t="s">
        <v>813</v>
      </c>
      <c r="J1143">
        <f t="shared" ca="1" si="70"/>
        <v>319000</v>
      </c>
      <c r="K1143">
        <f t="shared" ca="1" si="71"/>
        <v>650</v>
      </c>
      <c r="N1143" t="str">
        <f t="shared" si="68"/>
        <v>Hillingdon3Reactive careHome-based intermediate care servicesRehabilitation at home (to support discharge)</v>
      </c>
      <c r="O1143" t="s">
        <v>177</v>
      </c>
      <c r="P1143" t="s">
        <v>790</v>
      </c>
      <c r="Q1143">
        <v>3</v>
      </c>
      <c r="R1143" t="s">
        <v>3351</v>
      </c>
      <c r="S1143" t="s">
        <v>3712</v>
      </c>
      <c r="T1143" t="s">
        <v>787</v>
      </c>
      <c r="U1143" t="s">
        <v>1195</v>
      </c>
      <c r="W1143">
        <v>2496</v>
      </c>
      <c r="X1143">
        <v>2496</v>
      </c>
      <c r="Y1143" t="s">
        <v>789</v>
      </c>
      <c r="Z1143" t="s">
        <v>823</v>
      </c>
      <c r="AB1143" t="s">
        <v>824</v>
      </c>
      <c r="AD1143" t="s">
        <v>794</v>
      </c>
      <c r="AE1143" t="s">
        <v>832</v>
      </c>
      <c r="AF1143" t="s">
        <v>860</v>
      </c>
      <c r="AG1143" t="s">
        <v>861</v>
      </c>
      <c r="AH1143">
        <v>591598</v>
      </c>
      <c r="AI1143">
        <v>785213</v>
      </c>
      <c r="AJ1143">
        <v>0.15771014669057043</v>
      </c>
    </row>
    <row r="1144" spans="1:36" x14ac:dyDescent="0.3">
      <c r="A1144">
        <f>COUNTIF($D$2:D1144,D1144)</f>
        <v>14</v>
      </c>
      <c r="B1144" t="str">
        <f t="shared" si="69"/>
        <v>14Knowsley</v>
      </c>
      <c r="C1144" t="s">
        <v>3713</v>
      </c>
      <c r="D1144" t="s">
        <v>195</v>
      </c>
      <c r="E1144">
        <v>17</v>
      </c>
      <c r="F1144" t="s">
        <v>3704</v>
      </c>
      <c r="G1144" t="s">
        <v>811</v>
      </c>
      <c r="H1144" t="s">
        <v>895</v>
      </c>
      <c r="I1144" t="s">
        <v>813</v>
      </c>
      <c r="J1144">
        <f t="shared" ca="1" si="70"/>
        <v>184000</v>
      </c>
      <c r="K1144">
        <f t="shared" ca="1" si="71"/>
        <v>1110</v>
      </c>
      <c r="N1144" t="str">
        <f t="shared" si="68"/>
        <v>Hillingdon4Improved market management and developmentResidential PlacementsCare home</v>
      </c>
      <c r="O1144" t="s">
        <v>177</v>
      </c>
      <c r="P1144" t="s">
        <v>790</v>
      </c>
      <c r="Q1144">
        <v>4</v>
      </c>
      <c r="R1144" t="s">
        <v>3369</v>
      </c>
      <c r="S1144" t="s">
        <v>3714</v>
      </c>
      <c r="T1144" t="s">
        <v>806</v>
      </c>
      <c r="U1144" t="s">
        <v>807</v>
      </c>
      <c r="W1144">
        <v>11</v>
      </c>
      <c r="X1144">
        <v>18</v>
      </c>
      <c r="Y1144" t="s">
        <v>808</v>
      </c>
      <c r="Z1144" t="s">
        <v>792</v>
      </c>
      <c r="AB1144" t="s">
        <v>793</v>
      </c>
      <c r="AD1144" t="s">
        <v>794</v>
      </c>
      <c r="AE1144" t="s">
        <v>804</v>
      </c>
      <c r="AF1144" t="s">
        <v>796</v>
      </c>
      <c r="AG1144" t="s">
        <v>797</v>
      </c>
      <c r="AH1144">
        <v>483414</v>
      </c>
      <c r="AI1144">
        <v>510775</v>
      </c>
      <c r="AJ1144">
        <v>1.1456697129503261E-2</v>
      </c>
    </row>
    <row r="1145" spans="1:36" x14ac:dyDescent="0.3">
      <c r="A1145">
        <f>COUNTIF($D$2:D1145,D1145)</f>
        <v>15</v>
      </c>
      <c r="B1145" t="str">
        <f t="shared" si="69"/>
        <v>15Knowsley</v>
      </c>
      <c r="C1145" t="s">
        <v>3715</v>
      </c>
      <c r="D1145" t="s">
        <v>195</v>
      </c>
      <c r="E1145">
        <v>18</v>
      </c>
      <c r="F1145" t="s">
        <v>1183</v>
      </c>
      <c r="G1145" t="s">
        <v>877</v>
      </c>
      <c r="H1145" t="s">
        <v>968</v>
      </c>
      <c r="I1145" t="s">
        <v>879</v>
      </c>
      <c r="J1145">
        <f t="shared" ca="1" si="70"/>
        <v>110000</v>
      </c>
      <c r="K1145">
        <f t="shared" ca="1" si="71"/>
        <v>3</v>
      </c>
      <c r="N1145" t="str">
        <f t="shared" si="68"/>
        <v>Hillingdon4Improved market management and developmentResidential PlacementsCare home</v>
      </c>
      <c r="O1145" t="s">
        <v>177</v>
      </c>
      <c r="P1145" t="s">
        <v>790</v>
      </c>
      <c r="Q1145">
        <v>4</v>
      </c>
      <c r="R1145" t="s">
        <v>3369</v>
      </c>
      <c r="S1145" t="s">
        <v>3714</v>
      </c>
      <c r="T1145" t="s">
        <v>806</v>
      </c>
      <c r="U1145" t="s">
        <v>807</v>
      </c>
      <c r="W1145">
        <v>43</v>
      </c>
      <c r="X1145">
        <v>43</v>
      </c>
      <c r="Y1145" t="s">
        <v>808</v>
      </c>
      <c r="Z1145" t="s">
        <v>792</v>
      </c>
      <c r="AB1145" t="s">
        <v>793</v>
      </c>
      <c r="AD1145" t="s">
        <v>794</v>
      </c>
      <c r="AE1145" t="s">
        <v>804</v>
      </c>
      <c r="AF1145" t="s">
        <v>845</v>
      </c>
      <c r="AG1145" t="s">
        <v>797</v>
      </c>
      <c r="AH1145">
        <v>1051000</v>
      </c>
      <c r="AI1145">
        <v>1051000</v>
      </c>
      <c r="AJ1145">
        <v>2.4222735683271344E-2</v>
      </c>
    </row>
    <row r="1146" spans="1:36" x14ac:dyDescent="0.3">
      <c r="A1146">
        <f>COUNTIF($D$2:D1146,D1146)</f>
        <v>16</v>
      </c>
      <c r="B1146" t="str">
        <f t="shared" si="69"/>
        <v>16Knowsley</v>
      </c>
      <c r="C1146" t="s">
        <v>3716</v>
      </c>
      <c r="D1146" t="s">
        <v>195</v>
      </c>
      <c r="E1146">
        <v>19</v>
      </c>
      <c r="F1146" t="s">
        <v>1183</v>
      </c>
      <c r="G1146" t="s">
        <v>877</v>
      </c>
      <c r="H1146" t="s">
        <v>968</v>
      </c>
      <c r="I1146" t="s">
        <v>879</v>
      </c>
      <c r="J1146">
        <f t="shared" ca="1" si="70"/>
        <v>224997</v>
      </c>
      <c r="K1146">
        <f t="shared" ca="1" si="71"/>
        <v>6</v>
      </c>
      <c r="N1146" t="str">
        <f t="shared" si="68"/>
        <v>Hillingdon4Improved market management and developmentResidential PlacementsCare home</v>
      </c>
      <c r="O1146" t="s">
        <v>177</v>
      </c>
      <c r="P1146" t="s">
        <v>790</v>
      </c>
      <c r="Q1146">
        <v>4</v>
      </c>
      <c r="R1146" t="s">
        <v>3369</v>
      </c>
      <c r="S1146" t="s">
        <v>3714</v>
      </c>
      <c r="T1146" t="s">
        <v>806</v>
      </c>
      <c r="U1146" t="s">
        <v>807</v>
      </c>
      <c r="W1146">
        <v>148</v>
      </c>
      <c r="X1146">
        <v>148</v>
      </c>
      <c r="Y1146" t="s">
        <v>808</v>
      </c>
      <c r="Z1146" t="s">
        <v>792</v>
      </c>
      <c r="AB1146" t="s">
        <v>793</v>
      </c>
      <c r="AD1146" t="s">
        <v>794</v>
      </c>
      <c r="AE1146" t="s">
        <v>804</v>
      </c>
      <c r="AF1146" t="s">
        <v>1029</v>
      </c>
      <c r="AG1146" t="s">
        <v>861</v>
      </c>
      <c r="AH1146">
        <v>5153286</v>
      </c>
      <c r="AI1146">
        <v>5193286</v>
      </c>
      <c r="AJ1146">
        <v>0.11923038952613518</v>
      </c>
    </row>
    <row r="1147" spans="1:36" x14ac:dyDescent="0.3">
      <c r="A1147">
        <f>COUNTIF($D$2:D1147,D1147)</f>
        <v>17</v>
      </c>
      <c r="B1147" t="str">
        <f t="shared" si="69"/>
        <v>17Knowsley</v>
      </c>
      <c r="C1147" t="s">
        <v>3717</v>
      </c>
      <c r="D1147" t="s">
        <v>195</v>
      </c>
      <c r="E1147">
        <v>20</v>
      </c>
      <c r="F1147" t="s">
        <v>3718</v>
      </c>
      <c r="G1147" t="s">
        <v>842</v>
      </c>
      <c r="H1147" t="s">
        <v>843</v>
      </c>
      <c r="I1147" t="s">
        <v>844</v>
      </c>
      <c r="J1147">
        <f t="shared" ca="1" si="70"/>
        <v>811650</v>
      </c>
      <c r="K1147">
        <f t="shared" ca="1" si="71"/>
        <v>41242</v>
      </c>
      <c r="N1147" t="str">
        <f t="shared" si="68"/>
        <v>Hillingdon4Improved market management and developmentResidential PlacementsNursing home</v>
      </c>
      <c r="O1147" t="s">
        <v>177</v>
      </c>
      <c r="P1147" t="s">
        <v>790</v>
      </c>
      <c r="Q1147">
        <v>4</v>
      </c>
      <c r="R1147" t="s">
        <v>3369</v>
      </c>
      <c r="S1147" t="s">
        <v>3719</v>
      </c>
      <c r="T1147" t="s">
        <v>806</v>
      </c>
      <c r="U1147" t="s">
        <v>917</v>
      </c>
      <c r="W1147">
        <v>39</v>
      </c>
      <c r="X1147">
        <v>45</v>
      </c>
      <c r="Y1147" t="s">
        <v>808</v>
      </c>
      <c r="Z1147" t="s">
        <v>792</v>
      </c>
      <c r="AB1147" t="s">
        <v>793</v>
      </c>
      <c r="AD1147" t="s">
        <v>794</v>
      </c>
      <c r="AE1147" t="s">
        <v>804</v>
      </c>
      <c r="AF1147" t="s">
        <v>796</v>
      </c>
      <c r="AG1147" t="s">
        <v>797</v>
      </c>
      <c r="AH1147">
        <v>1971616</v>
      </c>
      <c r="AI1147">
        <v>2083209</v>
      </c>
      <c r="AJ1147">
        <v>4.6726429218325753E-2</v>
      </c>
    </row>
    <row r="1148" spans="1:36" x14ac:dyDescent="0.3">
      <c r="A1148">
        <f>COUNTIF($D$2:D1148,D1148)</f>
        <v>18</v>
      </c>
      <c r="B1148" t="str">
        <f t="shared" si="69"/>
        <v>18Knowsley</v>
      </c>
      <c r="C1148" t="s">
        <v>3720</v>
      </c>
      <c r="D1148" t="s">
        <v>195</v>
      </c>
      <c r="E1148">
        <v>21</v>
      </c>
      <c r="F1148" t="s">
        <v>3718</v>
      </c>
      <c r="G1148" t="s">
        <v>806</v>
      </c>
      <c r="H1148" t="s">
        <v>807</v>
      </c>
      <c r="I1148" t="s">
        <v>808</v>
      </c>
      <c r="J1148">
        <f t="shared" ca="1" si="70"/>
        <v>1638000</v>
      </c>
      <c r="K1148">
        <f t="shared" ca="1" si="71"/>
        <v>50</v>
      </c>
      <c r="N1148" t="str">
        <f t="shared" si="68"/>
        <v>Hillingdon4Improved market management and developmentResidential PlacementsNursing home</v>
      </c>
      <c r="O1148" t="s">
        <v>177</v>
      </c>
      <c r="P1148" t="s">
        <v>790</v>
      </c>
      <c r="Q1148">
        <v>4</v>
      </c>
      <c r="R1148" t="s">
        <v>3369</v>
      </c>
      <c r="S1148" t="s">
        <v>3719</v>
      </c>
      <c r="T1148" t="s">
        <v>806</v>
      </c>
      <c r="U1148" t="s">
        <v>917</v>
      </c>
      <c r="W1148">
        <v>43</v>
      </c>
      <c r="X1148">
        <v>43</v>
      </c>
      <c r="Y1148" t="s">
        <v>808</v>
      </c>
      <c r="Z1148" t="s">
        <v>792</v>
      </c>
      <c r="AB1148" t="s">
        <v>793</v>
      </c>
      <c r="AD1148" t="s">
        <v>794</v>
      </c>
      <c r="AE1148" t="s">
        <v>804</v>
      </c>
      <c r="AF1148" t="s">
        <v>845</v>
      </c>
      <c r="AG1148" t="s">
        <v>797</v>
      </c>
      <c r="AH1148">
        <v>2203000</v>
      </c>
      <c r="AI1148">
        <v>2203000</v>
      </c>
      <c r="AJ1148">
        <v>5.0773250913650592E-2</v>
      </c>
    </row>
    <row r="1149" spans="1:36" x14ac:dyDescent="0.3">
      <c r="A1149">
        <f>COUNTIF($D$2:D1149,D1149)</f>
        <v>19</v>
      </c>
      <c r="B1149" t="str">
        <f t="shared" si="69"/>
        <v>19Knowsley</v>
      </c>
      <c r="C1149" t="s">
        <v>3721</v>
      </c>
      <c r="D1149" t="s">
        <v>195</v>
      </c>
      <c r="E1149">
        <v>22</v>
      </c>
      <c r="F1149" t="s">
        <v>3718</v>
      </c>
      <c r="G1149" t="s">
        <v>806</v>
      </c>
      <c r="H1149" t="s">
        <v>917</v>
      </c>
      <c r="I1149" t="s">
        <v>808</v>
      </c>
      <c r="J1149">
        <f t="shared" ca="1" si="70"/>
        <v>644700</v>
      </c>
      <c r="K1149">
        <f t="shared" ca="1" si="71"/>
        <v>19</v>
      </c>
      <c r="N1149" t="str">
        <f t="shared" si="68"/>
        <v>Hillingdon4Improved market management and developmentResidential PlacementsNursing home</v>
      </c>
      <c r="O1149" t="s">
        <v>177</v>
      </c>
      <c r="P1149" t="s">
        <v>790</v>
      </c>
      <c r="Q1149">
        <v>4</v>
      </c>
      <c r="R1149" t="s">
        <v>3369</v>
      </c>
      <c r="S1149" t="s">
        <v>3719</v>
      </c>
      <c r="T1149" t="s">
        <v>806</v>
      </c>
      <c r="U1149" t="s">
        <v>917</v>
      </c>
      <c r="W1149">
        <v>148</v>
      </c>
      <c r="X1149">
        <v>148</v>
      </c>
      <c r="Y1149" t="s">
        <v>808</v>
      </c>
      <c r="Z1149" t="s">
        <v>792</v>
      </c>
      <c r="AB1149" t="s">
        <v>793</v>
      </c>
      <c r="AD1149" t="s">
        <v>794</v>
      </c>
      <c r="AE1149" t="s">
        <v>804</v>
      </c>
      <c r="AF1149" t="s">
        <v>1029</v>
      </c>
      <c r="AG1149" t="s">
        <v>797</v>
      </c>
      <c r="AH1149">
        <v>7468184</v>
      </c>
      <c r="AI1149">
        <v>7468184</v>
      </c>
      <c r="AJ1149">
        <v>0.17212164325978699</v>
      </c>
    </row>
    <row r="1150" spans="1:36" x14ac:dyDescent="0.3">
      <c r="A1150">
        <f>COUNTIF($D$2:D1150,D1150)</f>
        <v>20</v>
      </c>
      <c r="B1150" t="str">
        <f t="shared" si="69"/>
        <v>20Knowsley</v>
      </c>
      <c r="C1150" t="s">
        <v>3722</v>
      </c>
      <c r="D1150" t="s">
        <v>195</v>
      </c>
      <c r="E1150">
        <v>23</v>
      </c>
      <c r="F1150" t="s">
        <v>3718</v>
      </c>
      <c r="G1150" t="s">
        <v>842</v>
      </c>
      <c r="H1150" t="s">
        <v>843</v>
      </c>
      <c r="I1150" t="s">
        <v>844</v>
      </c>
      <c r="J1150">
        <f t="shared" ca="1" si="70"/>
        <v>269588</v>
      </c>
      <c r="K1150">
        <f t="shared" ca="1" si="71"/>
        <v>13698</v>
      </c>
      <c r="N1150" t="str">
        <f t="shared" si="68"/>
        <v>Hillingdon4Improved market management and developmentHome Care or Domiciliary CareDomiciliary care packages</v>
      </c>
      <c r="O1150" t="s">
        <v>177</v>
      </c>
      <c r="P1150" t="s">
        <v>790</v>
      </c>
      <c r="Q1150">
        <v>4</v>
      </c>
      <c r="R1150" t="s">
        <v>3369</v>
      </c>
      <c r="S1150" t="s">
        <v>3723</v>
      </c>
      <c r="T1150" t="s">
        <v>842</v>
      </c>
      <c r="U1150" t="s">
        <v>843</v>
      </c>
      <c r="W1150">
        <v>90453</v>
      </c>
      <c r="X1150">
        <v>92423</v>
      </c>
      <c r="Y1150" t="s">
        <v>844</v>
      </c>
      <c r="Z1150" t="s">
        <v>792</v>
      </c>
      <c r="AB1150" t="s">
        <v>793</v>
      </c>
      <c r="AD1150" t="s">
        <v>794</v>
      </c>
      <c r="AE1150" t="s">
        <v>804</v>
      </c>
      <c r="AF1150" t="s">
        <v>796</v>
      </c>
      <c r="AG1150" t="s">
        <v>797</v>
      </c>
      <c r="AH1150">
        <v>1686862</v>
      </c>
      <c r="AI1150">
        <v>1724152</v>
      </c>
      <c r="AJ1150">
        <v>0.11160683406641481</v>
      </c>
    </row>
    <row r="1151" spans="1:36" x14ac:dyDescent="0.3">
      <c r="A1151">
        <f>COUNTIF($D$2:D1151,D1151)</f>
        <v>21</v>
      </c>
      <c r="B1151" t="str">
        <f t="shared" si="69"/>
        <v>21Knowsley</v>
      </c>
      <c r="C1151" t="s">
        <v>3724</v>
      </c>
      <c r="D1151" t="s">
        <v>195</v>
      </c>
      <c r="E1151">
        <v>40</v>
      </c>
      <c r="F1151" t="s">
        <v>1034</v>
      </c>
      <c r="G1151" t="s">
        <v>800</v>
      </c>
      <c r="H1151" t="s">
        <v>903</v>
      </c>
      <c r="I1151" t="s">
        <v>802</v>
      </c>
      <c r="J1151">
        <f t="shared" ca="1" si="70"/>
        <v>474716</v>
      </c>
      <c r="K1151">
        <f t="shared" ca="1" si="71"/>
        <v>2055</v>
      </c>
      <c r="N1151" t="str">
        <f t="shared" si="68"/>
        <v>Hillingdon4Improved market management and developmentHome Care or Domiciliary CareDomiciliary care packages</v>
      </c>
      <c r="O1151" t="s">
        <v>177</v>
      </c>
      <c r="P1151" t="s">
        <v>790</v>
      </c>
      <c r="Q1151">
        <v>4</v>
      </c>
      <c r="R1151" t="s">
        <v>3369</v>
      </c>
      <c r="S1151" t="s">
        <v>3723</v>
      </c>
      <c r="T1151" t="s">
        <v>842</v>
      </c>
      <c r="U1151" t="s">
        <v>843</v>
      </c>
      <c r="W1151">
        <v>210228</v>
      </c>
      <c r="X1151">
        <v>216534</v>
      </c>
      <c r="Y1151" t="s">
        <v>844</v>
      </c>
      <c r="Z1151" t="s">
        <v>792</v>
      </c>
      <c r="AB1151" t="s">
        <v>793</v>
      </c>
      <c r="AD1151" t="s">
        <v>794</v>
      </c>
      <c r="AE1151" t="s">
        <v>804</v>
      </c>
      <c r="AF1151" t="s">
        <v>845</v>
      </c>
      <c r="AG1151" t="s">
        <v>797</v>
      </c>
      <c r="AH1151">
        <v>3993803</v>
      </c>
      <c r="AI1151">
        <v>3993803</v>
      </c>
      <c r="AJ1151">
        <v>0.26135085268776359</v>
      </c>
    </row>
    <row r="1152" spans="1:36" x14ac:dyDescent="0.3">
      <c r="A1152">
        <f>COUNTIF($D$2:D1152,D1152)</f>
        <v>22</v>
      </c>
      <c r="B1152" t="str">
        <f t="shared" si="69"/>
        <v>22Knowsley</v>
      </c>
      <c r="C1152" t="s">
        <v>3725</v>
      </c>
      <c r="D1152" t="s">
        <v>195</v>
      </c>
      <c r="E1152">
        <v>41</v>
      </c>
      <c r="F1152" t="s">
        <v>2066</v>
      </c>
      <c r="G1152" t="s">
        <v>842</v>
      </c>
      <c r="H1152" t="s">
        <v>856</v>
      </c>
      <c r="I1152" t="s">
        <v>844</v>
      </c>
      <c r="J1152">
        <f t="shared" ca="1" si="70"/>
        <v>656390</v>
      </c>
      <c r="K1152">
        <f t="shared" ca="1" si="71"/>
        <v>33353</v>
      </c>
      <c r="N1152" t="str">
        <f t="shared" si="68"/>
        <v>Hillingdon4Improved market management and developmentHome Care or Domiciliary CareDomiciliary care packages</v>
      </c>
      <c r="O1152" t="s">
        <v>177</v>
      </c>
      <c r="P1152" t="s">
        <v>790</v>
      </c>
      <c r="Q1152">
        <v>4</v>
      </c>
      <c r="R1152" t="s">
        <v>3369</v>
      </c>
      <c r="S1152" t="s">
        <v>3723</v>
      </c>
      <c r="T1152" t="s">
        <v>842</v>
      </c>
      <c r="U1152" t="s">
        <v>843</v>
      </c>
      <c r="W1152">
        <v>382341</v>
      </c>
      <c r="X1152">
        <v>393811</v>
      </c>
      <c r="Y1152" t="s">
        <v>844</v>
      </c>
      <c r="Z1152" t="s">
        <v>792</v>
      </c>
      <c r="AB1152" t="s">
        <v>793</v>
      </c>
      <c r="AD1152" t="s">
        <v>794</v>
      </c>
      <c r="AE1152" t="s">
        <v>804</v>
      </c>
      <c r="AF1152" t="s">
        <v>1029</v>
      </c>
      <c r="AG1152" t="s">
        <v>861</v>
      </c>
      <c r="AH1152">
        <v>6002135</v>
      </c>
      <c r="AI1152">
        <v>6002135</v>
      </c>
      <c r="AJ1152">
        <v>0.3927742806034924</v>
      </c>
    </row>
    <row r="1153" spans="1:36" x14ac:dyDescent="0.3">
      <c r="A1153">
        <f>COUNTIF($D$2:D1153,D1153)</f>
        <v>23</v>
      </c>
      <c r="B1153" t="str">
        <f t="shared" si="69"/>
        <v>23Knowsley</v>
      </c>
      <c r="C1153" t="s">
        <v>3726</v>
      </c>
      <c r="D1153" t="s">
        <v>195</v>
      </c>
      <c r="E1153">
        <v>53</v>
      </c>
      <c r="F1153" t="s">
        <v>2066</v>
      </c>
      <c r="G1153" t="s">
        <v>834</v>
      </c>
      <c r="H1153" t="s">
        <v>835</v>
      </c>
      <c r="I1153" t="s">
        <v>836</v>
      </c>
      <c r="J1153">
        <f t="shared" ca="1" si="70"/>
        <v>144000</v>
      </c>
      <c r="K1153">
        <f t="shared" ca="1" si="71"/>
        <v>24</v>
      </c>
      <c r="N1153" t="str">
        <f t="shared" si="68"/>
        <v>Hillingdon5Integrated care and support for people with learning disabilities/autismHome Care or Domiciliary CareDomiciliary care packages</v>
      </c>
      <c r="O1153" t="s">
        <v>177</v>
      </c>
      <c r="P1153" t="s">
        <v>790</v>
      </c>
      <c r="Q1153">
        <v>5</v>
      </c>
      <c r="R1153" t="s">
        <v>3375</v>
      </c>
      <c r="S1153" t="s">
        <v>3727</v>
      </c>
      <c r="T1153" t="s">
        <v>842</v>
      </c>
      <c r="U1153" t="s">
        <v>843</v>
      </c>
      <c r="W1153">
        <v>19000</v>
      </c>
      <c r="X1153">
        <v>19000</v>
      </c>
      <c r="Y1153" t="s">
        <v>844</v>
      </c>
      <c r="Z1153" t="s">
        <v>792</v>
      </c>
      <c r="AB1153" t="s">
        <v>793</v>
      </c>
      <c r="AD1153" t="s">
        <v>794</v>
      </c>
      <c r="AE1153" t="s">
        <v>804</v>
      </c>
      <c r="AF1153" t="s">
        <v>796</v>
      </c>
      <c r="AG1153" t="s">
        <v>797</v>
      </c>
      <c r="AH1153">
        <v>186099</v>
      </c>
      <c r="AI1153">
        <v>223390</v>
      </c>
      <c r="AJ1153">
        <v>1.3398294722631487E-2</v>
      </c>
    </row>
    <row r="1154" spans="1:36" x14ac:dyDescent="0.3">
      <c r="A1154">
        <f>COUNTIF($D$2:D1154,D1154)</f>
        <v>24</v>
      </c>
      <c r="B1154" t="str">
        <f t="shared" si="69"/>
        <v>24Knowsley</v>
      </c>
      <c r="C1154" t="s">
        <v>3728</v>
      </c>
      <c r="D1154" t="s">
        <v>195</v>
      </c>
      <c r="E1154">
        <v>54</v>
      </c>
      <c r="F1154" t="s">
        <v>891</v>
      </c>
      <c r="G1154" t="s">
        <v>834</v>
      </c>
      <c r="H1154" t="s">
        <v>835</v>
      </c>
      <c r="I1154" t="s">
        <v>836</v>
      </c>
      <c r="J1154">
        <f t="shared" ca="1" si="70"/>
        <v>2746648</v>
      </c>
      <c r="K1154">
        <f t="shared" ca="1" si="71"/>
        <v>1200</v>
      </c>
      <c r="N1154" t="str">
        <f t="shared" ref="N1154:N1217" si="72">O1154&amp;Q1154&amp;R1154&amp;T1154&amp;U1154</f>
        <v>Hillingdon5Integrated care and support for people with learning disabilities/autismHome Care or Domiciliary CareDomiciliary care packages</v>
      </c>
      <c r="O1154" t="s">
        <v>177</v>
      </c>
      <c r="P1154" t="s">
        <v>790</v>
      </c>
      <c r="Q1154">
        <v>5</v>
      </c>
      <c r="R1154" t="s">
        <v>3375</v>
      </c>
      <c r="S1154" t="s">
        <v>3727</v>
      </c>
      <c r="T1154" t="s">
        <v>842</v>
      </c>
      <c r="U1154" t="s">
        <v>843</v>
      </c>
      <c r="W1154">
        <v>88359</v>
      </c>
      <c r="X1154">
        <v>88359</v>
      </c>
      <c r="Y1154" t="s">
        <v>844</v>
      </c>
      <c r="Z1154" t="s">
        <v>792</v>
      </c>
      <c r="AB1154" t="s">
        <v>793</v>
      </c>
      <c r="AD1154" t="s">
        <v>794</v>
      </c>
      <c r="AE1154" t="s">
        <v>804</v>
      </c>
      <c r="AF1154" t="s">
        <v>1029</v>
      </c>
      <c r="AG1154" t="s">
        <v>797</v>
      </c>
      <c r="AH1154">
        <v>865200</v>
      </c>
      <c r="AI1154">
        <v>865200</v>
      </c>
      <c r="AJ1154">
        <v>5.661790472525887E-2</v>
      </c>
    </row>
    <row r="1155" spans="1:36" x14ac:dyDescent="0.3">
      <c r="A1155">
        <f>COUNTIF($D$2:D1155,D1155)</f>
        <v>25</v>
      </c>
      <c r="B1155" t="str">
        <f t="shared" ref="B1155:B1218" si="73">A1155&amp;D1155</f>
        <v>25Knowsley</v>
      </c>
      <c r="C1155" t="s">
        <v>3729</v>
      </c>
      <c r="D1155" t="s">
        <v>195</v>
      </c>
      <c r="E1155">
        <v>65</v>
      </c>
      <c r="F1155" t="s">
        <v>3730</v>
      </c>
      <c r="G1155" t="s">
        <v>806</v>
      </c>
      <c r="H1155" t="s">
        <v>917</v>
      </c>
      <c r="I1155" t="s">
        <v>808</v>
      </c>
      <c r="J1155">
        <f t="shared" ref="J1155:J1218" ca="1" si="74">SUMIF($N:$AI,C1155,AH:AH)</f>
        <v>132913</v>
      </c>
      <c r="K1155">
        <f t="shared" ref="K1155:K1218" ca="1" si="75">SUMIF($N:$AI,C1155,W:W)</f>
        <v>4</v>
      </c>
      <c r="N1155" t="str">
        <f t="shared" si="72"/>
        <v>Hillingdon5Integrated care and support for people with learning disabilities/autismResidential PlacementsLearning disability</v>
      </c>
      <c r="O1155" t="s">
        <v>177</v>
      </c>
      <c r="P1155" t="s">
        <v>790</v>
      </c>
      <c r="Q1155">
        <v>5</v>
      </c>
      <c r="R1155" t="s">
        <v>3375</v>
      </c>
      <c r="S1155" t="s">
        <v>3731</v>
      </c>
      <c r="T1155" t="s">
        <v>806</v>
      </c>
      <c r="U1155" t="s">
        <v>854</v>
      </c>
      <c r="W1155">
        <v>2</v>
      </c>
      <c r="X1155">
        <v>2</v>
      </c>
      <c r="Y1155" t="s">
        <v>808</v>
      </c>
      <c r="Z1155" t="s">
        <v>792</v>
      </c>
      <c r="AB1155" t="s">
        <v>793</v>
      </c>
      <c r="AD1155" t="s">
        <v>794</v>
      </c>
      <c r="AE1155" t="s">
        <v>804</v>
      </c>
      <c r="AF1155" t="s">
        <v>796</v>
      </c>
      <c r="AG1155" t="s">
        <v>797</v>
      </c>
      <c r="AH1155">
        <v>70327</v>
      </c>
      <c r="AI1155">
        <v>74308</v>
      </c>
      <c r="AJ1155">
        <v>1.6667247267126311E-3</v>
      </c>
    </row>
    <row r="1156" spans="1:36" x14ac:dyDescent="0.3">
      <c r="A1156">
        <f>COUNTIF($D$2:D1156,D1156)</f>
        <v>26</v>
      </c>
      <c r="B1156" t="str">
        <f t="shared" si="73"/>
        <v>26Knowsley</v>
      </c>
      <c r="C1156" t="s">
        <v>3732</v>
      </c>
      <c r="D1156" t="s">
        <v>195</v>
      </c>
      <c r="E1156">
        <v>66</v>
      </c>
      <c r="F1156" t="s">
        <v>3733</v>
      </c>
      <c r="G1156" t="s">
        <v>842</v>
      </c>
      <c r="H1156" t="s">
        <v>843</v>
      </c>
      <c r="I1156" t="s">
        <v>844</v>
      </c>
      <c r="J1156">
        <f t="shared" ca="1" si="74"/>
        <v>1037238</v>
      </c>
      <c r="K1156">
        <f t="shared" ca="1" si="75"/>
        <v>52705</v>
      </c>
      <c r="N1156" t="str">
        <f t="shared" si="72"/>
        <v>Hillingdon5Integrated care and support for people with learning disabilities/autismResidential PlacementsLearning disability</v>
      </c>
      <c r="O1156" t="s">
        <v>177</v>
      </c>
      <c r="P1156" t="s">
        <v>790</v>
      </c>
      <c r="Q1156">
        <v>5</v>
      </c>
      <c r="R1156" t="s">
        <v>3375</v>
      </c>
      <c r="S1156" t="s">
        <v>3731</v>
      </c>
      <c r="T1156" t="s">
        <v>806</v>
      </c>
      <c r="U1156" t="s">
        <v>854</v>
      </c>
      <c r="W1156">
        <v>5</v>
      </c>
      <c r="X1156">
        <v>5</v>
      </c>
      <c r="Y1156" t="s">
        <v>808</v>
      </c>
      <c r="Z1156" t="s">
        <v>792</v>
      </c>
      <c r="AB1156" t="s">
        <v>793</v>
      </c>
      <c r="AD1156" t="s">
        <v>794</v>
      </c>
      <c r="AE1156" t="s">
        <v>804</v>
      </c>
      <c r="AF1156" t="s">
        <v>1042</v>
      </c>
      <c r="AG1156" t="s">
        <v>797</v>
      </c>
      <c r="AH1156">
        <v>433000</v>
      </c>
      <c r="AI1156">
        <v>433000</v>
      </c>
      <c r="AJ1156">
        <v>9.9794905336408109E-3</v>
      </c>
    </row>
    <row r="1157" spans="1:36" x14ac:dyDescent="0.3">
      <c r="A1157">
        <f>COUNTIF($D$2:D1157,D1157)</f>
        <v>27</v>
      </c>
      <c r="B1157" t="str">
        <f t="shared" si="73"/>
        <v>27Knowsley</v>
      </c>
      <c r="C1157" t="s">
        <v>3734</v>
      </c>
      <c r="D1157" t="s">
        <v>195</v>
      </c>
      <c r="E1157">
        <v>67</v>
      </c>
      <c r="F1157" t="s">
        <v>3735</v>
      </c>
      <c r="G1157" t="s">
        <v>806</v>
      </c>
      <c r="H1157" t="s">
        <v>854</v>
      </c>
      <c r="I1157" t="s">
        <v>808</v>
      </c>
      <c r="J1157">
        <f t="shared" ca="1" si="74"/>
        <v>2415732</v>
      </c>
      <c r="K1157">
        <f t="shared" ca="1" si="75"/>
        <v>74</v>
      </c>
      <c r="N1157" t="str">
        <f t="shared" si="72"/>
        <v>Hillingdon5Integrated care and support for people with learning disabilities/autismResidential PlacementsLearning disability</v>
      </c>
      <c r="O1157" t="s">
        <v>177</v>
      </c>
      <c r="P1157" t="s">
        <v>790</v>
      </c>
      <c r="Q1157">
        <v>5</v>
      </c>
      <c r="R1157" t="s">
        <v>3375</v>
      </c>
      <c r="S1157" t="s">
        <v>3731</v>
      </c>
      <c r="T1157" t="s">
        <v>806</v>
      </c>
      <c r="U1157" t="s">
        <v>854</v>
      </c>
      <c r="W1157">
        <v>108</v>
      </c>
      <c r="X1157">
        <v>108</v>
      </c>
      <c r="Y1157" t="s">
        <v>808</v>
      </c>
      <c r="Z1157" t="s">
        <v>792</v>
      </c>
      <c r="AB1157" t="s">
        <v>793</v>
      </c>
      <c r="AD1157" t="s">
        <v>794</v>
      </c>
      <c r="AE1157" t="s">
        <v>804</v>
      </c>
      <c r="AF1157" t="s">
        <v>1029</v>
      </c>
      <c r="AG1157" t="s">
        <v>797</v>
      </c>
      <c r="AH1157">
        <v>9178273</v>
      </c>
      <c r="AI1157">
        <v>9178273</v>
      </c>
      <c r="AJ1157">
        <v>0.2115346155165613</v>
      </c>
    </row>
    <row r="1158" spans="1:36" x14ac:dyDescent="0.3">
      <c r="A1158">
        <f>COUNTIF($D$2:D1158,D1158)</f>
        <v>28</v>
      </c>
      <c r="B1158" t="str">
        <f t="shared" si="73"/>
        <v>28Knowsley</v>
      </c>
      <c r="C1158" t="s">
        <v>3736</v>
      </c>
      <c r="D1158" t="s">
        <v>195</v>
      </c>
      <c r="E1158">
        <v>68</v>
      </c>
      <c r="F1158" t="s">
        <v>3735</v>
      </c>
      <c r="G1158" t="s">
        <v>806</v>
      </c>
      <c r="H1158" t="s">
        <v>917</v>
      </c>
      <c r="I1158" t="s">
        <v>808</v>
      </c>
      <c r="J1158">
        <f t="shared" ca="1" si="74"/>
        <v>460000</v>
      </c>
      <c r="K1158">
        <f t="shared" ca="1" si="75"/>
        <v>13</v>
      </c>
      <c r="N1158" t="str">
        <f t="shared" si="72"/>
        <v>Hillingdon5Integrated care and support for people with learning disabilities/autismResidential PlacementsLearning disability</v>
      </c>
      <c r="O1158" t="s">
        <v>177</v>
      </c>
      <c r="P1158" t="s">
        <v>790</v>
      </c>
      <c r="Q1158">
        <v>5</v>
      </c>
      <c r="R1158" t="s">
        <v>3375</v>
      </c>
      <c r="S1158" t="s">
        <v>872</v>
      </c>
      <c r="T1158" t="s">
        <v>806</v>
      </c>
      <c r="U1158" t="s">
        <v>854</v>
      </c>
      <c r="W1158">
        <v>235</v>
      </c>
      <c r="X1158">
        <v>235</v>
      </c>
      <c r="Y1158" t="s">
        <v>808</v>
      </c>
      <c r="Z1158" t="s">
        <v>792</v>
      </c>
      <c r="AB1158" t="s">
        <v>793</v>
      </c>
      <c r="AD1158" t="s">
        <v>794</v>
      </c>
      <c r="AE1158" t="s">
        <v>804</v>
      </c>
      <c r="AF1158" t="s">
        <v>1029</v>
      </c>
      <c r="AG1158" t="s">
        <v>797</v>
      </c>
      <c r="AH1158">
        <v>12187300</v>
      </c>
      <c r="AI1158">
        <v>12187300</v>
      </c>
      <c r="AJ1158">
        <v>0.28088463044027867</v>
      </c>
    </row>
    <row r="1159" spans="1:36" x14ac:dyDescent="0.3">
      <c r="A1159">
        <f>COUNTIF($D$2:D1159,D1159)</f>
        <v>29</v>
      </c>
      <c r="B1159" t="str">
        <f t="shared" si="73"/>
        <v>29Knowsley</v>
      </c>
      <c r="C1159" t="s">
        <v>3737</v>
      </c>
      <c r="D1159" t="s">
        <v>195</v>
      </c>
      <c r="E1159">
        <v>69</v>
      </c>
      <c r="F1159" t="s">
        <v>3735</v>
      </c>
      <c r="G1159" t="s">
        <v>806</v>
      </c>
      <c r="H1159" t="s">
        <v>807</v>
      </c>
      <c r="I1159" t="s">
        <v>808</v>
      </c>
      <c r="J1159">
        <f t="shared" ca="1" si="74"/>
        <v>1464000</v>
      </c>
      <c r="K1159">
        <f t="shared" ca="1" si="75"/>
        <v>45</v>
      </c>
      <c r="N1159" t="str">
        <f t="shared" si="72"/>
        <v>Hillingdon5Integrated care and support for people with learning disabilities/autismCarers ServicesRespite services</v>
      </c>
      <c r="O1159" t="s">
        <v>177</v>
      </c>
      <c r="P1159" t="s">
        <v>790</v>
      </c>
      <c r="Q1159">
        <v>5</v>
      </c>
      <c r="R1159" t="s">
        <v>3375</v>
      </c>
      <c r="S1159" t="s">
        <v>3738</v>
      </c>
      <c r="T1159" t="s">
        <v>811</v>
      </c>
      <c r="U1159" t="s">
        <v>830</v>
      </c>
      <c r="W1159">
        <v>30</v>
      </c>
      <c r="X1159">
        <v>30</v>
      </c>
      <c r="Y1159" t="s">
        <v>813</v>
      </c>
      <c r="Z1159" t="s">
        <v>792</v>
      </c>
      <c r="AB1159" t="s">
        <v>793</v>
      </c>
      <c r="AD1159" t="s">
        <v>794</v>
      </c>
      <c r="AE1159" t="s">
        <v>804</v>
      </c>
      <c r="AF1159" t="s">
        <v>796</v>
      </c>
      <c r="AG1159" t="s">
        <v>797</v>
      </c>
      <c r="AH1159">
        <v>174339</v>
      </c>
      <c r="AI1159">
        <v>184339</v>
      </c>
      <c r="AJ1159">
        <v>0.13359410674924407</v>
      </c>
    </row>
    <row r="1160" spans="1:36" x14ac:dyDescent="0.3">
      <c r="A1160">
        <f>COUNTIF($D$2:D1160,D1160)</f>
        <v>30</v>
      </c>
      <c r="B1160" t="str">
        <f t="shared" si="73"/>
        <v>30Knowsley</v>
      </c>
      <c r="C1160" t="s">
        <v>3739</v>
      </c>
      <c r="D1160" t="s">
        <v>195</v>
      </c>
      <c r="E1160">
        <v>70</v>
      </c>
      <c r="F1160" t="s">
        <v>3735</v>
      </c>
      <c r="G1160" t="s">
        <v>842</v>
      </c>
      <c r="H1160" t="s">
        <v>843</v>
      </c>
      <c r="I1160" t="s">
        <v>844</v>
      </c>
      <c r="J1160">
        <f t="shared" ca="1" si="74"/>
        <v>1346066</v>
      </c>
      <c r="K1160">
        <f t="shared" ca="1" si="75"/>
        <v>68397</v>
      </c>
      <c r="N1160" t="str">
        <f t="shared" si="72"/>
        <v>Hounslow5Social Inclusion Support services (Certitude LIFE)Residential PlacementsSupported housing</v>
      </c>
      <c r="O1160" t="s">
        <v>179</v>
      </c>
      <c r="P1160" t="s">
        <v>790</v>
      </c>
      <c r="Q1160">
        <v>5</v>
      </c>
      <c r="R1160" t="s">
        <v>3381</v>
      </c>
      <c r="S1160" t="s">
        <v>3740</v>
      </c>
      <c r="T1160" t="s">
        <v>806</v>
      </c>
      <c r="U1160" t="s">
        <v>873</v>
      </c>
      <c r="W1160">
        <v>4.5</v>
      </c>
      <c r="X1160">
        <v>4.5</v>
      </c>
      <c r="Y1160" t="s">
        <v>808</v>
      </c>
      <c r="Z1160" t="s">
        <v>792</v>
      </c>
      <c r="AB1160" t="s">
        <v>793</v>
      </c>
      <c r="AD1160" t="s">
        <v>794</v>
      </c>
      <c r="AE1160" t="s">
        <v>795</v>
      </c>
      <c r="AF1160" t="s">
        <v>796</v>
      </c>
      <c r="AG1160" t="s">
        <v>797</v>
      </c>
      <c r="AH1160">
        <v>200000</v>
      </c>
      <c r="AI1160">
        <v>211320</v>
      </c>
      <c r="AJ1160">
        <v>3.4967573467014679E-2</v>
      </c>
    </row>
    <row r="1161" spans="1:36" x14ac:dyDescent="0.3">
      <c r="A1161">
        <f>COUNTIF($D$2:D1161,D1161)</f>
        <v>31</v>
      </c>
      <c r="B1161" t="str">
        <f t="shared" si="73"/>
        <v>31Knowsley</v>
      </c>
      <c r="C1161" t="s">
        <v>3741</v>
      </c>
      <c r="D1161" t="s">
        <v>195</v>
      </c>
      <c r="E1161">
        <v>71</v>
      </c>
      <c r="F1161" t="s">
        <v>3735</v>
      </c>
      <c r="G1161" t="s">
        <v>842</v>
      </c>
      <c r="H1161" t="s">
        <v>843</v>
      </c>
      <c r="I1161" t="s">
        <v>844</v>
      </c>
      <c r="J1161">
        <f t="shared" ca="1" si="74"/>
        <v>75000</v>
      </c>
      <c r="K1161">
        <f t="shared" ca="1" si="75"/>
        <v>3811</v>
      </c>
      <c r="N1161" t="str">
        <f t="shared" si="72"/>
        <v>Hounslow6Personal Care ServicesHome Care or Domiciliary CareDomiciliary care packages</v>
      </c>
      <c r="O1161" t="s">
        <v>179</v>
      </c>
      <c r="P1161" t="s">
        <v>790</v>
      </c>
      <c r="Q1161">
        <v>6</v>
      </c>
      <c r="R1161" t="s">
        <v>3383</v>
      </c>
      <c r="S1161" t="s">
        <v>3742</v>
      </c>
      <c r="T1161" t="s">
        <v>842</v>
      </c>
      <c r="U1161" t="s">
        <v>843</v>
      </c>
      <c r="W1161">
        <v>192727</v>
      </c>
      <c r="X1161">
        <v>192727</v>
      </c>
      <c r="Y1161" t="s">
        <v>844</v>
      </c>
      <c r="Z1161" t="s">
        <v>792</v>
      </c>
      <c r="AB1161" t="s">
        <v>793</v>
      </c>
      <c r="AD1161" t="s">
        <v>794</v>
      </c>
      <c r="AE1161" t="s">
        <v>795</v>
      </c>
      <c r="AF1161" t="s">
        <v>796</v>
      </c>
      <c r="AG1161" t="s">
        <v>797</v>
      </c>
      <c r="AH1161">
        <v>4240000</v>
      </c>
      <c r="AI1161">
        <v>4479984</v>
      </c>
      <c r="AJ1161">
        <v>1</v>
      </c>
    </row>
    <row r="1162" spans="1:36" x14ac:dyDescent="0.3">
      <c r="A1162">
        <f>COUNTIF($D$2:D1162,D1162)</f>
        <v>32</v>
      </c>
      <c r="B1162" t="str">
        <f t="shared" si="73"/>
        <v>32Knowsley</v>
      </c>
      <c r="C1162" t="s">
        <v>3743</v>
      </c>
      <c r="D1162" t="s">
        <v>195</v>
      </c>
      <c r="E1162">
        <v>72</v>
      </c>
      <c r="F1162" t="s">
        <v>3735</v>
      </c>
      <c r="G1162" t="s">
        <v>806</v>
      </c>
      <c r="H1162" t="s">
        <v>873</v>
      </c>
      <c r="I1162" t="s">
        <v>808</v>
      </c>
      <c r="J1162">
        <f t="shared" ca="1" si="74"/>
        <v>1678238</v>
      </c>
      <c r="K1162">
        <f t="shared" ca="1" si="75"/>
        <v>28</v>
      </c>
      <c r="N1162" t="str">
        <f t="shared" si="72"/>
        <v>Hounslow7Extra Care ServicesResidential PlacementsExtra care</v>
      </c>
      <c r="O1162" t="s">
        <v>179</v>
      </c>
      <c r="P1162" t="s">
        <v>790</v>
      </c>
      <c r="Q1162">
        <v>7</v>
      </c>
      <c r="R1162" t="s">
        <v>3386</v>
      </c>
      <c r="S1162" t="s">
        <v>3386</v>
      </c>
      <c r="T1162" t="s">
        <v>806</v>
      </c>
      <c r="U1162" t="s">
        <v>934</v>
      </c>
      <c r="W1162">
        <v>14</v>
      </c>
      <c r="X1162">
        <v>14</v>
      </c>
      <c r="Y1162" t="s">
        <v>808</v>
      </c>
      <c r="Z1162" t="s">
        <v>792</v>
      </c>
      <c r="AB1162" t="s">
        <v>793</v>
      </c>
      <c r="AD1162" t="s">
        <v>794</v>
      </c>
      <c r="AE1162" t="s">
        <v>795</v>
      </c>
      <c r="AF1162" t="s">
        <v>796</v>
      </c>
      <c r="AG1162" t="s">
        <v>797</v>
      </c>
      <c r="AH1162">
        <v>420000</v>
      </c>
      <c r="AI1162">
        <v>443772</v>
      </c>
      <c r="AJ1162">
        <v>7.343190428073082E-2</v>
      </c>
    </row>
    <row r="1163" spans="1:36" x14ac:dyDescent="0.3">
      <c r="A1163">
        <f>COUNTIF($D$2:D1163,D1163)</f>
        <v>33</v>
      </c>
      <c r="B1163" t="str">
        <f t="shared" si="73"/>
        <v>33Knowsley</v>
      </c>
      <c r="C1163" t="s">
        <v>3744</v>
      </c>
      <c r="D1163" t="s">
        <v>195</v>
      </c>
      <c r="E1163">
        <v>73</v>
      </c>
      <c r="F1163" t="s">
        <v>3745</v>
      </c>
      <c r="G1163" t="s">
        <v>842</v>
      </c>
      <c r="H1163" t="s">
        <v>843</v>
      </c>
      <c r="I1163" t="s">
        <v>844</v>
      </c>
      <c r="J1163">
        <f t="shared" ca="1" si="74"/>
        <v>260000</v>
      </c>
      <c r="K1163">
        <f t="shared" ca="1" si="75"/>
        <v>13211</v>
      </c>
      <c r="N1163" t="str">
        <f t="shared" si="72"/>
        <v>Hounslow8Telecare and Assistive TechnologyAssistive Technologies and EquipmentAssistive technologies including telecare</v>
      </c>
      <c r="O1163" t="s">
        <v>179</v>
      </c>
      <c r="P1163" t="s">
        <v>790</v>
      </c>
      <c r="Q1163">
        <v>8</v>
      </c>
      <c r="R1163" t="s">
        <v>3388</v>
      </c>
      <c r="S1163" t="s">
        <v>3742</v>
      </c>
      <c r="T1163" t="s">
        <v>800</v>
      </c>
      <c r="U1163" t="s">
        <v>850</v>
      </c>
      <c r="W1163">
        <v>200</v>
      </c>
      <c r="X1163">
        <v>200</v>
      </c>
      <c r="Y1163" t="s">
        <v>802</v>
      </c>
      <c r="Z1163" t="s">
        <v>792</v>
      </c>
      <c r="AB1163" t="s">
        <v>793</v>
      </c>
      <c r="AD1163" t="s">
        <v>794</v>
      </c>
      <c r="AE1163" t="s">
        <v>795</v>
      </c>
      <c r="AF1163" t="s">
        <v>796</v>
      </c>
      <c r="AG1163" t="s">
        <v>797</v>
      </c>
      <c r="AH1163">
        <v>350000</v>
      </c>
      <c r="AI1163">
        <v>369810</v>
      </c>
      <c r="AJ1163">
        <v>0.12256594391334878</v>
      </c>
    </row>
    <row r="1164" spans="1:36" x14ac:dyDescent="0.3">
      <c r="A1164">
        <f>COUNTIF($D$2:D1164,D1164)</f>
        <v>34</v>
      </c>
      <c r="B1164" t="str">
        <f t="shared" si="73"/>
        <v>34Knowsley</v>
      </c>
      <c r="C1164" t="s">
        <v>3746</v>
      </c>
      <c r="D1164" t="s">
        <v>195</v>
      </c>
      <c r="E1164">
        <v>74</v>
      </c>
      <c r="F1164" t="s">
        <v>3745</v>
      </c>
      <c r="G1164" t="s">
        <v>806</v>
      </c>
      <c r="H1164" t="s">
        <v>807</v>
      </c>
      <c r="I1164" t="s">
        <v>808</v>
      </c>
      <c r="J1164">
        <f t="shared" ca="1" si="74"/>
        <v>263000</v>
      </c>
      <c r="K1164">
        <f t="shared" ca="1" si="75"/>
        <v>8</v>
      </c>
      <c r="N1164" t="str">
        <f t="shared" si="72"/>
        <v>Hounslow9Assistive TechnologyAssistive Technologies and EquipmentCommunity based equipment</v>
      </c>
      <c r="O1164" t="s">
        <v>179</v>
      </c>
      <c r="P1164" t="s">
        <v>790</v>
      </c>
      <c r="Q1164">
        <v>9</v>
      </c>
      <c r="R1164" t="s">
        <v>1578</v>
      </c>
      <c r="S1164" t="s">
        <v>3742</v>
      </c>
      <c r="T1164" t="s">
        <v>800</v>
      </c>
      <c r="U1164" t="s">
        <v>903</v>
      </c>
      <c r="W1164">
        <v>105</v>
      </c>
      <c r="X1164">
        <v>105</v>
      </c>
      <c r="Y1164" t="s">
        <v>802</v>
      </c>
      <c r="Z1164" t="s">
        <v>792</v>
      </c>
      <c r="AB1164" t="s">
        <v>793</v>
      </c>
      <c r="AD1164" t="s">
        <v>794</v>
      </c>
      <c r="AE1164" t="s">
        <v>795</v>
      </c>
      <c r="AF1164" t="s">
        <v>796</v>
      </c>
      <c r="AG1164" t="s">
        <v>797</v>
      </c>
      <c r="AH1164">
        <v>330000</v>
      </c>
      <c r="AI1164">
        <v>348678</v>
      </c>
      <c r="AJ1164">
        <v>0.11556217568972885</v>
      </c>
    </row>
    <row r="1165" spans="1:36" x14ac:dyDescent="0.3">
      <c r="A1165">
        <f>COUNTIF($D$2:D1165,D1165)</f>
        <v>35</v>
      </c>
      <c r="B1165" t="str">
        <f t="shared" si="73"/>
        <v>35Knowsley</v>
      </c>
      <c r="C1165" t="s">
        <v>3747</v>
      </c>
      <c r="D1165" t="s">
        <v>195</v>
      </c>
      <c r="E1165">
        <v>75</v>
      </c>
      <c r="F1165" t="s">
        <v>3745</v>
      </c>
      <c r="G1165" t="s">
        <v>806</v>
      </c>
      <c r="H1165" t="s">
        <v>917</v>
      </c>
      <c r="I1165" t="s">
        <v>808</v>
      </c>
      <c r="J1165">
        <f t="shared" ca="1" si="74"/>
        <v>97000</v>
      </c>
      <c r="K1165">
        <f t="shared" ca="1" si="75"/>
        <v>3</v>
      </c>
      <c r="N1165" t="str">
        <f t="shared" si="72"/>
        <v>Hounslow18Integrated support ServicesCarers ServicesRespite services</v>
      </c>
      <c r="O1165" t="s">
        <v>179</v>
      </c>
      <c r="P1165" t="s">
        <v>790</v>
      </c>
      <c r="Q1165">
        <v>18</v>
      </c>
      <c r="R1165" t="s">
        <v>3392</v>
      </c>
      <c r="S1165" t="s">
        <v>811</v>
      </c>
      <c r="T1165" t="s">
        <v>811</v>
      </c>
      <c r="U1165" t="s">
        <v>830</v>
      </c>
      <c r="W1165" t="s">
        <v>3748</v>
      </c>
      <c r="X1165" t="s">
        <v>3748</v>
      </c>
      <c r="Y1165" t="s">
        <v>813</v>
      </c>
      <c r="Z1165" t="s">
        <v>792</v>
      </c>
      <c r="AB1165" t="s">
        <v>793</v>
      </c>
      <c r="AD1165" t="s">
        <v>794</v>
      </c>
      <c r="AE1165" t="s">
        <v>795</v>
      </c>
      <c r="AF1165" t="s">
        <v>796</v>
      </c>
      <c r="AG1165" t="s">
        <v>797</v>
      </c>
      <c r="AH1165">
        <v>243000</v>
      </c>
      <c r="AI1165">
        <v>256753.8</v>
      </c>
      <c r="AJ1165">
        <v>0.96047430830039515</v>
      </c>
    </row>
    <row r="1166" spans="1:36" x14ac:dyDescent="0.3">
      <c r="A1166">
        <f>COUNTIF($D$2:D1166,D1166)</f>
        <v>36</v>
      </c>
      <c r="B1166" t="str">
        <f t="shared" si="73"/>
        <v>36Knowsley</v>
      </c>
      <c r="C1166" t="s">
        <v>3749</v>
      </c>
      <c r="D1166" t="s">
        <v>195</v>
      </c>
      <c r="E1166">
        <v>76</v>
      </c>
      <c r="F1166" t="s">
        <v>3745</v>
      </c>
      <c r="G1166" t="s">
        <v>806</v>
      </c>
      <c r="H1166" t="s">
        <v>873</v>
      </c>
      <c r="I1166" t="s">
        <v>808</v>
      </c>
      <c r="J1166">
        <f t="shared" ca="1" si="74"/>
        <v>308000</v>
      </c>
      <c r="K1166">
        <f t="shared" ca="1" si="75"/>
        <v>5</v>
      </c>
      <c r="N1166" t="str">
        <f t="shared" si="72"/>
        <v>Hounslow20Carers Team SpendCarers ServicesRespite services</v>
      </c>
      <c r="O1166" t="s">
        <v>179</v>
      </c>
      <c r="P1166" t="s">
        <v>790</v>
      </c>
      <c r="Q1166">
        <v>20</v>
      </c>
      <c r="R1166" t="s">
        <v>3394</v>
      </c>
      <c r="S1166" t="s">
        <v>811</v>
      </c>
      <c r="T1166" t="s">
        <v>811</v>
      </c>
      <c r="U1166" t="s">
        <v>830</v>
      </c>
      <c r="W1166" t="s">
        <v>3750</v>
      </c>
      <c r="X1166" t="s">
        <v>3750</v>
      </c>
      <c r="Y1166" t="s">
        <v>813</v>
      </c>
      <c r="Z1166" t="s">
        <v>792</v>
      </c>
      <c r="AB1166" t="s">
        <v>793</v>
      </c>
      <c r="AD1166" t="s">
        <v>794</v>
      </c>
      <c r="AE1166" t="s">
        <v>795</v>
      </c>
      <c r="AF1166" t="s">
        <v>796</v>
      </c>
      <c r="AG1166" t="s">
        <v>797</v>
      </c>
      <c r="AH1166">
        <v>6000</v>
      </c>
      <c r="AI1166">
        <v>6339.5999999999995</v>
      </c>
      <c r="AJ1166">
        <v>2.3715415019762844E-2</v>
      </c>
    </row>
    <row r="1167" spans="1:36" x14ac:dyDescent="0.3">
      <c r="A1167">
        <f>COUNTIF($D$2:D1167,D1167)</f>
        <v>37</v>
      </c>
      <c r="B1167" t="str">
        <f t="shared" si="73"/>
        <v>37Knowsley</v>
      </c>
      <c r="C1167" t="s">
        <v>3751</v>
      </c>
      <c r="D1167" t="s">
        <v>195</v>
      </c>
      <c r="E1167">
        <v>77</v>
      </c>
      <c r="F1167" t="s">
        <v>3745</v>
      </c>
      <c r="G1167" t="s">
        <v>842</v>
      </c>
      <c r="H1167" t="s">
        <v>843</v>
      </c>
      <c r="I1167" t="s">
        <v>844</v>
      </c>
      <c r="J1167">
        <f t="shared" ca="1" si="74"/>
        <v>189000</v>
      </c>
      <c r="K1167">
        <f t="shared" ca="1" si="75"/>
        <v>9603</v>
      </c>
      <c r="N1167" t="str">
        <f t="shared" si="72"/>
        <v>Hounslow21Events Carers ServicesRespite services</v>
      </c>
      <c r="O1167" t="s">
        <v>179</v>
      </c>
      <c r="P1167" t="s">
        <v>790</v>
      </c>
      <c r="Q1167">
        <v>21</v>
      </c>
      <c r="R1167" t="s">
        <v>3396</v>
      </c>
      <c r="S1167" t="s">
        <v>811</v>
      </c>
      <c r="T1167" t="s">
        <v>811</v>
      </c>
      <c r="U1167" t="s">
        <v>830</v>
      </c>
      <c r="W1167" t="s">
        <v>3750</v>
      </c>
      <c r="X1167" t="s">
        <v>3750</v>
      </c>
      <c r="Y1167" t="s">
        <v>813</v>
      </c>
      <c r="Z1167" t="s">
        <v>792</v>
      </c>
      <c r="AB1167" t="s">
        <v>793</v>
      </c>
      <c r="AD1167" t="s">
        <v>794</v>
      </c>
      <c r="AE1167" t="s">
        <v>795</v>
      </c>
      <c r="AF1167" t="s">
        <v>796</v>
      </c>
      <c r="AG1167" t="s">
        <v>797</v>
      </c>
      <c r="AH1167">
        <v>4000</v>
      </c>
      <c r="AI1167">
        <v>4226.3999999999996</v>
      </c>
      <c r="AJ1167">
        <v>1.5810276679841896E-2</v>
      </c>
    </row>
    <row r="1168" spans="1:36" x14ac:dyDescent="0.3">
      <c r="A1168">
        <f>COUNTIF($D$2:D1168,D1168)</f>
        <v>38</v>
      </c>
      <c r="B1168" t="str">
        <f t="shared" si="73"/>
        <v>38Knowsley</v>
      </c>
      <c r="C1168" t="s">
        <v>3752</v>
      </c>
      <c r="D1168" t="s">
        <v>195</v>
      </c>
      <c r="E1168">
        <v>81</v>
      </c>
      <c r="F1168" t="s">
        <v>3753</v>
      </c>
      <c r="G1168" t="s">
        <v>806</v>
      </c>
      <c r="H1168" t="s">
        <v>873</v>
      </c>
      <c r="I1168" t="s">
        <v>808</v>
      </c>
      <c r="J1168">
        <f t="shared" ca="1" si="74"/>
        <v>429944</v>
      </c>
      <c r="K1168">
        <f t="shared" ca="1" si="75"/>
        <v>31</v>
      </c>
      <c r="N1168" t="str">
        <f t="shared" si="72"/>
        <v>Hounslow22Reablement and OT Home-based intermediate care servicesJoint reablement and rehabilitation service (to prevent admission to hospital or residential care)</v>
      </c>
      <c r="O1168" t="s">
        <v>179</v>
      </c>
      <c r="P1168" t="s">
        <v>790</v>
      </c>
      <c r="Q1168">
        <v>22</v>
      </c>
      <c r="R1168" t="s">
        <v>3398</v>
      </c>
      <c r="S1168" t="s">
        <v>3754</v>
      </c>
      <c r="T1168" t="s">
        <v>787</v>
      </c>
      <c r="U1168" t="s">
        <v>899</v>
      </c>
      <c r="W1168">
        <v>513</v>
      </c>
      <c r="X1168">
        <v>513</v>
      </c>
      <c r="Y1168" t="s">
        <v>789</v>
      </c>
      <c r="Z1168" t="s">
        <v>823</v>
      </c>
      <c r="AB1168" t="s">
        <v>793</v>
      </c>
      <c r="AD1168" t="s">
        <v>794</v>
      </c>
      <c r="AE1168" t="s">
        <v>795</v>
      </c>
      <c r="AF1168" t="s">
        <v>796</v>
      </c>
      <c r="AG1168" t="s">
        <v>861</v>
      </c>
      <c r="AH1168">
        <v>2421877</v>
      </c>
      <c r="AI1168">
        <v>2558955.2382</v>
      </c>
      <c r="AJ1168">
        <v>0.50325722756697433</v>
      </c>
    </row>
    <row r="1169" spans="1:36" x14ac:dyDescent="0.3">
      <c r="A1169">
        <f>COUNTIF($D$2:D1169,D1169)</f>
        <v>39</v>
      </c>
      <c r="B1169" t="str">
        <f t="shared" si="73"/>
        <v>39Knowsley</v>
      </c>
      <c r="C1169" t="s">
        <v>3755</v>
      </c>
      <c r="D1169" t="s">
        <v>195</v>
      </c>
      <c r="E1169">
        <v>84</v>
      </c>
      <c r="F1169" t="s">
        <v>3756</v>
      </c>
      <c r="G1169" t="s">
        <v>842</v>
      </c>
      <c r="H1169" t="s">
        <v>843</v>
      </c>
      <c r="I1169" t="s">
        <v>844</v>
      </c>
      <c r="J1169">
        <f t="shared" ca="1" si="74"/>
        <v>400000</v>
      </c>
      <c r="K1169">
        <f t="shared" ca="1" si="75"/>
        <v>20325</v>
      </c>
      <c r="N1169" t="str">
        <f t="shared" si="72"/>
        <v>Hounslow23Integrated Community Response Service Social WorkerHome-based intermediate care servicesReablement at home (to prevent admission to hospital or residential care)</v>
      </c>
      <c r="O1169" t="s">
        <v>179</v>
      </c>
      <c r="P1169" t="s">
        <v>790</v>
      </c>
      <c r="Q1169">
        <v>23</v>
      </c>
      <c r="R1169" t="s">
        <v>3400</v>
      </c>
      <c r="S1169" t="s">
        <v>3754</v>
      </c>
      <c r="T1169" t="s">
        <v>787</v>
      </c>
      <c r="U1169" t="s">
        <v>886</v>
      </c>
      <c r="W1169">
        <v>513</v>
      </c>
      <c r="X1169">
        <v>513</v>
      </c>
      <c r="Y1169" t="s">
        <v>789</v>
      </c>
      <c r="Z1169" t="s">
        <v>792</v>
      </c>
      <c r="AB1169" t="s">
        <v>793</v>
      </c>
      <c r="AD1169" t="s">
        <v>794</v>
      </c>
      <c r="AE1169" t="s">
        <v>795</v>
      </c>
      <c r="AF1169" t="s">
        <v>796</v>
      </c>
      <c r="AG1169" t="s">
        <v>797</v>
      </c>
      <c r="AH1169">
        <v>58100</v>
      </c>
      <c r="AI1169">
        <v>61388.46</v>
      </c>
      <c r="AJ1169">
        <v>1.207296857835522E-2</v>
      </c>
    </row>
    <row r="1170" spans="1:36" x14ac:dyDescent="0.3">
      <c r="A1170">
        <f>COUNTIF($D$2:D1170,D1170)</f>
        <v>40</v>
      </c>
      <c r="B1170" t="str">
        <f t="shared" si="73"/>
        <v>40Knowsley</v>
      </c>
      <c r="C1170" t="s">
        <v>3757</v>
      </c>
      <c r="D1170" t="s">
        <v>195</v>
      </c>
      <c r="E1170">
        <v>85</v>
      </c>
      <c r="F1170" t="s">
        <v>3756</v>
      </c>
      <c r="G1170" t="s">
        <v>806</v>
      </c>
      <c r="H1170" t="s">
        <v>917</v>
      </c>
      <c r="I1170" t="s">
        <v>808</v>
      </c>
      <c r="J1170">
        <f t="shared" ca="1" si="74"/>
        <v>146536</v>
      </c>
      <c r="K1170">
        <f t="shared" ca="1" si="75"/>
        <v>4</v>
      </c>
      <c r="N1170" t="str">
        <f t="shared" si="72"/>
        <v>Hounslow30Community RehabilitationHome-based intermediate care servicesReablement at home (to prevent admission to hospital or residential care)</v>
      </c>
      <c r="O1170" t="s">
        <v>179</v>
      </c>
      <c r="P1170" t="s">
        <v>790</v>
      </c>
      <c r="Q1170">
        <v>30</v>
      </c>
      <c r="R1170" t="s">
        <v>3403</v>
      </c>
      <c r="S1170" t="s">
        <v>3758</v>
      </c>
      <c r="T1170" t="s">
        <v>787</v>
      </c>
      <c r="U1170" t="s">
        <v>886</v>
      </c>
      <c r="W1170">
        <v>4363</v>
      </c>
      <c r="X1170">
        <v>4363</v>
      </c>
      <c r="Y1170" t="s">
        <v>789</v>
      </c>
      <c r="Z1170" t="s">
        <v>823</v>
      </c>
      <c r="AB1170" t="s">
        <v>824</v>
      </c>
      <c r="AD1170" t="s">
        <v>794</v>
      </c>
      <c r="AE1170" t="s">
        <v>832</v>
      </c>
      <c r="AF1170" t="s">
        <v>796</v>
      </c>
      <c r="AG1170" t="s">
        <v>797</v>
      </c>
      <c r="AH1170">
        <v>2332426.8112849402</v>
      </c>
      <c r="AI1170">
        <v>2464442.1688036676</v>
      </c>
      <c r="AJ1170">
        <v>0.4846698038546704</v>
      </c>
    </row>
    <row r="1171" spans="1:36" x14ac:dyDescent="0.3">
      <c r="A1171">
        <f>COUNTIF($D$2:D1171,D1171)</f>
        <v>41</v>
      </c>
      <c r="B1171" t="str">
        <f t="shared" si="73"/>
        <v>41Knowsley</v>
      </c>
      <c r="C1171" t="s">
        <v>3759</v>
      </c>
      <c r="D1171" t="s">
        <v>195</v>
      </c>
      <c r="E1171">
        <v>86</v>
      </c>
      <c r="F1171" t="s">
        <v>1578</v>
      </c>
      <c r="G1171" t="s">
        <v>800</v>
      </c>
      <c r="H1171" t="s">
        <v>812</v>
      </c>
      <c r="I1171" t="s">
        <v>802</v>
      </c>
      <c r="J1171">
        <f t="shared" ca="1" si="74"/>
        <v>50000</v>
      </c>
      <c r="K1171">
        <f t="shared" ca="1" si="75"/>
        <v>200</v>
      </c>
      <c r="N1171" t="str">
        <f t="shared" si="72"/>
        <v>Hounslow31EquipmentAssistive Technologies and EquipmentAssistive technologies including telecare</v>
      </c>
      <c r="O1171" t="s">
        <v>179</v>
      </c>
      <c r="P1171" t="s">
        <v>790</v>
      </c>
      <c r="Q1171">
        <v>31</v>
      </c>
      <c r="R1171" t="s">
        <v>1034</v>
      </c>
      <c r="S1171" t="s">
        <v>1051</v>
      </c>
      <c r="T1171" t="s">
        <v>800</v>
      </c>
      <c r="U1171" t="s">
        <v>850</v>
      </c>
      <c r="W1171">
        <v>500</v>
      </c>
      <c r="X1171">
        <v>500</v>
      </c>
      <c r="Y1171" t="s">
        <v>802</v>
      </c>
      <c r="Z1171" t="s">
        <v>823</v>
      </c>
      <c r="AB1171" t="s">
        <v>824</v>
      </c>
      <c r="AD1171" t="s">
        <v>794</v>
      </c>
      <c r="AE1171" t="s">
        <v>795</v>
      </c>
      <c r="AF1171" t="s">
        <v>796</v>
      </c>
      <c r="AG1171" t="s">
        <v>797</v>
      </c>
      <c r="AH1171">
        <v>2175605.6342000002</v>
      </c>
      <c r="AI1171">
        <v>2298744.9130957201</v>
      </c>
      <c r="AJ1171">
        <v>0.76187188039692244</v>
      </c>
    </row>
    <row r="1172" spans="1:36" x14ac:dyDescent="0.3">
      <c r="A1172">
        <f>COUNTIF($D$2:D1172,D1172)</f>
        <v>42</v>
      </c>
      <c r="B1172" t="str">
        <f t="shared" si="73"/>
        <v>42Knowsley</v>
      </c>
      <c r="C1172" t="s">
        <v>3760</v>
      </c>
      <c r="D1172" t="s">
        <v>195</v>
      </c>
      <c r="E1172">
        <v>90</v>
      </c>
      <c r="F1172" t="s">
        <v>3761</v>
      </c>
      <c r="G1172" t="s">
        <v>800</v>
      </c>
      <c r="H1172" t="s">
        <v>850</v>
      </c>
      <c r="I1172" t="s">
        <v>802</v>
      </c>
      <c r="J1172">
        <f t="shared" ca="1" si="74"/>
        <v>104000</v>
      </c>
      <c r="K1172">
        <f t="shared" ca="1" si="75"/>
        <v>268</v>
      </c>
      <c r="N1172" t="str">
        <f t="shared" si="72"/>
        <v>Hounslow41Disabled Facilities GrantDFG Related SchemesAdaptations, including statutory DFG grants</v>
      </c>
      <c r="O1172" t="s">
        <v>179</v>
      </c>
      <c r="P1172" t="s">
        <v>790</v>
      </c>
      <c r="Q1172">
        <v>41</v>
      </c>
      <c r="R1172" t="s">
        <v>891</v>
      </c>
      <c r="S1172" t="s">
        <v>1479</v>
      </c>
      <c r="T1172" t="s">
        <v>834</v>
      </c>
      <c r="U1172" t="s">
        <v>835</v>
      </c>
      <c r="W1172">
        <v>880</v>
      </c>
      <c r="X1172">
        <v>880</v>
      </c>
      <c r="Y1172" t="s">
        <v>836</v>
      </c>
      <c r="Z1172" t="s">
        <v>792</v>
      </c>
      <c r="AB1172" t="s">
        <v>793</v>
      </c>
      <c r="AD1172" t="s">
        <v>794</v>
      </c>
      <c r="AE1172" t="s">
        <v>795</v>
      </c>
      <c r="AF1172" t="s">
        <v>840</v>
      </c>
      <c r="AG1172" t="s">
        <v>797</v>
      </c>
      <c r="AH1172">
        <v>2999580</v>
      </c>
      <c r="AI1172">
        <v>2999580</v>
      </c>
      <c r="AJ1172">
        <v>1</v>
      </c>
    </row>
    <row r="1173" spans="1:36" x14ac:dyDescent="0.3">
      <c r="A1173">
        <f>COUNTIF($D$2:D1173,D1173)</f>
        <v>43</v>
      </c>
      <c r="B1173" t="str">
        <f t="shared" si="73"/>
        <v>43Knowsley</v>
      </c>
      <c r="C1173" t="s">
        <v>3762</v>
      </c>
      <c r="D1173" t="s">
        <v>195</v>
      </c>
      <c r="E1173">
        <v>91</v>
      </c>
      <c r="F1173" t="s">
        <v>3761</v>
      </c>
      <c r="G1173" t="s">
        <v>800</v>
      </c>
      <c r="H1173" t="s">
        <v>903</v>
      </c>
      <c r="I1173" t="s">
        <v>802</v>
      </c>
      <c r="J1173">
        <f t="shared" ca="1" si="74"/>
        <v>478000</v>
      </c>
      <c r="K1173">
        <f t="shared" ca="1" si="75"/>
        <v>328</v>
      </c>
      <c r="N1173" t="str">
        <f t="shared" si="72"/>
        <v>Hounslow50Market ManagementResidential PlacementsCare home</v>
      </c>
      <c r="O1173" t="s">
        <v>179</v>
      </c>
      <c r="P1173" t="s">
        <v>790</v>
      </c>
      <c r="Q1173">
        <v>50</v>
      </c>
      <c r="R1173" t="s">
        <v>3408</v>
      </c>
      <c r="S1173" t="s">
        <v>3763</v>
      </c>
      <c r="T1173" t="s">
        <v>806</v>
      </c>
      <c r="U1173" t="s">
        <v>807</v>
      </c>
      <c r="W1173">
        <v>80</v>
      </c>
      <c r="X1173">
        <v>80</v>
      </c>
      <c r="Y1173" t="s">
        <v>808</v>
      </c>
      <c r="Z1173" t="s">
        <v>792</v>
      </c>
      <c r="AB1173" t="s">
        <v>793</v>
      </c>
      <c r="AD1173" t="s">
        <v>794</v>
      </c>
      <c r="AE1173" t="s">
        <v>795</v>
      </c>
      <c r="AF1173" t="s">
        <v>845</v>
      </c>
      <c r="AG1173" t="s">
        <v>797</v>
      </c>
      <c r="AH1173">
        <v>5243903</v>
      </c>
      <c r="AI1173">
        <v>5243903</v>
      </c>
      <c r="AJ1173">
        <v>0.8916005222522545</v>
      </c>
    </row>
    <row r="1174" spans="1:36" x14ac:dyDescent="0.3">
      <c r="A1174">
        <f>COUNTIF($D$2:D1174,D1174)</f>
        <v>44</v>
      </c>
      <c r="B1174" t="str">
        <f t="shared" si="73"/>
        <v>44Knowsley</v>
      </c>
      <c r="C1174" t="s">
        <v>3764</v>
      </c>
      <c r="D1174" t="s">
        <v>195</v>
      </c>
      <c r="E1174">
        <v>99</v>
      </c>
      <c r="F1174" t="s">
        <v>3765</v>
      </c>
      <c r="G1174" t="s">
        <v>842</v>
      </c>
      <c r="H1174" t="s">
        <v>856</v>
      </c>
      <c r="I1174" t="s">
        <v>844</v>
      </c>
      <c r="J1174">
        <f t="shared" ca="1" si="74"/>
        <v>21000</v>
      </c>
      <c r="K1174">
        <f t="shared" ca="1" si="75"/>
        <v>1176</v>
      </c>
      <c r="N1174" t="str">
        <f t="shared" si="72"/>
        <v>Isle of Wight1INTEGRATED EARLY HELP &amp; PREVENTIONAssistive Technologies and EquipmentAssistive technologies including telecare</v>
      </c>
      <c r="O1174" t="s">
        <v>181</v>
      </c>
      <c r="P1174" t="s">
        <v>1437</v>
      </c>
      <c r="Q1174">
        <v>1</v>
      </c>
      <c r="R1174" t="s">
        <v>3411</v>
      </c>
      <c r="S1174" t="s">
        <v>1578</v>
      </c>
      <c r="T1174" t="s">
        <v>800</v>
      </c>
      <c r="U1174" t="s">
        <v>850</v>
      </c>
      <c r="W1174">
        <v>1102</v>
      </c>
      <c r="X1174">
        <v>1467</v>
      </c>
      <c r="Y1174" t="s">
        <v>802</v>
      </c>
      <c r="Z1174" t="s">
        <v>823</v>
      </c>
      <c r="AB1174" t="s">
        <v>824</v>
      </c>
      <c r="AD1174" t="s">
        <v>794</v>
      </c>
      <c r="AE1174" t="s">
        <v>832</v>
      </c>
      <c r="AF1174" t="s">
        <v>796</v>
      </c>
      <c r="AG1174" t="s">
        <v>797</v>
      </c>
      <c r="AH1174">
        <v>48350</v>
      </c>
      <c r="AI1174">
        <v>48350</v>
      </c>
      <c r="AJ1174">
        <v>1</v>
      </c>
    </row>
    <row r="1175" spans="1:36" x14ac:dyDescent="0.3">
      <c r="A1175">
        <f>COUNTIF($D$2:D1175,D1175)</f>
        <v>45</v>
      </c>
      <c r="B1175" t="str">
        <f t="shared" si="73"/>
        <v>45Knowsley</v>
      </c>
      <c r="C1175" t="s">
        <v>3766</v>
      </c>
      <c r="D1175" t="s">
        <v>195</v>
      </c>
      <c r="E1175">
        <v>100</v>
      </c>
      <c r="F1175" t="s">
        <v>3767</v>
      </c>
      <c r="G1175" t="s">
        <v>842</v>
      </c>
      <c r="H1175" t="s">
        <v>856</v>
      </c>
      <c r="I1175" t="s">
        <v>844</v>
      </c>
      <c r="J1175">
        <f t="shared" ca="1" si="74"/>
        <v>21000</v>
      </c>
      <c r="K1175">
        <f t="shared" ca="1" si="75"/>
        <v>1176</v>
      </c>
      <c r="N1175" t="str">
        <f t="shared" si="72"/>
        <v>Isle of Wight2INTEGRATED DISCHARGE &amp; ADMISSION AVOIDANCECarers ServicesOther</v>
      </c>
      <c r="O1175" t="s">
        <v>181</v>
      </c>
      <c r="P1175" t="s">
        <v>1437</v>
      </c>
      <c r="Q1175">
        <v>2</v>
      </c>
      <c r="R1175" t="s">
        <v>3414</v>
      </c>
      <c r="S1175" t="s">
        <v>3768</v>
      </c>
      <c r="T1175" t="s">
        <v>811</v>
      </c>
      <c r="U1175" t="s">
        <v>812</v>
      </c>
      <c r="V1175" t="s">
        <v>3769</v>
      </c>
      <c r="W1175">
        <v>1088</v>
      </c>
      <c r="X1175">
        <v>1088</v>
      </c>
      <c r="Y1175" t="s">
        <v>813</v>
      </c>
      <c r="Z1175" t="s">
        <v>792</v>
      </c>
      <c r="AB1175" t="s">
        <v>793</v>
      </c>
      <c r="AD1175" t="s">
        <v>794</v>
      </c>
      <c r="AE1175" t="s">
        <v>804</v>
      </c>
      <c r="AF1175" t="s">
        <v>796</v>
      </c>
      <c r="AG1175" t="s">
        <v>797</v>
      </c>
      <c r="AH1175">
        <v>296008</v>
      </c>
      <c r="AI1175">
        <v>296008</v>
      </c>
      <c r="AJ1175">
        <v>1</v>
      </c>
    </row>
    <row r="1176" spans="1:36" x14ac:dyDescent="0.3">
      <c r="A1176">
        <f>COUNTIF($D$2:D1176,D1176)</f>
        <v>46</v>
      </c>
      <c r="B1176" t="str">
        <f t="shared" si="73"/>
        <v>46Knowsley</v>
      </c>
      <c r="C1176" t="s">
        <v>3770</v>
      </c>
      <c r="D1176" t="s">
        <v>195</v>
      </c>
      <c r="E1176">
        <v>105</v>
      </c>
      <c r="F1176" t="s">
        <v>3771</v>
      </c>
      <c r="G1176" t="s">
        <v>806</v>
      </c>
      <c r="H1176" t="s">
        <v>807</v>
      </c>
      <c r="I1176" t="s">
        <v>808</v>
      </c>
      <c r="J1176">
        <f t="shared" ca="1" si="74"/>
        <v>12000</v>
      </c>
      <c r="K1176">
        <f t="shared" ca="1" si="75"/>
        <v>1</v>
      </c>
      <c r="N1176" t="str">
        <f t="shared" si="72"/>
        <v>Isle of Wight2INTEGRATED DISCHARGE &amp; ADMISSION AVOIDANCEDFG Related SchemesAdaptations, including statutory DFG grants</v>
      </c>
      <c r="O1176" t="s">
        <v>181</v>
      </c>
      <c r="P1176" t="s">
        <v>1437</v>
      </c>
      <c r="Q1176">
        <v>2</v>
      </c>
      <c r="R1176" t="s">
        <v>3414</v>
      </c>
      <c r="S1176" t="s">
        <v>3772</v>
      </c>
      <c r="T1176" t="s">
        <v>834</v>
      </c>
      <c r="U1176" t="s">
        <v>835</v>
      </c>
      <c r="W1176">
        <v>320</v>
      </c>
      <c r="X1176">
        <v>320</v>
      </c>
      <c r="Y1176" t="s">
        <v>836</v>
      </c>
      <c r="Z1176" t="s">
        <v>792</v>
      </c>
      <c r="AB1176" t="s">
        <v>793</v>
      </c>
      <c r="AD1176" t="s">
        <v>794</v>
      </c>
      <c r="AE1176" t="s">
        <v>804</v>
      </c>
      <c r="AF1176" t="s">
        <v>840</v>
      </c>
      <c r="AG1176" t="s">
        <v>797</v>
      </c>
      <c r="AH1176">
        <v>2272039</v>
      </c>
      <c r="AI1176">
        <v>2272039</v>
      </c>
      <c r="AJ1176">
        <v>1</v>
      </c>
    </row>
    <row r="1177" spans="1:36" x14ac:dyDescent="0.3">
      <c r="A1177">
        <f>COUNTIF($D$2:D1177,D1177)</f>
        <v>1</v>
      </c>
      <c r="B1177" t="str">
        <f t="shared" si="73"/>
        <v>1Lambeth</v>
      </c>
      <c r="C1177" t="s">
        <v>3773</v>
      </c>
      <c r="D1177" t="s">
        <v>197</v>
      </c>
      <c r="E1177">
        <v>1</v>
      </c>
      <c r="F1177" t="s">
        <v>3774</v>
      </c>
      <c r="G1177" t="s">
        <v>787</v>
      </c>
      <c r="H1177" t="s">
        <v>788</v>
      </c>
      <c r="I1177" t="s">
        <v>789</v>
      </c>
      <c r="J1177">
        <f t="shared" ca="1" si="74"/>
        <v>1784297</v>
      </c>
      <c r="K1177">
        <f t="shared" ca="1" si="75"/>
        <v>710</v>
      </c>
      <c r="N1177" t="str">
        <f t="shared" si="72"/>
        <v>Isle of Wight2INTEGRATED DISCHARGE &amp; ADMISSION AVOIDANCEHome-based intermediate care servicesRehabilitation at home (accepting step up and step down users)</v>
      </c>
      <c r="O1177" t="s">
        <v>181</v>
      </c>
      <c r="P1177" t="s">
        <v>1437</v>
      </c>
      <c r="Q1177">
        <v>2</v>
      </c>
      <c r="R1177" t="s">
        <v>3414</v>
      </c>
      <c r="S1177" t="s">
        <v>3775</v>
      </c>
      <c r="T1177" t="s">
        <v>787</v>
      </c>
      <c r="U1177" t="s">
        <v>1688</v>
      </c>
      <c r="W1177">
        <v>3908</v>
      </c>
      <c r="X1177">
        <v>3908</v>
      </c>
      <c r="Y1177" t="s">
        <v>789</v>
      </c>
      <c r="Z1177" t="s">
        <v>792</v>
      </c>
      <c r="AB1177" t="s">
        <v>793</v>
      </c>
      <c r="AD1177" t="s">
        <v>794</v>
      </c>
      <c r="AE1177" t="s">
        <v>795</v>
      </c>
      <c r="AF1177" t="s">
        <v>796</v>
      </c>
      <c r="AG1177" t="s">
        <v>797</v>
      </c>
      <c r="AH1177">
        <v>1678335</v>
      </c>
      <c r="AI1177">
        <v>1678335</v>
      </c>
      <c r="AJ1177">
        <v>1</v>
      </c>
    </row>
    <row r="1178" spans="1:36" x14ac:dyDescent="0.3">
      <c r="A1178">
        <f>COUNTIF($D$2:D1178,D1178)</f>
        <v>2</v>
      </c>
      <c r="B1178" t="str">
        <f t="shared" si="73"/>
        <v>2Lambeth</v>
      </c>
      <c r="C1178" t="s">
        <v>3776</v>
      </c>
      <c r="D1178" t="s">
        <v>197</v>
      </c>
      <c r="E1178">
        <v>1</v>
      </c>
      <c r="F1178" t="s">
        <v>3777</v>
      </c>
      <c r="G1178" t="s">
        <v>787</v>
      </c>
      <c r="H1178" t="s">
        <v>788</v>
      </c>
      <c r="I1178" t="s">
        <v>789</v>
      </c>
      <c r="J1178">
        <f t="shared" ca="1" si="74"/>
        <v>1118379</v>
      </c>
      <c r="K1178">
        <f t="shared" ca="1" si="75"/>
        <v>689</v>
      </c>
      <c r="N1178" t="str">
        <f t="shared" si="72"/>
        <v>Isle of Wight2INTEGRATED DISCHARGE &amp; ADMISSION AVOIDANCEHome-based intermediate care servicesRehabilitation at home (accepting step up and step down users)</v>
      </c>
      <c r="O1178" t="s">
        <v>181</v>
      </c>
      <c r="P1178" t="s">
        <v>1437</v>
      </c>
      <c r="Q1178">
        <v>2</v>
      </c>
      <c r="R1178" t="s">
        <v>3414</v>
      </c>
      <c r="S1178" t="s">
        <v>3775</v>
      </c>
      <c r="T1178" t="s">
        <v>787</v>
      </c>
      <c r="U1178" t="s">
        <v>1688</v>
      </c>
      <c r="W1178">
        <v>635</v>
      </c>
      <c r="X1178">
        <v>635</v>
      </c>
      <c r="Y1178" t="s">
        <v>789</v>
      </c>
      <c r="Z1178" t="s">
        <v>792</v>
      </c>
      <c r="AB1178" t="s">
        <v>793</v>
      </c>
      <c r="AD1178" t="s">
        <v>794</v>
      </c>
      <c r="AE1178" t="s">
        <v>795</v>
      </c>
      <c r="AF1178" t="s">
        <v>845</v>
      </c>
      <c r="AG1178" t="s">
        <v>797</v>
      </c>
      <c r="AH1178">
        <v>272677</v>
      </c>
      <c r="AI1178">
        <v>272677</v>
      </c>
      <c r="AJ1178">
        <v>1</v>
      </c>
    </row>
    <row r="1179" spans="1:36" x14ac:dyDescent="0.3">
      <c r="A1179">
        <f>COUNTIF($D$2:D1179,D1179)</f>
        <v>3</v>
      </c>
      <c r="B1179" t="str">
        <f t="shared" si="73"/>
        <v>3Lambeth</v>
      </c>
      <c r="C1179" t="s">
        <v>3778</v>
      </c>
      <c r="D1179" t="s">
        <v>197</v>
      </c>
      <c r="E1179">
        <v>5</v>
      </c>
      <c r="F1179" t="s">
        <v>1250</v>
      </c>
      <c r="G1179" t="s">
        <v>811</v>
      </c>
      <c r="H1179" t="s">
        <v>895</v>
      </c>
      <c r="I1179" t="s">
        <v>813</v>
      </c>
      <c r="J1179">
        <f t="shared" ca="1" si="74"/>
        <v>290000</v>
      </c>
      <c r="K1179">
        <f t="shared" ca="1" si="75"/>
        <v>535</v>
      </c>
      <c r="N1179" t="str">
        <f t="shared" si="72"/>
        <v>Isle of Wight2INTEGRATED DISCHARGE &amp; ADMISSION AVOIDANCEHome-based intermediate care servicesRehabilitation at home (accepting step up and step down users)</v>
      </c>
      <c r="O1179" t="s">
        <v>181</v>
      </c>
      <c r="P1179" t="s">
        <v>1437</v>
      </c>
      <c r="Q1179">
        <v>2</v>
      </c>
      <c r="R1179" t="s">
        <v>3414</v>
      </c>
      <c r="S1179" t="s">
        <v>3775</v>
      </c>
      <c r="T1179" t="s">
        <v>787</v>
      </c>
      <c r="U1179" t="s">
        <v>1688</v>
      </c>
      <c r="W1179">
        <v>595</v>
      </c>
      <c r="X1179">
        <v>595</v>
      </c>
      <c r="Y1179" t="s">
        <v>789</v>
      </c>
      <c r="Z1179" t="s">
        <v>792</v>
      </c>
      <c r="AB1179" t="s">
        <v>793</v>
      </c>
      <c r="AD1179" t="s">
        <v>794</v>
      </c>
      <c r="AE1179" t="s">
        <v>795</v>
      </c>
      <c r="AF1179" t="s">
        <v>864</v>
      </c>
      <c r="AG1179" t="s">
        <v>797</v>
      </c>
      <c r="AH1179">
        <v>255393</v>
      </c>
      <c r="AI1179">
        <v>255393</v>
      </c>
      <c r="AJ1179">
        <v>1</v>
      </c>
    </row>
    <row r="1180" spans="1:36" x14ac:dyDescent="0.3">
      <c r="A1180">
        <f>COUNTIF($D$2:D1180,D1180)</f>
        <v>4</v>
      </c>
      <c r="B1180" t="str">
        <f t="shared" si="73"/>
        <v>4Lambeth</v>
      </c>
      <c r="C1180" t="s">
        <v>3779</v>
      </c>
      <c r="D1180" t="s">
        <v>197</v>
      </c>
      <c r="E1180">
        <v>6</v>
      </c>
      <c r="F1180" t="s">
        <v>2593</v>
      </c>
      <c r="G1180" t="s">
        <v>806</v>
      </c>
      <c r="H1180" t="s">
        <v>807</v>
      </c>
      <c r="I1180" t="s">
        <v>808</v>
      </c>
      <c r="J1180">
        <f t="shared" ca="1" si="74"/>
        <v>5801000</v>
      </c>
      <c r="K1180">
        <f t="shared" ca="1" si="75"/>
        <v>842</v>
      </c>
      <c r="N1180" t="str">
        <f t="shared" si="72"/>
        <v>Isle of Wight2INTEGRATED DISCHARGE &amp; ADMISSION AVOIDANCEBed based intermediate Care Services (Reablement, rehabilitation, wider short-term services supporting recovery)Bed-based intermediate care with reablement (to support discharge)</v>
      </c>
      <c r="O1180" t="s">
        <v>181</v>
      </c>
      <c r="P1180" t="s">
        <v>1437</v>
      </c>
      <c r="Q1180">
        <v>2</v>
      </c>
      <c r="R1180" t="s">
        <v>3414</v>
      </c>
      <c r="S1180" t="s">
        <v>3780</v>
      </c>
      <c r="T1180" t="s">
        <v>877</v>
      </c>
      <c r="U1180" t="s">
        <v>878</v>
      </c>
      <c r="W1180">
        <v>11</v>
      </c>
      <c r="X1180">
        <v>11</v>
      </c>
      <c r="Y1180" t="s">
        <v>879</v>
      </c>
      <c r="Z1180" t="s">
        <v>792</v>
      </c>
      <c r="AB1180" t="s">
        <v>793</v>
      </c>
      <c r="AD1180" t="s">
        <v>794</v>
      </c>
      <c r="AE1180" t="s">
        <v>795</v>
      </c>
      <c r="AF1180" t="s">
        <v>796</v>
      </c>
      <c r="AG1180" t="s">
        <v>797</v>
      </c>
      <c r="AH1180">
        <v>962489</v>
      </c>
      <c r="AI1180">
        <v>962489</v>
      </c>
      <c r="AJ1180">
        <v>1</v>
      </c>
    </row>
    <row r="1181" spans="1:36" x14ac:dyDescent="0.3">
      <c r="A1181">
        <f>COUNTIF($D$2:D1181,D1181)</f>
        <v>5</v>
      </c>
      <c r="B1181" t="str">
        <f t="shared" si="73"/>
        <v>5Lambeth</v>
      </c>
      <c r="C1181" t="s">
        <v>3781</v>
      </c>
      <c r="D1181" t="s">
        <v>197</v>
      </c>
      <c r="E1181">
        <v>8</v>
      </c>
      <c r="F1181" t="s">
        <v>1844</v>
      </c>
      <c r="G1181" t="s">
        <v>834</v>
      </c>
      <c r="H1181" t="s">
        <v>835</v>
      </c>
      <c r="I1181" t="s">
        <v>836</v>
      </c>
      <c r="J1181">
        <f t="shared" ca="1" si="74"/>
        <v>1678410</v>
      </c>
      <c r="K1181">
        <f t="shared" ca="1" si="75"/>
        <v>22361</v>
      </c>
      <c r="N1181" t="str">
        <f t="shared" si="72"/>
        <v>Isle of Wight2INTEGRATED DISCHARGE &amp; ADMISSION AVOIDANCEBed based intermediate Care Services (Reablement, rehabilitation, wider short-term services supporting recovery)Bed-based intermediate care with reablement (to support discharge)</v>
      </c>
      <c r="O1181" t="s">
        <v>181</v>
      </c>
      <c r="P1181" t="s">
        <v>1437</v>
      </c>
      <c r="Q1181">
        <v>2</v>
      </c>
      <c r="R1181" t="s">
        <v>3414</v>
      </c>
      <c r="S1181" t="s">
        <v>3780</v>
      </c>
      <c r="T1181" t="s">
        <v>877</v>
      </c>
      <c r="U1181" t="s">
        <v>878</v>
      </c>
      <c r="W1181">
        <v>7</v>
      </c>
      <c r="X1181">
        <v>7</v>
      </c>
      <c r="Y1181" t="s">
        <v>879</v>
      </c>
      <c r="Z1181" t="s">
        <v>792</v>
      </c>
      <c r="AB1181" t="s">
        <v>793</v>
      </c>
      <c r="AD1181" t="s">
        <v>794</v>
      </c>
      <c r="AE1181" t="s">
        <v>795</v>
      </c>
      <c r="AF1181" t="s">
        <v>1029</v>
      </c>
      <c r="AG1181" t="s">
        <v>797</v>
      </c>
      <c r="AH1181">
        <v>669733</v>
      </c>
      <c r="AI1181">
        <v>669733</v>
      </c>
      <c r="AJ1181">
        <v>1</v>
      </c>
    </row>
    <row r="1182" spans="1:36" x14ac:dyDescent="0.3">
      <c r="A1182">
        <f>COUNTIF($D$2:D1182,D1182)</f>
        <v>6</v>
      </c>
      <c r="B1182" t="str">
        <f t="shared" si="73"/>
        <v>6Lambeth</v>
      </c>
      <c r="C1182" t="s">
        <v>3782</v>
      </c>
      <c r="D1182" t="s">
        <v>197</v>
      </c>
      <c r="E1182">
        <v>9</v>
      </c>
      <c r="F1182" t="s">
        <v>3783</v>
      </c>
      <c r="G1182" t="s">
        <v>806</v>
      </c>
      <c r="H1182" t="s">
        <v>807</v>
      </c>
      <c r="I1182" t="s">
        <v>808</v>
      </c>
      <c r="J1182">
        <f t="shared" ca="1" si="74"/>
        <v>829904</v>
      </c>
      <c r="K1182">
        <f t="shared" ca="1" si="75"/>
        <v>210</v>
      </c>
      <c r="N1182" t="str">
        <f t="shared" si="72"/>
        <v>Isle of Wight2INTEGRATED DISCHARGE &amp; ADMISSION AVOIDANCEBed based intermediate Care Services (Reablement, rehabilitation, wider short-term services supporting recovery)Bed-based intermediate care with reablement (to support discharge)</v>
      </c>
      <c r="O1182" t="s">
        <v>181</v>
      </c>
      <c r="P1182" t="s">
        <v>1437</v>
      </c>
      <c r="Q1182">
        <v>2</v>
      </c>
      <c r="R1182" t="s">
        <v>3414</v>
      </c>
      <c r="S1182" t="s">
        <v>3784</v>
      </c>
      <c r="T1182" t="s">
        <v>877</v>
      </c>
      <c r="U1182" t="s">
        <v>878</v>
      </c>
      <c r="W1182">
        <v>14</v>
      </c>
      <c r="X1182">
        <v>14</v>
      </c>
      <c r="Y1182" t="s">
        <v>879</v>
      </c>
      <c r="Z1182" t="s">
        <v>792</v>
      </c>
      <c r="AB1182" t="s">
        <v>793</v>
      </c>
      <c r="AD1182" t="s">
        <v>794</v>
      </c>
      <c r="AE1182" t="s">
        <v>795</v>
      </c>
      <c r="AF1182" t="s">
        <v>796</v>
      </c>
      <c r="AG1182" t="s">
        <v>797</v>
      </c>
      <c r="AH1182">
        <v>1176375</v>
      </c>
      <c r="AI1182">
        <v>1176375</v>
      </c>
      <c r="AJ1182">
        <v>1</v>
      </c>
    </row>
    <row r="1183" spans="1:36" x14ac:dyDescent="0.3">
      <c r="A1183">
        <f>COUNTIF($D$2:D1183,D1183)</f>
        <v>7</v>
      </c>
      <c r="B1183" t="str">
        <f t="shared" si="73"/>
        <v>7Lambeth</v>
      </c>
      <c r="C1183" t="s">
        <v>3785</v>
      </c>
      <c r="D1183" t="s">
        <v>197</v>
      </c>
      <c r="E1183">
        <v>11</v>
      </c>
      <c r="F1183" t="s">
        <v>964</v>
      </c>
      <c r="G1183" t="s">
        <v>877</v>
      </c>
      <c r="H1183" t="s">
        <v>968</v>
      </c>
      <c r="I1183" t="s">
        <v>879</v>
      </c>
      <c r="J1183">
        <f t="shared" ca="1" si="74"/>
        <v>3907977</v>
      </c>
      <c r="K1183">
        <f t="shared" ca="1" si="75"/>
        <v>36</v>
      </c>
      <c r="N1183" t="str">
        <f t="shared" si="72"/>
        <v>Isle of Wight2INTEGRATED DISCHARGE &amp; ADMISSION AVOIDANCEBed based intermediate Care Services (Reablement, rehabilitation, wider short-term services supporting recovery)Bed-based intermediate care with reablement (to support discharge)</v>
      </c>
      <c r="O1183" t="s">
        <v>181</v>
      </c>
      <c r="P1183" t="s">
        <v>1437</v>
      </c>
      <c r="Q1183">
        <v>2</v>
      </c>
      <c r="R1183" t="s">
        <v>3414</v>
      </c>
      <c r="S1183" t="s">
        <v>3784</v>
      </c>
      <c r="T1183" t="s">
        <v>877</v>
      </c>
      <c r="U1183" t="s">
        <v>878</v>
      </c>
      <c r="W1183">
        <v>8</v>
      </c>
      <c r="X1183">
        <v>8</v>
      </c>
      <c r="Y1183" t="s">
        <v>879</v>
      </c>
      <c r="Z1183" t="s">
        <v>792</v>
      </c>
      <c r="AB1183" t="s">
        <v>793</v>
      </c>
      <c r="AD1183" t="s">
        <v>794</v>
      </c>
      <c r="AE1183" t="s">
        <v>795</v>
      </c>
      <c r="AF1183" t="s">
        <v>1029</v>
      </c>
      <c r="AG1183" t="s">
        <v>797</v>
      </c>
      <c r="AH1183">
        <v>636120</v>
      </c>
      <c r="AI1183">
        <v>636120</v>
      </c>
      <c r="AJ1183">
        <v>1</v>
      </c>
    </row>
    <row r="1184" spans="1:36" x14ac:dyDescent="0.3">
      <c r="A1184">
        <f>COUNTIF($D$2:D1184,D1184)</f>
        <v>8</v>
      </c>
      <c r="B1184" t="str">
        <f t="shared" si="73"/>
        <v>8Lambeth</v>
      </c>
      <c r="C1184" t="s">
        <v>3786</v>
      </c>
      <c r="D1184" t="s">
        <v>197</v>
      </c>
      <c r="E1184">
        <v>9</v>
      </c>
      <c r="F1184" t="s">
        <v>3783</v>
      </c>
      <c r="G1184" t="s">
        <v>842</v>
      </c>
      <c r="H1184" t="s">
        <v>856</v>
      </c>
      <c r="I1184" t="s">
        <v>844</v>
      </c>
      <c r="J1184">
        <f t="shared" ca="1" si="74"/>
        <v>14116507</v>
      </c>
      <c r="K1184">
        <f t="shared" ca="1" si="75"/>
        <v>3080</v>
      </c>
      <c r="N1184" t="str">
        <f t="shared" si="72"/>
        <v>Isle of Wight2INTEGRATED DISCHARGE &amp; ADMISSION AVOIDANCEBed based intermediate Care Services (Reablement, rehabilitation, wider short-term services supporting recovery)Bed-based intermediate care with rehabilitation (to support discharge)</v>
      </c>
      <c r="O1184" t="s">
        <v>181</v>
      </c>
      <c r="P1184" t="s">
        <v>1437</v>
      </c>
      <c r="Q1184">
        <v>2</v>
      </c>
      <c r="R1184" t="s">
        <v>3414</v>
      </c>
      <c r="S1184" t="s">
        <v>3787</v>
      </c>
      <c r="T1184" t="s">
        <v>877</v>
      </c>
      <c r="U1184" t="s">
        <v>968</v>
      </c>
      <c r="W1184">
        <v>48</v>
      </c>
      <c r="X1184">
        <v>48</v>
      </c>
      <c r="Y1184" t="s">
        <v>879</v>
      </c>
      <c r="Z1184" t="s">
        <v>823</v>
      </c>
      <c r="AB1184" t="s">
        <v>824</v>
      </c>
      <c r="AD1184" t="s">
        <v>794</v>
      </c>
      <c r="AE1184" t="s">
        <v>832</v>
      </c>
      <c r="AF1184" t="s">
        <v>796</v>
      </c>
      <c r="AG1184" t="s">
        <v>797</v>
      </c>
      <c r="AH1184">
        <v>1605921</v>
      </c>
      <c r="AI1184">
        <v>1605921</v>
      </c>
      <c r="AJ1184">
        <v>1</v>
      </c>
    </row>
    <row r="1185" spans="1:36" x14ac:dyDescent="0.3">
      <c r="A1185">
        <f>COUNTIF($D$2:D1185,D1185)</f>
        <v>9</v>
      </c>
      <c r="B1185" t="str">
        <f t="shared" si="73"/>
        <v>9Lambeth</v>
      </c>
      <c r="C1185" t="s">
        <v>3788</v>
      </c>
      <c r="D1185" t="s">
        <v>197</v>
      </c>
      <c r="E1185">
        <v>28</v>
      </c>
      <c r="F1185" t="s">
        <v>3789</v>
      </c>
      <c r="G1185" t="s">
        <v>806</v>
      </c>
      <c r="H1185" t="s">
        <v>955</v>
      </c>
      <c r="I1185" t="s">
        <v>808</v>
      </c>
      <c r="J1185">
        <f t="shared" ca="1" si="74"/>
        <v>732000</v>
      </c>
      <c r="K1185">
        <f t="shared" ca="1" si="75"/>
        <v>63</v>
      </c>
      <c r="N1185" t="str">
        <f t="shared" si="72"/>
        <v>Isle of Wight2INTEGRATED DISCHARGE &amp; ADMISSION AVOIDANCEHome-based intermediate care servicesRehabilitation at home (accepting step up and step down users)</v>
      </c>
      <c r="O1185" t="s">
        <v>181</v>
      </c>
      <c r="P1185" t="s">
        <v>1437</v>
      </c>
      <c r="Q1185">
        <v>2</v>
      </c>
      <c r="R1185" t="s">
        <v>3414</v>
      </c>
      <c r="S1185" t="s">
        <v>3790</v>
      </c>
      <c r="T1185" t="s">
        <v>787</v>
      </c>
      <c r="U1185" t="s">
        <v>1688</v>
      </c>
      <c r="W1185">
        <v>221</v>
      </c>
      <c r="X1185">
        <v>221</v>
      </c>
      <c r="Y1185" t="s">
        <v>789</v>
      </c>
      <c r="Z1185" t="s">
        <v>792</v>
      </c>
      <c r="AB1185" t="s">
        <v>793</v>
      </c>
      <c r="AD1185" t="s">
        <v>794</v>
      </c>
      <c r="AE1185" t="s">
        <v>795</v>
      </c>
      <c r="AF1185" t="s">
        <v>796</v>
      </c>
      <c r="AG1185" t="s">
        <v>797</v>
      </c>
      <c r="AH1185">
        <v>95000</v>
      </c>
      <c r="AI1185">
        <v>95000</v>
      </c>
      <c r="AJ1185">
        <v>1</v>
      </c>
    </row>
    <row r="1186" spans="1:36" x14ac:dyDescent="0.3">
      <c r="A1186">
        <f>COUNTIF($D$2:D1186,D1186)</f>
        <v>10</v>
      </c>
      <c r="B1186" t="str">
        <f t="shared" si="73"/>
        <v>10Lambeth</v>
      </c>
      <c r="C1186" t="s">
        <v>3791</v>
      </c>
      <c r="D1186" t="s">
        <v>197</v>
      </c>
      <c r="E1186">
        <v>29</v>
      </c>
      <c r="F1186" t="s">
        <v>3792</v>
      </c>
      <c r="G1186" t="s">
        <v>811</v>
      </c>
      <c r="H1186" t="s">
        <v>895</v>
      </c>
      <c r="I1186" t="s">
        <v>813</v>
      </c>
      <c r="J1186">
        <f t="shared" ca="1" si="74"/>
        <v>178289</v>
      </c>
      <c r="K1186">
        <f t="shared" ca="1" si="75"/>
        <v>16358</v>
      </c>
      <c r="N1186" t="str">
        <f t="shared" si="72"/>
        <v>Isle of Wight2INTEGRATED DISCHARGE &amp; ADMISSION AVOIDANCEResidential PlacementsCare home</v>
      </c>
      <c r="O1186" t="s">
        <v>181</v>
      </c>
      <c r="P1186" t="s">
        <v>1437</v>
      </c>
      <c r="Q1186">
        <v>2</v>
      </c>
      <c r="R1186" t="s">
        <v>3414</v>
      </c>
      <c r="S1186" t="s">
        <v>3793</v>
      </c>
      <c r="T1186" t="s">
        <v>806</v>
      </c>
      <c r="U1186" t="s">
        <v>807</v>
      </c>
      <c r="W1186">
        <v>4</v>
      </c>
      <c r="X1186">
        <v>4</v>
      </c>
      <c r="Y1186" t="s">
        <v>808</v>
      </c>
      <c r="Z1186" t="s">
        <v>792</v>
      </c>
      <c r="AB1186" t="s">
        <v>793</v>
      </c>
      <c r="AD1186" t="s">
        <v>794</v>
      </c>
      <c r="AE1186" t="s">
        <v>804</v>
      </c>
      <c r="AF1186" t="s">
        <v>864</v>
      </c>
      <c r="AG1186" t="s">
        <v>861</v>
      </c>
      <c r="AH1186">
        <v>162978</v>
      </c>
      <c r="AI1186">
        <v>162978</v>
      </c>
      <c r="AJ1186">
        <v>1</v>
      </c>
    </row>
    <row r="1187" spans="1:36" x14ac:dyDescent="0.3">
      <c r="A1187">
        <f>COUNTIF($D$2:D1187,D1187)</f>
        <v>11</v>
      </c>
      <c r="B1187" t="str">
        <f t="shared" si="73"/>
        <v>11Lambeth</v>
      </c>
      <c r="C1187" t="s">
        <v>3794</v>
      </c>
      <c r="D1187" t="s">
        <v>197</v>
      </c>
      <c r="E1187">
        <v>33</v>
      </c>
      <c r="F1187" t="s">
        <v>1034</v>
      </c>
      <c r="G1187" t="s">
        <v>800</v>
      </c>
      <c r="H1187" t="s">
        <v>903</v>
      </c>
      <c r="I1187" t="s">
        <v>802</v>
      </c>
      <c r="J1187">
        <f t="shared" ca="1" si="74"/>
        <v>195902.27086479319</v>
      </c>
      <c r="K1187">
        <f t="shared" ca="1" si="75"/>
        <v>3302</v>
      </c>
      <c r="N1187" t="str">
        <f t="shared" si="72"/>
        <v>Isle of Wight2INTEGRATED DISCHARGE &amp; ADMISSION AVOIDANCEBed based intermediate Care Services (Reablement, rehabilitation, wider short-term services supporting recovery)Bed-based intermediate care with rehabilitation (to support discharge)</v>
      </c>
      <c r="O1187" t="s">
        <v>181</v>
      </c>
      <c r="P1187" t="s">
        <v>1437</v>
      </c>
      <c r="Q1187">
        <v>2</v>
      </c>
      <c r="R1187" t="s">
        <v>3414</v>
      </c>
      <c r="S1187" t="s">
        <v>3795</v>
      </c>
      <c r="T1187" t="s">
        <v>877</v>
      </c>
      <c r="U1187" t="s">
        <v>968</v>
      </c>
      <c r="W1187">
        <v>10</v>
      </c>
      <c r="X1187">
        <v>10</v>
      </c>
      <c r="Y1187" t="s">
        <v>879</v>
      </c>
      <c r="Z1187" t="s">
        <v>1118</v>
      </c>
      <c r="AB1187" t="s">
        <v>824</v>
      </c>
      <c r="AD1187" t="s">
        <v>794</v>
      </c>
      <c r="AE1187" t="s">
        <v>832</v>
      </c>
      <c r="AF1187" t="s">
        <v>860</v>
      </c>
      <c r="AG1187" t="s">
        <v>861</v>
      </c>
      <c r="AH1187">
        <v>1085966</v>
      </c>
      <c r="AI1187">
        <v>1513972</v>
      </c>
      <c r="AJ1187">
        <v>0.8</v>
      </c>
    </row>
    <row r="1188" spans="1:36" x14ac:dyDescent="0.3">
      <c r="A1188">
        <f>COUNTIF($D$2:D1188,D1188)</f>
        <v>12</v>
      </c>
      <c r="B1188" t="str">
        <f t="shared" si="73"/>
        <v>12Lambeth</v>
      </c>
      <c r="C1188" t="s">
        <v>3796</v>
      </c>
      <c r="D1188" t="s">
        <v>197</v>
      </c>
      <c r="E1188">
        <v>39</v>
      </c>
      <c r="F1188" t="s">
        <v>3797</v>
      </c>
      <c r="G1188" t="s">
        <v>800</v>
      </c>
      <c r="H1188" t="s">
        <v>903</v>
      </c>
      <c r="I1188" t="s">
        <v>802</v>
      </c>
      <c r="J1188">
        <f t="shared" ca="1" si="74"/>
        <v>39000</v>
      </c>
      <c r="K1188">
        <f t="shared" ca="1" si="75"/>
        <v>137</v>
      </c>
      <c r="N1188" t="str">
        <f t="shared" si="72"/>
        <v>Isle of Wight3INTEGRATED COMMUNITY SUPPORTHome Care or Domiciliary CareDomiciliary care to support hospital discharge (Discharge to Assess pathway 1)</v>
      </c>
      <c r="O1188" t="s">
        <v>181</v>
      </c>
      <c r="P1188" t="s">
        <v>1437</v>
      </c>
      <c r="Q1188">
        <v>3</v>
      </c>
      <c r="R1188" t="s">
        <v>3426</v>
      </c>
      <c r="S1188" t="s">
        <v>3798</v>
      </c>
      <c r="T1188" t="s">
        <v>842</v>
      </c>
      <c r="U1188" t="s">
        <v>856</v>
      </c>
      <c r="W1188">
        <v>1716</v>
      </c>
      <c r="X1188">
        <v>1716</v>
      </c>
      <c r="Y1188" t="s">
        <v>844</v>
      </c>
      <c r="Z1188" t="s">
        <v>792</v>
      </c>
      <c r="AB1188" t="s">
        <v>793</v>
      </c>
      <c r="AD1188" t="s">
        <v>794</v>
      </c>
      <c r="AE1188" t="s">
        <v>795</v>
      </c>
      <c r="AF1188" t="s">
        <v>845</v>
      </c>
      <c r="AG1188" t="s">
        <v>861</v>
      </c>
      <c r="AH1188">
        <v>737188</v>
      </c>
      <c r="AI1188">
        <v>737188</v>
      </c>
      <c r="AJ1188">
        <v>1</v>
      </c>
    </row>
    <row r="1189" spans="1:36" x14ac:dyDescent="0.3">
      <c r="A1189">
        <f>COUNTIF($D$2:D1189,D1189)</f>
        <v>1</v>
      </c>
      <c r="B1189" t="str">
        <f t="shared" si="73"/>
        <v>1Lancashire</v>
      </c>
      <c r="C1189" t="s">
        <v>3799</v>
      </c>
      <c r="D1189" t="s">
        <v>199</v>
      </c>
      <c r="E1189">
        <v>1</v>
      </c>
      <c r="F1189" t="s">
        <v>2410</v>
      </c>
      <c r="G1189" t="s">
        <v>877</v>
      </c>
      <c r="H1189" t="s">
        <v>968</v>
      </c>
      <c r="I1189" t="s">
        <v>879</v>
      </c>
      <c r="J1189">
        <f t="shared" ca="1" si="74"/>
        <v>5798730</v>
      </c>
      <c r="K1189">
        <f t="shared" ca="1" si="75"/>
        <v>1616</v>
      </c>
      <c r="N1189" t="str">
        <f t="shared" si="72"/>
        <v>Isle of Wight3INTEGRATED COMMUNITY SUPPORTHome Care or Domiciliary CareDomiciliary care to support hospital discharge (Discharge to Assess pathway 1)</v>
      </c>
      <c r="O1189" t="s">
        <v>181</v>
      </c>
      <c r="P1189" t="s">
        <v>1437</v>
      </c>
      <c r="Q1189">
        <v>3</v>
      </c>
      <c r="R1189" t="s">
        <v>3426</v>
      </c>
      <c r="S1189" t="s">
        <v>3798</v>
      </c>
      <c r="T1189" t="s">
        <v>842</v>
      </c>
      <c r="U1189" t="s">
        <v>856</v>
      </c>
      <c r="W1189">
        <v>1158</v>
      </c>
      <c r="X1189">
        <v>1158</v>
      </c>
      <c r="Y1189" t="s">
        <v>844</v>
      </c>
      <c r="Z1189" t="s">
        <v>792</v>
      </c>
      <c r="AB1189" t="s">
        <v>793</v>
      </c>
      <c r="AD1189" t="s">
        <v>794</v>
      </c>
      <c r="AE1189" t="s">
        <v>795</v>
      </c>
      <c r="AF1189" t="s">
        <v>1029</v>
      </c>
      <c r="AG1189" t="s">
        <v>861</v>
      </c>
      <c r="AH1189">
        <v>497177</v>
      </c>
      <c r="AI1189">
        <v>497177</v>
      </c>
      <c r="AJ1189">
        <v>1</v>
      </c>
    </row>
    <row r="1190" spans="1:36" x14ac:dyDescent="0.3">
      <c r="A1190">
        <f>COUNTIF($D$2:D1190,D1190)</f>
        <v>2</v>
      </c>
      <c r="B1190" t="str">
        <f t="shared" si="73"/>
        <v>2Lancashire</v>
      </c>
      <c r="C1190" t="s">
        <v>3800</v>
      </c>
      <c r="D1190" t="s">
        <v>199</v>
      </c>
      <c r="E1190">
        <v>2</v>
      </c>
      <c r="F1190" t="s">
        <v>3801</v>
      </c>
      <c r="G1190" t="s">
        <v>787</v>
      </c>
      <c r="H1190" t="s">
        <v>930</v>
      </c>
      <c r="I1190" t="s">
        <v>789</v>
      </c>
      <c r="J1190">
        <f t="shared" ca="1" si="74"/>
        <v>2718454</v>
      </c>
      <c r="K1190">
        <f t="shared" ca="1" si="75"/>
        <v>4000</v>
      </c>
      <c r="N1190" t="str">
        <f t="shared" si="72"/>
        <v>Isle of Wight3INTEGRATED COMMUNITY SUPPORTCarers ServicesOther</v>
      </c>
      <c r="O1190" t="s">
        <v>181</v>
      </c>
      <c r="P1190" t="s">
        <v>1437</v>
      </c>
      <c r="Q1190">
        <v>3</v>
      </c>
      <c r="R1190" t="s">
        <v>3426</v>
      </c>
      <c r="S1190" t="s">
        <v>3802</v>
      </c>
      <c r="T1190" t="s">
        <v>811</v>
      </c>
      <c r="U1190" t="s">
        <v>812</v>
      </c>
      <c r="V1190" t="s">
        <v>3769</v>
      </c>
      <c r="W1190">
        <v>662</v>
      </c>
      <c r="X1190">
        <v>662</v>
      </c>
      <c r="Y1190" t="s">
        <v>813</v>
      </c>
      <c r="Z1190" t="s">
        <v>792</v>
      </c>
      <c r="AB1190" t="s">
        <v>793</v>
      </c>
      <c r="AD1190" t="s">
        <v>794</v>
      </c>
      <c r="AE1190" t="s">
        <v>825</v>
      </c>
      <c r="AF1190" t="s">
        <v>796</v>
      </c>
      <c r="AG1190" t="s">
        <v>797</v>
      </c>
      <c r="AH1190">
        <v>180070</v>
      </c>
      <c r="AI1190">
        <v>180070</v>
      </c>
      <c r="AJ1190">
        <v>1</v>
      </c>
    </row>
    <row r="1191" spans="1:36" x14ac:dyDescent="0.3">
      <c r="A1191">
        <f>COUNTIF($D$2:D1191,D1191)</f>
        <v>3</v>
      </c>
      <c r="B1191" t="str">
        <f t="shared" si="73"/>
        <v>3Lancashire</v>
      </c>
      <c r="C1191" t="s">
        <v>3803</v>
      </c>
      <c r="D1191" t="s">
        <v>199</v>
      </c>
      <c r="E1191">
        <v>3</v>
      </c>
      <c r="F1191" t="s">
        <v>3804</v>
      </c>
      <c r="G1191" t="s">
        <v>811</v>
      </c>
      <c r="H1191" t="s">
        <v>830</v>
      </c>
      <c r="I1191" t="s">
        <v>813</v>
      </c>
      <c r="J1191">
        <f t="shared" ca="1" si="74"/>
        <v>8910231</v>
      </c>
      <c r="K1191">
        <f t="shared" ca="1" si="75"/>
        <v>3809</v>
      </c>
      <c r="N1191" t="str">
        <f t="shared" si="72"/>
        <v>Isle of Wight3INTEGRATED COMMUNITY SUPPORTCarers ServicesOther</v>
      </c>
      <c r="O1191" t="s">
        <v>181</v>
      </c>
      <c r="P1191" t="s">
        <v>1437</v>
      </c>
      <c r="Q1191">
        <v>3</v>
      </c>
      <c r="R1191" t="s">
        <v>3426</v>
      </c>
      <c r="S1191" t="s">
        <v>3802</v>
      </c>
      <c r="T1191" t="s">
        <v>811</v>
      </c>
      <c r="U1191" t="s">
        <v>812</v>
      </c>
      <c r="V1191" t="s">
        <v>3769</v>
      </c>
      <c r="W1191">
        <v>393</v>
      </c>
      <c r="X1191">
        <v>393</v>
      </c>
      <c r="Y1191" t="s">
        <v>813</v>
      </c>
      <c r="Z1191" t="s">
        <v>792</v>
      </c>
      <c r="AB1191" t="s">
        <v>793</v>
      </c>
      <c r="AD1191" t="s">
        <v>794</v>
      </c>
      <c r="AE1191" t="s">
        <v>825</v>
      </c>
      <c r="AF1191" t="s">
        <v>845</v>
      </c>
      <c r="AG1191" t="s">
        <v>797</v>
      </c>
      <c r="AH1191">
        <v>107088</v>
      </c>
      <c r="AI1191">
        <v>107088</v>
      </c>
      <c r="AJ1191">
        <v>1</v>
      </c>
    </row>
    <row r="1192" spans="1:36" x14ac:dyDescent="0.3">
      <c r="A1192">
        <f>COUNTIF($D$2:D1192,D1192)</f>
        <v>4</v>
      </c>
      <c r="B1192" t="str">
        <f t="shared" si="73"/>
        <v>4Lancashire</v>
      </c>
      <c r="C1192" t="s">
        <v>3805</v>
      </c>
      <c r="D1192" t="s">
        <v>199</v>
      </c>
      <c r="E1192">
        <v>4</v>
      </c>
      <c r="F1192" t="s">
        <v>3806</v>
      </c>
      <c r="G1192" t="s">
        <v>811</v>
      </c>
      <c r="H1192" t="s">
        <v>895</v>
      </c>
      <c r="I1192" t="s">
        <v>813</v>
      </c>
      <c r="J1192">
        <f t="shared" ca="1" si="74"/>
        <v>2347578</v>
      </c>
      <c r="K1192">
        <f t="shared" ca="1" si="75"/>
        <v>13147</v>
      </c>
      <c r="N1192" t="str">
        <f t="shared" si="72"/>
        <v>Isle of Wight3INTEGRATED COMMUNITY SUPPORTAssistive Technologies and EquipmentCommunity based equipment</v>
      </c>
      <c r="O1192" t="s">
        <v>181</v>
      </c>
      <c r="P1192" t="s">
        <v>1437</v>
      </c>
      <c r="Q1192">
        <v>3</v>
      </c>
      <c r="R1192" t="s">
        <v>3426</v>
      </c>
      <c r="S1192" t="s">
        <v>1041</v>
      </c>
      <c r="T1192" t="s">
        <v>800</v>
      </c>
      <c r="U1192" t="s">
        <v>903</v>
      </c>
      <c r="W1192">
        <v>7840</v>
      </c>
      <c r="X1192">
        <v>8035</v>
      </c>
      <c r="Y1192" t="s">
        <v>802</v>
      </c>
      <c r="Z1192" t="s">
        <v>792</v>
      </c>
      <c r="AB1192" t="s">
        <v>793</v>
      </c>
      <c r="AD1192" t="s">
        <v>794</v>
      </c>
      <c r="AE1192" t="s">
        <v>795</v>
      </c>
      <c r="AF1192" t="s">
        <v>796</v>
      </c>
      <c r="AG1192" t="s">
        <v>797</v>
      </c>
      <c r="AH1192">
        <v>548702</v>
      </c>
      <c r="AI1192">
        <v>548702</v>
      </c>
      <c r="AJ1192">
        <v>1</v>
      </c>
    </row>
    <row r="1193" spans="1:36" x14ac:dyDescent="0.3">
      <c r="A1193">
        <f>COUNTIF($D$2:D1193,D1193)</f>
        <v>5</v>
      </c>
      <c r="B1193" t="str">
        <f t="shared" si="73"/>
        <v>5Lancashire</v>
      </c>
      <c r="C1193" t="s">
        <v>3807</v>
      </c>
      <c r="D1193" t="s">
        <v>199</v>
      </c>
      <c r="E1193">
        <v>6</v>
      </c>
      <c r="F1193" t="s">
        <v>3808</v>
      </c>
      <c r="G1193" t="s">
        <v>800</v>
      </c>
      <c r="H1193" t="s">
        <v>903</v>
      </c>
      <c r="I1193" t="s">
        <v>802</v>
      </c>
      <c r="J1193">
        <f t="shared" ca="1" si="74"/>
        <v>5700000</v>
      </c>
      <c r="K1193">
        <f t="shared" ca="1" si="75"/>
        <v>2500</v>
      </c>
      <c r="N1193" t="str">
        <f t="shared" si="72"/>
        <v>Isle of Wight3INTEGRATED COMMUNITY SUPPORTAssistive Technologies and EquipmentCommunity based equipment</v>
      </c>
      <c r="O1193" t="s">
        <v>181</v>
      </c>
      <c r="P1193" t="s">
        <v>1437</v>
      </c>
      <c r="Q1193">
        <v>3</v>
      </c>
      <c r="R1193" t="s">
        <v>3426</v>
      </c>
      <c r="S1193" t="s">
        <v>1041</v>
      </c>
      <c r="T1193" t="s">
        <v>800</v>
      </c>
      <c r="U1193" t="s">
        <v>903</v>
      </c>
      <c r="W1193">
        <v>7094</v>
      </c>
      <c r="X1193">
        <v>16916</v>
      </c>
      <c r="Y1193" t="s">
        <v>802</v>
      </c>
      <c r="Z1193" t="s">
        <v>792</v>
      </c>
      <c r="AB1193" t="s">
        <v>793</v>
      </c>
      <c r="AD1193" t="s">
        <v>794</v>
      </c>
      <c r="AE1193" t="s">
        <v>795</v>
      </c>
      <c r="AF1193" t="s">
        <v>1029</v>
      </c>
      <c r="AG1193" t="s">
        <v>797</v>
      </c>
      <c r="AH1193">
        <v>495464</v>
      </c>
      <c r="AI1193">
        <v>495464</v>
      </c>
      <c r="AJ1193">
        <v>1</v>
      </c>
    </row>
    <row r="1194" spans="1:36" x14ac:dyDescent="0.3">
      <c r="A1194">
        <f>COUNTIF($D$2:D1194,D1194)</f>
        <v>6</v>
      </c>
      <c r="B1194" t="str">
        <f t="shared" si="73"/>
        <v>6Lancashire</v>
      </c>
      <c r="C1194" t="s">
        <v>3809</v>
      </c>
      <c r="D1194" t="s">
        <v>199</v>
      </c>
      <c r="E1194">
        <v>9</v>
      </c>
      <c r="F1194" t="s">
        <v>3810</v>
      </c>
      <c r="G1194" t="s">
        <v>787</v>
      </c>
      <c r="H1194" t="s">
        <v>930</v>
      </c>
      <c r="I1194" t="s">
        <v>789</v>
      </c>
      <c r="J1194">
        <f t="shared" ca="1" si="74"/>
        <v>8977511</v>
      </c>
      <c r="K1194">
        <f t="shared" ca="1" si="75"/>
        <v>6504</v>
      </c>
      <c r="N1194" t="str">
        <f t="shared" si="72"/>
        <v>Isle of Wight4INTEGRATED MENTAL HEALTH &amp; LEARNING DISABILITY SUPPORTCarers ServicesRespite services</v>
      </c>
      <c r="O1194" t="s">
        <v>181</v>
      </c>
      <c r="P1194" t="s">
        <v>1437</v>
      </c>
      <c r="Q1194">
        <v>4</v>
      </c>
      <c r="R1194" t="s">
        <v>3432</v>
      </c>
      <c r="S1194" t="s">
        <v>3811</v>
      </c>
      <c r="T1194" t="s">
        <v>811</v>
      </c>
      <c r="U1194" t="s">
        <v>830</v>
      </c>
      <c r="W1194">
        <v>10</v>
      </c>
      <c r="X1194">
        <v>10</v>
      </c>
      <c r="Y1194" t="s">
        <v>813</v>
      </c>
      <c r="Z1194" t="s">
        <v>792</v>
      </c>
      <c r="AB1194" t="s">
        <v>793</v>
      </c>
      <c r="AD1194" t="s">
        <v>794</v>
      </c>
      <c r="AE1194" t="s">
        <v>795</v>
      </c>
      <c r="AF1194" t="s">
        <v>1029</v>
      </c>
      <c r="AG1194" t="s">
        <v>797</v>
      </c>
      <c r="AH1194">
        <v>616489</v>
      </c>
      <c r="AI1194">
        <v>616489</v>
      </c>
      <c r="AJ1194">
        <v>1</v>
      </c>
    </row>
    <row r="1195" spans="1:36" x14ac:dyDescent="0.3">
      <c r="A1195">
        <f>COUNTIF($D$2:D1195,D1195)</f>
        <v>7</v>
      </c>
      <c r="B1195" t="str">
        <f t="shared" si="73"/>
        <v>7Lancashire</v>
      </c>
      <c r="C1195" t="s">
        <v>3812</v>
      </c>
      <c r="D1195" t="s">
        <v>199</v>
      </c>
      <c r="E1195">
        <v>10</v>
      </c>
      <c r="F1195" t="s">
        <v>3801</v>
      </c>
      <c r="G1195" t="s">
        <v>787</v>
      </c>
      <c r="H1195" t="s">
        <v>930</v>
      </c>
      <c r="I1195" t="s">
        <v>789</v>
      </c>
      <c r="J1195">
        <f t="shared" ca="1" si="74"/>
        <v>1022489</v>
      </c>
      <c r="K1195">
        <f t="shared" ca="1" si="75"/>
        <v>1505</v>
      </c>
      <c r="N1195" t="str">
        <f t="shared" si="72"/>
        <v>Islington1Protection of Adult Social ServicesResidential PlacementsCare home</v>
      </c>
      <c r="O1195" t="s">
        <v>183</v>
      </c>
      <c r="P1195" t="s">
        <v>790</v>
      </c>
      <c r="Q1195">
        <v>1</v>
      </c>
      <c r="R1195" t="s">
        <v>3435</v>
      </c>
      <c r="S1195" t="s">
        <v>806</v>
      </c>
      <c r="T1195" t="s">
        <v>806</v>
      </c>
      <c r="U1195" t="s">
        <v>807</v>
      </c>
      <c r="W1195">
        <v>129</v>
      </c>
      <c r="X1195">
        <v>138</v>
      </c>
      <c r="Y1195" t="s">
        <v>808</v>
      </c>
      <c r="Z1195" t="s">
        <v>792</v>
      </c>
      <c r="AB1195" t="s">
        <v>793</v>
      </c>
      <c r="AD1195" t="s">
        <v>794</v>
      </c>
      <c r="AE1195" t="s">
        <v>804</v>
      </c>
      <c r="AF1195" t="s">
        <v>796</v>
      </c>
      <c r="AG1195" t="s">
        <v>797</v>
      </c>
      <c r="AH1195">
        <v>3543033</v>
      </c>
      <c r="AI1195">
        <v>4155281</v>
      </c>
      <c r="AJ1195">
        <v>0.11</v>
      </c>
    </row>
    <row r="1196" spans="1:36" x14ac:dyDescent="0.3">
      <c r="A1196">
        <f>COUNTIF($D$2:D1196,D1196)</f>
        <v>8</v>
      </c>
      <c r="B1196" t="str">
        <f t="shared" si="73"/>
        <v>8Lancashire</v>
      </c>
      <c r="C1196" t="s">
        <v>3813</v>
      </c>
      <c r="D1196" t="s">
        <v>199</v>
      </c>
      <c r="E1196">
        <v>12</v>
      </c>
      <c r="F1196" t="s">
        <v>3814</v>
      </c>
      <c r="G1196" t="s">
        <v>806</v>
      </c>
      <c r="H1196" t="s">
        <v>807</v>
      </c>
      <c r="I1196" t="s">
        <v>808</v>
      </c>
      <c r="J1196">
        <f t="shared" ca="1" si="74"/>
        <v>919607</v>
      </c>
      <c r="K1196">
        <f t="shared" ca="1" si="75"/>
        <v>25</v>
      </c>
      <c r="N1196" t="str">
        <f t="shared" si="72"/>
        <v>Islington2Protection of Adult Social ServicesHome Care or Domiciliary CareDomiciliary care packages</v>
      </c>
      <c r="O1196" t="s">
        <v>183</v>
      </c>
      <c r="P1196" t="s">
        <v>790</v>
      </c>
      <c r="Q1196">
        <v>2</v>
      </c>
      <c r="R1196" t="s">
        <v>3435</v>
      </c>
      <c r="S1196" t="s">
        <v>842</v>
      </c>
      <c r="T1196" t="s">
        <v>842</v>
      </c>
      <c r="U1196" t="s">
        <v>843</v>
      </c>
      <c r="W1196">
        <v>207822</v>
      </c>
      <c r="X1196">
        <v>196059</v>
      </c>
      <c r="Y1196" t="s">
        <v>844</v>
      </c>
      <c r="Z1196" t="s">
        <v>792</v>
      </c>
      <c r="AB1196" t="s">
        <v>793</v>
      </c>
      <c r="AD1196" t="s">
        <v>794</v>
      </c>
      <c r="AE1196" t="s">
        <v>804</v>
      </c>
      <c r="AF1196" t="s">
        <v>796</v>
      </c>
      <c r="AG1196" t="s">
        <v>797</v>
      </c>
      <c r="AH1196">
        <v>3892509</v>
      </c>
      <c r="AI1196">
        <v>3892509</v>
      </c>
      <c r="AJ1196">
        <v>0.23</v>
      </c>
    </row>
    <row r="1197" spans="1:36" x14ac:dyDescent="0.3">
      <c r="A1197">
        <f>COUNTIF($D$2:D1197,D1197)</f>
        <v>9</v>
      </c>
      <c r="B1197" t="str">
        <f t="shared" si="73"/>
        <v>9Lancashire</v>
      </c>
      <c r="C1197" t="s">
        <v>3815</v>
      </c>
      <c r="D1197" t="s">
        <v>199</v>
      </c>
      <c r="E1197">
        <v>14</v>
      </c>
      <c r="F1197" t="s">
        <v>2108</v>
      </c>
      <c r="G1197" t="s">
        <v>800</v>
      </c>
      <c r="H1197" t="s">
        <v>850</v>
      </c>
      <c r="I1197" t="s">
        <v>802</v>
      </c>
      <c r="J1197">
        <f t="shared" ca="1" si="74"/>
        <v>1695000</v>
      </c>
      <c r="K1197">
        <f t="shared" ca="1" si="75"/>
        <v>6000</v>
      </c>
      <c r="N1197" t="str">
        <f t="shared" si="72"/>
        <v>Islington3Protection of Adult Social ServicesResidential PlacementsLearning disability</v>
      </c>
      <c r="O1197" t="s">
        <v>183</v>
      </c>
      <c r="P1197" t="s">
        <v>790</v>
      </c>
      <c r="Q1197">
        <v>3</v>
      </c>
      <c r="R1197" t="s">
        <v>3435</v>
      </c>
      <c r="S1197" t="s">
        <v>3816</v>
      </c>
      <c r="T1197" t="s">
        <v>806</v>
      </c>
      <c r="U1197" t="s">
        <v>854</v>
      </c>
      <c r="W1197">
        <v>11</v>
      </c>
      <c r="X1197">
        <v>10</v>
      </c>
      <c r="Y1197" t="s">
        <v>808</v>
      </c>
      <c r="Z1197" t="s">
        <v>1061</v>
      </c>
      <c r="AB1197" t="s">
        <v>793</v>
      </c>
      <c r="AD1197" t="s">
        <v>794</v>
      </c>
      <c r="AE1197" t="s">
        <v>369</v>
      </c>
      <c r="AF1197" t="s">
        <v>796</v>
      </c>
      <c r="AG1197" t="s">
        <v>797</v>
      </c>
      <c r="AH1197">
        <v>1072449</v>
      </c>
      <c r="AI1197">
        <v>1133149.6133999999</v>
      </c>
      <c r="AJ1197">
        <v>0.09</v>
      </c>
    </row>
    <row r="1198" spans="1:36" x14ac:dyDescent="0.3">
      <c r="A1198">
        <f>COUNTIF($D$2:D1198,D1198)</f>
        <v>10</v>
      </c>
      <c r="B1198" t="str">
        <f t="shared" si="73"/>
        <v>10Lancashire</v>
      </c>
      <c r="C1198" t="s">
        <v>3817</v>
      </c>
      <c r="D1198" t="s">
        <v>199</v>
      </c>
      <c r="E1198">
        <v>17</v>
      </c>
      <c r="F1198" t="s">
        <v>3818</v>
      </c>
      <c r="G1198" t="s">
        <v>877</v>
      </c>
      <c r="H1198" t="s">
        <v>878</v>
      </c>
      <c r="I1198" t="s">
        <v>879</v>
      </c>
      <c r="J1198" t="e">
        <f t="shared" si="74"/>
        <v>#VALUE!</v>
      </c>
      <c r="K1198" t="e">
        <f t="shared" si="75"/>
        <v>#VALUE!</v>
      </c>
      <c r="N1198" t="str">
        <f t="shared" si="72"/>
        <v>Islington5ReablementHome-based intermediate care servicesRehabilitation at home (accepting step up and step down users)</v>
      </c>
      <c r="O1198" t="s">
        <v>183</v>
      </c>
      <c r="P1198" t="s">
        <v>790</v>
      </c>
      <c r="Q1198">
        <v>5</v>
      </c>
      <c r="R1198" t="s">
        <v>434</v>
      </c>
      <c r="S1198" t="s">
        <v>1550</v>
      </c>
      <c r="T1198" t="s">
        <v>787</v>
      </c>
      <c r="U1198" t="s">
        <v>1688</v>
      </c>
      <c r="W1198">
        <v>480</v>
      </c>
      <c r="X1198">
        <v>480</v>
      </c>
      <c r="Y1198" t="s">
        <v>789</v>
      </c>
      <c r="Z1198" t="s">
        <v>792</v>
      </c>
      <c r="AB1198" t="s">
        <v>793</v>
      </c>
      <c r="AD1198" t="s">
        <v>794</v>
      </c>
      <c r="AE1198" t="s">
        <v>795</v>
      </c>
      <c r="AF1198" t="s">
        <v>796</v>
      </c>
      <c r="AG1198" t="s">
        <v>797</v>
      </c>
      <c r="AH1198">
        <v>600000</v>
      </c>
      <c r="AI1198">
        <v>600000</v>
      </c>
      <c r="AJ1198">
        <v>0.17</v>
      </c>
    </row>
    <row r="1199" spans="1:36" x14ac:dyDescent="0.3">
      <c r="A1199">
        <f>COUNTIF($D$2:D1199,D1199)</f>
        <v>11</v>
      </c>
      <c r="B1199" t="str">
        <f t="shared" si="73"/>
        <v>11Lancashire</v>
      </c>
      <c r="C1199" t="s">
        <v>3819</v>
      </c>
      <c r="D1199" t="s">
        <v>199</v>
      </c>
      <c r="E1199">
        <v>20</v>
      </c>
      <c r="F1199" t="s">
        <v>3814</v>
      </c>
      <c r="G1199" t="s">
        <v>842</v>
      </c>
      <c r="H1199" t="s">
        <v>843</v>
      </c>
      <c r="I1199" t="s">
        <v>844</v>
      </c>
      <c r="J1199">
        <f t="shared" ca="1" si="74"/>
        <v>45908920</v>
      </c>
      <c r="K1199">
        <f t="shared" ca="1" si="75"/>
        <v>1709948</v>
      </c>
      <c r="N1199" t="str">
        <f t="shared" si="72"/>
        <v>Islington10Disabled Facilities GrantDFG Related SchemesAdaptations, including statutory DFG grants</v>
      </c>
      <c r="O1199" t="s">
        <v>183</v>
      </c>
      <c r="P1199" t="s">
        <v>790</v>
      </c>
      <c r="Q1199">
        <v>10</v>
      </c>
      <c r="R1199" t="s">
        <v>891</v>
      </c>
      <c r="S1199" t="s">
        <v>891</v>
      </c>
      <c r="T1199" t="s">
        <v>834</v>
      </c>
      <c r="U1199" t="s">
        <v>835</v>
      </c>
      <c r="W1199">
        <v>147</v>
      </c>
      <c r="X1199">
        <v>147</v>
      </c>
      <c r="Y1199" t="s">
        <v>836</v>
      </c>
      <c r="Z1199" t="s">
        <v>823</v>
      </c>
      <c r="AB1199" t="s">
        <v>793</v>
      </c>
      <c r="AD1199" t="s">
        <v>794</v>
      </c>
      <c r="AE1199" t="s">
        <v>795</v>
      </c>
      <c r="AF1199" t="s">
        <v>840</v>
      </c>
      <c r="AG1199" t="s">
        <v>797</v>
      </c>
      <c r="AH1199">
        <v>1939775</v>
      </c>
      <c r="AI1199">
        <v>1939775</v>
      </c>
      <c r="AJ1199">
        <v>0.54</v>
      </c>
    </row>
    <row r="1200" spans="1:36" x14ac:dyDescent="0.3">
      <c r="A1200">
        <f>COUNTIF($D$2:D1200,D1200)</f>
        <v>12</v>
      </c>
      <c r="B1200" t="str">
        <f t="shared" si="73"/>
        <v>12Lancashire</v>
      </c>
      <c r="C1200" t="s">
        <v>3820</v>
      </c>
      <c r="D1200" t="s">
        <v>199</v>
      </c>
      <c r="E1200">
        <v>21</v>
      </c>
      <c r="F1200" t="s">
        <v>3801</v>
      </c>
      <c r="G1200" t="s">
        <v>787</v>
      </c>
      <c r="H1200" t="s">
        <v>788</v>
      </c>
      <c r="I1200" t="s">
        <v>789</v>
      </c>
      <c r="J1200">
        <f t="shared" ca="1" si="74"/>
        <v>3416537</v>
      </c>
      <c r="K1200">
        <f t="shared" ca="1" si="75"/>
        <v>5027</v>
      </c>
      <c r="N1200" t="str">
        <f t="shared" si="72"/>
        <v>Islington11Community Rehab Bed based intermediate Care Services (Reablement, rehabilitation, wider short-term services supporting recovery)Bed-based intermediate care with rehabilitation accepting step up and step down users</v>
      </c>
      <c r="O1200" t="s">
        <v>183</v>
      </c>
      <c r="P1200" t="s">
        <v>790</v>
      </c>
      <c r="Q1200">
        <v>11</v>
      </c>
      <c r="R1200" t="s">
        <v>3445</v>
      </c>
      <c r="S1200" t="s">
        <v>3821</v>
      </c>
      <c r="T1200" t="s">
        <v>877</v>
      </c>
      <c r="U1200" t="s">
        <v>1015</v>
      </c>
      <c r="W1200">
        <v>500</v>
      </c>
      <c r="X1200">
        <v>500</v>
      </c>
      <c r="Y1200" t="s">
        <v>879</v>
      </c>
      <c r="Z1200" t="s">
        <v>823</v>
      </c>
      <c r="AB1200" t="s">
        <v>824</v>
      </c>
      <c r="AD1200" t="s">
        <v>794</v>
      </c>
      <c r="AE1200" t="s">
        <v>832</v>
      </c>
      <c r="AF1200" t="s">
        <v>796</v>
      </c>
      <c r="AG1200" t="s">
        <v>797</v>
      </c>
      <c r="AH1200">
        <v>2800000</v>
      </c>
      <c r="AI1200">
        <v>2800000</v>
      </c>
      <c r="AJ1200">
        <v>1</v>
      </c>
    </row>
    <row r="1201" spans="1:36" x14ac:dyDescent="0.3">
      <c r="A1201">
        <f>COUNTIF($D$2:D1201,D1201)</f>
        <v>13</v>
      </c>
      <c r="B1201" t="str">
        <f t="shared" si="73"/>
        <v>13Lancashire</v>
      </c>
      <c r="C1201" t="s">
        <v>3822</v>
      </c>
      <c r="D1201" t="s">
        <v>199</v>
      </c>
      <c r="E1201">
        <v>23</v>
      </c>
      <c r="F1201" t="s">
        <v>3823</v>
      </c>
      <c r="G1201" t="s">
        <v>806</v>
      </c>
      <c r="H1201" t="s">
        <v>807</v>
      </c>
      <c r="I1201" t="s">
        <v>808</v>
      </c>
      <c r="J1201">
        <f t="shared" ca="1" si="74"/>
        <v>2937248</v>
      </c>
      <c r="K1201">
        <f t="shared" ca="1" si="75"/>
        <v>81</v>
      </c>
      <c r="N1201" t="str">
        <f t="shared" si="72"/>
        <v>Islington12Community RehabHome-based intermediate care servicesRehabilitation at home (accepting step up and step down users)</v>
      </c>
      <c r="O1201" t="s">
        <v>183</v>
      </c>
      <c r="P1201" t="s">
        <v>790</v>
      </c>
      <c r="Q1201">
        <v>12</v>
      </c>
      <c r="R1201" t="s">
        <v>3448</v>
      </c>
      <c r="S1201" t="s">
        <v>3824</v>
      </c>
      <c r="T1201" t="s">
        <v>787</v>
      </c>
      <c r="U1201" t="s">
        <v>1688</v>
      </c>
      <c r="W1201">
        <v>5850</v>
      </c>
      <c r="X1201">
        <v>6000</v>
      </c>
      <c r="Y1201" t="s">
        <v>789</v>
      </c>
      <c r="Z1201" t="s">
        <v>823</v>
      </c>
      <c r="AB1201" t="s">
        <v>824</v>
      </c>
      <c r="AD1201" t="s">
        <v>794</v>
      </c>
      <c r="AE1201" t="s">
        <v>832</v>
      </c>
      <c r="AF1201" t="s">
        <v>796</v>
      </c>
      <c r="AG1201" t="s">
        <v>797</v>
      </c>
      <c r="AH1201">
        <v>1875000</v>
      </c>
      <c r="AI1201">
        <v>1875000</v>
      </c>
      <c r="AJ1201">
        <v>1</v>
      </c>
    </row>
    <row r="1202" spans="1:36" x14ac:dyDescent="0.3">
      <c r="A1202">
        <f>COUNTIF($D$2:D1202,D1202)</f>
        <v>14</v>
      </c>
      <c r="B1202" t="str">
        <f t="shared" si="73"/>
        <v>14Lancashire</v>
      </c>
      <c r="C1202" t="s">
        <v>3825</v>
      </c>
      <c r="D1202" t="s">
        <v>199</v>
      </c>
      <c r="E1202">
        <v>24</v>
      </c>
      <c r="F1202" t="s">
        <v>3826</v>
      </c>
      <c r="G1202" t="s">
        <v>842</v>
      </c>
      <c r="H1202" t="s">
        <v>856</v>
      </c>
      <c r="I1202" t="s">
        <v>844</v>
      </c>
      <c r="J1202">
        <f t="shared" ca="1" si="74"/>
        <v>950356</v>
      </c>
      <c r="K1202">
        <f t="shared" ca="1" si="75"/>
        <v>43198</v>
      </c>
      <c r="N1202" t="str">
        <f t="shared" si="72"/>
        <v>Islington23Carers Support and EducationCarers ServicesCarer advice and support related to Care Act duties</v>
      </c>
      <c r="O1202" t="s">
        <v>183</v>
      </c>
      <c r="P1202" t="s">
        <v>790</v>
      </c>
      <c r="Q1202">
        <v>23</v>
      </c>
      <c r="R1202" t="s">
        <v>3450</v>
      </c>
      <c r="S1202" t="s">
        <v>3827</v>
      </c>
      <c r="T1202" t="s">
        <v>811</v>
      </c>
      <c r="U1202" t="s">
        <v>895</v>
      </c>
      <c r="W1202">
        <v>200</v>
      </c>
      <c r="X1202">
        <v>200</v>
      </c>
      <c r="Y1202" t="s">
        <v>813</v>
      </c>
      <c r="Z1202" t="s">
        <v>812</v>
      </c>
      <c r="AA1202" t="s">
        <v>1758</v>
      </c>
      <c r="AB1202" t="s">
        <v>793</v>
      </c>
      <c r="AD1202" t="s">
        <v>794</v>
      </c>
      <c r="AE1202" t="s">
        <v>825</v>
      </c>
      <c r="AF1202" t="s">
        <v>796</v>
      </c>
      <c r="AG1202" t="s">
        <v>797</v>
      </c>
      <c r="AH1202">
        <v>95000</v>
      </c>
      <c r="AI1202">
        <v>95000</v>
      </c>
      <c r="AJ1202">
        <v>0.1</v>
      </c>
    </row>
    <row r="1203" spans="1:36" x14ac:dyDescent="0.3">
      <c r="A1203">
        <f>COUNTIF($D$2:D1203,D1203)</f>
        <v>15</v>
      </c>
      <c r="B1203" t="str">
        <f t="shared" si="73"/>
        <v>15Lancashire</v>
      </c>
      <c r="C1203" t="s">
        <v>3828</v>
      </c>
      <c r="D1203" t="s">
        <v>199</v>
      </c>
      <c r="E1203">
        <v>25</v>
      </c>
      <c r="F1203" t="s">
        <v>891</v>
      </c>
      <c r="G1203" t="s">
        <v>834</v>
      </c>
      <c r="H1203" t="s">
        <v>835</v>
      </c>
      <c r="I1203" t="s">
        <v>836</v>
      </c>
      <c r="J1203">
        <f t="shared" ca="1" si="74"/>
        <v>16714884</v>
      </c>
      <c r="K1203">
        <f t="shared" ca="1" si="75"/>
        <v>7500</v>
      </c>
      <c r="N1203" t="str">
        <f t="shared" si="72"/>
        <v>Islington29Integrated Community Equipment Services - ICBAssistive Technologies and EquipmentCommunity based equipment</v>
      </c>
      <c r="O1203" t="s">
        <v>183</v>
      </c>
      <c r="P1203" t="s">
        <v>790</v>
      </c>
      <c r="Q1203">
        <v>29</v>
      </c>
      <c r="R1203" t="s">
        <v>3452</v>
      </c>
      <c r="S1203" t="s">
        <v>3829</v>
      </c>
      <c r="T1203" t="s">
        <v>800</v>
      </c>
      <c r="U1203" t="s">
        <v>903</v>
      </c>
      <c r="W1203">
        <v>974</v>
      </c>
      <c r="X1203">
        <v>974</v>
      </c>
      <c r="Y1203" t="s">
        <v>802</v>
      </c>
      <c r="Z1203" t="s">
        <v>823</v>
      </c>
      <c r="AB1203" t="s">
        <v>793</v>
      </c>
      <c r="AD1203" t="s">
        <v>794</v>
      </c>
      <c r="AE1203" t="s">
        <v>804</v>
      </c>
      <c r="AF1203" t="s">
        <v>796</v>
      </c>
      <c r="AG1203" t="s">
        <v>797</v>
      </c>
      <c r="AH1203">
        <v>532298</v>
      </c>
      <c r="AI1203">
        <v>532298</v>
      </c>
      <c r="AJ1203">
        <v>0.3</v>
      </c>
    </row>
    <row r="1204" spans="1:36" x14ac:dyDescent="0.3">
      <c r="A1204">
        <f>COUNTIF($D$2:D1204,D1204)</f>
        <v>16</v>
      </c>
      <c r="B1204" t="str">
        <f t="shared" si="73"/>
        <v>16Lancashire</v>
      </c>
      <c r="C1204" t="s">
        <v>3830</v>
      </c>
      <c r="D1204" t="s">
        <v>199</v>
      </c>
      <c r="E1204">
        <v>26</v>
      </c>
      <c r="F1204" t="s">
        <v>3831</v>
      </c>
      <c r="G1204" t="s">
        <v>800</v>
      </c>
      <c r="H1204" t="s">
        <v>850</v>
      </c>
      <c r="I1204" t="s">
        <v>802</v>
      </c>
      <c r="J1204">
        <f t="shared" ca="1" si="74"/>
        <v>1006194.897</v>
      </c>
      <c r="K1204">
        <f t="shared" ca="1" si="75"/>
        <v>2000</v>
      </c>
      <c r="N1204" t="str">
        <f t="shared" si="72"/>
        <v>Islington30Integrated Community Equipment Services - WhittingtonAssistive Technologies and EquipmentCommunity based equipment</v>
      </c>
      <c r="O1204" t="s">
        <v>183</v>
      </c>
      <c r="P1204" t="s">
        <v>790</v>
      </c>
      <c r="Q1204">
        <v>30</v>
      </c>
      <c r="R1204" t="s">
        <v>3455</v>
      </c>
      <c r="S1204" t="s">
        <v>3832</v>
      </c>
      <c r="T1204" t="s">
        <v>800</v>
      </c>
      <c r="U1204" t="s">
        <v>903</v>
      </c>
      <c r="W1204">
        <v>974</v>
      </c>
      <c r="X1204">
        <v>974</v>
      </c>
      <c r="Y1204" t="s">
        <v>802</v>
      </c>
      <c r="Z1204" t="s">
        <v>823</v>
      </c>
      <c r="AB1204" t="s">
        <v>793</v>
      </c>
      <c r="AD1204" t="s">
        <v>794</v>
      </c>
      <c r="AE1204" t="s">
        <v>804</v>
      </c>
      <c r="AF1204" t="s">
        <v>796</v>
      </c>
      <c r="AG1204" t="s">
        <v>797</v>
      </c>
      <c r="AH1204">
        <v>532298</v>
      </c>
      <c r="AI1204">
        <v>532298</v>
      </c>
      <c r="AJ1204">
        <v>0.3</v>
      </c>
    </row>
    <row r="1205" spans="1:36" x14ac:dyDescent="0.3">
      <c r="A1205">
        <f>COUNTIF($D$2:D1205,D1205)</f>
        <v>17</v>
      </c>
      <c r="B1205" t="str">
        <f t="shared" si="73"/>
        <v>17Lancashire</v>
      </c>
      <c r="C1205" t="s">
        <v>3833</v>
      </c>
      <c r="D1205" t="s">
        <v>199</v>
      </c>
      <c r="E1205">
        <v>27</v>
      </c>
      <c r="F1205" t="s">
        <v>3834</v>
      </c>
      <c r="G1205" t="s">
        <v>811</v>
      </c>
      <c r="H1205" t="s">
        <v>895</v>
      </c>
      <c r="I1205" t="s">
        <v>813</v>
      </c>
      <c r="J1205">
        <f t="shared" ca="1" si="74"/>
        <v>35331.647400000002</v>
      </c>
      <c r="K1205">
        <f t="shared" ca="1" si="75"/>
        <v>800</v>
      </c>
      <c r="N1205" t="str">
        <f t="shared" si="72"/>
        <v>Islington31St Annes Bed based intermediate Care Services (Reablement, rehabilitation, wider short-term services supporting recovery)Bed-based intermediate care with reablement (to support discharge)</v>
      </c>
      <c r="O1205" t="s">
        <v>183</v>
      </c>
      <c r="P1205" t="s">
        <v>790</v>
      </c>
      <c r="Q1205">
        <v>31</v>
      </c>
      <c r="R1205" t="s">
        <v>3458</v>
      </c>
      <c r="S1205" t="s">
        <v>3835</v>
      </c>
      <c r="T1205" t="s">
        <v>877</v>
      </c>
      <c r="U1205" t="s">
        <v>878</v>
      </c>
      <c r="W1205">
        <v>29</v>
      </c>
      <c r="X1205">
        <v>29</v>
      </c>
      <c r="Y1205" t="s">
        <v>879</v>
      </c>
      <c r="Z1205" t="s">
        <v>812</v>
      </c>
      <c r="AA1205" t="s">
        <v>3836</v>
      </c>
      <c r="AB1205" t="s">
        <v>793</v>
      </c>
      <c r="AD1205" t="s">
        <v>794</v>
      </c>
      <c r="AE1205" t="s">
        <v>804</v>
      </c>
      <c r="AF1205" t="s">
        <v>796</v>
      </c>
      <c r="AG1205" t="s">
        <v>797</v>
      </c>
      <c r="AH1205">
        <v>165204</v>
      </c>
      <c r="AI1205">
        <v>165204</v>
      </c>
      <c r="AJ1205">
        <v>0.35</v>
      </c>
    </row>
    <row r="1206" spans="1:36" x14ac:dyDescent="0.3">
      <c r="A1206">
        <f>COUNTIF($D$2:D1206,D1206)</f>
        <v>18</v>
      </c>
      <c r="B1206" t="str">
        <f t="shared" si="73"/>
        <v>18Lancashire</v>
      </c>
      <c r="C1206" t="s">
        <v>3837</v>
      </c>
      <c r="D1206" t="s">
        <v>199</v>
      </c>
      <c r="E1206">
        <v>28</v>
      </c>
      <c r="F1206" t="s">
        <v>3838</v>
      </c>
      <c r="G1206" t="s">
        <v>811</v>
      </c>
      <c r="H1206" t="s">
        <v>895</v>
      </c>
      <c r="I1206" t="s">
        <v>813</v>
      </c>
      <c r="J1206">
        <f t="shared" ca="1" si="74"/>
        <v>21033.736199999999</v>
      </c>
      <c r="K1206">
        <f t="shared" ca="1" si="75"/>
        <v>500</v>
      </c>
      <c r="N1206" t="str">
        <f t="shared" si="72"/>
        <v>Islington32MildmayBed based intermediate Care Services (Reablement, rehabilitation, wider short-term services supporting recovery)Bed-based intermediate care with reablement (to support discharge)</v>
      </c>
      <c r="O1206" t="s">
        <v>183</v>
      </c>
      <c r="P1206" t="s">
        <v>790</v>
      </c>
      <c r="Q1206">
        <v>32</v>
      </c>
      <c r="R1206" t="s">
        <v>3461</v>
      </c>
      <c r="S1206" t="s">
        <v>3461</v>
      </c>
      <c r="T1206" t="s">
        <v>877</v>
      </c>
      <c r="U1206" t="s">
        <v>878</v>
      </c>
      <c r="W1206">
        <v>34</v>
      </c>
      <c r="X1206">
        <v>34</v>
      </c>
      <c r="Y1206" t="s">
        <v>879</v>
      </c>
      <c r="Z1206" t="s">
        <v>812</v>
      </c>
      <c r="AA1206" t="s">
        <v>3836</v>
      </c>
      <c r="AB1206" t="s">
        <v>793</v>
      </c>
      <c r="AD1206" t="s">
        <v>794</v>
      </c>
      <c r="AE1206" t="s">
        <v>804</v>
      </c>
      <c r="AF1206" t="s">
        <v>796</v>
      </c>
      <c r="AG1206" t="s">
        <v>797</v>
      </c>
      <c r="AH1206">
        <v>195459</v>
      </c>
      <c r="AI1206">
        <v>195459</v>
      </c>
      <c r="AJ1206">
        <v>0.35</v>
      </c>
    </row>
    <row r="1207" spans="1:36" x14ac:dyDescent="0.3">
      <c r="A1207">
        <f>COUNTIF($D$2:D1207,D1207)</f>
        <v>19</v>
      </c>
      <c r="B1207" t="str">
        <f t="shared" si="73"/>
        <v>19Lancashire</v>
      </c>
      <c r="C1207" t="s">
        <v>3839</v>
      </c>
      <c r="D1207" t="s">
        <v>199</v>
      </c>
      <c r="E1207">
        <v>34</v>
      </c>
      <c r="F1207" t="s">
        <v>3840</v>
      </c>
      <c r="G1207" t="s">
        <v>787</v>
      </c>
      <c r="H1207" t="s">
        <v>930</v>
      </c>
      <c r="I1207" t="s">
        <v>789</v>
      </c>
      <c r="J1207">
        <f t="shared" ca="1" si="74"/>
        <v>53346.6774</v>
      </c>
      <c r="K1207">
        <f t="shared" ca="1" si="75"/>
        <v>50</v>
      </c>
      <c r="N1207" t="str">
        <f t="shared" si="72"/>
        <v>Islington35St Annes - LABed based intermediate Care Services (Reablement, rehabilitation, wider short-term services supporting recovery)Bed-based intermediate care with reablement (to support discharge)</v>
      </c>
      <c r="O1207" t="s">
        <v>183</v>
      </c>
      <c r="P1207" t="s">
        <v>790</v>
      </c>
      <c r="Q1207">
        <v>35</v>
      </c>
      <c r="R1207" t="s">
        <v>3464</v>
      </c>
      <c r="S1207" t="s">
        <v>3464</v>
      </c>
      <c r="T1207" t="s">
        <v>877</v>
      </c>
      <c r="U1207" t="s">
        <v>878</v>
      </c>
      <c r="W1207">
        <v>53</v>
      </c>
      <c r="X1207">
        <v>53</v>
      </c>
      <c r="Y1207" t="s">
        <v>879</v>
      </c>
      <c r="Z1207" t="s">
        <v>812</v>
      </c>
      <c r="AA1207" t="s">
        <v>3836</v>
      </c>
      <c r="AB1207" t="s">
        <v>793</v>
      </c>
      <c r="AD1207" t="s">
        <v>794</v>
      </c>
      <c r="AE1207" t="s">
        <v>804</v>
      </c>
      <c r="AF1207" t="s">
        <v>796</v>
      </c>
      <c r="AG1207" t="s">
        <v>797</v>
      </c>
      <c r="AH1207">
        <v>304003</v>
      </c>
      <c r="AI1207">
        <v>304003</v>
      </c>
      <c r="AJ1207">
        <v>0.65</v>
      </c>
    </row>
    <row r="1208" spans="1:36" x14ac:dyDescent="0.3">
      <c r="A1208">
        <f>COUNTIF($D$2:D1208,D1208)</f>
        <v>20</v>
      </c>
      <c r="B1208" t="str">
        <f t="shared" si="73"/>
        <v>20Lancashire</v>
      </c>
      <c r="C1208" t="s">
        <v>3841</v>
      </c>
      <c r="D1208" t="s">
        <v>199</v>
      </c>
      <c r="E1208">
        <v>40</v>
      </c>
      <c r="F1208" t="s">
        <v>3842</v>
      </c>
      <c r="G1208" t="s">
        <v>877</v>
      </c>
      <c r="H1208" t="s">
        <v>968</v>
      </c>
      <c r="I1208" t="s">
        <v>879</v>
      </c>
      <c r="J1208">
        <f t="shared" ca="1" si="74"/>
        <v>11180680</v>
      </c>
      <c r="K1208">
        <f t="shared" ca="1" si="75"/>
        <v>250</v>
      </c>
      <c r="N1208" t="str">
        <f t="shared" si="72"/>
        <v>Islington36Mildmay - LABed based intermediate Care Services (Reablement, rehabilitation, wider short-term services supporting recovery)Bed-based intermediate care with reablement (to support discharge)</v>
      </c>
      <c r="O1208" t="s">
        <v>183</v>
      </c>
      <c r="P1208" t="s">
        <v>790</v>
      </c>
      <c r="Q1208">
        <v>36</v>
      </c>
      <c r="R1208" t="s">
        <v>3467</v>
      </c>
      <c r="S1208" t="s">
        <v>3467</v>
      </c>
      <c r="T1208" t="s">
        <v>877</v>
      </c>
      <c r="U1208" t="s">
        <v>878</v>
      </c>
      <c r="W1208">
        <v>34</v>
      </c>
      <c r="X1208">
        <v>34</v>
      </c>
      <c r="Y1208" t="s">
        <v>879</v>
      </c>
      <c r="Z1208" t="s">
        <v>812</v>
      </c>
      <c r="AA1208" t="s">
        <v>3836</v>
      </c>
      <c r="AB1208" t="s">
        <v>793</v>
      </c>
      <c r="AD1208" t="s">
        <v>794</v>
      </c>
      <c r="AE1208" t="s">
        <v>804</v>
      </c>
      <c r="AF1208" t="s">
        <v>796</v>
      </c>
      <c r="AG1208" t="s">
        <v>797</v>
      </c>
      <c r="AH1208">
        <v>359678</v>
      </c>
      <c r="AI1208">
        <v>359678</v>
      </c>
      <c r="AJ1208">
        <v>0.65</v>
      </c>
    </row>
    <row r="1209" spans="1:36" x14ac:dyDescent="0.3">
      <c r="A1209">
        <f>COUNTIF($D$2:D1209,D1209)</f>
        <v>21</v>
      </c>
      <c r="B1209" t="str">
        <f t="shared" si="73"/>
        <v>21Lancashire</v>
      </c>
      <c r="C1209" t="s">
        <v>3843</v>
      </c>
      <c r="D1209" t="s">
        <v>199</v>
      </c>
      <c r="E1209">
        <v>41</v>
      </c>
      <c r="F1209" t="s">
        <v>3844</v>
      </c>
      <c r="G1209" t="s">
        <v>800</v>
      </c>
      <c r="H1209" t="s">
        <v>903</v>
      </c>
      <c r="I1209" t="s">
        <v>802</v>
      </c>
      <c r="J1209">
        <f t="shared" ca="1" si="74"/>
        <v>1543953.5802</v>
      </c>
      <c r="K1209">
        <f t="shared" ca="1" si="75"/>
        <v>1000</v>
      </c>
      <c r="N1209" t="str">
        <f t="shared" si="72"/>
        <v>Islington41Short term domiciliary care (P1)Home-based intermediate care servicesRehabilitation at home (accepting step up and step down users)</v>
      </c>
      <c r="O1209" t="s">
        <v>183</v>
      </c>
      <c r="P1209" t="s">
        <v>790</v>
      </c>
      <c r="Q1209">
        <v>41</v>
      </c>
      <c r="R1209" t="s">
        <v>3470</v>
      </c>
      <c r="S1209" t="s">
        <v>3845</v>
      </c>
      <c r="T1209" t="s">
        <v>787</v>
      </c>
      <c r="U1209" t="s">
        <v>1688</v>
      </c>
      <c r="W1209">
        <v>470</v>
      </c>
      <c r="X1209">
        <v>470</v>
      </c>
      <c r="Y1209" t="s">
        <v>789</v>
      </c>
      <c r="Z1209" t="s">
        <v>792</v>
      </c>
      <c r="AB1209" t="s">
        <v>793</v>
      </c>
      <c r="AD1209" t="s">
        <v>794</v>
      </c>
      <c r="AE1209" t="s">
        <v>804</v>
      </c>
      <c r="AF1209" t="s">
        <v>864</v>
      </c>
      <c r="AG1209" t="s">
        <v>861</v>
      </c>
      <c r="AH1209">
        <v>146393.73000000001</v>
      </c>
      <c r="AI1209">
        <v>146390</v>
      </c>
      <c r="AJ1209">
        <v>1</v>
      </c>
    </row>
    <row r="1210" spans="1:36" x14ac:dyDescent="0.3">
      <c r="A1210">
        <f>COUNTIF($D$2:D1210,D1210)</f>
        <v>22</v>
      </c>
      <c r="B1210" t="str">
        <f t="shared" si="73"/>
        <v>22Lancashire</v>
      </c>
      <c r="C1210" t="s">
        <v>3846</v>
      </c>
      <c r="D1210" t="s">
        <v>199</v>
      </c>
      <c r="E1210">
        <v>48</v>
      </c>
      <c r="F1210" t="s">
        <v>3847</v>
      </c>
      <c r="G1210" t="s">
        <v>811</v>
      </c>
      <c r="H1210" t="s">
        <v>895</v>
      </c>
      <c r="I1210" t="s">
        <v>813</v>
      </c>
      <c r="J1210">
        <f t="shared" ca="1" si="74"/>
        <v>62823.322800000002</v>
      </c>
      <c r="K1210">
        <f t="shared" ca="1" si="75"/>
        <v>200</v>
      </c>
      <c r="N1210" t="str">
        <f t="shared" si="72"/>
        <v>Islington42Short-term residential/nursing care for someone likely to require a longer-term care home placement (P3)Residential PlacementsCare home</v>
      </c>
      <c r="O1210" t="s">
        <v>183</v>
      </c>
      <c r="P1210" t="s">
        <v>790</v>
      </c>
      <c r="Q1210">
        <v>42</v>
      </c>
      <c r="R1210" t="s">
        <v>3473</v>
      </c>
      <c r="S1210" t="s">
        <v>3848</v>
      </c>
      <c r="T1210" t="s">
        <v>806</v>
      </c>
      <c r="U1210" t="s">
        <v>807</v>
      </c>
      <c r="W1210">
        <v>116</v>
      </c>
      <c r="X1210">
        <v>197</v>
      </c>
      <c r="Y1210" t="s">
        <v>808</v>
      </c>
      <c r="Z1210" t="s">
        <v>792</v>
      </c>
      <c r="AB1210" t="s">
        <v>793</v>
      </c>
      <c r="AD1210" t="s">
        <v>794</v>
      </c>
      <c r="AE1210" t="s">
        <v>804</v>
      </c>
      <c r="AF1210" t="s">
        <v>864</v>
      </c>
      <c r="AG1210" t="s">
        <v>861</v>
      </c>
      <c r="AH1210">
        <v>762066.78</v>
      </c>
      <c r="AI1210">
        <v>1355320</v>
      </c>
      <c r="AJ1210">
        <v>0.03</v>
      </c>
    </row>
    <row r="1211" spans="1:36" x14ac:dyDescent="0.3">
      <c r="A1211">
        <f>COUNTIF($D$2:D1211,D1211)</f>
        <v>23</v>
      </c>
      <c r="B1211" t="str">
        <f t="shared" si="73"/>
        <v>23Lancashire</v>
      </c>
      <c r="C1211" t="s">
        <v>3849</v>
      </c>
      <c r="D1211" t="s">
        <v>199</v>
      </c>
      <c r="E1211">
        <v>49</v>
      </c>
      <c r="F1211" t="s">
        <v>1399</v>
      </c>
      <c r="G1211" t="s">
        <v>811</v>
      </c>
      <c r="H1211" t="s">
        <v>895</v>
      </c>
      <c r="I1211" t="s">
        <v>813</v>
      </c>
      <c r="J1211">
        <f t="shared" ca="1" si="74"/>
        <v>269276.62320000003</v>
      </c>
      <c r="K1211">
        <f t="shared" ca="1" si="75"/>
        <v>1000</v>
      </c>
      <c r="N1211" t="str">
        <f t="shared" si="72"/>
        <v>Islington43Short term domiciliary care (P1)Home Care or Domiciliary CareDomiciliary care packages</v>
      </c>
      <c r="O1211" t="s">
        <v>183</v>
      </c>
      <c r="P1211" t="s">
        <v>790</v>
      </c>
      <c r="Q1211">
        <v>43</v>
      </c>
      <c r="R1211" t="s">
        <v>3470</v>
      </c>
      <c r="S1211" t="s">
        <v>3850</v>
      </c>
      <c r="T1211" t="s">
        <v>842</v>
      </c>
      <c r="U1211" t="s">
        <v>843</v>
      </c>
      <c r="W1211">
        <v>54169</v>
      </c>
      <c r="X1211">
        <v>90751</v>
      </c>
      <c r="Y1211" t="s">
        <v>844</v>
      </c>
      <c r="Z1211" t="s">
        <v>792</v>
      </c>
      <c r="AB1211" t="s">
        <v>793</v>
      </c>
      <c r="AD1211" t="s">
        <v>794</v>
      </c>
      <c r="AE1211" t="s">
        <v>804</v>
      </c>
      <c r="AF1211" t="s">
        <v>864</v>
      </c>
      <c r="AG1211" t="s">
        <v>861</v>
      </c>
      <c r="AH1211">
        <v>1124543</v>
      </c>
      <c r="AI1211">
        <v>1873077.45</v>
      </c>
      <c r="AJ1211">
        <v>0.05</v>
      </c>
    </row>
    <row r="1212" spans="1:36" x14ac:dyDescent="0.3">
      <c r="A1212">
        <f>COUNTIF($D$2:D1212,D1212)</f>
        <v>24</v>
      </c>
      <c r="B1212" t="str">
        <f t="shared" si="73"/>
        <v>24Lancashire</v>
      </c>
      <c r="C1212" t="s">
        <v>3851</v>
      </c>
      <c r="D1212" t="s">
        <v>199</v>
      </c>
      <c r="E1212">
        <v>52</v>
      </c>
      <c r="F1212" t="s">
        <v>3489</v>
      </c>
      <c r="G1212" t="s">
        <v>800</v>
      </c>
      <c r="H1212" t="s">
        <v>903</v>
      </c>
      <c r="I1212" t="s">
        <v>802</v>
      </c>
      <c r="J1212">
        <f t="shared" ca="1" si="74"/>
        <v>2676095.1972000003</v>
      </c>
      <c r="K1212">
        <f t="shared" ca="1" si="75"/>
        <v>800</v>
      </c>
      <c r="N1212" t="str">
        <f t="shared" si="72"/>
        <v>Islington44Funding for social careResidential PlacementsCare home</v>
      </c>
      <c r="O1212" t="s">
        <v>183</v>
      </c>
      <c r="P1212" t="s">
        <v>790</v>
      </c>
      <c r="Q1212">
        <v>44</v>
      </c>
      <c r="R1212" t="s">
        <v>3477</v>
      </c>
      <c r="S1212" t="s">
        <v>806</v>
      </c>
      <c r="T1212" t="s">
        <v>806</v>
      </c>
      <c r="U1212" t="s">
        <v>807</v>
      </c>
      <c r="W1212">
        <v>273</v>
      </c>
      <c r="X1212">
        <v>257</v>
      </c>
      <c r="Y1212" t="s">
        <v>808</v>
      </c>
      <c r="Z1212" t="s">
        <v>792</v>
      </c>
      <c r="AB1212" t="s">
        <v>793</v>
      </c>
      <c r="AD1212" t="s">
        <v>794</v>
      </c>
      <c r="AE1212" t="s">
        <v>804</v>
      </c>
      <c r="AF1212" t="s">
        <v>845</v>
      </c>
      <c r="AG1212" t="s">
        <v>797</v>
      </c>
      <c r="AH1212">
        <v>7144355</v>
      </c>
      <c r="AI1212">
        <v>7145355</v>
      </c>
      <c r="AJ1212">
        <v>0.23</v>
      </c>
    </row>
    <row r="1213" spans="1:36" x14ac:dyDescent="0.3">
      <c r="A1213">
        <f>COUNTIF($D$2:D1213,D1213)</f>
        <v>25</v>
      </c>
      <c r="B1213" t="str">
        <f t="shared" si="73"/>
        <v>25Lancashire</v>
      </c>
      <c r="C1213" t="s">
        <v>3852</v>
      </c>
      <c r="D1213" t="s">
        <v>199</v>
      </c>
      <c r="E1213">
        <v>56</v>
      </c>
      <c r="F1213" t="s">
        <v>1183</v>
      </c>
      <c r="G1213" t="s">
        <v>877</v>
      </c>
      <c r="H1213" t="s">
        <v>878</v>
      </c>
      <c r="I1213" t="s">
        <v>879</v>
      </c>
      <c r="J1213">
        <f t="shared" ca="1" si="74"/>
        <v>1064523.4434</v>
      </c>
      <c r="K1213">
        <f t="shared" ca="1" si="75"/>
        <v>50</v>
      </c>
      <c r="N1213" t="str">
        <f t="shared" si="72"/>
        <v>Islington45Funding for social careHome Care or Domiciliary CareDomiciliary care packages</v>
      </c>
      <c r="O1213" t="s">
        <v>183</v>
      </c>
      <c r="P1213" t="s">
        <v>790</v>
      </c>
      <c r="Q1213">
        <v>45</v>
      </c>
      <c r="R1213" t="s">
        <v>3477</v>
      </c>
      <c r="S1213" t="s">
        <v>842</v>
      </c>
      <c r="T1213" t="s">
        <v>842</v>
      </c>
      <c r="U1213" t="s">
        <v>843</v>
      </c>
      <c r="W1213">
        <v>346736</v>
      </c>
      <c r="X1213">
        <v>327109</v>
      </c>
      <c r="Y1213" t="s">
        <v>844</v>
      </c>
      <c r="Z1213" t="s">
        <v>792</v>
      </c>
      <c r="AB1213" t="s">
        <v>793</v>
      </c>
      <c r="AD1213" t="s">
        <v>794</v>
      </c>
      <c r="AE1213" t="s">
        <v>804</v>
      </c>
      <c r="AF1213" t="s">
        <v>845</v>
      </c>
      <c r="AG1213" t="s">
        <v>797</v>
      </c>
      <c r="AH1213">
        <v>6494356</v>
      </c>
      <c r="AI1213">
        <v>6494356</v>
      </c>
      <c r="AJ1213">
        <v>0.37</v>
      </c>
    </row>
    <row r="1214" spans="1:36" x14ac:dyDescent="0.3">
      <c r="A1214">
        <f>COUNTIF($D$2:D1214,D1214)</f>
        <v>26</v>
      </c>
      <c r="B1214" t="str">
        <f t="shared" si="73"/>
        <v>26Lancashire</v>
      </c>
      <c r="C1214" t="s">
        <v>3853</v>
      </c>
      <c r="D1214" t="s">
        <v>199</v>
      </c>
      <c r="E1214">
        <v>65</v>
      </c>
      <c r="F1214" t="s">
        <v>3854</v>
      </c>
      <c r="G1214" t="s">
        <v>787</v>
      </c>
      <c r="H1214" t="s">
        <v>1195</v>
      </c>
      <c r="I1214" t="s">
        <v>789</v>
      </c>
      <c r="J1214">
        <f t="shared" ca="1" si="74"/>
        <v>1500000</v>
      </c>
      <c r="K1214">
        <f t="shared" ca="1" si="75"/>
        <v>500</v>
      </c>
      <c r="N1214" t="str">
        <f t="shared" si="72"/>
        <v>Islington46D2A Plan (P1)Home Care or Domiciliary CareDomiciliary care to support hospital discharge (Discharge to Assess pathway 1)</v>
      </c>
      <c r="O1214" t="s">
        <v>183</v>
      </c>
      <c r="P1214" t="s">
        <v>790</v>
      </c>
      <c r="Q1214">
        <v>46</v>
      </c>
      <c r="R1214" t="s">
        <v>1866</v>
      </c>
      <c r="S1214" t="s">
        <v>3048</v>
      </c>
      <c r="T1214" t="s">
        <v>842</v>
      </c>
      <c r="U1214" t="s">
        <v>856</v>
      </c>
      <c r="W1214">
        <v>7363</v>
      </c>
      <c r="X1214">
        <v>7780</v>
      </c>
      <c r="Y1214" t="s">
        <v>844</v>
      </c>
      <c r="Z1214" t="s">
        <v>823</v>
      </c>
      <c r="AB1214" t="s">
        <v>824</v>
      </c>
      <c r="AD1214" t="s">
        <v>794</v>
      </c>
      <c r="AE1214" t="s">
        <v>804</v>
      </c>
      <c r="AF1214" t="s">
        <v>860</v>
      </c>
      <c r="AG1214" t="s">
        <v>861</v>
      </c>
      <c r="AH1214">
        <v>81000</v>
      </c>
      <c r="AI1214">
        <v>0</v>
      </c>
      <c r="AJ1214">
        <v>0.28999999999999998</v>
      </c>
    </row>
    <row r="1215" spans="1:36" x14ac:dyDescent="0.3">
      <c r="A1215">
        <f>COUNTIF($D$2:D1215,D1215)</f>
        <v>27</v>
      </c>
      <c r="B1215" t="str">
        <f t="shared" si="73"/>
        <v>27Lancashire</v>
      </c>
      <c r="C1215" t="s">
        <v>3855</v>
      </c>
      <c r="D1215" t="s">
        <v>199</v>
      </c>
      <c r="E1215">
        <v>66</v>
      </c>
      <c r="F1215" t="s">
        <v>3854</v>
      </c>
      <c r="G1215" t="s">
        <v>877</v>
      </c>
      <c r="H1215" t="s">
        <v>878</v>
      </c>
      <c r="I1215" t="s">
        <v>879</v>
      </c>
      <c r="J1215">
        <f t="shared" ca="1" si="74"/>
        <v>3864466</v>
      </c>
      <c r="K1215">
        <f t="shared" ca="1" si="75"/>
        <v>300</v>
      </c>
      <c r="N1215" t="str">
        <f t="shared" si="72"/>
        <v>Kensington and Chelsea1Carers inc. Carers Personal BudgetCarers ServicesRespite services</v>
      </c>
      <c r="O1215" t="s">
        <v>185</v>
      </c>
      <c r="P1215" t="s">
        <v>790</v>
      </c>
      <c r="Q1215">
        <v>1</v>
      </c>
      <c r="R1215" t="s">
        <v>3485</v>
      </c>
      <c r="S1215" t="s">
        <v>3856</v>
      </c>
      <c r="T1215" t="s">
        <v>811</v>
      </c>
      <c r="U1215" t="s">
        <v>830</v>
      </c>
      <c r="W1215">
        <v>924</v>
      </c>
      <c r="X1215">
        <v>924</v>
      </c>
      <c r="Y1215" t="s">
        <v>813</v>
      </c>
      <c r="Z1215" t="s">
        <v>792</v>
      </c>
      <c r="AB1215" t="s">
        <v>793</v>
      </c>
      <c r="AD1215" t="s">
        <v>794</v>
      </c>
      <c r="AE1215" t="s">
        <v>795</v>
      </c>
      <c r="AF1215" t="s">
        <v>796</v>
      </c>
      <c r="AG1215" t="s">
        <v>797</v>
      </c>
      <c r="AH1215">
        <v>426769.19280000002</v>
      </c>
      <c r="AI1215">
        <v>450924.32911247999</v>
      </c>
      <c r="AJ1215">
        <v>1</v>
      </c>
    </row>
    <row r="1216" spans="1:36" x14ac:dyDescent="0.3">
      <c r="A1216">
        <f>COUNTIF($D$2:D1216,D1216)</f>
        <v>1</v>
      </c>
      <c r="B1216" t="str">
        <f t="shared" si="73"/>
        <v>1Leeds</v>
      </c>
      <c r="C1216" t="s">
        <v>3857</v>
      </c>
      <c r="D1216" t="s">
        <v>201</v>
      </c>
      <c r="E1216">
        <v>401</v>
      </c>
      <c r="F1216" t="s">
        <v>3858</v>
      </c>
      <c r="G1216" t="s">
        <v>877</v>
      </c>
      <c r="H1216" t="s">
        <v>878</v>
      </c>
      <c r="I1216" t="s">
        <v>879</v>
      </c>
      <c r="J1216">
        <f t="shared" ca="1" si="74"/>
        <v>19752006</v>
      </c>
      <c r="K1216">
        <f t="shared" ca="1" si="75"/>
        <v>1786.578947368421</v>
      </c>
      <c r="N1216" t="str">
        <f t="shared" si="72"/>
        <v>Kensington and Chelsea4Community Equipment ServicesAssistive Technologies and EquipmentAssistive technologies including telecare</v>
      </c>
      <c r="O1216" t="s">
        <v>185</v>
      </c>
      <c r="P1216" t="s">
        <v>790</v>
      </c>
      <c r="Q1216">
        <v>4</v>
      </c>
      <c r="R1216" t="s">
        <v>3489</v>
      </c>
      <c r="S1216" t="s">
        <v>3859</v>
      </c>
      <c r="T1216" t="s">
        <v>800</v>
      </c>
      <c r="U1216" t="s">
        <v>850</v>
      </c>
      <c r="W1216">
        <v>703</v>
      </c>
      <c r="X1216">
        <v>743</v>
      </c>
      <c r="Y1216" t="s">
        <v>802</v>
      </c>
      <c r="Z1216" t="s">
        <v>792</v>
      </c>
      <c r="AB1216" t="s">
        <v>793</v>
      </c>
      <c r="AD1216" t="s">
        <v>794</v>
      </c>
      <c r="AE1216" t="s">
        <v>795</v>
      </c>
      <c r="AF1216" t="s">
        <v>796</v>
      </c>
      <c r="AG1216" t="s">
        <v>797</v>
      </c>
      <c r="AH1216">
        <v>387386.788223268</v>
      </c>
      <c r="AI1216">
        <v>409312.88043670496</v>
      </c>
      <c r="AJ1216">
        <v>0.30787308699229754</v>
      </c>
    </row>
    <row r="1217" spans="1:36" x14ac:dyDescent="0.3">
      <c r="A1217">
        <f>COUNTIF($D$2:D1217,D1217)</f>
        <v>2</v>
      </c>
      <c r="B1217" t="str">
        <f t="shared" si="73"/>
        <v>2Leeds</v>
      </c>
      <c r="C1217" t="s">
        <v>3860</v>
      </c>
      <c r="D1217" t="s">
        <v>201</v>
      </c>
      <c r="E1217">
        <v>402</v>
      </c>
      <c r="F1217" t="s">
        <v>3858</v>
      </c>
      <c r="G1217" t="s">
        <v>877</v>
      </c>
      <c r="H1217" t="s">
        <v>878</v>
      </c>
      <c r="I1217" t="s">
        <v>879</v>
      </c>
      <c r="J1217">
        <f t="shared" ca="1" si="74"/>
        <v>1936847</v>
      </c>
      <c r="K1217">
        <f t="shared" ca="1" si="75"/>
        <v>365</v>
      </c>
      <c r="N1217" t="str">
        <f t="shared" si="72"/>
        <v>Kensington and Chelsea7Home Care Home Care or Domiciliary CareDomiciliary care packages</v>
      </c>
      <c r="O1217" t="s">
        <v>185</v>
      </c>
      <c r="P1217" t="s">
        <v>790</v>
      </c>
      <c r="Q1217">
        <v>7</v>
      </c>
      <c r="R1217" t="s">
        <v>3492</v>
      </c>
      <c r="S1217" t="s">
        <v>3861</v>
      </c>
      <c r="T1217" t="s">
        <v>842</v>
      </c>
      <c r="U1217" t="s">
        <v>843</v>
      </c>
      <c r="W1217">
        <v>223509</v>
      </c>
      <c r="X1217">
        <v>223509</v>
      </c>
      <c r="Y1217" t="s">
        <v>844</v>
      </c>
      <c r="Z1217" t="s">
        <v>792</v>
      </c>
      <c r="AB1217" t="s">
        <v>793</v>
      </c>
      <c r="AD1217" t="s">
        <v>794</v>
      </c>
      <c r="AE1217" t="s">
        <v>795</v>
      </c>
      <c r="AF1217" t="s">
        <v>796</v>
      </c>
      <c r="AG1217" t="s">
        <v>797</v>
      </c>
      <c r="AH1217">
        <v>4358429.5</v>
      </c>
      <c r="AI1217">
        <v>4605116.5632433603</v>
      </c>
      <c r="AJ1217">
        <v>0.40543671113212082</v>
      </c>
    </row>
    <row r="1218" spans="1:36" x14ac:dyDescent="0.3">
      <c r="A1218">
        <f>COUNTIF($D$2:D1218,D1218)</f>
        <v>3</v>
      </c>
      <c r="B1218" t="str">
        <f t="shared" si="73"/>
        <v>3Leeds</v>
      </c>
      <c r="C1218" t="s">
        <v>3862</v>
      </c>
      <c r="D1218" t="s">
        <v>201</v>
      </c>
      <c r="E1218">
        <v>404</v>
      </c>
      <c r="F1218" t="s">
        <v>3346</v>
      </c>
      <c r="G1218" t="s">
        <v>811</v>
      </c>
      <c r="H1218" t="s">
        <v>830</v>
      </c>
      <c r="I1218" t="s">
        <v>813</v>
      </c>
      <c r="J1218">
        <f t="shared" ca="1" si="74"/>
        <v>382157</v>
      </c>
      <c r="K1218">
        <f t="shared" ca="1" si="75"/>
        <v>2808</v>
      </c>
      <c r="N1218" t="str">
        <f t="shared" ref="N1218:N1281" si="76">O1218&amp;Q1218&amp;R1218&amp;T1218&amp;U1218</f>
        <v>Kensington and Chelsea12Community EquipmentAssistive Technologies and EquipmentCommunity based equipment</v>
      </c>
      <c r="O1218" t="s">
        <v>185</v>
      </c>
      <c r="P1218" t="s">
        <v>790</v>
      </c>
      <c r="Q1218">
        <v>12</v>
      </c>
      <c r="R1218" t="s">
        <v>1051</v>
      </c>
      <c r="S1218" t="s">
        <v>3859</v>
      </c>
      <c r="T1218" t="s">
        <v>800</v>
      </c>
      <c r="U1218" t="s">
        <v>903</v>
      </c>
      <c r="W1218">
        <v>1580</v>
      </c>
      <c r="X1218">
        <v>1670</v>
      </c>
      <c r="Y1218" t="s">
        <v>802</v>
      </c>
      <c r="Z1218" t="s">
        <v>823</v>
      </c>
      <c r="AB1218" t="s">
        <v>824</v>
      </c>
      <c r="AD1218" t="s">
        <v>794</v>
      </c>
      <c r="AE1218" t="s">
        <v>795</v>
      </c>
      <c r="AF1218" t="s">
        <v>796</v>
      </c>
      <c r="AG1218" t="s">
        <v>861</v>
      </c>
      <c r="AH1218">
        <v>870881</v>
      </c>
      <c r="AI1218">
        <v>920172.86459999997</v>
      </c>
      <c r="AJ1218">
        <v>0.69212691300770246</v>
      </c>
    </row>
    <row r="1219" spans="1:36" x14ac:dyDescent="0.3">
      <c r="A1219">
        <f>COUNTIF($D$2:D1219,D1219)</f>
        <v>4</v>
      </c>
      <c r="B1219" t="str">
        <f t="shared" ref="B1219:B1282" si="77">A1219&amp;D1219</f>
        <v>4Leeds</v>
      </c>
      <c r="C1219" t="s">
        <v>3863</v>
      </c>
      <c r="D1219" t="s">
        <v>201</v>
      </c>
      <c r="E1219">
        <v>405</v>
      </c>
      <c r="F1219" t="s">
        <v>3864</v>
      </c>
      <c r="G1219" t="s">
        <v>800</v>
      </c>
      <c r="H1219" t="s">
        <v>903</v>
      </c>
      <c r="I1219" t="s">
        <v>802</v>
      </c>
      <c r="J1219">
        <f t="shared" ref="J1219:J1282" ca="1" si="78">SUMIF($N:$AI,C1219,AH:AH)</f>
        <v>3118210</v>
      </c>
      <c r="K1219">
        <f t="shared" ref="K1219:K1282" ca="1" si="79">SUMIF($N:$AI,C1219,W:W)</f>
        <v>1895</v>
      </c>
      <c r="N1219" t="str">
        <f t="shared" si="76"/>
        <v>Kensington and Chelsea20DFG housing adapationDFG Related SchemesAdaptations, including statutory DFG grants</v>
      </c>
      <c r="O1219" t="s">
        <v>185</v>
      </c>
      <c r="P1219" t="s">
        <v>790</v>
      </c>
      <c r="Q1219">
        <v>20</v>
      </c>
      <c r="R1219" t="s">
        <v>3495</v>
      </c>
      <c r="S1219" t="s">
        <v>835</v>
      </c>
      <c r="T1219" t="s">
        <v>834</v>
      </c>
      <c r="U1219" t="s">
        <v>835</v>
      </c>
      <c r="W1219">
        <v>95</v>
      </c>
      <c r="X1219">
        <v>95</v>
      </c>
      <c r="Y1219" t="s">
        <v>836</v>
      </c>
      <c r="Z1219" t="s">
        <v>792</v>
      </c>
      <c r="AB1219" t="s">
        <v>793</v>
      </c>
      <c r="AD1219" t="s">
        <v>794</v>
      </c>
      <c r="AE1219" t="s">
        <v>795</v>
      </c>
      <c r="AF1219" t="s">
        <v>840</v>
      </c>
      <c r="AG1219" t="s">
        <v>797</v>
      </c>
      <c r="AH1219">
        <v>879824</v>
      </c>
      <c r="AI1219">
        <v>879824</v>
      </c>
      <c r="AJ1219">
        <v>0.91665138608744923</v>
      </c>
    </row>
    <row r="1220" spans="1:36" x14ac:dyDescent="0.3">
      <c r="A1220">
        <f>COUNTIF($D$2:D1220,D1220)</f>
        <v>5</v>
      </c>
      <c r="B1220" t="str">
        <f t="shared" si="77"/>
        <v>5Leeds</v>
      </c>
      <c r="C1220" t="s">
        <v>3865</v>
      </c>
      <c r="D1220" t="s">
        <v>201</v>
      </c>
      <c r="E1220">
        <v>406</v>
      </c>
      <c r="F1220" t="s">
        <v>3864</v>
      </c>
      <c r="G1220" t="s">
        <v>800</v>
      </c>
      <c r="H1220" t="s">
        <v>903</v>
      </c>
      <c r="I1220" t="s">
        <v>802</v>
      </c>
      <c r="J1220">
        <f t="shared" ca="1" si="78"/>
        <v>2637000</v>
      </c>
      <c r="K1220">
        <f t="shared" ca="1" si="79"/>
        <v>1602</v>
      </c>
      <c r="N1220" t="str">
        <f t="shared" si="76"/>
        <v>Kensington and Chelsea21DFG - DiscretionaryDFG Related SchemesDiscretionary use of DFG</v>
      </c>
      <c r="O1220" t="s">
        <v>185</v>
      </c>
      <c r="P1220" t="s">
        <v>790</v>
      </c>
      <c r="Q1220">
        <v>21</v>
      </c>
      <c r="R1220" t="s">
        <v>3498</v>
      </c>
      <c r="S1220" t="s">
        <v>3866</v>
      </c>
      <c r="T1220" t="s">
        <v>834</v>
      </c>
      <c r="U1220" t="s">
        <v>1293</v>
      </c>
      <c r="W1220">
        <v>40</v>
      </c>
      <c r="X1220">
        <v>40</v>
      </c>
      <c r="Y1220" t="s">
        <v>836</v>
      </c>
      <c r="Z1220" t="s">
        <v>792</v>
      </c>
      <c r="AB1220" t="s">
        <v>793</v>
      </c>
      <c r="AD1220" t="s">
        <v>794</v>
      </c>
      <c r="AE1220" t="s">
        <v>795</v>
      </c>
      <c r="AF1220" t="s">
        <v>840</v>
      </c>
      <c r="AG1220" t="s">
        <v>797</v>
      </c>
      <c r="AH1220">
        <v>80000</v>
      </c>
      <c r="AI1220">
        <v>80000</v>
      </c>
      <c r="AJ1220">
        <v>8.3348613912550634E-2</v>
      </c>
    </row>
    <row r="1221" spans="1:36" x14ac:dyDescent="0.3">
      <c r="A1221">
        <f>COUNTIF($D$2:D1221,D1221)</f>
        <v>6</v>
      </c>
      <c r="B1221" t="str">
        <f t="shared" si="77"/>
        <v>6Leeds</v>
      </c>
      <c r="C1221" t="s">
        <v>3867</v>
      </c>
      <c r="D1221" t="s">
        <v>201</v>
      </c>
      <c r="E1221">
        <v>422</v>
      </c>
      <c r="F1221" t="s">
        <v>3858</v>
      </c>
      <c r="G1221" t="s">
        <v>877</v>
      </c>
      <c r="H1221" t="s">
        <v>878</v>
      </c>
      <c r="I1221" t="s">
        <v>879</v>
      </c>
      <c r="J1221">
        <f t="shared" ca="1" si="78"/>
        <v>557736</v>
      </c>
      <c r="K1221">
        <f t="shared" ca="1" si="79"/>
        <v>18</v>
      </c>
      <c r="N1221" t="str">
        <f t="shared" si="76"/>
        <v>Kensington and Chelsea22Home Care/ Domicilliary CareHome Care or Domiciliary CareDomiciliary care packages</v>
      </c>
      <c r="O1221" t="s">
        <v>185</v>
      </c>
      <c r="P1221" t="s">
        <v>790</v>
      </c>
      <c r="Q1221">
        <v>22</v>
      </c>
      <c r="R1221" t="s">
        <v>3501</v>
      </c>
      <c r="S1221" t="s">
        <v>3868</v>
      </c>
      <c r="T1221" t="s">
        <v>842</v>
      </c>
      <c r="U1221" t="s">
        <v>843</v>
      </c>
      <c r="W1221">
        <v>322506</v>
      </c>
      <c r="X1221">
        <v>322506</v>
      </c>
      <c r="Y1221" t="s">
        <v>844</v>
      </c>
      <c r="Z1221" t="s">
        <v>792</v>
      </c>
      <c r="AB1221" t="s">
        <v>793</v>
      </c>
      <c r="AD1221" t="s">
        <v>794</v>
      </c>
      <c r="AE1221" t="s">
        <v>795</v>
      </c>
      <c r="AF1221" t="s">
        <v>845</v>
      </c>
      <c r="AG1221" t="s">
        <v>861</v>
      </c>
      <c r="AH1221">
        <v>6229686</v>
      </c>
      <c r="AI1221">
        <v>6288859</v>
      </c>
      <c r="AJ1221">
        <v>0.56623546943908387</v>
      </c>
    </row>
    <row r="1222" spans="1:36" x14ac:dyDescent="0.3">
      <c r="A1222">
        <f>COUNTIF($D$2:D1222,D1222)</f>
        <v>7</v>
      </c>
      <c r="B1222" t="str">
        <f t="shared" si="77"/>
        <v>7Leeds</v>
      </c>
      <c r="C1222" t="s">
        <v>3869</v>
      </c>
      <c r="D1222" t="s">
        <v>201</v>
      </c>
      <c r="E1222">
        <v>411</v>
      </c>
      <c r="F1222" t="s">
        <v>891</v>
      </c>
      <c r="G1222" t="s">
        <v>834</v>
      </c>
      <c r="H1222" t="s">
        <v>835</v>
      </c>
      <c r="I1222" t="s">
        <v>836</v>
      </c>
      <c r="J1222">
        <f t="shared" ca="1" si="78"/>
        <v>8286057</v>
      </c>
      <c r="K1222">
        <f t="shared" ca="1" si="79"/>
        <v>910</v>
      </c>
      <c r="N1222" t="str">
        <f t="shared" si="76"/>
        <v>Kensington and Chelsea25Stepdown and step up bedsBed based intermediate Care Services (Reablement, rehabilitation, wider short-term services supporting recovery)Bed-based intermediate care with reablement accepting step up and step down users</v>
      </c>
      <c r="O1222" t="s">
        <v>185</v>
      </c>
      <c r="P1222" t="s">
        <v>790</v>
      </c>
      <c r="Q1222">
        <v>25</v>
      </c>
      <c r="R1222" t="s">
        <v>3504</v>
      </c>
      <c r="S1222" t="s">
        <v>3870</v>
      </c>
      <c r="T1222" t="s">
        <v>877</v>
      </c>
      <c r="U1222" t="s">
        <v>1259</v>
      </c>
      <c r="W1222">
        <v>2</v>
      </c>
      <c r="X1222">
        <v>2</v>
      </c>
      <c r="Y1222" t="s">
        <v>879</v>
      </c>
      <c r="Z1222" t="s">
        <v>792</v>
      </c>
      <c r="AB1222" t="s">
        <v>793</v>
      </c>
      <c r="AD1222" t="s">
        <v>794</v>
      </c>
      <c r="AE1222" t="s">
        <v>795</v>
      </c>
      <c r="AF1222" t="s">
        <v>845</v>
      </c>
      <c r="AG1222" t="s">
        <v>861</v>
      </c>
      <c r="AH1222">
        <v>67082</v>
      </c>
      <c r="AI1222">
        <v>67082</v>
      </c>
      <c r="AJ1222">
        <v>5.0075717108910477E-2</v>
      </c>
    </row>
    <row r="1223" spans="1:36" x14ac:dyDescent="0.3">
      <c r="A1223">
        <f>COUNTIF($D$2:D1223,D1223)</f>
        <v>8</v>
      </c>
      <c r="B1223" t="str">
        <f t="shared" si="77"/>
        <v>8Leeds</v>
      </c>
      <c r="C1223" t="s">
        <v>3871</v>
      </c>
      <c r="D1223" t="s">
        <v>201</v>
      </c>
      <c r="E1223">
        <v>412</v>
      </c>
      <c r="F1223" t="s">
        <v>3872</v>
      </c>
      <c r="G1223" t="s">
        <v>842</v>
      </c>
      <c r="H1223" t="s">
        <v>843</v>
      </c>
      <c r="I1223" t="s">
        <v>844</v>
      </c>
      <c r="J1223">
        <f t="shared" ca="1" si="78"/>
        <v>16542714</v>
      </c>
      <c r="K1223">
        <f t="shared" ca="1" si="79"/>
        <v>720000</v>
      </c>
      <c r="N1223" t="str">
        <f t="shared" si="76"/>
        <v>Kensington and Chelsea27Pathway 3 Bed base  intermediate care Bed based intermediate Care Services (Reablement, rehabilitation, wider short-term services supporting recovery)Bed-based intermediate care with rehabilitation (to support discharge)</v>
      </c>
      <c r="O1223" t="s">
        <v>185</v>
      </c>
      <c r="P1223" t="s">
        <v>790</v>
      </c>
      <c r="Q1223">
        <v>27</v>
      </c>
      <c r="R1223" t="s">
        <v>3507</v>
      </c>
      <c r="S1223" t="s">
        <v>3873</v>
      </c>
      <c r="T1223" t="s">
        <v>877</v>
      </c>
      <c r="U1223" t="s">
        <v>968</v>
      </c>
      <c r="W1223">
        <v>7</v>
      </c>
      <c r="X1223">
        <v>12</v>
      </c>
      <c r="Y1223" t="s">
        <v>879</v>
      </c>
      <c r="Z1223" t="s">
        <v>792</v>
      </c>
      <c r="AB1223" t="s">
        <v>793</v>
      </c>
      <c r="AD1223" t="s">
        <v>794</v>
      </c>
      <c r="AE1223" t="s">
        <v>795</v>
      </c>
      <c r="AF1223" t="s">
        <v>864</v>
      </c>
      <c r="AG1223" t="s">
        <v>861</v>
      </c>
      <c r="AH1223">
        <v>268382</v>
      </c>
      <c r="AI1223">
        <v>445514.12</v>
      </c>
      <c r="AJ1223">
        <v>0.26645642758317289</v>
      </c>
    </row>
    <row r="1224" spans="1:36" x14ac:dyDescent="0.3">
      <c r="A1224">
        <f>COUNTIF($D$2:D1224,D1224)</f>
        <v>9</v>
      </c>
      <c r="B1224" t="str">
        <f t="shared" si="77"/>
        <v>9Leeds</v>
      </c>
      <c r="C1224" t="s">
        <v>3874</v>
      </c>
      <c r="D1224" t="s">
        <v>201</v>
      </c>
      <c r="E1224">
        <v>421</v>
      </c>
      <c r="F1224" t="s">
        <v>3875</v>
      </c>
      <c r="G1224" t="s">
        <v>806</v>
      </c>
      <c r="H1224" t="s">
        <v>812</v>
      </c>
      <c r="I1224" t="s">
        <v>808</v>
      </c>
      <c r="J1224">
        <f t="shared" ca="1" si="78"/>
        <v>31640675</v>
      </c>
      <c r="K1224">
        <f t="shared" ca="1" si="79"/>
        <v>869</v>
      </c>
      <c r="N1224" t="str">
        <f t="shared" si="76"/>
        <v>Kensington and Chelsea28Pathway 3 Additional Placement Bed based intermediate Care Services (Reablement, rehabilitation, wider short-term services supporting recovery)Bed-based intermediate care with rehabilitation (to support discharge)</v>
      </c>
      <c r="O1224" t="s">
        <v>185</v>
      </c>
      <c r="P1224" t="s">
        <v>790</v>
      </c>
      <c r="Q1224">
        <v>28</v>
      </c>
      <c r="R1224" t="s">
        <v>3510</v>
      </c>
      <c r="S1224" t="s">
        <v>3873</v>
      </c>
      <c r="T1224" t="s">
        <v>877</v>
      </c>
      <c r="U1224" t="s">
        <v>968</v>
      </c>
      <c r="W1224">
        <v>18</v>
      </c>
      <c r="X1224">
        <v>30</v>
      </c>
      <c r="Y1224" t="s">
        <v>879</v>
      </c>
      <c r="Z1224" t="s">
        <v>792</v>
      </c>
      <c r="AB1224" t="s">
        <v>793</v>
      </c>
      <c r="AD1224" t="s">
        <v>794</v>
      </c>
      <c r="AE1224" t="s">
        <v>795</v>
      </c>
      <c r="AF1224" t="s">
        <v>864</v>
      </c>
      <c r="AG1224" t="s">
        <v>861</v>
      </c>
      <c r="AH1224">
        <v>688407</v>
      </c>
      <c r="AI1224">
        <v>1142755.6200000001</v>
      </c>
      <c r="AJ1224">
        <v>0.68346785530791665</v>
      </c>
    </row>
    <row r="1225" spans="1:36" x14ac:dyDescent="0.3">
      <c r="A1225">
        <f>COUNTIF($D$2:D1225,D1225)</f>
        <v>10</v>
      </c>
      <c r="B1225" t="str">
        <f t="shared" si="77"/>
        <v>10Leeds</v>
      </c>
      <c r="C1225" t="s">
        <v>3876</v>
      </c>
      <c r="D1225" t="s">
        <v>201</v>
      </c>
      <c r="E1225">
        <v>451</v>
      </c>
      <c r="F1225" t="s">
        <v>3877</v>
      </c>
      <c r="G1225" t="s">
        <v>842</v>
      </c>
      <c r="H1225" t="s">
        <v>843</v>
      </c>
      <c r="I1225" t="s">
        <v>844</v>
      </c>
      <c r="J1225">
        <f t="shared" ca="1" si="78"/>
        <v>668051</v>
      </c>
      <c r="K1225">
        <f t="shared" ca="1" si="79"/>
        <v>29500</v>
      </c>
      <c r="N1225" t="str">
        <f t="shared" si="76"/>
        <v>Kensington and Chelsea30Pathway 1-Homecare  Home Care/ Domicilliary Care - Long Term Home Care or Domiciliary CareDomiciliary care packages</v>
      </c>
      <c r="O1225" t="s">
        <v>185</v>
      </c>
      <c r="P1225" t="s">
        <v>790</v>
      </c>
      <c r="Q1225">
        <v>30</v>
      </c>
      <c r="R1225" t="s">
        <v>3512</v>
      </c>
      <c r="S1225" t="s">
        <v>3878</v>
      </c>
      <c r="T1225" t="s">
        <v>842</v>
      </c>
      <c r="U1225" t="s">
        <v>843</v>
      </c>
      <c r="W1225">
        <v>16059</v>
      </c>
      <c r="X1225">
        <v>16059</v>
      </c>
      <c r="Y1225" t="s">
        <v>844</v>
      </c>
      <c r="Z1225" t="s">
        <v>792</v>
      </c>
      <c r="AB1225" t="s">
        <v>793</v>
      </c>
      <c r="AD1225" t="s">
        <v>794</v>
      </c>
      <c r="AE1225" t="s">
        <v>795</v>
      </c>
      <c r="AF1225" t="s">
        <v>860</v>
      </c>
      <c r="AG1225" t="s">
        <v>861</v>
      </c>
      <c r="AH1225">
        <v>313141</v>
      </c>
      <c r="AI1225">
        <v>313141</v>
      </c>
      <c r="AJ1225">
        <v>2.8327819428795305E-2</v>
      </c>
    </row>
    <row r="1226" spans="1:36" x14ac:dyDescent="0.3">
      <c r="A1226">
        <f>COUNTIF($D$2:D1226,D1226)</f>
        <v>11</v>
      </c>
      <c r="B1226" t="str">
        <f t="shared" si="77"/>
        <v>11Leeds</v>
      </c>
      <c r="C1226" t="s">
        <v>3879</v>
      </c>
      <c r="D1226" t="s">
        <v>201</v>
      </c>
      <c r="E1226">
        <v>452</v>
      </c>
      <c r="F1226" t="s">
        <v>3880</v>
      </c>
      <c r="G1226" t="s">
        <v>806</v>
      </c>
      <c r="H1226" t="s">
        <v>807</v>
      </c>
      <c r="I1226" t="s">
        <v>808</v>
      </c>
      <c r="J1226">
        <f t="shared" ca="1" si="78"/>
        <v>2282922</v>
      </c>
      <c r="K1226">
        <f t="shared" ca="1" si="79"/>
        <v>57.692307692307693</v>
      </c>
      <c r="N1226" t="str">
        <f t="shared" si="76"/>
        <v xml:space="preserve">Kensington and Chelsea31Pathway 1  Reablement Home-based intermediate care servicesReablement at home (to support discharge) </v>
      </c>
      <c r="O1226" t="s">
        <v>185</v>
      </c>
      <c r="P1226" t="s">
        <v>790</v>
      </c>
      <c r="Q1226">
        <v>31</v>
      </c>
      <c r="R1226" t="s">
        <v>3514</v>
      </c>
      <c r="S1226" t="s">
        <v>3881</v>
      </c>
      <c r="T1226" t="s">
        <v>787</v>
      </c>
      <c r="U1226" t="s">
        <v>788</v>
      </c>
      <c r="W1226">
        <v>196</v>
      </c>
      <c r="X1226">
        <v>196</v>
      </c>
      <c r="Y1226" t="s">
        <v>789</v>
      </c>
      <c r="Z1226" t="s">
        <v>792</v>
      </c>
      <c r="AB1226" t="s">
        <v>793</v>
      </c>
      <c r="AD1226" t="s">
        <v>794</v>
      </c>
      <c r="AE1226" t="s">
        <v>795</v>
      </c>
      <c r="AF1226" t="s">
        <v>860</v>
      </c>
      <c r="AG1226" t="s">
        <v>861</v>
      </c>
      <c r="AH1226">
        <v>546523</v>
      </c>
      <c r="AI1226">
        <v>546523</v>
      </c>
      <c r="AJ1226">
        <v>1</v>
      </c>
    </row>
    <row r="1227" spans="1:36" x14ac:dyDescent="0.3">
      <c r="A1227">
        <f>COUNTIF($D$2:D1227,D1227)</f>
        <v>12</v>
      </c>
      <c r="B1227" t="str">
        <f t="shared" si="77"/>
        <v>12Leeds</v>
      </c>
      <c r="C1227" t="s">
        <v>3882</v>
      </c>
      <c r="D1227" t="s">
        <v>201</v>
      </c>
      <c r="E1227">
        <v>461</v>
      </c>
      <c r="F1227" t="s">
        <v>3883</v>
      </c>
      <c r="G1227" t="s">
        <v>787</v>
      </c>
      <c r="H1227" t="s">
        <v>899</v>
      </c>
      <c r="I1227" t="s">
        <v>789</v>
      </c>
      <c r="J1227">
        <f t="shared" ca="1" si="78"/>
        <v>2119000</v>
      </c>
      <c r="K1227">
        <f t="shared" ca="1" si="79"/>
        <v>610</v>
      </c>
      <c r="N1227" t="str">
        <f t="shared" si="76"/>
        <v>Kent4Domiciliary Services (support for Social Care) (KCC)Home Care or Domiciliary CareDomiciliary care packages</v>
      </c>
      <c r="O1227" t="s">
        <v>187</v>
      </c>
      <c r="P1227" t="s">
        <v>1437</v>
      </c>
      <c r="Q1227">
        <v>4</v>
      </c>
      <c r="R1227" t="s">
        <v>3517</v>
      </c>
      <c r="S1227" t="s">
        <v>3884</v>
      </c>
      <c r="T1227" t="s">
        <v>842</v>
      </c>
      <c r="U1227" t="s">
        <v>843</v>
      </c>
      <c r="W1227">
        <v>76508</v>
      </c>
      <c r="X1227">
        <v>76508</v>
      </c>
      <c r="Y1227" t="s">
        <v>844</v>
      </c>
      <c r="Z1227" t="s">
        <v>792</v>
      </c>
      <c r="AB1227" t="s">
        <v>793</v>
      </c>
      <c r="AD1227" t="s">
        <v>794</v>
      </c>
      <c r="AE1227" t="s">
        <v>804</v>
      </c>
      <c r="AF1227" t="s">
        <v>796</v>
      </c>
      <c r="AG1227" t="s">
        <v>797</v>
      </c>
      <c r="AH1227">
        <v>2020100</v>
      </c>
      <c r="AI1227">
        <v>2134438</v>
      </c>
      <c r="AJ1227">
        <v>3.9E-2</v>
      </c>
    </row>
    <row r="1228" spans="1:36" x14ac:dyDescent="0.3">
      <c r="A1228">
        <f>COUNTIF($D$2:D1228,D1228)</f>
        <v>13</v>
      </c>
      <c r="B1228" t="str">
        <f t="shared" si="77"/>
        <v>13Leeds</v>
      </c>
      <c r="C1228" t="s">
        <v>3885</v>
      </c>
      <c r="D1228" t="s">
        <v>201</v>
      </c>
      <c r="E1228">
        <v>462</v>
      </c>
      <c r="F1228" t="s">
        <v>3886</v>
      </c>
      <c r="G1228" t="s">
        <v>787</v>
      </c>
      <c r="H1228" t="s">
        <v>1551</v>
      </c>
      <c r="I1228" t="s">
        <v>789</v>
      </c>
      <c r="J1228">
        <f t="shared" ca="1" si="78"/>
        <v>200000</v>
      </c>
      <c r="K1228">
        <f t="shared" ca="1" si="79"/>
        <v>310</v>
      </c>
      <c r="N1228" t="str">
        <f t="shared" si="76"/>
        <v>Kent6Enablement (support for Social Care) (KCC)Bed based intermediate Care Services (Reablement, rehabilitation, wider short-term services supporting recovery)Bed-based intermediate care with rehabilitation (to support discharge)</v>
      </c>
      <c r="O1228" t="s">
        <v>187</v>
      </c>
      <c r="P1228" t="s">
        <v>1437</v>
      </c>
      <c r="Q1228">
        <v>6</v>
      </c>
      <c r="R1228" t="s">
        <v>3520</v>
      </c>
      <c r="S1228" t="s">
        <v>3887</v>
      </c>
      <c r="T1228" t="s">
        <v>877</v>
      </c>
      <c r="U1228" t="s">
        <v>968</v>
      </c>
      <c r="W1228">
        <v>5000</v>
      </c>
      <c r="X1228">
        <v>5000</v>
      </c>
      <c r="Y1228" t="s">
        <v>879</v>
      </c>
      <c r="Z1228" t="s">
        <v>792</v>
      </c>
      <c r="AB1228" t="s">
        <v>793</v>
      </c>
      <c r="AD1228" t="s">
        <v>794</v>
      </c>
      <c r="AE1228" t="s">
        <v>804</v>
      </c>
      <c r="AF1228" t="s">
        <v>796</v>
      </c>
      <c r="AG1228" t="s">
        <v>797</v>
      </c>
      <c r="AH1228">
        <v>6020600</v>
      </c>
      <c r="AI1228">
        <v>6361366</v>
      </c>
      <c r="AJ1228">
        <v>0.64300000000000002</v>
      </c>
    </row>
    <row r="1229" spans="1:36" x14ac:dyDescent="0.3">
      <c r="A1229">
        <f>COUNTIF($D$2:D1229,D1229)</f>
        <v>14</v>
      </c>
      <c r="B1229" t="str">
        <f t="shared" si="77"/>
        <v>14Leeds</v>
      </c>
      <c r="C1229" t="s">
        <v>3888</v>
      </c>
      <c r="D1229" t="s">
        <v>201</v>
      </c>
      <c r="E1229">
        <v>463</v>
      </c>
      <c r="F1229" t="s">
        <v>3889</v>
      </c>
      <c r="G1229" t="s">
        <v>806</v>
      </c>
      <c r="H1229" t="s">
        <v>2339</v>
      </c>
      <c r="I1229" t="s">
        <v>794</v>
      </c>
      <c r="J1229">
        <f t="shared" ca="1" si="78"/>
        <v>691000</v>
      </c>
      <c r="K1229">
        <f t="shared" ca="1" si="79"/>
        <v>143.75</v>
      </c>
      <c r="N1229" t="str">
        <f t="shared" si="76"/>
        <v>Kent7Residential Services (support for Social Care) (KCC)Residential PlacementsCare home</v>
      </c>
      <c r="O1229" t="s">
        <v>187</v>
      </c>
      <c r="P1229" t="s">
        <v>1437</v>
      </c>
      <c r="Q1229">
        <v>7</v>
      </c>
      <c r="R1229" t="s">
        <v>3523</v>
      </c>
      <c r="S1229" t="s">
        <v>3890</v>
      </c>
      <c r="T1229" t="s">
        <v>806</v>
      </c>
      <c r="U1229" t="s">
        <v>807</v>
      </c>
      <c r="W1229">
        <v>321</v>
      </c>
      <c r="X1229">
        <v>377</v>
      </c>
      <c r="Y1229" t="s">
        <v>808</v>
      </c>
      <c r="Z1229" t="s">
        <v>792</v>
      </c>
      <c r="AB1229" t="s">
        <v>793</v>
      </c>
      <c r="AD1229" t="s">
        <v>794</v>
      </c>
      <c r="AE1229" t="s">
        <v>804</v>
      </c>
      <c r="AF1229" t="s">
        <v>796</v>
      </c>
      <c r="AG1229" t="s">
        <v>797</v>
      </c>
      <c r="AH1229">
        <v>13642471</v>
      </c>
      <c r="AI1229">
        <v>14414635.699999999</v>
      </c>
      <c r="AJ1229">
        <v>4.3999999999999997E-2</v>
      </c>
    </row>
    <row r="1230" spans="1:36" x14ac:dyDescent="0.3">
      <c r="A1230">
        <f>COUNTIF($D$2:D1230,D1230)</f>
        <v>15</v>
      </c>
      <c r="B1230" t="str">
        <f t="shared" si="77"/>
        <v>15Leeds</v>
      </c>
      <c r="C1230" t="s">
        <v>3891</v>
      </c>
      <c r="D1230" t="s">
        <v>201</v>
      </c>
      <c r="E1230">
        <v>464</v>
      </c>
      <c r="F1230" t="s">
        <v>3892</v>
      </c>
      <c r="G1230" t="s">
        <v>806</v>
      </c>
      <c r="H1230" t="s">
        <v>955</v>
      </c>
      <c r="I1230" t="s">
        <v>808</v>
      </c>
      <c r="J1230">
        <f t="shared" ca="1" si="78"/>
        <v>546814</v>
      </c>
      <c r="K1230">
        <f t="shared" ca="1" si="79"/>
        <v>113.75</v>
      </c>
      <c r="N1230" t="str">
        <f t="shared" si="76"/>
        <v>Kent8Nursing Services (support for Social Care) (KCC)Residential PlacementsNursing home</v>
      </c>
      <c r="O1230" t="s">
        <v>187</v>
      </c>
      <c r="P1230" t="s">
        <v>1437</v>
      </c>
      <c r="Q1230">
        <v>8</v>
      </c>
      <c r="R1230" t="s">
        <v>3526</v>
      </c>
      <c r="S1230" t="s">
        <v>3893</v>
      </c>
      <c r="T1230" t="s">
        <v>806</v>
      </c>
      <c r="U1230" t="s">
        <v>917</v>
      </c>
      <c r="W1230">
        <v>117</v>
      </c>
      <c r="X1230">
        <v>117</v>
      </c>
      <c r="Y1230" t="s">
        <v>808</v>
      </c>
      <c r="Z1230" t="s">
        <v>792</v>
      </c>
      <c r="AB1230" t="s">
        <v>793</v>
      </c>
      <c r="AD1230" t="s">
        <v>794</v>
      </c>
      <c r="AE1230" t="s">
        <v>804</v>
      </c>
      <c r="AF1230" t="s">
        <v>796</v>
      </c>
      <c r="AG1230" t="s">
        <v>797</v>
      </c>
      <c r="AH1230">
        <v>6167100</v>
      </c>
      <c r="AI1230">
        <v>6516158</v>
      </c>
      <c r="AJ1230">
        <v>0.112</v>
      </c>
    </row>
    <row r="1231" spans="1:36" x14ac:dyDescent="0.3">
      <c r="A1231">
        <f>COUNTIF($D$2:D1231,D1231)</f>
        <v>1</v>
      </c>
      <c r="B1231" t="str">
        <f t="shared" si="77"/>
        <v>1Leicester</v>
      </c>
      <c r="C1231" t="s">
        <v>3894</v>
      </c>
      <c r="D1231" t="s">
        <v>203</v>
      </c>
      <c r="E1231">
        <v>1</v>
      </c>
      <c r="F1231" t="s">
        <v>3895</v>
      </c>
      <c r="G1231" t="s">
        <v>842</v>
      </c>
      <c r="H1231" t="s">
        <v>843</v>
      </c>
      <c r="I1231" t="s">
        <v>844</v>
      </c>
      <c r="J1231">
        <f t="shared" ca="1" si="78"/>
        <v>14587835</v>
      </c>
      <c r="K1231">
        <f t="shared" ca="1" si="79"/>
        <v>738999</v>
      </c>
      <c r="N1231" t="str">
        <f t="shared" si="76"/>
        <v>Kent11Enablement (support for Social Care) (KCC)Bed based intermediate Care Services (Reablement, rehabilitation, wider short-term services supporting recovery)Bed-based intermediate care with rehabilitation (to support discharge)</v>
      </c>
      <c r="O1231" t="s">
        <v>187</v>
      </c>
      <c r="P1231" t="s">
        <v>1437</v>
      </c>
      <c r="Q1231">
        <v>11</v>
      </c>
      <c r="R1231" t="s">
        <v>3520</v>
      </c>
      <c r="S1231" t="s">
        <v>3896</v>
      </c>
      <c r="T1231" t="s">
        <v>877</v>
      </c>
      <c r="U1231" t="s">
        <v>968</v>
      </c>
      <c r="W1231">
        <v>619</v>
      </c>
      <c r="X1231">
        <v>619</v>
      </c>
      <c r="Y1231" t="s">
        <v>879</v>
      </c>
      <c r="Z1231" t="s">
        <v>792</v>
      </c>
      <c r="AB1231" t="s">
        <v>793</v>
      </c>
      <c r="AD1231" t="s">
        <v>794</v>
      </c>
      <c r="AE1231" t="s">
        <v>804</v>
      </c>
      <c r="AF1231" t="s">
        <v>796</v>
      </c>
      <c r="AG1231" t="s">
        <v>797</v>
      </c>
      <c r="AH1231">
        <v>3116700</v>
      </c>
      <c r="AI1231">
        <v>3293105</v>
      </c>
      <c r="AJ1231">
        <v>0.621</v>
      </c>
    </row>
    <row r="1232" spans="1:36" x14ac:dyDescent="0.3">
      <c r="A1232">
        <f>COUNTIF($D$2:D1232,D1232)</f>
        <v>2</v>
      </c>
      <c r="B1232" t="str">
        <f t="shared" si="77"/>
        <v>2Leicester</v>
      </c>
      <c r="C1232" t="s">
        <v>3897</v>
      </c>
      <c r="D1232" t="s">
        <v>203</v>
      </c>
      <c r="E1232">
        <v>3</v>
      </c>
      <c r="F1232" t="s">
        <v>3898</v>
      </c>
      <c r="G1232" t="s">
        <v>787</v>
      </c>
      <c r="H1232" t="s">
        <v>788</v>
      </c>
      <c r="I1232" t="s">
        <v>789</v>
      </c>
      <c r="J1232">
        <f t="shared" ca="1" si="78"/>
        <v>1024610</v>
      </c>
      <c r="K1232">
        <f t="shared" ca="1" si="79"/>
        <v>683</v>
      </c>
      <c r="N1232" t="str">
        <f t="shared" si="76"/>
        <v>Kent12Residential Services (support for Social Care) (KCC)Residential PlacementsCare home</v>
      </c>
      <c r="O1232" t="s">
        <v>187</v>
      </c>
      <c r="P1232" t="s">
        <v>1437</v>
      </c>
      <c r="Q1232">
        <v>12</v>
      </c>
      <c r="R1232" t="s">
        <v>3523</v>
      </c>
      <c r="S1232" t="s">
        <v>3899</v>
      </c>
      <c r="T1232" t="s">
        <v>806</v>
      </c>
      <c r="U1232" t="s">
        <v>807</v>
      </c>
      <c r="W1232">
        <v>5</v>
      </c>
      <c r="X1232">
        <v>5</v>
      </c>
      <c r="Y1232" t="s">
        <v>808</v>
      </c>
      <c r="Z1232" t="s">
        <v>792</v>
      </c>
      <c r="AB1232" t="s">
        <v>793</v>
      </c>
      <c r="AD1232" t="s">
        <v>794</v>
      </c>
      <c r="AE1232" t="s">
        <v>804</v>
      </c>
      <c r="AF1232" t="s">
        <v>796</v>
      </c>
      <c r="AG1232" t="s">
        <v>797</v>
      </c>
      <c r="AH1232">
        <v>272600</v>
      </c>
      <c r="AI1232">
        <v>288029</v>
      </c>
      <c r="AJ1232">
        <v>1</v>
      </c>
    </row>
    <row r="1233" spans="1:36" x14ac:dyDescent="0.3">
      <c r="A1233">
        <f>COUNTIF($D$2:D1233,D1233)</f>
        <v>3</v>
      </c>
      <c r="B1233" t="str">
        <f t="shared" si="77"/>
        <v>3Leicester</v>
      </c>
      <c r="C1233" t="s">
        <v>3900</v>
      </c>
      <c r="D1233" t="s">
        <v>203</v>
      </c>
      <c r="E1233">
        <v>5</v>
      </c>
      <c r="F1233" t="s">
        <v>3901</v>
      </c>
      <c r="G1233" t="s">
        <v>800</v>
      </c>
      <c r="H1233" t="s">
        <v>850</v>
      </c>
      <c r="I1233" t="s">
        <v>802</v>
      </c>
      <c r="J1233">
        <f t="shared" ca="1" si="78"/>
        <v>395800</v>
      </c>
      <c r="K1233">
        <f t="shared" ca="1" si="79"/>
        <v>2039</v>
      </c>
      <c r="N1233" t="str">
        <f t="shared" si="76"/>
        <v>Kent13Residential Services (support for Social Care) (KCC)Residential PlacementsSupported housing</v>
      </c>
      <c r="O1233" t="s">
        <v>187</v>
      </c>
      <c r="P1233" t="s">
        <v>1437</v>
      </c>
      <c r="Q1233">
        <v>13</v>
      </c>
      <c r="R1233" t="s">
        <v>3523</v>
      </c>
      <c r="S1233" t="s">
        <v>3902</v>
      </c>
      <c r="T1233" t="s">
        <v>806</v>
      </c>
      <c r="U1233" t="s">
        <v>873</v>
      </c>
      <c r="W1233">
        <v>10</v>
      </c>
      <c r="X1233">
        <v>10</v>
      </c>
      <c r="Y1233" t="s">
        <v>808</v>
      </c>
      <c r="Z1233" t="s">
        <v>792</v>
      </c>
      <c r="AB1233" t="s">
        <v>793</v>
      </c>
      <c r="AD1233" t="s">
        <v>794</v>
      </c>
      <c r="AE1233" t="s">
        <v>804</v>
      </c>
      <c r="AF1233" t="s">
        <v>796</v>
      </c>
      <c r="AG1233" t="s">
        <v>797</v>
      </c>
      <c r="AH1233">
        <v>1307400</v>
      </c>
      <c r="AI1233">
        <v>1381399</v>
      </c>
      <c r="AJ1233">
        <v>1</v>
      </c>
    </row>
    <row r="1234" spans="1:36" x14ac:dyDescent="0.3">
      <c r="A1234">
        <f>COUNTIF($D$2:D1234,D1234)</f>
        <v>4</v>
      </c>
      <c r="B1234" t="str">
        <f t="shared" si="77"/>
        <v>4Leicester</v>
      </c>
      <c r="C1234" t="s">
        <v>3903</v>
      </c>
      <c r="D1234" t="s">
        <v>203</v>
      </c>
      <c r="E1234">
        <v>43</v>
      </c>
      <c r="F1234" t="s">
        <v>3904</v>
      </c>
      <c r="G1234" t="s">
        <v>877</v>
      </c>
      <c r="H1234" t="s">
        <v>878</v>
      </c>
      <c r="I1234" t="s">
        <v>879</v>
      </c>
      <c r="J1234" t="e">
        <f t="shared" si="78"/>
        <v>#VALUE!</v>
      </c>
      <c r="K1234" t="e">
        <f t="shared" si="79"/>
        <v>#VALUE!</v>
      </c>
      <c r="N1234" t="str">
        <f t="shared" si="76"/>
        <v>Kent14Assistive TechnologyAssistive Technologies and EquipmentAssistive technologies including telecare</v>
      </c>
      <c r="O1234" t="s">
        <v>187</v>
      </c>
      <c r="P1234" t="s">
        <v>1437</v>
      </c>
      <c r="Q1234">
        <v>14</v>
      </c>
      <c r="R1234" t="s">
        <v>1578</v>
      </c>
      <c r="S1234" t="s">
        <v>3905</v>
      </c>
      <c r="T1234" t="s">
        <v>800</v>
      </c>
      <c r="U1234" t="s">
        <v>850</v>
      </c>
      <c r="W1234">
        <v>1260</v>
      </c>
      <c r="X1234">
        <v>1400</v>
      </c>
      <c r="Y1234" t="s">
        <v>802</v>
      </c>
      <c r="Z1234" t="s">
        <v>792</v>
      </c>
      <c r="AB1234" t="s">
        <v>793</v>
      </c>
      <c r="AD1234" t="s">
        <v>794</v>
      </c>
      <c r="AE1234" t="s">
        <v>804</v>
      </c>
      <c r="AF1234" t="s">
        <v>796</v>
      </c>
      <c r="AG1234" t="s">
        <v>861</v>
      </c>
      <c r="AH1234">
        <v>509100</v>
      </c>
      <c r="AI1234">
        <v>599198</v>
      </c>
      <c r="AJ1234">
        <v>0.318</v>
      </c>
    </row>
    <row r="1235" spans="1:36" x14ac:dyDescent="0.3">
      <c r="A1235">
        <f>COUNTIF($D$2:D1235,D1235)</f>
        <v>5</v>
      </c>
      <c r="B1235" t="str">
        <f t="shared" si="77"/>
        <v>5Leicester</v>
      </c>
      <c r="C1235" t="s">
        <v>3906</v>
      </c>
      <c r="D1235" t="s">
        <v>203</v>
      </c>
      <c r="E1235">
        <v>44</v>
      </c>
      <c r="F1235" t="s">
        <v>3907</v>
      </c>
      <c r="G1235" t="s">
        <v>877</v>
      </c>
      <c r="H1235" t="s">
        <v>968</v>
      </c>
      <c r="I1235" t="s">
        <v>879</v>
      </c>
      <c r="J1235" t="e">
        <f t="shared" si="78"/>
        <v>#VALUE!</v>
      </c>
      <c r="K1235" t="e">
        <f t="shared" si="79"/>
        <v>#VALUE!</v>
      </c>
      <c r="N1235" t="str">
        <f t="shared" si="76"/>
        <v>Kent15DFG AdaptationsDFG Related SchemesAdaptations, including statutory DFG grants</v>
      </c>
      <c r="O1235" t="s">
        <v>187</v>
      </c>
      <c r="P1235" t="s">
        <v>1437</v>
      </c>
      <c r="Q1235">
        <v>15</v>
      </c>
      <c r="R1235" t="s">
        <v>1247</v>
      </c>
      <c r="S1235" t="s">
        <v>834</v>
      </c>
      <c r="T1235" t="s">
        <v>834</v>
      </c>
      <c r="U1235" t="s">
        <v>835</v>
      </c>
      <c r="W1235">
        <v>19411</v>
      </c>
      <c r="X1235">
        <v>19411</v>
      </c>
      <c r="Y1235" t="s">
        <v>836</v>
      </c>
      <c r="Z1235" t="s">
        <v>792</v>
      </c>
      <c r="AB1235" t="s">
        <v>793</v>
      </c>
      <c r="AD1235" t="s">
        <v>794</v>
      </c>
      <c r="AE1235" t="s">
        <v>795</v>
      </c>
      <c r="AF1235" t="s">
        <v>840</v>
      </c>
      <c r="AG1235" t="s">
        <v>797</v>
      </c>
      <c r="AH1235">
        <v>19155883</v>
      </c>
      <c r="AI1235">
        <v>19155883</v>
      </c>
      <c r="AJ1235">
        <v>1</v>
      </c>
    </row>
    <row r="1236" spans="1:36" x14ac:dyDescent="0.3">
      <c r="A1236">
        <f>COUNTIF($D$2:D1236,D1236)</f>
        <v>6</v>
      </c>
      <c r="B1236" t="str">
        <f t="shared" si="77"/>
        <v>6Leicester</v>
      </c>
      <c r="C1236" t="s">
        <v>3908</v>
      </c>
      <c r="D1236" t="s">
        <v>203</v>
      </c>
      <c r="E1236">
        <v>50</v>
      </c>
      <c r="F1236" t="s">
        <v>891</v>
      </c>
      <c r="G1236" t="s">
        <v>834</v>
      </c>
      <c r="H1236" t="s">
        <v>1293</v>
      </c>
      <c r="I1236" t="s">
        <v>836</v>
      </c>
      <c r="J1236">
        <f t="shared" ca="1" si="78"/>
        <v>2714004</v>
      </c>
      <c r="K1236">
        <f t="shared" ca="1" si="79"/>
        <v>2580</v>
      </c>
      <c r="N1236" t="str">
        <f t="shared" si="76"/>
        <v>Kent16Domiciliary Services (support for Social Care) (KCC)Home Care or Domiciliary CareDomiciliary care packages</v>
      </c>
      <c r="O1236" t="s">
        <v>187</v>
      </c>
      <c r="P1236" t="s">
        <v>1437</v>
      </c>
      <c r="Q1236">
        <v>16</v>
      </c>
      <c r="R1236" t="s">
        <v>3517</v>
      </c>
      <c r="S1236" t="s">
        <v>3884</v>
      </c>
      <c r="T1236" t="s">
        <v>842</v>
      </c>
      <c r="U1236" t="s">
        <v>843</v>
      </c>
      <c r="W1236">
        <v>507710</v>
      </c>
      <c r="X1236">
        <v>507710</v>
      </c>
      <c r="Y1236" t="s">
        <v>844</v>
      </c>
      <c r="Z1236" t="s">
        <v>792</v>
      </c>
      <c r="AB1236" t="s">
        <v>793</v>
      </c>
      <c r="AD1236" t="s">
        <v>794</v>
      </c>
      <c r="AE1236" t="s">
        <v>804</v>
      </c>
      <c r="AF1236" t="s">
        <v>845</v>
      </c>
      <c r="AG1236" t="s">
        <v>797</v>
      </c>
      <c r="AH1236">
        <v>13405548</v>
      </c>
      <c r="AI1236">
        <v>13405548</v>
      </c>
      <c r="AJ1236">
        <v>0.217</v>
      </c>
    </row>
    <row r="1237" spans="1:36" x14ac:dyDescent="0.3">
      <c r="A1237">
        <f>COUNTIF($D$2:D1237,D1237)</f>
        <v>1</v>
      </c>
      <c r="B1237" t="str">
        <f t="shared" si="77"/>
        <v>1Leicestershire</v>
      </c>
      <c r="C1237" t="s">
        <v>3909</v>
      </c>
      <c r="D1237" t="s">
        <v>205</v>
      </c>
      <c r="E1237">
        <v>1</v>
      </c>
      <c r="F1237" t="s">
        <v>3910</v>
      </c>
      <c r="G1237" t="s">
        <v>811</v>
      </c>
      <c r="H1237" t="s">
        <v>895</v>
      </c>
      <c r="I1237" t="s">
        <v>813</v>
      </c>
      <c r="J1237">
        <f t="shared" ca="1" si="78"/>
        <v>222600</v>
      </c>
      <c r="K1237">
        <f t="shared" ca="1" si="79"/>
        <v>3000</v>
      </c>
      <c r="N1237" t="str">
        <f t="shared" si="76"/>
        <v>Kent18Residential Services (support for Social Care) (KCC)Residential PlacementsCare home</v>
      </c>
      <c r="O1237" t="s">
        <v>187</v>
      </c>
      <c r="P1237" t="s">
        <v>1437</v>
      </c>
      <c r="Q1237">
        <v>18</v>
      </c>
      <c r="R1237" t="s">
        <v>3523</v>
      </c>
      <c r="S1237" t="s">
        <v>3890</v>
      </c>
      <c r="T1237" t="s">
        <v>806</v>
      </c>
      <c r="U1237" t="s">
        <v>807</v>
      </c>
      <c r="W1237">
        <v>618</v>
      </c>
      <c r="X1237">
        <v>618</v>
      </c>
      <c r="Y1237" t="s">
        <v>808</v>
      </c>
      <c r="Z1237" t="s">
        <v>792</v>
      </c>
      <c r="AB1237" t="s">
        <v>793</v>
      </c>
      <c r="AD1237" t="s">
        <v>794</v>
      </c>
      <c r="AE1237" t="s">
        <v>804</v>
      </c>
      <c r="AF1237" t="s">
        <v>845</v>
      </c>
      <c r="AG1237" t="s">
        <v>797</v>
      </c>
      <c r="AH1237">
        <v>26278161</v>
      </c>
      <c r="AI1237">
        <v>26278161</v>
      </c>
      <c r="AJ1237">
        <v>8.5000000000000006E-2</v>
      </c>
    </row>
    <row r="1238" spans="1:36" x14ac:dyDescent="0.3">
      <c r="A1238">
        <f>COUNTIF($D$2:D1238,D1238)</f>
        <v>2</v>
      </c>
      <c r="B1238" t="str">
        <f t="shared" si="77"/>
        <v>2Leicestershire</v>
      </c>
      <c r="C1238" t="s">
        <v>3911</v>
      </c>
      <c r="D1238" t="s">
        <v>205</v>
      </c>
      <c r="E1238">
        <v>6</v>
      </c>
      <c r="F1238" t="s">
        <v>3912</v>
      </c>
      <c r="G1238" t="s">
        <v>842</v>
      </c>
      <c r="H1238" t="s">
        <v>843</v>
      </c>
      <c r="I1238" t="s">
        <v>844</v>
      </c>
      <c r="J1238">
        <f t="shared" ca="1" si="78"/>
        <v>14189870</v>
      </c>
      <c r="K1238">
        <f t="shared" ca="1" si="79"/>
        <v>629263</v>
      </c>
      <c r="N1238" t="str">
        <f t="shared" si="76"/>
        <v>Kent19Nursing Services (support for Social Care) (KCC)Residential PlacementsNursing home</v>
      </c>
      <c r="O1238" t="s">
        <v>187</v>
      </c>
      <c r="P1238" t="s">
        <v>1437</v>
      </c>
      <c r="Q1238">
        <v>19</v>
      </c>
      <c r="R1238" t="s">
        <v>3526</v>
      </c>
      <c r="S1238" t="s">
        <v>3893</v>
      </c>
      <c r="T1238" t="s">
        <v>806</v>
      </c>
      <c r="U1238" t="s">
        <v>917</v>
      </c>
      <c r="W1238">
        <v>51</v>
      </c>
      <c r="X1238">
        <v>51</v>
      </c>
      <c r="Y1238" t="s">
        <v>808</v>
      </c>
      <c r="Z1238" t="s">
        <v>792</v>
      </c>
      <c r="AB1238" t="s">
        <v>793</v>
      </c>
      <c r="AD1238" t="s">
        <v>794</v>
      </c>
      <c r="AE1238" t="s">
        <v>804</v>
      </c>
      <c r="AF1238" t="s">
        <v>845</v>
      </c>
      <c r="AG1238" t="s">
        <v>797</v>
      </c>
      <c r="AH1238">
        <v>2687731</v>
      </c>
      <c r="AI1238">
        <v>2687731</v>
      </c>
      <c r="AJ1238">
        <v>4.9000000000000002E-2</v>
      </c>
    </row>
    <row r="1239" spans="1:36" x14ac:dyDescent="0.3">
      <c r="A1239">
        <f>COUNTIF($D$2:D1239,D1239)</f>
        <v>3</v>
      </c>
      <c r="B1239" t="str">
        <f t="shared" si="77"/>
        <v>3Leicestershire</v>
      </c>
      <c r="C1239" t="s">
        <v>3913</v>
      </c>
      <c r="D1239" t="s">
        <v>205</v>
      </c>
      <c r="E1239">
        <v>9</v>
      </c>
      <c r="F1239" t="s">
        <v>1160</v>
      </c>
      <c r="G1239" t="s">
        <v>800</v>
      </c>
      <c r="H1239" t="s">
        <v>850</v>
      </c>
      <c r="I1239" t="s">
        <v>802</v>
      </c>
      <c r="J1239">
        <f t="shared" ca="1" si="78"/>
        <v>1214000</v>
      </c>
      <c r="K1239">
        <f t="shared" ca="1" si="79"/>
        <v>1075</v>
      </c>
      <c r="N1239" t="str">
        <f t="shared" si="76"/>
        <v>Kent20MH - Supported LivingResidential PlacementsSupported housing</v>
      </c>
      <c r="O1239" t="s">
        <v>187</v>
      </c>
      <c r="P1239" t="s">
        <v>1437</v>
      </c>
      <c r="Q1239">
        <v>20</v>
      </c>
      <c r="R1239" t="s">
        <v>3543</v>
      </c>
      <c r="S1239" t="s">
        <v>3914</v>
      </c>
      <c r="T1239" t="s">
        <v>806</v>
      </c>
      <c r="U1239" t="s">
        <v>873</v>
      </c>
      <c r="W1239">
        <v>15</v>
      </c>
      <c r="X1239">
        <v>15</v>
      </c>
      <c r="Y1239" t="s">
        <v>808</v>
      </c>
      <c r="Z1239" t="s">
        <v>792</v>
      </c>
      <c r="AB1239" t="s">
        <v>793</v>
      </c>
      <c r="AD1239" t="s">
        <v>794</v>
      </c>
      <c r="AE1239" t="s">
        <v>804</v>
      </c>
      <c r="AF1239" t="s">
        <v>864</v>
      </c>
      <c r="AG1239" t="s">
        <v>797</v>
      </c>
      <c r="AH1239">
        <v>163600</v>
      </c>
      <c r="AI1239">
        <v>277000</v>
      </c>
      <c r="AJ1239">
        <v>0.01</v>
      </c>
    </row>
    <row r="1240" spans="1:36" x14ac:dyDescent="0.3">
      <c r="A1240">
        <f>COUNTIF($D$2:D1240,D1240)</f>
        <v>4</v>
      </c>
      <c r="B1240" t="str">
        <f t="shared" si="77"/>
        <v>4Leicestershire</v>
      </c>
      <c r="C1240" t="s">
        <v>3915</v>
      </c>
      <c r="D1240" t="s">
        <v>205</v>
      </c>
      <c r="E1240">
        <v>16</v>
      </c>
      <c r="F1240" t="s">
        <v>3916</v>
      </c>
      <c r="G1240" t="s">
        <v>787</v>
      </c>
      <c r="H1240" t="s">
        <v>930</v>
      </c>
      <c r="I1240" t="s">
        <v>789</v>
      </c>
      <c r="J1240">
        <f t="shared" ca="1" si="78"/>
        <v>877441.18760399998</v>
      </c>
      <c r="K1240">
        <f t="shared" ca="1" si="79"/>
        <v>4752</v>
      </c>
      <c r="N1240" t="str">
        <f t="shared" si="76"/>
        <v>Kent26ICES PoolAssistive Technologies and EquipmentCommunity based equipment</v>
      </c>
      <c r="O1240" t="s">
        <v>187</v>
      </c>
      <c r="P1240" t="s">
        <v>1437</v>
      </c>
      <c r="Q1240">
        <v>26</v>
      </c>
      <c r="R1240" t="s">
        <v>3546</v>
      </c>
      <c r="S1240" t="s">
        <v>3917</v>
      </c>
      <c r="T1240" t="s">
        <v>800</v>
      </c>
      <c r="U1240" t="s">
        <v>903</v>
      </c>
      <c r="W1240">
        <v>29299</v>
      </c>
      <c r="X1240">
        <v>30178</v>
      </c>
      <c r="Y1240" t="s">
        <v>802</v>
      </c>
      <c r="Z1240" t="s">
        <v>823</v>
      </c>
      <c r="AB1240" t="s">
        <v>824</v>
      </c>
      <c r="AD1240" t="s">
        <v>794</v>
      </c>
      <c r="AE1240" t="s">
        <v>804</v>
      </c>
      <c r="AF1240" t="s">
        <v>796</v>
      </c>
      <c r="AG1240" t="s">
        <v>797</v>
      </c>
      <c r="AH1240">
        <v>1619517</v>
      </c>
      <c r="AI1240">
        <v>1668102</v>
      </c>
      <c r="AJ1240">
        <v>0.01</v>
      </c>
    </row>
    <row r="1241" spans="1:36" x14ac:dyDescent="0.3">
      <c r="A1241">
        <f>COUNTIF($D$2:D1241,D1241)</f>
        <v>5</v>
      </c>
      <c r="B1241" t="str">
        <f t="shared" si="77"/>
        <v>5Leicestershire</v>
      </c>
      <c r="C1241" t="s">
        <v>3918</v>
      </c>
      <c r="D1241" t="s">
        <v>205</v>
      </c>
      <c r="E1241">
        <v>31</v>
      </c>
      <c r="F1241" t="s">
        <v>3919</v>
      </c>
      <c r="G1241" t="s">
        <v>842</v>
      </c>
      <c r="H1241" t="s">
        <v>843</v>
      </c>
      <c r="I1241" t="s">
        <v>844</v>
      </c>
      <c r="J1241">
        <f t="shared" ca="1" si="78"/>
        <v>14256446.216023097</v>
      </c>
      <c r="K1241">
        <f t="shared" ca="1" si="79"/>
        <v>632215</v>
      </c>
      <c r="N1241" t="str">
        <f t="shared" si="76"/>
        <v>Kent27Community Equipment - NRSAssistive Technologies and EquipmentCommunity based equipment</v>
      </c>
      <c r="O1241" t="s">
        <v>187</v>
      </c>
      <c r="P1241" t="s">
        <v>1437</v>
      </c>
      <c r="Q1241">
        <v>27</v>
      </c>
      <c r="R1241" t="s">
        <v>3548</v>
      </c>
      <c r="S1241" t="s">
        <v>3920</v>
      </c>
      <c r="T1241" t="s">
        <v>800</v>
      </c>
      <c r="U1241" t="s">
        <v>903</v>
      </c>
      <c r="W1241">
        <v>8834</v>
      </c>
      <c r="X1241">
        <v>9099</v>
      </c>
      <c r="Y1241" t="s">
        <v>802</v>
      </c>
      <c r="Z1241" t="s">
        <v>823</v>
      </c>
      <c r="AB1241" t="s">
        <v>824</v>
      </c>
      <c r="AD1241" t="s">
        <v>794</v>
      </c>
      <c r="AE1241" t="s">
        <v>804</v>
      </c>
      <c r="AF1241" t="s">
        <v>796</v>
      </c>
      <c r="AG1241" t="s">
        <v>797</v>
      </c>
      <c r="AH1241">
        <v>12600117</v>
      </c>
      <c r="AI1241">
        <v>12978120</v>
      </c>
      <c r="AJ1241">
        <v>0.06</v>
      </c>
    </row>
    <row r="1242" spans="1:36" x14ac:dyDescent="0.3">
      <c r="A1242">
        <f>COUNTIF($D$2:D1242,D1242)</f>
        <v>6</v>
      </c>
      <c r="B1242" t="str">
        <f t="shared" si="77"/>
        <v>6Leicestershire</v>
      </c>
      <c r="C1242" t="s">
        <v>3921</v>
      </c>
      <c r="D1242" t="s">
        <v>205</v>
      </c>
      <c r="E1242">
        <v>32</v>
      </c>
      <c r="F1242" t="s">
        <v>3922</v>
      </c>
      <c r="G1242" t="s">
        <v>806</v>
      </c>
      <c r="H1242" t="s">
        <v>917</v>
      </c>
      <c r="I1242" t="s">
        <v>808</v>
      </c>
      <c r="J1242">
        <f t="shared" ca="1" si="78"/>
        <v>4477873.0028541302</v>
      </c>
      <c r="K1242">
        <f t="shared" ca="1" si="79"/>
        <v>82</v>
      </c>
      <c r="N1242" t="str">
        <f t="shared" si="76"/>
        <v>Kent28Carers BreaksCarers ServicesRespite services</v>
      </c>
      <c r="O1242" t="s">
        <v>187</v>
      </c>
      <c r="P1242" t="s">
        <v>1437</v>
      </c>
      <c r="Q1242">
        <v>28</v>
      </c>
      <c r="R1242" t="s">
        <v>1834</v>
      </c>
      <c r="S1242" t="s">
        <v>3923</v>
      </c>
      <c r="T1242" t="s">
        <v>811</v>
      </c>
      <c r="U1242" t="s">
        <v>830</v>
      </c>
      <c r="W1242">
        <v>52</v>
      </c>
      <c r="X1242">
        <v>52</v>
      </c>
      <c r="Y1242" t="s">
        <v>813</v>
      </c>
      <c r="Z1242" t="s">
        <v>792</v>
      </c>
      <c r="AB1242" t="s">
        <v>824</v>
      </c>
      <c r="AD1242" t="s">
        <v>794</v>
      </c>
      <c r="AE1242" t="s">
        <v>795</v>
      </c>
      <c r="AF1242" t="s">
        <v>796</v>
      </c>
      <c r="AG1242" t="s">
        <v>797</v>
      </c>
      <c r="AH1242">
        <v>428293</v>
      </c>
      <c r="AI1242">
        <v>428293</v>
      </c>
      <c r="AJ1242">
        <v>0</v>
      </c>
    </row>
    <row r="1243" spans="1:36" x14ac:dyDescent="0.3">
      <c r="A1243">
        <f>COUNTIF($D$2:D1243,D1243)</f>
        <v>7</v>
      </c>
      <c r="B1243" t="str">
        <f t="shared" si="77"/>
        <v>7Leicestershire</v>
      </c>
      <c r="C1243" t="s">
        <v>3924</v>
      </c>
      <c r="D1243" t="s">
        <v>205</v>
      </c>
      <c r="E1243">
        <v>33</v>
      </c>
      <c r="F1243" t="s">
        <v>3925</v>
      </c>
      <c r="G1243" t="s">
        <v>811</v>
      </c>
      <c r="H1243" t="s">
        <v>830</v>
      </c>
      <c r="I1243" t="s">
        <v>813</v>
      </c>
      <c r="J1243">
        <f t="shared" ca="1" si="78"/>
        <v>923865.33049768291</v>
      </c>
      <c r="K1243">
        <f t="shared" ca="1" si="79"/>
        <v>140</v>
      </c>
      <c r="N1243" t="str">
        <f t="shared" si="76"/>
        <v>Kent29WestbrookBed based intermediate Care Services (Reablement, rehabilitation, wider short-term services supporting recovery)Bed-based intermediate care with reablement accepting step up and step down users</v>
      </c>
      <c r="O1243" t="s">
        <v>187</v>
      </c>
      <c r="P1243" t="s">
        <v>1437</v>
      </c>
      <c r="Q1243">
        <v>29</v>
      </c>
      <c r="R1243" t="s">
        <v>3552</v>
      </c>
      <c r="S1243" t="s">
        <v>3926</v>
      </c>
      <c r="T1243" t="s">
        <v>877</v>
      </c>
      <c r="U1243" t="s">
        <v>1259</v>
      </c>
      <c r="W1243">
        <v>29</v>
      </c>
      <c r="X1243">
        <v>29</v>
      </c>
      <c r="Y1243" t="s">
        <v>879</v>
      </c>
      <c r="Z1243" t="s">
        <v>823</v>
      </c>
      <c r="AB1243" t="s">
        <v>824</v>
      </c>
      <c r="AD1243" t="s">
        <v>794</v>
      </c>
      <c r="AE1243" t="s">
        <v>795</v>
      </c>
      <c r="AF1243" t="s">
        <v>796</v>
      </c>
      <c r="AG1243" t="s">
        <v>797</v>
      </c>
      <c r="AH1243">
        <v>1244065</v>
      </c>
      <c r="AI1243">
        <v>1244065</v>
      </c>
      <c r="AJ1243">
        <v>0.01</v>
      </c>
    </row>
    <row r="1244" spans="1:36" x14ac:dyDescent="0.3">
      <c r="A1244">
        <f>COUNTIF($D$2:D1244,D1244)</f>
        <v>8</v>
      </c>
      <c r="B1244" t="str">
        <f t="shared" si="77"/>
        <v>8Leicestershire</v>
      </c>
      <c r="C1244" t="s">
        <v>3927</v>
      </c>
      <c r="D1244" t="s">
        <v>205</v>
      </c>
      <c r="E1244">
        <v>39</v>
      </c>
      <c r="F1244" t="s">
        <v>3928</v>
      </c>
      <c r="G1244" t="s">
        <v>834</v>
      </c>
      <c r="H1244" t="s">
        <v>835</v>
      </c>
      <c r="I1244" t="s">
        <v>836</v>
      </c>
      <c r="J1244">
        <f t="shared" ca="1" si="78"/>
        <v>623445</v>
      </c>
      <c r="K1244">
        <f t="shared" ca="1" si="79"/>
        <v>140</v>
      </c>
      <c r="N1244" t="str">
        <f t="shared" si="76"/>
        <v>Kent30WestviewBed based intermediate Care Services (Reablement, rehabilitation, wider short-term services supporting recovery)Bed-based intermediate care with reablement accepting step up and step down users</v>
      </c>
      <c r="O1244" t="s">
        <v>187</v>
      </c>
      <c r="P1244" t="s">
        <v>1437</v>
      </c>
      <c r="Q1244">
        <v>30</v>
      </c>
      <c r="R1244" t="s">
        <v>3554</v>
      </c>
      <c r="S1244" t="s">
        <v>3929</v>
      </c>
      <c r="T1244" t="s">
        <v>877</v>
      </c>
      <c r="U1244" t="s">
        <v>1259</v>
      </c>
      <c r="W1244">
        <v>15</v>
      </c>
      <c r="X1244">
        <v>15</v>
      </c>
      <c r="Y1244" t="s">
        <v>879</v>
      </c>
      <c r="Z1244" t="s">
        <v>823</v>
      </c>
      <c r="AB1244" t="s">
        <v>824</v>
      </c>
      <c r="AD1244" t="s">
        <v>794</v>
      </c>
      <c r="AE1244" t="s">
        <v>795</v>
      </c>
      <c r="AF1244" t="s">
        <v>796</v>
      </c>
      <c r="AG1244" t="s">
        <v>797</v>
      </c>
      <c r="AH1244">
        <v>659720</v>
      </c>
      <c r="AI1244">
        <v>659720</v>
      </c>
      <c r="AJ1244">
        <v>0</v>
      </c>
    </row>
    <row r="1245" spans="1:36" x14ac:dyDescent="0.3">
      <c r="A1245">
        <f>COUNTIF($D$2:D1245,D1245)</f>
        <v>9</v>
      </c>
      <c r="B1245" t="str">
        <f t="shared" si="77"/>
        <v>9Leicestershire</v>
      </c>
      <c r="C1245" t="s">
        <v>3930</v>
      </c>
      <c r="D1245" t="s">
        <v>205</v>
      </c>
      <c r="E1245">
        <v>40</v>
      </c>
      <c r="F1245" t="s">
        <v>3931</v>
      </c>
      <c r="G1245" t="s">
        <v>834</v>
      </c>
      <c r="H1245" t="s">
        <v>835</v>
      </c>
      <c r="I1245" t="s">
        <v>836</v>
      </c>
      <c r="J1245">
        <f t="shared" ca="1" si="78"/>
        <v>836247</v>
      </c>
      <c r="K1245">
        <f t="shared" ca="1" si="79"/>
        <v>62</v>
      </c>
      <c r="N1245" t="str">
        <f t="shared" si="76"/>
        <v>Kent36Discharge to assessHome Care or Domiciliary CareDomiciliary care packages</v>
      </c>
      <c r="O1245" t="s">
        <v>187</v>
      </c>
      <c r="P1245" t="s">
        <v>1437</v>
      </c>
      <c r="Q1245">
        <v>36</v>
      </c>
      <c r="R1245" t="s">
        <v>3557</v>
      </c>
      <c r="S1245" t="s">
        <v>3932</v>
      </c>
      <c r="T1245" t="s">
        <v>842</v>
      </c>
      <c r="U1245" t="s">
        <v>843</v>
      </c>
      <c r="W1245">
        <v>1950</v>
      </c>
      <c r="X1245">
        <v>1950</v>
      </c>
      <c r="Y1245" t="s">
        <v>844</v>
      </c>
      <c r="Z1245" t="s">
        <v>823</v>
      </c>
      <c r="AB1245" t="s">
        <v>824</v>
      </c>
      <c r="AD1245" t="s">
        <v>794</v>
      </c>
      <c r="AE1245" t="s">
        <v>832</v>
      </c>
      <c r="AF1245" t="s">
        <v>796</v>
      </c>
      <c r="AG1245" t="s">
        <v>797</v>
      </c>
      <c r="AH1245">
        <v>1563429</v>
      </c>
      <c r="AI1245">
        <v>1563429</v>
      </c>
      <c r="AJ1245">
        <v>0.01</v>
      </c>
    </row>
    <row r="1246" spans="1:36" x14ac:dyDescent="0.3">
      <c r="A1246">
        <f>COUNTIF($D$2:D1246,D1246)</f>
        <v>10</v>
      </c>
      <c r="B1246" t="str">
        <f t="shared" si="77"/>
        <v>10Leicestershire</v>
      </c>
      <c r="C1246" t="s">
        <v>3933</v>
      </c>
      <c r="D1246" t="s">
        <v>205</v>
      </c>
      <c r="E1246">
        <v>41</v>
      </c>
      <c r="F1246" t="s">
        <v>3934</v>
      </c>
      <c r="G1246" t="s">
        <v>834</v>
      </c>
      <c r="H1246" t="s">
        <v>835</v>
      </c>
      <c r="I1246" t="s">
        <v>836</v>
      </c>
      <c r="J1246">
        <f t="shared" ca="1" si="78"/>
        <v>472005</v>
      </c>
      <c r="K1246">
        <f t="shared" ca="1" si="79"/>
        <v>87</v>
      </c>
      <c r="N1246" t="str">
        <f t="shared" si="76"/>
        <v>Kent38Health and Social Care Beds/Spot PurchaseBed based intermediate Care Services (Reablement, rehabilitation, wider short-term services supporting recovery)Bed-based intermediate care with rehabilitation (to support discharge)</v>
      </c>
      <c r="O1246" t="s">
        <v>187</v>
      </c>
      <c r="P1246" t="s">
        <v>1437</v>
      </c>
      <c r="Q1246">
        <v>38</v>
      </c>
      <c r="R1246" t="s">
        <v>3560</v>
      </c>
      <c r="S1246" t="s">
        <v>3935</v>
      </c>
      <c r="T1246" t="s">
        <v>877</v>
      </c>
      <c r="U1246" t="s">
        <v>968</v>
      </c>
      <c r="W1246">
        <v>852</v>
      </c>
      <c r="X1246">
        <v>852</v>
      </c>
      <c r="Y1246" t="s">
        <v>879</v>
      </c>
      <c r="Z1246" t="s">
        <v>823</v>
      </c>
      <c r="AB1246" t="s">
        <v>824</v>
      </c>
      <c r="AD1246" t="s">
        <v>794</v>
      </c>
      <c r="AE1246" t="s">
        <v>832</v>
      </c>
      <c r="AF1246" t="s">
        <v>796</v>
      </c>
      <c r="AG1246" t="s">
        <v>797</v>
      </c>
      <c r="AH1246">
        <v>3884059</v>
      </c>
      <c r="AI1246">
        <v>3884059</v>
      </c>
      <c r="AJ1246">
        <v>0.02</v>
      </c>
    </row>
    <row r="1247" spans="1:36" x14ac:dyDescent="0.3">
      <c r="A1247">
        <f>COUNTIF($D$2:D1247,D1247)</f>
        <v>11</v>
      </c>
      <c r="B1247" t="str">
        <f t="shared" si="77"/>
        <v>11Leicestershire</v>
      </c>
      <c r="C1247" t="s">
        <v>3936</v>
      </c>
      <c r="D1247" t="s">
        <v>205</v>
      </c>
      <c r="E1247">
        <v>42</v>
      </c>
      <c r="F1247" t="s">
        <v>3937</v>
      </c>
      <c r="G1247" t="s">
        <v>834</v>
      </c>
      <c r="H1247" t="s">
        <v>835</v>
      </c>
      <c r="I1247" t="s">
        <v>836</v>
      </c>
      <c r="J1247">
        <f t="shared" ca="1" si="78"/>
        <v>538575</v>
      </c>
      <c r="K1247">
        <f t="shared" ca="1" si="79"/>
        <v>75</v>
      </c>
      <c r="N1247" t="str">
        <f t="shared" si="76"/>
        <v>Kent40Intermediate CareBed based intermediate Care Services (Reablement, rehabilitation, wider short-term services supporting recovery)Bed-based intermediate care with reablement accepting step up and step down users</v>
      </c>
      <c r="O1247" t="s">
        <v>187</v>
      </c>
      <c r="P1247" t="s">
        <v>1437</v>
      </c>
      <c r="Q1247">
        <v>40</v>
      </c>
      <c r="R1247" t="s">
        <v>964</v>
      </c>
      <c r="S1247" t="s">
        <v>964</v>
      </c>
      <c r="T1247" t="s">
        <v>877</v>
      </c>
      <c r="U1247" t="s">
        <v>1259</v>
      </c>
      <c r="W1247">
        <v>683</v>
      </c>
      <c r="X1247">
        <v>683</v>
      </c>
      <c r="Y1247" t="s">
        <v>879</v>
      </c>
      <c r="Z1247" t="s">
        <v>823</v>
      </c>
      <c r="AB1247" t="s">
        <v>824</v>
      </c>
      <c r="AD1247" t="s">
        <v>794</v>
      </c>
      <c r="AE1247" t="s">
        <v>832</v>
      </c>
      <c r="AF1247" t="s">
        <v>796</v>
      </c>
      <c r="AG1247" t="s">
        <v>797</v>
      </c>
      <c r="AH1247">
        <v>3112376</v>
      </c>
      <c r="AI1247">
        <v>3112376</v>
      </c>
      <c r="AJ1247">
        <v>0.02</v>
      </c>
    </row>
    <row r="1248" spans="1:36" x14ac:dyDescent="0.3">
      <c r="A1248">
        <f>COUNTIF($D$2:D1248,D1248)</f>
        <v>12</v>
      </c>
      <c r="B1248" t="str">
        <f t="shared" si="77"/>
        <v>12Leicestershire</v>
      </c>
      <c r="C1248" t="s">
        <v>3938</v>
      </c>
      <c r="D1248" t="s">
        <v>205</v>
      </c>
      <c r="E1248">
        <v>43</v>
      </c>
      <c r="F1248" t="s">
        <v>3939</v>
      </c>
      <c r="G1248" t="s">
        <v>834</v>
      </c>
      <c r="H1248" t="s">
        <v>835</v>
      </c>
      <c r="I1248" t="s">
        <v>836</v>
      </c>
      <c r="J1248">
        <f t="shared" ca="1" si="78"/>
        <v>304350</v>
      </c>
      <c r="K1248">
        <f t="shared" ca="1" si="79"/>
        <v>38</v>
      </c>
      <c r="N1248" t="str">
        <f t="shared" si="76"/>
        <v>Kent42Community HospitalsBed based intermediate Care Services (Reablement, rehabilitation, wider short-term services supporting recovery)Bed-based intermediate care with reablement accepting step up and step down users</v>
      </c>
      <c r="O1248" t="s">
        <v>187</v>
      </c>
      <c r="P1248" t="s">
        <v>1437</v>
      </c>
      <c r="Q1248">
        <v>42</v>
      </c>
      <c r="R1248" t="s">
        <v>3565</v>
      </c>
      <c r="S1248" t="s">
        <v>3858</v>
      </c>
      <c r="T1248" t="s">
        <v>877</v>
      </c>
      <c r="U1248" t="s">
        <v>1259</v>
      </c>
      <c r="W1248">
        <v>1951</v>
      </c>
      <c r="X1248">
        <v>1951</v>
      </c>
      <c r="Y1248" t="s">
        <v>879</v>
      </c>
      <c r="Z1248" t="s">
        <v>823</v>
      </c>
      <c r="AB1248" t="s">
        <v>824</v>
      </c>
      <c r="AD1248" t="s">
        <v>794</v>
      </c>
      <c r="AE1248" t="s">
        <v>832</v>
      </c>
      <c r="AF1248" t="s">
        <v>796</v>
      </c>
      <c r="AG1248" t="s">
        <v>797</v>
      </c>
      <c r="AH1248">
        <v>8893241</v>
      </c>
      <c r="AI1248">
        <v>8893241</v>
      </c>
      <c r="AJ1248">
        <v>0.04</v>
      </c>
    </row>
    <row r="1249" spans="1:36" x14ac:dyDescent="0.3">
      <c r="A1249">
        <f>COUNTIF($D$2:D1249,D1249)</f>
        <v>13</v>
      </c>
      <c r="B1249" t="str">
        <f t="shared" si="77"/>
        <v>13Leicestershire</v>
      </c>
      <c r="C1249" t="s">
        <v>3940</v>
      </c>
      <c r="D1249" t="s">
        <v>205</v>
      </c>
      <c r="E1249">
        <v>44</v>
      </c>
      <c r="F1249" t="s">
        <v>3941</v>
      </c>
      <c r="G1249" t="s">
        <v>834</v>
      </c>
      <c r="H1249" t="s">
        <v>835</v>
      </c>
      <c r="I1249" t="s">
        <v>836</v>
      </c>
      <c r="J1249">
        <f t="shared" ca="1" si="78"/>
        <v>720214</v>
      </c>
      <c r="K1249">
        <f t="shared" ca="1" si="79"/>
        <v>51</v>
      </c>
      <c r="N1249" t="str">
        <f t="shared" si="76"/>
        <v xml:space="preserve">Kent43Reablement Schemes (OT)Home-based intermediate care servicesReablement at home (to support discharge) </v>
      </c>
      <c r="O1249" t="s">
        <v>187</v>
      </c>
      <c r="P1249" t="s">
        <v>1437</v>
      </c>
      <c r="Q1249">
        <v>43</v>
      </c>
      <c r="R1249" t="s">
        <v>3567</v>
      </c>
      <c r="S1249" t="s">
        <v>3942</v>
      </c>
      <c r="T1249" t="s">
        <v>787</v>
      </c>
      <c r="U1249" t="s">
        <v>788</v>
      </c>
      <c r="W1249">
        <v>260</v>
      </c>
      <c r="X1249">
        <v>260</v>
      </c>
      <c r="Y1249" t="s">
        <v>789</v>
      </c>
      <c r="Z1249" t="s">
        <v>823</v>
      </c>
      <c r="AB1249" t="s">
        <v>824</v>
      </c>
      <c r="AD1249" t="s">
        <v>794</v>
      </c>
      <c r="AE1249" t="s">
        <v>832</v>
      </c>
      <c r="AF1249" t="s">
        <v>796</v>
      </c>
      <c r="AG1249" t="s">
        <v>797</v>
      </c>
      <c r="AH1249">
        <v>1184976</v>
      </c>
      <c r="AI1249">
        <v>1184976</v>
      </c>
      <c r="AJ1249">
        <v>0.01</v>
      </c>
    </row>
    <row r="1250" spans="1:36" x14ac:dyDescent="0.3">
      <c r="A1250">
        <f>COUNTIF($D$2:D1250,D1250)</f>
        <v>14</v>
      </c>
      <c r="B1250" t="str">
        <f t="shared" si="77"/>
        <v>14Leicestershire</v>
      </c>
      <c r="C1250" t="s">
        <v>3943</v>
      </c>
      <c r="D1250" t="s">
        <v>205</v>
      </c>
      <c r="E1250">
        <v>45</v>
      </c>
      <c r="F1250" t="s">
        <v>3944</v>
      </c>
      <c r="G1250" t="s">
        <v>834</v>
      </c>
      <c r="H1250" t="s">
        <v>835</v>
      </c>
      <c r="I1250" t="s">
        <v>836</v>
      </c>
      <c r="J1250">
        <f t="shared" ca="1" si="78"/>
        <v>419872</v>
      </c>
      <c r="K1250">
        <f t="shared" ca="1" si="79"/>
        <v>66</v>
      </c>
      <c r="N1250" t="str">
        <f t="shared" si="76"/>
        <v>Kent46Rapid ResponseHome-based intermediate care servicesReablement at home (accepting step up and step down users)</v>
      </c>
      <c r="O1250" t="s">
        <v>187</v>
      </c>
      <c r="P1250" t="s">
        <v>1437</v>
      </c>
      <c r="Q1250">
        <v>46</v>
      </c>
      <c r="R1250" t="s">
        <v>3569</v>
      </c>
      <c r="S1250" t="s">
        <v>1399</v>
      </c>
      <c r="T1250" t="s">
        <v>787</v>
      </c>
      <c r="U1250" t="s">
        <v>930</v>
      </c>
      <c r="W1250">
        <v>575</v>
      </c>
      <c r="X1250">
        <v>575</v>
      </c>
      <c r="Y1250" t="s">
        <v>789</v>
      </c>
      <c r="Z1250" t="s">
        <v>792</v>
      </c>
      <c r="AB1250" t="s">
        <v>824</v>
      </c>
      <c r="AD1250" t="s">
        <v>794</v>
      </c>
      <c r="AE1250" t="s">
        <v>832</v>
      </c>
      <c r="AF1250" t="s">
        <v>796</v>
      </c>
      <c r="AG1250" t="s">
        <v>797</v>
      </c>
      <c r="AH1250">
        <v>2620826</v>
      </c>
      <c r="AI1250">
        <v>2620826</v>
      </c>
      <c r="AJ1250">
        <v>0.01</v>
      </c>
    </row>
    <row r="1251" spans="1:36" x14ac:dyDescent="0.3">
      <c r="A1251">
        <f>COUNTIF($D$2:D1251,D1251)</f>
        <v>15</v>
      </c>
      <c r="B1251" t="str">
        <f t="shared" si="77"/>
        <v>15Leicestershire</v>
      </c>
      <c r="C1251" t="s">
        <v>3945</v>
      </c>
      <c r="D1251" t="s">
        <v>205</v>
      </c>
      <c r="E1251">
        <v>46</v>
      </c>
      <c r="F1251" t="s">
        <v>3946</v>
      </c>
      <c r="G1251" t="s">
        <v>834</v>
      </c>
      <c r="H1251" t="s">
        <v>1293</v>
      </c>
      <c r="I1251" t="s">
        <v>836</v>
      </c>
      <c r="J1251">
        <f t="shared" ca="1" si="78"/>
        <v>115500</v>
      </c>
      <c r="K1251">
        <f t="shared" ca="1" si="79"/>
        <v>198</v>
      </c>
      <c r="N1251" t="str">
        <f t="shared" si="76"/>
        <v>Kent47Carers supportCarers ServicesRespite services</v>
      </c>
      <c r="O1251" t="s">
        <v>187</v>
      </c>
      <c r="P1251" t="s">
        <v>1437</v>
      </c>
      <c r="Q1251">
        <v>47</v>
      </c>
      <c r="R1251" t="s">
        <v>1399</v>
      </c>
      <c r="S1251" t="s">
        <v>1399</v>
      </c>
      <c r="T1251" t="s">
        <v>811</v>
      </c>
      <c r="U1251" t="s">
        <v>830</v>
      </c>
      <c r="W1251">
        <v>52</v>
      </c>
      <c r="X1251">
        <v>52</v>
      </c>
      <c r="Y1251" t="s">
        <v>813</v>
      </c>
      <c r="Z1251" t="s">
        <v>792</v>
      </c>
      <c r="AB1251" t="s">
        <v>824</v>
      </c>
      <c r="AD1251" t="s">
        <v>794</v>
      </c>
      <c r="AE1251" t="s">
        <v>832</v>
      </c>
      <c r="AF1251" t="s">
        <v>796</v>
      </c>
      <c r="AG1251" t="s">
        <v>797</v>
      </c>
      <c r="AH1251">
        <v>1338209</v>
      </c>
      <c r="AI1251">
        <v>1338209</v>
      </c>
      <c r="AJ1251">
        <v>0.01</v>
      </c>
    </row>
    <row r="1252" spans="1:36" x14ac:dyDescent="0.3">
      <c r="A1252">
        <f>COUNTIF($D$2:D1252,D1252)</f>
        <v>16</v>
      </c>
      <c r="B1252" t="str">
        <f t="shared" si="77"/>
        <v>16Leicestershire</v>
      </c>
      <c r="C1252" t="s">
        <v>3947</v>
      </c>
      <c r="D1252" t="s">
        <v>205</v>
      </c>
      <c r="E1252">
        <v>47</v>
      </c>
      <c r="F1252" t="s">
        <v>3948</v>
      </c>
      <c r="G1252" t="s">
        <v>834</v>
      </c>
      <c r="H1252" t="s">
        <v>1293</v>
      </c>
      <c r="I1252" t="s">
        <v>836</v>
      </c>
      <c r="J1252">
        <f t="shared" ca="1" si="78"/>
        <v>20020</v>
      </c>
      <c r="K1252">
        <f t="shared" ca="1" si="79"/>
        <v>20</v>
      </c>
      <c r="N1252" t="str">
        <f t="shared" si="76"/>
        <v>Kent52Funding D2A pathwaysResidential PlacementsExtra care</v>
      </c>
      <c r="O1252" t="s">
        <v>187</v>
      </c>
      <c r="P1252" t="s">
        <v>1437</v>
      </c>
      <c r="Q1252">
        <v>52</v>
      </c>
      <c r="R1252" t="s">
        <v>3573</v>
      </c>
      <c r="S1252" t="s">
        <v>3949</v>
      </c>
      <c r="T1252" t="s">
        <v>806</v>
      </c>
      <c r="U1252" t="s">
        <v>934</v>
      </c>
      <c r="W1252">
        <v>1778</v>
      </c>
      <c r="X1252">
        <v>2623</v>
      </c>
      <c r="Y1252" t="s">
        <v>808</v>
      </c>
      <c r="Z1252" t="s">
        <v>1061</v>
      </c>
      <c r="AB1252" t="s">
        <v>824</v>
      </c>
      <c r="AD1252" t="s">
        <v>794</v>
      </c>
      <c r="AE1252" t="s">
        <v>804</v>
      </c>
      <c r="AF1252" t="s">
        <v>796</v>
      </c>
      <c r="AG1252" t="s">
        <v>797</v>
      </c>
      <c r="AH1252">
        <v>8102868</v>
      </c>
      <c r="AI1252">
        <v>11955616</v>
      </c>
      <c r="AJ1252">
        <v>0.04</v>
      </c>
    </row>
    <row r="1253" spans="1:36" x14ac:dyDescent="0.3">
      <c r="A1253">
        <f>COUNTIF($D$2:D1253,D1253)</f>
        <v>17</v>
      </c>
      <c r="B1253" t="str">
        <f t="shared" si="77"/>
        <v>17Leicestershire</v>
      </c>
      <c r="C1253" t="s">
        <v>3950</v>
      </c>
      <c r="D1253" t="s">
        <v>205</v>
      </c>
      <c r="E1253">
        <v>48</v>
      </c>
      <c r="F1253" t="s">
        <v>3951</v>
      </c>
      <c r="G1253" t="s">
        <v>834</v>
      </c>
      <c r="H1253" t="s">
        <v>1293</v>
      </c>
      <c r="I1253" t="s">
        <v>836</v>
      </c>
      <c r="J1253">
        <f t="shared" ca="1" si="78"/>
        <v>250000</v>
      </c>
      <c r="K1253">
        <f t="shared" ca="1" si="79"/>
        <v>263</v>
      </c>
      <c r="N1253" t="str">
        <f t="shared" si="76"/>
        <v>Kent53P2 Reablement beds Bed based intermediate Care Services (Reablement, rehabilitation, wider short-term services supporting recovery)Bed-based intermediate care with rehabilitation (to support discharge)</v>
      </c>
      <c r="O1253" t="s">
        <v>187</v>
      </c>
      <c r="P1253" t="s">
        <v>1437</v>
      </c>
      <c r="Q1253">
        <v>53</v>
      </c>
      <c r="R1253" t="s">
        <v>3575</v>
      </c>
      <c r="S1253" t="s">
        <v>3952</v>
      </c>
      <c r="T1253" t="s">
        <v>877</v>
      </c>
      <c r="U1253" t="s">
        <v>968</v>
      </c>
      <c r="W1253">
        <v>173</v>
      </c>
      <c r="X1253">
        <v>282</v>
      </c>
      <c r="Y1253" t="s">
        <v>879</v>
      </c>
      <c r="Z1253" t="s">
        <v>823</v>
      </c>
      <c r="AA1253" t="s">
        <v>750</v>
      </c>
      <c r="AB1253" t="s">
        <v>824</v>
      </c>
      <c r="AD1253" t="s">
        <v>794</v>
      </c>
      <c r="AE1253" t="s">
        <v>804</v>
      </c>
      <c r="AF1253" t="s">
        <v>860</v>
      </c>
      <c r="AG1253" t="s">
        <v>861</v>
      </c>
      <c r="AH1253">
        <v>1220000</v>
      </c>
      <c r="AI1253">
        <v>1999580</v>
      </c>
      <c r="AJ1253">
        <v>1</v>
      </c>
    </row>
    <row r="1254" spans="1:36" x14ac:dyDescent="0.3">
      <c r="A1254">
        <f>COUNTIF($D$2:D1254,D1254)</f>
        <v>18</v>
      </c>
      <c r="B1254" t="str">
        <f t="shared" si="77"/>
        <v>18Leicestershire</v>
      </c>
      <c r="C1254" t="s">
        <v>3953</v>
      </c>
      <c r="D1254" t="s">
        <v>205</v>
      </c>
      <c r="E1254">
        <v>50</v>
      </c>
      <c r="F1254" t="s">
        <v>3954</v>
      </c>
      <c r="G1254" t="s">
        <v>787</v>
      </c>
      <c r="H1254" t="s">
        <v>788</v>
      </c>
      <c r="I1254" t="s">
        <v>789</v>
      </c>
      <c r="J1254">
        <f t="shared" ca="1" si="78"/>
        <v>773600</v>
      </c>
      <c r="K1254">
        <f t="shared" ca="1" si="79"/>
        <v>3398</v>
      </c>
      <c r="N1254" t="str">
        <f t="shared" si="76"/>
        <v xml:space="preserve">Kent56P1 D2A CapacityHome-based intermediate care servicesReablement at home (to support discharge) </v>
      </c>
      <c r="O1254" t="s">
        <v>187</v>
      </c>
      <c r="P1254" t="s">
        <v>1437</v>
      </c>
      <c r="Q1254">
        <v>56</v>
      </c>
      <c r="R1254" t="s">
        <v>3578</v>
      </c>
      <c r="S1254" t="s">
        <v>3955</v>
      </c>
      <c r="T1254" t="s">
        <v>787</v>
      </c>
      <c r="U1254" t="s">
        <v>788</v>
      </c>
      <c r="W1254">
        <v>55</v>
      </c>
      <c r="X1254">
        <v>88</v>
      </c>
      <c r="Y1254" t="s">
        <v>789</v>
      </c>
      <c r="Z1254" t="s">
        <v>792</v>
      </c>
      <c r="AA1254" t="s">
        <v>750</v>
      </c>
      <c r="AB1254" t="s">
        <v>824</v>
      </c>
      <c r="AD1254" t="s">
        <v>794</v>
      </c>
      <c r="AE1254" t="s">
        <v>804</v>
      </c>
      <c r="AF1254" t="s">
        <v>860</v>
      </c>
      <c r="AG1254" t="s">
        <v>861</v>
      </c>
      <c r="AH1254">
        <v>1546495</v>
      </c>
      <c r="AI1254">
        <v>2535477.2000000002</v>
      </c>
      <c r="AJ1254">
        <v>1</v>
      </c>
    </row>
    <row r="1255" spans="1:36" x14ac:dyDescent="0.3">
      <c r="A1255">
        <f>COUNTIF($D$2:D1255,D1255)</f>
        <v>19</v>
      </c>
      <c r="B1255" t="str">
        <f t="shared" si="77"/>
        <v>19Leicestershire</v>
      </c>
      <c r="C1255" t="s">
        <v>3956</v>
      </c>
      <c r="D1255" t="s">
        <v>205</v>
      </c>
      <c r="E1255">
        <v>55</v>
      </c>
      <c r="F1255" t="s">
        <v>3957</v>
      </c>
      <c r="G1255" t="s">
        <v>877</v>
      </c>
      <c r="H1255" t="s">
        <v>878</v>
      </c>
      <c r="I1255" t="s">
        <v>879</v>
      </c>
      <c r="J1255">
        <f t="shared" ca="1" si="78"/>
        <v>567014.83174400008</v>
      </c>
      <c r="K1255">
        <f t="shared" ca="1" si="79"/>
        <v>560</v>
      </c>
      <c r="N1255" t="str">
        <f t="shared" si="76"/>
        <v>Kent58Short term pathways transformation: Carers ServicesOther</v>
      </c>
      <c r="O1255" t="s">
        <v>187</v>
      </c>
      <c r="P1255" t="s">
        <v>1437</v>
      </c>
      <c r="Q1255">
        <v>58</v>
      </c>
      <c r="R1255" t="s">
        <v>3581</v>
      </c>
      <c r="S1255" t="s">
        <v>3958</v>
      </c>
      <c r="T1255" t="s">
        <v>811</v>
      </c>
      <c r="U1255" t="s">
        <v>812</v>
      </c>
      <c r="W1255">
        <v>36</v>
      </c>
      <c r="X1255">
        <v>58</v>
      </c>
      <c r="Y1255" t="s">
        <v>813</v>
      </c>
      <c r="Z1255" t="s">
        <v>812</v>
      </c>
      <c r="AA1255" t="s">
        <v>3959</v>
      </c>
      <c r="AB1255" t="s">
        <v>824</v>
      </c>
      <c r="AD1255" t="s">
        <v>794</v>
      </c>
      <c r="AE1255" t="s">
        <v>804</v>
      </c>
      <c r="AF1255" t="s">
        <v>860</v>
      </c>
      <c r="AG1255" t="s">
        <v>861</v>
      </c>
      <c r="AH1255">
        <v>740856</v>
      </c>
      <c r="AI1255">
        <v>1214263</v>
      </c>
      <c r="AJ1255">
        <v>1</v>
      </c>
    </row>
    <row r="1256" spans="1:36" x14ac:dyDescent="0.3">
      <c r="A1256">
        <f>COUNTIF($D$2:D1256,D1256)</f>
        <v>20</v>
      </c>
      <c r="B1256" t="str">
        <f t="shared" si="77"/>
        <v>20Leicestershire</v>
      </c>
      <c r="C1256" t="s">
        <v>3960</v>
      </c>
      <c r="D1256" t="s">
        <v>205</v>
      </c>
      <c r="E1256">
        <v>58</v>
      </c>
      <c r="F1256" t="s">
        <v>3961</v>
      </c>
      <c r="G1256" t="s">
        <v>811</v>
      </c>
      <c r="H1256" t="s">
        <v>830</v>
      </c>
      <c r="I1256" t="s">
        <v>813</v>
      </c>
      <c r="J1256">
        <f t="shared" ca="1" si="78"/>
        <v>968046.01264828572</v>
      </c>
      <c r="K1256">
        <f t="shared" ca="1" si="79"/>
        <v>133</v>
      </c>
      <c r="N1256" t="str">
        <f t="shared" si="76"/>
        <v>Kent64Community BedsBed based intermediate Care Services (Reablement, rehabilitation, wider short-term services supporting recovery)Bed-based intermediate care with reablement (to support discharge)</v>
      </c>
      <c r="O1256" t="s">
        <v>187</v>
      </c>
      <c r="P1256" t="s">
        <v>1437</v>
      </c>
      <c r="Q1256">
        <v>64</v>
      </c>
      <c r="R1256" t="s">
        <v>2959</v>
      </c>
      <c r="S1256" t="s">
        <v>3962</v>
      </c>
      <c r="T1256" t="s">
        <v>877</v>
      </c>
      <c r="U1256" t="s">
        <v>878</v>
      </c>
      <c r="W1256">
        <v>16</v>
      </c>
      <c r="X1256">
        <v>26</v>
      </c>
      <c r="Y1256" t="s">
        <v>879</v>
      </c>
      <c r="Z1256" t="s">
        <v>823</v>
      </c>
      <c r="AA1256" t="s">
        <v>750</v>
      </c>
      <c r="AB1256" t="s">
        <v>824</v>
      </c>
      <c r="AD1256" t="s">
        <v>794</v>
      </c>
      <c r="AE1256" t="s">
        <v>804</v>
      </c>
      <c r="AF1256" t="s">
        <v>860</v>
      </c>
      <c r="AG1256" t="s">
        <v>861</v>
      </c>
      <c r="AH1256">
        <v>621000</v>
      </c>
      <c r="AI1256">
        <v>1017819</v>
      </c>
      <c r="AJ1256">
        <v>1</v>
      </c>
    </row>
    <row r="1257" spans="1:36" x14ac:dyDescent="0.3">
      <c r="A1257">
        <f>COUNTIF($D$2:D1257,D1257)</f>
        <v>21</v>
      </c>
      <c r="B1257" t="str">
        <f t="shared" si="77"/>
        <v>21Leicestershire</v>
      </c>
      <c r="C1257" t="s">
        <v>3963</v>
      </c>
      <c r="D1257" t="s">
        <v>205</v>
      </c>
      <c r="E1257">
        <v>65</v>
      </c>
      <c r="F1257" t="s">
        <v>3964</v>
      </c>
      <c r="G1257" t="s">
        <v>877</v>
      </c>
      <c r="H1257" t="s">
        <v>968</v>
      </c>
      <c r="I1257" t="s">
        <v>879</v>
      </c>
      <c r="J1257">
        <f t="shared" ca="1" si="78"/>
        <v>190723</v>
      </c>
      <c r="K1257">
        <f t="shared" ca="1" si="79"/>
        <v>72</v>
      </c>
      <c r="N1257" t="str">
        <f t="shared" si="76"/>
        <v>Kingston upon Hull, City of2Telecare &amp; TelehealthAssistive Technologies and EquipmentAssistive technologies including telecare</v>
      </c>
      <c r="O1257" t="s">
        <v>189</v>
      </c>
      <c r="P1257" t="s">
        <v>922</v>
      </c>
      <c r="Q1257">
        <v>2</v>
      </c>
      <c r="R1257" t="s">
        <v>3586</v>
      </c>
      <c r="S1257" t="s">
        <v>3965</v>
      </c>
      <c r="T1257" t="s">
        <v>800</v>
      </c>
      <c r="U1257" t="s">
        <v>850</v>
      </c>
      <c r="W1257">
        <v>2171</v>
      </c>
      <c r="X1257">
        <v>2310</v>
      </c>
      <c r="Y1257" t="s">
        <v>802</v>
      </c>
      <c r="Z1257" t="s">
        <v>823</v>
      </c>
      <c r="AB1257" t="s">
        <v>824</v>
      </c>
      <c r="AD1257" t="s">
        <v>794</v>
      </c>
      <c r="AE1257" t="s">
        <v>804</v>
      </c>
      <c r="AF1257" t="s">
        <v>796</v>
      </c>
      <c r="AG1257" t="s">
        <v>797</v>
      </c>
      <c r="AH1257">
        <v>797880</v>
      </c>
      <c r="AI1257">
        <v>811988</v>
      </c>
      <c r="AJ1257">
        <v>1.3013666212966749E-2</v>
      </c>
    </row>
    <row r="1258" spans="1:36" x14ac:dyDescent="0.3">
      <c r="A1258">
        <f>COUNTIF($D$2:D1258,D1258)</f>
        <v>22</v>
      </c>
      <c r="B1258" t="str">
        <f t="shared" si="77"/>
        <v>22Leicestershire</v>
      </c>
      <c r="C1258" t="s">
        <v>3966</v>
      </c>
      <c r="D1258" t="s">
        <v>205</v>
      </c>
      <c r="E1258">
        <v>66</v>
      </c>
      <c r="F1258" t="s">
        <v>3967</v>
      </c>
      <c r="G1258" t="s">
        <v>877</v>
      </c>
      <c r="H1258" t="s">
        <v>968</v>
      </c>
      <c r="I1258" t="s">
        <v>879</v>
      </c>
      <c r="J1258">
        <f t="shared" ca="1" si="78"/>
        <v>235894</v>
      </c>
      <c r="K1258">
        <f t="shared" ca="1" si="79"/>
        <v>72</v>
      </c>
      <c r="N1258" t="str">
        <f t="shared" si="76"/>
        <v>Kingston upon Hull, City of7OPMH Team serviceBed based intermediate Care Services (Reablement, rehabilitation, wider short-term services supporting recovery)Other</v>
      </c>
      <c r="O1258" t="s">
        <v>189</v>
      </c>
      <c r="P1258" t="s">
        <v>922</v>
      </c>
      <c r="Q1258">
        <v>7</v>
      </c>
      <c r="R1258" t="s">
        <v>3589</v>
      </c>
      <c r="S1258" t="s">
        <v>3968</v>
      </c>
      <c r="T1258" t="s">
        <v>877</v>
      </c>
      <c r="U1258" t="s">
        <v>812</v>
      </c>
      <c r="V1258" t="s">
        <v>3969</v>
      </c>
      <c r="W1258">
        <v>120</v>
      </c>
      <c r="X1258">
        <v>120</v>
      </c>
      <c r="Y1258" t="s">
        <v>879</v>
      </c>
      <c r="Z1258" t="s">
        <v>1006</v>
      </c>
      <c r="AB1258" t="s">
        <v>824</v>
      </c>
      <c r="AD1258" t="s">
        <v>794</v>
      </c>
      <c r="AE1258" t="s">
        <v>1107</v>
      </c>
      <c r="AF1258" t="s">
        <v>796</v>
      </c>
      <c r="AG1258" t="s">
        <v>797</v>
      </c>
      <c r="AH1258">
        <v>389100</v>
      </c>
      <c r="AI1258">
        <v>396692</v>
      </c>
      <c r="AJ1258">
        <v>6.3518905651475822E-3</v>
      </c>
    </row>
    <row r="1259" spans="1:36" x14ac:dyDescent="0.3">
      <c r="A1259">
        <f>COUNTIF($D$2:D1259,D1259)</f>
        <v>23</v>
      </c>
      <c r="B1259" t="str">
        <f t="shared" si="77"/>
        <v>23Leicestershire</v>
      </c>
      <c r="C1259" t="s">
        <v>3970</v>
      </c>
      <c r="D1259" t="s">
        <v>205</v>
      </c>
      <c r="E1259">
        <v>67</v>
      </c>
      <c r="F1259" t="s">
        <v>3971</v>
      </c>
      <c r="G1259" t="s">
        <v>877</v>
      </c>
      <c r="H1259" t="s">
        <v>968</v>
      </c>
      <c r="I1259" t="s">
        <v>879</v>
      </c>
      <c r="J1259">
        <f t="shared" ca="1" si="78"/>
        <v>587226</v>
      </c>
      <c r="K1259">
        <f t="shared" ca="1" si="79"/>
        <v>300</v>
      </c>
      <c r="N1259" t="str">
        <f t="shared" si="76"/>
        <v>Kingston upon Hull, City of8Support for CarersCarers ServicesOther</v>
      </c>
      <c r="O1259" t="s">
        <v>189</v>
      </c>
      <c r="P1259" t="s">
        <v>922</v>
      </c>
      <c r="Q1259">
        <v>8</v>
      </c>
      <c r="R1259" t="s">
        <v>3592</v>
      </c>
      <c r="S1259" t="s">
        <v>3972</v>
      </c>
      <c r="T1259" t="s">
        <v>811</v>
      </c>
      <c r="U1259" t="s">
        <v>812</v>
      </c>
      <c r="V1259" t="s">
        <v>2548</v>
      </c>
      <c r="W1259">
        <v>17491</v>
      </c>
      <c r="X1259">
        <v>17491</v>
      </c>
      <c r="Y1259" t="s">
        <v>813</v>
      </c>
      <c r="Z1259" t="s">
        <v>792</v>
      </c>
      <c r="AB1259" t="s">
        <v>824</v>
      </c>
      <c r="AD1259" t="s">
        <v>794</v>
      </c>
      <c r="AE1259" t="s">
        <v>804</v>
      </c>
      <c r="AF1259" t="s">
        <v>796</v>
      </c>
      <c r="AG1259" t="s">
        <v>797</v>
      </c>
      <c r="AH1259">
        <v>449896</v>
      </c>
      <c r="AI1259">
        <v>459686</v>
      </c>
      <c r="AJ1259">
        <v>7.3522471890075693E-3</v>
      </c>
    </row>
    <row r="1260" spans="1:36" x14ac:dyDescent="0.3">
      <c r="A1260">
        <f>COUNTIF($D$2:D1260,D1260)</f>
        <v>24</v>
      </c>
      <c r="B1260" t="str">
        <f t="shared" si="77"/>
        <v>24Leicestershire</v>
      </c>
      <c r="C1260" t="s">
        <v>3973</v>
      </c>
      <c r="D1260" t="s">
        <v>205</v>
      </c>
      <c r="E1260">
        <v>68</v>
      </c>
      <c r="F1260" t="s">
        <v>3904</v>
      </c>
      <c r="G1260" t="s">
        <v>877</v>
      </c>
      <c r="H1260" t="s">
        <v>878</v>
      </c>
      <c r="I1260" t="s">
        <v>879</v>
      </c>
      <c r="J1260" t="e">
        <f t="shared" si="78"/>
        <v>#VALUE!</v>
      </c>
      <c r="K1260" t="e">
        <f t="shared" si="79"/>
        <v>#VALUE!</v>
      </c>
      <c r="N1260" t="str">
        <f t="shared" si="76"/>
        <v>Kingston upon Hull, City of8Support for CarersCarers ServicesOther</v>
      </c>
      <c r="O1260" t="s">
        <v>189</v>
      </c>
      <c r="P1260" t="s">
        <v>922</v>
      </c>
      <c r="Q1260">
        <v>8</v>
      </c>
      <c r="R1260" t="s">
        <v>3592</v>
      </c>
      <c r="S1260" t="s">
        <v>3972</v>
      </c>
      <c r="T1260" t="s">
        <v>811</v>
      </c>
      <c r="U1260" t="s">
        <v>812</v>
      </c>
      <c r="V1260" t="s">
        <v>2548</v>
      </c>
      <c r="W1260">
        <v>4018</v>
      </c>
      <c r="X1260">
        <v>4018</v>
      </c>
      <c r="Y1260" t="s">
        <v>813</v>
      </c>
      <c r="Z1260" t="s">
        <v>792</v>
      </c>
      <c r="AB1260" t="s">
        <v>824</v>
      </c>
      <c r="AD1260" t="s">
        <v>794</v>
      </c>
      <c r="AE1260" t="s">
        <v>804</v>
      </c>
      <c r="AF1260" t="s">
        <v>1029</v>
      </c>
      <c r="AG1260" t="s">
        <v>797</v>
      </c>
      <c r="AH1260">
        <v>103760</v>
      </c>
      <c r="AI1260">
        <v>103760</v>
      </c>
      <c r="AJ1260">
        <v>1.6780536799925797E-3</v>
      </c>
    </row>
    <row r="1261" spans="1:36" x14ac:dyDescent="0.3">
      <c r="A1261">
        <f>COUNTIF($D$2:D1261,D1261)</f>
        <v>25</v>
      </c>
      <c r="B1261" t="str">
        <f t="shared" si="77"/>
        <v>25Leicestershire</v>
      </c>
      <c r="C1261" t="s">
        <v>3974</v>
      </c>
      <c r="D1261" t="s">
        <v>205</v>
      </c>
      <c r="E1261">
        <v>69</v>
      </c>
      <c r="F1261" t="s">
        <v>3907</v>
      </c>
      <c r="G1261" t="s">
        <v>877</v>
      </c>
      <c r="H1261" t="s">
        <v>968</v>
      </c>
      <c r="I1261" t="s">
        <v>879</v>
      </c>
      <c r="J1261" t="e">
        <f t="shared" si="78"/>
        <v>#VALUE!</v>
      </c>
      <c r="K1261" t="e">
        <f t="shared" si="79"/>
        <v>#VALUE!</v>
      </c>
      <c r="N1261" t="str">
        <f t="shared" si="76"/>
        <v>Kingston upon Hull, City of10Stroke rehabilitation bedsResidential PlacementsOther</v>
      </c>
      <c r="O1261" t="s">
        <v>189</v>
      </c>
      <c r="P1261" t="s">
        <v>922</v>
      </c>
      <c r="Q1261">
        <v>10</v>
      </c>
      <c r="R1261" t="s">
        <v>3595</v>
      </c>
      <c r="S1261" t="s">
        <v>3975</v>
      </c>
      <c r="T1261" t="s">
        <v>806</v>
      </c>
      <c r="U1261" t="s">
        <v>812</v>
      </c>
      <c r="V1261" t="s">
        <v>3595</v>
      </c>
      <c r="W1261">
        <v>17</v>
      </c>
      <c r="X1261">
        <v>17</v>
      </c>
      <c r="Y1261" t="s">
        <v>808</v>
      </c>
      <c r="Z1261" t="s">
        <v>823</v>
      </c>
      <c r="AB1261" t="s">
        <v>824</v>
      </c>
      <c r="AD1261" t="s">
        <v>794</v>
      </c>
      <c r="AE1261" t="s">
        <v>804</v>
      </c>
      <c r="AF1261" t="s">
        <v>796</v>
      </c>
      <c r="AG1261" t="s">
        <v>797</v>
      </c>
      <c r="AH1261">
        <v>565554</v>
      </c>
      <c r="AI1261">
        <v>575554</v>
      </c>
      <c r="AJ1261">
        <v>9.2243579260694944E-3</v>
      </c>
    </row>
    <row r="1262" spans="1:36" x14ac:dyDescent="0.3">
      <c r="A1262">
        <f>COUNTIF($D$2:D1262,D1262)</f>
        <v>26</v>
      </c>
      <c r="B1262" t="str">
        <f t="shared" si="77"/>
        <v>26Leicestershire</v>
      </c>
      <c r="C1262" t="s">
        <v>3976</v>
      </c>
      <c r="D1262" t="s">
        <v>205</v>
      </c>
      <c r="E1262">
        <v>78</v>
      </c>
      <c r="F1262" t="s">
        <v>3977</v>
      </c>
      <c r="G1262" t="s">
        <v>811</v>
      </c>
      <c r="H1262" t="s">
        <v>895</v>
      </c>
      <c r="I1262" t="s">
        <v>813</v>
      </c>
      <c r="J1262">
        <f t="shared" ca="1" si="78"/>
        <v>525000</v>
      </c>
      <c r="K1262">
        <f t="shared" ca="1" si="79"/>
        <v>552</v>
      </c>
      <c r="N1262" t="str">
        <f t="shared" si="76"/>
        <v>Kingston upon Hull, City of12Highfield intermediate careBed based intermediate Care Services (Reablement, rehabilitation, wider short-term services supporting recovery)Bed-based intermediate care with rehabilitation accepting step up and step down users</v>
      </c>
      <c r="O1262" t="s">
        <v>189</v>
      </c>
      <c r="P1262" t="s">
        <v>922</v>
      </c>
      <c r="Q1262">
        <v>12</v>
      </c>
      <c r="R1262" t="s">
        <v>3597</v>
      </c>
      <c r="S1262" t="s">
        <v>3978</v>
      </c>
      <c r="T1262" t="s">
        <v>877</v>
      </c>
      <c r="U1262" t="s">
        <v>1015</v>
      </c>
      <c r="W1262">
        <v>20</v>
      </c>
      <c r="X1262">
        <v>20</v>
      </c>
      <c r="Y1262" t="s">
        <v>879</v>
      </c>
      <c r="Z1262" t="s">
        <v>792</v>
      </c>
      <c r="AB1262" t="s">
        <v>824</v>
      </c>
      <c r="AD1262" t="s">
        <v>794</v>
      </c>
      <c r="AE1262" t="s">
        <v>804</v>
      </c>
      <c r="AF1262" t="s">
        <v>796</v>
      </c>
      <c r="AG1262" t="s">
        <v>797</v>
      </c>
      <c r="AH1262">
        <v>1633654</v>
      </c>
      <c r="AI1262">
        <v>1662540</v>
      </c>
      <c r="AJ1262">
        <v>2.6645394843535911E-2</v>
      </c>
    </row>
    <row r="1263" spans="1:36" x14ac:dyDescent="0.3">
      <c r="A1263">
        <f>COUNTIF($D$2:D1263,D1263)</f>
        <v>27</v>
      </c>
      <c r="B1263" t="str">
        <f t="shared" si="77"/>
        <v>27Leicestershire</v>
      </c>
      <c r="C1263" t="s">
        <v>3979</v>
      </c>
      <c r="D1263" t="s">
        <v>205</v>
      </c>
      <c r="E1263">
        <v>82</v>
      </c>
      <c r="F1263" t="s">
        <v>3980</v>
      </c>
      <c r="G1263" t="s">
        <v>800</v>
      </c>
      <c r="H1263" t="s">
        <v>850</v>
      </c>
      <c r="I1263" t="s">
        <v>802</v>
      </c>
      <c r="J1263">
        <f t="shared" ca="1" si="78"/>
        <v>436113</v>
      </c>
      <c r="K1263">
        <f t="shared" ca="1" si="79"/>
        <v>386</v>
      </c>
      <c r="N1263" t="str">
        <f t="shared" si="76"/>
        <v>Kingston upon Hull, City of15Intermediate Home CareBed based intermediate Care Services (Reablement, rehabilitation, wider short-term services supporting recovery)Bed-based intermediate care with reablement (to support discharge)</v>
      </c>
      <c r="O1263" t="s">
        <v>189</v>
      </c>
      <c r="P1263" t="s">
        <v>922</v>
      </c>
      <c r="Q1263">
        <v>15</v>
      </c>
      <c r="R1263" t="s">
        <v>3599</v>
      </c>
      <c r="S1263" t="s">
        <v>3981</v>
      </c>
      <c r="T1263" t="s">
        <v>877</v>
      </c>
      <c r="U1263" t="s">
        <v>878</v>
      </c>
      <c r="W1263">
        <v>21</v>
      </c>
      <c r="X1263">
        <v>21</v>
      </c>
      <c r="Y1263" t="s">
        <v>879</v>
      </c>
      <c r="Z1263" t="s">
        <v>823</v>
      </c>
      <c r="AB1263" t="s">
        <v>824</v>
      </c>
      <c r="AD1263" t="s">
        <v>794</v>
      </c>
      <c r="AE1263" t="s">
        <v>804</v>
      </c>
      <c r="AF1263" t="s">
        <v>796</v>
      </c>
      <c r="AG1263" t="s">
        <v>797</v>
      </c>
      <c r="AH1263">
        <v>1727126</v>
      </c>
      <c r="AI1263">
        <v>1757665</v>
      </c>
      <c r="AJ1263">
        <v>2.816995356203815E-2</v>
      </c>
    </row>
    <row r="1264" spans="1:36" x14ac:dyDescent="0.3">
      <c r="A1264">
        <f>COUNTIF($D$2:D1264,D1264)</f>
        <v>1</v>
      </c>
      <c r="B1264" t="str">
        <f t="shared" si="77"/>
        <v>1Lewisham</v>
      </c>
      <c r="C1264" t="s">
        <v>3982</v>
      </c>
      <c r="D1264" t="s">
        <v>207</v>
      </c>
      <c r="E1264">
        <v>3</v>
      </c>
      <c r="F1264" t="s">
        <v>3983</v>
      </c>
      <c r="G1264" t="s">
        <v>800</v>
      </c>
      <c r="H1264" t="s">
        <v>903</v>
      </c>
      <c r="I1264" t="s">
        <v>802</v>
      </c>
      <c r="J1264">
        <f t="shared" ca="1" si="78"/>
        <v>1670000</v>
      </c>
      <c r="K1264">
        <f t="shared" ca="1" si="79"/>
        <v>11000</v>
      </c>
      <c r="N1264" t="str">
        <f t="shared" si="76"/>
        <v>Kingston upon Hull, City of19Moving With DignityAssistive Technologies and EquipmentOther</v>
      </c>
      <c r="O1264" t="s">
        <v>189</v>
      </c>
      <c r="P1264" t="s">
        <v>922</v>
      </c>
      <c r="Q1264">
        <v>19</v>
      </c>
      <c r="R1264" t="s">
        <v>3601</v>
      </c>
      <c r="S1264" t="s">
        <v>3984</v>
      </c>
      <c r="T1264" t="s">
        <v>800</v>
      </c>
      <c r="U1264" t="s">
        <v>812</v>
      </c>
      <c r="V1264" t="s">
        <v>3985</v>
      </c>
      <c r="W1264">
        <v>1</v>
      </c>
      <c r="X1264">
        <v>1</v>
      </c>
      <c r="Y1264" t="s">
        <v>802</v>
      </c>
      <c r="Z1264" t="s">
        <v>792</v>
      </c>
      <c r="AB1264" t="s">
        <v>824</v>
      </c>
      <c r="AD1264" t="s">
        <v>794</v>
      </c>
      <c r="AE1264" t="s">
        <v>795</v>
      </c>
      <c r="AF1264" t="s">
        <v>840</v>
      </c>
      <c r="AG1264" t="s">
        <v>797</v>
      </c>
      <c r="AH1264">
        <v>98228</v>
      </c>
      <c r="AI1264">
        <v>98228</v>
      </c>
      <c r="AJ1264">
        <v>1.5885876723044632E-3</v>
      </c>
    </row>
    <row r="1265" spans="1:36" x14ac:dyDescent="0.3">
      <c r="A1265">
        <f>COUNTIF($D$2:D1265,D1265)</f>
        <v>2</v>
      </c>
      <c r="B1265" t="str">
        <f t="shared" si="77"/>
        <v>2Lewisham</v>
      </c>
      <c r="C1265" t="s">
        <v>3986</v>
      </c>
      <c r="D1265" t="s">
        <v>207</v>
      </c>
      <c r="E1265">
        <v>11</v>
      </c>
      <c r="F1265" t="s">
        <v>840</v>
      </c>
      <c r="G1265" t="s">
        <v>834</v>
      </c>
      <c r="H1265" t="s">
        <v>835</v>
      </c>
      <c r="I1265" t="s">
        <v>836</v>
      </c>
      <c r="J1265">
        <f t="shared" ca="1" si="78"/>
        <v>1518970</v>
      </c>
      <c r="K1265">
        <f t="shared" ca="1" si="79"/>
        <v>65</v>
      </c>
      <c r="N1265" t="str">
        <f t="shared" si="76"/>
        <v>Kingston upon Hull, City of20Community Equipment - Moving With DignityAssistive Technologies and EquipmentCommunity based equipment</v>
      </c>
      <c r="O1265" t="s">
        <v>189</v>
      </c>
      <c r="P1265" t="s">
        <v>922</v>
      </c>
      <c r="Q1265">
        <v>20</v>
      </c>
      <c r="R1265" t="s">
        <v>3604</v>
      </c>
      <c r="S1265" t="s">
        <v>3984</v>
      </c>
      <c r="T1265" t="s">
        <v>800</v>
      </c>
      <c r="U1265" t="s">
        <v>903</v>
      </c>
      <c r="W1265">
        <v>30</v>
      </c>
      <c r="X1265">
        <v>30</v>
      </c>
      <c r="Y1265" t="s">
        <v>802</v>
      </c>
      <c r="Z1265" t="s">
        <v>792</v>
      </c>
      <c r="AB1265" t="s">
        <v>824</v>
      </c>
      <c r="AD1265" t="s">
        <v>794</v>
      </c>
      <c r="AE1265" t="s">
        <v>795</v>
      </c>
      <c r="AF1265" t="s">
        <v>845</v>
      </c>
      <c r="AG1265" t="s">
        <v>797</v>
      </c>
      <c r="AH1265">
        <v>46103</v>
      </c>
      <c r="AI1265">
        <v>46103</v>
      </c>
      <c r="AJ1265">
        <v>7.4559858142538449E-4</v>
      </c>
    </row>
    <row r="1266" spans="1:36" x14ac:dyDescent="0.3">
      <c r="A1266">
        <f>COUNTIF($D$2:D1266,D1266)</f>
        <v>3</v>
      </c>
      <c r="B1266" t="str">
        <f t="shared" si="77"/>
        <v>3Lewisham</v>
      </c>
      <c r="C1266" t="s">
        <v>3987</v>
      </c>
      <c r="D1266" t="s">
        <v>207</v>
      </c>
      <c r="E1266">
        <v>15</v>
      </c>
      <c r="F1266" t="s">
        <v>3988</v>
      </c>
      <c r="G1266" t="s">
        <v>806</v>
      </c>
      <c r="H1266" t="s">
        <v>934</v>
      </c>
      <c r="I1266" t="s">
        <v>808</v>
      </c>
      <c r="J1266">
        <f t="shared" ca="1" si="78"/>
        <v>694474</v>
      </c>
      <c r="K1266">
        <f t="shared" ca="1" si="79"/>
        <v>5</v>
      </c>
      <c r="N1266" t="str">
        <f t="shared" si="76"/>
        <v>Kingston upon Hull, City of27Telecare &amp; TelehealthAssistive Technologies and EquipmentAssistive technologies including telecare</v>
      </c>
      <c r="O1266" t="s">
        <v>189</v>
      </c>
      <c r="P1266" t="s">
        <v>922</v>
      </c>
      <c r="Q1266">
        <v>27</v>
      </c>
      <c r="R1266" t="s">
        <v>3586</v>
      </c>
      <c r="S1266" t="s">
        <v>3965</v>
      </c>
      <c r="T1266" t="s">
        <v>800</v>
      </c>
      <c r="U1266" t="s">
        <v>850</v>
      </c>
      <c r="W1266">
        <v>1119</v>
      </c>
      <c r="X1266">
        <v>1190</v>
      </c>
      <c r="Y1266" t="s">
        <v>802</v>
      </c>
      <c r="Z1266" t="s">
        <v>792</v>
      </c>
      <c r="AB1266" t="s">
        <v>793</v>
      </c>
      <c r="AD1266" t="s">
        <v>794</v>
      </c>
      <c r="AE1266" t="s">
        <v>795</v>
      </c>
      <c r="AF1266" t="s">
        <v>796</v>
      </c>
      <c r="AG1266" t="s">
        <v>797</v>
      </c>
      <c r="AH1266">
        <v>406656</v>
      </c>
      <c r="AI1266">
        <v>406656</v>
      </c>
      <c r="AJ1266">
        <v>6.5766248775160231E-3</v>
      </c>
    </row>
    <row r="1267" spans="1:36" x14ac:dyDescent="0.3">
      <c r="A1267">
        <f>COUNTIF($D$2:D1267,D1267)</f>
        <v>4</v>
      </c>
      <c r="B1267" t="str">
        <f t="shared" si="77"/>
        <v>4Lewisham</v>
      </c>
      <c r="C1267" t="s">
        <v>3989</v>
      </c>
      <c r="D1267" t="s">
        <v>207</v>
      </c>
      <c r="E1267">
        <v>23</v>
      </c>
      <c r="F1267" t="s">
        <v>3990</v>
      </c>
      <c r="G1267" t="s">
        <v>811</v>
      </c>
      <c r="H1267" t="s">
        <v>812</v>
      </c>
      <c r="I1267" t="s">
        <v>813</v>
      </c>
      <c r="J1267">
        <f t="shared" ca="1" si="78"/>
        <v>623363</v>
      </c>
      <c r="K1267">
        <f t="shared" ca="1" si="79"/>
        <v>4000</v>
      </c>
      <c r="N1267" t="str">
        <f t="shared" si="76"/>
        <v>Kingston upon Hull, City of31Support for CarersCarers ServicesOther</v>
      </c>
      <c r="O1267" t="s">
        <v>189</v>
      </c>
      <c r="P1267" t="s">
        <v>922</v>
      </c>
      <c r="Q1267">
        <v>31</v>
      </c>
      <c r="R1267" t="s">
        <v>3592</v>
      </c>
      <c r="S1267" t="s">
        <v>3972</v>
      </c>
      <c r="T1267" t="s">
        <v>811</v>
      </c>
      <c r="U1267" t="s">
        <v>812</v>
      </c>
      <c r="V1267" t="s">
        <v>3991</v>
      </c>
      <c r="W1267">
        <v>2127</v>
      </c>
      <c r="X1267">
        <v>2400</v>
      </c>
      <c r="Y1267" t="s">
        <v>813</v>
      </c>
      <c r="Z1267" t="s">
        <v>792</v>
      </c>
      <c r="AB1267" t="s">
        <v>793</v>
      </c>
      <c r="AD1267" t="s">
        <v>794</v>
      </c>
      <c r="AE1267" t="s">
        <v>795</v>
      </c>
      <c r="AF1267" t="s">
        <v>796</v>
      </c>
      <c r="AG1267" t="s">
        <v>797</v>
      </c>
      <c r="AH1267">
        <v>49600</v>
      </c>
      <c r="AI1267">
        <v>49600</v>
      </c>
      <c r="AJ1267">
        <v>8.0215364810747839E-4</v>
      </c>
    </row>
    <row r="1268" spans="1:36" x14ac:dyDescent="0.3">
      <c r="A1268">
        <f>COUNTIF($D$2:D1268,D1268)</f>
        <v>5</v>
      </c>
      <c r="B1268" t="str">
        <f t="shared" si="77"/>
        <v>5Lewisham</v>
      </c>
      <c r="C1268" t="s">
        <v>3992</v>
      </c>
      <c r="D1268" t="s">
        <v>207</v>
      </c>
      <c r="E1268">
        <v>25</v>
      </c>
      <c r="F1268" t="s">
        <v>3993</v>
      </c>
      <c r="G1268" t="s">
        <v>806</v>
      </c>
      <c r="H1268" t="s">
        <v>807</v>
      </c>
      <c r="I1268" t="s">
        <v>808</v>
      </c>
      <c r="J1268">
        <f t="shared" ca="1" si="78"/>
        <v>307500</v>
      </c>
      <c r="K1268">
        <f t="shared" ca="1" si="79"/>
        <v>116</v>
      </c>
      <c r="N1268" t="str">
        <f t="shared" si="76"/>
        <v>Kingston upon Hull, City of35End of LifeHome Care or Domiciliary CareDomiciliary care packages</v>
      </c>
      <c r="O1268" t="s">
        <v>189</v>
      </c>
      <c r="P1268" t="s">
        <v>922</v>
      </c>
      <c r="Q1268">
        <v>35</v>
      </c>
      <c r="R1268" t="s">
        <v>3610</v>
      </c>
      <c r="S1268" t="s">
        <v>3994</v>
      </c>
      <c r="T1268" t="s">
        <v>842</v>
      </c>
      <c r="U1268" t="s">
        <v>843</v>
      </c>
      <c r="W1268">
        <v>2708</v>
      </c>
      <c r="X1268">
        <v>2900</v>
      </c>
      <c r="Y1268" t="s">
        <v>844</v>
      </c>
      <c r="Z1268" t="s">
        <v>792</v>
      </c>
      <c r="AB1268" t="s">
        <v>793</v>
      </c>
      <c r="AD1268" t="s">
        <v>794</v>
      </c>
      <c r="AE1268" t="s">
        <v>804</v>
      </c>
      <c r="AF1268" t="s">
        <v>796</v>
      </c>
      <c r="AG1268" t="s">
        <v>797</v>
      </c>
      <c r="AH1268">
        <v>325000</v>
      </c>
      <c r="AI1268">
        <v>325000</v>
      </c>
      <c r="AJ1268">
        <v>5.2560470894139205E-3</v>
      </c>
    </row>
    <row r="1269" spans="1:36" x14ac:dyDescent="0.3">
      <c r="A1269">
        <f>COUNTIF($D$2:D1269,D1269)</f>
        <v>6</v>
      </c>
      <c r="B1269" t="str">
        <f t="shared" si="77"/>
        <v>6Lewisham</v>
      </c>
      <c r="C1269" t="s">
        <v>3995</v>
      </c>
      <c r="D1269" t="s">
        <v>207</v>
      </c>
      <c r="E1269">
        <v>29</v>
      </c>
      <c r="F1269" t="s">
        <v>3996</v>
      </c>
      <c r="G1269" t="s">
        <v>806</v>
      </c>
      <c r="H1269" t="s">
        <v>807</v>
      </c>
      <c r="I1269" t="s">
        <v>808</v>
      </c>
      <c r="J1269">
        <f t="shared" ca="1" si="78"/>
        <v>3152500</v>
      </c>
      <c r="K1269">
        <f t="shared" ca="1" si="79"/>
        <v>13</v>
      </c>
      <c r="N1269" t="str">
        <f t="shared" si="76"/>
        <v>Kingston upon Hull, City of36AdvocacyCarers ServicesOther</v>
      </c>
      <c r="O1269" t="s">
        <v>189</v>
      </c>
      <c r="P1269" t="s">
        <v>922</v>
      </c>
      <c r="Q1269">
        <v>36</v>
      </c>
      <c r="R1269" t="s">
        <v>3613</v>
      </c>
      <c r="S1269" t="s">
        <v>3997</v>
      </c>
      <c r="T1269" t="s">
        <v>811</v>
      </c>
      <c r="U1269" t="s">
        <v>812</v>
      </c>
      <c r="V1269" t="s">
        <v>3991</v>
      </c>
      <c r="W1269">
        <v>219</v>
      </c>
      <c r="X1269">
        <v>230</v>
      </c>
      <c r="Y1269" t="s">
        <v>813</v>
      </c>
      <c r="Z1269" t="s">
        <v>792</v>
      </c>
      <c r="AB1269" t="s">
        <v>793</v>
      </c>
      <c r="AD1269" t="s">
        <v>794</v>
      </c>
      <c r="AE1269" t="s">
        <v>795</v>
      </c>
      <c r="AF1269" t="s">
        <v>796</v>
      </c>
      <c r="AG1269" t="s">
        <v>797</v>
      </c>
      <c r="AH1269">
        <v>44000</v>
      </c>
      <c r="AI1269">
        <v>44000</v>
      </c>
      <c r="AJ1269">
        <v>7.1158791364373084E-4</v>
      </c>
    </row>
    <row r="1270" spans="1:36" x14ac:dyDescent="0.3">
      <c r="A1270">
        <f>COUNTIF($D$2:D1270,D1270)</f>
        <v>7</v>
      </c>
      <c r="B1270" t="str">
        <f t="shared" si="77"/>
        <v>7Lewisham</v>
      </c>
      <c r="C1270" t="s">
        <v>3998</v>
      </c>
      <c r="D1270" t="s">
        <v>207</v>
      </c>
      <c r="E1270">
        <v>31</v>
      </c>
      <c r="F1270" t="s">
        <v>3999</v>
      </c>
      <c r="G1270" t="s">
        <v>842</v>
      </c>
      <c r="H1270" t="s">
        <v>843</v>
      </c>
      <c r="I1270" t="s">
        <v>844</v>
      </c>
      <c r="J1270">
        <f t="shared" ca="1" si="78"/>
        <v>1722000</v>
      </c>
      <c r="K1270">
        <f t="shared" ca="1" si="79"/>
        <v>735000</v>
      </c>
      <c r="N1270" t="str">
        <f t="shared" si="76"/>
        <v>Kingston upon Hull, City of40Home Care servicesHome Care or Domiciliary CareDomiciliary care packages</v>
      </c>
      <c r="O1270" t="s">
        <v>189</v>
      </c>
      <c r="P1270" t="s">
        <v>922</v>
      </c>
      <c r="Q1270">
        <v>40</v>
      </c>
      <c r="R1270" t="s">
        <v>3616</v>
      </c>
      <c r="S1270" t="s">
        <v>4000</v>
      </c>
      <c r="T1270" t="s">
        <v>842</v>
      </c>
      <c r="U1270" t="s">
        <v>843</v>
      </c>
      <c r="W1270">
        <v>18</v>
      </c>
      <c r="X1270">
        <v>18</v>
      </c>
      <c r="Y1270" t="s">
        <v>844</v>
      </c>
      <c r="Z1270" t="s">
        <v>792</v>
      </c>
      <c r="AB1270" t="s">
        <v>793</v>
      </c>
      <c r="AD1270" t="s">
        <v>794</v>
      </c>
      <c r="AE1270" t="s">
        <v>795</v>
      </c>
      <c r="AF1270" t="s">
        <v>796</v>
      </c>
      <c r="AG1270" t="s">
        <v>797</v>
      </c>
      <c r="AH1270">
        <v>30138</v>
      </c>
      <c r="AI1270">
        <v>30138</v>
      </c>
      <c r="AJ1270">
        <v>4.8740537594079E-4</v>
      </c>
    </row>
    <row r="1271" spans="1:36" x14ac:dyDescent="0.3">
      <c r="A1271">
        <f>COUNTIF($D$2:D1271,D1271)</f>
        <v>8</v>
      </c>
      <c r="B1271" t="str">
        <f t="shared" si="77"/>
        <v>8Lewisham</v>
      </c>
      <c r="C1271" t="s">
        <v>4001</v>
      </c>
      <c r="D1271" t="s">
        <v>207</v>
      </c>
      <c r="E1271">
        <v>34</v>
      </c>
      <c r="F1271" t="s">
        <v>4002</v>
      </c>
      <c r="G1271" t="s">
        <v>842</v>
      </c>
      <c r="H1271" t="s">
        <v>843</v>
      </c>
      <c r="I1271" t="s">
        <v>844</v>
      </c>
      <c r="J1271">
        <f t="shared" ca="1" si="78"/>
        <v>1435000</v>
      </c>
      <c r="K1271">
        <f t="shared" ca="1" si="79"/>
        <v>735000</v>
      </c>
      <c r="N1271" t="str">
        <f t="shared" si="76"/>
        <v>Kingston upon Hull, City of40Home Care servicesHome Care or Domiciliary CareDomiciliary care packages</v>
      </c>
      <c r="O1271" t="s">
        <v>189</v>
      </c>
      <c r="P1271" t="s">
        <v>922</v>
      </c>
      <c r="Q1271">
        <v>40</v>
      </c>
      <c r="R1271" t="s">
        <v>3616</v>
      </c>
      <c r="S1271" t="s">
        <v>4000</v>
      </c>
      <c r="T1271" t="s">
        <v>842</v>
      </c>
      <c r="U1271" t="s">
        <v>843</v>
      </c>
      <c r="W1271">
        <v>554</v>
      </c>
      <c r="X1271">
        <v>554</v>
      </c>
      <c r="Y1271" t="s">
        <v>844</v>
      </c>
      <c r="Z1271" t="s">
        <v>792</v>
      </c>
      <c r="AB1271" t="s">
        <v>793</v>
      </c>
      <c r="AD1271" t="s">
        <v>794</v>
      </c>
      <c r="AE1271" t="s">
        <v>795</v>
      </c>
      <c r="AF1271" t="s">
        <v>1042</v>
      </c>
      <c r="AG1271" t="s">
        <v>797</v>
      </c>
      <c r="AH1271">
        <v>1111608</v>
      </c>
      <c r="AI1271">
        <v>1111608</v>
      </c>
      <c r="AJ1271">
        <v>1.7977427670674555E-2</v>
      </c>
    </row>
    <row r="1272" spans="1:36" x14ac:dyDescent="0.3">
      <c r="A1272">
        <f>COUNTIF($D$2:D1272,D1272)</f>
        <v>9</v>
      </c>
      <c r="B1272" t="str">
        <f t="shared" si="77"/>
        <v>9Lewisham</v>
      </c>
      <c r="C1272" t="s">
        <v>4003</v>
      </c>
      <c r="D1272" t="s">
        <v>207</v>
      </c>
      <c r="E1272">
        <v>37</v>
      </c>
      <c r="F1272" t="s">
        <v>4004</v>
      </c>
      <c r="G1272" t="s">
        <v>842</v>
      </c>
      <c r="H1272" t="s">
        <v>843</v>
      </c>
      <c r="I1272" t="s">
        <v>844</v>
      </c>
      <c r="J1272">
        <f t="shared" ca="1" si="78"/>
        <v>1839330</v>
      </c>
      <c r="K1272">
        <f t="shared" ca="1" si="79"/>
        <v>735000</v>
      </c>
      <c r="N1272" t="str">
        <f t="shared" si="76"/>
        <v>Kingston upon Hull, City of41Disabled Facilities GrantDFG Related SchemesAdaptations, including statutory DFG grants</v>
      </c>
      <c r="O1272" t="s">
        <v>189</v>
      </c>
      <c r="P1272" t="s">
        <v>922</v>
      </c>
      <c r="Q1272">
        <v>41</v>
      </c>
      <c r="R1272" t="s">
        <v>891</v>
      </c>
      <c r="S1272" t="s">
        <v>4005</v>
      </c>
      <c r="T1272" t="s">
        <v>834</v>
      </c>
      <c r="U1272" t="s">
        <v>835</v>
      </c>
      <c r="W1272">
        <v>129</v>
      </c>
      <c r="X1272">
        <v>200</v>
      </c>
      <c r="Y1272" t="s">
        <v>836</v>
      </c>
      <c r="Z1272" t="s">
        <v>792</v>
      </c>
      <c r="AB1272" t="s">
        <v>793</v>
      </c>
      <c r="AD1272" t="s">
        <v>794</v>
      </c>
      <c r="AE1272" t="s">
        <v>795</v>
      </c>
      <c r="AF1272" t="s">
        <v>840</v>
      </c>
      <c r="AG1272" t="s">
        <v>797</v>
      </c>
      <c r="AH1272">
        <v>5131548</v>
      </c>
      <c r="AI1272">
        <v>2776043</v>
      </c>
      <c r="AJ1272">
        <v>6.462556891045472E-2</v>
      </c>
    </row>
    <row r="1273" spans="1:36" x14ac:dyDescent="0.3">
      <c r="A1273">
        <f>COUNTIF($D$2:D1273,D1273)</f>
        <v>10</v>
      </c>
      <c r="B1273" t="str">
        <f t="shared" si="77"/>
        <v>10Lewisham</v>
      </c>
      <c r="C1273" t="s">
        <v>4006</v>
      </c>
      <c r="D1273" t="s">
        <v>207</v>
      </c>
      <c r="E1273">
        <v>38</v>
      </c>
      <c r="F1273" t="s">
        <v>4007</v>
      </c>
      <c r="G1273" t="s">
        <v>842</v>
      </c>
      <c r="H1273" t="s">
        <v>843</v>
      </c>
      <c r="I1273" t="s">
        <v>844</v>
      </c>
      <c r="J1273">
        <f t="shared" ca="1" si="78"/>
        <v>840949</v>
      </c>
      <c r="K1273">
        <f t="shared" ca="1" si="79"/>
        <v>735000</v>
      </c>
      <c r="N1273" t="str">
        <f t="shared" si="76"/>
        <v>Kingston upon Hull, City of43Commissioned ServicesResidential PlacementsCare home</v>
      </c>
      <c r="O1273" t="s">
        <v>189</v>
      </c>
      <c r="P1273" t="s">
        <v>922</v>
      </c>
      <c r="Q1273">
        <v>43</v>
      </c>
      <c r="R1273" t="s">
        <v>3620</v>
      </c>
      <c r="S1273" t="s">
        <v>4008</v>
      </c>
      <c r="T1273" t="s">
        <v>806</v>
      </c>
      <c r="U1273" t="s">
        <v>807</v>
      </c>
      <c r="W1273">
        <v>26</v>
      </c>
      <c r="X1273">
        <v>26</v>
      </c>
      <c r="Y1273" t="s">
        <v>808</v>
      </c>
      <c r="Z1273" t="s">
        <v>792</v>
      </c>
      <c r="AB1273" t="s">
        <v>793</v>
      </c>
      <c r="AD1273" t="s">
        <v>794</v>
      </c>
      <c r="AE1273" t="s">
        <v>804</v>
      </c>
      <c r="AF1273" t="s">
        <v>796</v>
      </c>
      <c r="AG1273" t="s">
        <v>797</v>
      </c>
      <c r="AH1273">
        <v>475054</v>
      </c>
      <c r="AI1273">
        <v>1375438</v>
      </c>
      <c r="AJ1273">
        <v>1.4702423080594294E-2</v>
      </c>
    </row>
    <row r="1274" spans="1:36" x14ac:dyDescent="0.3">
      <c r="A1274">
        <f>COUNTIF($D$2:D1274,D1274)</f>
        <v>11</v>
      </c>
      <c r="B1274" t="str">
        <f t="shared" si="77"/>
        <v>11Lewisham</v>
      </c>
      <c r="C1274" t="s">
        <v>4009</v>
      </c>
      <c r="D1274" t="s">
        <v>207</v>
      </c>
      <c r="E1274">
        <v>39</v>
      </c>
      <c r="F1274" t="s">
        <v>4010</v>
      </c>
      <c r="G1274" t="s">
        <v>800</v>
      </c>
      <c r="H1274" t="s">
        <v>850</v>
      </c>
      <c r="I1274" t="s">
        <v>802</v>
      </c>
      <c r="J1274">
        <f t="shared" ca="1" si="78"/>
        <v>318828</v>
      </c>
      <c r="K1274">
        <f t="shared" ca="1" si="79"/>
        <v>2500</v>
      </c>
      <c r="N1274" t="str">
        <f t="shared" si="76"/>
        <v>Kingston upon Hull, City of43Commissioned ServicesResidential PlacementsCare home</v>
      </c>
      <c r="O1274" t="s">
        <v>189</v>
      </c>
      <c r="P1274" t="s">
        <v>922</v>
      </c>
      <c r="Q1274">
        <v>43</v>
      </c>
      <c r="R1274" t="s">
        <v>3620</v>
      </c>
      <c r="S1274" t="s">
        <v>4008</v>
      </c>
      <c r="T1274" t="s">
        <v>806</v>
      </c>
      <c r="U1274" t="s">
        <v>807</v>
      </c>
      <c r="W1274">
        <v>298</v>
      </c>
      <c r="X1274">
        <v>298</v>
      </c>
      <c r="Y1274" t="s">
        <v>808</v>
      </c>
      <c r="Z1274" t="s">
        <v>792</v>
      </c>
      <c r="AB1274" t="s">
        <v>793</v>
      </c>
      <c r="AD1274" t="s">
        <v>794</v>
      </c>
      <c r="AE1274" t="s">
        <v>804</v>
      </c>
      <c r="AF1274" t="s">
        <v>845</v>
      </c>
      <c r="AG1274" t="s">
        <v>797</v>
      </c>
      <c r="AH1274">
        <v>5545528</v>
      </c>
      <c r="AI1274">
        <v>5545528</v>
      </c>
      <c r="AJ1274">
        <v>8.9684788626656631E-2</v>
      </c>
    </row>
    <row r="1275" spans="1:36" x14ac:dyDescent="0.3">
      <c r="A1275">
        <f>COUNTIF($D$2:D1275,D1275)</f>
        <v>12</v>
      </c>
      <c r="B1275" t="str">
        <f t="shared" si="77"/>
        <v>12Lewisham</v>
      </c>
      <c r="C1275" t="s">
        <v>4011</v>
      </c>
      <c r="D1275" t="s">
        <v>207</v>
      </c>
      <c r="E1275">
        <v>47</v>
      </c>
      <c r="F1275" t="s">
        <v>3492</v>
      </c>
      <c r="G1275" t="s">
        <v>842</v>
      </c>
      <c r="H1275" t="s">
        <v>856</v>
      </c>
      <c r="I1275" t="s">
        <v>844</v>
      </c>
      <c r="J1275">
        <f t="shared" ca="1" si="78"/>
        <v>1030804</v>
      </c>
      <c r="K1275">
        <f t="shared" ca="1" si="79"/>
        <v>735000</v>
      </c>
      <c r="N1275" t="str">
        <f t="shared" si="76"/>
        <v>Kingston upon Hull, City of44Home Care - Market SupportHome Care or Domiciliary CareDomiciliary care packages</v>
      </c>
      <c r="O1275" t="s">
        <v>189</v>
      </c>
      <c r="P1275" t="s">
        <v>922</v>
      </c>
      <c r="Q1275">
        <v>44</v>
      </c>
      <c r="R1275" t="s">
        <v>3623</v>
      </c>
      <c r="S1275" t="s">
        <v>4012</v>
      </c>
      <c r="T1275" t="s">
        <v>842</v>
      </c>
      <c r="U1275" t="s">
        <v>843</v>
      </c>
      <c r="W1275">
        <v>308</v>
      </c>
      <c r="X1275">
        <v>308</v>
      </c>
      <c r="Y1275" t="s">
        <v>844</v>
      </c>
      <c r="Z1275" t="s">
        <v>792</v>
      </c>
      <c r="AB1275" t="s">
        <v>793</v>
      </c>
      <c r="AD1275" t="s">
        <v>794</v>
      </c>
      <c r="AE1275" t="s">
        <v>804</v>
      </c>
      <c r="AF1275" t="s">
        <v>845</v>
      </c>
      <c r="AG1275" t="s">
        <v>797</v>
      </c>
      <c r="AH1275">
        <v>617008</v>
      </c>
      <c r="AI1275">
        <v>617008</v>
      </c>
      <c r="AJ1275">
        <v>9.9785326232157065E-3</v>
      </c>
    </row>
    <row r="1276" spans="1:36" x14ac:dyDescent="0.3">
      <c r="A1276">
        <f>COUNTIF($D$2:D1276,D1276)</f>
        <v>13</v>
      </c>
      <c r="B1276" t="str">
        <f t="shared" si="77"/>
        <v>13Lewisham</v>
      </c>
      <c r="C1276" t="s">
        <v>4013</v>
      </c>
      <c r="D1276" t="s">
        <v>207</v>
      </c>
      <c r="E1276">
        <v>48</v>
      </c>
      <c r="F1276" t="s">
        <v>3492</v>
      </c>
      <c r="G1276" t="s">
        <v>842</v>
      </c>
      <c r="H1276" t="s">
        <v>856</v>
      </c>
      <c r="I1276" t="s">
        <v>844</v>
      </c>
      <c r="J1276">
        <f t="shared" ca="1" si="78"/>
        <v>334694</v>
      </c>
      <c r="K1276">
        <f t="shared" ca="1" si="79"/>
        <v>735000</v>
      </c>
      <c r="N1276" t="str">
        <f t="shared" si="76"/>
        <v>Kingston upon Hull, City of52Support to Residential CareResidential PlacementsCare home</v>
      </c>
      <c r="O1276" t="s">
        <v>189</v>
      </c>
      <c r="P1276" t="s">
        <v>922</v>
      </c>
      <c r="Q1276">
        <v>52</v>
      </c>
      <c r="R1276" t="s">
        <v>3626</v>
      </c>
      <c r="S1276" t="s">
        <v>4014</v>
      </c>
      <c r="T1276" t="s">
        <v>806</v>
      </c>
      <c r="U1276" t="s">
        <v>807</v>
      </c>
      <c r="W1276">
        <v>66</v>
      </c>
      <c r="X1276">
        <v>66</v>
      </c>
      <c r="Y1276" t="s">
        <v>808</v>
      </c>
      <c r="Z1276" t="s">
        <v>792</v>
      </c>
      <c r="AB1276" t="s">
        <v>793</v>
      </c>
      <c r="AD1276" t="s">
        <v>794</v>
      </c>
      <c r="AE1276" t="s">
        <v>804</v>
      </c>
      <c r="AF1276" t="s">
        <v>845</v>
      </c>
      <c r="AG1276" t="s">
        <v>797</v>
      </c>
      <c r="AH1276">
        <v>1230512</v>
      </c>
      <c r="AI1276">
        <v>1230512</v>
      </c>
      <c r="AJ1276">
        <v>1.9900396972581239E-2</v>
      </c>
    </row>
    <row r="1277" spans="1:36" x14ac:dyDescent="0.3">
      <c r="A1277">
        <f>COUNTIF($D$2:D1277,D1277)</f>
        <v>14</v>
      </c>
      <c r="B1277" t="str">
        <f t="shared" si="77"/>
        <v>14Lewisham</v>
      </c>
      <c r="C1277" t="s">
        <v>4015</v>
      </c>
      <c r="D1277" t="s">
        <v>207</v>
      </c>
      <c r="E1277">
        <v>49</v>
      </c>
      <c r="F1277" t="s">
        <v>4016</v>
      </c>
      <c r="G1277" t="s">
        <v>806</v>
      </c>
      <c r="H1277" t="s">
        <v>934</v>
      </c>
      <c r="I1277" t="s">
        <v>808</v>
      </c>
      <c r="J1277">
        <f t="shared" ca="1" si="78"/>
        <v>29000</v>
      </c>
      <c r="K1277">
        <f t="shared" ca="1" si="79"/>
        <v>5</v>
      </c>
      <c r="N1277" t="str">
        <f t="shared" si="76"/>
        <v>Kingston upon Hull, City of59Electronic RosteringHome Care or Domiciliary CareDomiciliary care to support hospital discharge (Discharge to Assess pathway 1)</v>
      </c>
      <c r="O1277" t="s">
        <v>189</v>
      </c>
      <c r="P1277" t="s">
        <v>922</v>
      </c>
      <c r="Q1277">
        <v>59</v>
      </c>
      <c r="R1277" t="s">
        <v>3629</v>
      </c>
      <c r="S1277" t="s">
        <v>4017</v>
      </c>
      <c r="T1277" t="s">
        <v>842</v>
      </c>
      <c r="U1277" t="s">
        <v>856</v>
      </c>
      <c r="W1277">
        <v>1</v>
      </c>
      <c r="X1277">
        <v>1</v>
      </c>
      <c r="Y1277" t="s">
        <v>844</v>
      </c>
      <c r="Z1277" t="s">
        <v>792</v>
      </c>
      <c r="AB1277" t="s">
        <v>793</v>
      </c>
      <c r="AD1277" t="s">
        <v>794</v>
      </c>
      <c r="AE1277" t="s">
        <v>804</v>
      </c>
      <c r="AF1277" t="s">
        <v>845</v>
      </c>
      <c r="AG1277" t="s">
        <v>797</v>
      </c>
      <c r="AH1277">
        <v>51500</v>
      </c>
      <c r="AI1277">
        <v>51500</v>
      </c>
      <c r="AJ1277">
        <v>8.3288130801482127E-4</v>
      </c>
    </row>
    <row r="1278" spans="1:36" x14ac:dyDescent="0.3">
      <c r="A1278">
        <f>COUNTIF($D$2:D1278,D1278)</f>
        <v>15</v>
      </c>
      <c r="B1278" t="str">
        <f t="shared" si="77"/>
        <v>15Lewisham</v>
      </c>
      <c r="C1278" t="s">
        <v>4018</v>
      </c>
      <c r="D1278" t="s">
        <v>207</v>
      </c>
      <c r="E1278">
        <v>50</v>
      </c>
      <c r="F1278" t="s">
        <v>4016</v>
      </c>
      <c r="G1278" t="s">
        <v>877</v>
      </c>
      <c r="H1278" t="s">
        <v>878</v>
      </c>
      <c r="I1278" t="s">
        <v>879</v>
      </c>
      <c r="J1278">
        <f t="shared" ca="1" si="78"/>
        <v>110000</v>
      </c>
      <c r="K1278">
        <f t="shared" ca="1" si="79"/>
        <v>2</v>
      </c>
      <c r="N1278" t="str">
        <f t="shared" si="76"/>
        <v>Kingston upon Hull, City of77Residential Homes - IT equipmentAssistive Technologies and EquipmentDigital participation services</v>
      </c>
      <c r="O1278" t="s">
        <v>189</v>
      </c>
      <c r="P1278" t="s">
        <v>922</v>
      </c>
      <c r="Q1278">
        <v>77</v>
      </c>
      <c r="R1278" t="s">
        <v>3632</v>
      </c>
      <c r="S1278" t="s">
        <v>4019</v>
      </c>
      <c r="T1278" t="s">
        <v>800</v>
      </c>
      <c r="U1278" t="s">
        <v>907</v>
      </c>
      <c r="W1278">
        <v>224</v>
      </c>
      <c r="X1278">
        <v>224</v>
      </c>
      <c r="Y1278" t="s">
        <v>802</v>
      </c>
      <c r="Z1278" t="s">
        <v>792</v>
      </c>
      <c r="AB1278" t="s">
        <v>793</v>
      </c>
      <c r="AD1278" t="s">
        <v>794</v>
      </c>
      <c r="AE1278" t="s">
        <v>795</v>
      </c>
      <c r="AF1278" t="s">
        <v>845</v>
      </c>
      <c r="AG1278" t="s">
        <v>861</v>
      </c>
      <c r="AH1278">
        <v>17600</v>
      </c>
      <c r="AI1278">
        <v>17600</v>
      </c>
      <c r="AJ1278">
        <v>2.8463516545749231E-4</v>
      </c>
    </row>
    <row r="1279" spans="1:36" x14ac:dyDescent="0.3">
      <c r="A1279">
        <f>COUNTIF($D$2:D1279,D1279)</f>
        <v>16</v>
      </c>
      <c r="B1279" t="str">
        <f t="shared" si="77"/>
        <v>16Lewisham</v>
      </c>
      <c r="C1279" t="s">
        <v>4020</v>
      </c>
      <c r="D1279" t="s">
        <v>207</v>
      </c>
      <c r="E1279">
        <v>60</v>
      </c>
      <c r="F1279" t="s">
        <v>4021</v>
      </c>
      <c r="G1279" t="s">
        <v>787</v>
      </c>
      <c r="H1279" t="s">
        <v>930</v>
      </c>
      <c r="I1279" t="s">
        <v>789</v>
      </c>
      <c r="J1279">
        <f t="shared" ca="1" si="78"/>
        <v>300000</v>
      </c>
      <c r="K1279">
        <f t="shared" ca="1" si="79"/>
        <v>129</v>
      </c>
      <c r="N1279" t="str">
        <f t="shared" si="76"/>
        <v>Kingston upon Hull, City of86Discharge Fund SchemesBed based intermediate Care Services (Reablement, rehabilitation, wider short-term services supporting recovery)Other</v>
      </c>
      <c r="O1279" t="s">
        <v>189</v>
      </c>
      <c r="P1279" t="s">
        <v>922</v>
      </c>
      <c r="Q1279">
        <v>86</v>
      </c>
      <c r="R1279" t="s">
        <v>3635</v>
      </c>
      <c r="S1279" t="s">
        <v>3858</v>
      </c>
      <c r="T1279" t="s">
        <v>877</v>
      </c>
      <c r="U1279" t="s">
        <v>812</v>
      </c>
      <c r="V1279" t="s">
        <v>2960</v>
      </c>
      <c r="W1279">
        <v>832</v>
      </c>
      <c r="X1279">
        <v>998</v>
      </c>
      <c r="Y1279" t="s">
        <v>879</v>
      </c>
      <c r="Z1279" t="s">
        <v>823</v>
      </c>
      <c r="AB1279" t="s">
        <v>824</v>
      </c>
      <c r="AD1279" t="s">
        <v>794</v>
      </c>
      <c r="AE1279" t="s">
        <v>832</v>
      </c>
      <c r="AF1279" t="s">
        <v>860</v>
      </c>
      <c r="AG1279" t="s">
        <v>861</v>
      </c>
      <c r="AH1279">
        <v>2007000</v>
      </c>
      <c r="AI1279">
        <v>2840708</v>
      </c>
      <c r="AJ1279">
        <v>3.8957923172858053E-2</v>
      </c>
    </row>
    <row r="1280" spans="1:36" x14ac:dyDescent="0.3">
      <c r="A1280">
        <f>COUNTIF($D$2:D1280,D1280)</f>
        <v>17</v>
      </c>
      <c r="B1280" t="str">
        <f t="shared" si="77"/>
        <v>17Lewisham</v>
      </c>
      <c r="C1280" t="s">
        <v>4022</v>
      </c>
      <c r="D1280" t="s">
        <v>207</v>
      </c>
      <c r="E1280">
        <v>61</v>
      </c>
      <c r="F1280" t="s">
        <v>4023</v>
      </c>
      <c r="G1280" t="s">
        <v>800</v>
      </c>
      <c r="H1280" t="s">
        <v>850</v>
      </c>
      <c r="I1280" t="s">
        <v>802</v>
      </c>
      <c r="J1280">
        <f t="shared" ca="1" si="78"/>
        <v>43000</v>
      </c>
      <c r="K1280">
        <f t="shared" ca="1" si="79"/>
        <v>11000</v>
      </c>
      <c r="N1280" t="str">
        <f t="shared" si="76"/>
        <v>Kingston upon Hull, City of19Moving With DignityAssistive Technologies and EquipmentOther</v>
      </c>
      <c r="O1280" t="s">
        <v>189</v>
      </c>
      <c r="P1280" t="s">
        <v>922</v>
      </c>
      <c r="Q1280">
        <v>19</v>
      </c>
      <c r="R1280" t="s">
        <v>3601</v>
      </c>
      <c r="S1280" t="s">
        <v>3984</v>
      </c>
      <c r="T1280" t="s">
        <v>800</v>
      </c>
      <c r="U1280" t="s">
        <v>812</v>
      </c>
      <c r="V1280" t="s">
        <v>3985</v>
      </c>
      <c r="W1280">
        <v>1</v>
      </c>
      <c r="X1280">
        <v>1</v>
      </c>
      <c r="Y1280" t="s">
        <v>802</v>
      </c>
      <c r="Z1280" t="s">
        <v>792</v>
      </c>
      <c r="AB1280" t="s">
        <v>824</v>
      </c>
      <c r="AD1280" t="s">
        <v>794</v>
      </c>
      <c r="AE1280" t="s">
        <v>795</v>
      </c>
      <c r="AF1280" t="s">
        <v>796</v>
      </c>
      <c r="AG1280" t="s">
        <v>797</v>
      </c>
      <c r="AH1280">
        <v>7819</v>
      </c>
      <c r="AI1280">
        <v>15638</v>
      </c>
      <c r="AJ1280">
        <v>1.8741142471214597E-4</v>
      </c>
    </row>
    <row r="1281" spans="1:36" x14ac:dyDescent="0.3">
      <c r="A1281">
        <f>COUNTIF($D$2:D1281,D1281)</f>
        <v>1</v>
      </c>
      <c r="B1281" t="str">
        <f t="shared" si="77"/>
        <v>1Lincolnshire</v>
      </c>
      <c r="C1281" t="s">
        <v>4024</v>
      </c>
      <c r="D1281" t="s">
        <v>209</v>
      </c>
      <c r="E1281">
        <v>1</v>
      </c>
      <c r="F1281" t="s">
        <v>4025</v>
      </c>
      <c r="G1281" t="s">
        <v>787</v>
      </c>
      <c r="H1281" t="s">
        <v>930</v>
      </c>
      <c r="I1281" t="s">
        <v>789</v>
      </c>
      <c r="J1281">
        <f t="shared" ca="1" si="78"/>
        <v>4133101</v>
      </c>
      <c r="K1281">
        <f t="shared" ca="1" si="79"/>
        <v>300</v>
      </c>
      <c r="N1281" t="str">
        <f t="shared" si="76"/>
        <v>Kingston upon Hull, City of20Community Equipment - Moving With DignityAssistive Technologies and EquipmentCommunity based equipment</v>
      </c>
      <c r="O1281" t="s">
        <v>189</v>
      </c>
      <c r="P1281" t="s">
        <v>922</v>
      </c>
      <c r="Q1281">
        <v>20</v>
      </c>
      <c r="R1281" t="s">
        <v>3604</v>
      </c>
      <c r="S1281" t="s">
        <v>3984</v>
      </c>
      <c r="T1281" t="s">
        <v>800</v>
      </c>
      <c r="U1281" t="s">
        <v>903</v>
      </c>
      <c r="W1281">
        <v>30</v>
      </c>
      <c r="X1281">
        <v>30</v>
      </c>
      <c r="Y1281" t="s">
        <v>802</v>
      </c>
      <c r="Z1281" t="s">
        <v>792</v>
      </c>
      <c r="AB1281" t="s">
        <v>824</v>
      </c>
      <c r="AD1281" t="s">
        <v>794</v>
      </c>
      <c r="AE1281" t="s">
        <v>795</v>
      </c>
      <c r="AF1281" t="s">
        <v>796</v>
      </c>
      <c r="AG1281" t="s">
        <v>797</v>
      </c>
      <c r="AH1281">
        <v>3670</v>
      </c>
      <c r="AI1281">
        <v>7340</v>
      </c>
      <c r="AJ1281">
        <v>8.7965203823196794E-5</v>
      </c>
    </row>
    <row r="1282" spans="1:36" x14ac:dyDescent="0.3">
      <c r="A1282">
        <f>COUNTIF($D$2:D1282,D1282)</f>
        <v>1</v>
      </c>
      <c r="B1282" t="str">
        <f t="shared" si="77"/>
        <v>1Liverpool</v>
      </c>
      <c r="C1282" t="s">
        <v>4026</v>
      </c>
      <c r="D1282" t="s">
        <v>211</v>
      </c>
      <c r="E1282">
        <v>20</v>
      </c>
      <c r="F1282" t="s">
        <v>4027</v>
      </c>
      <c r="G1282" t="s">
        <v>811</v>
      </c>
      <c r="H1282" t="s">
        <v>830</v>
      </c>
      <c r="I1282" t="s">
        <v>813</v>
      </c>
      <c r="J1282">
        <f t="shared" ca="1" si="78"/>
        <v>269126</v>
      </c>
      <c r="K1282">
        <f t="shared" ca="1" si="79"/>
        <v>180</v>
      </c>
      <c r="N1282" t="str">
        <f t="shared" ref="N1282:N1345" si="80">O1282&amp;Q1282&amp;R1282&amp;T1282&amp;U1282</f>
        <v>Kingston upon Thames5Home Adaptations and Equipment DFG Related SchemesAdaptations, including statutory DFG grants</v>
      </c>
      <c r="O1282" t="s">
        <v>191</v>
      </c>
      <c r="P1282" t="s">
        <v>790</v>
      </c>
      <c r="Q1282">
        <v>5</v>
      </c>
      <c r="R1282" t="s">
        <v>3638</v>
      </c>
      <c r="S1282" t="s">
        <v>1479</v>
      </c>
      <c r="T1282" t="s">
        <v>834</v>
      </c>
      <c r="U1282" t="s">
        <v>835</v>
      </c>
      <c r="W1282">
        <v>115</v>
      </c>
      <c r="X1282">
        <v>115</v>
      </c>
      <c r="Y1282" t="s">
        <v>836</v>
      </c>
      <c r="Z1282" t="s">
        <v>792</v>
      </c>
      <c r="AB1282" t="s">
        <v>793</v>
      </c>
      <c r="AD1282" t="s">
        <v>794</v>
      </c>
      <c r="AE1282" t="s">
        <v>795</v>
      </c>
      <c r="AF1282" t="s">
        <v>840</v>
      </c>
      <c r="AG1282" t="s">
        <v>797</v>
      </c>
      <c r="AH1282">
        <v>1520112</v>
      </c>
      <c r="AI1282">
        <v>1520112</v>
      </c>
      <c r="AJ1282">
        <v>1</v>
      </c>
    </row>
    <row r="1283" spans="1:36" x14ac:dyDescent="0.3">
      <c r="A1283">
        <f>COUNTIF($D$2:D1283,D1283)</f>
        <v>2</v>
      </c>
      <c r="B1283" t="str">
        <f t="shared" ref="B1283:B1346" si="81">A1283&amp;D1283</f>
        <v>2Liverpool</v>
      </c>
      <c r="C1283" t="s">
        <v>4028</v>
      </c>
      <c r="D1283" t="s">
        <v>211</v>
      </c>
      <c r="E1283">
        <v>17</v>
      </c>
      <c r="F1283" t="s">
        <v>4029</v>
      </c>
      <c r="G1283" t="s">
        <v>811</v>
      </c>
      <c r="H1283" t="s">
        <v>812</v>
      </c>
      <c r="I1283" t="s">
        <v>813</v>
      </c>
      <c r="J1283">
        <f t="shared" ref="J1283:J1346" ca="1" si="82">SUMIF($N:$AI,C1283,AH:AH)</f>
        <v>53387</v>
      </c>
      <c r="K1283">
        <f t="shared" ref="K1283:K1346" ca="1" si="83">SUMIF($N:$AI,C1283,W:W)</f>
        <v>500</v>
      </c>
      <c r="N1283" t="str">
        <f t="shared" si="80"/>
        <v>Kingston upon Thames6Discharge to Assess - Home CareHome-based intermediate care servicesReablement at home (accepting step up and step down users)</v>
      </c>
      <c r="O1283" t="s">
        <v>191</v>
      </c>
      <c r="P1283" t="s">
        <v>790</v>
      </c>
      <c r="Q1283">
        <v>6</v>
      </c>
      <c r="R1283" t="s">
        <v>3641</v>
      </c>
      <c r="S1283" t="s">
        <v>4030</v>
      </c>
      <c r="T1283" t="s">
        <v>787</v>
      </c>
      <c r="U1283" t="s">
        <v>930</v>
      </c>
      <c r="W1283">
        <v>216</v>
      </c>
      <c r="X1283">
        <v>359</v>
      </c>
      <c r="Y1283" t="s">
        <v>789</v>
      </c>
      <c r="Z1283" t="s">
        <v>792</v>
      </c>
      <c r="AB1283" t="s">
        <v>793</v>
      </c>
      <c r="AD1283" t="s">
        <v>794</v>
      </c>
      <c r="AE1283" t="s">
        <v>804</v>
      </c>
      <c r="AF1283" t="s">
        <v>796</v>
      </c>
      <c r="AG1283" t="s">
        <v>797</v>
      </c>
      <c r="AH1283">
        <v>178067</v>
      </c>
      <c r="AI1283">
        <v>188145.3</v>
      </c>
      <c r="AJ1283">
        <v>0.03</v>
      </c>
    </row>
    <row r="1284" spans="1:36" x14ac:dyDescent="0.3">
      <c r="A1284">
        <f>COUNTIF($D$2:D1284,D1284)</f>
        <v>3</v>
      </c>
      <c r="B1284" t="str">
        <f t="shared" si="81"/>
        <v>3Liverpool</v>
      </c>
      <c r="C1284" t="s">
        <v>4031</v>
      </c>
      <c r="D1284" t="s">
        <v>211</v>
      </c>
      <c r="E1284">
        <v>19</v>
      </c>
      <c r="F1284" t="s">
        <v>4032</v>
      </c>
      <c r="G1284" t="s">
        <v>811</v>
      </c>
      <c r="H1284" t="s">
        <v>895</v>
      </c>
      <c r="I1284" t="s">
        <v>813</v>
      </c>
      <c r="J1284">
        <f t="shared" ca="1" si="82"/>
        <v>853126</v>
      </c>
      <c r="K1284">
        <f t="shared" ca="1" si="83"/>
        <v>3500</v>
      </c>
      <c r="N1284" t="str">
        <f t="shared" si="80"/>
        <v>Kingston upon Thames7Long term Home CareHome Care or Domiciliary CareDomiciliary care packages</v>
      </c>
      <c r="O1284" t="s">
        <v>191</v>
      </c>
      <c r="P1284" t="s">
        <v>790</v>
      </c>
      <c r="Q1284">
        <v>7</v>
      </c>
      <c r="R1284" t="s">
        <v>3644</v>
      </c>
      <c r="S1284" t="s">
        <v>4033</v>
      </c>
      <c r="T1284" t="s">
        <v>842</v>
      </c>
      <c r="U1284" t="s">
        <v>843</v>
      </c>
      <c r="W1284">
        <v>50155</v>
      </c>
      <c r="X1284">
        <v>50155</v>
      </c>
      <c r="Y1284" t="s">
        <v>844</v>
      </c>
      <c r="Z1284" t="s">
        <v>792</v>
      </c>
      <c r="AB1284" t="s">
        <v>793</v>
      </c>
      <c r="AD1284" t="s">
        <v>794</v>
      </c>
      <c r="AE1284" t="s">
        <v>804</v>
      </c>
      <c r="AF1284" t="s">
        <v>845</v>
      </c>
      <c r="AG1284" t="s">
        <v>797</v>
      </c>
      <c r="AH1284">
        <v>905801</v>
      </c>
      <c r="AI1284">
        <v>905801</v>
      </c>
      <c r="AJ1284">
        <v>0.14000000000000001</v>
      </c>
    </row>
    <row r="1285" spans="1:36" x14ac:dyDescent="0.3">
      <c r="A1285">
        <f>COUNTIF($D$2:D1285,D1285)</f>
        <v>4</v>
      </c>
      <c r="B1285" t="str">
        <f t="shared" si="81"/>
        <v>4Liverpool</v>
      </c>
      <c r="C1285" t="s">
        <v>4034</v>
      </c>
      <c r="D1285" t="s">
        <v>211</v>
      </c>
      <c r="E1285">
        <v>15</v>
      </c>
      <c r="F1285" t="s">
        <v>4035</v>
      </c>
      <c r="G1285" t="s">
        <v>806</v>
      </c>
      <c r="H1285" t="s">
        <v>873</v>
      </c>
      <c r="I1285" t="s">
        <v>808</v>
      </c>
      <c r="J1285">
        <f t="shared" ca="1" si="82"/>
        <v>533871</v>
      </c>
      <c r="K1285">
        <f t="shared" ca="1" si="83"/>
        <v>300</v>
      </c>
      <c r="N1285" t="str">
        <f t="shared" si="80"/>
        <v>Kingston upon Thames8Dementia placements Residential PlacementsCare home</v>
      </c>
      <c r="O1285" t="s">
        <v>191</v>
      </c>
      <c r="P1285" t="s">
        <v>790</v>
      </c>
      <c r="Q1285">
        <v>8</v>
      </c>
      <c r="R1285" t="s">
        <v>3648</v>
      </c>
      <c r="S1285" t="s">
        <v>4036</v>
      </c>
      <c r="T1285" t="s">
        <v>806</v>
      </c>
      <c r="U1285" t="s">
        <v>807</v>
      </c>
      <c r="W1285">
        <v>4</v>
      </c>
      <c r="X1285">
        <v>4</v>
      </c>
      <c r="Y1285" t="s">
        <v>808</v>
      </c>
      <c r="Z1285" t="s">
        <v>792</v>
      </c>
      <c r="AB1285" t="s">
        <v>793</v>
      </c>
      <c r="AD1285" t="s">
        <v>794</v>
      </c>
      <c r="AE1285" t="s">
        <v>804</v>
      </c>
      <c r="AF1285" t="s">
        <v>845</v>
      </c>
      <c r="AG1285" t="s">
        <v>797</v>
      </c>
      <c r="AH1285">
        <v>221116</v>
      </c>
      <c r="AI1285">
        <v>221116</v>
      </c>
      <c r="AJ1285">
        <v>0.01</v>
      </c>
    </row>
    <row r="1286" spans="1:36" x14ac:dyDescent="0.3">
      <c r="A1286">
        <f>COUNTIF($D$2:D1286,D1286)</f>
        <v>5</v>
      </c>
      <c r="B1286" t="str">
        <f t="shared" si="81"/>
        <v>5Liverpool</v>
      </c>
      <c r="C1286" t="s">
        <v>4037</v>
      </c>
      <c r="D1286" t="s">
        <v>211</v>
      </c>
      <c r="E1286">
        <v>16</v>
      </c>
      <c r="F1286" t="s">
        <v>4035</v>
      </c>
      <c r="G1286" t="s">
        <v>806</v>
      </c>
      <c r="H1286" t="s">
        <v>873</v>
      </c>
      <c r="I1286" t="s">
        <v>808</v>
      </c>
      <c r="J1286">
        <f t="shared" ca="1" si="82"/>
        <v>5314833</v>
      </c>
      <c r="K1286">
        <f t="shared" ca="1" si="83"/>
        <v>350</v>
      </c>
      <c r="N1286" t="str">
        <f t="shared" si="80"/>
        <v>Kingston upon Thames9Dementia placements Residential PlacementsCare home</v>
      </c>
      <c r="O1286" t="s">
        <v>191</v>
      </c>
      <c r="P1286" t="s">
        <v>790</v>
      </c>
      <c r="Q1286">
        <v>9</v>
      </c>
      <c r="R1286" t="s">
        <v>3648</v>
      </c>
      <c r="S1286" t="s">
        <v>4036</v>
      </c>
      <c r="T1286" t="s">
        <v>806</v>
      </c>
      <c r="U1286" t="s">
        <v>807</v>
      </c>
      <c r="W1286">
        <v>39</v>
      </c>
      <c r="X1286">
        <v>42</v>
      </c>
      <c r="Y1286" t="s">
        <v>808</v>
      </c>
      <c r="Z1286" t="s">
        <v>792</v>
      </c>
      <c r="AB1286" t="s">
        <v>793</v>
      </c>
      <c r="AD1286" t="s">
        <v>794</v>
      </c>
      <c r="AE1286" t="s">
        <v>804</v>
      </c>
      <c r="AF1286" t="s">
        <v>796</v>
      </c>
      <c r="AG1286" t="s">
        <v>797</v>
      </c>
      <c r="AH1286">
        <v>2460692</v>
      </c>
      <c r="AI1286">
        <v>2599967.7000000002</v>
      </c>
      <c r="AJ1286">
        <v>0.16</v>
      </c>
    </row>
    <row r="1287" spans="1:36" x14ac:dyDescent="0.3">
      <c r="A1287">
        <f>COUNTIF($D$2:D1287,D1287)</f>
        <v>6</v>
      </c>
      <c r="B1287" t="str">
        <f t="shared" si="81"/>
        <v>6Liverpool</v>
      </c>
      <c r="C1287" t="s">
        <v>4038</v>
      </c>
      <c r="D1287" t="s">
        <v>211</v>
      </c>
      <c r="E1287">
        <v>41</v>
      </c>
      <c r="F1287" t="s">
        <v>4039</v>
      </c>
      <c r="G1287" t="s">
        <v>811</v>
      </c>
      <c r="H1287" t="s">
        <v>895</v>
      </c>
      <c r="I1287" t="s">
        <v>813</v>
      </c>
      <c r="J1287">
        <f t="shared" ca="1" si="82"/>
        <v>178313</v>
      </c>
      <c r="K1287">
        <f t="shared" ca="1" si="83"/>
        <v>1200</v>
      </c>
      <c r="N1287" t="str">
        <f t="shared" si="80"/>
        <v>Kingston upon Thames10Community EquipmentAssistive Technologies and EquipmentCommunity based equipment</v>
      </c>
      <c r="O1287" t="s">
        <v>191</v>
      </c>
      <c r="P1287" t="s">
        <v>790</v>
      </c>
      <c r="Q1287">
        <v>10</v>
      </c>
      <c r="R1287" t="s">
        <v>1051</v>
      </c>
      <c r="S1287" t="s">
        <v>1816</v>
      </c>
      <c r="T1287" t="s">
        <v>800</v>
      </c>
      <c r="U1287" t="s">
        <v>903</v>
      </c>
      <c r="W1287">
        <v>1090</v>
      </c>
      <c r="X1287">
        <v>1150</v>
      </c>
      <c r="Y1287" t="s">
        <v>802</v>
      </c>
      <c r="Z1287" t="s">
        <v>792</v>
      </c>
      <c r="AB1287" t="s">
        <v>793</v>
      </c>
      <c r="AD1287" t="s">
        <v>794</v>
      </c>
      <c r="AE1287" t="s">
        <v>804</v>
      </c>
      <c r="AF1287" t="s">
        <v>796</v>
      </c>
      <c r="AG1287" t="s">
        <v>797</v>
      </c>
      <c r="AH1287">
        <v>430622</v>
      </c>
      <c r="AI1287">
        <v>454994.7</v>
      </c>
      <c r="AJ1287">
        <v>0.86</v>
      </c>
    </row>
    <row r="1288" spans="1:36" x14ac:dyDescent="0.3">
      <c r="A1288">
        <f>COUNTIF($D$2:D1288,D1288)</f>
        <v>7</v>
      </c>
      <c r="B1288" t="str">
        <f t="shared" si="81"/>
        <v>7Liverpool</v>
      </c>
      <c r="C1288" t="s">
        <v>4040</v>
      </c>
      <c r="D1288" t="s">
        <v>211</v>
      </c>
      <c r="E1288">
        <v>28</v>
      </c>
      <c r="F1288" t="s">
        <v>4041</v>
      </c>
      <c r="G1288" t="s">
        <v>811</v>
      </c>
      <c r="H1288" t="s">
        <v>895</v>
      </c>
      <c r="I1288" t="s">
        <v>813</v>
      </c>
      <c r="J1288">
        <f t="shared" ca="1" si="82"/>
        <v>100426</v>
      </c>
      <c r="K1288">
        <f t="shared" ca="1" si="83"/>
        <v>300</v>
      </c>
      <c r="N1288" t="str">
        <f t="shared" si="80"/>
        <v xml:space="preserve">Kingston upon Thames16Additional support for Reablement Home-based intermediate care servicesReablement at home (to support discharge) </v>
      </c>
      <c r="O1288" t="s">
        <v>191</v>
      </c>
      <c r="P1288" t="s">
        <v>790</v>
      </c>
      <c r="Q1288">
        <v>16</v>
      </c>
      <c r="R1288" t="s">
        <v>3656</v>
      </c>
      <c r="S1288" t="s">
        <v>4042</v>
      </c>
      <c r="T1288" t="s">
        <v>787</v>
      </c>
      <c r="U1288" t="s">
        <v>788</v>
      </c>
      <c r="W1288">
        <v>1500</v>
      </c>
      <c r="X1288">
        <v>2490</v>
      </c>
      <c r="Y1288" t="s">
        <v>789</v>
      </c>
      <c r="Z1288" t="s">
        <v>823</v>
      </c>
      <c r="AB1288" t="s">
        <v>824</v>
      </c>
      <c r="AD1288" t="s">
        <v>794</v>
      </c>
      <c r="AE1288" t="s">
        <v>832</v>
      </c>
      <c r="AF1288" t="s">
        <v>864</v>
      </c>
      <c r="AG1288" t="s">
        <v>861</v>
      </c>
      <c r="AH1288">
        <v>56547</v>
      </c>
      <c r="AI1288">
        <v>93868</v>
      </c>
      <c r="AJ1288">
        <v>0.1</v>
      </c>
    </row>
    <row r="1289" spans="1:36" x14ac:dyDescent="0.3">
      <c r="A1289">
        <f>COUNTIF($D$2:D1289,D1289)</f>
        <v>8</v>
      </c>
      <c r="B1289" t="str">
        <f t="shared" si="81"/>
        <v>8Liverpool</v>
      </c>
      <c r="C1289" t="s">
        <v>4043</v>
      </c>
      <c r="D1289" t="s">
        <v>211</v>
      </c>
      <c r="E1289">
        <v>23</v>
      </c>
      <c r="F1289" t="s">
        <v>4044</v>
      </c>
      <c r="G1289" t="s">
        <v>806</v>
      </c>
      <c r="H1289" t="s">
        <v>873</v>
      </c>
      <c r="I1289" t="s">
        <v>808</v>
      </c>
      <c r="J1289">
        <f t="shared" ca="1" si="82"/>
        <v>72233</v>
      </c>
      <c r="K1289">
        <f t="shared" ca="1" si="83"/>
        <v>5</v>
      </c>
      <c r="N1289" t="str">
        <f t="shared" si="80"/>
        <v>Kingston upon Thames17Additional complex homecareHome Care or Domiciliary CareShort term domiciliary care (without reablement input)</v>
      </c>
      <c r="O1289" t="s">
        <v>191</v>
      </c>
      <c r="P1289" t="s">
        <v>790</v>
      </c>
      <c r="Q1289">
        <v>17</v>
      </c>
      <c r="R1289" t="s">
        <v>3659</v>
      </c>
      <c r="S1289" t="s">
        <v>4045</v>
      </c>
      <c r="T1289" t="s">
        <v>842</v>
      </c>
      <c r="U1289" t="s">
        <v>1102</v>
      </c>
      <c r="W1289">
        <v>16080</v>
      </c>
      <c r="X1289">
        <v>26693</v>
      </c>
      <c r="Y1289" t="s">
        <v>789</v>
      </c>
      <c r="Z1289" t="s">
        <v>792</v>
      </c>
      <c r="AB1289" t="s">
        <v>793</v>
      </c>
      <c r="AD1289" t="s">
        <v>794</v>
      </c>
      <c r="AE1289" t="s">
        <v>804</v>
      </c>
      <c r="AF1289" t="s">
        <v>860</v>
      </c>
      <c r="AG1289" t="s">
        <v>861</v>
      </c>
      <c r="AH1289">
        <v>290073</v>
      </c>
      <c r="AI1289">
        <v>520615</v>
      </c>
      <c r="AJ1289">
        <v>0.06</v>
      </c>
    </row>
    <row r="1290" spans="1:36" x14ac:dyDescent="0.3">
      <c r="A1290">
        <f>COUNTIF($D$2:D1290,D1290)</f>
        <v>9</v>
      </c>
      <c r="B1290" t="str">
        <f t="shared" si="81"/>
        <v>9Liverpool</v>
      </c>
      <c r="C1290" t="s">
        <v>4046</v>
      </c>
      <c r="D1290" t="s">
        <v>211</v>
      </c>
      <c r="E1290">
        <v>29</v>
      </c>
      <c r="F1290" t="s">
        <v>4047</v>
      </c>
      <c r="G1290" t="s">
        <v>877</v>
      </c>
      <c r="H1290" t="s">
        <v>812</v>
      </c>
      <c r="I1290" t="s">
        <v>879</v>
      </c>
      <c r="J1290">
        <f t="shared" ca="1" si="82"/>
        <v>28773</v>
      </c>
      <c r="K1290">
        <f t="shared" ca="1" si="83"/>
        <v>10</v>
      </c>
      <c r="N1290" t="str">
        <f t="shared" si="80"/>
        <v>Kingston upon Thames18Additional D2A and flow capacityResidential PlacementsShort term residential care (without rehabilitation or reablement input)</v>
      </c>
      <c r="O1290" t="s">
        <v>191</v>
      </c>
      <c r="P1290" t="s">
        <v>790</v>
      </c>
      <c r="Q1290">
        <v>18</v>
      </c>
      <c r="R1290" t="s">
        <v>3661</v>
      </c>
      <c r="S1290" t="s">
        <v>4048</v>
      </c>
      <c r="T1290" t="s">
        <v>806</v>
      </c>
      <c r="U1290" t="s">
        <v>955</v>
      </c>
      <c r="W1290">
        <v>1</v>
      </c>
      <c r="X1290">
        <v>2</v>
      </c>
      <c r="Y1290" t="s">
        <v>808</v>
      </c>
      <c r="Z1290" t="s">
        <v>792</v>
      </c>
      <c r="AB1290" t="s">
        <v>793</v>
      </c>
      <c r="AD1290" t="s">
        <v>794</v>
      </c>
      <c r="AE1290" t="s">
        <v>804</v>
      </c>
      <c r="AF1290" t="s">
        <v>864</v>
      </c>
      <c r="AG1290" t="s">
        <v>861</v>
      </c>
      <c r="AH1290">
        <v>62997</v>
      </c>
      <c r="AI1290">
        <v>106303</v>
      </c>
      <c r="AJ1290">
        <v>0.01</v>
      </c>
    </row>
    <row r="1291" spans="1:36" x14ac:dyDescent="0.3">
      <c r="A1291">
        <f>COUNTIF($D$2:D1291,D1291)</f>
        <v>10</v>
      </c>
      <c r="B1291" t="str">
        <f t="shared" si="81"/>
        <v>10Liverpool</v>
      </c>
      <c r="C1291" t="s">
        <v>4049</v>
      </c>
      <c r="D1291" t="s">
        <v>211</v>
      </c>
      <c r="E1291">
        <v>31</v>
      </c>
      <c r="F1291" t="s">
        <v>4050</v>
      </c>
      <c r="G1291" t="s">
        <v>806</v>
      </c>
      <c r="H1291" t="s">
        <v>917</v>
      </c>
      <c r="I1291" t="s">
        <v>808</v>
      </c>
      <c r="J1291">
        <f t="shared" ca="1" si="82"/>
        <v>13039960</v>
      </c>
      <c r="K1291">
        <f t="shared" ca="1" si="83"/>
        <v>218</v>
      </c>
      <c r="N1291" t="str">
        <f t="shared" si="80"/>
        <v>Kirklees1Aids to Daily LivingAssistive Technologies and EquipmentCommunity based equipment</v>
      </c>
      <c r="O1291" t="s">
        <v>193</v>
      </c>
      <c r="P1291" t="s">
        <v>922</v>
      </c>
      <c r="Q1291">
        <v>1</v>
      </c>
      <c r="R1291" t="s">
        <v>3664</v>
      </c>
      <c r="S1291" t="s">
        <v>4051</v>
      </c>
      <c r="T1291" t="s">
        <v>800</v>
      </c>
      <c r="U1291" t="s">
        <v>903</v>
      </c>
      <c r="W1291">
        <v>10204</v>
      </c>
      <c r="X1291">
        <v>10251</v>
      </c>
      <c r="Y1291" t="s">
        <v>802</v>
      </c>
      <c r="Z1291" t="s">
        <v>823</v>
      </c>
      <c r="AB1291" t="s">
        <v>793</v>
      </c>
      <c r="AD1291" t="s">
        <v>794</v>
      </c>
      <c r="AE1291" t="s">
        <v>804</v>
      </c>
      <c r="AF1291" t="s">
        <v>796</v>
      </c>
      <c r="AG1291" t="s">
        <v>797</v>
      </c>
      <c r="AH1291">
        <v>2683747</v>
      </c>
      <c r="AI1291">
        <v>2878644</v>
      </c>
      <c r="AJ1291">
        <v>0.55000000000000004</v>
      </c>
    </row>
    <row r="1292" spans="1:36" x14ac:dyDescent="0.3">
      <c r="A1292">
        <f>COUNTIF($D$2:D1292,D1292)</f>
        <v>11</v>
      </c>
      <c r="B1292" t="str">
        <f t="shared" si="81"/>
        <v>11Liverpool</v>
      </c>
      <c r="C1292" t="s">
        <v>4052</v>
      </c>
      <c r="D1292" t="s">
        <v>211</v>
      </c>
      <c r="E1292">
        <v>30</v>
      </c>
      <c r="F1292" t="s">
        <v>4050</v>
      </c>
      <c r="G1292" t="s">
        <v>806</v>
      </c>
      <c r="H1292" t="s">
        <v>917</v>
      </c>
      <c r="I1292" t="s">
        <v>808</v>
      </c>
      <c r="J1292">
        <f t="shared" ca="1" si="82"/>
        <v>3087800</v>
      </c>
      <c r="K1292">
        <f t="shared" ca="1" si="83"/>
        <v>50</v>
      </c>
      <c r="N1292" t="str">
        <f t="shared" si="80"/>
        <v>Kirklees1Aids to Daily LivingAssistive Technologies and EquipmentCommunity based equipment</v>
      </c>
      <c r="O1292" t="s">
        <v>193</v>
      </c>
      <c r="P1292" t="s">
        <v>922</v>
      </c>
      <c r="Q1292">
        <v>1</v>
      </c>
      <c r="R1292" t="s">
        <v>3664</v>
      </c>
      <c r="S1292" t="s">
        <v>4053</v>
      </c>
      <c r="T1292" t="s">
        <v>800</v>
      </c>
      <c r="U1292" t="s">
        <v>903</v>
      </c>
      <c r="W1292">
        <v>6126</v>
      </c>
      <c r="X1292">
        <v>5729</v>
      </c>
      <c r="Y1292" t="s">
        <v>802</v>
      </c>
      <c r="Z1292" t="s">
        <v>823</v>
      </c>
      <c r="AB1292" t="s">
        <v>793</v>
      </c>
      <c r="AD1292" t="s">
        <v>794</v>
      </c>
      <c r="AE1292" t="s">
        <v>804</v>
      </c>
      <c r="AF1292" t="s">
        <v>1029</v>
      </c>
      <c r="AG1292" t="s">
        <v>797</v>
      </c>
      <c r="AH1292">
        <v>1581000</v>
      </c>
      <c r="AI1292">
        <v>1581000</v>
      </c>
      <c r="AJ1292">
        <v>0.31</v>
      </c>
    </row>
    <row r="1293" spans="1:36" x14ac:dyDescent="0.3">
      <c r="A1293">
        <f>COUNTIF($D$2:D1293,D1293)</f>
        <v>12</v>
      </c>
      <c r="B1293" t="str">
        <f t="shared" si="81"/>
        <v>12Liverpool</v>
      </c>
      <c r="C1293" t="s">
        <v>4054</v>
      </c>
      <c r="D1293" t="s">
        <v>211</v>
      </c>
      <c r="E1293">
        <v>101</v>
      </c>
      <c r="F1293" t="s">
        <v>4050</v>
      </c>
      <c r="G1293" t="s">
        <v>806</v>
      </c>
      <c r="H1293" t="s">
        <v>917</v>
      </c>
      <c r="I1293" t="s">
        <v>808</v>
      </c>
      <c r="J1293">
        <f t="shared" ca="1" si="82"/>
        <v>10739329</v>
      </c>
      <c r="K1293">
        <f t="shared" ca="1" si="83"/>
        <v>180</v>
      </c>
      <c r="N1293" t="str">
        <f t="shared" si="80"/>
        <v>Kirklees1Aids to Daily LivingDFG Related SchemesAdaptations, including statutory DFG grants</v>
      </c>
      <c r="O1293" t="s">
        <v>193</v>
      </c>
      <c r="P1293" t="s">
        <v>922</v>
      </c>
      <c r="Q1293">
        <v>1</v>
      </c>
      <c r="R1293" t="s">
        <v>3664</v>
      </c>
      <c r="S1293" t="s">
        <v>4053</v>
      </c>
      <c r="T1293" t="s">
        <v>834</v>
      </c>
      <c r="U1293" t="s">
        <v>835</v>
      </c>
      <c r="W1293">
        <v>382</v>
      </c>
      <c r="X1293">
        <v>382</v>
      </c>
      <c r="Y1293" t="s">
        <v>836</v>
      </c>
      <c r="Z1293" t="s">
        <v>792</v>
      </c>
      <c r="AB1293" t="s">
        <v>793</v>
      </c>
      <c r="AD1293" t="s">
        <v>794</v>
      </c>
      <c r="AE1293" t="s">
        <v>804</v>
      </c>
      <c r="AF1293" t="s">
        <v>840</v>
      </c>
      <c r="AG1293" t="s">
        <v>797</v>
      </c>
      <c r="AH1293">
        <v>3623994</v>
      </c>
      <c r="AI1293">
        <v>3623994</v>
      </c>
      <c r="AJ1293">
        <v>0.62</v>
      </c>
    </row>
    <row r="1294" spans="1:36" x14ac:dyDescent="0.3">
      <c r="A1294">
        <f>COUNTIF($D$2:D1294,D1294)</f>
        <v>13</v>
      </c>
      <c r="B1294" t="str">
        <f t="shared" si="81"/>
        <v>13Liverpool</v>
      </c>
      <c r="C1294" t="s">
        <v>4055</v>
      </c>
      <c r="D1294" t="s">
        <v>211</v>
      </c>
      <c r="E1294">
        <v>27</v>
      </c>
      <c r="F1294" t="s">
        <v>4056</v>
      </c>
      <c r="G1294" t="s">
        <v>806</v>
      </c>
      <c r="H1294" t="s">
        <v>873</v>
      </c>
      <c r="I1294" t="s">
        <v>808</v>
      </c>
      <c r="J1294">
        <f t="shared" ca="1" si="82"/>
        <v>1090706</v>
      </c>
      <c r="K1294">
        <f t="shared" ca="1" si="83"/>
        <v>35</v>
      </c>
      <c r="N1294" t="str">
        <f t="shared" si="80"/>
        <v>Kirklees1Aids to Daily LivingAssistive Technologies and EquipmentCommunity based equipment</v>
      </c>
      <c r="O1294" t="s">
        <v>193</v>
      </c>
      <c r="P1294" t="s">
        <v>922</v>
      </c>
      <c r="Q1294">
        <v>1</v>
      </c>
      <c r="R1294" t="s">
        <v>3664</v>
      </c>
      <c r="S1294" t="s">
        <v>4053</v>
      </c>
      <c r="T1294" t="s">
        <v>800</v>
      </c>
      <c r="U1294" t="s">
        <v>903</v>
      </c>
      <c r="W1294">
        <v>3000</v>
      </c>
      <c r="X1294">
        <v>3000</v>
      </c>
      <c r="Y1294" t="s">
        <v>802</v>
      </c>
      <c r="Z1294" t="s">
        <v>792</v>
      </c>
      <c r="AB1294" t="s">
        <v>793</v>
      </c>
      <c r="AD1294" t="s">
        <v>794</v>
      </c>
      <c r="AE1294" t="s">
        <v>804</v>
      </c>
      <c r="AF1294" t="s">
        <v>796</v>
      </c>
      <c r="AG1294" t="s">
        <v>797</v>
      </c>
      <c r="AH1294">
        <v>450000</v>
      </c>
      <c r="AI1294">
        <v>483300</v>
      </c>
      <c r="AJ1294">
        <v>0.09</v>
      </c>
    </row>
    <row r="1295" spans="1:36" x14ac:dyDescent="0.3">
      <c r="A1295">
        <f>COUNTIF($D$2:D1295,D1295)</f>
        <v>14</v>
      </c>
      <c r="B1295" t="str">
        <f t="shared" si="81"/>
        <v>14Liverpool</v>
      </c>
      <c r="C1295" t="s">
        <v>4057</v>
      </c>
      <c r="D1295" t="s">
        <v>211</v>
      </c>
      <c r="E1295">
        <v>25</v>
      </c>
      <c r="F1295" t="s">
        <v>4056</v>
      </c>
      <c r="G1295" t="s">
        <v>806</v>
      </c>
      <c r="H1295" t="s">
        <v>873</v>
      </c>
      <c r="I1295" t="s">
        <v>808</v>
      </c>
      <c r="J1295">
        <f t="shared" ca="1" si="82"/>
        <v>1385941</v>
      </c>
      <c r="K1295">
        <f t="shared" ca="1" si="83"/>
        <v>45</v>
      </c>
      <c r="N1295" t="str">
        <f t="shared" si="80"/>
        <v xml:space="preserve">Kirklees2Intermediate Care and ReablementHome-based intermediate care servicesReablement at home (to support discharge) </v>
      </c>
      <c r="O1295" t="s">
        <v>193</v>
      </c>
      <c r="P1295" t="s">
        <v>922</v>
      </c>
      <c r="Q1295">
        <v>2</v>
      </c>
      <c r="R1295" t="s">
        <v>1778</v>
      </c>
      <c r="S1295" t="s">
        <v>4058</v>
      </c>
      <c r="T1295" t="s">
        <v>787</v>
      </c>
      <c r="U1295" t="s">
        <v>788</v>
      </c>
      <c r="W1295">
        <v>1800</v>
      </c>
      <c r="X1295">
        <v>1926</v>
      </c>
      <c r="Y1295" t="s">
        <v>789</v>
      </c>
      <c r="Z1295" t="s">
        <v>792</v>
      </c>
      <c r="AB1295" t="s">
        <v>793</v>
      </c>
      <c r="AD1295" t="s">
        <v>794</v>
      </c>
      <c r="AE1295" t="s">
        <v>795</v>
      </c>
      <c r="AF1295" t="s">
        <v>796</v>
      </c>
      <c r="AG1295" t="s">
        <v>797</v>
      </c>
      <c r="AH1295">
        <v>7100610</v>
      </c>
      <c r="AI1295">
        <v>7569251</v>
      </c>
      <c r="AJ1295">
        <v>0.5</v>
      </c>
    </row>
    <row r="1296" spans="1:36" x14ac:dyDescent="0.3">
      <c r="A1296">
        <f>COUNTIF($D$2:D1296,D1296)</f>
        <v>15</v>
      </c>
      <c r="B1296" t="str">
        <f t="shared" si="81"/>
        <v>15Liverpool</v>
      </c>
      <c r="C1296" t="s">
        <v>4059</v>
      </c>
      <c r="D1296" t="s">
        <v>211</v>
      </c>
      <c r="E1296">
        <v>90</v>
      </c>
      <c r="F1296" t="s">
        <v>4060</v>
      </c>
      <c r="G1296" t="s">
        <v>806</v>
      </c>
      <c r="H1296" t="s">
        <v>917</v>
      </c>
      <c r="I1296" t="s">
        <v>808</v>
      </c>
      <c r="J1296">
        <f t="shared" ca="1" si="82"/>
        <v>3398362</v>
      </c>
      <c r="K1296">
        <f t="shared" ca="1" si="83"/>
        <v>70</v>
      </c>
      <c r="N1296" t="str">
        <f t="shared" si="80"/>
        <v>Kirklees2Intermediate Care and ReablementBed based intermediate Care Services (Reablement, rehabilitation, wider short-term services supporting recovery)Bed-based intermediate care with rehabilitation (to support discharge)</v>
      </c>
      <c r="O1296" t="s">
        <v>193</v>
      </c>
      <c r="P1296" t="s">
        <v>922</v>
      </c>
      <c r="Q1296">
        <v>2</v>
      </c>
      <c r="R1296" t="s">
        <v>1778</v>
      </c>
      <c r="S1296" t="s">
        <v>4053</v>
      </c>
      <c r="T1296" t="s">
        <v>877</v>
      </c>
      <c r="U1296" t="s">
        <v>968</v>
      </c>
      <c r="W1296">
        <v>30</v>
      </c>
      <c r="X1296">
        <v>30</v>
      </c>
      <c r="Y1296" t="s">
        <v>879</v>
      </c>
      <c r="Z1296" t="s">
        <v>792</v>
      </c>
      <c r="AB1296" t="s">
        <v>793</v>
      </c>
      <c r="AD1296" t="s">
        <v>794</v>
      </c>
      <c r="AE1296" t="s">
        <v>795</v>
      </c>
      <c r="AF1296" t="s">
        <v>796</v>
      </c>
      <c r="AG1296" t="s">
        <v>797</v>
      </c>
      <c r="AH1296">
        <v>1358438</v>
      </c>
      <c r="AI1296">
        <v>1448095</v>
      </c>
      <c r="AJ1296">
        <v>0.37</v>
      </c>
    </row>
    <row r="1297" spans="1:36" x14ac:dyDescent="0.3">
      <c r="A1297">
        <f>COUNTIF($D$2:D1297,D1297)</f>
        <v>16</v>
      </c>
      <c r="B1297" t="str">
        <f t="shared" si="81"/>
        <v>16Liverpool</v>
      </c>
      <c r="C1297" t="s">
        <v>4061</v>
      </c>
      <c r="D1297" t="s">
        <v>211</v>
      </c>
      <c r="E1297">
        <v>37</v>
      </c>
      <c r="F1297" t="s">
        <v>4062</v>
      </c>
      <c r="G1297" t="s">
        <v>806</v>
      </c>
      <c r="H1297" t="s">
        <v>917</v>
      </c>
      <c r="I1297" t="s">
        <v>808</v>
      </c>
      <c r="J1297">
        <f t="shared" ca="1" si="82"/>
        <v>2577973</v>
      </c>
      <c r="K1297">
        <f t="shared" ca="1" si="83"/>
        <v>50</v>
      </c>
      <c r="N1297" t="str">
        <f t="shared" si="80"/>
        <v>Kirklees2Intermediate Care and ReablementHome-based intermediate care servicesOther</v>
      </c>
      <c r="O1297" t="s">
        <v>193</v>
      </c>
      <c r="P1297" t="s">
        <v>922</v>
      </c>
      <c r="Q1297">
        <v>2</v>
      </c>
      <c r="R1297" t="s">
        <v>1778</v>
      </c>
      <c r="S1297" t="s">
        <v>4053</v>
      </c>
      <c r="T1297" t="s">
        <v>787</v>
      </c>
      <c r="U1297" t="s">
        <v>812</v>
      </c>
      <c r="V1297" t="s">
        <v>4063</v>
      </c>
      <c r="W1297">
        <v>640</v>
      </c>
      <c r="X1297">
        <v>683</v>
      </c>
      <c r="Y1297" t="s">
        <v>789</v>
      </c>
      <c r="Z1297" t="s">
        <v>823</v>
      </c>
      <c r="AB1297" t="s">
        <v>824</v>
      </c>
      <c r="AD1297" t="s">
        <v>794</v>
      </c>
      <c r="AE1297" t="s">
        <v>832</v>
      </c>
      <c r="AF1297" t="s">
        <v>796</v>
      </c>
      <c r="AG1297" t="s">
        <v>797</v>
      </c>
      <c r="AH1297">
        <v>2256846</v>
      </c>
      <c r="AI1297">
        <v>2384583</v>
      </c>
      <c r="AJ1297">
        <v>0.16</v>
      </c>
    </row>
    <row r="1298" spans="1:36" x14ac:dyDescent="0.3">
      <c r="A1298">
        <f>COUNTIF($D$2:D1298,D1298)</f>
        <v>17</v>
      </c>
      <c r="B1298" t="str">
        <f t="shared" si="81"/>
        <v>17Liverpool</v>
      </c>
      <c r="C1298" t="s">
        <v>4064</v>
      </c>
      <c r="D1298" t="s">
        <v>211</v>
      </c>
      <c r="E1298">
        <v>89</v>
      </c>
      <c r="F1298" t="s">
        <v>4062</v>
      </c>
      <c r="G1298" t="s">
        <v>806</v>
      </c>
      <c r="H1298" t="s">
        <v>873</v>
      </c>
      <c r="I1298" t="s">
        <v>808</v>
      </c>
      <c r="J1298">
        <f t="shared" ca="1" si="82"/>
        <v>8447371</v>
      </c>
      <c r="K1298">
        <f t="shared" ca="1" si="83"/>
        <v>130</v>
      </c>
      <c r="N1298" t="str">
        <f t="shared" si="80"/>
        <v>Kirklees3Carers Support ServicesCarers ServicesCarer advice and support related to Care Act duties</v>
      </c>
      <c r="O1298" t="s">
        <v>193</v>
      </c>
      <c r="P1298" t="s">
        <v>922</v>
      </c>
      <c r="Q1298">
        <v>3</v>
      </c>
      <c r="R1298" t="s">
        <v>3674</v>
      </c>
      <c r="S1298" t="s">
        <v>4065</v>
      </c>
      <c r="T1298" t="s">
        <v>811</v>
      </c>
      <c r="U1298" t="s">
        <v>895</v>
      </c>
      <c r="W1298">
        <v>696</v>
      </c>
      <c r="X1298">
        <v>696</v>
      </c>
      <c r="Y1298" t="s">
        <v>813</v>
      </c>
      <c r="Z1298" t="s">
        <v>792</v>
      </c>
      <c r="AB1298" t="s">
        <v>793</v>
      </c>
      <c r="AD1298" t="s">
        <v>794</v>
      </c>
      <c r="AE1298" t="s">
        <v>825</v>
      </c>
      <c r="AF1298" t="s">
        <v>796</v>
      </c>
      <c r="AG1298" t="s">
        <v>797</v>
      </c>
      <c r="AH1298">
        <v>1167112</v>
      </c>
      <c r="AI1298">
        <v>1253478</v>
      </c>
      <c r="AJ1298">
        <v>0.17</v>
      </c>
    </row>
    <row r="1299" spans="1:36" x14ac:dyDescent="0.3">
      <c r="A1299">
        <f>COUNTIF($D$2:D1299,D1299)</f>
        <v>18</v>
      </c>
      <c r="B1299" t="str">
        <f t="shared" si="81"/>
        <v>18Liverpool</v>
      </c>
      <c r="C1299" t="s">
        <v>4066</v>
      </c>
      <c r="D1299" t="s">
        <v>211</v>
      </c>
      <c r="E1299">
        <v>103</v>
      </c>
      <c r="F1299" t="s">
        <v>4067</v>
      </c>
      <c r="G1299" t="s">
        <v>806</v>
      </c>
      <c r="H1299" t="s">
        <v>917</v>
      </c>
      <c r="I1299" t="s">
        <v>808</v>
      </c>
      <c r="J1299">
        <f t="shared" ca="1" si="82"/>
        <v>1140559</v>
      </c>
      <c r="K1299">
        <f t="shared" ca="1" si="83"/>
        <v>10</v>
      </c>
      <c r="N1299" t="str">
        <f t="shared" si="80"/>
        <v>Kirklees3Carers Support ServicesCarers ServicesRespite services</v>
      </c>
      <c r="O1299" t="s">
        <v>193</v>
      </c>
      <c r="P1299" t="s">
        <v>922</v>
      </c>
      <c r="Q1299">
        <v>3</v>
      </c>
      <c r="R1299" t="s">
        <v>3674</v>
      </c>
      <c r="S1299" t="s">
        <v>4053</v>
      </c>
      <c r="T1299" t="s">
        <v>811</v>
      </c>
      <c r="U1299" t="s">
        <v>830</v>
      </c>
      <c r="W1299">
        <v>32</v>
      </c>
      <c r="X1299">
        <v>32</v>
      </c>
      <c r="Y1299" t="s">
        <v>813</v>
      </c>
      <c r="Z1299" t="s">
        <v>792</v>
      </c>
      <c r="AB1299" t="s">
        <v>793</v>
      </c>
      <c r="AD1299" t="s">
        <v>794</v>
      </c>
      <c r="AE1299" t="s">
        <v>825</v>
      </c>
      <c r="AF1299" t="s">
        <v>796</v>
      </c>
      <c r="AG1299" t="s">
        <v>797</v>
      </c>
      <c r="AH1299">
        <v>1274439</v>
      </c>
      <c r="AI1299">
        <v>1313947</v>
      </c>
      <c r="AJ1299">
        <v>0.18</v>
      </c>
    </row>
    <row r="1300" spans="1:36" x14ac:dyDescent="0.3">
      <c r="A1300">
        <f>COUNTIF($D$2:D1300,D1300)</f>
        <v>19</v>
      </c>
      <c r="B1300" t="str">
        <f t="shared" si="81"/>
        <v>19Liverpool</v>
      </c>
      <c r="C1300" t="s">
        <v>4068</v>
      </c>
      <c r="D1300" t="s">
        <v>211</v>
      </c>
      <c r="E1300">
        <v>38</v>
      </c>
      <c r="F1300" t="s">
        <v>4069</v>
      </c>
      <c r="G1300" t="s">
        <v>806</v>
      </c>
      <c r="H1300" t="s">
        <v>873</v>
      </c>
      <c r="I1300" t="s">
        <v>808</v>
      </c>
      <c r="J1300">
        <f t="shared" ca="1" si="82"/>
        <v>316966</v>
      </c>
      <c r="K1300">
        <f t="shared" ca="1" si="83"/>
        <v>10</v>
      </c>
      <c r="N1300" t="str">
        <f t="shared" si="80"/>
        <v>Kirklees3Carers Support ServicesCarers ServicesRespite services</v>
      </c>
      <c r="O1300" t="s">
        <v>193</v>
      </c>
      <c r="P1300" t="s">
        <v>922</v>
      </c>
      <c r="Q1300">
        <v>3</v>
      </c>
      <c r="R1300" t="s">
        <v>3674</v>
      </c>
      <c r="S1300" t="s">
        <v>4053</v>
      </c>
      <c r="T1300" t="s">
        <v>811</v>
      </c>
      <c r="U1300" t="s">
        <v>830</v>
      </c>
      <c r="W1300">
        <v>152</v>
      </c>
      <c r="X1300">
        <v>152</v>
      </c>
      <c r="Y1300" t="s">
        <v>813</v>
      </c>
      <c r="Z1300" t="s">
        <v>823</v>
      </c>
      <c r="AB1300" t="s">
        <v>824</v>
      </c>
      <c r="AD1300" t="s">
        <v>794</v>
      </c>
      <c r="AE1300" t="s">
        <v>825</v>
      </c>
      <c r="AF1300" t="s">
        <v>796</v>
      </c>
      <c r="AG1300" t="s">
        <v>797</v>
      </c>
      <c r="AH1300">
        <v>874689</v>
      </c>
      <c r="AI1300">
        <v>924196</v>
      </c>
      <c r="AJ1300">
        <v>0.12</v>
      </c>
    </row>
    <row r="1301" spans="1:36" x14ac:dyDescent="0.3">
      <c r="A1301">
        <f>COUNTIF($D$2:D1301,D1301)</f>
        <v>20</v>
      </c>
      <c r="B1301" t="str">
        <f t="shared" si="81"/>
        <v>20Liverpool</v>
      </c>
      <c r="C1301" t="s">
        <v>4070</v>
      </c>
      <c r="D1301" t="s">
        <v>211</v>
      </c>
      <c r="E1301">
        <v>82</v>
      </c>
      <c r="F1301" t="s">
        <v>4071</v>
      </c>
      <c r="G1301" t="s">
        <v>806</v>
      </c>
      <c r="H1301" t="s">
        <v>873</v>
      </c>
      <c r="I1301" t="s">
        <v>808</v>
      </c>
      <c r="J1301">
        <f t="shared" ca="1" si="82"/>
        <v>799221</v>
      </c>
      <c r="K1301">
        <f t="shared" ca="1" si="83"/>
        <v>5</v>
      </c>
      <c r="N1301" t="str">
        <f t="shared" si="80"/>
        <v>Kirklees4Protecting Social CareHome Care or Domiciliary CareDomiciliary care packages</v>
      </c>
      <c r="O1301" t="s">
        <v>193</v>
      </c>
      <c r="P1301" t="s">
        <v>922</v>
      </c>
      <c r="Q1301">
        <v>4</v>
      </c>
      <c r="R1301" t="s">
        <v>2066</v>
      </c>
      <c r="S1301" t="s">
        <v>4053</v>
      </c>
      <c r="T1301" t="s">
        <v>842</v>
      </c>
      <c r="U1301" t="s">
        <v>843</v>
      </c>
      <c r="W1301">
        <v>164350</v>
      </c>
      <c r="X1301">
        <v>164350</v>
      </c>
      <c r="Y1301" t="s">
        <v>844</v>
      </c>
      <c r="Z1301" t="s">
        <v>792</v>
      </c>
      <c r="AB1301" t="s">
        <v>793</v>
      </c>
      <c r="AD1301" t="s">
        <v>794</v>
      </c>
      <c r="AE1301" t="s">
        <v>804</v>
      </c>
      <c r="AF1301" t="s">
        <v>1029</v>
      </c>
      <c r="AG1301" t="s">
        <v>797</v>
      </c>
      <c r="AH1301">
        <v>3831000</v>
      </c>
      <c r="AI1301">
        <v>3831000</v>
      </c>
      <c r="AJ1301">
        <v>0.12</v>
      </c>
    </row>
    <row r="1302" spans="1:36" x14ac:dyDescent="0.3">
      <c r="A1302">
        <f>COUNTIF($D$2:D1302,D1302)</f>
        <v>21</v>
      </c>
      <c r="B1302" t="str">
        <f t="shared" si="81"/>
        <v>21Liverpool</v>
      </c>
      <c r="C1302" t="s">
        <v>4072</v>
      </c>
      <c r="D1302" t="s">
        <v>211</v>
      </c>
      <c r="E1302">
        <v>83</v>
      </c>
      <c r="F1302" t="s">
        <v>4073</v>
      </c>
      <c r="G1302" t="s">
        <v>806</v>
      </c>
      <c r="H1302" t="s">
        <v>873</v>
      </c>
      <c r="I1302" t="s">
        <v>808</v>
      </c>
      <c r="J1302">
        <f t="shared" ca="1" si="82"/>
        <v>715792</v>
      </c>
      <c r="K1302">
        <f t="shared" ca="1" si="83"/>
        <v>2</v>
      </c>
      <c r="N1302" t="str">
        <f t="shared" si="80"/>
        <v>Kirklees7Discharge to AssessHome Care or Domiciliary CareDomiciliary care to support hospital discharge (Discharge to Assess pathway 1)</v>
      </c>
      <c r="O1302" t="s">
        <v>193</v>
      </c>
      <c r="P1302" t="s">
        <v>922</v>
      </c>
      <c r="Q1302">
        <v>7</v>
      </c>
      <c r="R1302" t="s">
        <v>1786</v>
      </c>
      <c r="S1302" t="s">
        <v>4074</v>
      </c>
      <c r="T1302" t="s">
        <v>842</v>
      </c>
      <c r="U1302" t="s">
        <v>856</v>
      </c>
      <c r="W1302">
        <v>14807</v>
      </c>
      <c r="X1302">
        <v>14807</v>
      </c>
      <c r="Y1302" t="s">
        <v>844</v>
      </c>
      <c r="Z1302" t="s">
        <v>792</v>
      </c>
      <c r="AB1302" t="s">
        <v>793</v>
      </c>
      <c r="AD1302" t="s">
        <v>794</v>
      </c>
      <c r="AE1302" t="s">
        <v>795</v>
      </c>
      <c r="AF1302" t="s">
        <v>864</v>
      </c>
      <c r="AG1302" t="s">
        <v>797</v>
      </c>
      <c r="AH1302">
        <v>337348</v>
      </c>
      <c r="AI1302">
        <v>347806</v>
      </c>
      <c r="AJ1302">
        <v>0.01</v>
      </c>
    </row>
    <row r="1303" spans="1:36" x14ac:dyDescent="0.3">
      <c r="A1303">
        <f>COUNTIF($D$2:D1303,D1303)</f>
        <v>22</v>
      </c>
      <c r="B1303" t="str">
        <f t="shared" si="81"/>
        <v>22Liverpool</v>
      </c>
      <c r="C1303" t="s">
        <v>4075</v>
      </c>
      <c r="D1303" t="s">
        <v>211</v>
      </c>
      <c r="E1303">
        <v>85</v>
      </c>
      <c r="F1303" t="s">
        <v>4076</v>
      </c>
      <c r="G1303" t="s">
        <v>806</v>
      </c>
      <c r="H1303" t="s">
        <v>873</v>
      </c>
      <c r="I1303" t="s">
        <v>808</v>
      </c>
      <c r="J1303">
        <f t="shared" ca="1" si="82"/>
        <v>164785</v>
      </c>
      <c r="K1303">
        <f t="shared" ca="1" si="83"/>
        <v>5</v>
      </c>
      <c r="N1303" t="str">
        <f t="shared" si="80"/>
        <v xml:space="preserve">Kirklees7Discharge to AssessHome-based intermediate care servicesReablement at home (to support discharge) </v>
      </c>
      <c r="O1303" t="s">
        <v>193</v>
      </c>
      <c r="P1303" t="s">
        <v>922</v>
      </c>
      <c r="Q1303">
        <v>7</v>
      </c>
      <c r="R1303" t="s">
        <v>1786</v>
      </c>
      <c r="S1303" t="s">
        <v>4053</v>
      </c>
      <c r="T1303" t="s">
        <v>787</v>
      </c>
      <c r="U1303" t="s">
        <v>788</v>
      </c>
      <c r="W1303">
        <v>49</v>
      </c>
      <c r="X1303">
        <v>440</v>
      </c>
      <c r="Y1303" t="s">
        <v>789</v>
      </c>
      <c r="Z1303" t="s">
        <v>792</v>
      </c>
      <c r="AB1303" t="s">
        <v>793</v>
      </c>
      <c r="AD1303" t="s">
        <v>794</v>
      </c>
      <c r="AE1303" t="s">
        <v>795</v>
      </c>
      <c r="AF1303" t="s">
        <v>864</v>
      </c>
      <c r="AG1303" t="s">
        <v>797</v>
      </c>
      <c r="AH1303">
        <v>191880</v>
      </c>
      <c r="AI1303">
        <v>1729421</v>
      </c>
      <c r="AJ1303">
        <v>7.0000000000000007E-2</v>
      </c>
    </row>
    <row r="1304" spans="1:36" x14ac:dyDescent="0.3">
      <c r="A1304">
        <f>COUNTIF($D$2:D1304,D1304)</f>
        <v>23</v>
      </c>
      <c r="B1304" t="str">
        <f t="shared" si="81"/>
        <v>23Liverpool</v>
      </c>
      <c r="C1304" t="s">
        <v>4077</v>
      </c>
      <c r="D1304" t="s">
        <v>211</v>
      </c>
      <c r="E1304">
        <v>86</v>
      </c>
      <c r="F1304" t="s">
        <v>4078</v>
      </c>
      <c r="G1304" t="s">
        <v>806</v>
      </c>
      <c r="H1304" t="s">
        <v>873</v>
      </c>
      <c r="I1304" t="s">
        <v>808</v>
      </c>
      <c r="J1304">
        <f t="shared" ca="1" si="82"/>
        <v>190274</v>
      </c>
      <c r="K1304">
        <f t="shared" ca="1" si="83"/>
        <v>5</v>
      </c>
      <c r="N1304" t="str">
        <f t="shared" si="80"/>
        <v>Kirklees7Discharge to AssessBed based intermediate Care Services (Reablement, rehabilitation, wider short-term services supporting recovery)Bed-based intermediate care with rehabilitation (to support discharge)</v>
      </c>
      <c r="O1304" t="s">
        <v>193</v>
      </c>
      <c r="P1304" t="s">
        <v>922</v>
      </c>
      <c r="Q1304">
        <v>7</v>
      </c>
      <c r="R1304" t="s">
        <v>1786</v>
      </c>
      <c r="S1304" t="s">
        <v>4053</v>
      </c>
      <c r="T1304" t="s">
        <v>877</v>
      </c>
      <c r="U1304" t="s">
        <v>968</v>
      </c>
      <c r="W1304">
        <v>10</v>
      </c>
      <c r="X1304">
        <v>10</v>
      </c>
      <c r="Y1304" t="s">
        <v>879</v>
      </c>
      <c r="Z1304" t="s">
        <v>792</v>
      </c>
      <c r="AB1304" t="s">
        <v>793</v>
      </c>
      <c r="AD1304" t="s">
        <v>794</v>
      </c>
      <c r="AE1304" t="s">
        <v>804</v>
      </c>
      <c r="AF1304" t="s">
        <v>864</v>
      </c>
      <c r="AG1304" t="s">
        <v>797</v>
      </c>
      <c r="AH1304">
        <v>339857</v>
      </c>
      <c r="AI1304">
        <v>362288</v>
      </c>
      <c r="AJ1304">
        <v>0.09</v>
      </c>
    </row>
    <row r="1305" spans="1:36" x14ac:dyDescent="0.3">
      <c r="A1305">
        <f>COUNTIF($D$2:D1305,D1305)</f>
        <v>24</v>
      </c>
      <c r="B1305" t="str">
        <f t="shared" si="81"/>
        <v>24Liverpool</v>
      </c>
      <c r="C1305" t="s">
        <v>4079</v>
      </c>
      <c r="D1305" t="s">
        <v>211</v>
      </c>
      <c r="E1305">
        <v>48</v>
      </c>
      <c r="F1305" t="s">
        <v>891</v>
      </c>
      <c r="G1305" t="s">
        <v>834</v>
      </c>
      <c r="H1305" t="s">
        <v>835</v>
      </c>
      <c r="I1305" t="s">
        <v>836</v>
      </c>
      <c r="J1305">
        <f t="shared" ca="1" si="82"/>
        <v>8514314</v>
      </c>
      <c r="K1305">
        <f t="shared" ca="1" si="83"/>
        <v>950</v>
      </c>
      <c r="N1305" t="str">
        <f t="shared" si="80"/>
        <v>Kirklees7Discharge to AssessBed based intermediate Care Services (Reablement, rehabilitation, wider short-term services supporting recovery)Bed-based intermediate care with rehabilitation (to support discharge)</v>
      </c>
      <c r="O1305" t="s">
        <v>193</v>
      </c>
      <c r="P1305" t="s">
        <v>922</v>
      </c>
      <c r="Q1305">
        <v>7</v>
      </c>
      <c r="R1305" t="s">
        <v>1786</v>
      </c>
      <c r="S1305" t="s">
        <v>4053</v>
      </c>
      <c r="T1305" t="s">
        <v>877</v>
      </c>
      <c r="U1305" t="s">
        <v>968</v>
      </c>
      <c r="W1305">
        <v>841</v>
      </c>
      <c r="X1305">
        <v>841</v>
      </c>
      <c r="Y1305" t="s">
        <v>879</v>
      </c>
      <c r="Z1305" t="s">
        <v>823</v>
      </c>
      <c r="AB1305" t="s">
        <v>793</v>
      </c>
      <c r="AD1305" t="s">
        <v>794</v>
      </c>
      <c r="AE1305" t="s">
        <v>804</v>
      </c>
      <c r="AF1305" t="s">
        <v>860</v>
      </c>
      <c r="AG1305" t="s">
        <v>797</v>
      </c>
      <c r="AH1305">
        <v>1471524</v>
      </c>
      <c r="AI1305">
        <v>1471524</v>
      </c>
      <c r="AJ1305">
        <v>0.39</v>
      </c>
    </row>
    <row r="1306" spans="1:36" x14ac:dyDescent="0.3">
      <c r="A1306">
        <f>COUNTIF($D$2:D1306,D1306)</f>
        <v>25</v>
      </c>
      <c r="B1306" t="str">
        <f t="shared" si="81"/>
        <v>25Liverpool</v>
      </c>
      <c r="C1306" t="s">
        <v>4080</v>
      </c>
      <c r="D1306" t="s">
        <v>211</v>
      </c>
      <c r="E1306">
        <v>107</v>
      </c>
      <c r="F1306" t="s">
        <v>4081</v>
      </c>
      <c r="G1306" t="s">
        <v>806</v>
      </c>
      <c r="H1306" t="s">
        <v>873</v>
      </c>
      <c r="I1306" t="s">
        <v>808</v>
      </c>
      <c r="J1306">
        <f t="shared" ca="1" si="82"/>
        <v>279356</v>
      </c>
      <c r="K1306">
        <f t="shared" ca="1" si="83"/>
        <v>10</v>
      </c>
      <c r="N1306" t="str">
        <f t="shared" si="80"/>
        <v>Kirklees7Discharge to AssessAssistive Technologies and EquipmentCommunity based equipment</v>
      </c>
      <c r="O1306" t="s">
        <v>193</v>
      </c>
      <c r="P1306" t="s">
        <v>922</v>
      </c>
      <c r="Q1306">
        <v>7</v>
      </c>
      <c r="R1306" t="s">
        <v>1786</v>
      </c>
      <c r="S1306" t="s">
        <v>4053</v>
      </c>
      <c r="T1306" t="s">
        <v>800</v>
      </c>
      <c r="U1306" t="s">
        <v>903</v>
      </c>
      <c r="W1306">
        <v>516</v>
      </c>
      <c r="X1306">
        <v>516</v>
      </c>
      <c r="Y1306" t="s">
        <v>802</v>
      </c>
      <c r="Z1306" t="s">
        <v>823</v>
      </c>
      <c r="AB1306" t="s">
        <v>793</v>
      </c>
      <c r="AD1306" t="s">
        <v>794</v>
      </c>
      <c r="AE1306" t="s">
        <v>804</v>
      </c>
      <c r="AF1306" t="s">
        <v>864</v>
      </c>
      <c r="AG1306" t="s">
        <v>797</v>
      </c>
      <c r="AH1306">
        <v>100000</v>
      </c>
      <c r="AI1306">
        <v>100000</v>
      </c>
      <c r="AJ1306">
        <v>0.02</v>
      </c>
    </row>
    <row r="1307" spans="1:36" x14ac:dyDescent="0.3">
      <c r="A1307">
        <f>COUNTIF($D$2:D1307,D1307)</f>
        <v>26</v>
      </c>
      <c r="B1307" t="str">
        <f t="shared" si="81"/>
        <v>26Liverpool</v>
      </c>
      <c r="C1307" t="s">
        <v>4082</v>
      </c>
      <c r="D1307" t="s">
        <v>211</v>
      </c>
      <c r="E1307">
        <v>50</v>
      </c>
      <c r="F1307" t="s">
        <v>4083</v>
      </c>
      <c r="G1307" t="s">
        <v>800</v>
      </c>
      <c r="H1307" t="s">
        <v>903</v>
      </c>
      <c r="I1307" t="s">
        <v>802</v>
      </c>
      <c r="J1307">
        <f t="shared" ca="1" si="82"/>
        <v>1077107</v>
      </c>
      <c r="K1307">
        <f t="shared" ca="1" si="83"/>
        <v>3000</v>
      </c>
      <c r="N1307" t="str">
        <f t="shared" si="80"/>
        <v>Kirklees7Discharge to AssessAssistive Technologies and EquipmentCommunity based equipment</v>
      </c>
      <c r="O1307" t="s">
        <v>193</v>
      </c>
      <c r="P1307" t="s">
        <v>922</v>
      </c>
      <c r="Q1307">
        <v>7</v>
      </c>
      <c r="R1307" t="s">
        <v>1786</v>
      </c>
      <c r="S1307" t="s">
        <v>4053</v>
      </c>
      <c r="T1307" t="s">
        <v>800</v>
      </c>
      <c r="U1307" t="s">
        <v>903</v>
      </c>
      <c r="W1307">
        <v>516</v>
      </c>
      <c r="X1307">
        <v>516</v>
      </c>
      <c r="Y1307" t="s">
        <v>802</v>
      </c>
      <c r="Z1307" t="s">
        <v>823</v>
      </c>
      <c r="AB1307" t="s">
        <v>793</v>
      </c>
      <c r="AD1307" t="s">
        <v>794</v>
      </c>
      <c r="AE1307" t="s">
        <v>804</v>
      </c>
      <c r="AF1307" t="s">
        <v>860</v>
      </c>
      <c r="AG1307" t="s">
        <v>797</v>
      </c>
      <c r="AH1307">
        <v>100000</v>
      </c>
      <c r="AI1307">
        <v>100000</v>
      </c>
      <c r="AJ1307">
        <v>0.02</v>
      </c>
    </row>
    <row r="1308" spans="1:36" x14ac:dyDescent="0.3">
      <c r="A1308">
        <f>COUNTIF($D$2:D1308,D1308)</f>
        <v>27</v>
      </c>
      <c r="B1308" t="str">
        <f t="shared" si="81"/>
        <v>27Liverpool</v>
      </c>
      <c r="C1308" t="s">
        <v>4084</v>
      </c>
      <c r="D1308" t="s">
        <v>211</v>
      </c>
      <c r="E1308">
        <v>97</v>
      </c>
      <c r="F1308" t="s">
        <v>3417</v>
      </c>
      <c r="G1308" t="s">
        <v>800</v>
      </c>
      <c r="H1308" t="s">
        <v>903</v>
      </c>
      <c r="I1308" t="s">
        <v>802</v>
      </c>
      <c r="J1308">
        <f t="shared" ca="1" si="82"/>
        <v>5410669</v>
      </c>
      <c r="K1308">
        <f t="shared" ca="1" si="83"/>
        <v>3000</v>
      </c>
      <c r="N1308" t="str">
        <f t="shared" si="80"/>
        <v xml:space="preserve">Knowsley2ReablementHome-based intermediate care servicesReablement at home (to support discharge) </v>
      </c>
      <c r="O1308" t="s">
        <v>195</v>
      </c>
      <c r="P1308" t="s">
        <v>1201</v>
      </c>
      <c r="Q1308">
        <v>2</v>
      </c>
      <c r="R1308" t="s">
        <v>434</v>
      </c>
      <c r="S1308" t="s">
        <v>4085</v>
      </c>
      <c r="T1308" t="s">
        <v>787</v>
      </c>
      <c r="U1308" t="s">
        <v>788</v>
      </c>
      <c r="W1308">
        <v>120</v>
      </c>
      <c r="X1308">
        <v>120</v>
      </c>
      <c r="Y1308" t="s">
        <v>789</v>
      </c>
      <c r="Z1308" t="s">
        <v>792</v>
      </c>
      <c r="AB1308" t="s">
        <v>793</v>
      </c>
      <c r="AD1308" t="s">
        <v>794</v>
      </c>
      <c r="AE1308" t="s">
        <v>795</v>
      </c>
      <c r="AF1308" t="s">
        <v>796</v>
      </c>
      <c r="AG1308" t="s">
        <v>797</v>
      </c>
      <c r="AH1308">
        <v>951262</v>
      </c>
      <c r="AI1308">
        <v>990262</v>
      </c>
      <c r="AJ1308">
        <v>0.4044740548152963</v>
      </c>
    </row>
    <row r="1309" spans="1:36" x14ac:dyDescent="0.3">
      <c r="A1309">
        <f>COUNTIF($D$2:D1309,D1309)</f>
        <v>28</v>
      </c>
      <c r="B1309" t="str">
        <f t="shared" si="81"/>
        <v>28Liverpool</v>
      </c>
      <c r="C1309" t="s">
        <v>4086</v>
      </c>
      <c r="D1309" t="s">
        <v>211</v>
      </c>
      <c r="E1309">
        <v>98</v>
      </c>
      <c r="F1309" t="s">
        <v>4087</v>
      </c>
      <c r="G1309" t="s">
        <v>800</v>
      </c>
      <c r="H1309" t="s">
        <v>903</v>
      </c>
      <c r="I1309" t="s">
        <v>802</v>
      </c>
      <c r="J1309">
        <f t="shared" ca="1" si="82"/>
        <v>1212927</v>
      </c>
      <c r="K1309">
        <f t="shared" ca="1" si="83"/>
        <v>378</v>
      </c>
      <c r="N1309" t="str">
        <f t="shared" si="80"/>
        <v>Knowsley4Older People Care PackagesHome Care or Domiciliary CareDomiciliary care packages</v>
      </c>
      <c r="O1309" t="s">
        <v>195</v>
      </c>
      <c r="P1309" t="s">
        <v>1201</v>
      </c>
      <c r="Q1309">
        <v>4</v>
      </c>
      <c r="R1309" t="s">
        <v>3691</v>
      </c>
      <c r="S1309" t="s">
        <v>3704</v>
      </c>
      <c r="T1309" t="s">
        <v>842</v>
      </c>
      <c r="U1309" t="s">
        <v>843</v>
      </c>
      <c r="W1309">
        <v>4268</v>
      </c>
      <c r="X1309">
        <v>4268</v>
      </c>
      <c r="Y1309" t="s">
        <v>844</v>
      </c>
      <c r="Z1309" t="s">
        <v>792</v>
      </c>
      <c r="AB1309" t="s">
        <v>793</v>
      </c>
      <c r="AD1309" t="s">
        <v>794</v>
      </c>
      <c r="AE1309" t="s">
        <v>804</v>
      </c>
      <c r="AF1309" t="s">
        <v>796</v>
      </c>
      <c r="AG1309" t="s">
        <v>797</v>
      </c>
      <c r="AH1309">
        <v>84000</v>
      </c>
      <c r="AI1309">
        <v>84000</v>
      </c>
      <c r="AJ1309">
        <v>5.5630092653686236E-3</v>
      </c>
    </row>
    <row r="1310" spans="1:36" x14ac:dyDescent="0.3">
      <c r="A1310">
        <f>COUNTIF($D$2:D1310,D1310)</f>
        <v>29</v>
      </c>
      <c r="B1310" t="str">
        <f t="shared" si="81"/>
        <v>29Liverpool</v>
      </c>
      <c r="C1310" t="s">
        <v>4088</v>
      </c>
      <c r="D1310" t="s">
        <v>211</v>
      </c>
      <c r="E1310">
        <v>45</v>
      </c>
      <c r="F1310" t="s">
        <v>4089</v>
      </c>
      <c r="G1310" t="s">
        <v>800</v>
      </c>
      <c r="H1310" t="s">
        <v>850</v>
      </c>
      <c r="I1310" t="s">
        <v>802</v>
      </c>
      <c r="J1310">
        <f t="shared" ca="1" si="82"/>
        <v>2061991</v>
      </c>
      <c r="K1310">
        <f t="shared" ca="1" si="83"/>
        <v>1500</v>
      </c>
      <c r="N1310" t="str">
        <f t="shared" si="80"/>
        <v>Knowsley5Mental Health Care PackagesResidential PlacementsCare home</v>
      </c>
      <c r="O1310" t="s">
        <v>195</v>
      </c>
      <c r="P1310" t="s">
        <v>1201</v>
      </c>
      <c r="Q1310">
        <v>5</v>
      </c>
      <c r="R1310" t="s">
        <v>3694</v>
      </c>
      <c r="S1310" t="s">
        <v>4090</v>
      </c>
      <c r="T1310" t="s">
        <v>806</v>
      </c>
      <c r="U1310" t="s">
        <v>807</v>
      </c>
      <c r="W1310">
        <v>7</v>
      </c>
      <c r="X1310">
        <v>7</v>
      </c>
      <c r="Y1310" t="s">
        <v>808</v>
      </c>
      <c r="Z1310" t="s">
        <v>792</v>
      </c>
      <c r="AB1310" t="s">
        <v>793</v>
      </c>
      <c r="AD1310" t="s">
        <v>794</v>
      </c>
      <c r="AE1310" t="s">
        <v>804</v>
      </c>
      <c r="AF1310" t="s">
        <v>796</v>
      </c>
      <c r="AG1310" t="s">
        <v>797</v>
      </c>
      <c r="AH1310">
        <v>229950</v>
      </c>
      <c r="AI1310">
        <v>229950</v>
      </c>
      <c r="AJ1310">
        <v>9.1822955808385336E-3</v>
      </c>
    </row>
    <row r="1311" spans="1:36" x14ac:dyDescent="0.3">
      <c r="A1311">
        <f>COUNTIF($D$2:D1311,D1311)</f>
        <v>30</v>
      </c>
      <c r="B1311" t="str">
        <f t="shared" si="81"/>
        <v>30Liverpool</v>
      </c>
      <c r="C1311" t="s">
        <v>4091</v>
      </c>
      <c r="D1311" t="s">
        <v>211</v>
      </c>
      <c r="E1311">
        <v>9</v>
      </c>
      <c r="F1311" t="s">
        <v>4092</v>
      </c>
      <c r="G1311" t="s">
        <v>842</v>
      </c>
      <c r="H1311" t="s">
        <v>856</v>
      </c>
      <c r="I1311" t="s">
        <v>844</v>
      </c>
      <c r="J1311">
        <f t="shared" ca="1" si="82"/>
        <v>1513653</v>
      </c>
      <c r="K1311">
        <f t="shared" ca="1" si="83"/>
        <v>34000</v>
      </c>
      <c r="N1311" t="str">
        <f t="shared" si="80"/>
        <v>Knowsley6Mental Health Care PackagesResidential PlacementsNursing home</v>
      </c>
      <c r="O1311" t="s">
        <v>195</v>
      </c>
      <c r="P1311" t="s">
        <v>1201</v>
      </c>
      <c r="Q1311">
        <v>6</v>
      </c>
      <c r="R1311" t="s">
        <v>3694</v>
      </c>
      <c r="S1311" t="s">
        <v>4093</v>
      </c>
      <c r="T1311" t="s">
        <v>806</v>
      </c>
      <c r="U1311" t="s">
        <v>917</v>
      </c>
      <c r="W1311">
        <v>8</v>
      </c>
      <c r="X1311">
        <v>8</v>
      </c>
      <c r="Y1311" t="s">
        <v>808</v>
      </c>
      <c r="Z1311" t="s">
        <v>792</v>
      </c>
      <c r="AB1311" t="s">
        <v>793</v>
      </c>
      <c r="AD1311" t="s">
        <v>794</v>
      </c>
      <c r="AE1311" t="s">
        <v>804</v>
      </c>
      <c r="AF1311" t="s">
        <v>796</v>
      </c>
      <c r="AG1311" t="s">
        <v>797</v>
      </c>
      <c r="AH1311">
        <v>282450</v>
      </c>
      <c r="AI1311">
        <v>282450</v>
      </c>
      <c r="AJ1311">
        <v>1.7711889995704725E-2</v>
      </c>
    </row>
    <row r="1312" spans="1:36" x14ac:dyDescent="0.3">
      <c r="A1312">
        <f>COUNTIF($D$2:D1312,D1312)</f>
        <v>31</v>
      </c>
      <c r="B1312" t="str">
        <f t="shared" si="81"/>
        <v>31Liverpool</v>
      </c>
      <c r="C1312" t="s">
        <v>4094</v>
      </c>
      <c r="D1312" t="s">
        <v>211</v>
      </c>
      <c r="E1312">
        <v>33</v>
      </c>
      <c r="F1312" t="s">
        <v>4095</v>
      </c>
      <c r="G1312" t="s">
        <v>842</v>
      </c>
      <c r="H1312" t="s">
        <v>856</v>
      </c>
      <c r="I1312" t="s">
        <v>844</v>
      </c>
      <c r="J1312">
        <f t="shared" ca="1" si="82"/>
        <v>5068030</v>
      </c>
      <c r="K1312">
        <f t="shared" ca="1" si="83"/>
        <v>82000</v>
      </c>
      <c r="N1312" t="str">
        <f t="shared" si="80"/>
        <v>Knowsley8Mental Health Care PackagesResidential PlacementsNursing home</v>
      </c>
      <c r="O1312" t="s">
        <v>195</v>
      </c>
      <c r="P1312" t="s">
        <v>1201</v>
      </c>
      <c r="Q1312">
        <v>8</v>
      </c>
      <c r="R1312" t="s">
        <v>3694</v>
      </c>
      <c r="S1312" t="s">
        <v>4093</v>
      </c>
      <c r="T1312" t="s">
        <v>806</v>
      </c>
      <c r="U1312" t="s">
        <v>917</v>
      </c>
      <c r="W1312">
        <v>25</v>
      </c>
      <c r="X1312">
        <v>25</v>
      </c>
      <c r="Y1312" t="s">
        <v>808</v>
      </c>
      <c r="Z1312" t="s">
        <v>1006</v>
      </c>
      <c r="AB1312" t="s">
        <v>824</v>
      </c>
      <c r="AD1312" t="s">
        <v>794</v>
      </c>
      <c r="AE1312" t="s">
        <v>804</v>
      </c>
      <c r="AF1312" t="s">
        <v>796</v>
      </c>
      <c r="AG1312" t="s">
        <v>797</v>
      </c>
      <c r="AH1312">
        <v>848400</v>
      </c>
      <c r="AI1312">
        <v>848400</v>
      </c>
      <c r="AJ1312">
        <v>5.3201513444347273E-2</v>
      </c>
    </row>
    <row r="1313" spans="1:36" x14ac:dyDescent="0.3">
      <c r="A1313">
        <f>COUNTIF($D$2:D1313,D1313)</f>
        <v>32</v>
      </c>
      <c r="B1313" t="str">
        <f t="shared" si="81"/>
        <v>32Liverpool</v>
      </c>
      <c r="C1313" t="s">
        <v>4096</v>
      </c>
      <c r="D1313" t="s">
        <v>211</v>
      </c>
      <c r="E1313">
        <v>69</v>
      </c>
      <c r="F1313" t="s">
        <v>4095</v>
      </c>
      <c r="G1313" t="s">
        <v>842</v>
      </c>
      <c r="H1313" t="s">
        <v>856</v>
      </c>
      <c r="I1313" t="s">
        <v>844</v>
      </c>
      <c r="J1313">
        <f t="shared" ca="1" si="82"/>
        <v>388093</v>
      </c>
      <c r="K1313">
        <f t="shared" ca="1" si="83"/>
        <v>82000</v>
      </c>
      <c r="N1313" t="str">
        <f t="shared" si="80"/>
        <v>Knowsley9Transitional BedsBed based intermediate Care Services (Reablement, rehabilitation, wider short-term services supporting recovery)Bed-based intermediate care with rehabilitation (to support discharge)</v>
      </c>
      <c r="O1313" t="s">
        <v>195</v>
      </c>
      <c r="P1313" t="s">
        <v>1201</v>
      </c>
      <c r="Q1313">
        <v>9</v>
      </c>
      <c r="R1313" t="s">
        <v>3701</v>
      </c>
      <c r="S1313" t="s">
        <v>4097</v>
      </c>
      <c r="T1313" t="s">
        <v>877</v>
      </c>
      <c r="U1313" t="s">
        <v>968</v>
      </c>
      <c r="W1313">
        <v>2</v>
      </c>
      <c r="X1313">
        <v>2</v>
      </c>
      <c r="Y1313" t="s">
        <v>879</v>
      </c>
      <c r="Z1313" t="s">
        <v>792</v>
      </c>
      <c r="AB1313" t="s">
        <v>793</v>
      </c>
      <c r="AD1313" t="s">
        <v>794</v>
      </c>
      <c r="AE1313" t="s">
        <v>804</v>
      </c>
      <c r="AF1313" t="s">
        <v>796</v>
      </c>
      <c r="AG1313" t="s">
        <v>797</v>
      </c>
      <c r="AH1313">
        <v>62370</v>
      </c>
      <c r="AI1313">
        <v>62370</v>
      </c>
      <c r="AJ1313">
        <v>0.149568345323741</v>
      </c>
    </row>
    <row r="1314" spans="1:36" x14ac:dyDescent="0.3">
      <c r="A1314">
        <f>COUNTIF($D$2:D1314,D1314)</f>
        <v>33</v>
      </c>
      <c r="B1314" t="str">
        <f t="shared" si="81"/>
        <v>33Liverpool</v>
      </c>
      <c r="C1314" t="s">
        <v>4098</v>
      </c>
      <c r="D1314" t="s">
        <v>211</v>
      </c>
      <c r="E1314">
        <v>70</v>
      </c>
      <c r="F1314" t="s">
        <v>4095</v>
      </c>
      <c r="G1314" t="s">
        <v>842</v>
      </c>
      <c r="H1314" t="s">
        <v>856</v>
      </c>
      <c r="I1314" t="s">
        <v>844</v>
      </c>
      <c r="J1314">
        <f t="shared" ca="1" si="82"/>
        <v>249642</v>
      </c>
      <c r="K1314">
        <f t="shared" ca="1" si="83"/>
        <v>82000</v>
      </c>
      <c r="N1314" t="str">
        <f t="shared" si="80"/>
        <v>Knowsley10Intermediate Care BedsBed based intermediate Care Services (Reablement, rehabilitation, wider short-term services supporting recovery)Bed-based intermediate care with rehabilitation (to support discharge)</v>
      </c>
      <c r="O1314" t="s">
        <v>195</v>
      </c>
      <c r="P1314" t="s">
        <v>1201</v>
      </c>
      <c r="Q1314">
        <v>10</v>
      </c>
      <c r="R1314" t="s">
        <v>1183</v>
      </c>
      <c r="S1314" t="s">
        <v>4097</v>
      </c>
      <c r="T1314" t="s">
        <v>877</v>
      </c>
      <c r="U1314" t="s">
        <v>968</v>
      </c>
      <c r="W1314">
        <v>3</v>
      </c>
      <c r="X1314">
        <v>3</v>
      </c>
      <c r="Y1314" t="s">
        <v>879</v>
      </c>
      <c r="Z1314" t="s">
        <v>792</v>
      </c>
      <c r="AB1314" t="s">
        <v>793</v>
      </c>
      <c r="AD1314" t="s">
        <v>794</v>
      </c>
      <c r="AE1314" t="s">
        <v>825</v>
      </c>
      <c r="AF1314" t="s">
        <v>796</v>
      </c>
      <c r="AG1314" t="s">
        <v>797</v>
      </c>
      <c r="AH1314">
        <v>126630</v>
      </c>
      <c r="AI1314">
        <v>126630</v>
      </c>
      <c r="AJ1314">
        <v>0.14185215472336421</v>
      </c>
    </row>
    <row r="1315" spans="1:36" x14ac:dyDescent="0.3">
      <c r="A1315">
        <f>COUNTIF($D$2:D1315,D1315)</f>
        <v>34</v>
      </c>
      <c r="B1315" t="str">
        <f t="shared" si="81"/>
        <v>34Liverpool</v>
      </c>
      <c r="C1315" t="s">
        <v>4099</v>
      </c>
      <c r="D1315" t="s">
        <v>211</v>
      </c>
      <c r="E1315">
        <v>6</v>
      </c>
      <c r="F1315" t="s">
        <v>4100</v>
      </c>
      <c r="G1315" t="s">
        <v>877</v>
      </c>
      <c r="H1315" t="s">
        <v>878</v>
      </c>
      <c r="I1315" t="s">
        <v>879</v>
      </c>
      <c r="J1315">
        <f t="shared" ca="1" si="82"/>
        <v>4833053</v>
      </c>
      <c r="K1315">
        <f t="shared" ca="1" si="83"/>
        <v>275</v>
      </c>
      <c r="N1315" t="str">
        <f t="shared" si="80"/>
        <v>Knowsley11Community Care PackagesHome Care or Domiciliary CareDomiciliary care packages</v>
      </c>
      <c r="O1315" t="s">
        <v>195</v>
      </c>
      <c r="P1315" t="s">
        <v>1201</v>
      </c>
      <c r="Q1315">
        <v>11</v>
      </c>
      <c r="R1315" t="s">
        <v>3704</v>
      </c>
      <c r="S1315" t="s">
        <v>4101</v>
      </c>
      <c r="T1315" t="s">
        <v>842</v>
      </c>
      <c r="U1315" t="s">
        <v>843</v>
      </c>
      <c r="W1315">
        <v>10830</v>
      </c>
      <c r="X1315">
        <v>10830</v>
      </c>
      <c r="Y1315" t="s">
        <v>844</v>
      </c>
      <c r="Z1315" t="s">
        <v>792</v>
      </c>
      <c r="AB1315" t="s">
        <v>793</v>
      </c>
      <c r="AD1315" t="s">
        <v>794</v>
      </c>
      <c r="AE1315" t="s">
        <v>804</v>
      </c>
      <c r="AF1315" t="s">
        <v>796</v>
      </c>
      <c r="AG1315" t="s">
        <v>797</v>
      </c>
      <c r="AH1315">
        <v>213150</v>
      </c>
      <c r="AI1315">
        <v>213150</v>
      </c>
      <c r="AJ1315">
        <v>1.4116136010872882E-2</v>
      </c>
    </row>
    <row r="1316" spans="1:36" x14ac:dyDescent="0.3">
      <c r="A1316">
        <f>COUNTIF($D$2:D1316,D1316)</f>
        <v>35</v>
      </c>
      <c r="B1316" t="str">
        <f t="shared" si="81"/>
        <v>35Liverpool</v>
      </c>
      <c r="C1316" t="s">
        <v>4102</v>
      </c>
      <c r="D1316" t="s">
        <v>211</v>
      </c>
      <c r="E1316">
        <v>8</v>
      </c>
      <c r="F1316" t="s">
        <v>4103</v>
      </c>
      <c r="G1316" t="s">
        <v>877</v>
      </c>
      <c r="H1316" t="s">
        <v>878</v>
      </c>
      <c r="I1316" t="s">
        <v>879</v>
      </c>
      <c r="J1316">
        <f t="shared" ca="1" si="82"/>
        <v>3672082</v>
      </c>
      <c r="K1316">
        <f t="shared" ca="1" si="83"/>
        <v>250</v>
      </c>
      <c r="N1316" t="str">
        <f t="shared" si="80"/>
        <v>Knowsley12Community Care PackagesResidential PlacementsCare home</v>
      </c>
      <c r="O1316" t="s">
        <v>195</v>
      </c>
      <c r="P1316" t="s">
        <v>1201</v>
      </c>
      <c r="Q1316">
        <v>12</v>
      </c>
      <c r="R1316" t="s">
        <v>3704</v>
      </c>
      <c r="S1316" t="s">
        <v>4104</v>
      </c>
      <c r="T1316" t="s">
        <v>806</v>
      </c>
      <c r="U1316" t="s">
        <v>807</v>
      </c>
      <c r="W1316">
        <v>3</v>
      </c>
      <c r="X1316">
        <v>3</v>
      </c>
      <c r="Y1316" t="s">
        <v>808</v>
      </c>
      <c r="Z1316" t="s">
        <v>792</v>
      </c>
      <c r="AB1316" t="s">
        <v>793</v>
      </c>
      <c r="AD1316" t="s">
        <v>794</v>
      </c>
      <c r="AE1316" t="s">
        <v>804</v>
      </c>
      <c r="AF1316" t="s">
        <v>796</v>
      </c>
      <c r="AG1316" t="s">
        <v>797</v>
      </c>
      <c r="AH1316">
        <v>89250</v>
      </c>
      <c r="AI1316">
        <v>89250</v>
      </c>
      <c r="AJ1316">
        <v>3.5639046774944079E-3</v>
      </c>
    </row>
    <row r="1317" spans="1:36" x14ac:dyDescent="0.3">
      <c r="A1317">
        <f>COUNTIF($D$2:D1317,D1317)</f>
        <v>36</v>
      </c>
      <c r="B1317" t="str">
        <f t="shared" si="81"/>
        <v>36Liverpool</v>
      </c>
      <c r="C1317" t="s">
        <v>4105</v>
      </c>
      <c r="D1317" t="s">
        <v>211</v>
      </c>
      <c r="E1317">
        <v>4</v>
      </c>
      <c r="F1317" t="s">
        <v>4106</v>
      </c>
      <c r="G1317" t="s">
        <v>877</v>
      </c>
      <c r="H1317" t="s">
        <v>878</v>
      </c>
      <c r="I1317" t="s">
        <v>879</v>
      </c>
      <c r="J1317">
        <f t="shared" ca="1" si="82"/>
        <v>4402652</v>
      </c>
      <c r="K1317">
        <f t="shared" ca="1" si="83"/>
        <v>275</v>
      </c>
      <c r="N1317" t="str">
        <f t="shared" si="80"/>
        <v>Knowsley13Community Care PackagesResidential PlacementsNursing home</v>
      </c>
      <c r="O1317" t="s">
        <v>195</v>
      </c>
      <c r="P1317" t="s">
        <v>1201</v>
      </c>
      <c r="Q1317">
        <v>13</v>
      </c>
      <c r="R1317" t="s">
        <v>3704</v>
      </c>
      <c r="S1317" t="s">
        <v>4107</v>
      </c>
      <c r="T1317" t="s">
        <v>806</v>
      </c>
      <c r="U1317" t="s">
        <v>917</v>
      </c>
      <c r="W1317">
        <v>36</v>
      </c>
      <c r="X1317">
        <v>36</v>
      </c>
      <c r="Y1317" t="s">
        <v>808</v>
      </c>
      <c r="Z1317" t="s">
        <v>792</v>
      </c>
      <c r="AB1317" t="s">
        <v>793</v>
      </c>
      <c r="AD1317" t="s">
        <v>794</v>
      </c>
      <c r="AE1317" t="s">
        <v>804</v>
      </c>
      <c r="AF1317" t="s">
        <v>796</v>
      </c>
      <c r="AG1317" t="s">
        <v>797</v>
      </c>
      <c r="AH1317">
        <v>1244250</v>
      </c>
      <c r="AI1317">
        <v>1244250</v>
      </c>
      <c r="AJ1317">
        <v>7.8024496821227127E-2</v>
      </c>
    </row>
    <row r="1318" spans="1:36" x14ac:dyDescent="0.3">
      <c r="A1318">
        <f>COUNTIF($D$2:D1318,D1318)</f>
        <v>37</v>
      </c>
      <c r="B1318" t="str">
        <f t="shared" si="81"/>
        <v>37Liverpool</v>
      </c>
      <c r="C1318" t="s">
        <v>4108</v>
      </c>
      <c r="D1318" t="s">
        <v>211</v>
      </c>
      <c r="E1318">
        <v>73</v>
      </c>
      <c r="F1318" t="s">
        <v>4109</v>
      </c>
      <c r="G1318" t="s">
        <v>877</v>
      </c>
      <c r="H1318" t="s">
        <v>878</v>
      </c>
      <c r="I1318" t="s">
        <v>879</v>
      </c>
      <c r="J1318">
        <f t="shared" ca="1" si="82"/>
        <v>806642</v>
      </c>
      <c r="K1318">
        <f t="shared" ca="1" si="83"/>
        <v>40</v>
      </c>
      <c r="N1318" t="str">
        <f t="shared" si="80"/>
        <v>Knowsley14Community Care PackagesHome Care or Domiciliary CareDomiciliary care packages</v>
      </c>
      <c r="O1318" t="s">
        <v>195</v>
      </c>
      <c r="P1318" t="s">
        <v>1201</v>
      </c>
      <c r="Q1318">
        <v>14</v>
      </c>
      <c r="R1318" t="s">
        <v>3704</v>
      </c>
      <c r="S1318" t="s">
        <v>4110</v>
      </c>
      <c r="T1318" t="s">
        <v>842</v>
      </c>
      <c r="U1318" t="s">
        <v>843</v>
      </c>
      <c r="W1318">
        <v>64002</v>
      </c>
      <c r="X1318">
        <v>64002</v>
      </c>
      <c r="Y1318" t="s">
        <v>844</v>
      </c>
      <c r="Z1318" t="s">
        <v>792</v>
      </c>
      <c r="AB1318" t="s">
        <v>793</v>
      </c>
      <c r="AD1318" t="s">
        <v>794</v>
      </c>
      <c r="AE1318" t="s">
        <v>804</v>
      </c>
      <c r="AF1318" t="s">
        <v>796</v>
      </c>
      <c r="AG1318" t="s">
        <v>797</v>
      </c>
      <c r="AH1318">
        <v>1259573</v>
      </c>
      <c r="AI1318">
        <v>1259573</v>
      </c>
      <c r="AJ1318">
        <v>0.30772254538613947</v>
      </c>
    </row>
    <row r="1319" spans="1:36" x14ac:dyDescent="0.3">
      <c r="A1319">
        <f>COUNTIF($D$2:D1319,D1319)</f>
        <v>38</v>
      </c>
      <c r="B1319" t="str">
        <f t="shared" si="81"/>
        <v>38Liverpool</v>
      </c>
      <c r="C1319" t="s">
        <v>4111</v>
      </c>
      <c r="D1319" t="s">
        <v>211</v>
      </c>
      <c r="E1319">
        <v>24</v>
      </c>
      <c r="F1319" t="s">
        <v>4112</v>
      </c>
      <c r="G1319" t="s">
        <v>806</v>
      </c>
      <c r="H1319" t="s">
        <v>807</v>
      </c>
      <c r="I1319" t="s">
        <v>808</v>
      </c>
      <c r="J1319">
        <f t="shared" ca="1" si="82"/>
        <v>541582</v>
      </c>
      <c r="K1319">
        <f t="shared" ca="1" si="83"/>
        <v>500</v>
      </c>
      <c r="N1319" t="str">
        <f t="shared" si="80"/>
        <v>Knowsley15Community Care PackagesResidential PlacementsNursing home</v>
      </c>
      <c r="O1319" t="s">
        <v>195</v>
      </c>
      <c r="P1319" t="s">
        <v>1201</v>
      </c>
      <c r="Q1319">
        <v>15</v>
      </c>
      <c r="R1319" t="s">
        <v>3704</v>
      </c>
      <c r="S1319" t="s">
        <v>4107</v>
      </c>
      <c r="T1319" t="s">
        <v>806</v>
      </c>
      <c r="U1319" t="s">
        <v>917</v>
      </c>
      <c r="W1319">
        <v>53</v>
      </c>
      <c r="X1319">
        <v>53</v>
      </c>
      <c r="Y1319" t="s">
        <v>808</v>
      </c>
      <c r="Z1319" t="s">
        <v>1061</v>
      </c>
      <c r="AB1319" t="s">
        <v>824</v>
      </c>
      <c r="AD1319" t="s">
        <v>794</v>
      </c>
      <c r="AE1319" t="s">
        <v>804</v>
      </c>
      <c r="AF1319" t="s">
        <v>796</v>
      </c>
      <c r="AG1319" t="s">
        <v>797</v>
      </c>
      <c r="AH1319">
        <v>1817530</v>
      </c>
      <c r="AI1319">
        <v>1817530</v>
      </c>
      <c r="AJ1319">
        <v>0.11397377030941123</v>
      </c>
    </row>
    <row r="1320" spans="1:36" x14ac:dyDescent="0.3">
      <c r="A1320">
        <f>COUNTIF($D$2:D1320,D1320)</f>
        <v>39</v>
      </c>
      <c r="B1320" t="str">
        <f t="shared" si="81"/>
        <v>39Liverpool</v>
      </c>
      <c r="C1320" t="s">
        <v>4113</v>
      </c>
      <c r="D1320" t="s">
        <v>211</v>
      </c>
      <c r="E1320">
        <v>99</v>
      </c>
      <c r="F1320" t="s">
        <v>4114</v>
      </c>
      <c r="G1320" t="s">
        <v>806</v>
      </c>
      <c r="H1320" t="s">
        <v>917</v>
      </c>
      <c r="I1320" t="s">
        <v>808</v>
      </c>
      <c r="J1320">
        <f t="shared" ca="1" si="82"/>
        <v>2458536</v>
      </c>
      <c r="K1320">
        <f t="shared" ca="1" si="83"/>
        <v>41</v>
      </c>
      <c r="N1320" t="str">
        <f t="shared" si="80"/>
        <v>Knowsley16Community Care PackagesCarers ServicesOther</v>
      </c>
      <c r="O1320" t="s">
        <v>195</v>
      </c>
      <c r="P1320" t="s">
        <v>1201</v>
      </c>
      <c r="Q1320">
        <v>16</v>
      </c>
      <c r="R1320" t="s">
        <v>3704</v>
      </c>
      <c r="S1320" t="s">
        <v>4115</v>
      </c>
      <c r="T1320" t="s">
        <v>811</v>
      </c>
      <c r="U1320" t="s">
        <v>812</v>
      </c>
      <c r="V1320" t="s">
        <v>4116</v>
      </c>
      <c r="W1320">
        <v>650</v>
      </c>
      <c r="X1320">
        <v>650</v>
      </c>
      <c r="Y1320" t="s">
        <v>813</v>
      </c>
      <c r="Z1320" t="s">
        <v>792</v>
      </c>
      <c r="AB1320" t="s">
        <v>824</v>
      </c>
      <c r="AD1320" t="s">
        <v>794</v>
      </c>
      <c r="AE1320" t="s">
        <v>825</v>
      </c>
      <c r="AF1320" t="s">
        <v>796</v>
      </c>
      <c r="AG1320" t="s">
        <v>797</v>
      </c>
      <c r="AH1320">
        <v>319000</v>
      </c>
      <c r="AI1320">
        <v>319000</v>
      </c>
      <c r="AJ1320">
        <v>0.39067762360231711</v>
      </c>
    </row>
    <row r="1321" spans="1:36" x14ac:dyDescent="0.3">
      <c r="A1321">
        <f>COUNTIF($D$2:D1321,D1321)</f>
        <v>40</v>
      </c>
      <c r="B1321" t="str">
        <f t="shared" si="81"/>
        <v>40Liverpool</v>
      </c>
      <c r="C1321" t="s">
        <v>4117</v>
      </c>
      <c r="D1321" t="s">
        <v>211</v>
      </c>
      <c r="E1321">
        <v>93</v>
      </c>
      <c r="F1321" t="s">
        <v>4118</v>
      </c>
      <c r="G1321" t="s">
        <v>806</v>
      </c>
      <c r="H1321" t="s">
        <v>917</v>
      </c>
      <c r="I1321" t="s">
        <v>808</v>
      </c>
      <c r="J1321">
        <f t="shared" ca="1" si="82"/>
        <v>589703</v>
      </c>
      <c r="K1321">
        <f t="shared" ca="1" si="83"/>
        <v>41</v>
      </c>
      <c r="N1321" t="str">
        <f t="shared" si="80"/>
        <v>Knowsley17Community Care PackagesCarers ServicesCarer advice and support related to Care Act duties</v>
      </c>
      <c r="O1321" t="s">
        <v>195</v>
      </c>
      <c r="P1321" t="s">
        <v>1201</v>
      </c>
      <c r="Q1321">
        <v>17</v>
      </c>
      <c r="R1321" t="s">
        <v>3704</v>
      </c>
      <c r="S1321" t="s">
        <v>4119</v>
      </c>
      <c r="T1321" t="s">
        <v>811</v>
      </c>
      <c r="U1321" t="s">
        <v>895</v>
      </c>
      <c r="W1321">
        <v>1110</v>
      </c>
      <c r="X1321">
        <v>1110</v>
      </c>
      <c r="Y1321" t="s">
        <v>813</v>
      </c>
      <c r="Z1321" t="s">
        <v>792</v>
      </c>
      <c r="AB1321" t="s">
        <v>793</v>
      </c>
      <c r="AD1321" t="s">
        <v>794</v>
      </c>
      <c r="AE1321" t="s">
        <v>825</v>
      </c>
      <c r="AF1321" t="s">
        <v>796</v>
      </c>
      <c r="AG1321" t="s">
        <v>797</v>
      </c>
      <c r="AH1321">
        <v>184000</v>
      </c>
      <c r="AI1321">
        <v>184000</v>
      </c>
      <c r="AJ1321">
        <v>0.22534383304961239</v>
      </c>
    </row>
    <row r="1322" spans="1:36" x14ac:dyDescent="0.3">
      <c r="A1322">
        <f>COUNTIF($D$2:D1322,D1322)</f>
        <v>41</v>
      </c>
      <c r="B1322" t="str">
        <f t="shared" si="81"/>
        <v>41Liverpool</v>
      </c>
      <c r="C1322" t="s">
        <v>4120</v>
      </c>
      <c r="D1322" t="s">
        <v>211</v>
      </c>
      <c r="E1322">
        <v>92</v>
      </c>
      <c r="F1322" t="s">
        <v>4121</v>
      </c>
      <c r="G1322" t="s">
        <v>877</v>
      </c>
      <c r="H1322" t="s">
        <v>812</v>
      </c>
      <c r="I1322" t="s">
        <v>879</v>
      </c>
      <c r="J1322">
        <f t="shared" ca="1" si="82"/>
        <v>32217</v>
      </c>
      <c r="K1322">
        <f t="shared" ca="1" si="83"/>
        <v>41</v>
      </c>
      <c r="N1322" t="str">
        <f t="shared" si="80"/>
        <v>Knowsley18Intermediate Care BedsBed based intermediate Care Services (Reablement, rehabilitation, wider short-term services supporting recovery)Bed-based intermediate care with rehabilitation (to support discharge)</v>
      </c>
      <c r="O1322" t="s">
        <v>195</v>
      </c>
      <c r="P1322" t="s">
        <v>1201</v>
      </c>
      <c r="Q1322">
        <v>18</v>
      </c>
      <c r="R1322" t="s">
        <v>1183</v>
      </c>
      <c r="S1322" t="s">
        <v>4097</v>
      </c>
      <c r="T1322" t="s">
        <v>877</v>
      </c>
      <c r="U1322" t="s">
        <v>968</v>
      </c>
      <c r="W1322">
        <v>3</v>
      </c>
      <c r="X1322">
        <v>3</v>
      </c>
      <c r="Y1322" t="s">
        <v>879</v>
      </c>
      <c r="Z1322" t="s">
        <v>792</v>
      </c>
      <c r="AB1322" t="s">
        <v>793</v>
      </c>
      <c r="AD1322" t="s">
        <v>794</v>
      </c>
      <c r="AE1322" t="s">
        <v>825</v>
      </c>
      <c r="AF1322" t="s">
        <v>796</v>
      </c>
      <c r="AG1322" t="s">
        <v>797</v>
      </c>
      <c r="AH1322">
        <v>110000</v>
      </c>
      <c r="AI1322">
        <v>110000</v>
      </c>
      <c r="AJ1322">
        <v>0.12322306735820944</v>
      </c>
    </row>
    <row r="1323" spans="1:36" x14ac:dyDescent="0.3">
      <c r="A1323">
        <f>COUNTIF($D$2:D1323,D1323)</f>
        <v>42</v>
      </c>
      <c r="B1323" t="str">
        <f t="shared" si="81"/>
        <v>42Liverpool</v>
      </c>
      <c r="C1323" t="s">
        <v>4122</v>
      </c>
      <c r="D1323" t="s">
        <v>211</v>
      </c>
      <c r="E1323">
        <v>87</v>
      </c>
      <c r="F1323" t="s">
        <v>4123</v>
      </c>
      <c r="G1323" t="s">
        <v>806</v>
      </c>
      <c r="H1323" t="s">
        <v>917</v>
      </c>
      <c r="I1323" t="s">
        <v>808</v>
      </c>
      <c r="J1323">
        <f t="shared" ca="1" si="82"/>
        <v>424981</v>
      </c>
      <c r="K1323">
        <f t="shared" ca="1" si="83"/>
        <v>47</v>
      </c>
      <c r="N1323" t="str">
        <f t="shared" si="80"/>
        <v>Knowsley19Intermediate Care BedsBed based intermediate Care Services (Reablement, rehabilitation, wider short-term services supporting recovery)Bed-based intermediate care with rehabilitation (to support discharge)</v>
      </c>
      <c r="O1323" t="s">
        <v>195</v>
      </c>
      <c r="P1323" t="s">
        <v>1201</v>
      </c>
      <c r="Q1323">
        <v>19</v>
      </c>
      <c r="R1323" t="s">
        <v>1183</v>
      </c>
      <c r="S1323" t="s">
        <v>4097</v>
      </c>
      <c r="T1323" t="s">
        <v>877</v>
      </c>
      <c r="U1323" t="s">
        <v>968</v>
      </c>
      <c r="W1323">
        <v>6</v>
      </c>
      <c r="X1323">
        <v>6</v>
      </c>
      <c r="Y1323" t="s">
        <v>879</v>
      </c>
      <c r="Z1323" t="s">
        <v>823</v>
      </c>
      <c r="AB1323" t="s">
        <v>824</v>
      </c>
      <c r="AD1323" t="s">
        <v>794</v>
      </c>
      <c r="AE1323" t="s">
        <v>804</v>
      </c>
      <c r="AF1323" t="s">
        <v>796</v>
      </c>
      <c r="AG1323" t="s">
        <v>797</v>
      </c>
      <c r="AH1323">
        <v>224997</v>
      </c>
      <c r="AI1323">
        <v>224997</v>
      </c>
      <c r="AJ1323">
        <v>0.25204382260359137</v>
      </c>
    </row>
    <row r="1324" spans="1:36" x14ac:dyDescent="0.3">
      <c r="A1324">
        <f>COUNTIF($D$2:D1324,D1324)</f>
        <v>43</v>
      </c>
      <c r="B1324" t="str">
        <f t="shared" si="81"/>
        <v>43Liverpool</v>
      </c>
      <c r="C1324" t="s">
        <v>4124</v>
      </c>
      <c r="D1324" t="s">
        <v>211</v>
      </c>
      <c r="E1324">
        <v>64</v>
      </c>
      <c r="F1324" t="s">
        <v>4125</v>
      </c>
      <c r="G1324" t="s">
        <v>806</v>
      </c>
      <c r="H1324" t="s">
        <v>807</v>
      </c>
      <c r="I1324" t="s">
        <v>808</v>
      </c>
      <c r="J1324">
        <f t="shared" ca="1" si="82"/>
        <v>35999722</v>
      </c>
      <c r="K1324">
        <f t="shared" ca="1" si="83"/>
        <v>500</v>
      </c>
      <c r="N1324" t="str">
        <f t="shared" si="80"/>
        <v>Knowsley20Disability Care PackagesHome Care or Domiciliary CareDomiciliary care packages</v>
      </c>
      <c r="O1324" t="s">
        <v>195</v>
      </c>
      <c r="P1324" t="s">
        <v>1201</v>
      </c>
      <c r="Q1324">
        <v>20</v>
      </c>
      <c r="R1324" t="s">
        <v>3718</v>
      </c>
      <c r="S1324" t="s">
        <v>4126</v>
      </c>
      <c r="T1324" t="s">
        <v>842</v>
      </c>
      <c r="U1324" t="s">
        <v>843</v>
      </c>
      <c r="W1324">
        <v>41242</v>
      </c>
      <c r="X1324">
        <v>41242</v>
      </c>
      <c r="Y1324" t="s">
        <v>844</v>
      </c>
      <c r="Z1324" t="s">
        <v>792</v>
      </c>
      <c r="AB1324" t="s">
        <v>793</v>
      </c>
      <c r="AD1324" t="s">
        <v>794</v>
      </c>
      <c r="AE1324" t="s">
        <v>804</v>
      </c>
      <c r="AF1324" t="s">
        <v>796</v>
      </c>
      <c r="AG1324" t="s">
        <v>797</v>
      </c>
      <c r="AH1324">
        <v>811650</v>
      </c>
      <c r="AI1324">
        <v>811650</v>
      </c>
      <c r="AJ1324">
        <v>5.3752577026624317E-2</v>
      </c>
    </row>
    <row r="1325" spans="1:36" x14ac:dyDescent="0.3">
      <c r="A1325">
        <f>COUNTIF($D$2:D1325,D1325)</f>
        <v>44</v>
      </c>
      <c r="B1325" t="str">
        <f t="shared" si="81"/>
        <v>44Liverpool</v>
      </c>
      <c r="C1325" t="s">
        <v>4127</v>
      </c>
      <c r="D1325" t="s">
        <v>211</v>
      </c>
      <c r="E1325">
        <v>78</v>
      </c>
      <c r="F1325" t="s">
        <v>4128</v>
      </c>
      <c r="G1325" t="s">
        <v>811</v>
      </c>
      <c r="H1325" t="s">
        <v>830</v>
      </c>
      <c r="I1325" t="s">
        <v>813</v>
      </c>
      <c r="J1325">
        <f t="shared" ca="1" si="82"/>
        <v>48354</v>
      </c>
      <c r="K1325">
        <f t="shared" ca="1" si="83"/>
        <v>280</v>
      </c>
      <c r="N1325" t="str">
        <f t="shared" si="80"/>
        <v>Knowsley21Disability Care PackagesResidential PlacementsCare home</v>
      </c>
      <c r="O1325" t="s">
        <v>195</v>
      </c>
      <c r="P1325" t="s">
        <v>1201</v>
      </c>
      <c r="Q1325">
        <v>21</v>
      </c>
      <c r="R1325" t="s">
        <v>3718</v>
      </c>
      <c r="S1325" t="s">
        <v>4129</v>
      </c>
      <c r="T1325" t="s">
        <v>806</v>
      </c>
      <c r="U1325" t="s">
        <v>807</v>
      </c>
      <c r="W1325">
        <v>50</v>
      </c>
      <c r="X1325">
        <v>50</v>
      </c>
      <c r="Y1325" t="s">
        <v>808</v>
      </c>
      <c r="Z1325" t="s">
        <v>792</v>
      </c>
      <c r="AB1325" t="s">
        <v>793</v>
      </c>
      <c r="AD1325" t="s">
        <v>794</v>
      </c>
      <c r="AE1325" t="s">
        <v>804</v>
      </c>
      <c r="AF1325" t="s">
        <v>796</v>
      </c>
      <c r="AG1325" t="s">
        <v>797</v>
      </c>
      <c r="AH1325">
        <v>1638000</v>
      </c>
      <c r="AI1325">
        <v>1638000</v>
      </c>
      <c r="AJ1325">
        <v>6.5408132904603247E-2</v>
      </c>
    </row>
    <row r="1326" spans="1:36" x14ac:dyDescent="0.3">
      <c r="A1326">
        <f>COUNTIF($D$2:D1326,D1326)</f>
        <v>45</v>
      </c>
      <c r="B1326" t="str">
        <f t="shared" si="81"/>
        <v>45Liverpool</v>
      </c>
      <c r="C1326" t="s">
        <v>4130</v>
      </c>
      <c r="D1326" t="s">
        <v>211</v>
      </c>
      <c r="E1326">
        <v>109</v>
      </c>
      <c r="F1326" t="s">
        <v>4131</v>
      </c>
      <c r="G1326" t="s">
        <v>806</v>
      </c>
      <c r="H1326" t="s">
        <v>807</v>
      </c>
      <c r="I1326" t="s">
        <v>808</v>
      </c>
      <c r="J1326">
        <f t="shared" ca="1" si="82"/>
        <v>1966705</v>
      </c>
      <c r="K1326">
        <f t="shared" ca="1" si="83"/>
        <v>500</v>
      </c>
      <c r="N1326" t="str">
        <f t="shared" si="80"/>
        <v>Knowsley22Disability Care PackagesResidential PlacementsNursing home</v>
      </c>
      <c r="O1326" t="s">
        <v>195</v>
      </c>
      <c r="P1326" t="s">
        <v>1201</v>
      </c>
      <c r="Q1326">
        <v>22</v>
      </c>
      <c r="R1326" t="s">
        <v>3718</v>
      </c>
      <c r="S1326" t="s">
        <v>4132</v>
      </c>
      <c r="T1326" t="s">
        <v>806</v>
      </c>
      <c r="U1326" t="s">
        <v>917</v>
      </c>
      <c r="W1326">
        <v>19</v>
      </c>
      <c r="X1326">
        <v>19</v>
      </c>
      <c r="Y1326" t="s">
        <v>808</v>
      </c>
      <c r="Z1326" t="s">
        <v>792</v>
      </c>
      <c r="AB1326" t="s">
        <v>793</v>
      </c>
      <c r="AD1326" t="s">
        <v>794</v>
      </c>
      <c r="AE1326" t="s">
        <v>804</v>
      </c>
      <c r="AF1326" t="s">
        <v>796</v>
      </c>
      <c r="AG1326" t="s">
        <v>797</v>
      </c>
      <c r="AH1326">
        <v>644700</v>
      </c>
      <c r="AI1326">
        <v>644700</v>
      </c>
      <c r="AJ1326">
        <v>4.0427882741125278E-2</v>
      </c>
    </row>
    <row r="1327" spans="1:36" x14ac:dyDescent="0.3">
      <c r="A1327">
        <f>COUNTIF($D$2:D1327,D1327)</f>
        <v>46</v>
      </c>
      <c r="B1327" t="str">
        <f t="shared" si="81"/>
        <v>46Liverpool</v>
      </c>
      <c r="C1327" t="s">
        <v>4133</v>
      </c>
      <c r="D1327" t="s">
        <v>211</v>
      </c>
      <c r="E1327">
        <v>93</v>
      </c>
      <c r="F1327" t="s">
        <v>4134</v>
      </c>
      <c r="G1327" t="s">
        <v>806</v>
      </c>
      <c r="H1327" t="s">
        <v>917</v>
      </c>
      <c r="I1327" t="s">
        <v>808</v>
      </c>
      <c r="J1327">
        <f t="shared" ca="1" si="82"/>
        <v>130913</v>
      </c>
      <c r="K1327">
        <f t="shared" ca="1" si="83"/>
        <v>4</v>
      </c>
      <c r="N1327" t="str">
        <f t="shared" si="80"/>
        <v>Knowsley23Disability Care PackagesHome Care or Domiciliary CareDomiciliary care packages</v>
      </c>
      <c r="O1327" t="s">
        <v>195</v>
      </c>
      <c r="P1327" t="s">
        <v>1201</v>
      </c>
      <c r="Q1327">
        <v>23</v>
      </c>
      <c r="R1327" t="s">
        <v>3718</v>
      </c>
      <c r="S1327" t="s">
        <v>4135</v>
      </c>
      <c r="T1327" t="s">
        <v>842</v>
      </c>
      <c r="U1327" t="s">
        <v>843</v>
      </c>
      <c r="W1327">
        <v>13698</v>
      </c>
      <c r="X1327">
        <v>13698</v>
      </c>
      <c r="Y1327" t="s">
        <v>844</v>
      </c>
      <c r="Z1327" t="s">
        <v>792</v>
      </c>
      <c r="AB1327" t="s">
        <v>793</v>
      </c>
      <c r="AD1327" t="s">
        <v>794</v>
      </c>
      <c r="AE1327" t="s">
        <v>804</v>
      </c>
      <c r="AF1327" t="s">
        <v>796</v>
      </c>
      <c r="AG1327" t="s">
        <v>797</v>
      </c>
      <c r="AH1327">
        <v>269588</v>
      </c>
      <c r="AI1327">
        <v>269588</v>
      </c>
      <c r="AJ1327">
        <v>6.5862245035070266E-2</v>
      </c>
    </row>
    <row r="1328" spans="1:36" x14ac:dyDescent="0.3">
      <c r="A1328">
        <f>COUNTIF($D$2:D1328,D1328)</f>
        <v>47</v>
      </c>
      <c r="B1328" t="str">
        <f t="shared" si="81"/>
        <v>47Liverpool</v>
      </c>
      <c r="C1328" t="s">
        <v>4136</v>
      </c>
      <c r="D1328" t="s">
        <v>211</v>
      </c>
      <c r="E1328">
        <v>2</v>
      </c>
      <c r="F1328" t="s">
        <v>4137</v>
      </c>
      <c r="G1328" t="s">
        <v>877</v>
      </c>
      <c r="H1328" t="s">
        <v>968</v>
      </c>
      <c r="I1328" t="s">
        <v>879</v>
      </c>
      <c r="J1328">
        <f t="shared" ca="1" si="82"/>
        <v>1473069</v>
      </c>
      <c r="K1328">
        <f t="shared" ca="1" si="83"/>
        <v>800</v>
      </c>
      <c r="N1328" t="str">
        <f t="shared" si="80"/>
        <v>Knowsley40EquipmentAssistive Technologies and EquipmentCommunity based equipment</v>
      </c>
      <c r="O1328" t="s">
        <v>195</v>
      </c>
      <c r="P1328" t="s">
        <v>1201</v>
      </c>
      <c r="Q1328">
        <v>40</v>
      </c>
      <c r="R1328" t="s">
        <v>1034</v>
      </c>
      <c r="S1328" t="s">
        <v>4138</v>
      </c>
      <c r="T1328" t="s">
        <v>800</v>
      </c>
      <c r="U1328" t="s">
        <v>903</v>
      </c>
      <c r="W1328">
        <v>2055</v>
      </c>
      <c r="X1328">
        <v>2055</v>
      </c>
      <c r="Y1328" t="s">
        <v>802</v>
      </c>
      <c r="Z1328" t="s">
        <v>823</v>
      </c>
      <c r="AB1328" t="s">
        <v>824</v>
      </c>
      <c r="AD1328" t="s">
        <v>794</v>
      </c>
      <c r="AE1328" t="s">
        <v>832</v>
      </c>
      <c r="AF1328" t="s">
        <v>796</v>
      </c>
      <c r="AG1328" t="s">
        <v>797</v>
      </c>
      <c r="AH1328">
        <v>474716</v>
      </c>
      <c r="AI1328">
        <v>474716</v>
      </c>
      <c r="AJ1328">
        <v>0.22</v>
      </c>
    </row>
    <row r="1329" spans="1:36" x14ac:dyDescent="0.3">
      <c r="A1329">
        <f>COUNTIF($D$2:D1329,D1329)</f>
        <v>1</v>
      </c>
      <c r="B1329" t="str">
        <f t="shared" si="81"/>
        <v>1Luton</v>
      </c>
      <c r="C1329" t="s">
        <v>4139</v>
      </c>
      <c r="D1329" t="s">
        <v>213</v>
      </c>
      <c r="E1329">
        <v>1</v>
      </c>
      <c r="F1329" t="s">
        <v>4140</v>
      </c>
      <c r="G1329" t="s">
        <v>811</v>
      </c>
      <c r="H1329" t="s">
        <v>812</v>
      </c>
      <c r="I1329" t="s">
        <v>813</v>
      </c>
      <c r="J1329">
        <f t="shared" ca="1" si="82"/>
        <v>153914</v>
      </c>
      <c r="K1329">
        <f t="shared" ca="1" si="83"/>
        <v>840</v>
      </c>
      <c r="N1329" t="str">
        <f t="shared" si="80"/>
        <v>Knowsley41Protecting Social CareHome Care or Domiciliary CareDomiciliary care to support hospital discharge (Discharge to Assess pathway 1)</v>
      </c>
      <c r="O1329" t="s">
        <v>195</v>
      </c>
      <c r="P1329" t="s">
        <v>1201</v>
      </c>
      <c r="Q1329">
        <v>41</v>
      </c>
      <c r="R1329" t="s">
        <v>2066</v>
      </c>
      <c r="S1329" t="s">
        <v>4141</v>
      </c>
      <c r="T1329" t="s">
        <v>842</v>
      </c>
      <c r="U1329" t="s">
        <v>856</v>
      </c>
      <c r="W1329">
        <v>33353</v>
      </c>
      <c r="X1329">
        <v>33353</v>
      </c>
      <c r="Y1329" t="s">
        <v>844</v>
      </c>
      <c r="Z1329" t="s">
        <v>792</v>
      </c>
      <c r="AB1329" t="s">
        <v>793</v>
      </c>
      <c r="AD1329" t="s">
        <v>794</v>
      </c>
      <c r="AE1329" t="s">
        <v>795</v>
      </c>
      <c r="AF1329" t="s">
        <v>796</v>
      </c>
      <c r="AG1329" t="s">
        <v>797</v>
      </c>
      <c r="AH1329">
        <v>656390</v>
      </c>
      <c r="AI1329">
        <v>656390</v>
      </c>
      <c r="AJ1329">
        <v>0.94800618148731197</v>
      </c>
    </row>
    <row r="1330" spans="1:36" x14ac:dyDescent="0.3">
      <c r="A1330">
        <f>COUNTIF($D$2:D1330,D1330)</f>
        <v>2</v>
      </c>
      <c r="B1330" t="str">
        <f t="shared" si="81"/>
        <v>2Luton</v>
      </c>
      <c r="C1330" t="s">
        <v>4142</v>
      </c>
      <c r="D1330" t="s">
        <v>213</v>
      </c>
      <c r="E1330">
        <v>90</v>
      </c>
      <c r="F1330" t="s">
        <v>1844</v>
      </c>
      <c r="G1330" t="s">
        <v>834</v>
      </c>
      <c r="H1330" t="s">
        <v>835</v>
      </c>
      <c r="I1330" t="s">
        <v>836</v>
      </c>
      <c r="J1330">
        <f t="shared" ca="1" si="82"/>
        <v>1608433</v>
      </c>
      <c r="K1330">
        <f t="shared" ca="1" si="83"/>
        <v>75</v>
      </c>
      <c r="N1330" t="str">
        <f t="shared" si="80"/>
        <v>Knowsley53Protecting Social CareDFG Related SchemesAdaptations, including statutory DFG grants</v>
      </c>
      <c r="O1330" t="s">
        <v>195</v>
      </c>
      <c r="P1330" t="s">
        <v>1201</v>
      </c>
      <c r="Q1330">
        <v>53</v>
      </c>
      <c r="R1330" t="s">
        <v>2066</v>
      </c>
      <c r="S1330" t="s">
        <v>834</v>
      </c>
      <c r="T1330" t="s">
        <v>834</v>
      </c>
      <c r="U1330" t="s">
        <v>835</v>
      </c>
      <c r="W1330">
        <v>24</v>
      </c>
      <c r="X1330">
        <v>24</v>
      </c>
      <c r="Y1330" t="s">
        <v>836</v>
      </c>
      <c r="Z1330" t="s">
        <v>792</v>
      </c>
      <c r="AB1330" t="s">
        <v>793</v>
      </c>
      <c r="AD1330" t="s">
        <v>794</v>
      </c>
      <c r="AE1330" t="s">
        <v>795</v>
      </c>
      <c r="AF1330" t="s">
        <v>796</v>
      </c>
      <c r="AG1330" t="s">
        <v>797</v>
      </c>
      <c r="AH1330">
        <v>144000</v>
      </c>
      <c r="AI1330">
        <v>144000</v>
      </c>
      <c r="AJ1330">
        <v>4.4781020808247661E-2</v>
      </c>
    </row>
    <row r="1331" spans="1:36" x14ac:dyDescent="0.3">
      <c r="A1331">
        <f>COUNTIF($D$2:D1331,D1331)</f>
        <v>3</v>
      </c>
      <c r="B1331" t="str">
        <f t="shared" si="81"/>
        <v>3Luton</v>
      </c>
      <c r="C1331" t="s">
        <v>4143</v>
      </c>
      <c r="D1331" t="s">
        <v>213</v>
      </c>
      <c r="E1331">
        <v>13</v>
      </c>
      <c r="F1331" t="s">
        <v>4144</v>
      </c>
      <c r="G1331" t="s">
        <v>800</v>
      </c>
      <c r="H1331" t="s">
        <v>903</v>
      </c>
      <c r="I1331" t="s">
        <v>802</v>
      </c>
      <c r="J1331">
        <f t="shared" ca="1" si="82"/>
        <v>687617</v>
      </c>
      <c r="K1331">
        <f t="shared" ca="1" si="83"/>
        <v>3500</v>
      </c>
      <c r="N1331" t="str">
        <f t="shared" si="80"/>
        <v>Knowsley54Disabled Facilities GrantDFG Related SchemesAdaptations, including statutory DFG grants</v>
      </c>
      <c r="O1331" t="s">
        <v>195</v>
      </c>
      <c r="P1331" t="s">
        <v>1201</v>
      </c>
      <c r="Q1331">
        <v>54</v>
      </c>
      <c r="R1331" t="s">
        <v>891</v>
      </c>
      <c r="S1331" t="s">
        <v>834</v>
      </c>
      <c r="T1331" t="s">
        <v>834</v>
      </c>
      <c r="U1331" t="s">
        <v>835</v>
      </c>
      <c r="W1331">
        <v>1200</v>
      </c>
      <c r="X1331">
        <v>1200</v>
      </c>
      <c r="Y1331" t="s">
        <v>836</v>
      </c>
      <c r="Z1331" t="s">
        <v>792</v>
      </c>
      <c r="AB1331" t="s">
        <v>793</v>
      </c>
      <c r="AD1331" t="s">
        <v>794</v>
      </c>
      <c r="AE1331" t="s">
        <v>795</v>
      </c>
      <c r="AF1331" t="s">
        <v>840</v>
      </c>
      <c r="AG1331" t="s">
        <v>797</v>
      </c>
      <c r="AH1331">
        <v>2746648</v>
      </c>
      <c r="AI1331">
        <v>2746648</v>
      </c>
      <c r="AJ1331">
        <v>0.85415070306202667</v>
      </c>
    </row>
    <row r="1332" spans="1:36" x14ac:dyDescent="0.3">
      <c r="A1332">
        <f>COUNTIF($D$2:D1332,D1332)</f>
        <v>4</v>
      </c>
      <c r="B1332" t="str">
        <f t="shared" si="81"/>
        <v>4Luton</v>
      </c>
      <c r="C1332" t="s">
        <v>4145</v>
      </c>
      <c r="D1332" t="s">
        <v>213</v>
      </c>
      <c r="E1332">
        <v>13</v>
      </c>
      <c r="F1332" t="s">
        <v>4146</v>
      </c>
      <c r="G1332" t="s">
        <v>800</v>
      </c>
      <c r="H1332" t="s">
        <v>903</v>
      </c>
      <c r="I1332" t="s">
        <v>802</v>
      </c>
      <c r="J1332">
        <f t="shared" ca="1" si="82"/>
        <v>687617</v>
      </c>
      <c r="K1332">
        <f t="shared" ca="1" si="83"/>
        <v>3500</v>
      </c>
      <c r="N1332" t="str">
        <f t="shared" si="80"/>
        <v>Knowsley65Nursing Care PackagesResidential PlacementsNursing home</v>
      </c>
      <c r="O1332" t="s">
        <v>195</v>
      </c>
      <c r="P1332" t="s">
        <v>1201</v>
      </c>
      <c r="Q1332">
        <v>65</v>
      </c>
      <c r="R1332" t="s">
        <v>3730</v>
      </c>
      <c r="S1332" t="s">
        <v>806</v>
      </c>
      <c r="T1332" t="s">
        <v>806</v>
      </c>
      <c r="U1332" t="s">
        <v>917</v>
      </c>
      <c r="W1332">
        <v>4</v>
      </c>
      <c r="X1332">
        <v>4</v>
      </c>
      <c r="Y1332" t="s">
        <v>808</v>
      </c>
      <c r="Z1332" t="s">
        <v>792</v>
      </c>
      <c r="AB1332" t="s">
        <v>793</v>
      </c>
      <c r="AD1332" t="s">
        <v>794</v>
      </c>
      <c r="AE1332" t="s">
        <v>804</v>
      </c>
      <c r="AF1332" t="s">
        <v>845</v>
      </c>
      <c r="AG1332" t="s">
        <v>797</v>
      </c>
      <c r="AH1332">
        <v>132913</v>
      </c>
      <c r="AI1332">
        <v>132913</v>
      </c>
      <c r="AJ1332">
        <v>8.3347156487842168E-3</v>
      </c>
    </row>
    <row r="1333" spans="1:36" x14ac:dyDescent="0.3">
      <c r="A1333">
        <f>COUNTIF($D$2:D1333,D1333)</f>
        <v>5</v>
      </c>
      <c r="B1333" t="str">
        <f t="shared" si="81"/>
        <v>5Luton</v>
      </c>
      <c r="C1333" t="s">
        <v>4147</v>
      </c>
      <c r="D1333" t="s">
        <v>213</v>
      </c>
      <c r="E1333">
        <v>2</v>
      </c>
      <c r="F1333" t="s">
        <v>2108</v>
      </c>
      <c r="G1333" t="s">
        <v>800</v>
      </c>
      <c r="H1333" t="s">
        <v>850</v>
      </c>
      <c r="I1333" t="s">
        <v>802</v>
      </c>
      <c r="J1333">
        <f t="shared" ca="1" si="82"/>
        <v>84891</v>
      </c>
      <c r="K1333">
        <f t="shared" ca="1" si="83"/>
        <v>175</v>
      </c>
      <c r="N1333" t="str">
        <f t="shared" si="80"/>
        <v>Knowsley66Dom Care uplifts to support new ContractsHome Care or Domiciliary CareDomiciliary care packages</v>
      </c>
      <c r="O1333" t="s">
        <v>195</v>
      </c>
      <c r="P1333" t="s">
        <v>1201</v>
      </c>
      <c r="Q1333">
        <v>66</v>
      </c>
      <c r="R1333" t="s">
        <v>3733</v>
      </c>
      <c r="S1333" t="s">
        <v>842</v>
      </c>
      <c r="T1333" t="s">
        <v>842</v>
      </c>
      <c r="U1333" t="s">
        <v>843</v>
      </c>
      <c r="W1333">
        <v>52705</v>
      </c>
      <c r="X1333">
        <v>52705</v>
      </c>
      <c r="Y1333" t="s">
        <v>844</v>
      </c>
      <c r="Z1333" t="s">
        <v>792</v>
      </c>
      <c r="AB1333" t="s">
        <v>793</v>
      </c>
      <c r="AD1333" t="s">
        <v>794</v>
      </c>
      <c r="AE1333" t="s">
        <v>825</v>
      </c>
      <c r="AF1333" t="s">
        <v>845</v>
      </c>
      <c r="AG1333" t="s">
        <v>797</v>
      </c>
      <c r="AH1333">
        <v>1037238</v>
      </c>
      <c r="AI1333">
        <v>1037238</v>
      </c>
      <c r="AJ1333">
        <v>6.8692435766576437E-2</v>
      </c>
    </row>
    <row r="1334" spans="1:36" x14ac:dyDescent="0.3">
      <c r="A1334">
        <f>COUNTIF($D$2:D1334,D1334)</f>
        <v>6</v>
      </c>
      <c r="B1334" t="str">
        <f t="shared" si="81"/>
        <v>6Luton</v>
      </c>
      <c r="C1334" t="s">
        <v>4148</v>
      </c>
      <c r="D1334" t="s">
        <v>213</v>
      </c>
      <c r="E1334">
        <v>13</v>
      </c>
      <c r="F1334" t="s">
        <v>4149</v>
      </c>
      <c r="G1334" t="s">
        <v>834</v>
      </c>
      <c r="H1334" t="s">
        <v>835</v>
      </c>
      <c r="I1334" t="s">
        <v>836</v>
      </c>
      <c r="J1334">
        <f t="shared" ca="1" si="82"/>
        <v>1100001</v>
      </c>
      <c r="K1334">
        <f t="shared" ca="1" si="83"/>
        <v>50</v>
      </c>
      <c r="N1334" t="str">
        <f t="shared" si="80"/>
        <v>Knowsley67Demographic Growth Care PackagesResidential PlacementsLearning disability</v>
      </c>
      <c r="O1334" t="s">
        <v>195</v>
      </c>
      <c r="P1334" t="s">
        <v>1201</v>
      </c>
      <c r="Q1334">
        <v>67</v>
      </c>
      <c r="R1334" t="s">
        <v>3735</v>
      </c>
      <c r="S1334" t="s">
        <v>806</v>
      </c>
      <c r="T1334" t="s">
        <v>806</v>
      </c>
      <c r="U1334" t="s">
        <v>854</v>
      </c>
      <c r="W1334">
        <v>74</v>
      </c>
      <c r="X1334">
        <v>74</v>
      </c>
      <c r="Y1334" t="s">
        <v>808</v>
      </c>
      <c r="Z1334" t="s">
        <v>792</v>
      </c>
      <c r="AB1334" t="s">
        <v>793</v>
      </c>
      <c r="AD1334" t="s">
        <v>794</v>
      </c>
      <c r="AE1334" t="s">
        <v>804</v>
      </c>
      <c r="AF1334" t="s">
        <v>845</v>
      </c>
      <c r="AG1334" t="s">
        <v>797</v>
      </c>
      <c r="AH1334">
        <v>2415732</v>
      </c>
      <c r="AI1334">
        <v>2415732</v>
      </c>
      <c r="AJ1334">
        <v>0.35271412677508185</v>
      </c>
    </row>
    <row r="1335" spans="1:36" x14ac:dyDescent="0.3">
      <c r="A1335">
        <f>COUNTIF($D$2:D1335,D1335)</f>
        <v>7</v>
      </c>
      <c r="B1335" t="str">
        <f t="shared" si="81"/>
        <v>7Luton</v>
      </c>
      <c r="C1335" t="s">
        <v>4150</v>
      </c>
      <c r="D1335" t="s">
        <v>213</v>
      </c>
      <c r="E1335">
        <v>14</v>
      </c>
      <c r="F1335" t="s">
        <v>4151</v>
      </c>
      <c r="G1335" t="s">
        <v>842</v>
      </c>
      <c r="H1335" t="s">
        <v>856</v>
      </c>
      <c r="I1335" t="s">
        <v>844</v>
      </c>
      <c r="J1335">
        <f t="shared" ca="1" si="82"/>
        <v>873241</v>
      </c>
      <c r="K1335">
        <f t="shared" ca="1" si="83"/>
        <v>46000</v>
      </c>
      <c r="N1335" t="str">
        <f t="shared" si="80"/>
        <v>Knowsley68Demographic Growth Care PackagesResidential PlacementsNursing home</v>
      </c>
      <c r="O1335" t="s">
        <v>195</v>
      </c>
      <c r="P1335" t="s">
        <v>1201</v>
      </c>
      <c r="Q1335">
        <v>68</v>
      </c>
      <c r="R1335" t="s">
        <v>3735</v>
      </c>
      <c r="S1335" t="s">
        <v>806</v>
      </c>
      <c r="T1335" t="s">
        <v>806</v>
      </c>
      <c r="U1335" t="s">
        <v>917</v>
      </c>
      <c r="W1335">
        <v>13</v>
      </c>
      <c r="X1335">
        <v>13</v>
      </c>
      <c r="Y1335" t="s">
        <v>808</v>
      </c>
      <c r="Z1335" t="s">
        <v>792</v>
      </c>
      <c r="AB1335" t="s">
        <v>793</v>
      </c>
      <c r="AD1335" t="s">
        <v>794</v>
      </c>
      <c r="AE1335" t="s">
        <v>804</v>
      </c>
      <c r="AF1335" t="s">
        <v>845</v>
      </c>
      <c r="AG1335" t="s">
        <v>797</v>
      </c>
      <c r="AH1335">
        <v>460000</v>
      </c>
      <c r="AI1335">
        <v>460000</v>
      </c>
      <c r="AJ1335">
        <v>2.8845705073549915E-2</v>
      </c>
    </row>
    <row r="1336" spans="1:36" x14ac:dyDescent="0.3">
      <c r="A1336">
        <f>COUNTIF($D$2:D1336,D1336)</f>
        <v>8</v>
      </c>
      <c r="B1336" t="str">
        <f t="shared" si="81"/>
        <v>8Luton</v>
      </c>
      <c r="C1336" t="s">
        <v>4152</v>
      </c>
      <c r="D1336" t="s">
        <v>213</v>
      </c>
      <c r="E1336">
        <v>14</v>
      </c>
      <c r="F1336" t="s">
        <v>4151</v>
      </c>
      <c r="G1336" t="s">
        <v>806</v>
      </c>
      <c r="H1336" t="s">
        <v>955</v>
      </c>
      <c r="I1336" t="s">
        <v>808</v>
      </c>
      <c r="J1336">
        <f t="shared" ca="1" si="82"/>
        <v>175571.45</v>
      </c>
      <c r="K1336">
        <f t="shared" ca="1" si="83"/>
        <v>58</v>
      </c>
      <c r="N1336" t="str">
        <f t="shared" si="80"/>
        <v>Knowsley69Demographic Growth Care PackagesResidential PlacementsCare home</v>
      </c>
      <c r="O1336" t="s">
        <v>195</v>
      </c>
      <c r="P1336" t="s">
        <v>1201</v>
      </c>
      <c r="Q1336">
        <v>69</v>
      </c>
      <c r="R1336" t="s">
        <v>3735</v>
      </c>
      <c r="S1336" t="s">
        <v>806</v>
      </c>
      <c r="T1336" t="s">
        <v>806</v>
      </c>
      <c r="U1336" t="s">
        <v>807</v>
      </c>
      <c r="W1336">
        <v>45</v>
      </c>
      <c r="X1336">
        <v>45</v>
      </c>
      <c r="Y1336" t="s">
        <v>808</v>
      </c>
      <c r="Z1336" t="s">
        <v>792</v>
      </c>
      <c r="AB1336" t="s">
        <v>793</v>
      </c>
      <c r="AD1336" t="s">
        <v>794</v>
      </c>
      <c r="AE1336" t="s">
        <v>804</v>
      </c>
      <c r="AF1336" t="s">
        <v>845</v>
      </c>
      <c r="AG1336" t="s">
        <v>797</v>
      </c>
      <c r="AH1336">
        <v>1464000</v>
      </c>
      <c r="AI1336">
        <v>1464000</v>
      </c>
      <c r="AJ1336">
        <v>5.846001622242928E-2</v>
      </c>
    </row>
    <row r="1337" spans="1:36" x14ac:dyDescent="0.3">
      <c r="A1337">
        <f>COUNTIF($D$2:D1337,D1337)</f>
        <v>1</v>
      </c>
      <c r="B1337" t="str">
        <f t="shared" si="81"/>
        <v>1Manchester</v>
      </c>
      <c r="C1337" t="s">
        <v>4153</v>
      </c>
      <c r="D1337" t="s">
        <v>215</v>
      </c>
      <c r="E1337">
        <v>1</v>
      </c>
      <c r="F1337" t="s">
        <v>840</v>
      </c>
      <c r="G1337" t="s">
        <v>834</v>
      </c>
      <c r="H1337" t="s">
        <v>835</v>
      </c>
      <c r="I1337" t="s">
        <v>836</v>
      </c>
      <c r="J1337">
        <f t="shared" ca="1" si="82"/>
        <v>8482757</v>
      </c>
      <c r="K1337">
        <f t="shared" ca="1" si="83"/>
        <v>1200</v>
      </c>
      <c r="N1337" t="str">
        <f t="shared" si="80"/>
        <v>Knowsley70Demographic Growth Care PackagesHome Care or Domiciliary CareDomiciliary care packages</v>
      </c>
      <c r="O1337" t="s">
        <v>195</v>
      </c>
      <c r="P1337" t="s">
        <v>1201</v>
      </c>
      <c r="Q1337">
        <v>70</v>
      </c>
      <c r="R1337" t="s">
        <v>3735</v>
      </c>
      <c r="S1337" t="s">
        <v>842</v>
      </c>
      <c r="T1337" t="s">
        <v>842</v>
      </c>
      <c r="U1337" t="s">
        <v>843</v>
      </c>
      <c r="W1337">
        <v>68397</v>
      </c>
      <c r="X1337">
        <v>68397</v>
      </c>
      <c r="Y1337" t="s">
        <v>844</v>
      </c>
      <c r="Z1337" t="s">
        <v>792</v>
      </c>
      <c r="AB1337" t="s">
        <v>793</v>
      </c>
      <c r="AD1337" t="s">
        <v>794</v>
      </c>
      <c r="AE1337" t="s">
        <v>825</v>
      </c>
      <c r="AF1337" t="s">
        <v>845</v>
      </c>
      <c r="AG1337" t="s">
        <v>797</v>
      </c>
      <c r="AH1337">
        <v>1346066</v>
      </c>
      <c r="AI1337">
        <v>1346066</v>
      </c>
      <c r="AJ1337">
        <v>8.9144971783305729E-2</v>
      </c>
    </row>
    <row r="1338" spans="1:36" x14ac:dyDescent="0.3">
      <c r="A1338">
        <f>COUNTIF($D$2:D1338,D1338)</f>
        <v>2</v>
      </c>
      <c r="B1338" t="str">
        <f t="shared" si="81"/>
        <v>2Manchester</v>
      </c>
      <c r="C1338" t="s">
        <v>4154</v>
      </c>
      <c r="D1338" t="s">
        <v>215</v>
      </c>
      <c r="E1338">
        <v>4</v>
      </c>
      <c r="F1338" t="s">
        <v>4155</v>
      </c>
      <c r="G1338" t="s">
        <v>842</v>
      </c>
      <c r="H1338" t="s">
        <v>843</v>
      </c>
      <c r="I1338" t="s">
        <v>844</v>
      </c>
      <c r="J1338">
        <f t="shared" ca="1" si="82"/>
        <v>105000</v>
      </c>
      <c r="K1338">
        <f t="shared" ca="1" si="83"/>
        <v>5211</v>
      </c>
      <c r="N1338" t="str">
        <f t="shared" si="80"/>
        <v>Knowsley71Demographic Growth Care PackagesHome Care or Domiciliary CareDomiciliary care packages</v>
      </c>
      <c r="O1338" t="s">
        <v>195</v>
      </c>
      <c r="P1338" t="s">
        <v>1201</v>
      </c>
      <c r="Q1338">
        <v>71</v>
      </c>
      <c r="R1338" t="s">
        <v>3735</v>
      </c>
      <c r="S1338" t="s">
        <v>4156</v>
      </c>
      <c r="T1338" t="s">
        <v>842</v>
      </c>
      <c r="U1338" t="s">
        <v>843</v>
      </c>
      <c r="W1338">
        <v>3811</v>
      </c>
      <c r="X1338">
        <v>3811</v>
      </c>
      <c r="Y1338" t="s">
        <v>844</v>
      </c>
      <c r="Z1338" t="s">
        <v>792</v>
      </c>
      <c r="AB1338" t="s">
        <v>793</v>
      </c>
      <c r="AD1338" t="s">
        <v>794</v>
      </c>
      <c r="AE1338" t="s">
        <v>825</v>
      </c>
      <c r="AF1338" t="s">
        <v>845</v>
      </c>
      <c r="AG1338" t="s">
        <v>797</v>
      </c>
      <c r="AH1338">
        <v>75000</v>
      </c>
      <c r="AI1338">
        <v>75000</v>
      </c>
      <c r="AJ1338">
        <v>1.8323027648227182E-2</v>
      </c>
    </row>
    <row r="1339" spans="1:36" x14ac:dyDescent="0.3">
      <c r="A1339">
        <f>COUNTIF($D$2:D1339,D1339)</f>
        <v>3</v>
      </c>
      <c r="B1339" t="str">
        <f t="shared" si="81"/>
        <v>3Manchester</v>
      </c>
      <c r="C1339" t="s">
        <v>4157</v>
      </c>
      <c r="D1339" t="s">
        <v>215</v>
      </c>
      <c r="E1339">
        <v>7</v>
      </c>
      <c r="F1339" t="s">
        <v>4158</v>
      </c>
      <c r="G1339" t="s">
        <v>806</v>
      </c>
      <c r="H1339" t="s">
        <v>807</v>
      </c>
      <c r="I1339" t="s">
        <v>808</v>
      </c>
      <c r="J1339">
        <f t="shared" ca="1" si="82"/>
        <v>3434069.3958000001</v>
      </c>
      <c r="K1339">
        <f t="shared" ca="1" si="83"/>
        <v>91</v>
      </c>
      <c r="N1339" t="str">
        <f t="shared" si="80"/>
        <v>Knowsley72Demographic Growth Care PackagesResidential PlacementsSupported housing</v>
      </c>
      <c r="O1339" t="s">
        <v>195</v>
      </c>
      <c r="P1339" t="s">
        <v>1201</v>
      </c>
      <c r="Q1339">
        <v>72</v>
      </c>
      <c r="R1339" t="s">
        <v>3735</v>
      </c>
      <c r="S1339" t="s">
        <v>806</v>
      </c>
      <c r="T1339" t="s">
        <v>806</v>
      </c>
      <c r="U1339" t="s">
        <v>873</v>
      </c>
      <c r="W1339">
        <v>28</v>
      </c>
      <c r="X1339">
        <v>28</v>
      </c>
      <c r="Y1339" t="s">
        <v>808</v>
      </c>
      <c r="Z1339" t="s">
        <v>792</v>
      </c>
      <c r="AB1339" t="s">
        <v>793</v>
      </c>
      <c r="AD1339" t="s">
        <v>794</v>
      </c>
      <c r="AE1339" t="s">
        <v>825</v>
      </c>
      <c r="AF1339" t="s">
        <v>845</v>
      </c>
      <c r="AG1339" t="s">
        <v>797</v>
      </c>
      <c r="AH1339">
        <v>1678238</v>
      </c>
      <c r="AI1339">
        <v>1678238</v>
      </c>
      <c r="AJ1339">
        <v>6.482092633842873E-2</v>
      </c>
    </row>
    <row r="1340" spans="1:36" x14ac:dyDescent="0.3">
      <c r="A1340">
        <f>COUNTIF($D$2:D1340,D1340)</f>
        <v>4</v>
      </c>
      <c r="B1340" t="str">
        <f t="shared" si="81"/>
        <v>4Manchester</v>
      </c>
      <c r="C1340" t="s">
        <v>4159</v>
      </c>
      <c r="D1340" t="s">
        <v>215</v>
      </c>
      <c r="E1340">
        <v>8</v>
      </c>
      <c r="F1340" t="s">
        <v>4158</v>
      </c>
      <c r="G1340" t="s">
        <v>806</v>
      </c>
      <c r="H1340" t="s">
        <v>917</v>
      </c>
      <c r="I1340" t="s">
        <v>808</v>
      </c>
      <c r="J1340">
        <f t="shared" ca="1" si="82"/>
        <v>1564824.6</v>
      </c>
      <c r="K1340">
        <f t="shared" ca="1" si="83"/>
        <v>35</v>
      </c>
      <c r="N1340" t="str">
        <f t="shared" si="80"/>
        <v>Knowsley73NLW Uplifts to Care ContractsHome Care or Domiciliary CareDomiciliary care packages</v>
      </c>
      <c r="O1340" t="s">
        <v>195</v>
      </c>
      <c r="P1340" t="s">
        <v>1201</v>
      </c>
      <c r="Q1340">
        <v>73</v>
      </c>
      <c r="R1340" t="s">
        <v>3745</v>
      </c>
      <c r="S1340" t="s">
        <v>4160</v>
      </c>
      <c r="T1340" t="s">
        <v>842</v>
      </c>
      <c r="U1340" t="s">
        <v>843</v>
      </c>
      <c r="W1340">
        <v>13211</v>
      </c>
      <c r="X1340">
        <v>13211</v>
      </c>
      <c r="Y1340" t="s">
        <v>844</v>
      </c>
      <c r="Z1340" t="s">
        <v>792</v>
      </c>
      <c r="AB1340" t="s">
        <v>793</v>
      </c>
      <c r="AD1340" t="s">
        <v>794</v>
      </c>
      <c r="AE1340" t="s">
        <v>825</v>
      </c>
      <c r="AF1340" t="s">
        <v>845</v>
      </c>
      <c r="AG1340" t="s">
        <v>797</v>
      </c>
      <c r="AH1340">
        <v>260000</v>
      </c>
      <c r="AI1340">
        <v>260000</v>
      </c>
      <c r="AJ1340">
        <v>1.7218838202331454E-2</v>
      </c>
    </row>
    <row r="1341" spans="1:36" x14ac:dyDescent="0.3">
      <c r="A1341">
        <f>COUNTIF($D$2:D1341,D1341)</f>
        <v>5</v>
      </c>
      <c r="B1341" t="str">
        <f t="shared" si="81"/>
        <v>5Manchester</v>
      </c>
      <c r="C1341" t="s">
        <v>4161</v>
      </c>
      <c r="D1341" t="s">
        <v>215</v>
      </c>
      <c r="E1341">
        <v>9</v>
      </c>
      <c r="F1341" t="s">
        <v>4158</v>
      </c>
      <c r="G1341" t="s">
        <v>800</v>
      </c>
      <c r="H1341" t="s">
        <v>850</v>
      </c>
      <c r="I1341" t="s">
        <v>802</v>
      </c>
      <c r="J1341">
        <f t="shared" ca="1" si="82"/>
        <v>125692.0794</v>
      </c>
      <c r="K1341">
        <f t="shared" ca="1" si="83"/>
        <v>2514</v>
      </c>
      <c r="N1341" t="str">
        <f t="shared" si="80"/>
        <v>Knowsley74NLW Uplifts to Care ContractsResidential PlacementsCare home</v>
      </c>
      <c r="O1341" t="s">
        <v>195</v>
      </c>
      <c r="P1341" t="s">
        <v>1201</v>
      </c>
      <c r="Q1341">
        <v>74</v>
      </c>
      <c r="R1341" t="s">
        <v>3745</v>
      </c>
      <c r="S1341" t="s">
        <v>806</v>
      </c>
      <c r="T1341" t="s">
        <v>806</v>
      </c>
      <c r="U1341" t="s">
        <v>807</v>
      </c>
      <c r="W1341">
        <v>8</v>
      </c>
      <c r="X1341">
        <v>8</v>
      </c>
      <c r="Y1341" t="s">
        <v>808</v>
      </c>
      <c r="Z1341" t="s">
        <v>792</v>
      </c>
      <c r="AB1341" t="s">
        <v>793</v>
      </c>
      <c r="AD1341" t="s">
        <v>794</v>
      </c>
      <c r="AE1341" t="s">
        <v>804</v>
      </c>
      <c r="AF1341" t="s">
        <v>845</v>
      </c>
      <c r="AG1341" t="s">
        <v>797</v>
      </c>
      <c r="AH1341">
        <v>263000</v>
      </c>
      <c r="AI1341">
        <v>263000</v>
      </c>
      <c r="AJ1341">
        <v>1.0502038433400888E-2</v>
      </c>
    </row>
    <row r="1342" spans="1:36" x14ac:dyDescent="0.3">
      <c r="A1342">
        <f>COUNTIF($D$2:D1342,D1342)</f>
        <v>6</v>
      </c>
      <c r="B1342" t="str">
        <f t="shared" si="81"/>
        <v>6Manchester</v>
      </c>
      <c r="C1342" t="s">
        <v>4162</v>
      </c>
      <c r="D1342" t="s">
        <v>215</v>
      </c>
      <c r="E1342">
        <v>10</v>
      </c>
      <c r="F1342" t="s">
        <v>4158</v>
      </c>
      <c r="G1342" t="s">
        <v>800</v>
      </c>
      <c r="H1342" t="s">
        <v>903</v>
      </c>
      <c r="I1342" t="s">
        <v>802</v>
      </c>
      <c r="J1342">
        <f t="shared" ca="1" si="82"/>
        <v>476980</v>
      </c>
      <c r="K1342">
        <f t="shared" ca="1" si="83"/>
        <v>9540</v>
      </c>
      <c r="N1342" t="str">
        <f t="shared" si="80"/>
        <v>Knowsley75NLW Uplifts to Care ContractsResidential PlacementsNursing home</v>
      </c>
      <c r="O1342" t="s">
        <v>195</v>
      </c>
      <c r="P1342" t="s">
        <v>1201</v>
      </c>
      <c r="Q1342">
        <v>75</v>
      </c>
      <c r="R1342" t="s">
        <v>3745</v>
      </c>
      <c r="S1342" t="s">
        <v>806</v>
      </c>
      <c r="T1342" t="s">
        <v>806</v>
      </c>
      <c r="U1342" t="s">
        <v>917</v>
      </c>
      <c r="W1342">
        <v>3</v>
      </c>
      <c r="X1342">
        <v>3</v>
      </c>
      <c r="Y1342" t="s">
        <v>808</v>
      </c>
      <c r="Z1342" t="s">
        <v>792</v>
      </c>
      <c r="AB1342" t="s">
        <v>793</v>
      </c>
      <c r="AD1342" t="s">
        <v>794</v>
      </c>
      <c r="AE1342" t="s">
        <v>804</v>
      </c>
      <c r="AF1342" t="s">
        <v>845</v>
      </c>
      <c r="AG1342" t="s">
        <v>797</v>
      </c>
      <c r="AH1342">
        <v>97000</v>
      </c>
      <c r="AI1342">
        <v>97000</v>
      </c>
      <c r="AJ1342">
        <v>6.0826812872485691E-3</v>
      </c>
    </row>
    <row r="1343" spans="1:36" x14ac:dyDescent="0.3">
      <c r="A1343">
        <f>COUNTIF($D$2:D1343,D1343)</f>
        <v>7</v>
      </c>
      <c r="B1343" t="str">
        <f t="shared" si="81"/>
        <v>7Manchester</v>
      </c>
      <c r="C1343" t="s">
        <v>4163</v>
      </c>
      <c r="D1343" t="s">
        <v>215</v>
      </c>
      <c r="E1343">
        <v>11</v>
      </c>
      <c r="F1343" t="s">
        <v>4158</v>
      </c>
      <c r="G1343" t="s">
        <v>842</v>
      </c>
      <c r="H1343" t="s">
        <v>856</v>
      </c>
      <c r="I1343" t="s">
        <v>844</v>
      </c>
      <c r="J1343">
        <f t="shared" ca="1" si="82"/>
        <v>1986272.7552</v>
      </c>
      <c r="K1343">
        <f t="shared" ca="1" si="83"/>
        <v>6384</v>
      </c>
      <c r="N1343" t="str">
        <f t="shared" si="80"/>
        <v>Knowsley76NLW Uplifts to Care ContractsResidential PlacementsSupported housing</v>
      </c>
      <c r="O1343" t="s">
        <v>195</v>
      </c>
      <c r="P1343" t="s">
        <v>1201</v>
      </c>
      <c r="Q1343">
        <v>76</v>
      </c>
      <c r="R1343" t="s">
        <v>3745</v>
      </c>
      <c r="S1343" t="s">
        <v>806</v>
      </c>
      <c r="T1343" t="s">
        <v>806</v>
      </c>
      <c r="U1343" t="s">
        <v>873</v>
      </c>
      <c r="W1343">
        <v>5</v>
      </c>
      <c r="X1343">
        <v>5</v>
      </c>
      <c r="Y1343" t="s">
        <v>808</v>
      </c>
      <c r="Z1343" t="s">
        <v>792</v>
      </c>
      <c r="AB1343" t="s">
        <v>793</v>
      </c>
      <c r="AD1343" t="s">
        <v>794</v>
      </c>
      <c r="AE1343" t="s">
        <v>804</v>
      </c>
      <c r="AF1343" t="s">
        <v>845</v>
      </c>
      <c r="AG1343" t="s">
        <v>797</v>
      </c>
      <c r="AH1343">
        <v>308000</v>
      </c>
      <c r="AI1343">
        <v>308000</v>
      </c>
      <c r="AJ1343">
        <v>1.1896313462236015E-2</v>
      </c>
    </row>
    <row r="1344" spans="1:36" x14ac:dyDescent="0.3">
      <c r="A1344">
        <f>COUNTIF($D$2:D1344,D1344)</f>
        <v>8</v>
      </c>
      <c r="B1344" t="str">
        <f t="shared" si="81"/>
        <v>8Manchester</v>
      </c>
      <c r="C1344" t="s">
        <v>4164</v>
      </c>
      <c r="D1344" t="s">
        <v>215</v>
      </c>
      <c r="E1344">
        <v>13</v>
      </c>
      <c r="F1344" t="s">
        <v>4158</v>
      </c>
      <c r="G1344" t="s">
        <v>842</v>
      </c>
      <c r="H1344" t="s">
        <v>843</v>
      </c>
      <c r="I1344" t="s">
        <v>844</v>
      </c>
      <c r="J1344">
        <f t="shared" ca="1" si="82"/>
        <v>2586272.5745999999</v>
      </c>
      <c r="K1344">
        <f t="shared" ca="1" si="83"/>
        <v>128351</v>
      </c>
      <c r="N1344" t="str">
        <f t="shared" si="80"/>
        <v>Knowsley77NLW Uplifts to Care ContractsHome Care or Domiciliary CareDomiciliary care packages</v>
      </c>
      <c r="O1344" t="s">
        <v>195</v>
      </c>
      <c r="P1344" t="s">
        <v>1201</v>
      </c>
      <c r="Q1344">
        <v>77</v>
      </c>
      <c r="R1344" t="s">
        <v>3745</v>
      </c>
      <c r="S1344" t="s">
        <v>4156</v>
      </c>
      <c r="T1344" t="s">
        <v>842</v>
      </c>
      <c r="U1344" t="s">
        <v>843</v>
      </c>
      <c r="W1344">
        <v>9603</v>
      </c>
      <c r="X1344">
        <v>9603</v>
      </c>
      <c r="Y1344" t="s">
        <v>844</v>
      </c>
      <c r="Z1344" t="s">
        <v>792</v>
      </c>
      <c r="AB1344" t="s">
        <v>793</v>
      </c>
      <c r="AD1344" t="s">
        <v>794</v>
      </c>
      <c r="AE1344" t="s">
        <v>804</v>
      </c>
      <c r="AF1344" t="s">
        <v>845</v>
      </c>
      <c r="AG1344" t="s">
        <v>797</v>
      </c>
      <c r="AH1344">
        <v>189000</v>
      </c>
      <c r="AI1344">
        <v>189000</v>
      </c>
      <c r="AJ1344">
        <v>4.6174029673532506E-2</v>
      </c>
    </row>
    <row r="1345" spans="1:36" x14ac:dyDescent="0.3">
      <c r="A1345">
        <f>COUNTIF($D$2:D1345,D1345)</f>
        <v>9</v>
      </c>
      <c r="B1345" t="str">
        <f t="shared" si="81"/>
        <v>9Manchester</v>
      </c>
      <c r="C1345" t="s">
        <v>4165</v>
      </c>
      <c r="D1345" t="s">
        <v>215</v>
      </c>
      <c r="E1345">
        <v>16</v>
      </c>
      <c r="F1345" t="s">
        <v>4166</v>
      </c>
      <c r="G1345" t="s">
        <v>842</v>
      </c>
      <c r="H1345" t="s">
        <v>843</v>
      </c>
      <c r="I1345" t="s">
        <v>844</v>
      </c>
      <c r="J1345">
        <f t="shared" ca="1" si="82"/>
        <v>1136562.8</v>
      </c>
      <c r="K1345">
        <f t="shared" ca="1" si="83"/>
        <v>56405</v>
      </c>
      <c r="N1345" t="str">
        <f t="shared" si="80"/>
        <v>Knowsley81Sleep ins - Supported AccommodationResidential PlacementsSupported housing</v>
      </c>
      <c r="O1345" t="s">
        <v>195</v>
      </c>
      <c r="P1345" t="s">
        <v>1201</v>
      </c>
      <c r="Q1345">
        <v>81</v>
      </c>
      <c r="R1345" t="s">
        <v>3753</v>
      </c>
      <c r="S1345" t="s">
        <v>806</v>
      </c>
      <c r="T1345" t="s">
        <v>806</v>
      </c>
      <c r="U1345" t="s">
        <v>873</v>
      </c>
      <c r="W1345">
        <v>31</v>
      </c>
      <c r="X1345">
        <v>31</v>
      </c>
      <c r="Y1345" t="s">
        <v>808</v>
      </c>
      <c r="Z1345" t="s">
        <v>792</v>
      </c>
      <c r="AB1345" t="s">
        <v>793</v>
      </c>
      <c r="AD1345" t="s">
        <v>794</v>
      </c>
      <c r="AE1345" t="s">
        <v>804</v>
      </c>
      <c r="AF1345" t="s">
        <v>845</v>
      </c>
      <c r="AG1345" t="s">
        <v>797</v>
      </c>
      <c r="AH1345">
        <v>429944</v>
      </c>
      <c r="AI1345">
        <v>429944</v>
      </c>
      <c r="AJ1345">
        <v>0.24123425589342493</v>
      </c>
    </row>
    <row r="1346" spans="1:36" x14ac:dyDescent="0.3">
      <c r="A1346">
        <f>COUNTIF($D$2:D1346,D1346)</f>
        <v>10</v>
      </c>
      <c r="B1346" t="str">
        <f t="shared" si="81"/>
        <v>10Manchester</v>
      </c>
      <c r="C1346" t="s">
        <v>4167</v>
      </c>
      <c r="D1346" t="s">
        <v>215</v>
      </c>
      <c r="E1346">
        <v>33</v>
      </c>
      <c r="F1346" t="s">
        <v>4168</v>
      </c>
      <c r="G1346" t="s">
        <v>800</v>
      </c>
      <c r="H1346" t="s">
        <v>903</v>
      </c>
      <c r="I1346" t="s">
        <v>802</v>
      </c>
      <c r="J1346">
        <f t="shared" ca="1" si="82"/>
        <v>991890</v>
      </c>
      <c r="K1346">
        <f t="shared" ca="1" si="83"/>
        <v>900</v>
      </c>
      <c r="N1346" t="str">
        <f t="shared" ref="N1346:N1409" si="84">O1346&amp;Q1346&amp;R1346&amp;T1346&amp;U1346</f>
        <v>Knowsley84Winter demand community care packagesHome Care or Domiciliary CareDomiciliary care packages</v>
      </c>
      <c r="O1346" t="s">
        <v>195</v>
      </c>
      <c r="P1346" t="s">
        <v>1201</v>
      </c>
      <c r="Q1346">
        <v>84</v>
      </c>
      <c r="R1346" t="s">
        <v>3756</v>
      </c>
      <c r="S1346" t="s">
        <v>842</v>
      </c>
      <c r="T1346" t="s">
        <v>842</v>
      </c>
      <c r="U1346" t="s">
        <v>843</v>
      </c>
      <c r="W1346">
        <v>20325</v>
      </c>
      <c r="X1346">
        <v>20325</v>
      </c>
      <c r="Y1346" t="s">
        <v>844</v>
      </c>
      <c r="Z1346" t="s">
        <v>792</v>
      </c>
      <c r="AB1346" t="s">
        <v>793</v>
      </c>
      <c r="AD1346" t="s">
        <v>794</v>
      </c>
      <c r="AE1346" t="s">
        <v>804</v>
      </c>
      <c r="AF1346" t="s">
        <v>845</v>
      </c>
      <c r="AG1346" t="s">
        <v>797</v>
      </c>
      <c r="AH1346">
        <v>400000</v>
      </c>
      <c r="AI1346">
        <v>400000</v>
      </c>
      <c r="AJ1346">
        <v>2.6490520311279159E-2</v>
      </c>
    </row>
    <row r="1347" spans="1:36" x14ac:dyDescent="0.3">
      <c r="A1347">
        <f>COUNTIF($D$2:D1347,D1347)</f>
        <v>1</v>
      </c>
      <c r="B1347" t="str">
        <f t="shared" ref="B1347:B1410" si="85">A1347&amp;D1347</f>
        <v>1Medway</v>
      </c>
      <c r="C1347" t="s">
        <v>4169</v>
      </c>
      <c r="D1347" t="s">
        <v>217</v>
      </c>
      <c r="E1347">
        <v>2</v>
      </c>
      <c r="F1347" t="s">
        <v>2108</v>
      </c>
      <c r="G1347" t="s">
        <v>800</v>
      </c>
      <c r="H1347" t="s">
        <v>850</v>
      </c>
      <c r="I1347" t="s">
        <v>802</v>
      </c>
      <c r="J1347">
        <f t="shared" ref="J1347:J1410" ca="1" si="86">SUMIF($N:$AI,C1347,AH:AH)</f>
        <v>80000</v>
      </c>
      <c r="K1347">
        <f t="shared" ref="K1347:K1410" ca="1" si="87">SUMIF($N:$AI,C1347,W:W)</f>
        <v>211</v>
      </c>
      <c r="N1347" t="str">
        <f t="shared" si="84"/>
        <v>Knowsley85Winter demand community care packagesResidential PlacementsNursing home</v>
      </c>
      <c r="O1347" t="s">
        <v>195</v>
      </c>
      <c r="P1347" t="s">
        <v>1201</v>
      </c>
      <c r="Q1347">
        <v>85</v>
      </c>
      <c r="R1347" t="s">
        <v>3756</v>
      </c>
      <c r="S1347" t="s">
        <v>806</v>
      </c>
      <c r="T1347" t="s">
        <v>806</v>
      </c>
      <c r="U1347" t="s">
        <v>917</v>
      </c>
      <c r="W1347">
        <v>4</v>
      </c>
      <c r="X1347">
        <v>4</v>
      </c>
      <c r="Y1347" t="s">
        <v>808</v>
      </c>
      <c r="Z1347" t="s">
        <v>792</v>
      </c>
      <c r="AB1347" t="s">
        <v>793</v>
      </c>
      <c r="AD1347" t="s">
        <v>794</v>
      </c>
      <c r="AE1347" t="s">
        <v>804</v>
      </c>
      <c r="AF1347" t="s">
        <v>845</v>
      </c>
      <c r="AG1347" t="s">
        <v>797</v>
      </c>
      <c r="AH1347">
        <v>146536</v>
      </c>
      <c r="AI1347">
        <v>146536</v>
      </c>
      <c r="AJ1347">
        <v>9.1889874753428476E-3</v>
      </c>
    </row>
    <row r="1348" spans="1:36" x14ac:dyDescent="0.3">
      <c r="A1348">
        <f>COUNTIF($D$2:D1348,D1348)</f>
        <v>2</v>
      </c>
      <c r="B1348" t="str">
        <f t="shared" si="85"/>
        <v>2Medway</v>
      </c>
      <c r="C1348" t="s">
        <v>4170</v>
      </c>
      <c r="D1348" t="s">
        <v>217</v>
      </c>
      <c r="E1348">
        <v>3</v>
      </c>
      <c r="F1348" t="s">
        <v>843</v>
      </c>
      <c r="G1348" t="s">
        <v>842</v>
      </c>
      <c r="H1348" t="s">
        <v>812</v>
      </c>
      <c r="I1348" t="s">
        <v>844</v>
      </c>
      <c r="J1348">
        <f t="shared" ca="1" si="86"/>
        <v>99232</v>
      </c>
      <c r="K1348">
        <f t="shared" ca="1" si="87"/>
        <v>5600</v>
      </c>
      <c r="N1348" t="str">
        <f t="shared" si="84"/>
        <v>Knowsley86Assistive TechnologyAssistive Technologies and EquipmentOther</v>
      </c>
      <c r="O1348" t="s">
        <v>195</v>
      </c>
      <c r="P1348" t="s">
        <v>1201</v>
      </c>
      <c r="Q1348">
        <v>86</v>
      </c>
      <c r="R1348" t="s">
        <v>1578</v>
      </c>
      <c r="S1348" t="s">
        <v>4171</v>
      </c>
      <c r="T1348" t="s">
        <v>800</v>
      </c>
      <c r="U1348" t="s">
        <v>812</v>
      </c>
      <c r="V1348" t="s">
        <v>4172</v>
      </c>
      <c r="W1348">
        <v>200</v>
      </c>
      <c r="X1348">
        <v>200</v>
      </c>
      <c r="Y1348" t="s">
        <v>802</v>
      </c>
      <c r="Z1348" t="s">
        <v>792</v>
      </c>
      <c r="AB1348" t="s">
        <v>793</v>
      </c>
      <c r="AD1348" t="s">
        <v>794</v>
      </c>
      <c r="AE1348" t="s">
        <v>825</v>
      </c>
      <c r="AF1348" t="s">
        <v>845</v>
      </c>
      <c r="AG1348" t="s">
        <v>797</v>
      </c>
      <c r="AH1348">
        <v>50000</v>
      </c>
      <c r="AI1348">
        <v>50000</v>
      </c>
      <c r="AJ1348">
        <v>0.18939393939393939</v>
      </c>
    </row>
    <row r="1349" spans="1:36" x14ac:dyDescent="0.3">
      <c r="A1349">
        <f>COUNTIF($D$2:D1349,D1349)</f>
        <v>3</v>
      </c>
      <c r="B1349" t="str">
        <f t="shared" si="85"/>
        <v>3Medway</v>
      </c>
      <c r="C1349" t="s">
        <v>4173</v>
      </c>
      <c r="D1349" t="s">
        <v>217</v>
      </c>
      <c r="E1349">
        <v>4</v>
      </c>
      <c r="F1349" t="s">
        <v>4174</v>
      </c>
      <c r="G1349" t="s">
        <v>811</v>
      </c>
      <c r="H1349" t="s">
        <v>830</v>
      </c>
      <c r="I1349" t="s">
        <v>813</v>
      </c>
      <c r="J1349">
        <f t="shared" ca="1" si="86"/>
        <v>35000</v>
      </c>
      <c r="K1349">
        <f t="shared" ca="1" si="87"/>
        <v>60</v>
      </c>
      <c r="N1349" t="str">
        <f t="shared" si="84"/>
        <v>Knowsley90Assistive technologies and equipmentAssistive Technologies and EquipmentAssistive technologies including telecare</v>
      </c>
      <c r="O1349" t="s">
        <v>195</v>
      </c>
      <c r="P1349" t="s">
        <v>1201</v>
      </c>
      <c r="Q1349">
        <v>90</v>
      </c>
      <c r="R1349" t="s">
        <v>3761</v>
      </c>
      <c r="S1349" t="s">
        <v>4175</v>
      </c>
      <c r="T1349" t="s">
        <v>800</v>
      </c>
      <c r="U1349" t="s">
        <v>850</v>
      </c>
      <c r="W1349">
        <v>268</v>
      </c>
      <c r="X1349">
        <v>268</v>
      </c>
      <c r="Y1349" t="s">
        <v>802</v>
      </c>
      <c r="Z1349" t="s">
        <v>792</v>
      </c>
      <c r="AB1349" t="s">
        <v>793</v>
      </c>
      <c r="AD1349" t="s">
        <v>794</v>
      </c>
      <c r="AE1349" t="s">
        <v>804</v>
      </c>
      <c r="AF1349" t="s">
        <v>860</v>
      </c>
      <c r="AG1349" t="s">
        <v>861</v>
      </c>
      <c r="AH1349">
        <v>104000</v>
      </c>
      <c r="AI1349">
        <v>104000</v>
      </c>
      <c r="AJ1349">
        <v>1</v>
      </c>
    </row>
    <row r="1350" spans="1:36" x14ac:dyDescent="0.3">
      <c r="A1350">
        <f>COUNTIF($D$2:D1350,D1350)</f>
        <v>4</v>
      </c>
      <c r="B1350" t="str">
        <f t="shared" si="85"/>
        <v>4Medway</v>
      </c>
      <c r="C1350" t="s">
        <v>4176</v>
      </c>
      <c r="D1350" t="s">
        <v>217</v>
      </c>
      <c r="E1350">
        <v>5</v>
      </c>
      <c r="F1350" t="s">
        <v>3674</v>
      </c>
      <c r="G1350" t="s">
        <v>811</v>
      </c>
      <c r="H1350" t="s">
        <v>895</v>
      </c>
      <c r="I1350" t="s">
        <v>813</v>
      </c>
      <c r="J1350">
        <f t="shared" ca="1" si="86"/>
        <v>377739</v>
      </c>
      <c r="K1350">
        <f t="shared" ca="1" si="87"/>
        <v>2400</v>
      </c>
      <c r="N1350" t="str">
        <f t="shared" si="84"/>
        <v>Knowsley91Assistive technologies and equipmentAssistive Technologies and EquipmentCommunity based equipment</v>
      </c>
      <c r="O1350" t="s">
        <v>195</v>
      </c>
      <c r="P1350" t="s">
        <v>1201</v>
      </c>
      <c r="Q1350">
        <v>91</v>
      </c>
      <c r="R1350" t="s">
        <v>3761</v>
      </c>
      <c r="S1350" t="s">
        <v>1160</v>
      </c>
      <c r="T1350" t="s">
        <v>800</v>
      </c>
      <c r="U1350" t="s">
        <v>903</v>
      </c>
      <c r="W1350">
        <v>328</v>
      </c>
      <c r="X1350">
        <v>328</v>
      </c>
      <c r="Y1350" t="s">
        <v>802</v>
      </c>
      <c r="Z1350" t="s">
        <v>792</v>
      </c>
      <c r="AB1350" t="s">
        <v>793</v>
      </c>
      <c r="AD1350" t="s">
        <v>794</v>
      </c>
      <c r="AE1350" t="s">
        <v>804</v>
      </c>
      <c r="AF1350" t="s">
        <v>864</v>
      </c>
      <c r="AG1350" t="s">
        <v>861</v>
      </c>
      <c r="AH1350">
        <v>478000</v>
      </c>
      <c r="AI1350">
        <v>478000</v>
      </c>
      <c r="AJ1350">
        <v>1</v>
      </c>
    </row>
    <row r="1351" spans="1:36" x14ac:dyDescent="0.3">
      <c r="A1351">
        <f>COUNTIF($D$2:D1351,D1351)</f>
        <v>5</v>
      </c>
      <c r="B1351" t="str">
        <f t="shared" si="85"/>
        <v>5Medway</v>
      </c>
      <c r="C1351" t="s">
        <v>4177</v>
      </c>
      <c r="D1351" t="s">
        <v>217</v>
      </c>
      <c r="E1351">
        <v>6</v>
      </c>
      <c r="F1351" t="s">
        <v>3674</v>
      </c>
      <c r="G1351" t="s">
        <v>811</v>
      </c>
      <c r="H1351" t="s">
        <v>895</v>
      </c>
      <c r="I1351" t="s">
        <v>813</v>
      </c>
      <c r="J1351">
        <f t="shared" ca="1" si="86"/>
        <v>464595</v>
      </c>
      <c r="K1351">
        <f t="shared" ca="1" si="87"/>
        <v>130</v>
      </c>
      <c r="N1351" t="str">
        <f t="shared" si="84"/>
        <v>Knowsley99Home care or domiciliary care (Pathway 1)Home Care or Domiciliary CareDomiciliary care to support hospital discharge (Discharge to Assess pathway 1)</v>
      </c>
      <c r="O1351" t="s">
        <v>195</v>
      </c>
      <c r="P1351" t="s">
        <v>1201</v>
      </c>
      <c r="Q1351">
        <v>99</v>
      </c>
      <c r="R1351" t="s">
        <v>3765</v>
      </c>
      <c r="S1351" t="s">
        <v>4178</v>
      </c>
      <c r="T1351" t="s">
        <v>842</v>
      </c>
      <c r="U1351" t="s">
        <v>856</v>
      </c>
      <c r="W1351">
        <v>1176</v>
      </c>
      <c r="X1351">
        <v>2016</v>
      </c>
      <c r="Y1351" t="s">
        <v>844</v>
      </c>
      <c r="Z1351" t="s">
        <v>792</v>
      </c>
      <c r="AB1351" t="s">
        <v>793</v>
      </c>
      <c r="AD1351" t="s">
        <v>794</v>
      </c>
      <c r="AE1351" t="s">
        <v>795</v>
      </c>
      <c r="AF1351" t="s">
        <v>864</v>
      </c>
      <c r="AG1351" t="s">
        <v>861</v>
      </c>
      <c r="AH1351">
        <v>21000</v>
      </c>
      <c r="AI1351">
        <v>36000</v>
      </c>
      <c r="AJ1351">
        <v>4.2073251745670885E-2</v>
      </c>
    </row>
    <row r="1352" spans="1:36" x14ac:dyDescent="0.3">
      <c r="A1352">
        <f>COUNTIF($D$2:D1352,D1352)</f>
        <v>6</v>
      </c>
      <c r="B1352" t="str">
        <f t="shared" si="85"/>
        <v>6Medway</v>
      </c>
      <c r="C1352" t="s">
        <v>4179</v>
      </c>
      <c r="D1352" t="s">
        <v>217</v>
      </c>
      <c r="E1352">
        <v>22</v>
      </c>
      <c r="F1352" t="s">
        <v>4180</v>
      </c>
      <c r="G1352" t="s">
        <v>800</v>
      </c>
      <c r="H1352" t="s">
        <v>903</v>
      </c>
      <c r="I1352" t="s">
        <v>802</v>
      </c>
      <c r="J1352">
        <f t="shared" ca="1" si="86"/>
        <v>1100000</v>
      </c>
      <c r="K1352">
        <f t="shared" ca="1" si="87"/>
        <v>19600</v>
      </c>
      <c r="N1352" t="str">
        <f t="shared" si="84"/>
        <v>Knowsley100Home-based intermediate care services (Pathway 1)Home Care or Domiciliary CareDomiciliary care to support hospital discharge (Discharge to Assess pathway 1)</v>
      </c>
      <c r="O1352" t="s">
        <v>195</v>
      </c>
      <c r="P1352" t="s">
        <v>1201</v>
      </c>
      <c r="Q1352">
        <v>100</v>
      </c>
      <c r="R1352" t="s">
        <v>3767</v>
      </c>
      <c r="S1352" t="s">
        <v>4181</v>
      </c>
      <c r="T1352" t="s">
        <v>842</v>
      </c>
      <c r="U1352" t="s">
        <v>856</v>
      </c>
      <c r="W1352">
        <v>1176</v>
      </c>
      <c r="X1352">
        <v>2016</v>
      </c>
      <c r="Y1352" t="s">
        <v>844</v>
      </c>
      <c r="Z1352" t="s">
        <v>792</v>
      </c>
      <c r="AB1352" t="s">
        <v>793</v>
      </c>
      <c r="AD1352" t="s">
        <v>794</v>
      </c>
      <c r="AE1352" t="s">
        <v>795</v>
      </c>
      <c r="AF1352" t="s">
        <v>864</v>
      </c>
      <c r="AG1352" t="s">
        <v>861</v>
      </c>
      <c r="AH1352">
        <v>21000</v>
      </c>
      <c r="AI1352">
        <v>36000</v>
      </c>
      <c r="AJ1352">
        <v>3.3325927571650746E-2</v>
      </c>
    </row>
    <row r="1353" spans="1:36" x14ac:dyDescent="0.3">
      <c r="A1353">
        <f>COUNTIF($D$2:D1353,D1353)</f>
        <v>7</v>
      </c>
      <c r="B1353" t="str">
        <f t="shared" si="85"/>
        <v>7Medway</v>
      </c>
      <c r="C1353" t="s">
        <v>4182</v>
      </c>
      <c r="D1353" t="s">
        <v>217</v>
      </c>
      <c r="E1353">
        <v>23</v>
      </c>
      <c r="F1353" t="s">
        <v>4180</v>
      </c>
      <c r="G1353" t="s">
        <v>800</v>
      </c>
      <c r="H1353" t="s">
        <v>903</v>
      </c>
      <c r="I1353" t="s">
        <v>802</v>
      </c>
      <c r="J1353">
        <f t="shared" ca="1" si="86"/>
        <v>1100000</v>
      </c>
      <c r="K1353">
        <f t="shared" ca="1" si="87"/>
        <v>19600</v>
      </c>
      <c r="N1353" t="str">
        <f t="shared" si="84"/>
        <v>Knowsley105Residential placements (Pathway 3)Residential PlacementsCare home</v>
      </c>
      <c r="O1353" t="s">
        <v>195</v>
      </c>
      <c r="P1353" t="s">
        <v>1201</v>
      </c>
      <c r="Q1353">
        <v>105</v>
      </c>
      <c r="R1353" t="s">
        <v>3771</v>
      </c>
      <c r="S1353" t="s">
        <v>4183</v>
      </c>
      <c r="T1353" t="s">
        <v>806</v>
      </c>
      <c r="U1353" t="s">
        <v>807</v>
      </c>
      <c r="W1353">
        <v>1</v>
      </c>
      <c r="X1353">
        <v>1</v>
      </c>
      <c r="Y1353" t="s">
        <v>808</v>
      </c>
      <c r="Z1353" t="s">
        <v>792</v>
      </c>
      <c r="AB1353" t="s">
        <v>793</v>
      </c>
      <c r="AD1353" t="s">
        <v>794</v>
      </c>
      <c r="AE1353" t="s">
        <v>795</v>
      </c>
      <c r="AF1353" t="s">
        <v>864</v>
      </c>
      <c r="AG1353" t="s">
        <v>861</v>
      </c>
      <c r="AH1353">
        <v>12000</v>
      </c>
      <c r="AI1353">
        <v>12000</v>
      </c>
      <c r="AJ1353">
        <v>3.3222591362126247E-3</v>
      </c>
    </row>
    <row r="1354" spans="1:36" x14ac:dyDescent="0.3">
      <c r="A1354">
        <f>COUNTIF($D$2:D1354,D1354)</f>
        <v>8</v>
      </c>
      <c r="B1354" t="str">
        <f t="shared" si="85"/>
        <v>8Medway</v>
      </c>
      <c r="C1354" t="s">
        <v>4184</v>
      </c>
      <c r="D1354" t="s">
        <v>217</v>
      </c>
      <c r="E1354">
        <v>24</v>
      </c>
      <c r="F1354" t="s">
        <v>4185</v>
      </c>
      <c r="G1354" t="s">
        <v>877</v>
      </c>
      <c r="H1354" t="s">
        <v>878</v>
      </c>
      <c r="I1354" t="s">
        <v>879</v>
      </c>
      <c r="J1354">
        <f t="shared" ca="1" si="86"/>
        <v>570837</v>
      </c>
      <c r="K1354">
        <f t="shared" ca="1" si="87"/>
        <v>139</v>
      </c>
      <c r="N1354" t="str">
        <f t="shared" si="84"/>
        <v xml:space="preserve">Lambeth1Reablement - GSTTHome-based intermediate care servicesReablement at home (to support discharge) </v>
      </c>
      <c r="O1354" t="s">
        <v>197</v>
      </c>
      <c r="P1354" t="s">
        <v>790</v>
      </c>
      <c r="Q1354">
        <v>1</v>
      </c>
      <c r="R1354" t="s">
        <v>3774</v>
      </c>
      <c r="S1354" t="s">
        <v>4186</v>
      </c>
      <c r="T1354" t="s">
        <v>787</v>
      </c>
      <c r="U1354" t="s">
        <v>788</v>
      </c>
      <c r="W1354">
        <v>710</v>
      </c>
      <c r="X1354">
        <v>710</v>
      </c>
      <c r="Y1354" t="s">
        <v>789</v>
      </c>
      <c r="Z1354" t="s">
        <v>792</v>
      </c>
      <c r="AB1354" t="s">
        <v>793</v>
      </c>
      <c r="AD1354" t="s">
        <v>794</v>
      </c>
      <c r="AE1354" t="s">
        <v>832</v>
      </c>
      <c r="AF1354" t="s">
        <v>796</v>
      </c>
      <c r="AG1354" t="s">
        <v>797</v>
      </c>
      <c r="AH1354">
        <v>1784297</v>
      </c>
      <c r="AI1354">
        <v>1784297</v>
      </c>
      <c r="AJ1354">
        <v>1</v>
      </c>
    </row>
    <row r="1355" spans="1:36" x14ac:dyDescent="0.3">
      <c r="A1355">
        <f>COUNTIF($D$2:D1355,D1355)</f>
        <v>9</v>
      </c>
      <c r="B1355" t="str">
        <f t="shared" si="85"/>
        <v>9Medway</v>
      </c>
      <c r="C1355" t="s">
        <v>4187</v>
      </c>
      <c r="D1355" t="s">
        <v>217</v>
      </c>
      <c r="E1355">
        <v>25</v>
      </c>
      <c r="F1355" t="s">
        <v>4188</v>
      </c>
      <c r="G1355" t="s">
        <v>877</v>
      </c>
      <c r="H1355" t="s">
        <v>878</v>
      </c>
      <c r="I1355" t="s">
        <v>879</v>
      </c>
      <c r="J1355">
        <f t="shared" ca="1" si="86"/>
        <v>2137000</v>
      </c>
      <c r="K1355">
        <f t="shared" ca="1" si="87"/>
        <v>173</v>
      </c>
      <c r="N1355" t="str">
        <f t="shared" si="84"/>
        <v xml:space="preserve">Lambeth1Reablement - LAHome-based intermediate care servicesReablement at home (to support discharge) </v>
      </c>
      <c r="O1355" t="s">
        <v>197</v>
      </c>
      <c r="P1355" t="s">
        <v>790</v>
      </c>
      <c r="Q1355">
        <v>1</v>
      </c>
      <c r="R1355" t="s">
        <v>3777</v>
      </c>
      <c r="S1355" t="s">
        <v>4186</v>
      </c>
      <c r="T1355" t="s">
        <v>787</v>
      </c>
      <c r="U1355" t="s">
        <v>788</v>
      </c>
      <c r="W1355">
        <v>689</v>
      </c>
      <c r="X1355">
        <v>689</v>
      </c>
      <c r="Y1355" t="s">
        <v>789</v>
      </c>
      <c r="Z1355" t="s">
        <v>792</v>
      </c>
      <c r="AB1355" t="s">
        <v>793</v>
      </c>
      <c r="AD1355" t="s">
        <v>794</v>
      </c>
      <c r="AE1355" t="s">
        <v>832</v>
      </c>
      <c r="AF1355" t="s">
        <v>796</v>
      </c>
      <c r="AG1355" t="s">
        <v>797</v>
      </c>
      <c r="AH1355">
        <v>1118379</v>
      </c>
      <c r="AI1355">
        <v>1118379</v>
      </c>
      <c r="AJ1355">
        <v>0.75</v>
      </c>
    </row>
    <row r="1356" spans="1:36" x14ac:dyDescent="0.3">
      <c r="A1356">
        <f>COUNTIF($D$2:D1356,D1356)</f>
        <v>10</v>
      </c>
      <c r="B1356" t="str">
        <f t="shared" si="85"/>
        <v>10Medway</v>
      </c>
      <c r="C1356" t="s">
        <v>4189</v>
      </c>
      <c r="D1356" t="s">
        <v>217</v>
      </c>
      <c r="E1356">
        <v>26</v>
      </c>
      <c r="F1356" t="s">
        <v>4190</v>
      </c>
      <c r="G1356" t="s">
        <v>787</v>
      </c>
      <c r="H1356" t="s">
        <v>788</v>
      </c>
      <c r="I1356" t="s">
        <v>789</v>
      </c>
      <c r="J1356">
        <f t="shared" ca="1" si="86"/>
        <v>1968000</v>
      </c>
      <c r="K1356">
        <f t="shared" ca="1" si="87"/>
        <v>1570</v>
      </c>
      <c r="N1356" t="str">
        <f t="shared" si="84"/>
        <v>Lambeth5CarersCarers ServicesCarer advice and support related to Care Act duties</v>
      </c>
      <c r="O1356" t="s">
        <v>197</v>
      </c>
      <c r="P1356" t="s">
        <v>790</v>
      </c>
      <c r="Q1356">
        <v>5</v>
      </c>
      <c r="R1356" t="s">
        <v>1250</v>
      </c>
      <c r="S1356" t="s">
        <v>4191</v>
      </c>
      <c r="T1356" t="s">
        <v>811</v>
      </c>
      <c r="U1356" t="s">
        <v>895</v>
      </c>
      <c r="W1356">
        <v>535</v>
      </c>
      <c r="X1356">
        <v>535</v>
      </c>
      <c r="Y1356" t="s">
        <v>813</v>
      </c>
      <c r="Z1356" t="s">
        <v>792</v>
      </c>
      <c r="AB1356" t="s">
        <v>793</v>
      </c>
      <c r="AD1356" t="s">
        <v>794</v>
      </c>
      <c r="AE1356" t="s">
        <v>795</v>
      </c>
      <c r="AF1356" t="s">
        <v>796</v>
      </c>
      <c r="AG1356" t="s">
        <v>797</v>
      </c>
      <c r="AH1356">
        <v>290000</v>
      </c>
      <c r="AI1356">
        <v>290000</v>
      </c>
      <c r="AJ1356">
        <v>1</v>
      </c>
    </row>
    <row r="1357" spans="1:36" x14ac:dyDescent="0.3">
      <c r="A1357">
        <f>COUNTIF($D$2:D1357,D1357)</f>
        <v>11</v>
      </c>
      <c r="B1357" t="str">
        <f t="shared" si="85"/>
        <v>11Medway</v>
      </c>
      <c r="C1357" t="s">
        <v>4192</v>
      </c>
      <c r="D1357" t="s">
        <v>217</v>
      </c>
      <c r="E1357">
        <v>28</v>
      </c>
      <c r="F1357" t="s">
        <v>891</v>
      </c>
      <c r="G1357" t="s">
        <v>834</v>
      </c>
      <c r="H1357" t="s">
        <v>835</v>
      </c>
      <c r="I1357" t="s">
        <v>836</v>
      </c>
      <c r="J1357">
        <f t="shared" ca="1" si="86"/>
        <v>2470674</v>
      </c>
      <c r="K1357">
        <f t="shared" ca="1" si="87"/>
        <v>134</v>
      </c>
      <c r="N1357" t="str">
        <f t="shared" si="84"/>
        <v>Lambeth6Residential placementsResidential PlacementsCare home</v>
      </c>
      <c r="O1357" t="s">
        <v>197</v>
      </c>
      <c r="P1357" t="s">
        <v>790</v>
      </c>
      <c r="Q1357">
        <v>6</v>
      </c>
      <c r="R1357" t="s">
        <v>2593</v>
      </c>
      <c r="S1357" t="s">
        <v>4193</v>
      </c>
      <c r="T1357" t="s">
        <v>806</v>
      </c>
      <c r="U1357" t="s">
        <v>807</v>
      </c>
      <c r="W1357">
        <v>842</v>
      </c>
      <c r="X1357">
        <v>842</v>
      </c>
      <c r="Y1357" t="s">
        <v>808</v>
      </c>
      <c r="Z1357" t="s">
        <v>792</v>
      </c>
      <c r="AB1357" t="s">
        <v>793</v>
      </c>
      <c r="AD1357" t="s">
        <v>794</v>
      </c>
      <c r="AE1357" t="s">
        <v>804</v>
      </c>
      <c r="AF1357" t="s">
        <v>796</v>
      </c>
      <c r="AG1357" t="s">
        <v>797</v>
      </c>
      <c r="AH1357">
        <v>5801000</v>
      </c>
      <c r="AI1357">
        <v>5801000</v>
      </c>
      <c r="AJ1357">
        <v>0.12</v>
      </c>
    </row>
    <row r="1358" spans="1:36" x14ac:dyDescent="0.3">
      <c r="A1358">
        <f>COUNTIF($D$2:D1358,D1358)</f>
        <v>12</v>
      </c>
      <c r="B1358" t="str">
        <f t="shared" si="85"/>
        <v>12Medway</v>
      </c>
      <c r="C1358" t="s">
        <v>4194</v>
      </c>
      <c r="D1358" t="s">
        <v>217</v>
      </c>
      <c r="E1358">
        <v>31</v>
      </c>
      <c r="F1358" t="s">
        <v>4195</v>
      </c>
      <c r="G1358" t="s">
        <v>806</v>
      </c>
      <c r="H1358" t="s">
        <v>854</v>
      </c>
      <c r="I1358" t="s">
        <v>808</v>
      </c>
      <c r="J1358">
        <f t="shared" ca="1" si="86"/>
        <v>1351350</v>
      </c>
      <c r="K1358">
        <f t="shared" ca="1" si="87"/>
        <v>14</v>
      </c>
      <c r="N1358" t="str">
        <f t="shared" si="84"/>
        <v>Lambeth8Disabled Facilities Grant (DFG)DFG Related SchemesAdaptations, including statutory DFG grants</v>
      </c>
      <c r="O1358" t="s">
        <v>197</v>
      </c>
      <c r="P1358" t="s">
        <v>790</v>
      </c>
      <c r="Q1358">
        <v>8</v>
      </c>
      <c r="R1358" t="s">
        <v>1844</v>
      </c>
      <c r="S1358" t="s">
        <v>4196</v>
      </c>
      <c r="T1358" t="s">
        <v>834</v>
      </c>
      <c r="U1358" t="s">
        <v>835</v>
      </c>
      <c r="W1358">
        <v>18922</v>
      </c>
      <c r="X1358">
        <v>18922</v>
      </c>
      <c r="Y1358" t="s">
        <v>836</v>
      </c>
      <c r="Z1358" t="s">
        <v>792</v>
      </c>
      <c r="AB1358" t="s">
        <v>793</v>
      </c>
      <c r="AD1358" t="s">
        <v>794</v>
      </c>
      <c r="AE1358" t="s">
        <v>795</v>
      </c>
      <c r="AF1358" t="s">
        <v>840</v>
      </c>
      <c r="AG1358" t="s">
        <v>797</v>
      </c>
      <c r="AH1358">
        <v>1050000</v>
      </c>
      <c r="AI1358">
        <v>1050000</v>
      </c>
      <c r="AJ1358">
        <v>0.5</v>
      </c>
    </row>
    <row r="1359" spans="1:36" x14ac:dyDescent="0.3">
      <c r="A1359">
        <f>COUNTIF($D$2:D1359,D1359)</f>
        <v>13</v>
      </c>
      <c r="B1359" t="str">
        <f t="shared" si="85"/>
        <v>13Medway</v>
      </c>
      <c r="C1359" t="s">
        <v>4197</v>
      </c>
      <c r="D1359" t="s">
        <v>217</v>
      </c>
      <c r="E1359">
        <v>32</v>
      </c>
      <c r="F1359" t="s">
        <v>4195</v>
      </c>
      <c r="G1359" t="s">
        <v>806</v>
      </c>
      <c r="H1359" t="s">
        <v>917</v>
      </c>
      <c r="I1359" t="s">
        <v>808</v>
      </c>
      <c r="J1359">
        <f t="shared" ca="1" si="86"/>
        <v>2302043</v>
      </c>
      <c r="K1359">
        <f t="shared" ca="1" si="87"/>
        <v>52</v>
      </c>
      <c r="N1359" t="str">
        <f t="shared" si="84"/>
        <v>Lambeth9iBCF Local Government settlement (includes previous Winter Pressure funding)Residential PlacementsCare home</v>
      </c>
      <c r="O1359" t="s">
        <v>197</v>
      </c>
      <c r="P1359" t="s">
        <v>790</v>
      </c>
      <c r="Q1359">
        <v>9</v>
      </c>
      <c r="R1359" t="s">
        <v>3783</v>
      </c>
      <c r="S1359" t="s">
        <v>4198</v>
      </c>
      <c r="T1359" t="s">
        <v>806</v>
      </c>
      <c r="U1359" t="s">
        <v>807</v>
      </c>
      <c r="W1359">
        <v>210</v>
      </c>
      <c r="X1359">
        <v>210</v>
      </c>
      <c r="Y1359" t="s">
        <v>808</v>
      </c>
      <c r="Z1359" t="s">
        <v>792</v>
      </c>
      <c r="AB1359" t="s">
        <v>793</v>
      </c>
      <c r="AD1359" t="s">
        <v>794</v>
      </c>
      <c r="AE1359" t="s">
        <v>795</v>
      </c>
      <c r="AF1359" t="s">
        <v>845</v>
      </c>
      <c r="AG1359" t="s">
        <v>797</v>
      </c>
      <c r="AH1359">
        <v>829904</v>
      </c>
      <c r="AI1359">
        <v>829904</v>
      </c>
      <c r="AJ1359">
        <v>0.25</v>
      </c>
    </row>
    <row r="1360" spans="1:36" x14ac:dyDescent="0.3">
      <c r="A1360">
        <f>COUNTIF($D$2:D1360,D1360)</f>
        <v>14</v>
      </c>
      <c r="B1360" t="str">
        <f t="shared" si="85"/>
        <v>14Medway</v>
      </c>
      <c r="C1360" t="s">
        <v>4199</v>
      </c>
      <c r="D1360" t="s">
        <v>217</v>
      </c>
      <c r="E1360">
        <v>33</v>
      </c>
      <c r="F1360" t="s">
        <v>4200</v>
      </c>
      <c r="G1360" t="s">
        <v>811</v>
      </c>
      <c r="H1360" t="s">
        <v>895</v>
      </c>
      <c r="I1360" t="s">
        <v>813</v>
      </c>
      <c r="J1360">
        <f t="shared" ca="1" si="86"/>
        <v>1100000</v>
      </c>
      <c r="K1360">
        <f t="shared" ca="1" si="87"/>
        <v>156</v>
      </c>
      <c r="N1360" t="str">
        <f t="shared" si="84"/>
        <v>Lambeth11Intermediate CareBed based intermediate Care Services (Reablement, rehabilitation, wider short-term services supporting recovery)Bed-based intermediate care with rehabilitation (to support discharge)</v>
      </c>
      <c r="O1360" t="s">
        <v>197</v>
      </c>
      <c r="P1360" t="s">
        <v>790</v>
      </c>
      <c r="Q1360">
        <v>11</v>
      </c>
      <c r="R1360" t="s">
        <v>964</v>
      </c>
      <c r="S1360" t="s">
        <v>4201</v>
      </c>
      <c r="T1360" t="s">
        <v>877</v>
      </c>
      <c r="U1360" t="s">
        <v>968</v>
      </c>
      <c r="W1360">
        <v>36</v>
      </c>
      <c r="X1360">
        <v>36</v>
      </c>
      <c r="Y1360" t="s">
        <v>879</v>
      </c>
      <c r="Z1360" t="s">
        <v>823</v>
      </c>
      <c r="AB1360" t="s">
        <v>824</v>
      </c>
      <c r="AD1360" t="s">
        <v>794</v>
      </c>
      <c r="AE1360" t="s">
        <v>832</v>
      </c>
      <c r="AF1360" t="s">
        <v>796</v>
      </c>
      <c r="AG1360" t="s">
        <v>797</v>
      </c>
      <c r="AH1360">
        <v>3907977</v>
      </c>
      <c r="AI1360">
        <v>3907977</v>
      </c>
      <c r="AJ1360">
        <v>0.26</v>
      </c>
    </row>
    <row r="1361" spans="1:36" x14ac:dyDescent="0.3">
      <c r="A1361">
        <f>COUNTIF($D$2:D1361,D1361)</f>
        <v>15</v>
      </c>
      <c r="B1361" t="str">
        <f t="shared" si="85"/>
        <v>15Medway</v>
      </c>
      <c r="C1361" t="s">
        <v>4202</v>
      </c>
      <c r="D1361" t="s">
        <v>217</v>
      </c>
      <c r="E1361">
        <v>34</v>
      </c>
      <c r="F1361" t="s">
        <v>1394</v>
      </c>
      <c r="G1361" t="s">
        <v>806</v>
      </c>
      <c r="H1361" t="s">
        <v>917</v>
      </c>
      <c r="I1361" t="s">
        <v>808</v>
      </c>
      <c r="J1361">
        <f t="shared" ca="1" si="86"/>
        <v>1268393</v>
      </c>
      <c r="K1361">
        <f t="shared" ca="1" si="87"/>
        <v>40</v>
      </c>
      <c r="N1361" t="str">
        <f t="shared" si="84"/>
        <v>Lambeth8Disabled Facilities Grant (DFG)DFG Related SchemesAdaptations, including statutory DFG grants</v>
      </c>
      <c r="O1361" t="s">
        <v>197</v>
      </c>
      <c r="P1361" t="s">
        <v>790</v>
      </c>
      <c r="Q1361">
        <v>8</v>
      </c>
      <c r="R1361" t="s">
        <v>1844</v>
      </c>
      <c r="S1361" t="s">
        <v>4203</v>
      </c>
      <c r="T1361" t="s">
        <v>834</v>
      </c>
      <c r="U1361" t="s">
        <v>835</v>
      </c>
      <c r="W1361">
        <v>3439</v>
      </c>
      <c r="X1361">
        <v>3439</v>
      </c>
      <c r="Y1361" t="s">
        <v>836</v>
      </c>
      <c r="Z1361" t="s">
        <v>792</v>
      </c>
      <c r="AB1361" t="s">
        <v>793</v>
      </c>
      <c r="AD1361" t="s">
        <v>794</v>
      </c>
      <c r="AE1361" t="s">
        <v>795</v>
      </c>
      <c r="AF1361" t="s">
        <v>840</v>
      </c>
      <c r="AG1361" t="s">
        <v>797</v>
      </c>
      <c r="AH1361">
        <v>628410</v>
      </c>
      <c r="AI1361">
        <v>628410</v>
      </c>
      <c r="AJ1361">
        <v>0.25</v>
      </c>
    </row>
    <row r="1362" spans="1:36" x14ac:dyDescent="0.3">
      <c r="A1362">
        <f>COUNTIF($D$2:D1362,D1362)</f>
        <v>16</v>
      </c>
      <c r="B1362" t="str">
        <f t="shared" si="85"/>
        <v>16Medway</v>
      </c>
      <c r="C1362" t="s">
        <v>4204</v>
      </c>
      <c r="D1362" t="s">
        <v>217</v>
      </c>
      <c r="E1362">
        <v>35</v>
      </c>
      <c r="F1362" t="s">
        <v>4205</v>
      </c>
      <c r="G1362" t="s">
        <v>806</v>
      </c>
      <c r="H1362" t="s">
        <v>917</v>
      </c>
      <c r="I1362" t="s">
        <v>808</v>
      </c>
      <c r="J1362">
        <f t="shared" ca="1" si="86"/>
        <v>125000</v>
      </c>
      <c r="K1362">
        <f t="shared" ca="1" si="87"/>
        <v>8</v>
      </c>
      <c r="N1362" t="str">
        <f t="shared" si="84"/>
        <v>Lambeth9iBCF Local Government settlement (includes previous Winter Pressure funding)Home Care or Domiciliary CareDomiciliary care to support hospital discharge (Discharge to Assess pathway 1)</v>
      </c>
      <c r="O1362" t="s">
        <v>197</v>
      </c>
      <c r="P1362" t="s">
        <v>790</v>
      </c>
      <c r="Q1362">
        <v>9</v>
      </c>
      <c r="R1362" t="s">
        <v>3783</v>
      </c>
      <c r="S1362" t="s">
        <v>4206</v>
      </c>
      <c r="T1362" t="s">
        <v>842</v>
      </c>
      <c r="U1362" t="s">
        <v>856</v>
      </c>
      <c r="W1362">
        <v>2870</v>
      </c>
      <c r="X1362">
        <v>2870</v>
      </c>
      <c r="Y1362" t="s">
        <v>844</v>
      </c>
      <c r="Z1362" t="s">
        <v>792</v>
      </c>
      <c r="AB1362" t="s">
        <v>793</v>
      </c>
      <c r="AD1362" t="s">
        <v>794</v>
      </c>
      <c r="AE1362" t="s">
        <v>795</v>
      </c>
      <c r="AF1362" t="s">
        <v>845</v>
      </c>
      <c r="AG1362" t="s">
        <v>797</v>
      </c>
      <c r="AH1362">
        <v>13677047</v>
      </c>
      <c r="AI1362">
        <v>13677047</v>
      </c>
      <c r="AJ1362">
        <v>0.75</v>
      </c>
    </row>
    <row r="1363" spans="1:36" x14ac:dyDescent="0.3">
      <c r="A1363">
        <f>COUNTIF($D$2:D1363,D1363)</f>
        <v>17</v>
      </c>
      <c r="B1363" t="str">
        <f t="shared" si="85"/>
        <v>17Medway</v>
      </c>
      <c r="C1363" t="s">
        <v>4207</v>
      </c>
      <c r="D1363" t="s">
        <v>217</v>
      </c>
      <c r="E1363">
        <v>36</v>
      </c>
      <c r="F1363" t="s">
        <v>4208</v>
      </c>
      <c r="G1363" t="s">
        <v>806</v>
      </c>
      <c r="H1363" t="s">
        <v>917</v>
      </c>
      <c r="I1363" t="s">
        <v>808</v>
      </c>
      <c r="J1363">
        <f t="shared" ca="1" si="86"/>
        <v>125000</v>
      </c>
      <c r="K1363">
        <f t="shared" ca="1" si="87"/>
        <v>4</v>
      </c>
      <c r="N1363" t="str">
        <f t="shared" si="84"/>
        <v>Lambeth9iBCF Local Government settlement (includes previous Winter Pressure funding)Home Care or Domiciliary CareDomiciliary care to support hospital discharge (Discharge to Assess pathway 1)</v>
      </c>
      <c r="O1363" t="s">
        <v>197</v>
      </c>
      <c r="P1363" t="s">
        <v>790</v>
      </c>
      <c r="Q1363">
        <v>9</v>
      </c>
      <c r="R1363" t="s">
        <v>3783</v>
      </c>
      <c r="S1363" t="s">
        <v>4206</v>
      </c>
      <c r="T1363" t="s">
        <v>842</v>
      </c>
      <c r="U1363" t="s">
        <v>856</v>
      </c>
      <c r="W1363">
        <v>210</v>
      </c>
      <c r="X1363">
        <v>210</v>
      </c>
      <c r="Y1363" t="s">
        <v>844</v>
      </c>
      <c r="Z1363" t="s">
        <v>792</v>
      </c>
      <c r="AB1363" t="s">
        <v>793</v>
      </c>
      <c r="AD1363" t="s">
        <v>794</v>
      </c>
      <c r="AE1363" t="s">
        <v>795</v>
      </c>
      <c r="AF1363" t="s">
        <v>845</v>
      </c>
      <c r="AG1363" t="s">
        <v>797</v>
      </c>
      <c r="AH1363">
        <v>439460</v>
      </c>
      <c r="AI1363">
        <v>439460</v>
      </c>
      <c r="AJ1363">
        <v>0.1</v>
      </c>
    </row>
    <row r="1364" spans="1:36" x14ac:dyDescent="0.3">
      <c r="A1364">
        <f>COUNTIF($D$2:D1364,D1364)</f>
        <v>18</v>
      </c>
      <c r="B1364" t="str">
        <f t="shared" si="85"/>
        <v>18Medway</v>
      </c>
      <c r="C1364" t="s">
        <v>4209</v>
      </c>
      <c r="D1364" t="s">
        <v>217</v>
      </c>
      <c r="E1364">
        <v>37</v>
      </c>
      <c r="F1364" t="s">
        <v>4210</v>
      </c>
      <c r="G1364" t="s">
        <v>787</v>
      </c>
      <c r="H1364" t="s">
        <v>788</v>
      </c>
      <c r="I1364" t="s">
        <v>789</v>
      </c>
      <c r="J1364">
        <f t="shared" ca="1" si="86"/>
        <v>120000</v>
      </c>
      <c r="K1364">
        <f t="shared" ca="1" si="87"/>
        <v>60</v>
      </c>
      <c r="N1364" t="str">
        <f t="shared" si="84"/>
        <v>Lambeth28Acute step down Residential PlacementsShort term residential care (without rehabilitation or reablement input)</v>
      </c>
      <c r="O1364" t="s">
        <v>197</v>
      </c>
      <c r="P1364" t="s">
        <v>790</v>
      </c>
      <c r="Q1364">
        <v>28</v>
      </c>
      <c r="R1364" t="s">
        <v>3789</v>
      </c>
      <c r="S1364" t="s">
        <v>4211</v>
      </c>
      <c r="T1364" t="s">
        <v>806</v>
      </c>
      <c r="U1364" t="s">
        <v>955</v>
      </c>
      <c r="W1364">
        <v>63</v>
      </c>
      <c r="X1364">
        <v>63</v>
      </c>
      <c r="Y1364" t="s">
        <v>808</v>
      </c>
      <c r="Z1364" t="s">
        <v>792</v>
      </c>
      <c r="AB1364" t="s">
        <v>793</v>
      </c>
      <c r="AD1364" t="s">
        <v>794</v>
      </c>
      <c r="AE1364" t="s">
        <v>804</v>
      </c>
      <c r="AF1364" t="s">
        <v>860</v>
      </c>
      <c r="AG1364" t="s">
        <v>861</v>
      </c>
      <c r="AH1364">
        <v>732000</v>
      </c>
      <c r="AI1364">
        <v>732000</v>
      </c>
      <c r="AJ1364">
        <v>1</v>
      </c>
    </row>
    <row r="1365" spans="1:36" x14ac:dyDescent="0.3">
      <c r="A1365">
        <f>COUNTIF($D$2:D1365,D1365)</f>
        <v>19</v>
      </c>
      <c r="B1365" t="str">
        <f t="shared" si="85"/>
        <v>19Medway</v>
      </c>
      <c r="C1365" t="s">
        <v>4212</v>
      </c>
      <c r="D1365" t="s">
        <v>217</v>
      </c>
      <c r="E1365">
        <v>38</v>
      </c>
      <c r="F1365" t="s">
        <v>4213</v>
      </c>
      <c r="G1365" t="s">
        <v>842</v>
      </c>
      <c r="H1365" t="s">
        <v>1102</v>
      </c>
      <c r="I1365" t="s">
        <v>789</v>
      </c>
      <c r="J1365">
        <f t="shared" ca="1" si="86"/>
        <v>50000</v>
      </c>
      <c r="K1365">
        <f t="shared" ca="1" si="87"/>
        <v>50</v>
      </c>
      <c r="N1365" t="str">
        <f t="shared" si="84"/>
        <v>Lambeth29Support to unpaid carers - Age UKCarers ServicesCarer advice and support related to Care Act duties</v>
      </c>
      <c r="O1365" t="s">
        <v>197</v>
      </c>
      <c r="P1365" t="s">
        <v>790</v>
      </c>
      <c r="Q1365">
        <v>29</v>
      </c>
      <c r="R1365" t="s">
        <v>3792</v>
      </c>
      <c r="S1365" t="s">
        <v>4214</v>
      </c>
      <c r="T1365" t="s">
        <v>811</v>
      </c>
      <c r="U1365" t="s">
        <v>895</v>
      </c>
      <c r="W1365">
        <v>16358</v>
      </c>
      <c r="X1365">
        <v>16358</v>
      </c>
      <c r="Y1365" t="s">
        <v>813</v>
      </c>
      <c r="Z1365" t="s">
        <v>792</v>
      </c>
      <c r="AB1365" t="s">
        <v>793</v>
      </c>
      <c r="AD1365" t="s">
        <v>794</v>
      </c>
      <c r="AE1365" t="s">
        <v>825</v>
      </c>
      <c r="AF1365" t="s">
        <v>860</v>
      </c>
      <c r="AG1365" t="s">
        <v>861</v>
      </c>
      <c r="AH1365">
        <v>178289</v>
      </c>
      <c r="AI1365">
        <v>178289</v>
      </c>
      <c r="AJ1365">
        <v>1</v>
      </c>
    </row>
    <row r="1366" spans="1:36" x14ac:dyDescent="0.3">
      <c r="A1366">
        <f>COUNTIF($D$2:D1366,D1366)</f>
        <v>20</v>
      </c>
      <c r="B1366" t="str">
        <f t="shared" si="85"/>
        <v>20Medway</v>
      </c>
      <c r="C1366" t="s">
        <v>4215</v>
      </c>
      <c r="D1366" t="s">
        <v>217</v>
      </c>
      <c r="E1366">
        <v>42</v>
      </c>
      <c r="F1366" t="s">
        <v>1578</v>
      </c>
      <c r="G1366" t="s">
        <v>800</v>
      </c>
      <c r="H1366" t="s">
        <v>850</v>
      </c>
      <c r="I1366" t="s">
        <v>802</v>
      </c>
      <c r="J1366">
        <f t="shared" ca="1" si="86"/>
        <v>80000</v>
      </c>
      <c r="K1366">
        <f t="shared" ca="1" si="87"/>
        <v>200</v>
      </c>
      <c r="N1366" t="str">
        <f t="shared" si="84"/>
        <v>Lambeth33EquipmentAssistive Technologies and EquipmentCommunity based equipment</v>
      </c>
      <c r="O1366" t="s">
        <v>197</v>
      </c>
      <c r="P1366" t="s">
        <v>790</v>
      </c>
      <c r="Q1366">
        <v>33</v>
      </c>
      <c r="R1366" t="s">
        <v>1034</v>
      </c>
      <c r="S1366" t="s">
        <v>1034</v>
      </c>
      <c r="T1366" t="s">
        <v>800</v>
      </c>
      <c r="U1366" t="s">
        <v>903</v>
      </c>
      <c r="W1366">
        <v>3302</v>
      </c>
      <c r="X1366">
        <v>3302</v>
      </c>
      <c r="Y1366" t="s">
        <v>802</v>
      </c>
      <c r="Z1366" t="s">
        <v>792</v>
      </c>
      <c r="AB1366" t="s">
        <v>793</v>
      </c>
      <c r="AD1366" t="s">
        <v>794</v>
      </c>
      <c r="AE1366" t="s">
        <v>795</v>
      </c>
      <c r="AF1366" t="s">
        <v>864</v>
      </c>
      <c r="AG1366" t="s">
        <v>861</v>
      </c>
      <c r="AH1366">
        <v>195902.27086479319</v>
      </c>
      <c r="AI1366">
        <v>195902.27086479319</v>
      </c>
      <c r="AJ1366">
        <v>0.97</v>
      </c>
    </row>
    <row r="1367" spans="1:36" x14ac:dyDescent="0.3">
      <c r="A1367">
        <f>COUNTIF($D$2:D1367,D1367)</f>
        <v>1</v>
      </c>
      <c r="B1367" t="str">
        <f t="shared" si="85"/>
        <v>1Merton</v>
      </c>
      <c r="C1367" t="s">
        <v>4216</v>
      </c>
      <c r="D1367" t="s">
        <v>219</v>
      </c>
      <c r="E1367">
        <v>2</v>
      </c>
      <c r="F1367" t="s">
        <v>4217</v>
      </c>
      <c r="G1367" t="s">
        <v>800</v>
      </c>
      <c r="H1367" t="s">
        <v>850</v>
      </c>
      <c r="I1367" t="s">
        <v>802</v>
      </c>
      <c r="J1367">
        <f t="shared" ca="1" si="86"/>
        <v>439000</v>
      </c>
      <c r="K1367">
        <f t="shared" ca="1" si="87"/>
        <v>1200</v>
      </c>
      <c r="N1367" t="str">
        <f t="shared" si="84"/>
        <v>Lambeth39Home Equipment Service (ICB)Assistive Technologies and EquipmentCommunity based equipment</v>
      </c>
      <c r="O1367" t="s">
        <v>197</v>
      </c>
      <c r="P1367" t="s">
        <v>790</v>
      </c>
      <c r="Q1367">
        <v>39</v>
      </c>
      <c r="R1367" t="s">
        <v>3797</v>
      </c>
      <c r="S1367" t="s">
        <v>3797</v>
      </c>
      <c r="T1367" t="s">
        <v>800</v>
      </c>
      <c r="U1367" t="s">
        <v>903</v>
      </c>
      <c r="W1367">
        <v>137</v>
      </c>
      <c r="X1367">
        <v>137</v>
      </c>
      <c r="Y1367" t="s">
        <v>802</v>
      </c>
      <c r="Z1367" t="s">
        <v>823</v>
      </c>
      <c r="AB1367" t="s">
        <v>793</v>
      </c>
      <c r="AD1367" t="s">
        <v>794</v>
      </c>
      <c r="AE1367" t="s">
        <v>795</v>
      </c>
      <c r="AF1367" t="s">
        <v>796</v>
      </c>
      <c r="AG1367" t="s">
        <v>797</v>
      </c>
      <c r="AH1367">
        <v>39000</v>
      </c>
      <c r="AI1367">
        <v>39000</v>
      </c>
      <c r="AJ1367">
        <v>0.03</v>
      </c>
    </row>
    <row r="1368" spans="1:36" x14ac:dyDescent="0.3">
      <c r="A1368">
        <f>COUNTIF($D$2:D1368,D1368)</f>
        <v>2</v>
      </c>
      <c r="B1368" t="str">
        <f t="shared" si="85"/>
        <v>2Merton</v>
      </c>
      <c r="C1368" t="s">
        <v>4218</v>
      </c>
      <c r="D1368" t="s">
        <v>219</v>
      </c>
      <c r="E1368">
        <v>3</v>
      </c>
      <c r="F1368" t="s">
        <v>4219</v>
      </c>
      <c r="G1368" t="s">
        <v>811</v>
      </c>
      <c r="H1368" t="s">
        <v>895</v>
      </c>
      <c r="I1368" t="s">
        <v>813</v>
      </c>
      <c r="J1368">
        <f t="shared" ca="1" si="86"/>
        <v>217000</v>
      </c>
      <c r="K1368">
        <f t="shared" ca="1" si="87"/>
        <v>800</v>
      </c>
      <c r="N1368" t="str">
        <f t="shared" si="84"/>
        <v>Lancashire1Residential RehabBed based intermediate Care Services (Reablement, rehabilitation, wider short-term services supporting recovery)Bed-based intermediate care with rehabilitation (to support discharge)</v>
      </c>
      <c r="O1368" t="s">
        <v>199</v>
      </c>
      <c r="P1368" t="s">
        <v>1201</v>
      </c>
      <c r="Q1368">
        <v>1</v>
      </c>
      <c r="R1368" t="s">
        <v>2410</v>
      </c>
      <c r="S1368" t="s">
        <v>4220</v>
      </c>
      <c r="T1368" t="s">
        <v>877</v>
      </c>
      <c r="U1368" t="s">
        <v>968</v>
      </c>
      <c r="W1368">
        <v>1616</v>
      </c>
      <c r="X1368">
        <v>1616</v>
      </c>
      <c r="Y1368" t="s">
        <v>879</v>
      </c>
      <c r="Z1368" t="s">
        <v>792</v>
      </c>
      <c r="AB1368" t="s">
        <v>793</v>
      </c>
      <c r="AD1368" t="s">
        <v>794</v>
      </c>
      <c r="AE1368" t="s">
        <v>795</v>
      </c>
      <c r="AF1368" t="s">
        <v>796</v>
      </c>
      <c r="AG1368" t="s">
        <v>797</v>
      </c>
      <c r="AH1368">
        <v>5798730</v>
      </c>
      <c r="AI1368">
        <v>6126938</v>
      </c>
      <c r="AJ1368">
        <v>1</v>
      </c>
    </row>
    <row r="1369" spans="1:36" x14ac:dyDescent="0.3">
      <c r="A1369">
        <f>COUNTIF($D$2:D1369,D1369)</f>
        <v>3</v>
      </c>
      <c r="B1369" t="str">
        <f t="shared" si="85"/>
        <v>3Merton</v>
      </c>
      <c r="C1369" t="s">
        <v>4221</v>
      </c>
      <c r="D1369" t="s">
        <v>219</v>
      </c>
      <c r="E1369">
        <v>5</v>
      </c>
      <c r="F1369" t="s">
        <v>4222</v>
      </c>
      <c r="G1369" t="s">
        <v>800</v>
      </c>
      <c r="H1369" t="s">
        <v>903</v>
      </c>
      <c r="I1369" t="s">
        <v>802</v>
      </c>
      <c r="J1369">
        <f t="shared" ca="1" si="86"/>
        <v>1189822</v>
      </c>
      <c r="K1369">
        <f t="shared" ca="1" si="87"/>
        <v>1300</v>
      </c>
      <c r="N1369" t="str">
        <f t="shared" si="84"/>
        <v>Lancashire2Urgent Care - Crisis SupportHome-based intermediate care servicesReablement at home (accepting step up and step down users)</v>
      </c>
      <c r="O1369" t="s">
        <v>199</v>
      </c>
      <c r="P1369" t="s">
        <v>1201</v>
      </c>
      <c r="Q1369">
        <v>2</v>
      </c>
      <c r="R1369" t="s">
        <v>3801</v>
      </c>
      <c r="S1369" t="s">
        <v>4223</v>
      </c>
      <c r="T1369" t="s">
        <v>787</v>
      </c>
      <c r="U1369" t="s">
        <v>930</v>
      </c>
      <c r="W1369">
        <v>4000</v>
      </c>
      <c r="X1369">
        <v>4000</v>
      </c>
      <c r="Y1369" t="s">
        <v>789</v>
      </c>
      <c r="Z1369" t="s">
        <v>792</v>
      </c>
      <c r="AB1369" t="s">
        <v>793</v>
      </c>
      <c r="AD1369" t="s">
        <v>794</v>
      </c>
      <c r="AE1369" t="s">
        <v>795</v>
      </c>
      <c r="AF1369" t="s">
        <v>796</v>
      </c>
      <c r="AG1369" t="s">
        <v>797</v>
      </c>
      <c r="AH1369">
        <v>2718454</v>
      </c>
      <c r="AI1369">
        <v>2872318</v>
      </c>
      <c r="AJ1369">
        <v>0.38</v>
      </c>
    </row>
    <row r="1370" spans="1:36" x14ac:dyDescent="0.3">
      <c r="A1370">
        <f>COUNTIF($D$2:D1370,D1370)</f>
        <v>4</v>
      </c>
      <c r="B1370" t="str">
        <f t="shared" si="85"/>
        <v>4Merton</v>
      </c>
      <c r="C1370" t="s">
        <v>4224</v>
      </c>
      <c r="D1370" t="s">
        <v>219</v>
      </c>
      <c r="E1370">
        <v>6</v>
      </c>
      <c r="F1370" t="s">
        <v>434</v>
      </c>
      <c r="G1370" t="s">
        <v>787</v>
      </c>
      <c r="H1370" t="s">
        <v>1195</v>
      </c>
      <c r="I1370" t="s">
        <v>789</v>
      </c>
      <c r="J1370">
        <f t="shared" ca="1" si="86"/>
        <v>1668000</v>
      </c>
      <c r="K1370">
        <f t="shared" ca="1" si="87"/>
        <v>2500</v>
      </c>
      <c r="N1370" t="str">
        <f t="shared" si="84"/>
        <v>Lancashire3Carers - RespiteCarers ServicesRespite services</v>
      </c>
      <c r="O1370" t="s">
        <v>199</v>
      </c>
      <c r="P1370" t="s">
        <v>1201</v>
      </c>
      <c r="Q1370">
        <v>3</v>
      </c>
      <c r="R1370" t="s">
        <v>3804</v>
      </c>
      <c r="S1370" t="s">
        <v>4225</v>
      </c>
      <c r="T1370" t="s">
        <v>811</v>
      </c>
      <c r="U1370" t="s">
        <v>830</v>
      </c>
      <c r="W1370">
        <v>3809</v>
      </c>
      <c r="X1370">
        <v>3809</v>
      </c>
      <c r="Y1370" t="s">
        <v>813</v>
      </c>
      <c r="Z1370" t="s">
        <v>792</v>
      </c>
      <c r="AB1370" t="s">
        <v>793</v>
      </c>
      <c r="AD1370" t="s">
        <v>794</v>
      </c>
      <c r="AE1370" t="s">
        <v>795</v>
      </c>
      <c r="AF1370" t="s">
        <v>796</v>
      </c>
      <c r="AG1370" t="s">
        <v>797</v>
      </c>
      <c r="AH1370">
        <v>8910231</v>
      </c>
      <c r="AI1370">
        <v>9414550</v>
      </c>
      <c r="AJ1370">
        <v>1</v>
      </c>
    </row>
    <row r="1371" spans="1:36" x14ac:dyDescent="0.3">
      <c r="A1371">
        <f>COUNTIF($D$2:D1371,D1371)</f>
        <v>5</v>
      </c>
      <c r="B1371" t="str">
        <f t="shared" si="85"/>
        <v>5Merton</v>
      </c>
      <c r="C1371" t="s">
        <v>4226</v>
      </c>
      <c r="D1371" t="s">
        <v>219</v>
      </c>
      <c r="E1371">
        <v>7</v>
      </c>
      <c r="F1371" t="s">
        <v>4227</v>
      </c>
      <c r="G1371" t="s">
        <v>842</v>
      </c>
      <c r="H1371" t="s">
        <v>843</v>
      </c>
      <c r="I1371" t="s">
        <v>844</v>
      </c>
      <c r="J1371">
        <f t="shared" ca="1" si="86"/>
        <v>2100000</v>
      </c>
      <c r="K1371">
        <f t="shared" ca="1" si="87"/>
        <v>8718</v>
      </c>
      <c r="N1371" t="str">
        <f t="shared" si="84"/>
        <v>Lancashire4Carers - Carers Assessment &amp; Support ContractsCarers ServicesCarer advice and support related to Care Act duties</v>
      </c>
      <c r="O1371" t="s">
        <v>199</v>
      </c>
      <c r="P1371" t="s">
        <v>1201</v>
      </c>
      <c r="Q1371">
        <v>4</v>
      </c>
      <c r="R1371" t="s">
        <v>3806</v>
      </c>
      <c r="S1371" t="s">
        <v>4228</v>
      </c>
      <c r="T1371" t="s">
        <v>811</v>
      </c>
      <c r="U1371" t="s">
        <v>895</v>
      </c>
      <c r="W1371">
        <v>13147</v>
      </c>
      <c r="X1371">
        <v>13147</v>
      </c>
      <c r="Y1371" t="s">
        <v>813</v>
      </c>
      <c r="Z1371" t="s">
        <v>792</v>
      </c>
      <c r="AB1371" t="s">
        <v>793</v>
      </c>
      <c r="AD1371" t="s">
        <v>794</v>
      </c>
      <c r="AE1371" t="s">
        <v>795</v>
      </c>
      <c r="AF1371" t="s">
        <v>796</v>
      </c>
      <c r="AG1371" t="s">
        <v>797</v>
      </c>
      <c r="AH1371">
        <v>2347578</v>
      </c>
      <c r="AI1371">
        <v>2480451</v>
      </c>
      <c r="AJ1371">
        <v>1</v>
      </c>
    </row>
    <row r="1372" spans="1:36" x14ac:dyDescent="0.3">
      <c r="A1372">
        <f>COUNTIF($D$2:D1372,D1372)</f>
        <v>6</v>
      </c>
      <c r="B1372" t="str">
        <f t="shared" si="85"/>
        <v>6Merton</v>
      </c>
      <c r="C1372" t="s">
        <v>4229</v>
      </c>
      <c r="D1372" t="s">
        <v>219</v>
      </c>
      <c r="E1372">
        <v>12</v>
      </c>
      <c r="F1372" t="s">
        <v>4230</v>
      </c>
      <c r="G1372" t="s">
        <v>800</v>
      </c>
      <c r="H1372" t="s">
        <v>903</v>
      </c>
      <c r="I1372" t="s">
        <v>802</v>
      </c>
      <c r="J1372">
        <f t="shared" ca="1" si="86"/>
        <v>21000</v>
      </c>
      <c r="K1372">
        <f t="shared" ca="1" si="87"/>
        <v>25</v>
      </c>
      <c r="N1372" t="str">
        <f t="shared" si="84"/>
        <v>Lancashire6Equipment &amp; AdaptionsAssistive Technologies and EquipmentCommunity based equipment</v>
      </c>
      <c r="O1372" t="s">
        <v>199</v>
      </c>
      <c r="P1372" t="s">
        <v>1201</v>
      </c>
      <c r="Q1372">
        <v>6</v>
      </c>
      <c r="R1372" t="s">
        <v>3808</v>
      </c>
      <c r="S1372" t="s">
        <v>4231</v>
      </c>
      <c r="T1372" t="s">
        <v>800</v>
      </c>
      <c r="U1372" t="s">
        <v>903</v>
      </c>
      <c r="W1372">
        <v>2500</v>
      </c>
      <c r="X1372">
        <v>2500</v>
      </c>
      <c r="Y1372" t="s">
        <v>802</v>
      </c>
      <c r="Z1372" t="s">
        <v>792</v>
      </c>
      <c r="AB1372" t="s">
        <v>793</v>
      </c>
      <c r="AD1372" t="s">
        <v>794</v>
      </c>
      <c r="AE1372" t="s">
        <v>795</v>
      </c>
      <c r="AF1372" t="s">
        <v>796</v>
      </c>
      <c r="AG1372" t="s">
        <v>797</v>
      </c>
      <c r="AH1372">
        <v>5700000</v>
      </c>
      <c r="AI1372">
        <v>6022620</v>
      </c>
      <c r="AJ1372">
        <v>1</v>
      </c>
    </row>
    <row r="1373" spans="1:36" x14ac:dyDescent="0.3">
      <c r="A1373">
        <f>COUNTIF($D$2:D1373,D1373)</f>
        <v>7</v>
      </c>
      <c r="B1373" t="str">
        <f t="shared" si="85"/>
        <v>7Merton</v>
      </c>
      <c r="C1373" t="s">
        <v>4232</v>
      </c>
      <c r="D1373" t="s">
        <v>219</v>
      </c>
      <c r="E1373">
        <v>13</v>
      </c>
      <c r="F1373" t="s">
        <v>4233</v>
      </c>
      <c r="G1373" t="s">
        <v>787</v>
      </c>
      <c r="H1373" t="s">
        <v>930</v>
      </c>
      <c r="I1373" t="s">
        <v>789</v>
      </c>
      <c r="J1373">
        <f t="shared" ca="1" si="86"/>
        <v>230000</v>
      </c>
      <c r="K1373">
        <f t="shared" ca="1" si="87"/>
        <v>350</v>
      </c>
      <c r="N1373" t="str">
        <f t="shared" si="84"/>
        <v>Lancashire9Reablement: Provider Contract &amp; LCC Reablement &amp; OT Staffing TeamsHome-based intermediate care servicesReablement at home (accepting step up and step down users)</v>
      </c>
      <c r="O1373" t="s">
        <v>199</v>
      </c>
      <c r="P1373" t="s">
        <v>1201</v>
      </c>
      <c r="Q1373">
        <v>9</v>
      </c>
      <c r="R1373" t="s">
        <v>3810</v>
      </c>
      <c r="S1373" t="s">
        <v>4234</v>
      </c>
      <c r="T1373" t="s">
        <v>787</v>
      </c>
      <c r="U1373" t="s">
        <v>930</v>
      </c>
      <c r="W1373">
        <v>6504</v>
      </c>
      <c r="X1373">
        <v>6504</v>
      </c>
      <c r="Y1373" t="s">
        <v>789</v>
      </c>
      <c r="Z1373" t="s">
        <v>792</v>
      </c>
      <c r="AB1373" t="s">
        <v>793</v>
      </c>
      <c r="AD1373" t="s">
        <v>794</v>
      </c>
      <c r="AE1373" t="s">
        <v>795</v>
      </c>
      <c r="AF1373" t="s">
        <v>1042</v>
      </c>
      <c r="AG1373" t="s">
        <v>797</v>
      </c>
      <c r="AH1373">
        <v>8977511</v>
      </c>
      <c r="AI1373">
        <v>8977511</v>
      </c>
      <c r="AJ1373">
        <v>1</v>
      </c>
    </row>
    <row r="1374" spans="1:36" x14ac:dyDescent="0.3">
      <c r="A1374">
        <f>COUNTIF($D$2:D1374,D1374)</f>
        <v>8</v>
      </c>
      <c r="B1374" t="str">
        <f t="shared" si="85"/>
        <v>8Merton</v>
      </c>
      <c r="C1374" t="s">
        <v>4235</v>
      </c>
      <c r="D1374" t="s">
        <v>219</v>
      </c>
      <c r="E1374">
        <v>17</v>
      </c>
      <c r="F1374" t="s">
        <v>4236</v>
      </c>
      <c r="G1374" t="s">
        <v>811</v>
      </c>
      <c r="H1374" t="s">
        <v>830</v>
      </c>
      <c r="I1374" t="s">
        <v>813</v>
      </c>
      <c r="J1374">
        <f t="shared" ca="1" si="86"/>
        <v>131000</v>
      </c>
      <c r="K1374">
        <f t="shared" ca="1" si="87"/>
        <v>57</v>
      </c>
      <c r="N1374" t="str">
        <f t="shared" si="84"/>
        <v>Lancashire10Urgent Care - Crisis SupportHome-based intermediate care servicesReablement at home (accepting step up and step down users)</v>
      </c>
      <c r="O1374" t="s">
        <v>199</v>
      </c>
      <c r="P1374" t="s">
        <v>1201</v>
      </c>
      <c r="Q1374">
        <v>10</v>
      </c>
      <c r="R1374" t="s">
        <v>3801</v>
      </c>
      <c r="S1374" t="s">
        <v>4223</v>
      </c>
      <c r="T1374" t="s">
        <v>787</v>
      </c>
      <c r="U1374" t="s">
        <v>930</v>
      </c>
      <c r="W1374">
        <v>1505</v>
      </c>
      <c r="X1374">
        <v>1505</v>
      </c>
      <c r="Y1374" t="s">
        <v>789</v>
      </c>
      <c r="Z1374" t="s">
        <v>792</v>
      </c>
      <c r="AB1374" t="s">
        <v>793</v>
      </c>
      <c r="AD1374" t="s">
        <v>794</v>
      </c>
      <c r="AE1374" t="s">
        <v>795</v>
      </c>
      <c r="AF1374" t="s">
        <v>1042</v>
      </c>
      <c r="AG1374" t="s">
        <v>797</v>
      </c>
      <c r="AH1374">
        <v>1022489</v>
      </c>
      <c r="AI1374">
        <v>1022489</v>
      </c>
      <c r="AJ1374">
        <v>0.14000000000000001</v>
      </c>
    </row>
    <row r="1375" spans="1:36" x14ac:dyDescent="0.3">
      <c r="A1375">
        <f>COUNTIF($D$2:D1375,D1375)</f>
        <v>9</v>
      </c>
      <c r="B1375" t="str">
        <f t="shared" si="85"/>
        <v>9Merton</v>
      </c>
      <c r="C1375" t="s">
        <v>4237</v>
      </c>
      <c r="D1375" t="s">
        <v>219</v>
      </c>
      <c r="E1375">
        <v>24</v>
      </c>
      <c r="F1375" t="s">
        <v>4238</v>
      </c>
      <c r="G1375" t="s">
        <v>787</v>
      </c>
      <c r="H1375" t="s">
        <v>1688</v>
      </c>
      <c r="I1375" t="s">
        <v>789</v>
      </c>
      <c r="J1375">
        <f t="shared" ca="1" si="86"/>
        <v>654114</v>
      </c>
      <c r="K1375">
        <f t="shared" ca="1" si="87"/>
        <v>5644</v>
      </c>
      <c r="N1375" t="str">
        <f t="shared" si="84"/>
        <v>Lancashire12Contribution to Annual Social Care Packages Fee &amp; Demand Increases Residential PlacementsCare home</v>
      </c>
      <c r="O1375" t="s">
        <v>199</v>
      </c>
      <c r="P1375" t="s">
        <v>1201</v>
      </c>
      <c r="Q1375">
        <v>12</v>
      </c>
      <c r="R1375" t="s">
        <v>3814</v>
      </c>
      <c r="S1375" t="s">
        <v>4239</v>
      </c>
      <c r="T1375" t="s">
        <v>806</v>
      </c>
      <c r="U1375" t="s">
        <v>807</v>
      </c>
      <c r="W1375">
        <v>25</v>
      </c>
      <c r="X1375">
        <v>25</v>
      </c>
      <c r="Y1375" t="s">
        <v>808</v>
      </c>
      <c r="Z1375" t="s">
        <v>792</v>
      </c>
      <c r="AB1375" t="s">
        <v>793</v>
      </c>
      <c r="AD1375" t="s">
        <v>794</v>
      </c>
      <c r="AE1375" t="s">
        <v>795</v>
      </c>
      <c r="AF1375" t="s">
        <v>796</v>
      </c>
      <c r="AG1375" t="s">
        <v>797</v>
      </c>
      <c r="AH1375">
        <v>919607</v>
      </c>
      <c r="AI1375">
        <v>971657</v>
      </c>
      <c r="AJ1375">
        <v>0.01</v>
      </c>
    </row>
    <row r="1376" spans="1:36" x14ac:dyDescent="0.3">
      <c r="A1376">
        <f>COUNTIF($D$2:D1376,D1376)</f>
        <v>10</v>
      </c>
      <c r="B1376" t="str">
        <f t="shared" si="85"/>
        <v>10Merton</v>
      </c>
      <c r="C1376" t="s">
        <v>4240</v>
      </c>
      <c r="D1376" t="s">
        <v>219</v>
      </c>
      <c r="E1376">
        <v>25</v>
      </c>
      <c r="F1376" t="s">
        <v>4241</v>
      </c>
      <c r="G1376" t="s">
        <v>877</v>
      </c>
      <c r="H1376" t="s">
        <v>968</v>
      </c>
      <c r="I1376" t="s">
        <v>879</v>
      </c>
      <c r="J1376">
        <f t="shared" ca="1" si="86"/>
        <v>2968811</v>
      </c>
      <c r="K1376">
        <f t="shared" ca="1" si="87"/>
        <v>156</v>
      </c>
      <c r="N1376" t="str">
        <f t="shared" si="84"/>
        <v>Lancashire14TelecareAssistive Technologies and EquipmentAssistive technologies including telecare</v>
      </c>
      <c r="O1376" t="s">
        <v>199</v>
      </c>
      <c r="P1376" t="s">
        <v>1201</v>
      </c>
      <c r="Q1376">
        <v>14</v>
      </c>
      <c r="R1376" t="s">
        <v>2108</v>
      </c>
      <c r="S1376" t="s">
        <v>4242</v>
      </c>
      <c r="T1376" t="s">
        <v>800</v>
      </c>
      <c r="U1376" t="s">
        <v>850</v>
      </c>
      <c r="W1376">
        <v>6000</v>
      </c>
      <c r="X1376">
        <v>6000</v>
      </c>
      <c r="Y1376" t="s">
        <v>802</v>
      </c>
      <c r="Z1376" t="s">
        <v>792</v>
      </c>
      <c r="AB1376" t="s">
        <v>793</v>
      </c>
      <c r="AD1376" t="s">
        <v>794</v>
      </c>
      <c r="AE1376" t="s">
        <v>795</v>
      </c>
      <c r="AF1376" t="s">
        <v>845</v>
      </c>
      <c r="AG1376" t="s">
        <v>797</v>
      </c>
      <c r="AH1376">
        <v>1695000</v>
      </c>
      <c r="AI1376">
        <v>1695000</v>
      </c>
      <c r="AJ1376">
        <v>1</v>
      </c>
    </row>
    <row r="1377" spans="1:36" x14ac:dyDescent="0.3">
      <c r="A1377">
        <f>COUNTIF($D$2:D1377,D1377)</f>
        <v>11</v>
      </c>
      <c r="B1377" t="str">
        <f t="shared" si="85"/>
        <v>11Merton</v>
      </c>
      <c r="C1377" t="s">
        <v>4243</v>
      </c>
      <c r="D1377" t="s">
        <v>219</v>
      </c>
      <c r="E1377">
        <v>31</v>
      </c>
      <c r="F1377" t="s">
        <v>4227</v>
      </c>
      <c r="G1377" t="s">
        <v>842</v>
      </c>
      <c r="H1377" t="s">
        <v>843</v>
      </c>
      <c r="I1377" t="s">
        <v>844</v>
      </c>
      <c r="J1377">
        <f t="shared" ca="1" si="86"/>
        <v>2885577</v>
      </c>
      <c r="K1377">
        <f t="shared" ca="1" si="87"/>
        <v>8718</v>
      </c>
      <c r="N1377" t="str">
        <f t="shared" si="84"/>
        <v>Lancashire17Intermediate Care Unit management and additional night staff capacity Bed based intermediate Care Services (Reablement, rehabilitation, wider short-term services supporting recovery)Bed-based intermediate care with reablement (to support discharge)</v>
      </c>
      <c r="O1377" t="s">
        <v>199</v>
      </c>
      <c r="P1377" t="s">
        <v>1201</v>
      </c>
      <c r="Q1377">
        <v>17</v>
      </c>
      <c r="R1377" t="s">
        <v>3818</v>
      </c>
      <c r="S1377" t="s">
        <v>4244</v>
      </c>
      <c r="T1377" t="s">
        <v>877</v>
      </c>
      <c r="U1377" t="s">
        <v>878</v>
      </c>
      <c r="W1377">
        <v>300</v>
      </c>
      <c r="X1377">
        <v>300</v>
      </c>
      <c r="Y1377" t="s">
        <v>879</v>
      </c>
      <c r="Z1377" t="s">
        <v>792</v>
      </c>
      <c r="AB1377" t="s">
        <v>793</v>
      </c>
      <c r="AD1377" t="s">
        <v>794</v>
      </c>
      <c r="AE1377" t="s">
        <v>795</v>
      </c>
      <c r="AF1377" t="s">
        <v>845</v>
      </c>
      <c r="AG1377" t="s">
        <v>797</v>
      </c>
      <c r="AH1377">
        <v>428480</v>
      </c>
      <c r="AI1377">
        <v>428480</v>
      </c>
      <c r="AJ1377">
        <v>1</v>
      </c>
    </row>
    <row r="1378" spans="1:36" x14ac:dyDescent="0.3">
      <c r="A1378">
        <f>COUNTIF($D$2:D1378,D1378)</f>
        <v>12</v>
      </c>
      <c r="B1378" t="str">
        <f t="shared" si="85"/>
        <v>12Merton</v>
      </c>
      <c r="C1378" t="s">
        <v>4245</v>
      </c>
      <c r="D1378" t="s">
        <v>219</v>
      </c>
      <c r="E1378">
        <v>33</v>
      </c>
      <c r="F1378" t="s">
        <v>4246</v>
      </c>
      <c r="G1378" t="s">
        <v>787</v>
      </c>
      <c r="H1378" t="s">
        <v>930</v>
      </c>
      <c r="I1378" t="s">
        <v>789</v>
      </c>
      <c r="J1378">
        <f t="shared" ca="1" si="86"/>
        <v>144000</v>
      </c>
      <c r="K1378">
        <f t="shared" ca="1" si="87"/>
        <v>2500</v>
      </c>
      <c r="N1378" t="str">
        <f t="shared" si="84"/>
        <v>Lancashire20Contribution to Annual Social Care Packages Fee &amp; Demand Increases Home Care or Domiciliary CareDomiciliary care packages</v>
      </c>
      <c r="O1378" t="s">
        <v>199</v>
      </c>
      <c r="P1378" t="s">
        <v>1201</v>
      </c>
      <c r="Q1378">
        <v>20</v>
      </c>
      <c r="R1378" t="s">
        <v>3814</v>
      </c>
      <c r="S1378" t="s">
        <v>4239</v>
      </c>
      <c r="T1378" t="s">
        <v>842</v>
      </c>
      <c r="U1378" t="s">
        <v>843</v>
      </c>
      <c r="W1378">
        <v>1709948</v>
      </c>
      <c r="X1378">
        <v>1709948</v>
      </c>
      <c r="Y1378" t="s">
        <v>844</v>
      </c>
      <c r="Z1378" t="s">
        <v>792</v>
      </c>
      <c r="AB1378" t="s">
        <v>793</v>
      </c>
      <c r="AD1378" t="s">
        <v>794</v>
      </c>
      <c r="AE1378" t="s">
        <v>795</v>
      </c>
      <c r="AF1378" t="s">
        <v>845</v>
      </c>
      <c r="AG1378" t="s">
        <v>797</v>
      </c>
      <c r="AH1378">
        <v>45908920</v>
      </c>
      <c r="AI1378">
        <v>45908920</v>
      </c>
      <c r="AJ1378">
        <v>0.8</v>
      </c>
    </row>
    <row r="1379" spans="1:36" x14ac:dyDescent="0.3">
      <c r="A1379">
        <f>COUNTIF($D$2:D1379,D1379)</f>
        <v>13</v>
      </c>
      <c r="B1379" t="str">
        <f t="shared" si="85"/>
        <v>13Merton</v>
      </c>
      <c r="C1379" t="s">
        <v>4247</v>
      </c>
      <c r="D1379" t="s">
        <v>219</v>
      </c>
      <c r="E1379">
        <v>34</v>
      </c>
      <c r="F1379" t="s">
        <v>4248</v>
      </c>
      <c r="G1379" t="s">
        <v>800</v>
      </c>
      <c r="H1379" t="s">
        <v>903</v>
      </c>
      <c r="I1379" t="s">
        <v>802</v>
      </c>
      <c r="J1379">
        <f t="shared" ca="1" si="86"/>
        <v>44000</v>
      </c>
      <c r="K1379">
        <f t="shared" ca="1" si="87"/>
        <v>25</v>
      </c>
      <c r="N1379" t="str">
        <f t="shared" si="84"/>
        <v xml:space="preserve">Lancashire21Urgent Care - Crisis SupportHome-based intermediate care servicesReablement at home (to support discharge) </v>
      </c>
      <c r="O1379" t="s">
        <v>199</v>
      </c>
      <c r="P1379" t="s">
        <v>1201</v>
      </c>
      <c r="Q1379">
        <v>21</v>
      </c>
      <c r="R1379" t="s">
        <v>3801</v>
      </c>
      <c r="S1379" t="s">
        <v>4223</v>
      </c>
      <c r="T1379" t="s">
        <v>787</v>
      </c>
      <c r="U1379" t="s">
        <v>788</v>
      </c>
      <c r="W1379">
        <v>5027</v>
      </c>
      <c r="X1379">
        <v>5027</v>
      </c>
      <c r="Y1379" t="s">
        <v>789</v>
      </c>
      <c r="Z1379" t="s">
        <v>792</v>
      </c>
      <c r="AB1379" t="s">
        <v>793</v>
      </c>
      <c r="AD1379" t="s">
        <v>794</v>
      </c>
      <c r="AE1379" t="s">
        <v>795</v>
      </c>
      <c r="AF1379" t="s">
        <v>864</v>
      </c>
      <c r="AG1379" t="s">
        <v>797</v>
      </c>
      <c r="AH1379">
        <v>3416537</v>
      </c>
      <c r="AI1379">
        <v>3621529</v>
      </c>
      <c r="AJ1379">
        <v>0.48</v>
      </c>
    </row>
    <row r="1380" spans="1:36" x14ac:dyDescent="0.3">
      <c r="A1380">
        <f>COUNTIF($D$2:D1380,D1380)</f>
        <v>14</v>
      </c>
      <c r="B1380" t="str">
        <f t="shared" si="85"/>
        <v>14Merton</v>
      </c>
      <c r="C1380" t="s">
        <v>4249</v>
      </c>
      <c r="D1380" t="s">
        <v>219</v>
      </c>
      <c r="E1380">
        <v>39</v>
      </c>
      <c r="F1380" t="s">
        <v>4217</v>
      </c>
      <c r="G1380" t="s">
        <v>800</v>
      </c>
      <c r="H1380" t="s">
        <v>850</v>
      </c>
      <c r="I1380" t="s">
        <v>802</v>
      </c>
      <c r="J1380">
        <f t="shared" ca="1" si="86"/>
        <v>191000</v>
      </c>
      <c r="K1380">
        <f t="shared" ca="1" si="87"/>
        <v>2400</v>
      </c>
      <c r="N1380" t="str">
        <f t="shared" si="84"/>
        <v>Lancashire23D2A Residential &amp; Nursing BedsResidential PlacementsCare home</v>
      </c>
      <c r="O1380" t="s">
        <v>199</v>
      </c>
      <c r="P1380" t="s">
        <v>1201</v>
      </c>
      <c r="Q1380">
        <v>23</v>
      </c>
      <c r="R1380" t="s">
        <v>3823</v>
      </c>
      <c r="S1380" t="s">
        <v>3823</v>
      </c>
      <c r="T1380" t="s">
        <v>806</v>
      </c>
      <c r="U1380" t="s">
        <v>807</v>
      </c>
      <c r="W1380">
        <v>81</v>
      </c>
      <c r="X1380">
        <v>170</v>
      </c>
      <c r="Y1380" t="s">
        <v>808</v>
      </c>
      <c r="Z1380" t="s">
        <v>792</v>
      </c>
      <c r="AB1380" t="s">
        <v>793</v>
      </c>
      <c r="AD1380" t="s">
        <v>794</v>
      </c>
      <c r="AE1380" t="s">
        <v>795</v>
      </c>
      <c r="AF1380" t="s">
        <v>864</v>
      </c>
      <c r="AG1380" t="s">
        <v>797</v>
      </c>
      <c r="AH1380">
        <v>2937248</v>
      </c>
      <c r="AI1380">
        <v>6644466</v>
      </c>
      <c r="AJ1380">
        <v>0.44</v>
      </c>
    </row>
    <row r="1381" spans="1:36" x14ac:dyDescent="0.3">
      <c r="A1381">
        <f>COUNTIF($D$2:D1381,D1381)</f>
        <v>15</v>
      </c>
      <c r="B1381" t="str">
        <f t="shared" si="85"/>
        <v>15Merton</v>
      </c>
      <c r="C1381" t="s">
        <v>4250</v>
      </c>
      <c r="D1381" t="s">
        <v>219</v>
      </c>
      <c r="E1381">
        <v>41</v>
      </c>
      <c r="F1381" t="s">
        <v>3205</v>
      </c>
      <c r="G1381" t="s">
        <v>834</v>
      </c>
      <c r="H1381" t="s">
        <v>1293</v>
      </c>
      <c r="I1381" t="s">
        <v>836</v>
      </c>
      <c r="J1381">
        <f t="shared" ca="1" si="86"/>
        <v>26605</v>
      </c>
      <c r="K1381">
        <f t="shared" ca="1" si="87"/>
        <v>20</v>
      </c>
      <c r="N1381" t="str">
        <f t="shared" si="84"/>
        <v>Lancashire24D2A Homecare Packages of CareHome Care or Domiciliary CareDomiciliary care to support hospital discharge (Discharge to Assess pathway 1)</v>
      </c>
      <c r="O1381" t="s">
        <v>199</v>
      </c>
      <c r="P1381" t="s">
        <v>1201</v>
      </c>
      <c r="Q1381">
        <v>24</v>
      </c>
      <c r="R1381" t="s">
        <v>3826</v>
      </c>
      <c r="S1381" t="s">
        <v>3826</v>
      </c>
      <c r="T1381" t="s">
        <v>842</v>
      </c>
      <c r="U1381" t="s">
        <v>856</v>
      </c>
      <c r="W1381">
        <v>43198</v>
      </c>
      <c r="X1381">
        <v>93471</v>
      </c>
      <c r="Y1381" t="s">
        <v>844</v>
      </c>
      <c r="Z1381" t="s">
        <v>792</v>
      </c>
      <c r="AB1381" t="s">
        <v>793</v>
      </c>
      <c r="AD1381" t="s">
        <v>794</v>
      </c>
      <c r="AE1381" t="s">
        <v>795</v>
      </c>
      <c r="AF1381" t="s">
        <v>864</v>
      </c>
      <c r="AG1381" t="s">
        <v>797</v>
      </c>
      <c r="AH1381">
        <v>950356</v>
      </c>
      <c r="AI1381">
        <v>2098482</v>
      </c>
      <c r="AJ1381">
        <v>0.44</v>
      </c>
    </row>
    <row r="1382" spans="1:36" x14ac:dyDescent="0.3">
      <c r="A1382">
        <f>COUNTIF($D$2:D1382,D1382)</f>
        <v>16</v>
      </c>
      <c r="B1382" t="str">
        <f t="shared" si="85"/>
        <v>16Merton</v>
      </c>
      <c r="C1382" t="s">
        <v>4251</v>
      </c>
      <c r="D1382" t="s">
        <v>219</v>
      </c>
      <c r="E1382">
        <v>42</v>
      </c>
      <c r="F1382" t="s">
        <v>3205</v>
      </c>
      <c r="G1382" t="s">
        <v>834</v>
      </c>
      <c r="H1382" t="s">
        <v>835</v>
      </c>
      <c r="I1382" t="s">
        <v>836</v>
      </c>
      <c r="J1382">
        <f t="shared" ca="1" si="86"/>
        <v>1387219</v>
      </c>
      <c r="K1382">
        <f t="shared" ca="1" si="87"/>
        <v>120</v>
      </c>
      <c r="N1382" t="str">
        <f t="shared" si="84"/>
        <v>Lancashire25Disabled Facilities GrantDFG Related SchemesAdaptations, including statutory DFG grants</v>
      </c>
      <c r="O1382" t="s">
        <v>199</v>
      </c>
      <c r="P1382" t="s">
        <v>1201</v>
      </c>
      <c r="Q1382">
        <v>25</v>
      </c>
      <c r="R1382" t="s">
        <v>891</v>
      </c>
      <c r="S1382" t="s">
        <v>834</v>
      </c>
      <c r="T1382" t="s">
        <v>834</v>
      </c>
      <c r="U1382" t="s">
        <v>835</v>
      </c>
      <c r="W1382">
        <v>7500</v>
      </c>
      <c r="X1382">
        <v>7500</v>
      </c>
      <c r="Y1382" t="s">
        <v>836</v>
      </c>
      <c r="Z1382" t="s">
        <v>792</v>
      </c>
      <c r="AB1382" t="s">
        <v>793</v>
      </c>
      <c r="AD1382" t="s">
        <v>794</v>
      </c>
      <c r="AE1382" t="s">
        <v>795</v>
      </c>
      <c r="AF1382" t="s">
        <v>840</v>
      </c>
      <c r="AG1382" t="s">
        <v>797</v>
      </c>
      <c r="AH1382">
        <v>16714884</v>
      </c>
      <c r="AI1382">
        <v>16714884</v>
      </c>
      <c r="AJ1382">
        <v>1</v>
      </c>
    </row>
    <row r="1383" spans="1:36" x14ac:dyDescent="0.3">
      <c r="A1383">
        <f>COUNTIF($D$2:D1383,D1383)</f>
        <v>17</v>
      </c>
      <c r="B1383" t="str">
        <f t="shared" si="85"/>
        <v>17Merton</v>
      </c>
      <c r="C1383" t="s">
        <v>4252</v>
      </c>
      <c r="D1383" t="s">
        <v>219</v>
      </c>
      <c r="E1383">
        <v>43</v>
      </c>
      <c r="F1383" t="s">
        <v>3205</v>
      </c>
      <c r="G1383" t="s">
        <v>834</v>
      </c>
      <c r="H1383" t="s">
        <v>1293</v>
      </c>
      <c r="I1383" t="s">
        <v>836</v>
      </c>
      <c r="J1383">
        <f t="shared" ca="1" si="86"/>
        <v>38400</v>
      </c>
      <c r="K1383">
        <f t="shared" ca="1" si="87"/>
        <v>65</v>
      </c>
      <c r="N1383" t="str">
        <f t="shared" si="84"/>
        <v>Lancashire26Community equipment (MB)Assistive Technologies and EquipmentAssistive technologies including telecare</v>
      </c>
      <c r="O1383" t="s">
        <v>199</v>
      </c>
      <c r="P1383" t="s">
        <v>1201</v>
      </c>
      <c r="Q1383">
        <v>26</v>
      </c>
      <c r="R1383" t="s">
        <v>3831</v>
      </c>
      <c r="S1383" t="s">
        <v>4253</v>
      </c>
      <c r="T1383" t="s">
        <v>800</v>
      </c>
      <c r="U1383" t="s">
        <v>850</v>
      </c>
      <c r="W1383">
        <v>2000</v>
      </c>
      <c r="X1383">
        <v>2000</v>
      </c>
      <c r="Y1383" t="s">
        <v>802</v>
      </c>
      <c r="Z1383" t="s">
        <v>792</v>
      </c>
      <c r="AB1383" t="s">
        <v>793</v>
      </c>
      <c r="AD1383" t="s">
        <v>794</v>
      </c>
      <c r="AE1383" t="s">
        <v>795</v>
      </c>
      <c r="AF1383" t="s">
        <v>796</v>
      </c>
      <c r="AG1383" t="s">
        <v>797</v>
      </c>
      <c r="AH1383">
        <v>1006194.897</v>
      </c>
      <c r="AI1383">
        <v>1063145.5281702001</v>
      </c>
      <c r="AJ1383">
        <v>1</v>
      </c>
    </row>
    <row r="1384" spans="1:36" x14ac:dyDescent="0.3">
      <c r="A1384">
        <f>COUNTIF($D$2:D1384,D1384)</f>
        <v>18</v>
      </c>
      <c r="B1384" t="str">
        <f t="shared" si="85"/>
        <v>18Merton</v>
      </c>
      <c r="C1384" t="s">
        <v>4254</v>
      </c>
      <c r="D1384" t="s">
        <v>219</v>
      </c>
      <c r="E1384">
        <v>5</v>
      </c>
      <c r="F1384" t="s">
        <v>4255</v>
      </c>
      <c r="G1384" t="s">
        <v>800</v>
      </c>
      <c r="H1384" t="s">
        <v>903</v>
      </c>
      <c r="I1384" t="s">
        <v>802</v>
      </c>
      <c r="J1384">
        <f t="shared" ca="1" si="86"/>
        <v>110000</v>
      </c>
      <c r="K1384">
        <f t="shared" ca="1" si="87"/>
        <v>650</v>
      </c>
      <c r="N1384" t="str">
        <f t="shared" si="84"/>
        <v>Lancashire27Dementia advisors / carer supportCarers ServicesCarer advice and support related to Care Act duties</v>
      </c>
      <c r="O1384" t="s">
        <v>199</v>
      </c>
      <c r="P1384" t="s">
        <v>1201</v>
      </c>
      <c r="Q1384">
        <v>27</v>
      </c>
      <c r="R1384" t="s">
        <v>3834</v>
      </c>
      <c r="S1384" t="s">
        <v>3834</v>
      </c>
      <c r="T1384" t="s">
        <v>811</v>
      </c>
      <c r="U1384" t="s">
        <v>895</v>
      </c>
      <c r="W1384">
        <v>800</v>
      </c>
      <c r="X1384">
        <v>800</v>
      </c>
      <c r="Y1384" t="s">
        <v>813</v>
      </c>
      <c r="Z1384" t="s">
        <v>823</v>
      </c>
      <c r="AB1384" t="s">
        <v>824</v>
      </c>
      <c r="AD1384" t="s">
        <v>794</v>
      </c>
      <c r="AE1384" t="s">
        <v>825</v>
      </c>
      <c r="AF1384" t="s">
        <v>796</v>
      </c>
      <c r="AG1384" t="s">
        <v>797</v>
      </c>
      <c r="AH1384">
        <v>35331.647400000002</v>
      </c>
      <c r="AI1384">
        <v>37331.418642839999</v>
      </c>
      <c r="AJ1384">
        <v>1</v>
      </c>
    </row>
    <row r="1385" spans="1:36" x14ac:dyDescent="0.3">
      <c r="A1385">
        <f>COUNTIF($D$2:D1385,D1385)</f>
        <v>19</v>
      </c>
      <c r="B1385" t="str">
        <f t="shared" si="85"/>
        <v>19Merton</v>
      </c>
      <c r="C1385" t="s">
        <v>4256</v>
      </c>
      <c r="D1385" t="s">
        <v>219</v>
      </c>
      <c r="E1385">
        <v>49</v>
      </c>
      <c r="F1385" t="s">
        <v>4257</v>
      </c>
      <c r="G1385" t="s">
        <v>811</v>
      </c>
      <c r="H1385" t="s">
        <v>895</v>
      </c>
      <c r="I1385" t="s">
        <v>813</v>
      </c>
      <c r="J1385">
        <f t="shared" ca="1" si="86"/>
        <v>167000</v>
      </c>
      <c r="K1385">
        <f t="shared" ca="1" si="87"/>
        <v>375</v>
      </c>
      <c r="N1385" t="str">
        <f t="shared" si="84"/>
        <v>Lancashire28MH carer supportCarers ServicesCarer advice and support related to Care Act duties</v>
      </c>
      <c r="O1385" t="s">
        <v>199</v>
      </c>
      <c r="P1385" t="s">
        <v>1201</v>
      </c>
      <c r="Q1385">
        <v>28</v>
      </c>
      <c r="R1385" t="s">
        <v>3838</v>
      </c>
      <c r="S1385" t="s">
        <v>3838</v>
      </c>
      <c r="T1385" t="s">
        <v>811</v>
      </c>
      <c r="U1385" t="s">
        <v>895</v>
      </c>
      <c r="W1385">
        <v>500</v>
      </c>
      <c r="X1385">
        <v>500</v>
      </c>
      <c r="Y1385" t="s">
        <v>813</v>
      </c>
      <c r="Z1385" t="s">
        <v>823</v>
      </c>
      <c r="AB1385" t="s">
        <v>824</v>
      </c>
      <c r="AD1385" t="s">
        <v>794</v>
      </c>
      <c r="AE1385" t="s">
        <v>825</v>
      </c>
      <c r="AF1385" t="s">
        <v>796</v>
      </c>
      <c r="AG1385" t="s">
        <v>797</v>
      </c>
      <c r="AH1385">
        <v>21033.736199999999</v>
      </c>
      <c r="AI1385">
        <v>22224.245668920001</v>
      </c>
      <c r="AJ1385">
        <v>1</v>
      </c>
    </row>
    <row r="1386" spans="1:36" x14ac:dyDescent="0.3">
      <c r="A1386">
        <f>COUNTIF($D$2:D1386,D1386)</f>
        <v>20</v>
      </c>
      <c r="B1386" t="str">
        <f t="shared" si="85"/>
        <v>20Merton</v>
      </c>
      <c r="C1386" t="s">
        <v>4258</v>
      </c>
      <c r="D1386" t="s">
        <v>219</v>
      </c>
      <c r="E1386">
        <v>51</v>
      </c>
      <c r="F1386" t="s">
        <v>4259</v>
      </c>
      <c r="G1386" t="s">
        <v>806</v>
      </c>
      <c r="H1386" t="s">
        <v>917</v>
      </c>
      <c r="I1386" t="s">
        <v>808</v>
      </c>
      <c r="J1386">
        <f t="shared" ca="1" si="86"/>
        <v>25000</v>
      </c>
      <c r="K1386">
        <f t="shared" ca="1" si="87"/>
        <v>18</v>
      </c>
      <c r="N1386" t="str">
        <f t="shared" si="84"/>
        <v>Lancashire34Solutions PlusHome-based intermediate care servicesReablement at home (accepting step up and step down users)</v>
      </c>
      <c r="O1386" t="s">
        <v>199</v>
      </c>
      <c r="P1386" t="s">
        <v>1201</v>
      </c>
      <c r="Q1386">
        <v>34</v>
      </c>
      <c r="R1386" t="s">
        <v>3840</v>
      </c>
      <c r="S1386" t="s">
        <v>4260</v>
      </c>
      <c r="T1386" t="s">
        <v>787</v>
      </c>
      <c r="U1386" t="s">
        <v>930</v>
      </c>
      <c r="W1386">
        <v>50</v>
      </c>
      <c r="X1386">
        <v>50</v>
      </c>
      <c r="Y1386" t="s">
        <v>789</v>
      </c>
      <c r="Z1386" t="s">
        <v>1006</v>
      </c>
      <c r="AB1386" t="s">
        <v>824</v>
      </c>
      <c r="AD1386" t="s">
        <v>794</v>
      </c>
      <c r="AE1386" t="s">
        <v>1107</v>
      </c>
      <c r="AF1386" t="s">
        <v>796</v>
      </c>
      <c r="AG1386" t="s">
        <v>797</v>
      </c>
      <c r="AH1386">
        <v>53346.6774</v>
      </c>
      <c r="AI1386">
        <v>56366.099340840003</v>
      </c>
      <c r="AJ1386">
        <v>1</v>
      </c>
    </row>
    <row r="1387" spans="1:36" x14ac:dyDescent="0.3">
      <c r="A1387">
        <f>COUNTIF($D$2:D1387,D1387)</f>
        <v>1</v>
      </c>
      <c r="B1387" t="str">
        <f t="shared" si="85"/>
        <v>1Middlesbrough</v>
      </c>
      <c r="C1387" t="s">
        <v>4261</v>
      </c>
      <c r="D1387" t="s">
        <v>221</v>
      </c>
      <c r="E1387">
        <v>1</v>
      </c>
      <c r="F1387" t="s">
        <v>4262</v>
      </c>
      <c r="G1387" t="s">
        <v>800</v>
      </c>
      <c r="H1387" t="s">
        <v>903</v>
      </c>
      <c r="I1387" t="s">
        <v>802</v>
      </c>
      <c r="J1387">
        <f t="shared" ca="1" si="86"/>
        <v>162400</v>
      </c>
      <c r="K1387">
        <f t="shared" ca="1" si="87"/>
        <v>694</v>
      </c>
      <c r="N1387" t="str">
        <f t="shared" si="84"/>
        <v>Lancashire40Community hospitals - community inpatient bedsBed based intermediate Care Services (Reablement, rehabilitation, wider short-term services supporting recovery)Bed-based intermediate care with rehabilitation (to support discharge)</v>
      </c>
      <c r="O1387" t="s">
        <v>199</v>
      </c>
      <c r="P1387" t="s">
        <v>1201</v>
      </c>
      <c r="Q1387">
        <v>40</v>
      </c>
      <c r="R1387" t="s">
        <v>3842</v>
      </c>
      <c r="S1387" t="s">
        <v>4263</v>
      </c>
      <c r="T1387" t="s">
        <v>877</v>
      </c>
      <c r="U1387" t="s">
        <v>968</v>
      </c>
      <c r="W1387">
        <v>250</v>
      </c>
      <c r="X1387">
        <v>250</v>
      </c>
      <c r="Y1387" t="s">
        <v>879</v>
      </c>
      <c r="Z1387" t="s">
        <v>823</v>
      </c>
      <c r="AB1387" t="s">
        <v>824</v>
      </c>
      <c r="AD1387" t="s">
        <v>794</v>
      </c>
      <c r="AE1387" t="s">
        <v>832</v>
      </c>
      <c r="AF1387" t="s">
        <v>796</v>
      </c>
      <c r="AG1387" t="s">
        <v>797</v>
      </c>
      <c r="AH1387">
        <v>11180680</v>
      </c>
      <c r="AI1387">
        <v>11813507</v>
      </c>
      <c r="AJ1387">
        <v>1</v>
      </c>
    </row>
    <row r="1388" spans="1:36" x14ac:dyDescent="0.3">
      <c r="A1388">
        <f>COUNTIF($D$2:D1388,D1388)</f>
        <v>2</v>
      </c>
      <c r="B1388" t="str">
        <f t="shared" si="85"/>
        <v>2Middlesbrough</v>
      </c>
      <c r="C1388" t="s">
        <v>4264</v>
      </c>
      <c r="D1388" t="s">
        <v>221</v>
      </c>
      <c r="E1388">
        <v>2</v>
      </c>
      <c r="F1388" t="s">
        <v>4265</v>
      </c>
      <c r="G1388" t="s">
        <v>877</v>
      </c>
      <c r="H1388" t="s">
        <v>1015</v>
      </c>
      <c r="I1388" t="s">
        <v>879</v>
      </c>
      <c r="J1388" t="e">
        <f t="shared" si="86"/>
        <v>#VALUE!</v>
      </c>
      <c r="K1388" t="e">
        <f t="shared" si="87"/>
        <v>#VALUE!</v>
      </c>
      <c r="N1388" t="str">
        <f t="shared" si="84"/>
        <v>Lancashire41TCS transferAssistive Technologies and EquipmentCommunity based equipment</v>
      </c>
      <c r="O1388" t="s">
        <v>199</v>
      </c>
      <c r="P1388" t="s">
        <v>1201</v>
      </c>
      <c r="Q1388">
        <v>41</v>
      </c>
      <c r="R1388" t="s">
        <v>3844</v>
      </c>
      <c r="S1388" t="s">
        <v>4266</v>
      </c>
      <c r="T1388" t="s">
        <v>800</v>
      </c>
      <c r="U1388" t="s">
        <v>903</v>
      </c>
      <c r="W1388">
        <v>1000</v>
      </c>
      <c r="X1388">
        <v>1000</v>
      </c>
      <c r="Y1388" t="s">
        <v>802</v>
      </c>
      <c r="Z1388" t="s">
        <v>792</v>
      </c>
      <c r="AB1388" t="s">
        <v>824</v>
      </c>
      <c r="AD1388" t="s">
        <v>794</v>
      </c>
      <c r="AE1388" t="s">
        <v>804</v>
      </c>
      <c r="AF1388" t="s">
        <v>796</v>
      </c>
      <c r="AG1388" t="s">
        <v>797</v>
      </c>
      <c r="AH1388">
        <v>1543953.5802</v>
      </c>
      <c r="AI1388">
        <v>1631341.35283932</v>
      </c>
      <c r="AJ1388">
        <v>1</v>
      </c>
    </row>
    <row r="1389" spans="1:36" x14ac:dyDescent="0.3">
      <c r="A1389">
        <f>COUNTIF($D$2:D1389,D1389)</f>
        <v>3</v>
      </c>
      <c r="B1389" t="str">
        <f t="shared" si="85"/>
        <v>3Middlesbrough</v>
      </c>
      <c r="C1389" t="s">
        <v>4267</v>
      </c>
      <c r="D1389" t="s">
        <v>221</v>
      </c>
      <c r="E1389">
        <v>3</v>
      </c>
      <c r="F1389" t="s">
        <v>4262</v>
      </c>
      <c r="G1389" t="s">
        <v>787</v>
      </c>
      <c r="H1389" t="s">
        <v>886</v>
      </c>
      <c r="I1389" t="s">
        <v>789</v>
      </c>
      <c r="J1389">
        <f t="shared" ca="1" si="86"/>
        <v>960100</v>
      </c>
      <c r="K1389">
        <f t="shared" ca="1" si="87"/>
        <v>18</v>
      </c>
      <c r="N1389" t="str">
        <f t="shared" si="84"/>
        <v>Lancashire48Young carers supportCarers ServicesCarer advice and support related to Care Act duties</v>
      </c>
      <c r="O1389" t="s">
        <v>199</v>
      </c>
      <c r="P1389" t="s">
        <v>1201</v>
      </c>
      <c r="Q1389">
        <v>48</v>
      </c>
      <c r="R1389" t="s">
        <v>3847</v>
      </c>
      <c r="S1389" t="s">
        <v>4268</v>
      </c>
      <c r="T1389" t="s">
        <v>811</v>
      </c>
      <c r="U1389" t="s">
        <v>895</v>
      </c>
      <c r="W1389">
        <v>200</v>
      </c>
      <c r="X1389">
        <v>200</v>
      </c>
      <c r="Y1389" t="s">
        <v>813</v>
      </c>
      <c r="Z1389" t="s">
        <v>792</v>
      </c>
      <c r="AB1389" t="s">
        <v>824</v>
      </c>
      <c r="AD1389" t="s">
        <v>794</v>
      </c>
      <c r="AE1389" t="s">
        <v>795</v>
      </c>
      <c r="AF1389" t="s">
        <v>796</v>
      </c>
      <c r="AG1389" t="s">
        <v>797</v>
      </c>
      <c r="AH1389">
        <v>62823.322800000002</v>
      </c>
      <c r="AI1389">
        <v>66379.122870480001</v>
      </c>
      <c r="AJ1389">
        <v>1</v>
      </c>
    </row>
    <row r="1390" spans="1:36" x14ac:dyDescent="0.3">
      <c r="A1390">
        <f>COUNTIF($D$2:D1390,D1390)</f>
        <v>4</v>
      </c>
      <c r="B1390" t="str">
        <f t="shared" si="85"/>
        <v>4Middlesbrough</v>
      </c>
      <c r="C1390" t="s">
        <v>4269</v>
      </c>
      <c r="D1390" t="s">
        <v>221</v>
      </c>
      <c r="E1390">
        <v>4</v>
      </c>
      <c r="F1390" t="s">
        <v>4270</v>
      </c>
      <c r="G1390" t="s">
        <v>877</v>
      </c>
      <c r="H1390" t="s">
        <v>995</v>
      </c>
      <c r="I1390" t="s">
        <v>879</v>
      </c>
      <c r="J1390">
        <f t="shared" ca="1" si="86"/>
        <v>77200</v>
      </c>
      <c r="K1390">
        <f t="shared" ca="1" si="87"/>
        <v>2</v>
      </c>
      <c r="N1390" t="str">
        <f t="shared" si="84"/>
        <v>Lancashire49Carers supportCarers ServicesCarer advice and support related to Care Act duties</v>
      </c>
      <c r="O1390" t="s">
        <v>199</v>
      </c>
      <c r="P1390" t="s">
        <v>1201</v>
      </c>
      <c r="Q1390">
        <v>49</v>
      </c>
      <c r="R1390" t="s">
        <v>1399</v>
      </c>
      <c r="S1390" t="s">
        <v>4271</v>
      </c>
      <c r="T1390" t="s">
        <v>811</v>
      </c>
      <c r="U1390" t="s">
        <v>895</v>
      </c>
      <c r="W1390">
        <v>1000</v>
      </c>
      <c r="X1390">
        <v>1000</v>
      </c>
      <c r="Y1390" t="s">
        <v>813</v>
      </c>
      <c r="Z1390" t="s">
        <v>792</v>
      </c>
      <c r="AB1390" t="s">
        <v>824</v>
      </c>
      <c r="AD1390" t="s">
        <v>794</v>
      </c>
      <c r="AE1390" t="s">
        <v>795</v>
      </c>
      <c r="AF1390" t="s">
        <v>796</v>
      </c>
      <c r="AG1390" t="s">
        <v>797</v>
      </c>
      <c r="AH1390">
        <v>269276.62320000003</v>
      </c>
      <c r="AI1390">
        <v>284517.68007312005</v>
      </c>
      <c r="AJ1390">
        <v>1</v>
      </c>
    </row>
    <row r="1391" spans="1:36" x14ac:dyDescent="0.3">
      <c r="A1391">
        <f>COUNTIF($D$2:D1391,D1391)</f>
        <v>5</v>
      </c>
      <c r="B1391" t="str">
        <f t="shared" si="85"/>
        <v>5Middlesbrough</v>
      </c>
      <c r="C1391" t="s">
        <v>4272</v>
      </c>
      <c r="D1391" t="s">
        <v>221</v>
      </c>
      <c r="E1391">
        <v>6</v>
      </c>
      <c r="F1391" t="s">
        <v>1250</v>
      </c>
      <c r="G1391" t="s">
        <v>811</v>
      </c>
      <c r="H1391" t="s">
        <v>895</v>
      </c>
      <c r="I1391" t="s">
        <v>813</v>
      </c>
      <c r="J1391">
        <f t="shared" ca="1" si="86"/>
        <v>49600</v>
      </c>
      <c r="K1391">
        <f t="shared" ca="1" si="87"/>
        <v>1800</v>
      </c>
      <c r="N1391" t="str">
        <f t="shared" si="84"/>
        <v>Lancashire52Community Equipment ServicesAssistive Technologies and EquipmentCommunity based equipment</v>
      </c>
      <c r="O1391" t="s">
        <v>199</v>
      </c>
      <c r="P1391" t="s">
        <v>1201</v>
      </c>
      <c r="Q1391">
        <v>52</v>
      </c>
      <c r="R1391" t="s">
        <v>3489</v>
      </c>
      <c r="S1391" t="s">
        <v>4273</v>
      </c>
      <c r="T1391" t="s">
        <v>800</v>
      </c>
      <c r="U1391" t="s">
        <v>903</v>
      </c>
      <c r="W1391">
        <v>800</v>
      </c>
      <c r="X1391">
        <v>800</v>
      </c>
      <c r="Y1391" t="s">
        <v>802</v>
      </c>
      <c r="Z1391" t="s">
        <v>792</v>
      </c>
      <c r="AB1391" t="s">
        <v>824</v>
      </c>
      <c r="AD1391" t="s">
        <v>794</v>
      </c>
      <c r="AE1391" t="s">
        <v>804</v>
      </c>
      <c r="AF1391" t="s">
        <v>796</v>
      </c>
      <c r="AG1391" t="s">
        <v>797</v>
      </c>
      <c r="AH1391">
        <v>2676095.1972000003</v>
      </c>
      <c r="AI1391">
        <v>2827562.1853615204</v>
      </c>
      <c r="AJ1391">
        <v>0.1</v>
      </c>
    </row>
    <row r="1392" spans="1:36" x14ac:dyDescent="0.3">
      <c r="A1392">
        <f>COUNTIF($D$2:D1392,D1392)</f>
        <v>6</v>
      </c>
      <c r="B1392" t="str">
        <f t="shared" si="85"/>
        <v>6Middlesbrough</v>
      </c>
      <c r="C1392" t="s">
        <v>4274</v>
      </c>
      <c r="D1392" t="s">
        <v>221</v>
      </c>
      <c r="E1392">
        <v>7</v>
      </c>
      <c r="F1392" t="s">
        <v>1250</v>
      </c>
      <c r="G1392" t="s">
        <v>811</v>
      </c>
      <c r="H1392" t="s">
        <v>895</v>
      </c>
      <c r="I1392" t="s">
        <v>813</v>
      </c>
      <c r="J1392">
        <f t="shared" ca="1" si="86"/>
        <v>183200</v>
      </c>
      <c r="K1392">
        <f t="shared" ca="1" si="87"/>
        <v>1800</v>
      </c>
      <c r="N1392" t="str">
        <f t="shared" si="84"/>
        <v>Lancashire56Intermediate Care BedsBed based intermediate Care Services (Reablement, rehabilitation, wider short-term services supporting recovery)Bed-based intermediate care with reablement (to support discharge)</v>
      </c>
      <c r="O1392" t="s">
        <v>199</v>
      </c>
      <c r="P1392" t="s">
        <v>1201</v>
      </c>
      <c r="Q1392">
        <v>56</v>
      </c>
      <c r="R1392" t="s">
        <v>1183</v>
      </c>
      <c r="S1392" t="s">
        <v>4275</v>
      </c>
      <c r="T1392" t="s">
        <v>877</v>
      </c>
      <c r="U1392" t="s">
        <v>878</v>
      </c>
      <c r="W1392">
        <v>50</v>
      </c>
      <c r="X1392">
        <v>50</v>
      </c>
      <c r="Y1392" t="s">
        <v>879</v>
      </c>
      <c r="Z1392" t="s">
        <v>792</v>
      </c>
      <c r="AB1392" t="s">
        <v>824</v>
      </c>
      <c r="AD1392" t="s">
        <v>794</v>
      </c>
      <c r="AE1392" t="s">
        <v>795</v>
      </c>
      <c r="AF1392" t="s">
        <v>796</v>
      </c>
      <c r="AG1392" t="s">
        <v>797</v>
      </c>
      <c r="AH1392">
        <v>1064523.4434</v>
      </c>
      <c r="AI1392">
        <v>1124775.4702964399</v>
      </c>
      <c r="AJ1392">
        <v>1</v>
      </c>
    </row>
    <row r="1393" spans="1:36" x14ac:dyDescent="0.3">
      <c r="A1393">
        <f>COUNTIF($D$2:D1393,D1393)</f>
        <v>7</v>
      </c>
      <c r="B1393" t="str">
        <f t="shared" si="85"/>
        <v>7Middlesbrough</v>
      </c>
      <c r="C1393" t="s">
        <v>4276</v>
      </c>
      <c r="D1393" t="s">
        <v>221</v>
      </c>
      <c r="E1393">
        <v>8</v>
      </c>
      <c r="F1393" t="s">
        <v>1250</v>
      </c>
      <c r="G1393" t="s">
        <v>811</v>
      </c>
      <c r="H1393" t="s">
        <v>895</v>
      </c>
      <c r="I1393" t="s">
        <v>813</v>
      </c>
      <c r="J1393">
        <f t="shared" ca="1" si="86"/>
        <v>112500</v>
      </c>
      <c r="K1393">
        <f t="shared" ca="1" si="87"/>
        <v>350</v>
      </c>
      <c r="N1393" t="str">
        <f t="shared" si="84"/>
        <v>Lancashire65Lancashire Discharge to Assess services.Home-based intermediate care servicesRehabilitation at home (to support discharge)</v>
      </c>
      <c r="O1393" t="s">
        <v>199</v>
      </c>
      <c r="P1393" t="s">
        <v>1201</v>
      </c>
      <c r="Q1393">
        <v>65</v>
      </c>
      <c r="R1393" t="s">
        <v>3854</v>
      </c>
      <c r="S1393" t="s">
        <v>4277</v>
      </c>
      <c r="T1393" t="s">
        <v>787</v>
      </c>
      <c r="U1393" t="s">
        <v>1195</v>
      </c>
      <c r="W1393">
        <v>500</v>
      </c>
      <c r="X1393">
        <v>1000</v>
      </c>
      <c r="Y1393" t="s">
        <v>789</v>
      </c>
      <c r="Z1393" t="s">
        <v>792</v>
      </c>
      <c r="AB1393" t="s">
        <v>824</v>
      </c>
      <c r="AD1393" t="s">
        <v>794</v>
      </c>
      <c r="AE1393" t="s">
        <v>795</v>
      </c>
      <c r="AF1393" t="s">
        <v>860</v>
      </c>
      <c r="AG1393" t="s">
        <v>861</v>
      </c>
      <c r="AH1393">
        <v>1500000</v>
      </c>
      <c r="AI1393">
        <v>2826900</v>
      </c>
      <c r="AJ1393">
        <v>1</v>
      </c>
    </row>
    <row r="1394" spans="1:36" x14ac:dyDescent="0.3">
      <c r="A1394">
        <f>COUNTIF($D$2:D1394,D1394)</f>
        <v>8</v>
      </c>
      <c r="B1394" t="str">
        <f t="shared" si="85"/>
        <v>8Middlesbrough</v>
      </c>
      <c r="C1394" t="s">
        <v>4278</v>
      </c>
      <c r="D1394" t="s">
        <v>221</v>
      </c>
      <c r="E1394">
        <v>9</v>
      </c>
      <c r="F1394" t="s">
        <v>1250</v>
      </c>
      <c r="G1394" t="s">
        <v>811</v>
      </c>
      <c r="H1394" t="s">
        <v>895</v>
      </c>
      <c r="I1394" t="s">
        <v>813</v>
      </c>
      <c r="J1394">
        <f t="shared" ca="1" si="86"/>
        <v>149700</v>
      </c>
      <c r="K1394">
        <f t="shared" ca="1" si="87"/>
        <v>1800</v>
      </c>
      <c r="N1394" t="str">
        <f t="shared" si="84"/>
        <v>Lancashire66Lancashire Discharge to Assess services.Bed based intermediate Care Services (Reablement, rehabilitation, wider short-term services supporting recovery)Bed-based intermediate care with reablement (to support discharge)</v>
      </c>
      <c r="O1394" t="s">
        <v>199</v>
      </c>
      <c r="P1394" t="s">
        <v>1201</v>
      </c>
      <c r="Q1394">
        <v>66</v>
      </c>
      <c r="R1394" t="s">
        <v>3854</v>
      </c>
      <c r="S1394" t="s">
        <v>4279</v>
      </c>
      <c r="T1394" t="s">
        <v>877</v>
      </c>
      <c r="U1394" t="s">
        <v>878</v>
      </c>
      <c r="W1394">
        <v>300</v>
      </c>
      <c r="X1394">
        <v>500</v>
      </c>
      <c r="Y1394" t="s">
        <v>879</v>
      </c>
      <c r="Z1394" t="s">
        <v>792</v>
      </c>
      <c r="AB1394" t="s">
        <v>824</v>
      </c>
      <c r="AD1394" t="s">
        <v>794</v>
      </c>
      <c r="AE1394" t="s">
        <v>804</v>
      </c>
      <c r="AF1394" t="s">
        <v>860</v>
      </c>
      <c r="AG1394" t="s">
        <v>861</v>
      </c>
      <c r="AH1394">
        <v>3864466</v>
      </c>
      <c r="AI1394">
        <v>8516765</v>
      </c>
      <c r="AJ1394">
        <v>1</v>
      </c>
    </row>
    <row r="1395" spans="1:36" x14ac:dyDescent="0.3">
      <c r="A1395">
        <f>COUNTIF($D$2:D1395,D1395)</f>
        <v>9</v>
      </c>
      <c r="B1395" t="str">
        <f t="shared" si="85"/>
        <v>9Middlesbrough</v>
      </c>
      <c r="C1395" t="s">
        <v>4280</v>
      </c>
      <c r="D1395" t="s">
        <v>221</v>
      </c>
      <c r="E1395">
        <v>10</v>
      </c>
      <c r="F1395" t="s">
        <v>1250</v>
      </c>
      <c r="G1395" t="s">
        <v>811</v>
      </c>
      <c r="H1395" t="s">
        <v>830</v>
      </c>
      <c r="I1395" t="s">
        <v>813</v>
      </c>
      <c r="J1395">
        <f t="shared" ca="1" si="86"/>
        <v>194200</v>
      </c>
      <c r="K1395">
        <f t="shared" ca="1" si="87"/>
        <v>103</v>
      </c>
      <c r="N1395" t="str">
        <f t="shared" si="84"/>
        <v>Leeds401Community bedsBed based intermediate Care Services (Reablement, rehabilitation, wider short-term services supporting recovery)Bed-based intermediate care with reablement (to support discharge)</v>
      </c>
      <c r="O1395" t="s">
        <v>201</v>
      </c>
      <c r="P1395" t="s">
        <v>922</v>
      </c>
      <c r="Q1395">
        <v>401</v>
      </c>
      <c r="R1395" t="s">
        <v>3858</v>
      </c>
      <c r="S1395" t="s">
        <v>4281</v>
      </c>
      <c r="T1395" t="s">
        <v>877</v>
      </c>
      <c r="U1395" t="s">
        <v>878</v>
      </c>
      <c r="W1395">
        <v>1786.578947368421</v>
      </c>
      <c r="X1395">
        <v>2263</v>
      </c>
      <c r="Y1395" t="s">
        <v>879</v>
      </c>
      <c r="Z1395" t="s">
        <v>823</v>
      </c>
      <c r="AB1395" t="s">
        <v>824</v>
      </c>
      <c r="AD1395" t="s">
        <v>794</v>
      </c>
      <c r="AE1395" t="s">
        <v>804</v>
      </c>
      <c r="AF1395" t="s">
        <v>796</v>
      </c>
      <c r="AG1395" t="s">
        <v>797</v>
      </c>
      <c r="AH1395">
        <v>19752006</v>
      </c>
      <c r="AI1395">
        <v>22527832</v>
      </c>
      <c r="AJ1395">
        <v>0.18162826991574721</v>
      </c>
    </row>
    <row r="1396" spans="1:36" x14ac:dyDescent="0.3">
      <c r="A1396">
        <f>COUNTIF($D$2:D1396,D1396)</f>
        <v>10</v>
      </c>
      <c r="B1396" t="str">
        <f t="shared" si="85"/>
        <v>10Middlesbrough</v>
      </c>
      <c r="C1396" t="s">
        <v>4282</v>
      </c>
      <c r="D1396" t="s">
        <v>221</v>
      </c>
      <c r="E1396">
        <v>11</v>
      </c>
      <c r="F1396" t="s">
        <v>1250</v>
      </c>
      <c r="G1396" t="s">
        <v>811</v>
      </c>
      <c r="H1396" t="s">
        <v>895</v>
      </c>
      <c r="I1396" t="s">
        <v>813</v>
      </c>
      <c r="J1396">
        <f t="shared" ca="1" si="86"/>
        <v>173000</v>
      </c>
      <c r="K1396">
        <f t="shared" ca="1" si="87"/>
        <v>1800</v>
      </c>
      <c r="N1396" t="str">
        <f t="shared" si="84"/>
        <v>Leeds402Community bedsBed based intermediate Care Services (Reablement, rehabilitation, wider short-term services supporting recovery)Bed-based intermediate care with reablement (to support discharge)</v>
      </c>
      <c r="O1396" t="s">
        <v>201</v>
      </c>
      <c r="P1396" t="s">
        <v>922</v>
      </c>
      <c r="Q1396">
        <v>402</v>
      </c>
      <c r="R1396" t="s">
        <v>3858</v>
      </c>
      <c r="S1396" t="s">
        <v>4283</v>
      </c>
      <c r="T1396" t="s">
        <v>877</v>
      </c>
      <c r="U1396" t="s">
        <v>878</v>
      </c>
      <c r="W1396">
        <v>365</v>
      </c>
      <c r="X1396">
        <v>450.16666666666674</v>
      </c>
      <c r="Y1396" t="s">
        <v>879</v>
      </c>
      <c r="Z1396" t="s">
        <v>823</v>
      </c>
      <c r="AB1396" t="s">
        <v>824</v>
      </c>
      <c r="AD1396" t="s">
        <v>794</v>
      </c>
      <c r="AE1396" t="s">
        <v>795</v>
      </c>
      <c r="AF1396" t="s">
        <v>796</v>
      </c>
      <c r="AG1396" t="s">
        <v>797</v>
      </c>
      <c r="AH1396">
        <v>1936847</v>
      </c>
      <c r="AI1396">
        <v>1936847</v>
      </c>
      <c r="AJ1396">
        <v>1.5615624694888756E-2</v>
      </c>
    </row>
    <row r="1397" spans="1:36" x14ac:dyDescent="0.3">
      <c r="A1397">
        <f>COUNTIF($D$2:D1397,D1397)</f>
        <v>11</v>
      </c>
      <c r="B1397" t="str">
        <f t="shared" si="85"/>
        <v>11Middlesbrough</v>
      </c>
      <c r="C1397" t="s">
        <v>4284</v>
      </c>
      <c r="D1397" t="s">
        <v>221</v>
      </c>
      <c r="E1397">
        <v>12</v>
      </c>
      <c r="F1397" t="s">
        <v>1250</v>
      </c>
      <c r="G1397" t="s">
        <v>811</v>
      </c>
      <c r="H1397" t="s">
        <v>830</v>
      </c>
      <c r="I1397" t="s">
        <v>813</v>
      </c>
      <c r="J1397">
        <f t="shared" ca="1" si="86"/>
        <v>127000</v>
      </c>
      <c r="K1397">
        <f t="shared" ca="1" si="87"/>
        <v>192</v>
      </c>
      <c r="N1397" t="str">
        <f t="shared" si="84"/>
        <v>Leeds404Supporting carersCarers ServicesRespite services</v>
      </c>
      <c r="O1397" t="s">
        <v>201</v>
      </c>
      <c r="P1397" t="s">
        <v>922</v>
      </c>
      <c r="Q1397">
        <v>404</v>
      </c>
      <c r="R1397" t="s">
        <v>3346</v>
      </c>
      <c r="S1397" t="s">
        <v>4285</v>
      </c>
      <c r="T1397" t="s">
        <v>811</v>
      </c>
      <c r="U1397" t="s">
        <v>830</v>
      </c>
      <c r="W1397">
        <v>2808</v>
      </c>
      <c r="X1397">
        <v>2808</v>
      </c>
      <c r="Y1397" t="s">
        <v>813</v>
      </c>
      <c r="Z1397" t="s">
        <v>823</v>
      </c>
      <c r="AB1397" t="s">
        <v>824</v>
      </c>
      <c r="AD1397" t="s">
        <v>794</v>
      </c>
      <c r="AE1397" t="s">
        <v>795</v>
      </c>
      <c r="AF1397" t="s">
        <v>796</v>
      </c>
      <c r="AG1397" t="s">
        <v>797</v>
      </c>
      <c r="AH1397">
        <v>382157</v>
      </c>
      <c r="AI1397">
        <v>382157</v>
      </c>
      <c r="AJ1397">
        <v>3.0811005136309696E-3</v>
      </c>
    </row>
    <row r="1398" spans="1:36" x14ac:dyDescent="0.3">
      <c r="A1398">
        <f>COUNTIF($D$2:D1398,D1398)</f>
        <v>12</v>
      </c>
      <c r="B1398" t="str">
        <f t="shared" si="85"/>
        <v>12Middlesbrough</v>
      </c>
      <c r="C1398" t="s">
        <v>4286</v>
      </c>
      <c r="D1398" t="s">
        <v>221</v>
      </c>
      <c r="E1398">
        <v>19</v>
      </c>
      <c r="F1398" t="s">
        <v>4287</v>
      </c>
      <c r="G1398" t="s">
        <v>842</v>
      </c>
      <c r="H1398" t="s">
        <v>843</v>
      </c>
      <c r="I1398" t="s">
        <v>844</v>
      </c>
      <c r="J1398">
        <f t="shared" ca="1" si="86"/>
        <v>456100</v>
      </c>
      <c r="K1398">
        <f t="shared" ca="1" si="87"/>
        <v>189</v>
      </c>
      <c r="N1398" t="str">
        <f t="shared" si="84"/>
        <v>Leeds405Leeds EquipmentAssistive Technologies and EquipmentCommunity based equipment</v>
      </c>
      <c r="O1398" t="s">
        <v>201</v>
      </c>
      <c r="P1398" t="s">
        <v>922</v>
      </c>
      <c r="Q1398">
        <v>405</v>
      </c>
      <c r="R1398" t="s">
        <v>3864</v>
      </c>
      <c r="S1398" t="s">
        <v>4288</v>
      </c>
      <c r="T1398" t="s">
        <v>800</v>
      </c>
      <c r="U1398" t="s">
        <v>903</v>
      </c>
      <c r="W1398">
        <v>1895</v>
      </c>
      <c r="X1398">
        <v>1895</v>
      </c>
      <c r="Y1398" t="s">
        <v>802</v>
      </c>
      <c r="Z1398" t="s">
        <v>823</v>
      </c>
      <c r="AB1398" t="s">
        <v>824</v>
      </c>
      <c r="AD1398" t="s">
        <v>794</v>
      </c>
      <c r="AE1398" t="s">
        <v>795</v>
      </c>
      <c r="AF1398" t="s">
        <v>796</v>
      </c>
      <c r="AG1398" t="s">
        <v>797</v>
      </c>
      <c r="AH1398">
        <v>3118210</v>
      </c>
      <c r="AI1398">
        <v>3118210</v>
      </c>
      <c r="AJ1398">
        <v>2.5140239306382518E-2</v>
      </c>
    </row>
    <row r="1399" spans="1:36" x14ac:dyDescent="0.3">
      <c r="A1399">
        <f>COUNTIF($D$2:D1399,D1399)</f>
        <v>13</v>
      </c>
      <c r="B1399" t="str">
        <f t="shared" si="85"/>
        <v>13Middlesbrough</v>
      </c>
      <c r="C1399" t="s">
        <v>4289</v>
      </c>
      <c r="D1399" t="s">
        <v>221</v>
      </c>
      <c r="E1399">
        <v>48</v>
      </c>
      <c r="F1399" t="s">
        <v>4290</v>
      </c>
      <c r="G1399" t="s">
        <v>806</v>
      </c>
      <c r="H1399" t="s">
        <v>807</v>
      </c>
      <c r="I1399" t="s">
        <v>808</v>
      </c>
      <c r="J1399">
        <f t="shared" ca="1" si="86"/>
        <v>3276762</v>
      </c>
      <c r="K1399">
        <f t="shared" ca="1" si="87"/>
        <v>85</v>
      </c>
      <c r="N1399" t="str">
        <f t="shared" si="84"/>
        <v>Leeds406Leeds EquipmentAssistive Technologies and EquipmentCommunity based equipment</v>
      </c>
      <c r="O1399" t="s">
        <v>201</v>
      </c>
      <c r="P1399" t="s">
        <v>922</v>
      </c>
      <c r="Q1399">
        <v>406</v>
      </c>
      <c r="R1399" t="s">
        <v>3864</v>
      </c>
      <c r="S1399" t="s">
        <v>4288</v>
      </c>
      <c r="T1399" t="s">
        <v>800</v>
      </c>
      <c r="U1399" t="s">
        <v>903</v>
      </c>
      <c r="W1399">
        <v>1602</v>
      </c>
      <c r="X1399">
        <v>1602</v>
      </c>
      <c r="Y1399" t="s">
        <v>802</v>
      </c>
      <c r="Z1399" t="s">
        <v>823</v>
      </c>
      <c r="AB1399" t="s">
        <v>793</v>
      </c>
      <c r="AD1399" t="s">
        <v>794</v>
      </c>
      <c r="AE1399" t="s">
        <v>795</v>
      </c>
      <c r="AF1399" t="s">
        <v>1029</v>
      </c>
      <c r="AG1399" t="s">
        <v>797</v>
      </c>
      <c r="AH1399">
        <v>2637000</v>
      </c>
      <c r="AI1399">
        <v>2637000</v>
      </c>
      <c r="AJ1399">
        <v>2.1260534425497548E-2</v>
      </c>
    </row>
    <row r="1400" spans="1:36" x14ac:dyDescent="0.3">
      <c r="A1400">
        <f>COUNTIF($D$2:D1400,D1400)</f>
        <v>14</v>
      </c>
      <c r="B1400" t="str">
        <f t="shared" si="85"/>
        <v>14Middlesbrough</v>
      </c>
      <c r="C1400" t="s">
        <v>4291</v>
      </c>
      <c r="D1400" t="s">
        <v>221</v>
      </c>
      <c r="E1400">
        <v>48</v>
      </c>
      <c r="F1400" t="s">
        <v>4292</v>
      </c>
      <c r="G1400" t="s">
        <v>842</v>
      </c>
      <c r="H1400" t="s">
        <v>843</v>
      </c>
      <c r="I1400" t="s">
        <v>844</v>
      </c>
      <c r="J1400">
        <f t="shared" ca="1" si="86"/>
        <v>4044157</v>
      </c>
      <c r="K1400">
        <f t="shared" ca="1" si="87"/>
        <v>3874</v>
      </c>
      <c r="N1400" t="str">
        <f t="shared" si="84"/>
        <v>Leeds422Community bedsBed based intermediate Care Services (Reablement, rehabilitation, wider short-term services supporting recovery)Bed-based intermediate care with reablement (to support discharge)</v>
      </c>
      <c r="O1400" t="s">
        <v>201</v>
      </c>
      <c r="P1400" t="s">
        <v>922</v>
      </c>
      <c r="Q1400">
        <v>422</v>
      </c>
      <c r="R1400" t="s">
        <v>3858</v>
      </c>
      <c r="S1400" t="s">
        <v>4293</v>
      </c>
      <c r="T1400" t="s">
        <v>877</v>
      </c>
      <c r="U1400" t="s">
        <v>878</v>
      </c>
      <c r="W1400">
        <v>18</v>
      </c>
      <c r="X1400">
        <v>18</v>
      </c>
      <c r="Y1400" t="s">
        <v>879</v>
      </c>
      <c r="Z1400" t="s">
        <v>792</v>
      </c>
      <c r="AB1400" t="s">
        <v>793</v>
      </c>
      <c r="AD1400" t="s">
        <v>794</v>
      </c>
      <c r="AE1400" t="s">
        <v>795</v>
      </c>
      <c r="AF1400" t="s">
        <v>796</v>
      </c>
      <c r="AG1400" t="s">
        <v>797</v>
      </c>
      <c r="AH1400">
        <v>557736</v>
      </c>
      <c r="AI1400">
        <v>557736</v>
      </c>
      <c r="AJ1400">
        <v>4.4966876861354949E-3</v>
      </c>
    </row>
    <row r="1401" spans="1:36" x14ac:dyDescent="0.3">
      <c r="A1401">
        <f>COUNTIF($D$2:D1401,D1401)</f>
        <v>15</v>
      </c>
      <c r="B1401" t="str">
        <f t="shared" si="85"/>
        <v>15Middlesbrough</v>
      </c>
      <c r="C1401" t="s">
        <v>4294</v>
      </c>
      <c r="D1401" t="s">
        <v>221</v>
      </c>
      <c r="E1401">
        <v>48</v>
      </c>
      <c r="F1401" t="s">
        <v>4295</v>
      </c>
      <c r="G1401" t="s">
        <v>800</v>
      </c>
      <c r="H1401" t="s">
        <v>903</v>
      </c>
      <c r="I1401" t="s">
        <v>802</v>
      </c>
      <c r="J1401">
        <f t="shared" ca="1" si="86"/>
        <v>14478</v>
      </c>
      <c r="K1401">
        <f t="shared" ca="1" si="87"/>
        <v>62</v>
      </c>
      <c r="N1401" t="str">
        <f t="shared" si="84"/>
        <v>Leeds411Disabled Facilities GrantDFG Related SchemesAdaptations, including statutory DFG grants</v>
      </c>
      <c r="O1401" t="s">
        <v>201</v>
      </c>
      <c r="P1401" t="s">
        <v>922</v>
      </c>
      <c r="Q1401">
        <v>411</v>
      </c>
      <c r="R1401" t="s">
        <v>891</v>
      </c>
      <c r="S1401" t="s">
        <v>4296</v>
      </c>
      <c r="T1401" t="s">
        <v>834</v>
      </c>
      <c r="U1401" t="s">
        <v>835</v>
      </c>
      <c r="W1401">
        <v>910</v>
      </c>
      <c r="X1401">
        <v>910</v>
      </c>
      <c r="Y1401" t="s">
        <v>836</v>
      </c>
      <c r="Z1401" t="s">
        <v>792</v>
      </c>
      <c r="AB1401" t="s">
        <v>793</v>
      </c>
      <c r="AD1401" t="s">
        <v>794</v>
      </c>
      <c r="AE1401" t="s">
        <v>795</v>
      </c>
      <c r="AF1401" t="s">
        <v>840</v>
      </c>
      <c r="AG1401" t="s">
        <v>797</v>
      </c>
      <c r="AH1401">
        <v>8286057</v>
      </c>
      <c r="AI1401">
        <v>8286057</v>
      </c>
      <c r="AJ1401">
        <v>6.6805460788826293E-2</v>
      </c>
    </row>
    <row r="1402" spans="1:36" x14ac:dyDescent="0.3">
      <c r="A1402">
        <f>COUNTIF($D$2:D1402,D1402)</f>
        <v>16</v>
      </c>
      <c r="B1402" t="str">
        <f t="shared" si="85"/>
        <v>16Middlesbrough</v>
      </c>
      <c r="C1402" t="s">
        <v>4297</v>
      </c>
      <c r="D1402" t="s">
        <v>221</v>
      </c>
      <c r="E1402">
        <v>49</v>
      </c>
      <c r="F1402" t="s">
        <v>4298</v>
      </c>
      <c r="G1402" t="s">
        <v>842</v>
      </c>
      <c r="H1402" t="s">
        <v>843</v>
      </c>
      <c r="I1402" t="s">
        <v>844</v>
      </c>
      <c r="J1402">
        <f t="shared" ca="1" si="86"/>
        <v>958700</v>
      </c>
      <c r="K1402">
        <f t="shared" ca="1" si="87"/>
        <v>918</v>
      </c>
      <c r="N1402" t="str">
        <f t="shared" si="84"/>
        <v>Leeds412Social Care to Health BenefitHome Care or Domiciliary CareDomiciliary care packages</v>
      </c>
      <c r="O1402" t="s">
        <v>201</v>
      </c>
      <c r="P1402" t="s">
        <v>922</v>
      </c>
      <c r="Q1402">
        <v>412</v>
      </c>
      <c r="R1402" t="s">
        <v>3872</v>
      </c>
      <c r="S1402" t="s">
        <v>4299</v>
      </c>
      <c r="T1402" t="s">
        <v>842</v>
      </c>
      <c r="U1402" t="s">
        <v>843</v>
      </c>
      <c r="W1402">
        <v>720000</v>
      </c>
      <c r="X1402">
        <v>715000</v>
      </c>
      <c r="Y1402" t="s">
        <v>844</v>
      </c>
      <c r="Z1402" t="s">
        <v>792</v>
      </c>
      <c r="AB1402" t="s">
        <v>793</v>
      </c>
      <c r="AD1402" t="s">
        <v>794</v>
      </c>
      <c r="AE1402" t="s">
        <v>825</v>
      </c>
      <c r="AF1402" t="s">
        <v>796</v>
      </c>
      <c r="AG1402" t="s">
        <v>797</v>
      </c>
      <c r="AH1402">
        <v>16542714</v>
      </c>
      <c r="AI1402">
        <v>17479032</v>
      </c>
      <c r="AJ1402">
        <v>0.14092285231716847</v>
      </c>
    </row>
    <row r="1403" spans="1:36" x14ac:dyDescent="0.3">
      <c r="A1403">
        <f>COUNTIF($D$2:D1403,D1403)</f>
        <v>17</v>
      </c>
      <c r="B1403" t="str">
        <f t="shared" si="85"/>
        <v>17Middlesbrough</v>
      </c>
      <c r="C1403" t="s">
        <v>4300</v>
      </c>
      <c r="D1403" t="s">
        <v>221</v>
      </c>
      <c r="E1403">
        <v>49</v>
      </c>
      <c r="F1403" t="s">
        <v>4298</v>
      </c>
      <c r="G1403" t="s">
        <v>806</v>
      </c>
      <c r="H1403" t="s">
        <v>873</v>
      </c>
      <c r="I1403" t="s">
        <v>808</v>
      </c>
      <c r="J1403">
        <f t="shared" ca="1" si="86"/>
        <v>785800</v>
      </c>
      <c r="K1403">
        <f t="shared" ca="1" si="87"/>
        <v>20</v>
      </c>
      <c r="N1403" t="str">
        <f t="shared" si="84"/>
        <v>Leeds421Contribution to social care demand pressuresResidential PlacementsOther</v>
      </c>
      <c r="O1403" t="s">
        <v>201</v>
      </c>
      <c r="P1403" t="s">
        <v>922</v>
      </c>
      <c r="Q1403">
        <v>421</v>
      </c>
      <c r="R1403" t="s">
        <v>3875</v>
      </c>
      <c r="S1403" t="s">
        <v>3875</v>
      </c>
      <c r="T1403" t="s">
        <v>806</v>
      </c>
      <c r="U1403" t="s">
        <v>812</v>
      </c>
      <c r="V1403" t="s">
        <v>3875</v>
      </c>
      <c r="W1403">
        <v>869</v>
      </c>
      <c r="X1403">
        <v>869</v>
      </c>
      <c r="Y1403" t="s">
        <v>808</v>
      </c>
      <c r="Z1403" t="s">
        <v>792</v>
      </c>
      <c r="AB1403" t="s">
        <v>793</v>
      </c>
      <c r="AD1403" t="s">
        <v>794</v>
      </c>
      <c r="AE1403" t="s">
        <v>795</v>
      </c>
      <c r="AF1403" t="s">
        <v>845</v>
      </c>
      <c r="AG1403" t="s">
        <v>797</v>
      </c>
      <c r="AH1403">
        <v>31640675</v>
      </c>
      <c r="AI1403">
        <v>31640675</v>
      </c>
      <c r="AJ1403">
        <v>0.25509960564409545</v>
      </c>
    </row>
    <row r="1404" spans="1:36" x14ac:dyDescent="0.3">
      <c r="A1404">
        <f>COUNTIF($D$2:D1404,D1404)</f>
        <v>18</v>
      </c>
      <c r="B1404" t="str">
        <f t="shared" si="85"/>
        <v>18Middlesbrough</v>
      </c>
      <c r="C1404" t="s">
        <v>4301</v>
      </c>
      <c r="D1404" t="s">
        <v>221</v>
      </c>
      <c r="E1404">
        <v>49</v>
      </c>
      <c r="F1404" t="s">
        <v>4298</v>
      </c>
      <c r="G1404" t="s">
        <v>806</v>
      </c>
      <c r="H1404" t="s">
        <v>854</v>
      </c>
      <c r="I1404" t="s">
        <v>808</v>
      </c>
      <c r="J1404">
        <f t="shared" ca="1" si="86"/>
        <v>536200</v>
      </c>
      <c r="K1404">
        <f t="shared" ca="1" si="87"/>
        <v>5</v>
      </c>
      <c r="N1404" t="str">
        <f t="shared" si="84"/>
        <v>Leeds451Growth in home careHome Care or Domiciliary CareDomiciliary care packages</v>
      </c>
      <c r="O1404" t="s">
        <v>201</v>
      </c>
      <c r="P1404" t="s">
        <v>922</v>
      </c>
      <c r="Q1404">
        <v>451</v>
      </c>
      <c r="R1404" t="s">
        <v>3877</v>
      </c>
      <c r="S1404" t="s">
        <v>4302</v>
      </c>
      <c r="T1404" t="s">
        <v>842</v>
      </c>
      <c r="U1404" t="s">
        <v>843</v>
      </c>
      <c r="W1404">
        <v>29500</v>
      </c>
      <c r="X1404">
        <v>31565.000000000004</v>
      </c>
      <c r="Y1404" t="s">
        <v>844</v>
      </c>
      <c r="Z1404" t="s">
        <v>792</v>
      </c>
      <c r="AB1404" t="s">
        <v>793</v>
      </c>
      <c r="AD1404" t="s">
        <v>794</v>
      </c>
      <c r="AE1404" t="s">
        <v>804</v>
      </c>
      <c r="AF1404" t="s">
        <v>864</v>
      </c>
      <c r="AG1404" t="s">
        <v>797</v>
      </c>
      <c r="AH1404">
        <v>668051</v>
      </c>
      <c r="AI1404">
        <v>716701.14602400002</v>
      </c>
      <c r="AJ1404">
        <v>5.7783274129073938E-3</v>
      </c>
    </row>
    <row r="1405" spans="1:36" x14ac:dyDescent="0.3">
      <c r="A1405">
        <f>COUNTIF($D$2:D1405,D1405)</f>
        <v>19</v>
      </c>
      <c r="B1405" t="str">
        <f t="shared" si="85"/>
        <v>19Middlesbrough</v>
      </c>
      <c r="C1405" t="s">
        <v>4303</v>
      </c>
      <c r="D1405" t="s">
        <v>221</v>
      </c>
      <c r="E1405">
        <v>49</v>
      </c>
      <c r="F1405" t="s">
        <v>4298</v>
      </c>
      <c r="G1405" t="s">
        <v>806</v>
      </c>
      <c r="H1405" t="s">
        <v>934</v>
      </c>
      <c r="I1405" t="s">
        <v>808</v>
      </c>
      <c r="J1405">
        <f t="shared" ca="1" si="86"/>
        <v>93400</v>
      </c>
      <c r="K1405">
        <f t="shared" ca="1" si="87"/>
        <v>2</v>
      </c>
      <c r="N1405" t="str">
        <f t="shared" si="84"/>
        <v>Leeds452Growth in residential careResidential PlacementsCare home</v>
      </c>
      <c r="O1405" t="s">
        <v>201</v>
      </c>
      <c r="P1405" t="s">
        <v>922</v>
      </c>
      <c r="Q1405">
        <v>452</v>
      </c>
      <c r="R1405" t="s">
        <v>3880</v>
      </c>
      <c r="S1405" t="s">
        <v>4304</v>
      </c>
      <c r="T1405" t="s">
        <v>806</v>
      </c>
      <c r="U1405" t="s">
        <v>807</v>
      </c>
      <c r="W1405">
        <v>57.692307692307693</v>
      </c>
      <c r="X1405">
        <v>61.730769230769234</v>
      </c>
      <c r="Y1405" t="s">
        <v>808</v>
      </c>
      <c r="Z1405" t="s">
        <v>792</v>
      </c>
      <c r="AB1405" t="s">
        <v>793</v>
      </c>
      <c r="AD1405" t="s">
        <v>794</v>
      </c>
      <c r="AE1405" t="s">
        <v>804</v>
      </c>
      <c r="AF1405" t="s">
        <v>864</v>
      </c>
      <c r="AG1405" t="s">
        <v>797</v>
      </c>
      <c r="AH1405">
        <v>2282922</v>
      </c>
      <c r="AI1405">
        <v>2449173.5117279999</v>
      </c>
      <c r="AJ1405">
        <v>1.9746203170310908E-2</v>
      </c>
    </row>
    <row r="1406" spans="1:36" x14ac:dyDescent="0.3">
      <c r="A1406">
        <f>COUNTIF($D$2:D1406,D1406)</f>
        <v>20</v>
      </c>
      <c r="B1406" t="str">
        <f t="shared" si="85"/>
        <v>20Middlesbrough</v>
      </c>
      <c r="C1406" t="s">
        <v>4305</v>
      </c>
      <c r="D1406" t="s">
        <v>221</v>
      </c>
      <c r="E1406">
        <v>49</v>
      </c>
      <c r="F1406" t="s">
        <v>4298</v>
      </c>
      <c r="G1406" t="s">
        <v>806</v>
      </c>
      <c r="H1406" t="s">
        <v>807</v>
      </c>
      <c r="I1406" t="s">
        <v>808</v>
      </c>
      <c r="J1406">
        <f t="shared" ca="1" si="86"/>
        <v>1487700</v>
      </c>
      <c r="K1406">
        <f t="shared" ca="1" si="87"/>
        <v>39</v>
      </c>
      <c r="N1406" t="str">
        <f t="shared" si="84"/>
        <v>Leeds461Additional community capacityHome-based intermediate care servicesJoint reablement and rehabilitation service (to prevent admission to hospital or residential care)</v>
      </c>
      <c r="O1406" t="s">
        <v>201</v>
      </c>
      <c r="P1406" t="s">
        <v>922</v>
      </c>
      <c r="Q1406">
        <v>461</v>
      </c>
      <c r="R1406" t="s">
        <v>3883</v>
      </c>
      <c r="S1406" t="s">
        <v>4306</v>
      </c>
      <c r="T1406" t="s">
        <v>787</v>
      </c>
      <c r="U1406" t="s">
        <v>899</v>
      </c>
      <c r="W1406">
        <v>610</v>
      </c>
      <c r="X1406">
        <v>620</v>
      </c>
      <c r="Y1406" t="s">
        <v>789</v>
      </c>
      <c r="Z1406" t="s">
        <v>823</v>
      </c>
      <c r="AB1406" t="s">
        <v>824</v>
      </c>
      <c r="AD1406" t="s">
        <v>794</v>
      </c>
      <c r="AE1406" t="s">
        <v>832</v>
      </c>
      <c r="AF1406" t="s">
        <v>860</v>
      </c>
      <c r="AG1406" t="s">
        <v>797</v>
      </c>
      <c r="AH1406">
        <v>2119000</v>
      </c>
      <c r="AI1406">
        <v>2154302.5399999996</v>
      </c>
      <c r="AJ1406">
        <v>1.7368837055216836E-2</v>
      </c>
    </row>
    <row r="1407" spans="1:36" x14ac:dyDescent="0.3">
      <c r="A1407">
        <f>COUNTIF($D$2:D1407,D1407)</f>
        <v>21</v>
      </c>
      <c r="B1407" t="str">
        <f t="shared" si="85"/>
        <v>21Middlesbrough</v>
      </c>
      <c r="C1407" t="s">
        <v>4307</v>
      </c>
      <c r="D1407" t="s">
        <v>221</v>
      </c>
      <c r="E1407">
        <v>49</v>
      </c>
      <c r="F1407" t="s">
        <v>4298</v>
      </c>
      <c r="G1407" t="s">
        <v>806</v>
      </c>
      <c r="H1407" t="s">
        <v>917</v>
      </c>
      <c r="I1407" t="s">
        <v>808</v>
      </c>
      <c r="J1407">
        <f t="shared" ca="1" si="86"/>
        <v>326300</v>
      </c>
      <c r="K1407">
        <f t="shared" ca="1" si="87"/>
        <v>8</v>
      </c>
      <c r="N1407" t="str">
        <f t="shared" si="84"/>
        <v xml:space="preserve">Leeds462Home First pump primingHome-based intermediate care servicesJoint reablement and rehabilitation service (to support discharge) </v>
      </c>
      <c r="O1407" t="s">
        <v>201</v>
      </c>
      <c r="P1407" t="s">
        <v>922</v>
      </c>
      <c r="Q1407">
        <v>462</v>
      </c>
      <c r="R1407" t="s">
        <v>3886</v>
      </c>
      <c r="S1407" t="s">
        <v>4308</v>
      </c>
      <c r="T1407" t="s">
        <v>787</v>
      </c>
      <c r="U1407" t="s">
        <v>1551</v>
      </c>
      <c r="W1407">
        <v>310</v>
      </c>
      <c r="X1407">
        <v>315</v>
      </c>
      <c r="Y1407" t="s">
        <v>789</v>
      </c>
      <c r="Z1407" t="s">
        <v>823</v>
      </c>
      <c r="AB1407" t="s">
        <v>824</v>
      </c>
      <c r="AD1407" t="s">
        <v>794</v>
      </c>
      <c r="AE1407" t="s">
        <v>824</v>
      </c>
      <c r="AF1407" t="s">
        <v>860</v>
      </c>
      <c r="AG1407" t="s">
        <v>797</v>
      </c>
      <c r="AH1407">
        <v>200000</v>
      </c>
      <c r="AI1407">
        <v>203331.99999999997</v>
      </c>
      <c r="AJ1407">
        <v>1.6393428084206549E-3</v>
      </c>
    </row>
    <row r="1408" spans="1:36" x14ac:dyDescent="0.3">
      <c r="A1408">
        <f>COUNTIF($D$2:D1408,D1408)</f>
        <v>22</v>
      </c>
      <c r="B1408" t="str">
        <f t="shared" si="85"/>
        <v>22Middlesbrough</v>
      </c>
      <c r="C1408" t="s">
        <v>4309</v>
      </c>
      <c r="D1408" t="s">
        <v>221</v>
      </c>
      <c r="E1408">
        <v>51</v>
      </c>
      <c r="F1408" t="s">
        <v>4310</v>
      </c>
      <c r="G1408" t="s">
        <v>877</v>
      </c>
      <c r="H1408" t="s">
        <v>878</v>
      </c>
      <c r="I1408" t="s">
        <v>879</v>
      </c>
      <c r="J1408">
        <f t="shared" ca="1" si="86"/>
        <v>718236</v>
      </c>
      <c r="K1408">
        <f t="shared" ca="1" si="87"/>
        <v>20</v>
      </c>
      <c r="N1408" t="str">
        <f t="shared" si="84"/>
        <v>Leeds463Temp to Perm' placementsResidential PlacementsShort-term residential/nursing care for someone likely to require a longer-term care home replacement</v>
      </c>
      <c r="O1408" t="s">
        <v>201</v>
      </c>
      <c r="P1408" t="s">
        <v>922</v>
      </c>
      <c r="Q1408">
        <v>463</v>
      </c>
      <c r="R1408" t="s">
        <v>3889</v>
      </c>
      <c r="S1408" t="s">
        <v>4311</v>
      </c>
      <c r="T1408" t="s">
        <v>806</v>
      </c>
      <c r="U1408" t="s">
        <v>2339</v>
      </c>
      <c r="W1408">
        <v>143.75</v>
      </c>
      <c r="X1408">
        <v>146.25</v>
      </c>
      <c r="Y1408" t="s">
        <v>794</v>
      </c>
      <c r="Z1408" t="s">
        <v>792</v>
      </c>
      <c r="AB1408" t="s">
        <v>824</v>
      </c>
      <c r="AD1408" t="s">
        <v>794</v>
      </c>
      <c r="AE1408" t="s">
        <v>804</v>
      </c>
      <c r="AF1408" t="s">
        <v>860</v>
      </c>
      <c r="AG1408" t="s">
        <v>797</v>
      </c>
      <c r="AH1408">
        <v>691000</v>
      </c>
      <c r="AI1408">
        <v>702512.05999999994</v>
      </c>
      <c r="AJ1408">
        <v>5.6639294030933632E-3</v>
      </c>
    </row>
    <row r="1409" spans="1:36" x14ac:dyDescent="0.3">
      <c r="A1409">
        <f>COUNTIF($D$2:D1409,D1409)</f>
        <v>23</v>
      </c>
      <c r="B1409" t="str">
        <f t="shared" si="85"/>
        <v>23Middlesbrough</v>
      </c>
      <c r="C1409" t="s">
        <v>4312</v>
      </c>
      <c r="D1409" t="s">
        <v>221</v>
      </c>
      <c r="E1409">
        <v>52</v>
      </c>
      <c r="F1409" t="s">
        <v>4310</v>
      </c>
      <c r="G1409" t="s">
        <v>842</v>
      </c>
      <c r="H1409" t="s">
        <v>856</v>
      </c>
      <c r="I1409" t="s">
        <v>844</v>
      </c>
      <c r="J1409">
        <f t="shared" ca="1" si="86"/>
        <v>166034</v>
      </c>
      <c r="K1409">
        <f t="shared" ca="1" si="87"/>
        <v>159</v>
      </c>
      <c r="N1409" t="str">
        <f t="shared" si="84"/>
        <v>Leeds464P2 discharge to assess Residential PlacementsShort term residential care (without rehabilitation or reablement input)</v>
      </c>
      <c r="O1409" t="s">
        <v>201</v>
      </c>
      <c r="P1409" t="s">
        <v>922</v>
      </c>
      <c r="Q1409">
        <v>464</v>
      </c>
      <c r="R1409" t="s">
        <v>3892</v>
      </c>
      <c r="S1409" t="s">
        <v>4313</v>
      </c>
      <c r="T1409" t="s">
        <v>806</v>
      </c>
      <c r="U1409" t="s">
        <v>955</v>
      </c>
      <c r="W1409">
        <v>113.75</v>
      </c>
      <c r="X1409">
        <v>115.75</v>
      </c>
      <c r="Y1409" t="s">
        <v>808</v>
      </c>
      <c r="Z1409" t="s">
        <v>792</v>
      </c>
      <c r="AB1409" t="s">
        <v>824</v>
      </c>
      <c r="AD1409" t="s">
        <v>794</v>
      </c>
      <c r="AE1409" t="s">
        <v>804</v>
      </c>
      <c r="AF1409" t="s">
        <v>860</v>
      </c>
      <c r="AG1409" t="s">
        <v>797</v>
      </c>
      <c r="AH1409">
        <v>546814</v>
      </c>
      <c r="AI1409">
        <v>555923.92123999994</v>
      </c>
      <c r="AJ1409">
        <v>4.4820779922186598E-3</v>
      </c>
    </row>
    <row r="1410" spans="1:36" x14ac:dyDescent="0.3">
      <c r="A1410">
        <f>COUNTIF($D$2:D1410,D1410)</f>
        <v>24</v>
      </c>
      <c r="B1410" t="str">
        <f t="shared" si="85"/>
        <v>24Middlesbrough</v>
      </c>
      <c r="C1410" t="s">
        <v>4314</v>
      </c>
      <c r="D1410" t="s">
        <v>221</v>
      </c>
      <c r="E1410">
        <v>53</v>
      </c>
      <c r="F1410" t="s">
        <v>4315</v>
      </c>
      <c r="G1410" t="s">
        <v>800</v>
      </c>
      <c r="H1410" t="s">
        <v>903</v>
      </c>
      <c r="I1410" t="s">
        <v>802</v>
      </c>
      <c r="J1410">
        <f t="shared" ca="1" si="86"/>
        <v>81600</v>
      </c>
      <c r="K1410">
        <f t="shared" ca="1" si="87"/>
        <v>169</v>
      </c>
      <c r="N1410" t="str">
        <f t="shared" ref="N1410:N1473" si="88">O1410&amp;Q1410&amp;R1410&amp;T1410&amp;U1410</f>
        <v>Leicester1Existing ASC TransferHome Care or Domiciliary CareDomiciliary care packages</v>
      </c>
      <c r="O1410" t="s">
        <v>203</v>
      </c>
      <c r="P1410" t="s">
        <v>2478</v>
      </c>
      <c r="Q1410">
        <v>1</v>
      </c>
      <c r="R1410" t="s">
        <v>3895</v>
      </c>
      <c r="S1410" t="s">
        <v>4316</v>
      </c>
      <c r="T1410" t="s">
        <v>842</v>
      </c>
      <c r="U1410" t="s">
        <v>843</v>
      </c>
      <c r="W1410">
        <v>738999</v>
      </c>
      <c r="X1410">
        <v>738999</v>
      </c>
      <c r="Y1410" t="s">
        <v>844</v>
      </c>
      <c r="Z1410" t="s">
        <v>792</v>
      </c>
      <c r="AB1410" t="s">
        <v>793</v>
      </c>
      <c r="AD1410" t="s">
        <v>794</v>
      </c>
      <c r="AE1410" t="s">
        <v>795</v>
      </c>
      <c r="AF1410" t="s">
        <v>796</v>
      </c>
      <c r="AG1410" t="s">
        <v>797</v>
      </c>
      <c r="AH1410">
        <v>14587835</v>
      </c>
      <c r="AI1410">
        <v>15413505</v>
      </c>
      <c r="AJ1410">
        <v>0.49</v>
      </c>
    </row>
    <row r="1411" spans="1:36" x14ac:dyDescent="0.3">
      <c r="A1411">
        <f>COUNTIF($D$2:D1411,D1411)</f>
        <v>25</v>
      </c>
      <c r="B1411" t="str">
        <f t="shared" ref="B1411:B1474" si="89">A1411&amp;D1411</f>
        <v>25Middlesbrough</v>
      </c>
      <c r="C1411" t="s">
        <v>4317</v>
      </c>
      <c r="D1411" t="s">
        <v>221</v>
      </c>
      <c r="E1411">
        <v>54</v>
      </c>
      <c r="F1411" t="s">
        <v>4318</v>
      </c>
      <c r="G1411" t="s">
        <v>842</v>
      </c>
      <c r="H1411" t="s">
        <v>843</v>
      </c>
      <c r="I1411" t="s">
        <v>844</v>
      </c>
      <c r="J1411">
        <f t="shared" ref="J1411:J1474" ca="1" si="90">SUMIF($N:$AI,C1411,AH:AH)</f>
        <v>257600</v>
      </c>
      <c r="K1411">
        <f t="shared" ref="K1411:K1474" ca="1" si="91">SUMIF($N:$AI,C1411,W:W)</f>
        <v>119</v>
      </c>
      <c r="N1411" t="str">
        <f t="shared" si="88"/>
        <v xml:space="preserve">Leicester3Reablement funds - LAHome-based intermediate care servicesReablement at home (to support discharge) </v>
      </c>
      <c r="O1411" t="s">
        <v>203</v>
      </c>
      <c r="P1411" t="s">
        <v>2478</v>
      </c>
      <c r="Q1411">
        <v>3</v>
      </c>
      <c r="R1411" t="s">
        <v>3898</v>
      </c>
      <c r="S1411" t="s">
        <v>4319</v>
      </c>
      <c r="T1411" t="s">
        <v>787</v>
      </c>
      <c r="U1411" t="s">
        <v>788</v>
      </c>
      <c r="W1411">
        <v>683</v>
      </c>
      <c r="X1411">
        <v>683</v>
      </c>
      <c r="Y1411" t="s">
        <v>789</v>
      </c>
      <c r="Z1411" t="s">
        <v>792</v>
      </c>
      <c r="AB1411" t="s">
        <v>793</v>
      </c>
      <c r="AD1411" t="s">
        <v>794</v>
      </c>
      <c r="AE1411" t="s">
        <v>795</v>
      </c>
      <c r="AF1411" t="s">
        <v>796</v>
      </c>
      <c r="AG1411" t="s">
        <v>797</v>
      </c>
      <c r="AH1411">
        <v>1024610</v>
      </c>
      <c r="AI1411">
        <v>1082603</v>
      </c>
      <c r="AJ1411">
        <v>0.39</v>
      </c>
    </row>
    <row r="1412" spans="1:36" x14ac:dyDescent="0.3">
      <c r="A1412">
        <f>COUNTIF($D$2:D1412,D1412)</f>
        <v>26</v>
      </c>
      <c r="B1412" t="str">
        <f t="shared" si="89"/>
        <v>26Middlesbrough</v>
      </c>
      <c r="C1412" t="s">
        <v>4320</v>
      </c>
      <c r="D1412" t="s">
        <v>221</v>
      </c>
      <c r="E1412">
        <v>55</v>
      </c>
      <c r="F1412" t="s">
        <v>4321</v>
      </c>
      <c r="G1412" t="s">
        <v>842</v>
      </c>
      <c r="H1412" t="s">
        <v>856</v>
      </c>
      <c r="I1412" t="s">
        <v>844</v>
      </c>
      <c r="J1412">
        <f t="shared" ca="1" si="90"/>
        <v>247500</v>
      </c>
      <c r="K1412">
        <f t="shared" ca="1" si="91"/>
        <v>112</v>
      </c>
      <c r="N1412" t="str">
        <f t="shared" si="88"/>
        <v>Leicester5Assistive technologiesAssistive Technologies and EquipmentAssistive technologies including telecare</v>
      </c>
      <c r="O1412" t="s">
        <v>203</v>
      </c>
      <c r="P1412" t="s">
        <v>2478</v>
      </c>
      <c r="Q1412">
        <v>5</v>
      </c>
      <c r="R1412" t="s">
        <v>3901</v>
      </c>
      <c r="S1412" t="s">
        <v>4322</v>
      </c>
      <c r="T1412" t="s">
        <v>800</v>
      </c>
      <c r="U1412" t="s">
        <v>850</v>
      </c>
      <c r="W1412">
        <v>2039</v>
      </c>
      <c r="X1412">
        <v>2039</v>
      </c>
      <c r="Y1412" t="s">
        <v>802</v>
      </c>
      <c r="Z1412" t="s">
        <v>792</v>
      </c>
      <c r="AB1412" t="s">
        <v>793</v>
      </c>
      <c r="AD1412" t="s">
        <v>794</v>
      </c>
      <c r="AE1412" t="s">
        <v>795</v>
      </c>
      <c r="AF1412" t="s">
        <v>796</v>
      </c>
      <c r="AG1412" t="s">
        <v>797</v>
      </c>
      <c r="AH1412">
        <v>395800</v>
      </c>
      <c r="AI1412">
        <v>418202</v>
      </c>
      <c r="AJ1412">
        <v>0.34</v>
      </c>
    </row>
    <row r="1413" spans="1:36" x14ac:dyDescent="0.3">
      <c r="A1413">
        <f>COUNTIF($D$2:D1413,D1413)</f>
        <v>27</v>
      </c>
      <c r="B1413" t="str">
        <f t="shared" si="89"/>
        <v>27Middlesbrough</v>
      </c>
      <c r="C1413" t="s">
        <v>4323</v>
      </c>
      <c r="D1413" t="s">
        <v>221</v>
      </c>
      <c r="E1413">
        <v>3</v>
      </c>
      <c r="F1413" t="s">
        <v>4262</v>
      </c>
      <c r="G1413" t="s">
        <v>787</v>
      </c>
      <c r="H1413" t="s">
        <v>788</v>
      </c>
      <c r="I1413" t="s">
        <v>789</v>
      </c>
      <c r="J1413">
        <f t="shared" ca="1" si="90"/>
        <v>235600</v>
      </c>
      <c r="K1413">
        <f t="shared" ca="1" si="91"/>
        <v>4</v>
      </c>
      <c r="N1413" t="str">
        <f t="shared" si="88"/>
        <v>Leicester4320 spot purchased residential beds- to support p2 discharges from the acute Bed based intermediate Care Services (Reablement, rehabilitation, wider short-term services supporting recovery)Bed-based intermediate care with reablement (to support discharge)</v>
      </c>
      <c r="O1413" t="s">
        <v>203</v>
      </c>
      <c r="P1413" t="s">
        <v>2478</v>
      </c>
      <c r="Q1413">
        <v>43</v>
      </c>
      <c r="R1413" t="s">
        <v>3904</v>
      </c>
      <c r="S1413" t="s">
        <v>1786</v>
      </c>
      <c r="T1413" t="s">
        <v>877</v>
      </c>
      <c r="U1413" t="s">
        <v>878</v>
      </c>
      <c r="W1413">
        <v>240</v>
      </c>
      <c r="X1413">
        <v>240</v>
      </c>
      <c r="Y1413" t="s">
        <v>879</v>
      </c>
      <c r="Z1413" t="s">
        <v>823</v>
      </c>
      <c r="AB1413" t="s">
        <v>824</v>
      </c>
      <c r="AD1413" t="s">
        <v>794</v>
      </c>
      <c r="AE1413" t="s">
        <v>804</v>
      </c>
      <c r="AF1413" t="s">
        <v>860</v>
      </c>
      <c r="AG1413" t="s">
        <v>861</v>
      </c>
      <c r="AH1413">
        <v>286904</v>
      </c>
      <c r="AI1413">
        <v>303143</v>
      </c>
      <c r="AJ1413">
        <v>0.5</v>
      </c>
    </row>
    <row r="1414" spans="1:36" x14ac:dyDescent="0.3">
      <c r="A1414">
        <f>COUNTIF($D$2:D1414,D1414)</f>
        <v>28</v>
      </c>
      <c r="B1414" t="str">
        <f t="shared" si="89"/>
        <v>28Middlesbrough</v>
      </c>
      <c r="C1414" t="s">
        <v>4324</v>
      </c>
      <c r="D1414" t="s">
        <v>221</v>
      </c>
      <c r="E1414">
        <v>56</v>
      </c>
      <c r="F1414" t="s">
        <v>4325</v>
      </c>
      <c r="G1414" t="s">
        <v>806</v>
      </c>
      <c r="H1414" t="s">
        <v>934</v>
      </c>
      <c r="I1414" t="s">
        <v>808</v>
      </c>
      <c r="J1414">
        <f t="shared" ca="1" si="90"/>
        <v>7500</v>
      </c>
      <c r="K1414">
        <f t="shared" ca="1" si="91"/>
        <v>1</v>
      </c>
      <c r="N1414" t="str">
        <f t="shared" si="88"/>
        <v>Leicester44Continuation &amp; growth of the Bariatric pilot (3 beds plus MH Support)Bed based intermediate Care Services (Reablement, rehabilitation, wider short-term services supporting recovery)Bed-based intermediate care with rehabilitation (to support discharge)</v>
      </c>
      <c r="O1414" t="s">
        <v>203</v>
      </c>
      <c r="P1414" t="s">
        <v>2478</v>
      </c>
      <c r="Q1414">
        <v>44</v>
      </c>
      <c r="R1414" t="s">
        <v>3907</v>
      </c>
      <c r="S1414" t="s">
        <v>1786</v>
      </c>
      <c r="T1414" t="s">
        <v>877</v>
      </c>
      <c r="U1414" t="s">
        <v>968</v>
      </c>
      <c r="W1414">
        <v>18</v>
      </c>
      <c r="X1414">
        <v>18</v>
      </c>
      <c r="Y1414" t="s">
        <v>879</v>
      </c>
      <c r="Z1414" t="s">
        <v>823</v>
      </c>
      <c r="AB1414" t="s">
        <v>824</v>
      </c>
      <c r="AD1414" t="s">
        <v>794</v>
      </c>
      <c r="AE1414" t="s">
        <v>804</v>
      </c>
      <c r="AF1414" t="s">
        <v>860</v>
      </c>
      <c r="AG1414" t="s">
        <v>861</v>
      </c>
      <c r="AH1414">
        <v>109083</v>
      </c>
      <c r="AI1414">
        <v>115257</v>
      </c>
      <c r="AJ1414">
        <v>0.5</v>
      </c>
    </row>
    <row r="1415" spans="1:36" x14ac:dyDescent="0.3">
      <c r="A1415">
        <f>COUNTIF($D$2:D1415,D1415)</f>
        <v>1</v>
      </c>
      <c r="B1415" t="str">
        <f t="shared" si="89"/>
        <v>1Milton Keynes</v>
      </c>
      <c r="C1415" t="s">
        <v>4326</v>
      </c>
      <c r="D1415" t="s">
        <v>223</v>
      </c>
      <c r="E1415">
        <v>1</v>
      </c>
      <c r="F1415" t="s">
        <v>1051</v>
      </c>
      <c r="G1415" t="s">
        <v>800</v>
      </c>
      <c r="H1415" t="s">
        <v>903</v>
      </c>
      <c r="I1415" t="s">
        <v>802</v>
      </c>
      <c r="J1415">
        <f t="shared" ca="1" si="90"/>
        <v>549140</v>
      </c>
      <c r="K1415">
        <f t="shared" ca="1" si="91"/>
        <v>939</v>
      </c>
      <c r="N1415" t="str">
        <f t="shared" si="88"/>
        <v>Leicester50Disabled Facilities GrantDFG Related SchemesDiscretionary use of DFG</v>
      </c>
      <c r="O1415" t="s">
        <v>203</v>
      </c>
      <c r="P1415" t="s">
        <v>2478</v>
      </c>
      <c r="Q1415">
        <v>50</v>
      </c>
      <c r="R1415" t="s">
        <v>891</v>
      </c>
      <c r="S1415" t="s">
        <v>4327</v>
      </c>
      <c r="T1415" t="s">
        <v>834</v>
      </c>
      <c r="U1415" t="s">
        <v>1293</v>
      </c>
      <c r="W1415">
        <v>2580</v>
      </c>
      <c r="X1415">
        <v>2580</v>
      </c>
      <c r="Y1415" t="s">
        <v>836</v>
      </c>
      <c r="Z1415" t="s">
        <v>1006</v>
      </c>
      <c r="AB1415" t="s">
        <v>793</v>
      </c>
      <c r="AD1415" t="s">
        <v>794</v>
      </c>
      <c r="AE1415" t="s">
        <v>795</v>
      </c>
      <c r="AF1415" t="s">
        <v>840</v>
      </c>
      <c r="AG1415" t="s">
        <v>797</v>
      </c>
      <c r="AH1415">
        <v>2714004</v>
      </c>
      <c r="AI1415">
        <v>2714004</v>
      </c>
      <c r="AJ1415">
        <v>1</v>
      </c>
    </row>
    <row r="1416" spans="1:36" x14ac:dyDescent="0.3">
      <c r="A1416">
        <f>COUNTIF($D$2:D1416,D1416)</f>
        <v>2</v>
      </c>
      <c r="B1416" t="str">
        <f t="shared" si="89"/>
        <v>2Milton Keynes</v>
      </c>
      <c r="C1416" t="s">
        <v>4328</v>
      </c>
      <c r="D1416" t="s">
        <v>223</v>
      </c>
      <c r="E1416">
        <v>3</v>
      </c>
      <c r="F1416" t="s">
        <v>811</v>
      </c>
      <c r="G1416" t="s">
        <v>811</v>
      </c>
      <c r="H1416" t="s">
        <v>812</v>
      </c>
      <c r="I1416" t="s">
        <v>813</v>
      </c>
      <c r="J1416">
        <f t="shared" ca="1" si="90"/>
        <v>239000</v>
      </c>
      <c r="K1416">
        <f t="shared" ca="1" si="91"/>
        <v>595</v>
      </c>
      <c r="N1416" t="str">
        <f t="shared" si="88"/>
        <v>Leicestershire1Provision for enhanced carer support servicesCarers ServicesCarer advice and support related to Care Act duties</v>
      </c>
      <c r="O1416" t="s">
        <v>205</v>
      </c>
      <c r="P1416" t="s">
        <v>2478</v>
      </c>
      <c r="Q1416">
        <v>1</v>
      </c>
      <c r="R1416" t="s">
        <v>3910</v>
      </c>
      <c r="S1416" t="s">
        <v>1494</v>
      </c>
      <c r="T1416" t="s">
        <v>811</v>
      </c>
      <c r="U1416" t="s">
        <v>895</v>
      </c>
      <c r="W1416">
        <v>3000</v>
      </c>
      <c r="X1416">
        <v>3000</v>
      </c>
      <c r="Y1416" t="s">
        <v>813</v>
      </c>
      <c r="Z1416" t="s">
        <v>792</v>
      </c>
      <c r="AB1416" t="s">
        <v>793</v>
      </c>
      <c r="AD1416" t="s">
        <v>794</v>
      </c>
      <c r="AE1416" t="s">
        <v>795</v>
      </c>
      <c r="AF1416" t="s">
        <v>845</v>
      </c>
      <c r="AG1416" t="s">
        <v>797</v>
      </c>
      <c r="AH1416">
        <v>222600</v>
      </c>
      <c r="AI1416">
        <v>222600</v>
      </c>
      <c r="AJ1416">
        <v>1</v>
      </c>
    </row>
    <row r="1417" spans="1:36" x14ac:dyDescent="0.3">
      <c r="A1417">
        <f>COUNTIF($D$2:D1417,D1417)</f>
        <v>3</v>
      </c>
      <c r="B1417" t="str">
        <f t="shared" si="89"/>
        <v>3Milton Keynes</v>
      </c>
      <c r="C1417" t="s">
        <v>4329</v>
      </c>
      <c r="D1417" t="s">
        <v>223</v>
      </c>
      <c r="E1417">
        <v>14</v>
      </c>
      <c r="F1417" t="s">
        <v>4330</v>
      </c>
      <c r="G1417" t="s">
        <v>842</v>
      </c>
      <c r="H1417" t="s">
        <v>843</v>
      </c>
      <c r="I1417" t="s">
        <v>844</v>
      </c>
      <c r="J1417">
        <f t="shared" ca="1" si="90"/>
        <v>2441137</v>
      </c>
      <c r="K1417">
        <f t="shared" ca="1" si="91"/>
        <v>91936</v>
      </c>
      <c r="N1417" t="str">
        <f t="shared" si="88"/>
        <v>Leicestershire6Stabilising the social care provider marketHome Care or Domiciliary CareDomiciliary care packages</v>
      </c>
      <c r="O1417" t="s">
        <v>205</v>
      </c>
      <c r="P1417" t="s">
        <v>2478</v>
      </c>
      <c r="Q1417">
        <v>6</v>
      </c>
      <c r="R1417" t="s">
        <v>3912</v>
      </c>
      <c r="S1417" t="s">
        <v>4331</v>
      </c>
      <c r="T1417" t="s">
        <v>842</v>
      </c>
      <c r="U1417" t="s">
        <v>843</v>
      </c>
      <c r="W1417">
        <v>629263</v>
      </c>
      <c r="X1417">
        <v>629263</v>
      </c>
      <c r="Y1417" t="s">
        <v>844</v>
      </c>
      <c r="Z1417" t="s">
        <v>792</v>
      </c>
      <c r="AB1417" t="s">
        <v>793</v>
      </c>
      <c r="AD1417" t="s">
        <v>794</v>
      </c>
      <c r="AE1417" t="s">
        <v>804</v>
      </c>
      <c r="AF1417" t="s">
        <v>845</v>
      </c>
      <c r="AG1417" t="s">
        <v>797</v>
      </c>
      <c r="AH1417">
        <v>14189870</v>
      </c>
      <c r="AI1417">
        <v>14189870</v>
      </c>
      <c r="AJ1417">
        <v>0.36</v>
      </c>
    </row>
    <row r="1418" spans="1:36" x14ac:dyDescent="0.3">
      <c r="A1418">
        <f>COUNTIF($D$2:D1418,D1418)</f>
        <v>4</v>
      </c>
      <c r="B1418" t="str">
        <f t="shared" si="89"/>
        <v>4Milton Keynes</v>
      </c>
      <c r="C1418" t="s">
        <v>4332</v>
      </c>
      <c r="D1418" t="s">
        <v>223</v>
      </c>
      <c r="E1418">
        <v>18</v>
      </c>
      <c r="F1418" t="s">
        <v>4333</v>
      </c>
      <c r="G1418" t="s">
        <v>877</v>
      </c>
      <c r="H1418" t="s">
        <v>812</v>
      </c>
      <c r="I1418" t="s">
        <v>879</v>
      </c>
      <c r="J1418">
        <f t="shared" ca="1" si="90"/>
        <v>2326383</v>
      </c>
      <c r="K1418">
        <f t="shared" ca="1" si="91"/>
        <v>19</v>
      </c>
      <c r="N1418" t="str">
        <f t="shared" si="88"/>
        <v>Leicestershire9Technology Enabled CareAssistive Technologies and EquipmentAssistive technologies including telecare</v>
      </c>
      <c r="O1418" t="s">
        <v>205</v>
      </c>
      <c r="P1418" t="s">
        <v>2478</v>
      </c>
      <c r="Q1418">
        <v>9</v>
      </c>
      <c r="R1418" t="s">
        <v>1160</v>
      </c>
      <c r="S1418" t="s">
        <v>4334</v>
      </c>
      <c r="T1418" t="s">
        <v>800</v>
      </c>
      <c r="U1418" t="s">
        <v>850</v>
      </c>
      <c r="W1418">
        <v>1075</v>
      </c>
      <c r="X1418">
        <v>1075</v>
      </c>
      <c r="Y1418" t="s">
        <v>802</v>
      </c>
      <c r="Z1418" t="s">
        <v>792</v>
      </c>
      <c r="AB1418" t="s">
        <v>793</v>
      </c>
      <c r="AD1418" t="s">
        <v>794</v>
      </c>
      <c r="AE1418" t="s">
        <v>795</v>
      </c>
      <c r="AF1418" t="s">
        <v>845</v>
      </c>
      <c r="AG1418" t="s">
        <v>797</v>
      </c>
      <c r="AH1418">
        <v>1214000</v>
      </c>
      <c r="AI1418">
        <v>1214000</v>
      </c>
      <c r="AJ1418">
        <v>0.74</v>
      </c>
    </row>
    <row r="1419" spans="1:36" x14ac:dyDescent="0.3">
      <c r="A1419">
        <f>COUNTIF($D$2:D1419,D1419)</f>
        <v>5</v>
      </c>
      <c r="B1419" t="str">
        <f t="shared" si="89"/>
        <v>5Milton Keynes</v>
      </c>
      <c r="C1419" t="s">
        <v>4335</v>
      </c>
      <c r="D1419" t="s">
        <v>223</v>
      </c>
      <c r="E1419">
        <v>19</v>
      </c>
      <c r="F1419" t="s">
        <v>4336</v>
      </c>
      <c r="G1419" t="s">
        <v>877</v>
      </c>
      <c r="H1419" t="s">
        <v>812</v>
      </c>
      <c r="I1419" t="s">
        <v>879</v>
      </c>
      <c r="J1419">
        <f t="shared" ca="1" si="90"/>
        <v>483004</v>
      </c>
      <c r="K1419">
        <f t="shared" ca="1" si="91"/>
        <v>7</v>
      </c>
      <c r="N1419" t="str">
        <f t="shared" si="88"/>
        <v>Leicestershire16HART Reablement Home-based intermediate care servicesReablement at home (accepting step up and step down users)</v>
      </c>
      <c r="O1419" t="s">
        <v>205</v>
      </c>
      <c r="P1419" t="s">
        <v>2478</v>
      </c>
      <c r="Q1419">
        <v>16</v>
      </c>
      <c r="R1419" t="s">
        <v>3916</v>
      </c>
      <c r="S1419" t="s">
        <v>1977</v>
      </c>
      <c r="T1419" t="s">
        <v>787</v>
      </c>
      <c r="U1419" t="s">
        <v>930</v>
      </c>
      <c r="W1419">
        <v>4752</v>
      </c>
      <c r="X1419">
        <v>5251</v>
      </c>
      <c r="Y1419" t="s">
        <v>789</v>
      </c>
      <c r="Z1419" t="s">
        <v>792</v>
      </c>
      <c r="AB1419" t="s">
        <v>793</v>
      </c>
      <c r="AD1419" t="s">
        <v>794</v>
      </c>
      <c r="AE1419" t="s">
        <v>795</v>
      </c>
      <c r="AF1419" t="s">
        <v>796</v>
      </c>
      <c r="AG1419" t="s">
        <v>797</v>
      </c>
      <c r="AH1419">
        <v>877441.18760399998</v>
      </c>
      <c r="AI1419">
        <v>930087.65886024002</v>
      </c>
      <c r="AJ1419">
        <v>0.14000000000000001</v>
      </c>
    </row>
    <row r="1420" spans="1:36" x14ac:dyDescent="0.3">
      <c r="A1420">
        <f>COUNTIF($D$2:D1420,D1420)</f>
        <v>6</v>
      </c>
      <c r="B1420" t="str">
        <f t="shared" si="89"/>
        <v>6Milton Keynes</v>
      </c>
      <c r="C1420" t="s">
        <v>4337</v>
      </c>
      <c r="D1420" t="s">
        <v>223</v>
      </c>
      <c r="E1420">
        <v>20</v>
      </c>
      <c r="F1420" t="s">
        <v>4338</v>
      </c>
      <c r="G1420" t="s">
        <v>877</v>
      </c>
      <c r="H1420" t="s">
        <v>812</v>
      </c>
      <c r="I1420" t="s">
        <v>879</v>
      </c>
      <c r="J1420">
        <f t="shared" ca="1" si="90"/>
        <v>735327</v>
      </c>
      <c r="K1420">
        <f t="shared" ca="1" si="91"/>
        <v>14</v>
      </c>
      <c r="N1420" t="str">
        <f t="shared" si="88"/>
        <v>Leicestershire31Home Care Service (ASC protected)Home Care or Domiciliary CareDomiciliary care packages</v>
      </c>
      <c r="O1420" t="s">
        <v>205</v>
      </c>
      <c r="P1420" t="s">
        <v>2478</v>
      </c>
      <c r="Q1420">
        <v>31</v>
      </c>
      <c r="R1420" t="s">
        <v>3919</v>
      </c>
      <c r="S1420" t="s">
        <v>4339</v>
      </c>
      <c r="T1420" t="s">
        <v>842</v>
      </c>
      <c r="U1420" t="s">
        <v>843</v>
      </c>
      <c r="W1420">
        <v>632215</v>
      </c>
      <c r="X1420">
        <v>632215</v>
      </c>
      <c r="Y1420" t="s">
        <v>844</v>
      </c>
      <c r="Z1420" t="s">
        <v>792</v>
      </c>
      <c r="AB1420" t="s">
        <v>793</v>
      </c>
      <c r="AD1420" t="s">
        <v>794</v>
      </c>
      <c r="AE1420" t="s">
        <v>804</v>
      </c>
      <c r="AF1420" t="s">
        <v>796</v>
      </c>
      <c r="AG1420" t="s">
        <v>797</v>
      </c>
      <c r="AH1420">
        <v>14256446.216023097</v>
      </c>
      <c r="AI1420">
        <v>15063361.071850004</v>
      </c>
      <c r="AJ1420">
        <v>0.39</v>
      </c>
    </row>
    <row r="1421" spans="1:36" x14ac:dyDescent="0.3">
      <c r="A1421">
        <f>COUNTIF($D$2:D1421,D1421)</f>
        <v>7</v>
      </c>
      <c r="B1421" t="str">
        <f t="shared" si="89"/>
        <v>7Milton Keynes</v>
      </c>
      <c r="C1421" t="s">
        <v>4340</v>
      </c>
      <c r="D1421" t="s">
        <v>223</v>
      </c>
      <c r="E1421">
        <v>22</v>
      </c>
      <c r="F1421" t="s">
        <v>4341</v>
      </c>
      <c r="G1421" t="s">
        <v>877</v>
      </c>
      <c r="H1421" t="s">
        <v>812</v>
      </c>
      <c r="I1421" t="s">
        <v>879</v>
      </c>
      <c r="J1421">
        <f t="shared" ca="1" si="90"/>
        <v>894607</v>
      </c>
      <c r="K1421">
        <f t="shared" ca="1" si="91"/>
        <v>16</v>
      </c>
      <c r="N1421" t="str">
        <f t="shared" si="88"/>
        <v>Leicestershire32Nursing Care Packages (ASC protected)Residential PlacementsNursing home</v>
      </c>
      <c r="O1421" t="s">
        <v>205</v>
      </c>
      <c r="P1421" t="s">
        <v>2478</v>
      </c>
      <c r="Q1421">
        <v>32</v>
      </c>
      <c r="R1421" t="s">
        <v>3922</v>
      </c>
      <c r="S1421" t="s">
        <v>4339</v>
      </c>
      <c r="T1421" t="s">
        <v>806</v>
      </c>
      <c r="U1421" t="s">
        <v>917</v>
      </c>
      <c r="W1421">
        <v>82</v>
      </c>
      <c r="X1421">
        <v>82</v>
      </c>
      <c r="Y1421" t="s">
        <v>808</v>
      </c>
      <c r="Z1421" t="s">
        <v>792</v>
      </c>
      <c r="AB1421" t="s">
        <v>793</v>
      </c>
      <c r="AD1421" t="s">
        <v>794</v>
      </c>
      <c r="AE1421" t="s">
        <v>804</v>
      </c>
      <c r="AF1421" t="s">
        <v>796</v>
      </c>
      <c r="AG1421" t="s">
        <v>797</v>
      </c>
      <c r="AH1421">
        <v>4477873.0028541302</v>
      </c>
      <c r="AI1421">
        <v>4731320.6148156738</v>
      </c>
      <c r="AJ1421">
        <v>0.34</v>
      </c>
    </row>
    <row r="1422" spans="1:36" x14ac:dyDescent="0.3">
      <c r="A1422">
        <f>COUNTIF($D$2:D1422,D1422)</f>
        <v>8</v>
      </c>
      <c r="B1422" t="str">
        <f t="shared" si="89"/>
        <v>8Milton Keynes</v>
      </c>
      <c r="C1422" t="s">
        <v>4342</v>
      </c>
      <c r="D1422" t="s">
        <v>223</v>
      </c>
      <c r="E1422">
        <v>27</v>
      </c>
      <c r="F1422" t="s">
        <v>4343</v>
      </c>
      <c r="G1422" t="s">
        <v>800</v>
      </c>
      <c r="H1422" t="s">
        <v>903</v>
      </c>
      <c r="I1422" t="s">
        <v>802</v>
      </c>
      <c r="J1422">
        <f t="shared" ca="1" si="90"/>
        <v>297883</v>
      </c>
      <c r="K1422">
        <f t="shared" ca="1" si="91"/>
        <v>509</v>
      </c>
      <c r="N1422" t="str">
        <f t="shared" si="88"/>
        <v>Leicestershire33Residential Respite Service (ASC protected)Carers ServicesRespite services</v>
      </c>
      <c r="O1422" t="s">
        <v>205</v>
      </c>
      <c r="P1422" t="s">
        <v>2478</v>
      </c>
      <c r="Q1422">
        <v>33</v>
      </c>
      <c r="R1422" t="s">
        <v>3925</v>
      </c>
      <c r="S1422" t="s">
        <v>4339</v>
      </c>
      <c r="T1422" t="s">
        <v>811</v>
      </c>
      <c r="U1422" t="s">
        <v>830</v>
      </c>
      <c r="W1422">
        <v>140</v>
      </c>
      <c r="X1422">
        <v>140</v>
      </c>
      <c r="Y1422" t="s">
        <v>813</v>
      </c>
      <c r="Z1422" t="s">
        <v>792</v>
      </c>
      <c r="AB1422" t="s">
        <v>793</v>
      </c>
      <c r="AD1422" t="s">
        <v>794</v>
      </c>
      <c r="AE1422" t="s">
        <v>804</v>
      </c>
      <c r="AF1422" t="s">
        <v>796</v>
      </c>
      <c r="AG1422" t="s">
        <v>797</v>
      </c>
      <c r="AH1422">
        <v>923865.33049768291</v>
      </c>
      <c r="AI1422">
        <v>976156.10820385173</v>
      </c>
      <c r="AJ1422">
        <v>0.45</v>
      </c>
    </row>
    <row r="1423" spans="1:36" x14ac:dyDescent="0.3">
      <c r="A1423">
        <f>COUNTIF($D$2:D1423,D1423)</f>
        <v>9</v>
      </c>
      <c r="B1423" t="str">
        <f t="shared" si="89"/>
        <v>9Milton Keynes</v>
      </c>
      <c r="C1423" t="s">
        <v>4344</v>
      </c>
      <c r="D1423" t="s">
        <v>223</v>
      </c>
      <c r="E1423">
        <v>28</v>
      </c>
      <c r="F1423" t="s">
        <v>4345</v>
      </c>
      <c r="G1423" t="s">
        <v>834</v>
      </c>
      <c r="H1423" t="s">
        <v>835</v>
      </c>
      <c r="I1423" t="s">
        <v>836</v>
      </c>
      <c r="J1423">
        <f t="shared" ca="1" si="90"/>
        <v>1267783</v>
      </c>
      <c r="K1423">
        <f t="shared" ca="1" si="91"/>
        <v>200</v>
      </c>
      <c r="N1423" t="str">
        <f t="shared" si="88"/>
        <v>Leicestershire39Blaby District CouncilDFG Related SchemesAdaptations, including statutory DFG grants</v>
      </c>
      <c r="O1423" t="s">
        <v>205</v>
      </c>
      <c r="P1423" t="s">
        <v>2478</v>
      </c>
      <c r="Q1423">
        <v>39</v>
      </c>
      <c r="R1423" t="s">
        <v>3928</v>
      </c>
      <c r="S1423" t="s">
        <v>4346</v>
      </c>
      <c r="T1423" t="s">
        <v>834</v>
      </c>
      <c r="U1423" t="s">
        <v>835</v>
      </c>
      <c r="W1423">
        <v>140</v>
      </c>
      <c r="X1423">
        <v>154</v>
      </c>
      <c r="Y1423" t="s">
        <v>836</v>
      </c>
      <c r="Z1423" t="s">
        <v>792</v>
      </c>
      <c r="AB1423" t="s">
        <v>793</v>
      </c>
      <c r="AD1423" t="s">
        <v>794</v>
      </c>
      <c r="AE1423" t="s">
        <v>795</v>
      </c>
      <c r="AF1423" t="s">
        <v>840</v>
      </c>
      <c r="AG1423" t="s">
        <v>797</v>
      </c>
      <c r="AH1423">
        <v>623445</v>
      </c>
      <c r="AI1423">
        <v>623445</v>
      </c>
      <c r="AJ1423">
        <v>1</v>
      </c>
    </row>
    <row r="1424" spans="1:36" x14ac:dyDescent="0.3">
      <c r="A1424">
        <f>COUNTIF($D$2:D1424,D1424)</f>
        <v>10</v>
      </c>
      <c r="B1424" t="str">
        <f t="shared" si="89"/>
        <v>10Milton Keynes</v>
      </c>
      <c r="C1424" t="s">
        <v>4347</v>
      </c>
      <c r="D1424" t="s">
        <v>223</v>
      </c>
      <c r="E1424">
        <v>29</v>
      </c>
      <c r="F1424" t="s">
        <v>4348</v>
      </c>
      <c r="G1424" t="s">
        <v>842</v>
      </c>
      <c r="H1424" t="s">
        <v>843</v>
      </c>
      <c r="I1424" t="s">
        <v>844</v>
      </c>
      <c r="J1424">
        <f t="shared" ca="1" si="90"/>
        <v>1209000</v>
      </c>
      <c r="K1424">
        <f t="shared" ca="1" si="91"/>
        <v>23992</v>
      </c>
      <c r="N1424" t="str">
        <f t="shared" si="88"/>
        <v>Leicestershire40Charnwood CouncilDFG Related SchemesAdaptations, including statutory DFG grants</v>
      </c>
      <c r="O1424" t="s">
        <v>205</v>
      </c>
      <c r="P1424" t="s">
        <v>2478</v>
      </c>
      <c r="Q1424">
        <v>40</v>
      </c>
      <c r="R1424" t="s">
        <v>3931</v>
      </c>
      <c r="S1424" t="s">
        <v>4349</v>
      </c>
      <c r="T1424" t="s">
        <v>834</v>
      </c>
      <c r="U1424" t="s">
        <v>835</v>
      </c>
      <c r="W1424">
        <v>62</v>
      </c>
      <c r="X1424">
        <v>68</v>
      </c>
      <c r="Y1424" t="s">
        <v>836</v>
      </c>
      <c r="Z1424" t="s">
        <v>792</v>
      </c>
      <c r="AB1424" t="s">
        <v>793</v>
      </c>
      <c r="AD1424" t="s">
        <v>794</v>
      </c>
      <c r="AE1424" t="s">
        <v>795</v>
      </c>
      <c r="AF1424" t="s">
        <v>840</v>
      </c>
      <c r="AG1424" t="s">
        <v>797</v>
      </c>
      <c r="AH1424">
        <v>836247</v>
      </c>
      <c r="AI1424">
        <v>836247</v>
      </c>
      <c r="AJ1424">
        <v>1</v>
      </c>
    </row>
    <row r="1425" spans="1:36" x14ac:dyDescent="0.3">
      <c r="A1425">
        <f>COUNTIF($D$2:D1425,D1425)</f>
        <v>11</v>
      </c>
      <c r="B1425" t="str">
        <f t="shared" si="89"/>
        <v>11Milton Keynes</v>
      </c>
      <c r="C1425" t="s">
        <v>4350</v>
      </c>
      <c r="D1425" t="s">
        <v>223</v>
      </c>
      <c r="E1425">
        <v>32</v>
      </c>
      <c r="F1425" t="s">
        <v>4351</v>
      </c>
      <c r="G1425" t="s">
        <v>800</v>
      </c>
      <c r="H1425" t="s">
        <v>850</v>
      </c>
      <c r="I1425" t="s">
        <v>802</v>
      </c>
      <c r="J1425">
        <f t="shared" ca="1" si="90"/>
        <v>406000</v>
      </c>
      <c r="K1425">
        <f t="shared" ca="1" si="91"/>
        <v>916</v>
      </c>
      <c r="N1425" t="str">
        <f t="shared" si="88"/>
        <v>Leicestershire41Harborough CouncilDFG Related SchemesAdaptations, including statutory DFG grants</v>
      </c>
      <c r="O1425" t="s">
        <v>205</v>
      </c>
      <c r="P1425" t="s">
        <v>2478</v>
      </c>
      <c r="Q1425">
        <v>41</v>
      </c>
      <c r="R1425" t="s">
        <v>3934</v>
      </c>
      <c r="S1425" t="s">
        <v>4352</v>
      </c>
      <c r="T1425" t="s">
        <v>834</v>
      </c>
      <c r="U1425" t="s">
        <v>835</v>
      </c>
      <c r="W1425">
        <v>87</v>
      </c>
      <c r="X1425">
        <v>100</v>
      </c>
      <c r="Y1425" t="s">
        <v>836</v>
      </c>
      <c r="Z1425" t="s">
        <v>792</v>
      </c>
      <c r="AB1425" t="s">
        <v>793</v>
      </c>
      <c r="AD1425" t="s">
        <v>794</v>
      </c>
      <c r="AE1425" t="s">
        <v>795</v>
      </c>
      <c r="AF1425" t="s">
        <v>840</v>
      </c>
      <c r="AG1425" t="s">
        <v>797</v>
      </c>
      <c r="AH1425">
        <v>472005</v>
      </c>
      <c r="AI1425">
        <v>472005</v>
      </c>
      <c r="AJ1425">
        <v>1</v>
      </c>
    </row>
    <row r="1426" spans="1:36" x14ac:dyDescent="0.3">
      <c r="A1426">
        <f>COUNTIF($D$2:D1426,D1426)</f>
        <v>12</v>
      </c>
      <c r="B1426" t="str">
        <f t="shared" si="89"/>
        <v>12Milton Keynes</v>
      </c>
      <c r="C1426" t="s">
        <v>4353</v>
      </c>
      <c r="D1426" t="s">
        <v>223</v>
      </c>
      <c r="E1426">
        <v>33</v>
      </c>
      <c r="F1426" t="s">
        <v>4354</v>
      </c>
      <c r="G1426" t="s">
        <v>842</v>
      </c>
      <c r="H1426" t="s">
        <v>1102</v>
      </c>
      <c r="I1426" t="s">
        <v>789</v>
      </c>
      <c r="J1426">
        <f t="shared" ca="1" si="90"/>
        <v>480000</v>
      </c>
      <c r="K1426">
        <f t="shared" ca="1" si="91"/>
        <v>122</v>
      </c>
      <c r="N1426" t="str">
        <f t="shared" si="88"/>
        <v>Leicestershire42Hinckley and Bosworth Distrct CouncilDFG Related SchemesAdaptations, including statutory DFG grants</v>
      </c>
      <c r="O1426" t="s">
        <v>205</v>
      </c>
      <c r="P1426" t="s">
        <v>2478</v>
      </c>
      <c r="Q1426">
        <v>42</v>
      </c>
      <c r="R1426" t="s">
        <v>3937</v>
      </c>
      <c r="S1426" t="s">
        <v>4355</v>
      </c>
      <c r="T1426" t="s">
        <v>834</v>
      </c>
      <c r="U1426" t="s">
        <v>835</v>
      </c>
      <c r="W1426">
        <v>75</v>
      </c>
      <c r="X1426">
        <v>83</v>
      </c>
      <c r="Y1426" t="s">
        <v>836</v>
      </c>
      <c r="Z1426" t="s">
        <v>792</v>
      </c>
      <c r="AB1426" t="s">
        <v>793</v>
      </c>
      <c r="AD1426" t="s">
        <v>794</v>
      </c>
      <c r="AE1426" t="s">
        <v>795</v>
      </c>
      <c r="AF1426" t="s">
        <v>840</v>
      </c>
      <c r="AG1426" t="s">
        <v>797</v>
      </c>
      <c r="AH1426">
        <v>538575</v>
      </c>
      <c r="AI1426">
        <v>538575</v>
      </c>
      <c r="AJ1426">
        <v>1</v>
      </c>
    </row>
    <row r="1427" spans="1:36" x14ac:dyDescent="0.3">
      <c r="A1427">
        <f>COUNTIF($D$2:D1427,D1427)</f>
        <v>13</v>
      </c>
      <c r="B1427" t="str">
        <f t="shared" si="89"/>
        <v>13Milton Keynes</v>
      </c>
      <c r="C1427" t="s">
        <v>4356</v>
      </c>
      <c r="D1427" t="s">
        <v>223</v>
      </c>
      <c r="E1427">
        <v>36</v>
      </c>
      <c r="F1427" t="s">
        <v>4357</v>
      </c>
      <c r="G1427" t="s">
        <v>877</v>
      </c>
      <c r="H1427" t="s">
        <v>1018</v>
      </c>
      <c r="I1427" t="s">
        <v>879</v>
      </c>
      <c r="J1427">
        <f t="shared" ca="1" si="90"/>
        <v>20000</v>
      </c>
      <c r="K1427">
        <f t="shared" ca="1" si="91"/>
        <v>2</v>
      </c>
      <c r="N1427" t="str">
        <f t="shared" si="88"/>
        <v>Leicestershire43Melton CouncilDFG Related SchemesAdaptations, including statutory DFG grants</v>
      </c>
      <c r="O1427" t="s">
        <v>205</v>
      </c>
      <c r="P1427" t="s">
        <v>2478</v>
      </c>
      <c r="Q1427">
        <v>43</v>
      </c>
      <c r="R1427" t="s">
        <v>3939</v>
      </c>
      <c r="S1427" t="s">
        <v>4358</v>
      </c>
      <c r="T1427" t="s">
        <v>834</v>
      </c>
      <c r="U1427" t="s">
        <v>835</v>
      </c>
      <c r="W1427">
        <v>38</v>
      </c>
      <c r="X1427">
        <v>41</v>
      </c>
      <c r="Y1427" t="s">
        <v>836</v>
      </c>
      <c r="Z1427" t="s">
        <v>792</v>
      </c>
      <c r="AB1427" t="s">
        <v>793</v>
      </c>
      <c r="AD1427" t="s">
        <v>794</v>
      </c>
      <c r="AE1427" t="s">
        <v>795</v>
      </c>
      <c r="AF1427" t="s">
        <v>840</v>
      </c>
      <c r="AG1427" t="s">
        <v>797</v>
      </c>
      <c r="AH1427">
        <v>304350</v>
      </c>
      <c r="AI1427">
        <v>304350</v>
      </c>
      <c r="AJ1427">
        <v>1</v>
      </c>
    </row>
    <row r="1428" spans="1:36" x14ac:dyDescent="0.3">
      <c r="A1428">
        <f>COUNTIF($D$2:D1428,D1428)</f>
        <v>14</v>
      </c>
      <c r="B1428" t="str">
        <f t="shared" si="89"/>
        <v>14Milton Keynes</v>
      </c>
      <c r="C1428" t="s">
        <v>4359</v>
      </c>
      <c r="D1428" t="s">
        <v>223</v>
      </c>
      <c r="E1428">
        <v>37</v>
      </c>
      <c r="F1428" t="s">
        <v>4360</v>
      </c>
      <c r="G1428" t="s">
        <v>842</v>
      </c>
      <c r="H1428" t="s">
        <v>843</v>
      </c>
      <c r="I1428" t="s">
        <v>844</v>
      </c>
      <c r="J1428">
        <f t="shared" ca="1" si="90"/>
        <v>50000</v>
      </c>
      <c r="K1428">
        <f t="shared" ca="1" si="91"/>
        <v>1078</v>
      </c>
      <c r="N1428" t="str">
        <f t="shared" si="88"/>
        <v>Leicestershire44North West Leicestershire CouncilDFG Related SchemesAdaptations, including statutory DFG grants</v>
      </c>
      <c r="O1428" t="s">
        <v>205</v>
      </c>
      <c r="P1428" t="s">
        <v>2478</v>
      </c>
      <c r="Q1428">
        <v>44</v>
      </c>
      <c r="R1428" t="s">
        <v>3941</v>
      </c>
      <c r="S1428" t="s">
        <v>4361</v>
      </c>
      <c r="T1428" t="s">
        <v>834</v>
      </c>
      <c r="U1428" t="s">
        <v>835</v>
      </c>
      <c r="W1428">
        <v>51</v>
      </c>
      <c r="X1428">
        <v>57</v>
      </c>
      <c r="Y1428" t="s">
        <v>836</v>
      </c>
      <c r="Z1428" t="s">
        <v>792</v>
      </c>
      <c r="AB1428" t="s">
        <v>793</v>
      </c>
      <c r="AD1428" t="s">
        <v>794</v>
      </c>
      <c r="AE1428" t="s">
        <v>795</v>
      </c>
      <c r="AF1428" t="s">
        <v>840</v>
      </c>
      <c r="AG1428" t="s">
        <v>797</v>
      </c>
      <c r="AH1428">
        <v>720214</v>
      </c>
      <c r="AI1428">
        <v>720214</v>
      </c>
      <c r="AJ1428">
        <v>1</v>
      </c>
    </row>
    <row r="1429" spans="1:36" x14ac:dyDescent="0.3">
      <c r="A1429">
        <f>COUNTIF($D$2:D1429,D1429)</f>
        <v>15</v>
      </c>
      <c r="B1429" t="str">
        <f t="shared" si="89"/>
        <v>15Milton Keynes</v>
      </c>
      <c r="C1429" t="s">
        <v>4362</v>
      </c>
      <c r="D1429" t="s">
        <v>223</v>
      </c>
      <c r="E1429">
        <v>40</v>
      </c>
      <c r="F1429" t="s">
        <v>4363</v>
      </c>
      <c r="G1429" t="s">
        <v>842</v>
      </c>
      <c r="H1429" t="s">
        <v>856</v>
      </c>
      <c r="I1429" t="s">
        <v>844</v>
      </c>
      <c r="J1429">
        <f t="shared" ca="1" si="90"/>
        <v>30000</v>
      </c>
      <c r="K1429">
        <f t="shared" ca="1" si="91"/>
        <v>1125</v>
      </c>
      <c r="N1429" t="str">
        <f t="shared" si="88"/>
        <v>Leicestershire45Oadby and Wigston CouncilDFG Related SchemesAdaptations, including statutory DFG grants</v>
      </c>
      <c r="O1429" t="s">
        <v>205</v>
      </c>
      <c r="P1429" t="s">
        <v>2478</v>
      </c>
      <c r="Q1429">
        <v>45</v>
      </c>
      <c r="R1429" t="s">
        <v>3944</v>
      </c>
      <c r="S1429" t="s">
        <v>4364</v>
      </c>
      <c r="T1429" t="s">
        <v>834</v>
      </c>
      <c r="U1429" t="s">
        <v>835</v>
      </c>
      <c r="W1429">
        <v>66</v>
      </c>
      <c r="X1429">
        <v>73</v>
      </c>
      <c r="Y1429" t="s">
        <v>836</v>
      </c>
      <c r="Z1429" t="s">
        <v>792</v>
      </c>
      <c r="AB1429" t="s">
        <v>793</v>
      </c>
      <c r="AD1429" t="s">
        <v>794</v>
      </c>
      <c r="AE1429" t="s">
        <v>795</v>
      </c>
      <c r="AF1429" t="s">
        <v>840</v>
      </c>
      <c r="AG1429" t="s">
        <v>797</v>
      </c>
      <c r="AH1429">
        <v>419872</v>
      </c>
      <c r="AI1429">
        <v>419872</v>
      </c>
      <c r="AJ1429">
        <v>1</v>
      </c>
    </row>
    <row r="1430" spans="1:36" x14ac:dyDescent="0.3">
      <c r="A1430">
        <f>COUNTIF($D$2:D1430,D1430)</f>
        <v>16</v>
      </c>
      <c r="B1430" t="str">
        <f t="shared" si="89"/>
        <v>16Milton Keynes</v>
      </c>
      <c r="C1430" t="s">
        <v>4365</v>
      </c>
      <c r="D1430" t="s">
        <v>223</v>
      </c>
      <c r="E1430">
        <v>44</v>
      </c>
      <c r="F1430" t="s">
        <v>4366</v>
      </c>
      <c r="G1430" t="s">
        <v>842</v>
      </c>
      <c r="H1430" t="s">
        <v>843</v>
      </c>
      <c r="I1430" t="s">
        <v>844</v>
      </c>
      <c r="J1430">
        <f t="shared" ca="1" si="90"/>
        <v>1799000</v>
      </c>
      <c r="K1430">
        <f t="shared" ca="1" si="91"/>
        <v>79355</v>
      </c>
      <c r="N1430" t="str">
        <f t="shared" si="88"/>
        <v>Leicestershire46Hoarding ProjectDFG Related SchemesDiscretionary use of DFG</v>
      </c>
      <c r="O1430" t="s">
        <v>205</v>
      </c>
      <c r="P1430" t="s">
        <v>2478</v>
      </c>
      <c r="Q1430">
        <v>46</v>
      </c>
      <c r="R1430" t="s">
        <v>3946</v>
      </c>
      <c r="S1430" t="s">
        <v>4367</v>
      </c>
      <c r="T1430" t="s">
        <v>834</v>
      </c>
      <c r="U1430" t="s">
        <v>1293</v>
      </c>
      <c r="W1430">
        <v>198</v>
      </c>
      <c r="X1430">
        <v>218</v>
      </c>
      <c r="Y1430" t="s">
        <v>836</v>
      </c>
      <c r="Z1430" t="s">
        <v>792</v>
      </c>
      <c r="AB1430" t="s">
        <v>793</v>
      </c>
      <c r="AD1430" t="s">
        <v>794</v>
      </c>
      <c r="AE1430" t="s">
        <v>795</v>
      </c>
      <c r="AF1430" t="s">
        <v>840</v>
      </c>
      <c r="AG1430" t="s">
        <v>797</v>
      </c>
      <c r="AH1430">
        <v>115500</v>
      </c>
      <c r="AI1430">
        <v>115500</v>
      </c>
      <c r="AJ1430">
        <v>1</v>
      </c>
    </row>
    <row r="1431" spans="1:36" x14ac:dyDescent="0.3">
      <c r="A1431">
        <f>COUNTIF($D$2:D1431,D1431)</f>
        <v>17</v>
      </c>
      <c r="B1431" t="str">
        <f t="shared" si="89"/>
        <v>17Milton Keynes</v>
      </c>
      <c r="C1431" t="s">
        <v>4368</v>
      </c>
      <c r="D1431" t="s">
        <v>223</v>
      </c>
      <c r="E1431">
        <v>45</v>
      </c>
      <c r="F1431" t="s">
        <v>811</v>
      </c>
      <c r="G1431" t="s">
        <v>811</v>
      </c>
      <c r="H1431" t="s">
        <v>812</v>
      </c>
      <c r="I1431" t="s">
        <v>813</v>
      </c>
      <c r="J1431">
        <f t="shared" ca="1" si="90"/>
        <v>100000</v>
      </c>
      <c r="K1431">
        <f t="shared" ca="1" si="91"/>
        <v>7244</v>
      </c>
      <c r="N1431" t="str">
        <f t="shared" si="88"/>
        <v>Leicestershire47Extending Housing Occupational Therapist (EHOT)DFG Related SchemesDiscretionary use of DFG</v>
      </c>
      <c r="O1431" t="s">
        <v>205</v>
      </c>
      <c r="P1431" t="s">
        <v>2478</v>
      </c>
      <c r="Q1431">
        <v>47</v>
      </c>
      <c r="R1431" t="s">
        <v>3948</v>
      </c>
      <c r="S1431" t="s">
        <v>4369</v>
      </c>
      <c r="T1431" t="s">
        <v>834</v>
      </c>
      <c r="U1431" t="s">
        <v>1293</v>
      </c>
      <c r="W1431">
        <v>20</v>
      </c>
      <c r="X1431">
        <v>22</v>
      </c>
      <c r="Y1431" t="s">
        <v>836</v>
      </c>
      <c r="Z1431" t="s">
        <v>792</v>
      </c>
      <c r="AB1431" t="s">
        <v>793</v>
      </c>
      <c r="AD1431" t="s">
        <v>794</v>
      </c>
      <c r="AE1431" t="s">
        <v>795</v>
      </c>
      <c r="AF1431" t="s">
        <v>840</v>
      </c>
      <c r="AG1431" t="s">
        <v>797</v>
      </c>
      <c r="AH1431">
        <v>20020</v>
      </c>
      <c r="AI1431">
        <v>20020</v>
      </c>
      <c r="AJ1431">
        <v>1</v>
      </c>
    </row>
    <row r="1432" spans="1:36" x14ac:dyDescent="0.3">
      <c r="A1432">
        <f>COUNTIF($D$2:D1432,D1432)</f>
        <v>18</v>
      </c>
      <c r="B1432" t="str">
        <f t="shared" si="89"/>
        <v>18Milton Keynes</v>
      </c>
      <c r="C1432" t="s">
        <v>4370</v>
      </c>
      <c r="D1432" t="s">
        <v>223</v>
      </c>
      <c r="E1432">
        <v>47</v>
      </c>
      <c r="F1432" t="s">
        <v>4371</v>
      </c>
      <c r="G1432" t="s">
        <v>877</v>
      </c>
      <c r="H1432" t="s">
        <v>812</v>
      </c>
      <c r="I1432" t="s">
        <v>879</v>
      </c>
      <c r="J1432">
        <f t="shared" ca="1" si="90"/>
        <v>168501</v>
      </c>
      <c r="K1432">
        <f t="shared" ca="1" si="91"/>
        <v>12</v>
      </c>
      <c r="N1432" t="str">
        <f t="shared" si="88"/>
        <v>Leicestershire48Green GrantDFG Related SchemesDiscretionary use of DFG</v>
      </c>
      <c r="O1432" t="s">
        <v>205</v>
      </c>
      <c r="P1432" t="s">
        <v>2478</v>
      </c>
      <c r="Q1432">
        <v>48</v>
      </c>
      <c r="R1432" t="s">
        <v>3951</v>
      </c>
      <c r="S1432" t="s">
        <v>4372</v>
      </c>
      <c r="T1432" t="s">
        <v>834</v>
      </c>
      <c r="U1432" t="s">
        <v>1293</v>
      </c>
      <c r="W1432">
        <v>263</v>
      </c>
      <c r="X1432">
        <v>290</v>
      </c>
      <c r="Y1432" t="s">
        <v>836</v>
      </c>
      <c r="Z1432" t="s">
        <v>792</v>
      </c>
      <c r="AB1432" t="s">
        <v>793</v>
      </c>
      <c r="AD1432" t="s">
        <v>794</v>
      </c>
      <c r="AE1432" t="s">
        <v>795</v>
      </c>
      <c r="AF1432" t="s">
        <v>840</v>
      </c>
      <c r="AG1432" t="s">
        <v>797</v>
      </c>
      <c r="AH1432">
        <v>250000</v>
      </c>
      <c r="AI1432">
        <v>250000</v>
      </c>
      <c r="AJ1432">
        <v>1</v>
      </c>
    </row>
    <row r="1433" spans="1:36" x14ac:dyDescent="0.3">
      <c r="A1433">
        <f>COUNTIF($D$2:D1433,D1433)</f>
        <v>19</v>
      </c>
      <c r="B1433" t="str">
        <f t="shared" si="89"/>
        <v>19Milton Keynes</v>
      </c>
      <c r="C1433" t="s">
        <v>4373</v>
      </c>
      <c r="D1433" t="s">
        <v>223</v>
      </c>
      <c r="E1433">
        <v>48</v>
      </c>
      <c r="F1433" t="s">
        <v>4374</v>
      </c>
      <c r="G1433" t="s">
        <v>877</v>
      </c>
      <c r="H1433" t="s">
        <v>812</v>
      </c>
      <c r="I1433" t="s">
        <v>879</v>
      </c>
      <c r="J1433">
        <f t="shared" ca="1" si="90"/>
        <v>446000</v>
      </c>
      <c r="K1433">
        <f t="shared" ca="1" si="91"/>
        <v>8</v>
      </c>
      <c r="N1433" t="str">
        <f t="shared" si="88"/>
        <v xml:space="preserve">Leicestershire50Intake Model Home-based intermediate care servicesReablement at home (to support discharge) </v>
      </c>
      <c r="O1433" t="s">
        <v>205</v>
      </c>
      <c r="P1433" t="s">
        <v>2478</v>
      </c>
      <c r="Q1433">
        <v>50</v>
      </c>
      <c r="R1433" t="s">
        <v>3954</v>
      </c>
      <c r="S1433" t="s">
        <v>4375</v>
      </c>
      <c r="T1433" t="s">
        <v>787</v>
      </c>
      <c r="U1433" t="s">
        <v>788</v>
      </c>
      <c r="W1433">
        <v>3398</v>
      </c>
      <c r="X1433">
        <v>3898</v>
      </c>
      <c r="Y1433" t="s">
        <v>789</v>
      </c>
      <c r="Z1433" t="s">
        <v>792</v>
      </c>
      <c r="AB1433" t="s">
        <v>793</v>
      </c>
      <c r="AD1433" t="s">
        <v>794</v>
      </c>
      <c r="AE1433" t="s">
        <v>795</v>
      </c>
      <c r="AF1433" t="s">
        <v>864</v>
      </c>
      <c r="AG1433" t="s">
        <v>861</v>
      </c>
      <c r="AH1433">
        <v>773600</v>
      </c>
      <c r="AI1433">
        <v>1108000</v>
      </c>
      <c r="AJ1433">
        <v>1</v>
      </c>
    </row>
    <row r="1434" spans="1:36" x14ac:dyDescent="0.3">
      <c r="A1434">
        <f>COUNTIF($D$2:D1434,D1434)</f>
        <v>20</v>
      </c>
      <c r="B1434" t="str">
        <f t="shared" si="89"/>
        <v>20Milton Keynes</v>
      </c>
      <c r="C1434" t="s">
        <v>4376</v>
      </c>
      <c r="D1434" t="s">
        <v>223</v>
      </c>
      <c r="E1434">
        <v>53</v>
      </c>
      <c r="F1434" t="s">
        <v>4377</v>
      </c>
      <c r="G1434" t="s">
        <v>811</v>
      </c>
      <c r="H1434" t="s">
        <v>812</v>
      </c>
      <c r="I1434" t="s">
        <v>813</v>
      </c>
      <c r="J1434">
        <f t="shared" ca="1" si="90"/>
        <v>100000</v>
      </c>
      <c r="K1434">
        <f t="shared" ca="1" si="91"/>
        <v>500</v>
      </c>
      <c r="N1434" t="str">
        <f t="shared" si="88"/>
        <v>Leicestershire55Discharge Pathway 3 ContractBed based intermediate Care Services (Reablement, rehabilitation, wider short-term services supporting recovery)Bed-based intermediate care with reablement (to support discharge)</v>
      </c>
      <c r="O1434" t="s">
        <v>205</v>
      </c>
      <c r="P1434" t="s">
        <v>2478</v>
      </c>
      <c r="Q1434">
        <v>55</v>
      </c>
      <c r="R1434" t="s">
        <v>3957</v>
      </c>
      <c r="S1434" t="s">
        <v>1786</v>
      </c>
      <c r="T1434" t="s">
        <v>877</v>
      </c>
      <c r="U1434" t="s">
        <v>878</v>
      </c>
      <c r="W1434">
        <v>560</v>
      </c>
      <c r="X1434">
        <v>560</v>
      </c>
      <c r="Y1434" t="s">
        <v>879</v>
      </c>
      <c r="Z1434" t="s">
        <v>823</v>
      </c>
      <c r="AB1434" t="s">
        <v>824</v>
      </c>
      <c r="AD1434" t="s">
        <v>794</v>
      </c>
      <c r="AE1434" t="s">
        <v>804</v>
      </c>
      <c r="AF1434" t="s">
        <v>796</v>
      </c>
      <c r="AG1434" t="s">
        <v>797</v>
      </c>
      <c r="AH1434">
        <v>567014.83174400008</v>
      </c>
      <c r="AI1434">
        <v>597634</v>
      </c>
      <c r="AJ1434">
        <v>0.14921442940631582</v>
      </c>
    </row>
    <row r="1435" spans="1:36" x14ac:dyDescent="0.3">
      <c r="A1435">
        <f>COUNTIF($D$2:D1435,D1435)</f>
        <v>21</v>
      </c>
      <c r="B1435" t="str">
        <f t="shared" si="89"/>
        <v>21Milton Keynes</v>
      </c>
      <c r="C1435" t="s">
        <v>4378</v>
      </c>
      <c r="D1435" t="s">
        <v>223</v>
      </c>
      <c r="E1435">
        <v>59</v>
      </c>
      <c r="F1435" t="s">
        <v>4379</v>
      </c>
      <c r="G1435" t="s">
        <v>842</v>
      </c>
      <c r="H1435" t="s">
        <v>856</v>
      </c>
      <c r="I1435" t="s">
        <v>844</v>
      </c>
      <c r="J1435">
        <f t="shared" ca="1" si="90"/>
        <v>100000</v>
      </c>
      <c r="K1435">
        <f t="shared" ca="1" si="91"/>
        <v>631</v>
      </c>
      <c r="N1435" t="str">
        <f t="shared" si="88"/>
        <v>Leicestershire58LD Short BreaksCarers ServicesRespite services</v>
      </c>
      <c r="O1435" t="s">
        <v>205</v>
      </c>
      <c r="P1435" t="s">
        <v>2478</v>
      </c>
      <c r="Q1435">
        <v>58</v>
      </c>
      <c r="R1435" t="s">
        <v>3961</v>
      </c>
      <c r="S1435" t="s">
        <v>1006</v>
      </c>
      <c r="T1435" t="s">
        <v>811</v>
      </c>
      <c r="U1435" t="s">
        <v>830</v>
      </c>
      <c r="W1435">
        <v>133</v>
      </c>
      <c r="X1435">
        <v>133</v>
      </c>
      <c r="Y1435" t="s">
        <v>813</v>
      </c>
      <c r="Z1435" t="s">
        <v>792</v>
      </c>
      <c r="AB1435" t="s">
        <v>824</v>
      </c>
      <c r="AD1435" t="s">
        <v>794</v>
      </c>
      <c r="AE1435" t="s">
        <v>832</v>
      </c>
      <c r="AF1435" t="s">
        <v>796</v>
      </c>
      <c r="AG1435" t="s">
        <v>797</v>
      </c>
      <c r="AH1435">
        <v>968046.01264828572</v>
      </c>
      <c r="AI1435">
        <v>1020320</v>
      </c>
      <c r="AJ1435">
        <v>0.55730916099498318</v>
      </c>
    </row>
    <row r="1436" spans="1:36" x14ac:dyDescent="0.3">
      <c r="A1436">
        <f>COUNTIF($D$2:D1436,D1436)</f>
        <v>22</v>
      </c>
      <c r="B1436" t="str">
        <f t="shared" si="89"/>
        <v>22Milton Keynes</v>
      </c>
      <c r="C1436" t="s">
        <v>4380</v>
      </c>
      <c r="D1436" t="s">
        <v>223</v>
      </c>
      <c r="E1436">
        <v>60</v>
      </c>
      <c r="F1436" t="s">
        <v>4381</v>
      </c>
      <c r="G1436" t="s">
        <v>842</v>
      </c>
      <c r="H1436" t="s">
        <v>856</v>
      </c>
      <c r="I1436" t="s">
        <v>844</v>
      </c>
      <c r="J1436">
        <f t="shared" ca="1" si="90"/>
        <v>550000</v>
      </c>
      <c r="K1436">
        <f t="shared" ca="1" si="91"/>
        <v>350</v>
      </c>
      <c r="N1436" t="str">
        <f t="shared" si="88"/>
        <v>Leicestershire65Blocked booked HD beds (6) Bed based intermediate Care Services (Reablement, rehabilitation, wider short-term services supporting recovery)Bed-based intermediate care with rehabilitation (to support discharge)</v>
      </c>
      <c r="O1436" t="s">
        <v>205</v>
      </c>
      <c r="P1436" t="s">
        <v>2478</v>
      </c>
      <c r="Q1436">
        <v>65</v>
      </c>
      <c r="R1436" t="s">
        <v>3964</v>
      </c>
      <c r="S1436" t="s">
        <v>4382</v>
      </c>
      <c r="T1436" t="s">
        <v>877</v>
      </c>
      <c r="U1436" t="s">
        <v>968</v>
      </c>
      <c r="W1436">
        <v>72</v>
      </c>
      <c r="X1436">
        <v>72</v>
      </c>
      <c r="Y1436" t="s">
        <v>879</v>
      </c>
      <c r="Z1436" t="s">
        <v>1061</v>
      </c>
      <c r="AB1436" t="s">
        <v>824</v>
      </c>
      <c r="AD1436" t="s">
        <v>794</v>
      </c>
      <c r="AE1436" t="s">
        <v>804</v>
      </c>
      <c r="AF1436" t="s">
        <v>860</v>
      </c>
      <c r="AG1436" t="s">
        <v>797</v>
      </c>
      <c r="AH1436">
        <v>190723</v>
      </c>
      <c r="AI1436">
        <v>190723</v>
      </c>
      <c r="AJ1436">
        <v>0.4988052631578947</v>
      </c>
    </row>
    <row r="1437" spans="1:36" x14ac:dyDescent="0.3">
      <c r="A1437">
        <f>COUNTIF($D$2:D1437,D1437)</f>
        <v>23</v>
      </c>
      <c r="B1437" t="str">
        <f t="shared" si="89"/>
        <v>23Milton Keynes</v>
      </c>
      <c r="C1437" t="s">
        <v>4383</v>
      </c>
      <c r="D1437" t="s">
        <v>223</v>
      </c>
      <c r="E1437">
        <v>65</v>
      </c>
      <c r="F1437" t="s">
        <v>4384</v>
      </c>
      <c r="G1437" t="s">
        <v>877</v>
      </c>
      <c r="H1437" t="s">
        <v>968</v>
      </c>
      <c r="I1437" t="s">
        <v>879</v>
      </c>
      <c r="J1437">
        <f t="shared" ca="1" si="90"/>
        <v>246000</v>
      </c>
      <c r="K1437">
        <f t="shared" ca="1" si="91"/>
        <v>13</v>
      </c>
      <c r="N1437" t="str">
        <f t="shared" si="88"/>
        <v>Leicestershire66HD 1-1s for blocked booked bedsBed based intermediate Care Services (Reablement, rehabilitation, wider short-term services supporting recovery)Bed-based intermediate care with rehabilitation (to support discharge)</v>
      </c>
      <c r="O1437" t="s">
        <v>205</v>
      </c>
      <c r="P1437" t="s">
        <v>2478</v>
      </c>
      <c r="Q1437">
        <v>66</v>
      </c>
      <c r="R1437" t="s">
        <v>3967</v>
      </c>
      <c r="S1437" t="s">
        <v>4382</v>
      </c>
      <c r="T1437" t="s">
        <v>877</v>
      </c>
      <c r="U1437" t="s">
        <v>968</v>
      </c>
      <c r="W1437">
        <v>72</v>
      </c>
      <c r="X1437">
        <v>72</v>
      </c>
      <c r="Y1437" t="s">
        <v>879</v>
      </c>
      <c r="Z1437" t="s">
        <v>1061</v>
      </c>
      <c r="AB1437" t="s">
        <v>824</v>
      </c>
      <c r="AD1437" t="s">
        <v>794</v>
      </c>
      <c r="AE1437" t="s">
        <v>832</v>
      </c>
      <c r="AF1437" t="s">
        <v>860</v>
      </c>
      <c r="AG1437" t="s">
        <v>797</v>
      </c>
      <c r="AH1437">
        <v>235894</v>
      </c>
      <c r="AI1437">
        <v>235894</v>
      </c>
      <c r="AJ1437">
        <v>0.49880638297872343</v>
      </c>
    </row>
    <row r="1438" spans="1:36" x14ac:dyDescent="0.3">
      <c r="A1438">
        <f>COUNTIF($D$2:D1438,D1438)</f>
        <v>1</v>
      </c>
      <c r="B1438" t="str">
        <f t="shared" si="89"/>
        <v>1Newcastle upon Tyne</v>
      </c>
      <c r="C1438" t="s">
        <v>4385</v>
      </c>
      <c r="D1438" t="s">
        <v>225</v>
      </c>
      <c r="E1438">
        <v>1</v>
      </c>
      <c r="F1438" t="s">
        <v>4386</v>
      </c>
      <c r="G1438" t="s">
        <v>787</v>
      </c>
      <c r="H1438" t="s">
        <v>930</v>
      </c>
      <c r="I1438" t="s">
        <v>789</v>
      </c>
      <c r="J1438">
        <f t="shared" ca="1" si="90"/>
        <v>3345730</v>
      </c>
      <c r="K1438">
        <f t="shared" ca="1" si="91"/>
        <v>1215</v>
      </c>
      <c r="N1438" t="str">
        <f t="shared" si="88"/>
        <v>Leicestershire67Rehab beds- supporting P2 discharges from acute (25 beds)Bed based intermediate Care Services (Reablement, rehabilitation, wider short-term services supporting recovery)Bed-based intermediate care with rehabilitation (to support discharge)</v>
      </c>
      <c r="O1438" t="s">
        <v>205</v>
      </c>
      <c r="P1438" t="s">
        <v>2478</v>
      </c>
      <c r="Q1438">
        <v>67</v>
      </c>
      <c r="R1438" t="s">
        <v>3971</v>
      </c>
      <c r="S1438" t="s">
        <v>1786</v>
      </c>
      <c r="T1438" t="s">
        <v>877</v>
      </c>
      <c r="U1438" t="s">
        <v>968</v>
      </c>
      <c r="W1438">
        <v>300</v>
      </c>
      <c r="X1438">
        <v>300</v>
      </c>
      <c r="Y1438" t="s">
        <v>879</v>
      </c>
      <c r="Z1438" t="s">
        <v>823</v>
      </c>
      <c r="AB1438" t="s">
        <v>824</v>
      </c>
      <c r="AD1438" t="s">
        <v>794</v>
      </c>
      <c r="AE1438" t="s">
        <v>804</v>
      </c>
      <c r="AF1438" t="s">
        <v>860</v>
      </c>
      <c r="AG1438" t="s">
        <v>797</v>
      </c>
      <c r="AH1438">
        <v>587226</v>
      </c>
      <c r="AI1438">
        <v>782968</v>
      </c>
      <c r="AJ1438">
        <v>0.49880598290598288</v>
      </c>
    </row>
    <row r="1439" spans="1:36" x14ac:dyDescent="0.3">
      <c r="A1439">
        <f>COUNTIF($D$2:D1439,D1439)</f>
        <v>2</v>
      </c>
      <c r="B1439" t="str">
        <f t="shared" si="89"/>
        <v>2Newcastle upon Tyne</v>
      </c>
      <c r="C1439" t="s">
        <v>4387</v>
      </c>
      <c r="D1439" t="s">
        <v>225</v>
      </c>
      <c r="E1439">
        <v>3</v>
      </c>
      <c r="F1439" t="s">
        <v>4388</v>
      </c>
      <c r="G1439" t="s">
        <v>877</v>
      </c>
      <c r="H1439" t="s">
        <v>1015</v>
      </c>
      <c r="I1439" t="s">
        <v>879</v>
      </c>
      <c r="J1439">
        <f t="shared" ca="1" si="90"/>
        <v>1118410</v>
      </c>
      <c r="K1439">
        <f t="shared" ca="1" si="91"/>
        <v>192</v>
      </c>
      <c r="N1439" t="str">
        <f t="shared" si="88"/>
        <v>Leicestershire6820 spot purchased residential beds- to support p2 discharges from the acute Bed based intermediate Care Services (Reablement, rehabilitation, wider short-term services supporting recovery)Bed-based intermediate care with reablement (to support discharge)</v>
      </c>
      <c r="O1439" t="s">
        <v>205</v>
      </c>
      <c r="P1439" t="s">
        <v>2478</v>
      </c>
      <c r="Q1439">
        <v>68</v>
      </c>
      <c r="R1439" t="s">
        <v>3904</v>
      </c>
      <c r="S1439" t="s">
        <v>1786</v>
      </c>
      <c r="T1439" t="s">
        <v>877</v>
      </c>
      <c r="U1439" t="s">
        <v>878</v>
      </c>
      <c r="W1439">
        <v>240</v>
      </c>
      <c r="X1439">
        <v>240</v>
      </c>
      <c r="Y1439" t="s">
        <v>879</v>
      </c>
      <c r="Z1439" t="s">
        <v>823</v>
      </c>
      <c r="AB1439" t="s">
        <v>824</v>
      </c>
      <c r="AD1439" t="s">
        <v>794</v>
      </c>
      <c r="AE1439" t="s">
        <v>804</v>
      </c>
      <c r="AF1439" t="s">
        <v>860</v>
      </c>
      <c r="AG1439" t="s">
        <v>797</v>
      </c>
      <c r="AH1439">
        <v>289096</v>
      </c>
      <c r="AI1439">
        <v>385461</v>
      </c>
      <c r="AJ1439">
        <v>0.49880729166666665</v>
      </c>
    </row>
    <row r="1440" spans="1:36" x14ac:dyDescent="0.3">
      <c r="A1440">
        <f>COUNTIF($D$2:D1440,D1440)</f>
        <v>3</v>
      </c>
      <c r="B1440" t="str">
        <f t="shared" si="89"/>
        <v>3Newcastle upon Tyne</v>
      </c>
      <c r="C1440" t="s">
        <v>4389</v>
      </c>
      <c r="D1440" t="s">
        <v>225</v>
      </c>
      <c r="E1440">
        <v>9</v>
      </c>
      <c r="F1440" t="s">
        <v>4390</v>
      </c>
      <c r="G1440" t="s">
        <v>842</v>
      </c>
      <c r="H1440" t="s">
        <v>843</v>
      </c>
      <c r="I1440" t="s">
        <v>844</v>
      </c>
      <c r="J1440">
        <f t="shared" ca="1" si="90"/>
        <v>1180340</v>
      </c>
      <c r="K1440">
        <f t="shared" ca="1" si="91"/>
        <v>60000</v>
      </c>
      <c r="N1440" t="str">
        <f t="shared" si="88"/>
        <v>Leicestershire69Continuation &amp; growth of the Bariatric pilot (3 beds plus MH Support)Bed based intermediate Care Services (Reablement, rehabilitation, wider short-term services supporting recovery)Bed-based intermediate care with rehabilitation (to support discharge)</v>
      </c>
      <c r="O1440" t="s">
        <v>205</v>
      </c>
      <c r="P1440" t="s">
        <v>2478</v>
      </c>
      <c r="Q1440">
        <v>69</v>
      </c>
      <c r="R1440" t="s">
        <v>3907</v>
      </c>
      <c r="S1440" t="s">
        <v>1786</v>
      </c>
      <c r="T1440" t="s">
        <v>877</v>
      </c>
      <c r="U1440" t="s">
        <v>968</v>
      </c>
      <c r="W1440">
        <v>18</v>
      </c>
      <c r="X1440">
        <v>18</v>
      </c>
      <c r="Y1440" t="s">
        <v>879</v>
      </c>
      <c r="Z1440" t="s">
        <v>823</v>
      </c>
      <c r="AB1440" t="s">
        <v>824</v>
      </c>
      <c r="AD1440" t="s">
        <v>794</v>
      </c>
      <c r="AE1440" t="s">
        <v>804</v>
      </c>
      <c r="AF1440" t="s">
        <v>860</v>
      </c>
      <c r="AG1440" t="s">
        <v>797</v>
      </c>
      <c r="AH1440">
        <v>109916</v>
      </c>
      <c r="AI1440">
        <v>109916</v>
      </c>
      <c r="AJ1440">
        <v>0.49880821917808221</v>
      </c>
    </row>
    <row r="1441" spans="1:36" x14ac:dyDescent="0.3">
      <c r="A1441">
        <f>COUNTIF($D$2:D1441,D1441)</f>
        <v>4</v>
      </c>
      <c r="B1441" t="str">
        <f t="shared" si="89"/>
        <v>4Newcastle upon Tyne</v>
      </c>
      <c r="C1441" t="s">
        <v>4391</v>
      </c>
      <c r="D1441" t="s">
        <v>225</v>
      </c>
      <c r="E1441">
        <v>10</v>
      </c>
      <c r="F1441" t="s">
        <v>4392</v>
      </c>
      <c r="G1441" t="s">
        <v>877</v>
      </c>
      <c r="H1441" t="s">
        <v>812</v>
      </c>
      <c r="I1441" t="s">
        <v>879</v>
      </c>
      <c r="J1441">
        <f t="shared" ca="1" si="90"/>
        <v>665480</v>
      </c>
      <c r="K1441">
        <f t="shared" ca="1" si="91"/>
        <v>186</v>
      </c>
      <c r="N1441" t="str">
        <f t="shared" si="88"/>
        <v>Leicestershire78Carers Support PaymentCarers ServicesCarer advice and support related to Care Act duties</v>
      </c>
      <c r="O1441" t="s">
        <v>205</v>
      </c>
      <c r="P1441" t="s">
        <v>2478</v>
      </c>
      <c r="Q1441">
        <v>78</v>
      </c>
      <c r="R1441" t="s">
        <v>3977</v>
      </c>
      <c r="S1441" t="s">
        <v>4393</v>
      </c>
      <c r="T1441" t="s">
        <v>811</v>
      </c>
      <c r="U1441" t="s">
        <v>895</v>
      </c>
      <c r="W1441">
        <v>552</v>
      </c>
      <c r="X1441">
        <v>552</v>
      </c>
      <c r="Y1441" t="s">
        <v>813</v>
      </c>
      <c r="Z1441" t="s">
        <v>792</v>
      </c>
      <c r="AB1441" t="s">
        <v>793</v>
      </c>
      <c r="AD1441" t="s">
        <v>794</v>
      </c>
      <c r="AE1441" t="s">
        <v>825</v>
      </c>
      <c r="AF1441" t="s">
        <v>864</v>
      </c>
      <c r="AG1441" t="s">
        <v>797</v>
      </c>
      <c r="AH1441">
        <v>525000</v>
      </c>
      <c r="AI1441">
        <v>545000</v>
      </c>
      <c r="AJ1441">
        <v>1</v>
      </c>
    </row>
    <row r="1442" spans="1:36" x14ac:dyDescent="0.3">
      <c r="A1442">
        <f>COUNTIF($D$2:D1442,D1442)</f>
        <v>5</v>
      </c>
      <c r="B1442" t="str">
        <f t="shared" si="89"/>
        <v>5Newcastle upon Tyne</v>
      </c>
      <c r="C1442" t="s">
        <v>4394</v>
      </c>
      <c r="D1442" t="s">
        <v>225</v>
      </c>
      <c r="E1442">
        <v>12</v>
      </c>
      <c r="F1442" t="s">
        <v>4395</v>
      </c>
      <c r="G1442" t="s">
        <v>877</v>
      </c>
      <c r="H1442" t="s">
        <v>812</v>
      </c>
      <c r="I1442" t="s">
        <v>879</v>
      </c>
      <c r="J1442">
        <f t="shared" ca="1" si="90"/>
        <v>499920</v>
      </c>
      <c r="K1442">
        <f t="shared" ca="1" si="91"/>
        <v>42</v>
      </c>
      <c r="N1442" t="str">
        <f t="shared" si="88"/>
        <v>Leicestershire82Technology enabled careAssistive Technologies and EquipmentAssistive technologies including telecare</v>
      </c>
      <c r="O1442" t="s">
        <v>205</v>
      </c>
      <c r="P1442" t="s">
        <v>2478</v>
      </c>
      <c r="Q1442">
        <v>82</v>
      </c>
      <c r="R1442" t="s">
        <v>3980</v>
      </c>
      <c r="S1442" t="s">
        <v>4396</v>
      </c>
      <c r="T1442" t="s">
        <v>800</v>
      </c>
      <c r="U1442" t="s">
        <v>850</v>
      </c>
      <c r="W1442">
        <v>386</v>
      </c>
      <c r="X1442">
        <v>156</v>
      </c>
      <c r="Y1442" t="s">
        <v>802</v>
      </c>
      <c r="Z1442" t="s">
        <v>792</v>
      </c>
      <c r="AB1442" t="s">
        <v>793</v>
      </c>
      <c r="AD1442" t="s">
        <v>794</v>
      </c>
      <c r="AE1442" t="s">
        <v>795</v>
      </c>
      <c r="AF1442" t="s">
        <v>864</v>
      </c>
      <c r="AG1442" t="s">
        <v>797</v>
      </c>
      <c r="AH1442">
        <v>436113</v>
      </c>
      <c r="AI1442">
        <v>0</v>
      </c>
      <c r="AJ1442">
        <v>0.26</v>
      </c>
    </row>
    <row r="1443" spans="1:36" x14ac:dyDescent="0.3">
      <c r="A1443">
        <f>COUNTIF($D$2:D1443,D1443)</f>
        <v>6</v>
      </c>
      <c r="B1443" t="str">
        <f t="shared" si="89"/>
        <v>6Newcastle upon Tyne</v>
      </c>
      <c r="C1443" t="s">
        <v>4397</v>
      </c>
      <c r="D1443" t="s">
        <v>225</v>
      </c>
      <c r="E1443">
        <v>17</v>
      </c>
      <c r="F1443" t="s">
        <v>4398</v>
      </c>
      <c r="G1443" t="s">
        <v>842</v>
      </c>
      <c r="H1443" t="s">
        <v>843</v>
      </c>
      <c r="I1443" t="s">
        <v>844</v>
      </c>
      <c r="J1443">
        <f t="shared" ca="1" si="90"/>
        <v>2352070</v>
      </c>
      <c r="K1443">
        <f t="shared" ca="1" si="91"/>
        <v>120000</v>
      </c>
      <c r="N1443" t="str">
        <f t="shared" si="88"/>
        <v>Lewisham3Improved use of Equipment Assistive Technologies and EquipmentCommunity based equipment</v>
      </c>
      <c r="O1443" t="s">
        <v>207</v>
      </c>
      <c r="P1443" t="s">
        <v>790</v>
      </c>
      <c r="Q1443">
        <v>3</v>
      </c>
      <c r="R1443" t="s">
        <v>3983</v>
      </c>
      <c r="S1443" t="s">
        <v>4399</v>
      </c>
      <c r="T1443" t="s">
        <v>800</v>
      </c>
      <c r="U1443" t="s">
        <v>903</v>
      </c>
      <c r="W1443">
        <v>11000</v>
      </c>
      <c r="X1443">
        <v>11000</v>
      </c>
      <c r="Y1443" t="s">
        <v>802</v>
      </c>
      <c r="Z1443" t="s">
        <v>823</v>
      </c>
      <c r="AB1443" t="s">
        <v>824</v>
      </c>
      <c r="AD1443" t="s">
        <v>794</v>
      </c>
      <c r="AE1443" t="s">
        <v>795</v>
      </c>
      <c r="AF1443" t="s">
        <v>796</v>
      </c>
      <c r="AG1443" t="s">
        <v>797</v>
      </c>
      <c r="AH1443">
        <v>1670000</v>
      </c>
      <c r="AI1443">
        <v>1670000</v>
      </c>
      <c r="AJ1443">
        <v>0.7</v>
      </c>
    </row>
    <row r="1444" spans="1:36" x14ac:dyDescent="0.3">
      <c r="A1444">
        <f>COUNTIF($D$2:D1444,D1444)</f>
        <v>7</v>
      </c>
      <c r="B1444" t="str">
        <f t="shared" si="89"/>
        <v>7Newcastle upon Tyne</v>
      </c>
      <c r="C1444" t="s">
        <v>4400</v>
      </c>
      <c r="D1444" t="s">
        <v>225</v>
      </c>
      <c r="E1444">
        <v>18</v>
      </c>
      <c r="F1444" t="s">
        <v>4401</v>
      </c>
      <c r="G1444" t="s">
        <v>811</v>
      </c>
      <c r="H1444" t="s">
        <v>895</v>
      </c>
      <c r="I1444" t="s">
        <v>813</v>
      </c>
      <c r="J1444">
        <f t="shared" ca="1" si="90"/>
        <v>495101.75</v>
      </c>
      <c r="K1444">
        <f t="shared" ca="1" si="91"/>
        <v>14480</v>
      </c>
      <c r="N1444" t="str">
        <f t="shared" si="88"/>
        <v>Lewisham11DFGDFG Related SchemesAdaptations, including statutory DFG grants</v>
      </c>
      <c r="O1444" t="s">
        <v>207</v>
      </c>
      <c r="P1444" t="s">
        <v>790</v>
      </c>
      <c r="Q1444">
        <v>11</v>
      </c>
      <c r="R1444" t="s">
        <v>840</v>
      </c>
      <c r="S1444" t="s">
        <v>4402</v>
      </c>
      <c r="T1444" t="s">
        <v>834</v>
      </c>
      <c r="U1444" t="s">
        <v>835</v>
      </c>
      <c r="W1444">
        <v>65</v>
      </c>
      <c r="X1444">
        <v>65</v>
      </c>
      <c r="Y1444" t="s">
        <v>836</v>
      </c>
      <c r="Z1444" t="s">
        <v>792</v>
      </c>
      <c r="AB1444" t="s">
        <v>793</v>
      </c>
      <c r="AD1444" t="s">
        <v>794</v>
      </c>
      <c r="AE1444" t="s">
        <v>795</v>
      </c>
      <c r="AF1444" t="s">
        <v>840</v>
      </c>
      <c r="AG1444" t="s">
        <v>797</v>
      </c>
      <c r="AH1444">
        <v>1518970</v>
      </c>
      <c r="AI1444">
        <v>1518970</v>
      </c>
      <c r="AJ1444">
        <v>1</v>
      </c>
    </row>
    <row r="1445" spans="1:36" x14ac:dyDescent="0.3">
      <c r="A1445">
        <f>COUNTIF($D$2:D1445,D1445)</f>
        <v>8</v>
      </c>
      <c r="B1445" t="str">
        <f t="shared" si="89"/>
        <v>8Newcastle upon Tyne</v>
      </c>
      <c r="C1445" t="s">
        <v>4403</v>
      </c>
      <c r="D1445" t="s">
        <v>225</v>
      </c>
      <c r="E1445">
        <v>31</v>
      </c>
      <c r="F1445" t="s">
        <v>4404</v>
      </c>
      <c r="G1445" t="s">
        <v>834</v>
      </c>
      <c r="H1445" t="s">
        <v>835</v>
      </c>
      <c r="I1445" t="s">
        <v>836</v>
      </c>
      <c r="J1445">
        <f t="shared" ca="1" si="90"/>
        <v>15000</v>
      </c>
      <c r="K1445">
        <f t="shared" ca="1" si="91"/>
        <v>300</v>
      </c>
      <c r="N1445" t="str">
        <f t="shared" si="88"/>
        <v>Lewisham15Extra Care ProvisionResidential PlacementsExtra care</v>
      </c>
      <c r="O1445" t="s">
        <v>207</v>
      </c>
      <c r="P1445" t="s">
        <v>790</v>
      </c>
      <c r="Q1445">
        <v>15</v>
      </c>
      <c r="R1445" t="s">
        <v>3988</v>
      </c>
      <c r="S1445" t="s">
        <v>4405</v>
      </c>
      <c r="T1445" t="s">
        <v>806</v>
      </c>
      <c r="U1445" t="s">
        <v>934</v>
      </c>
      <c r="W1445">
        <v>5</v>
      </c>
      <c r="X1445">
        <v>6</v>
      </c>
      <c r="Y1445" t="s">
        <v>808</v>
      </c>
      <c r="Z1445" t="s">
        <v>792</v>
      </c>
      <c r="AB1445" t="s">
        <v>793</v>
      </c>
      <c r="AD1445" t="s">
        <v>794</v>
      </c>
      <c r="AE1445" t="s">
        <v>825</v>
      </c>
      <c r="AF1445" t="s">
        <v>796</v>
      </c>
      <c r="AG1445" t="s">
        <v>797</v>
      </c>
      <c r="AH1445">
        <v>694474</v>
      </c>
      <c r="AI1445">
        <v>733781</v>
      </c>
      <c r="AJ1445">
        <v>0.1</v>
      </c>
    </row>
    <row r="1446" spans="1:36" x14ac:dyDescent="0.3">
      <c r="A1446">
        <f>COUNTIF($D$2:D1446,D1446)</f>
        <v>9</v>
      </c>
      <c r="B1446" t="str">
        <f t="shared" si="89"/>
        <v>9Newcastle upon Tyne</v>
      </c>
      <c r="C1446" t="s">
        <v>4406</v>
      </c>
      <c r="D1446" t="s">
        <v>225</v>
      </c>
      <c r="E1446">
        <v>32</v>
      </c>
      <c r="F1446" t="s">
        <v>4407</v>
      </c>
      <c r="G1446" t="s">
        <v>834</v>
      </c>
      <c r="H1446" t="s">
        <v>835</v>
      </c>
      <c r="I1446" t="s">
        <v>836</v>
      </c>
      <c r="J1446">
        <f t="shared" ca="1" si="90"/>
        <v>150000</v>
      </c>
      <c r="K1446">
        <f t="shared" ca="1" si="91"/>
        <v>1780</v>
      </c>
      <c r="N1446" t="str">
        <f t="shared" si="88"/>
        <v>Lewisham23Carers information, advice and support Carers ServicesOther</v>
      </c>
      <c r="O1446" t="s">
        <v>207</v>
      </c>
      <c r="P1446" t="s">
        <v>790</v>
      </c>
      <c r="Q1446">
        <v>23</v>
      </c>
      <c r="R1446" t="s">
        <v>3990</v>
      </c>
      <c r="S1446" t="s">
        <v>4408</v>
      </c>
      <c r="T1446" t="s">
        <v>811</v>
      </c>
      <c r="U1446" t="s">
        <v>812</v>
      </c>
      <c r="V1446" t="s">
        <v>4409</v>
      </c>
      <c r="W1446">
        <v>4000</v>
      </c>
      <c r="X1446">
        <v>4000</v>
      </c>
      <c r="Y1446" t="s">
        <v>813</v>
      </c>
      <c r="Z1446" t="s">
        <v>792</v>
      </c>
      <c r="AB1446" t="s">
        <v>793</v>
      </c>
      <c r="AD1446" t="s">
        <v>794</v>
      </c>
      <c r="AE1446" t="s">
        <v>795</v>
      </c>
      <c r="AF1446" t="s">
        <v>796</v>
      </c>
      <c r="AG1446" t="s">
        <v>797</v>
      </c>
      <c r="AH1446">
        <v>623363</v>
      </c>
      <c r="AI1446">
        <v>658646</v>
      </c>
      <c r="AJ1446">
        <v>1</v>
      </c>
    </row>
    <row r="1447" spans="1:36" x14ac:dyDescent="0.3">
      <c r="A1447">
        <f>COUNTIF($D$2:D1447,D1447)</f>
        <v>10</v>
      </c>
      <c r="B1447" t="str">
        <f t="shared" si="89"/>
        <v>10Newcastle upon Tyne</v>
      </c>
      <c r="C1447" t="s">
        <v>4410</v>
      </c>
      <c r="D1447" t="s">
        <v>225</v>
      </c>
      <c r="E1447">
        <v>33</v>
      </c>
      <c r="F1447" t="s">
        <v>4411</v>
      </c>
      <c r="G1447" t="s">
        <v>834</v>
      </c>
      <c r="H1447" t="s">
        <v>835</v>
      </c>
      <c r="I1447" t="s">
        <v>836</v>
      </c>
      <c r="J1447">
        <f t="shared" ca="1" si="90"/>
        <v>900000</v>
      </c>
      <c r="K1447">
        <f t="shared" ca="1" si="91"/>
        <v>125</v>
      </c>
      <c r="N1447" t="str">
        <f t="shared" si="88"/>
        <v>Lewisham25Support for Mental Health provisionResidential PlacementsCare home</v>
      </c>
      <c r="O1447" t="s">
        <v>207</v>
      </c>
      <c r="P1447" t="s">
        <v>790</v>
      </c>
      <c r="Q1447">
        <v>25</v>
      </c>
      <c r="R1447" t="s">
        <v>3993</v>
      </c>
      <c r="S1447" t="s">
        <v>4412</v>
      </c>
      <c r="T1447" t="s">
        <v>806</v>
      </c>
      <c r="U1447" t="s">
        <v>807</v>
      </c>
      <c r="W1447">
        <v>116</v>
      </c>
      <c r="X1447">
        <v>120</v>
      </c>
      <c r="Y1447" t="s">
        <v>808</v>
      </c>
      <c r="Z1447" t="s">
        <v>1006</v>
      </c>
      <c r="AB1447" t="s">
        <v>793</v>
      </c>
      <c r="AD1447" t="s">
        <v>794</v>
      </c>
      <c r="AE1447" t="s">
        <v>804</v>
      </c>
      <c r="AF1447" t="s">
        <v>845</v>
      </c>
      <c r="AG1447" t="s">
        <v>797</v>
      </c>
      <c r="AH1447">
        <v>307500</v>
      </c>
      <c r="AI1447">
        <v>307500</v>
      </c>
      <c r="AJ1447">
        <v>0.45</v>
      </c>
    </row>
    <row r="1448" spans="1:36" x14ac:dyDescent="0.3">
      <c r="A1448">
        <f>COUNTIF($D$2:D1448,D1448)</f>
        <v>11</v>
      </c>
      <c r="B1448" t="str">
        <f t="shared" si="89"/>
        <v>11Newcastle upon Tyne</v>
      </c>
      <c r="C1448" t="s">
        <v>4413</v>
      </c>
      <c r="D1448" t="s">
        <v>225</v>
      </c>
      <c r="E1448">
        <v>34</v>
      </c>
      <c r="F1448" t="s">
        <v>4414</v>
      </c>
      <c r="G1448" t="s">
        <v>834</v>
      </c>
      <c r="H1448" t="s">
        <v>835</v>
      </c>
      <c r="I1448" t="s">
        <v>836</v>
      </c>
      <c r="J1448">
        <f t="shared" ca="1" si="90"/>
        <v>42478</v>
      </c>
      <c r="K1448">
        <f t="shared" ca="1" si="91"/>
        <v>250</v>
      </c>
      <c r="N1448" t="str">
        <f t="shared" si="88"/>
        <v>Lewisham29Transitions Residential PlacementsCare home</v>
      </c>
      <c r="O1448" t="s">
        <v>207</v>
      </c>
      <c r="P1448" t="s">
        <v>790</v>
      </c>
      <c r="Q1448">
        <v>29</v>
      </c>
      <c r="R1448" t="s">
        <v>3996</v>
      </c>
      <c r="S1448" t="s">
        <v>4415</v>
      </c>
      <c r="T1448" t="s">
        <v>806</v>
      </c>
      <c r="U1448" t="s">
        <v>807</v>
      </c>
      <c r="W1448">
        <v>13</v>
      </c>
      <c r="X1448">
        <v>15</v>
      </c>
      <c r="Y1448" t="s">
        <v>808</v>
      </c>
      <c r="Z1448" t="s">
        <v>792</v>
      </c>
      <c r="AB1448" t="s">
        <v>793</v>
      </c>
      <c r="AD1448" t="s">
        <v>794</v>
      </c>
      <c r="AE1448" t="s">
        <v>804</v>
      </c>
      <c r="AF1448" t="s">
        <v>845</v>
      </c>
      <c r="AG1448" t="s">
        <v>797</v>
      </c>
      <c r="AH1448">
        <v>3152500</v>
      </c>
      <c r="AI1448">
        <v>3152500</v>
      </c>
      <c r="AJ1448">
        <v>0.35</v>
      </c>
    </row>
    <row r="1449" spans="1:36" x14ac:dyDescent="0.3">
      <c r="A1449">
        <f>COUNTIF($D$2:D1449,D1449)</f>
        <v>12</v>
      </c>
      <c r="B1449" t="str">
        <f t="shared" si="89"/>
        <v>12Newcastle upon Tyne</v>
      </c>
      <c r="C1449" t="s">
        <v>4416</v>
      </c>
      <c r="D1449" t="s">
        <v>225</v>
      </c>
      <c r="E1449">
        <v>35</v>
      </c>
      <c r="F1449" t="s">
        <v>4417</v>
      </c>
      <c r="G1449" t="s">
        <v>834</v>
      </c>
      <c r="H1449" t="s">
        <v>835</v>
      </c>
      <c r="I1449" t="s">
        <v>836</v>
      </c>
      <c r="J1449">
        <f t="shared" ca="1" si="90"/>
        <v>1400000</v>
      </c>
      <c r="K1449">
        <f t="shared" ca="1" si="91"/>
        <v>50</v>
      </c>
      <c r="N1449" t="str">
        <f t="shared" si="88"/>
        <v>Lewisham31Protection of current level of packages of careHome Care or Domiciliary CareDomiciliary care packages</v>
      </c>
      <c r="O1449" t="s">
        <v>207</v>
      </c>
      <c r="P1449" t="s">
        <v>790</v>
      </c>
      <c r="Q1449">
        <v>31</v>
      </c>
      <c r="R1449" t="s">
        <v>3999</v>
      </c>
      <c r="S1449" t="s">
        <v>4418</v>
      </c>
      <c r="T1449" t="s">
        <v>842</v>
      </c>
      <c r="U1449" t="s">
        <v>843</v>
      </c>
      <c r="W1449">
        <v>735000</v>
      </c>
      <c r="X1449">
        <v>735000</v>
      </c>
      <c r="Y1449" t="s">
        <v>844</v>
      </c>
      <c r="Z1449" t="s">
        <v>792</v>
      </c>
      <c r="AB1449" t="s">
        <v>793</v>
      </c>
      <c r="AD1449" t="s">
        <v>794</v>
      </c>
      <c r="AE1449" t="s">
        <v>804</v>
      </c>
      <c r="AF1449" t="s">
        <v>845</v>
      </c>
      <c r="AG1449" t="s">
        <v>797</v>
      </c>
      <c r="AH1449">
        <v>1722000</v>
      </c>
      <c r="AI1449">
        <v>1722000</v>
      </c>
      <c r="AJ1449">
        <v>0.1</v>
      </c>
    </row>
    <row r="1450" spans="1:36" x14ac:dyDescent="0.3">
      <c r="A1450">
        <f>COUNTIF($D$2:D1450,D1450)</f>
        <v>13</v>
      </c>
      <c r="B1450" t="str">
        <f t="shared" si="89"/>
        <v>13Newcastle upon Tyne</v>
      </c>
      <c r="C1450" t="s">
        <v>4419</v>
      </c>
      <c r="D1450" t="s">
        <v>225</v>
      </c>
      <c r="E1450">
        <v>36</v>
      </c>
      <c r="F1450" t="s">
        <v>4420</v>
      </c>
      <c r="G1450" t="s">
        <v>834</v>
      </c>
      <c r="H1450" t="s">
        <v>1293</v>
      </c>
      <c r="I1450" t="s">
        <v>836</v>
      </c>
      <c r="J1450">
        <f t="shared" ca="1" si="90"/>
        <v>150000</v>
      </c>
      <c r="K1450">
        <f t="shared" ca="1" si="91"/>
        <v>4</v>
      </c>
      <c r="N1450" t="str">
        <f t="shared" si="88"/>
        <v>Lewisham34Maintenance of social care budgetsHome Care or Domiciliary CareDomiciliary care packages</v>
      </c>
      <c r="O1450" t="s">
        <v>207</v>
      </c>
      <c r="P1450" t="s">
        <v>790</v>
      </c>
      <c r="Q1450">
        <v>34</v>
      </c>
      <c r="R1450" t="s">
        <v>4002</v>
      </c>
      <c r="S1450" t="s">
        <v>4002</v>
      </c>
      <c r="T1450" t="s">
        <v>842</v>
      </c>
      <c r="U1450" t="s">
        <v>843</v>
      </c>
      <c r="W1450">
        <v>735000</v>
      </c>
      <c r="X1450">
        <v>735000</v>
      </c>
      <c r="Y1450" t="s">
        <v>844</v>
      </c>
      <c r="Z1450" t="s">
        <v>792</v>
      </c>
      <c r="AB1450" t="s">
        <v>793</v>
      </c>
      <c r="AD1450" t="s">
        <v>794</v>
      </c>
      <c r="AE1450" t="s">
        <v>804</v>
      </c>
      <c r="AF1450" t="s">
        <v>845</v>
      </c>
      <c r="AG1450" t="s">
        <v>797</v>
      </c>
      <c r="AH1450">
        <v>1435000</v>
      </c>
      <c r="AI1450">
        <v>1435000</v>
      </c>
      <c r="AJ1450">
        <v>0.1</v>
      </c>
    </row>
    <row r="1451" spans="1:36" x14ac:dyDescent="0.3">
      <c r="A1451">
        <f>COUNTIF($D$2:D1451,D1451)</f>
        <v>14</v>
      </c>
      <c r="B1451" t="str">
        <f t="shared" si="89"/>
        <v>14Newcastle upon Tyne</v>
      </c>
      <c r="C1451" t="s">
        <v>4421</v>
      </c>
      <c r="D1451" t="s">
        <v>225</v>
      </c>
      <c r="E1451">
        <v>37</v>
      </c>
      <c r="F1451" t="s">
        <v>4422</v>
      </c>
      <c r="G1451" t="s">
        <v>834</v>
      </c>
      <c r="H1451" t="s">
        <v>1293</v>
      </c>
      <c r="I1451" t="s">
        <v>836</v>
      </c>
      <c r="J1451">
        <f t="shared" ca="1" si="90"/>
        <v>25000</v>
      </c>
      <c r="K1451">
        <f t="shared" ca="1" si="91"/>
        <v>50</v>
      </c>
      <c r="N1451" t="str">
        <f t="shared" si="88"/>
        <v>Lewisham37Provider InflationHome Care or Domiciliary CareDomiciliary care packages</v>
      </c>
      <c r="O1451" t="s">
        <v>207</v>
      </c>
      <c r="P1451" t="s">
        <v>790</v>
      </c>
      <c r="Q1451">
        <v>37</v>
      </c>
      <c r="R1451" t="s">
        <v>4004</v>
      </c>
      <c r="S1451" t="s">
        <v>4423</v>
      </c>
      <c r="T1451" t="s">
        <v>842</v>
      </c>
      <c r="U1451" t="s">
        <v>843</v>
      </c>
      <c r="W1451">
        <v>735000</v>
      </c>
      <c r="X1451">
        <v>735000</v>
      </c>
      <c r="Y1451" t="s">
        <v>844</v>
      </c>
      <c r="Z1451" t="s">
        <v>792</v>
      </c>
      <c r="AB1451" t="s">
        <v>793</v>
      </c>
      <c r="AD1451" t="s">
        <v>794</v>
      </c>
      <c r="AE1451" t="s">
        <v>804</v>
      </c>
      <c r="AF1451" t="s">
        <v>845</v>
      </c>
      <c r="AG1451" t="s">
        <v>797</v>
      </c>
      <c r="AH1451">
        <v>1839330</v>
      </c>
      <c r="AI1451">
        <v>1839330</v>
      </c>
      <c r="AJ1451">
        <v>0.1</v>
      </c>
    </row>
    <row r="1452" spans="1:36" x14ac:dyDescent="0.3">
      <c r="A1452">
        <f>COUNTIF($D$2:D1452,D1452)</f>
        <v>15</v>
      </c>
      <c r="B1452" t="str">
        <f t="shared" si="89"/>
        <v>15Newcastle upon Tyne</v>
      </c>
      <c r="C1452" t="s">
        <v>4424</v>
      </c>
      <c r="D1452" t="s">
        <v>225</v>
      </c>
      <c r="E1452">
        <v>38</v>
      </c>
      <c r="F1452" t="s">
        <v>4425</v>
      </c>
      <c r="G1452" t="s">
        <v>834</v>
      </c>
      <c r="H1452" t="s">
        <v>1293</v>
      </c>
      <c r="I1452" t="s">
        <v>836</v>
      </c>
      <c r="J1452">
        <f t="shared" ca="1" si="90"/>
        <v>40000</v>
      </c>
      <c r="K1452">
        <f t="shared" ca="1" si="91"/>
        <v>80</v>
      </c>
      <c r="N1452" t="str">
        <f t="shared" si="88"/>
        <v>Lewisham38Demographic growthHome Care or Domiciliary CareDomiciliary care packages</v>
      </c>
      <c r="O1452" t="s">
        <v>207</v>
      </c>
      <c r="P1452" t="s">
        <v>790</v>
      </c>
      <c r="Q1452">
        <v>38</v>
      </c>
      <c r="R1452" t="s">
        <v>4007</v>
      </c>
      <c r="S1452" t="s">
        <v>4426</v>
      </c>
      <c r="T1452" t="s">
        <v>842</v>
      </c>
      <c r="U1452" t="s">
        <v>843</v>
      </c>
      <c r="W1452">
        <v>735000</v>
      </c>
      <c r="X1452">
        <v>735000</v>
      </c>
      <c r="Y1452" t="s">
        <v>844</v>
      </c>
      <c r="Z1452" t="s">
        <v>792</v>
      </c>
      <c r="AB1452" t="s">
        <v>793</v>
      </c>
      <c r="AD1452" t="s">
        <v>794</v>
      </c>
      <c r="AE1452" t="s">
        <v>804</v>
      </c>
      <c r="AF1452" t="s">
        <v>845</v>
      </c>
      <c r="AG1452" t="s">
        <v>797</v>
      </c>
      <c r="AH1452">
        <v>840949</v>
      </c>
      <c r="AI1452">
        <v>840949</v>
      </c>
      <c r="AJ1452">
        <v>0.05</v>
      </c>
    </row>
    <row r="1453" spans="1:36" x14ac:dyDescent="0.3">
      <c r="A1453">
        <f>COUNTIF($D$2:D1453,D1453)</f>
        <v>16</v>
      </c>
      <c r="B1453" t="str">
        <f t="shared" si="89"/>
        <v>16Newcastle upon Tyne</v>
      </c>
      <c r="C1453" t="s">
        <v>4427</v>
      </c>
      <c r="D1453" t="s">
        <v>225</v>
      </c>
      <c r="E1453">
        <v>41</v>
      </c>
      <c r="F1453" t="s">
        <v>4428</v>
      </c>
      <c r="G1453" t="s">
        <v>800</v>
      </c>
      <c r="H1453" t="s">
        <v>850</v>
      </c>
      <c r="I1453" t="s">
        <v>802</v>
      </c>
      <c r="J1453">
        <f t="shared" ca="1" si="90"/>
        <v>100000</v>
      </c>
      <c r="K1453">
        <f t="shared" ca="1" si="91"/>
        <v>200</v>
      </c>
      <c r="N1453" t="str">
        <f t="shared" si="88"/>
        <v>Lewisham39Remote monitoringAssistive Technologies and EquipmentAssistive technologies including telecare</v>
      </c>
      <c r="O1453" t="s">
        <v>207</v>
      </c>
      <c r="P1453" t="s">
        <v>790</v>
      </c>
      <c r="Q1453">
        <v>39</v>
      </c>
      <c r="R1453" t="s">
        <v>4010</v>
      </c>
      <c r="S1453" t="s">
        <v>4429</v>
      </c>
      <c r="T1453" t="s">
        <v>800</v>
      </c>
      <c r="U1453" t="s">
        <v>850</v>
      </c>
      <c r="W1453">
        <v>2500</v>
      </c>
      <c r="X1453">
        <v>2500</v>
      </c>
      <c r="Y1453" t="s">
        <v>802</v>
      </c>
      <c r="Z1453" t="s">
        <v>792</v>
      </c>
      <c r="AB1453" t="s">
        <v>793</v>
      </c>
      <c r="AD1453" t="s">
        <v>794</v>
      </c>
      <c r="AE1453" t="s">
        <v>795</v>
      </c>
      <c r="AF1453" t="s">
        <v>796</v>
      </c>
      <c r="AG1453" t="s">
        <v>797</v>
      </c>
      <c r="AH1453">
        <v>318828</v>
      </c>
      <c r="AI1453">
        <v>336874</v>
      </c>
      <c r="AJ1453">
        <v>0.1</v>
      </c>
    </row>
    <row r="1454" spans="1:36" x14ac:dyDescent="0.3">
      <c r="A1454">
        <f>COUNTIF($D$2:D1454,D1454)</f>
        <v>17</v>
      </c>
      <c r="B1454" t="str">
        <f t="shared" si="89"/>
        <v>17Newcastle upon Tyne</v>
      </c>
      <c r="C1454" t="s">
        <v>4430</v>
      </c>
      <c r="D1454" t="s">
        <v>225</v>
      </c>
      <c r="E1454">
        <v>52</v>
      </c>
      <c r="F1454" t="s">
        <v>4431</v>
      </c>
      <c r="G1454" t="s">
        <v>806</v>
      </c>
      <c r="H1454" t="s">
        <v>812</v>
      </c>
      <c r="I1454" t="s">
        <v>808</v>
      </c>
      <c r="J1454">
        <f t="shared" ca="1" si="90"/>
        <v>1427227.6</v>
      </c>
      <c r="K1454">
        <f t="shared" ca="1" si="91"/>
        <v>419</v>
      </c>
      <c r="N1454" t="str">
        <f t="shared" si="88"/>
        <v>Lewisham47Home Care Home Care or Domiciliary CareDomiciliary care to support hospital discharge (Discharge to Assess pathway 1)</v>
      </c>
      <c r="O1454" t="s">
        <v>207</v>
      </c>
      <c r="P1454" t="s">
        <v>790</v>
      </c>
      <c r="Q1454">
        <v>47</v>
      </c>
      <c r="R1454" t="s">
        <v>3492</v>
      </c>
      <c r="S1454" t="s">
        <v>4432</v>
      </c>
      <c r="T1454" t="s">
        <v>842</v>
      </c>
      <c r="U1454" t="s">
        <v>856</v>
      </c>
      <c r="W1454">
        <v>735000</v>
      </c>
      <c r="X1454">
        <v>735000</v>
      </c>
      <c r="Y1454" t="s">
        <v>844</v>
      </c>
      <c r="Z1454" t="s">
        <v>792</v>
      </c>
      <c r="AB1454" t="s">
        <v>793</v>
      </c>
      <c r="AD1454" t="s">
        <v>794</v>
      </c>
      <c r="AE1454" t="s">
        <v>804</v>
      </c>
      <c r="AF1454" t="s">
        <v>864</v>
      </c>
      <c r="AG1454" t="s">
        <v>861</v>
      </c>
      <c r="AH1454">
        <v>1030804</v>
      </c>
      <c r="AI1454">
        <v>1030804</v>
      </c>
      <c r="AJ1454">
        <v>0.06</v>
      </c>
    </row>
    <row r="1455" spans="1:36" x14ac:dyDescent="0.3">
      <c r="A1455">
        <f>COUNTIF($D$2:D1455,D1455)</f>
        <v>18</v>
      </c>
      <c r="B1455" t="str">
        <f t="shared" si="89"/>
        <v>18Newcastle upon Tyne</v>
      </c>
      <c r="C1455" t="s">
        <v>4433</v>
      </c>
      <c r="D1455" t="s">
        <v>225</v>
      </c>
      <c r="E1455">
        <v>53</v>
      </c>
      <c r="F1455" t="s">
        <v>4434</v>
      </c>
      <c r="G1455" t="s">
        <v>842</v>
      </c>
      <c r="H1455" t="s">
        <v>856</v>
      </c>
      <c r="I1455" t="s">
        <v>844</v>
      </c>
      <c r="J1455">
        <f t="shared" ca="1" si="90"/>
        <v>362972.4</v>
      </c>
      <c r="K1455">
        <f t="shared" ca="1" si="91"/>
        <v>18347</v>
      </c>
      <c r="N1455" t="str">
        <f t="shared" si="88"/>
        <v>Lewisham48Home Care Home Care or Domiciliary CareDomiciliary care to support hospital discharge (Discharge to Assess pathway 1)</v>
      </c>
      <c r="O1455" t="s">
        <v>207</v>
      </c>
      <c r="P1455" t="s">
        <v>790</v>
      </c>
      <c r="Q1455">
        <v>48</v>
      </c>
      <c r="R1455" t="s">
        <v>3492</v>
      </c>
      <c r="S1455" t="s">
        <v>4432</v>
      </c>
      <c r="T1455" t="s">
        <v>842</v>
      </c>
      <c r="U1455" t="s">
        <v>856</v>
      </c>
      <c r="W1455">
        <v>735000</v>
      </c>
      <c r="X1455">
        <v>735000</v>
      </c>
      <c r="Y1455" t="s">
        <v>844</v>
      </c>
      <c r="Z1455" t="s">
        <v>792</v>
      </c>
      <c r="AB1455" t="s">
        <v>793</v>
      </c>
      <c r="AD1455" t="s">
        <v>794</v>
      </c>
      <c r="AE1455" t="s">
        <v>804</v>
      </c>
      <c r="AF1455" t="s">
        <v>860</v>
      </c>
      <c r="AG1455" t="s">
        <v>861</v>
      </c>
      <c r="AH1455">
        <v>334694</v>
      </c>
      <c r="AI1455">
        <v>0</v>
      </c>
      <c r="AJ1455">
        <v>0.17</v>
      </c>
    </row>
    <row r="1456" spans="1:36" x14ac:dyDescent="0.3">
      <c r="A1456">
        <f>COUNTIF($D$2:D1456,D1456)</f>
        <v>19</v>
      </c>
      <c r="B1456" t="str">
        <f t="shared" si="89"/>
        <v>19Newcastle upon Tyne</v>
      </c>
      <c r="C1456" t="s">
        <v>4435</v>
      </c>
      <c r="D1456" t="s">
        <v>225</v>
      </c>
      <c r="E1456">
        <v>54</v>
      </c>
      <c r="F1456" t="s">
        <v>4436</v>
      </c>
      <c r="G1456" t="s">
        <v>806</v>
      </c>
      <c r="H1456" t="s">
        <v>917</v>
      </c>
      <c r="I1456" t="s">
        <v>808</v>
      </c>
      <c r="J1456">
        <f t="shared" ca="1" si="90"/>
        <v>246118</v>
      </c>
      <c r="K1456">
        <f t="shared" ca="1" si="91"/>
        <v>4</v>
      </c>
      <c r="N1456" t="str">
        <f t="shared" si="88"/>
        <v>Lewisham49Residential Placements Residential PlacementsExtra care</v>
      </c>
      <c r="O1456" t="s">
        <v>207</v>
      </c>
      <c r="P1456" t="s">
        <v>790</v>
      </c>
      <c r="Q1456">
        <v>49</v>
      </c>
      <c r="R1456" t="s">
        <v>4016</v>
      </c>
      <c r="S1456" t="s">
        <v>4437</v>
      </c>
      <c r="T1456" t="s">
        <v>806</v>
      </c>
      <c r="U1456" t="s">
        <v>934</v>
      </c>
      <c r="W1456">
        <v>5</v>
      </c>
      <c r="X1456">
        <v>6</v>
      </c>
      <c r="Y1456" t="s">
        <v>808</v>
      </c>
      <c r="Z1456" t="s">
        <v>792</v>
      </c>
      <c r="AB1456" t="s">
        <v>793</v>
      </c>
      <c r="AD1456" t="s">
        <v>794</v>
      </c>
      <c r="AE1456" t="s">
        <v>804</v>
      </c>
      <c r="AF1456" t="s">
        <v>864</v>
      </c>
      <c r="AG1456" t="s">
        <v>861</v>
      </c>
      <c r="AH1456">
        <v>29000</v>
      </c>
      <c r="AI1456">
        <v>29000</v>
      </c>
      <c r="AJ1456">
        <v>0.01</v>
      </c>
    </row>
    <row r="1457" spans="1:36" x14ac:dyDescent="0.3">
      <c r="A1457">
        <f>COUNTIF($D$2:D1457,D1457)</f>
        <v>20</v>
      </c>
      <c r="B1457" t="str">
        <f t="shared" si="89"/>
        <v>20Newcastle upon Tyne</v>
      </c>
      <c r="C1457" t="s">
        <v>4438</v>
      </c>
      <c r="D1457" t="s">
        <v>225</v>
      </c>
      <c r="E1457">
        <v>60</v>
      </c>
      <c r="F1457" t="s">
        <v>4439</v>
      </c>
      <c r="G1457" t="s">
        <v>787</v>
      </c>
      <c r="H1457" t="s">
        <v>788</v>
      </c>
      <c r="I1457" t="s">
        <v>789</v>
      </c>
      <c r="J1457">
        <f t="shared" ca="1" si="90"/>
        <v>511667</v>
      </c>
      <c r="K1457">
        <f t="shared" ca="1" si="91"/>
        <v>430</v>
      </c>
      <c r="N1457" t="str">
        <f t="shared" si="88"/>
        <v>Lewisham50Residential Placements Bed based intermediate Care Services (Reablement, rehabilitation, wider short-term services supporting recovery)Bed-based intermediate care with reablement (to support discharge)</v>
      </c>
      <c r="O1457" t="s">
        <v>207</v>
      </c>
      <c r="P1457" t="s">
        <v>790</v>
      </c>
      <c r="Q1457">
        <v>50</v>
      </c>
      <c r="R1457" t="s">
        <v>4016</v>
      </c>
      <c r="S1457" t="s">
        <v>4437</v>
      </c>
      <c r="T1457" t="s">
        <v>877</v>
      </c>
      <c r="U1457" t="s">
        <v>878</v>
      </c>
      <c r="W1457">
        <v>2</v>
      </c>
      <c r="X1457">
        <v>2</v>
      </c>
      <c r="Y1457" t="s">
        <v>879</v>
      </c>
      <c r="Z1457" t="s">
        <v>792</v>
      </c>
      <c r="AB1457" t="s">
        <v>793</v>
      </c>
      <c r="AD1457" t="s">
        <v>794</v>
      </c>
      <c r="AE1457" t="s">
        <v>804</v>
      </c>
      <c r="AF1457" t="s">
        <v>864</v>
      </c>
      <c r="AG1457" t="s">
        <v>861</v>
      </c>
      <c r="AH1457">
        <v>110000</v>
      </c>
      <c r="AI1457">
        <v>110000</v>
      </c>
      <c r="AJ1457">
        <v>1E-3</v>
      </c>
    </row>
    <row r="1458" spans="1:36" x14ac:dyDescent="0.3">
      <c r="A1458">
        <f>COUNTIF($D$2:D1458,D1458)</f>
        <v>21</v>
      </c>
      <c r="B1458" t="str">
        <f t="shared" si="89"/>
        <v>21Newcastle upon Tyne</v>
      </c>
      <c r="C1458" t="s">
        <v>4440</v>
      </c>
      <c r="D1458" t="s">
        <v>225</v>
      </c>
      <c r="E1458">
        <v>66</v>
      </c>
      <c r="F1458" t="s">
        <v>4441</v>
      </c>
      <c r="G1458" t="s">
        <v>806</v>
      </c>
      <c r="H1458" t="s">
        <v>955</v>
      </c>
      <c r="I1458" t="s">
        <v>808</v>
      </c>
      <c r="J1458">
        <f t="shared" ca="1" si="90"/>
        <v>532033</v>
      </c>
      <c r="K1458">
        <f t="shared" ca="1" si="91"/>
        <v>12</v>
      </c>
      <c r="N1458" t="str">
        <f t="shared" si="88"/>
        <v>Lewisham60Enablement for double handed packagesHome-based intermediate care servicesReablement at home (accepting step up and step down users)</v>
      </c>
      <c r="O1458" t="s">
        <v>207</v>
      </c>
      <c r="P1458" t="s">
        <v>790</v>
      </c>
      <c r="Q1458">
        <v>60</v>
      </c>
      <c r="R1458" t="s">
        <v>4021</v>
      </c>
      <c r="S1458" t="s">
        <v>4442</v>
      </c>
      <c r="T1458" t="s">
        <v>787</v>
      </c>
      <c r="U1458" t="s">
        <v>930</v>
      </c>
      <c r="W1458">
        <v>129</v>
      </c>
      <c r="X1458">
        <v>159</v>
      </c>
      <c r="Y1458" t="s">
        <v>789</v>
      </c>
      <c r="Z1458" t="s">
        <v>792</v>
      </c>
      <c r="AB1458" t="s">
        <v>793</v>
      </c>
      <c r="AD1458" t="s">
        <v>794</v>
      </c>
      <c r="AE1458" t="s">
        <v>795</v>
      </c>
      <c r="AF1458" t="s">
        <v>864</v>
      </c>
      <c r="AG1458" t="s">
        <v>861</v>
      </c>
      <c r="AH1458">
        <v>300000</v>
      </c>
      <c r="AI1458">
        <v>300000</v>
      </c>
      <c r="AJ1458">
        <v>1</v>
      </c>
    </row>
    <row r="1459" spans="1:36" x14ac:dyDescent="0.3">
      <c r="A1459">
        <f>COUNTIF($D$2:D1459,D1459)</f>
        <v>1</v>
      </c>
      <c r="B1459" t="str">
        <f t="shared" si="89"/>
        <v>1Newham</v>
      </c>
      <c r="C1459" t="s">
        <v>4443</v>
      </c>
      <c r="D1459" t="s">
        <v>227</v>
      </c>
      <c r="E1459">
        <v>5</v>
      </c>
      <c r="F1459" t="s">
        <v>4444</v>
      </c>
      <c r="G1459" t="s">
        <v>806</v>
      </c>
      <c r="H1459" t="s">
        <v>917</v>
      </c>
      <c r="I1459" t="s">
        <v>808</v>
      </c>
      <c r="J1459">
        <f t="shared" ca="1" si="90"/>
        <v>842000</v>
      </c>
      <c r="K1459">
        <f t="shared" ca="1" si="91"/>
        <v>564</v>
      </c>
      <c r="N1459" t="str">
        <f t="shared" si="88"/>
        <v>Lewisham61Linkline support Assistive Technologies and EquipmentAssistive technologies including telecare</v>
      </c>
      <c r="O1459" t="s">
        <v>207</v>
      </c>
      <c r="P1459" t="s">
        <v>790</v>
      </c>
      <c r="Q1459">
        <v>61</v>
      </c>
      <c r="R1459" t="s">
        <v>4023</v>
      </c>
      <c r="S1459" t="s">
        <v>4445</v>
      </c>
      <c r="T1459" t="s">
        <v>800</v>
      </c>
      <c r="U1459" t="s">
        <v>850</v>
      </c>
      <c r="W1459">
        <v>11000</v>
      </c>
      <c r="X1459">
        <v>11500</v>
      </c>
      <c r="Y1459" t="s">
        <v>802</v>
      </c>
      <c r="Z1459" t="s">
        <v>792</v>
      </c>
      <c r="AB1459" t="s">
        <v>793</v>
      </c>
      <c r="AD1459" t="s">
        <v>794</v>
      </c>
      <c r="AE1459" t="s">
        <v>795</v>
      </c>
      <c r="AF1459" t="s">
        <v>860</v>
      </c>
      <c r="AG1459" t="s">
        <v>861</v>
      </c>
      <c r="AH1459">
        <v>43000</v>
      </c>
      <c r="AI1459">
        <v>0</v>
      </c>
      <c r="AJ1459">
        <v>1</v>
      </c>
    </row>
    <row r="1460" spans="1:36" x14ac:dyDescent="0.3">
      <c r="A1460">
        <f>COUNTIF($D$2:D1460,D1460)</f>
        <v>2</v>
      </c>
      <c r="B1460" t="str">
        <f t="shared" si="89"/>
        <v>2Newham</v>
      </c>
      <c r="C1460" t="s">
        <v>4446</v>
      </c>
      <c r="D1460" t="s">
        <v>227</v>
      </c>
      <c r="E1460">
        <v>6</v>
      </c>
      <c r="F1460" t="s">
        <v>4447</v>
      </c>
      <c r="G1460" t="s">
        <v>834</v>
      </c>
      <c r="H1460" t="s">
        <v>835</v>
      </c>
      <c r="I1460" t="s">
        <v>836</v>
      </c>
      <c r="J1460">
        <f t="shared" ca="1" si="90"/>
        <v>1848068</v>
      </c>
      <c r="K1460">
        <f t="shared" ca="1" si="91"/>
        <v>276</v>
      </c>
      <c r="N1460" t="str">
        <f t="shared" si="88"/>
        <v>Lincolnshire1Reablement in a persons homeHome-based intermediate care servicesReablement at home (accepting step up and step down users)</v>
      </c>
      <c r="O1460" t="s">
        <v>209</v>
      </c>
      <c r="P1460" t="s">
        <v>2478</v>
      </c>
      <c r="Q1460">
        <v>1</v>
      </c>
      <c r="R1460" t="s">
        <v>4025</v>
      </c>
      <c r="S1460" t="s">
        <v>4448</v>
      </c>
      <c r="T1460" t="s">
        <v>787</v>
      </c>
      <c r="U1460" t="s">
        <v>930</v>
      </c>
      <c r="W1460">
        <v>300</v>
      </c>
      <c r="X1460">
        <v>300</v>
      </c>
      <c r="Y1460" t="s">
        <v>789</v>
      </c>
      <c r="Z1460" t="s">
        <v>792</v>
      </c>
      <c r="AB1460" t="s">
        <v>793</v>
      </c>
      <c r="AD1460" t="s">
        <v>794</v>
      </c>
      <c r="AE1460" t="s">
        <v>804</v>
      </c>
      <c r="AF1460" t="s">
        <v>796</v>
      </c>
      <c r="AG1460" t="s">
        <v>797</v>
      </c>
      <c r="AH1460">
        <v>4133101</v>
      </c>
      <c r="AI1460">
        <v>4133101</v>
      </c>
      <c r="AJ1460">
        <v>1.1873380799362364E-2</v>
      </c>
    </row>
    <row r="1461" spans="1:36" x14ac:dyDescent="0.3">
      <c r="A1461">
        <f>COUNTIF($D$2:D1461,D1461)</f>
        <v>3</v>
      </c>
      <c r="B1461" t="str">
        <f t="shared" si="89"/>
        <v>3Newham</v>
      </c>
      <c r="C1461" t="s">
        <v>4449</v>
      </c>
      <c r="D1461" t="s">
        <v>227</v>
      </c>
      <c r="E1461">
        <v>7</v>
      </c>
      <c r="F1461" t="s">
        <v>4447</v>
      </c>
      <c r="G1461" t="s">
        <v>834</v>
      </c>
      <c r="H1461" t="s">
        <v>835</v>
      </c>
      <c r="I1461" t="s">
        <v>836</v>
      </c>
      <c r="J1461">
        <f t="shared" ca="1" si="90"/>
        <v>1000000</v>
      </c>
      <c r="K1461">
        <f t="shared" ca="1" si="91"/>
        <v>276</v>
      </c>
      <c r="N1461" t="str">
        <f t="shared" si="88"/>
        <v>Liverpool20Provision of personalised breaks for carers.Carers ServicesRespite services</v>
      </c>
      <c r="O1461" t="s">
        <v>211</v>
      </c>
      <c r="P1461" t="s">
        <v>1201</v>
      </c>
      <c r="Q1461">
        <v>20</v>
      </c>
      <c r="R1461" t="s">
        <v>4027</v>
      </c>
      <c r="S1461" t="s">
        <v>4450</v>
      </c>
      <c r="T1461" t="s">
        <v>811</v>
      </c>
      <c r="U1461" t="s">
        <v>830</v>
      </c>
      <c r="W1461">
        <v>180</v>
      </c>
      <c r="X1461">
        <v>200</v>
      </c>
      <c r="Y1461" t="s">
        <v>813</v>
      </c>
      <c r="Z1461" t="s">
        <v>792</v>
      </c>
      <c r="AB1461" t="s">
        <v>793</v>
      </c>
      <c r="AD1461" t="s">
        <v>794</v>
      </c>
      <c r="AE1461" t="s">
        <v>804</v>
      </c>
      <c r="AF1461" t="s">
        <v>796</v>
      </c>
      <c r="AG1461" t="s">
        <v>797</v>
      </c>
      <c r="AH1461">
        <v>269126</v>
      </c>
      <c r="AI1461">
        <v>282582</v>
      </c>
      <c r="AJ1461">
        <v>0.17909114865458378</v>
      </c>
    </row>
    <row r="1462" spans="1:36" x14ac:dyDescent="0.3">
      <c r="A1462">
        <f>COUNTIF($D$2:D1462,D1462)</f>
        <v>4</v>
      </c>
      <c r="B1462" t="str">
        <f t="shared" si="89"/>
        <v>4Newham</v>
      </c>
      <c r="C1462" t="s">
        <v>4451</v>
      </c>
      <c r="D1462" t="s">
        <v>227</v>
      </c>
      <c r="E1462">
        <v>17</v>
      </c>
      <c r="F1462" t="s">
        <v>4452</v>
      </c>
      <c r="G1462" t="s">
        <v>842</v>
      </c>
      <c r="H1462" t="s">
        <v>843</v>
      </c>
      <c r="I1462" t="s">
        <v>844</v>
      </c>
      <c r="J1462">
        <f t="shared" ca="1" si="90"/>
        <v>30301150</v>
      </c>
      <c r="K1462">
        <f t="shared" ca="1" si="91"/>
        <v>3200000</v>
      </c>
      <c r="N1462" t="str">
        <f t="shared" si="88"/>
        <v>Liverpool17Support for Carers
Carers ServicesOther</v>
      </c>
      <c r="O1462" t="s">
        <v>211</v>
      </c>
      <c r="P1462" t="s">
        <v>1201</v>
      </c>
      <c r="Q1462">
        <v>17</v>
      </c>
      <c r="R1462" t="s">
        <v>4029</v>
      </c>
      <c r="S1462" t="s">
        <v>4453</v>
      </c>
      <c r="T1462" t="s">
        <v>811</v>
      </c>
      <c r="U1462" t="s">
        <v>812</v>
      </c>
      <c r="V1462" t="s">
        <v>4454</v>
      </c>
      <c r="W1462">
        <v>500</v>
      </c>
      <c r="X1462">
        <v>500</v>
      </c>
      <c r="Y1462" t="s">
        <v>813</v>
      </c>
      <c r="Z1462" t="s">
        <v>792</v>
      </c>
      <c r="AB1462" t="s">
        <v>793</v>
      </c>
      <c r="AD1462" t="s">
        <v>794</v>
      </c>
      <c r="AE1462" t="s">
        <v>824</v>
      </c>
      <c r="AF1462" t="s">
        <v>796</v>
      </c>
      <c r="AG1462" t="s">
        <v>797</v>
      </c>
      <c r="AH1462">
        <v>53387</v>
      </c>
      <c r="AI1462">
        <v>56056</v>
      </c>
      <c r="AJ1462">
        <v>3.5526627502442218E-2</v>
      </c>
    </row>
    <row r="1463" spans="1:36" x14ac:dyDescent="0.3">
      <c r="A1463">
        <f>COUNTIF($D$2:D1463,D1463)</f>
        <v>5</v>
      </c>
      <c r="B1463" t="str">
        <f t="shared" si="89"/>
        <v>5Newham</v>
      </c>
      <c r="C1463" t="s">
        <v>4455</v>
      </c>
      <c r="D1463" t="s">
        <v>227</v>
      </c>
      <c r="E1463">
        <v>20</v>
      </c>
      <c r="F1463" t="s">
        <v>4456</v>
      </c>
      <c r="G1463" t="s">
        <v>806</v>
      </c>
      <c r="H1463" t="s">
        <v>807</v>
      </c>
      <c r="I1463" t="s">
        <v>808</v>
      </c>
      <c r="J1463">
        <f t="shared" ca="1" si="90"/>
        <v>6656407.1100000003</v>
      </c>
      <c r="K1463">
        <f t="shared" ca="1" si="91"/>
        <v>121.15</v>
      </c>
      <c r="N1463" t="str">
        <f t="shared" si="88"/>
        <v>Liverpool19Provision of services that enable the Council to comply with statutory duties in respect of carers as defined in the Care Act 2014 and Children and Families Act 2014.
Carers ServicesCarer advice and support related to Care Act duties</v>
      </c>
      <c r="O1463" t="s">
        <v>211</v>
      </c>
      <c r="P1463" t="s">
        <v>1201</v>
      </c>
      <c r="Q1463">
        <v>19</v>
      </c>
      <c r="R1463" t="s">
        <v>4032</v>
      </c>
      <c r="S1463" t="s">
        <v>4457</v>
      </c>
      <c r="T1463" t="s">
        <v>811</v>
      </c>
      <c r="U1463" t="s">
        <v>895</v>
      </c>
      <c r="W1463">
        <v>3500</v>
      </c>
      <c r="X1463">
        <v>3700</v>
      </c>
      <c r="Y1463" t="s">
        <v>813</v>
      </c>
      <c r="Z1463" t="s">
        <v>792</v>
      </c>
      <c r="AB1463" t="s">
        <v>793</v>
      </c>
      <c r="AD1463" t="s">
        <v>794</v>
      </c>
      <c r="AE1463" t="s">
        <v>825</v>
      </c>
      <c r="AF1463" t="s">
        <v>796</v>
      </c>
      <c r="AG1463" t="s">
        <v>797</v>
      </c>
      <c r="AH1463">
        <v>853126</v>
      </c>
      <c r="AI1463">
        <v>895782</v>
      </c>
      <c r="AJ1463">
        <v>0.567716665380121</v>
      </c>
    </row>
    <row r="1464" spans="1:36" x14ac:dyDescent="0.3">
      <c r="A1464">
        <f>COUNTIF($D$2:D1464,D1464)</f>
        <v>6</v>
      </c>
      <c r="B1464" t="str">
        <f t="shared" si="89"/>
        <v>6Newham</v>
      </c>
      <c r="C1464" t="s">
        <v>4458</v>
      </c>
      <c r="D1464" t="s">
        <v>227</v>
      </c>
      <c r="E1464">
        <v>21</v>
      </c>
      <c r="F1464" t="s">
        <v>4456</v>
      </c>
      <c r="G1464" t="s">
        <v>842</v>
      </c>
      <c r="H1464" t="s">
        <v>843</v>
      </c>
      <c r="I1464" t="s">
        <v>844</v>
      </c>
      <c r="J1464">
        <f t="shared" ca="1" si="90"/>
        <v>772725.89</v>
      </c>
      <c r="K1464">
        <f t="shared" ca="1" si="91"/>
        <v>3200000</v>
      </c>
      <c r="N1464" t="str">
        <f t="shared" si="88"/>
        <v>Liverpool15Supported AccomodationResidential PlacementsSupported housing</v>
      </c>
      <c r="O1464" t="s">
        <v>211</v>
      </c>
      <c r="P1464" t="s">
        <v>1201</v>
      </c>
      <c r="Q1464">
        <v>15</v>
      </c>
      <c r="R1464" t="s">
        <v>4035</v>
      </c>
      <c r="S1464" t="s">
        <v>4459</v>
      </c>
      <c r="T1464" t="s">
        <v>806</v>
      </c>
      <c r="U1464" t="s">
        <v>873</v>
      </c>
      <c r="W1464">
        <v>300</v>
      </c>
      <c r="X1464">
        <v>300</v>
      </c>
      <c r="Y1464" t="s">
        <v>808</v>
      </c>
      <c r="Z1464" t="s">
        <v>792</v>
      </c>
      <c r="AB1464" t="s">
        <v>793</v>
      </c>
      <c r="AD1464" t="s">
        <v>794</v>
      </c>
      <c r="AE1464" t="s">
        <v>804</v>
      </c>
      <c r="AF1464" t="s">
        <v>796</v>
      </c>
      <c r="AG1464" t="s">
        <v>797</v>
      </c>
      <c r="AH1464">
        <v>533871</v>
      </c>
      <c r="AI1464">
        <v>560565</v>
      </c>
      <c r="AJ1464">
        <v>5.3333191343521878E-3</v>
      </c>
    </row>
    <row r="1465" spans="1:36" x14ac:dyDescent="0.3">
      <c r="A1465">
        <f>COUNTIF($D$2:D1465,D1465)</f>
        <v>7</v>
      </c>
      <c r="B1465" t="str">
        <f t="shared" si="89"/>
        <v>7Newham</v>
      </c>
      <c r="C1465" t="s">
        <v>4460</v>
      </c>
      <c r="D1465" t="s">
        <v>227</v>
      </c>
      <c r="E1465">
        <v>24</v>
      </c>
      <c r="F1465" t="s">
        <v>4461</v>
      </c>
      <c r="G1465" t="s">
        <v>800</v>
      </c>
      <c r="H1465" t="s">
        <v>903</v>
      </c>
      <c r="I1465" t="s">
        <v>802</v>
      </c>
      <c r="J1465">
        <f t="shared" ca="1" si="90"/>
        <v>1031560.6209999998</v>
      </c>
      <c r="K1465">
        <f t="shared" ca="1" si="91"/>
        <v>916</v>
      </c>
      <c r="N1465" t="str">
        <f t="shared" si="88"/>
        <v>Liverpool16Supported AccomodationResidential PlacementsSupported housing</v>
      </c>
      <c r="O1465" t="s">
        <v>211</v>
      </c>
      <c r="P1465" t="s">
        <v>1201</v>
      </c>
      <c r="Q1465">
        <v>16</v>
      </c>
      <c r="R1465" t="s">
        <v>4035</v>
      </c>
      <c r="S1465" t="s">
        <v>4459</v>
      </c>
      <c r="T1465" t="s">
        <v>806</v>
      </c>
      <c r="U1465" t="s">
        <v>873</v>
      </c>
      <c r="W1465">
        <v>350</v>
      </c>
      <c r="X1465">
        <v>350</v>
      </c>
      <c r="Y1465" t="s">
        <v>808</v>
      </c>
      <c r="Z1465" t="s">
        <v>792</v>
      </c>
      <c r="AB1465" t="s">
        <v>793</v>
      </c>
      <c r="AD1465" t="s">
        <v>794</v>
      </c>
      <c r="AE1465" t="s">
        <v>804</v>
      </c>
      <c r="AF1465" t="s">
        <v>1029</v>
      </c>
      <c r="AG1465" t="s">
        <v>797</v>
      </c>
      <c r="AH1465">
        <v>5314833</v>
      </c>
      <c r="AI1465">
        <v>5580575</v>
      </c>
      <c r="AJ1465">
        <v>5.3094662446146058E-2</v>
      </c>
    </row>
    <row r="1466" spans="1:36" x14ac:dyDescent="0.3">
      <c r="A1466">
        <f>COUNTIF($D$2:D1466,D1466)</f>
        <v>8</v>
      </c>
      <c r="B1466" t="str">
        <f t="shared" si="89"/>
        <v>8Newham</v>
      </c>
      <c r="C1466" t="s">
        <v>4462</v>
      </c>
      <c r="D1466" t="s">
        <v>227</v>
      </c>
      <c r="E1466">
        <v>25</v>
      </c>
      <c r="F1466" t="s">
        <v>4452</v>
      </c>
      <c r="G1466" t="s">
        <v>806</v>
      </c>
      <c r="H1466" t="s">
        <v>807</v>
      </c>
      <c r="I1466" t="s">
        <v>808</v>
      </c>
      <c r="J1466">
        <f t="shared" ca="1" si="90"/>
        <v>30987850</v>
      </c>
      <c r="K1466">
        <f t="shared" ca="1" si="91"/>
        <v>442.85</v>
      </c>
      <c r="N1466" t="str">
        <f t="shared" si="88"/>
        <v>Liverpool41Advice &amp; support to access and plan care.Carers ServicesCarer advice and support related to Care Act duties</v>
      </c>
      <c r="O1466" t="s">
        <v>211</v>
      </c>
      <c r="P1466" t="s">
        <v>1201</v>
      </c>
      <c r="Q1466">
        <v>41</v>
      </c>
      <c r="R1466" t="s">
        <v>4039</v>
      </c>
      <c r="S1466" t="s">
        <v>4463</v>
      </c>
      <c r="T1466" t="s">
        <v>811</v>
      </c>
      <c r="U1466" t="s">
        <v>895</v>
      </c>
      <c r="W1466">
        <v>1200</v>
      </c>
      <c r="X1466">
        <v>1200</v>
      </c>
      <c r="Y1466" t="s">
        <v>813</v>
      </c>
      <c r="Z1466" t="s">
        <v>792</v>
      </c>
      <c r="AB1466" t="s">
        <v>793</v>
      </c>
      <c r="AD1466" t="s">
        <v>794</v>
      </c>
      <c r="AE1466" t="s">
        <v>825</v>
      </c>
      <c r="AF1466" t="s">
        <v>796</v>
      </c>
      <c r="AG1466" t="s">
        <v>797</v>
      </c>
      <c r="AH1466">
        <v>178313</v>
      </c>
      <c r="AI1466">
        <v>187229</v>
      </c>
      <c r="AJ1466">
        <v>0.11865921534911082</v>
      </c>
    </row>
    <row r="1467" spans="1:36" x14ac:dyDescent="0.3">
      <c r="A1467">
        <f>COUNTIF($D$2:D1467,D1467)</f>
        <v>9</v>
      </c>
      <c r="B1467" t="str">
        <f t="shared" si="89"/>
        <v>9Newham</v>
      </c>
      <c r="C1467" t="s">
        <v>4464</v>
      </c>
      <c r="D1467" t="s">
        <v>227</v>
      </c>
      <c r="E1467">
        <v>30</v>
      </c>
      <c r="F1467" t="s">
        <v>4465</v>
      </c>
      <c r="G1467" t="s">
        <v>877</v>
      </c>
      <c r="H1467" t="s">
        <v>968</v>
      </c>
      <c r="I1467" t="s">
        <v>879</v>
      </c>
      <c r="J1467">
        <f t="shared" ca="1" si="90"/>
        <v>1059000</v>
      </c>
      <c r="K1467">
        <f t="shared" ca="1" si="91"/>
        <v>35000</v>
      </c>
      <c r="N1467" t="str">
        <f t="shared" si="88"/>
        <v>Liverpool28Mental Capacity Act GrantCarers ServicesCarer advice and support related to Care Act duties</v>
      </c>
      <c r="O1467" t="s">
        <v>211</v>
      </c>
      <c r="P1467" t="s">
        <v>1201</v>
      </c>
      <c r="Q1467">
        <v>28</v>
      </c>
      <c r="R1467" t="s">
        <v>4041</v>
      </c>
      <c r="S1467" t="s">
        <v>4466</v>
      </c>
      <c r="T1467" t="s">
        <v>811</v>
      </c>
      <c r="U1467" t="s">
        <v>895</v>
      </c>
      <c r="W1467">
        <v>300</v>
      </c>
      <c r="X1467">
        <v>300</v>
      </c>
      <c r="Y1467" t="s">
        <v>813</v>
      </c>
      <c r="Z1467" t="s">
        <v>1006</v>
      </c>
      <c r="AB1467" t="s">
        <v>793</v>
      </c>
      <c r="AD1467" t="s">
        <v>794</v>
      </c>
      <c r="AE1467" t="s">
        <v>825</v>
      </c>
      <c r="AF1467" t="s">
        <v>796</v>
      </c>
      <c r="AG1467" t="s">
        <v>797</v>
      </c>
      <c r="AH1467">
        <v>100426</v>
      </c>
      <c r="AI1467">
        <v>105447</v>
      </c>
      <c r="AJ1467">
        <v>6.6828948874449998E-2</v>
      </c>
    </row>
    <row r="1468" spans="1:36" x14ac:dyDescent="0.3">
      <c r="A1468">
        <f>COUNTIF($D$2:D1468,D1468)</f>
        <v>10</v>
      </c>
      <c r="B1468" t="str">
        <f t="shared" si="89"/>
        <v>10Newham</v>
      </c>
      <c r="C1468" t="s">
        <v>4467</v>
      </c>
      <c r="D1468" t="s">
        <v>227</v>
      </c>
      <c r="E1468">
        <v>32</v>
      </c>
      <c r="F1468" t="s">
        <v>4468</v>
      </c>
      <c r="G1468" t="s">
        <v>811</v>
      </c>
      <c r="H1468" t="s">
        <v>830</v>
      </c>
      <c r="I1468" t="s">
        <v>813</v>
      </c>
      <c r="J1468">
        <f t="shared" ca="1" si="90"/>
        <v>536000</v>
      </c>
      <c r="K1468">
        <f t="shared" ca="1" si="91"/>
        <v>1116</v>
      </c>
      <c r="N1468" t="str">
        <f t="shared" si="88"/>
        <v>Liverpool23Support of Health &amp; Social Care Mental Health Clients
Residential PlacementsSupported housing</v>
      </c>
      <c r="O1468" t="s">
        <v>211</v>
      </c>
      <c r="P1468" t="s">
        <v>1201</v>
      </c>
      <c r="Q1468">
        <v>23</v>
      </c>
      <c r="R1468" t="s">
        <v>4044</v>
      </c>
      <c r="S1468" t="s">
        <v>4469</v>
      </c>
      <c r="T1468" t="s">
        <v>806</v>
      </c>
      <c r="U1468" t="s">
        <v>873</v>
      </c>
      <c r="W1468">
        <v>5</v>
      </c>
      <c r="X1468">
        <v>5</v>
      </c>
      <c r="Y1468" t="s">
        <v>808</v>
      </c>
      <c r="Z1468" t="s">
        <v>792</v>
      </c>
      <c r="AB1468" t="s">
        <v>793</v>
      </c>
      <c r="AD1468" t="s">
        <v>794</v>
      </c>
      <c r="AE1468" t="s">
        <v>804</v>
      </c>
      <c r="AF1468" t="s">
        <v>796</v>
      </c>
      <c r="AG1468" t="s">
        <v>797</v>
      </c>
      <c r="AH1468">
        <v>72233</v>
      </c>
      <c r="AI1468">
        <v>75845</v>
      </c>
      <c r="AJ1468">
        <v>7.216006133160662E-4</v>
      </c>
    </row>
    <row r="1469" spans="1:36" x14ac:dyDescent="0.3">
      <c r="A1469">
        <f>COUNTIF($D$2:D1469,D1469)</f>
        <v>11</v>
      </c>
      <c r="B1469" t="str">
        <f t="shared" si="89"/>
        <v>11Newham</v>
      </c>
      <c r="C1469" t="s">
        <v>4470</v>
      </c>
      <c r="D1469" t="s">
        <v>227</v>
      </c>
      <c r="E1469">
        <v>31</v>
      </c>
      <c r="F1469" t="s">
        <v>4471</v>
      </c>
      <c r="G1469" t="s">
        <v>842</v>
      </c>
      <c r="H1469" t="s">
        <v>856</v>
      </c>
      <c r="I1469" t="s">
        <v>844</v>
      </c>
      <c r="J1469">
        <f t="shared" ca="1" si="90"/>
        <v>2410372</v>
      </c>
      <c r="K1469">
        <f t="shared" ca="1" si="91"/>
        <v>35000</v>
      </c>
      <c r="N1469" t="str">
        <f t="shared" si="88"/>
        <v>Liverpool29Community Support TeamBed based intermediate Care Services (Reablement, rehabilitation, wider short-term services supporting recovery)Other</v>
      </c>
      <c r="O1469" t="s">
        <v>211</v>
      </c>
      <c r="P1469" t="s">
        <v>1201</v>
      </c>
      <c r="Q1469">
        <v>29</v>
      </c>
      <c r="R1469" t="s">
        <v>4047</v>
      </c>
      <c r="S1469" t="s">
        <v>4047</v>
      </c>
      <c r="T1469" t="s">
        <v>877</v>
      </c>
      <c r="U1469" t="s">
        <v>812</v>
      </c>
      <c r="V1469" t="s">
        <v>3569</v>
      </c>
      <c r="W1469">
        <v>10</v>
      </c>
      <c r="X1469">
        <v>10</v>
      </c>
      <c r="Y1469" t="s">
        <v>879</v>
      </c>
      <c r="Z1469" t="s">
        <v>792</v>
      </c>
      <c r="AB1469" t="s">
        <v>793</v>
      </c>
      <c r="AD1469" t="s">
        <v>794</v>
      </c>
      <c r="AE1469" t="s">
        <v>795</v>
      </c>
      <c r="AF1469" t="s">
        <v>796</v>
      </c>
      <c r="AG1469" t="s">
        <v>797</v>
      </c>
      <c r="AH1469">
        <v>28773</v>
      </c>
      <c r="AI1469">
        <v>30212</v>
      </c>
      <c r="AJ1469">
        <v>1.7728740837947799E-3</v>
      </c>
    </row>
    <row r="1470" spans="1:36" x14ac:dyDescent="0.3">
      <c r="A1470">
        <f>COUNTIF($D$2:D1470,D1470)</f>
        <v>12</v>
      </c>
      <c r="B1470" t="str">
        <f t="shared" si="89"/>
        <v>12Newham</v>
      </c>
      <c r="C1470" t="s">
        <v>4472</v>
      </c>
      <c r="D1470" t="s">
        <v>227</v>
      </c>
      <c r="E1470">
        <v>32</v>
      </c>
      <c r="F1470" t="s">
        <v>4471</v>
      </c>
      <c r="G1470" t="s">
        <v>787</v>
      </c>
      <c r="H1470" t="s">
        <v>788</v>
      </c>
      <c r="I1470" t="s">
        <v>789</v>
      </c>
      <c r="J1470">
        <f t="shared" ca="1" si="90"/>
        <v>1171877</v>
      </c>
      <c r="K1470">
        <f t="shared" ca="1" si="91"/>
        <v>35000</v>
      </c>
      <c r="N1470" t="str">
        <f t="shared" si="88"/>
        <v>Liverpool31Joint Funded Packages – Mental Health S117
Residential PlacementsNursing home</v>
      </c>
      <c r="O1470" t="s">
        <v>211</v>
      </c>
      <c r="P1470" t="s">
        <v>1201</v>
      </c>
      <c r="Q1470">
        <v>31</v>
      </c>
      <c r="R1470" t="s">
        <v>4050</v>
      </c>
      <c r="S1470" t="s">
        <v>4469</v>
      </c>
      <c r="T1470" t="s">
        <v>806</v>
      </c>
      <c r="U1470" t="s">
        <v>917</v>
      </c>
      <c r="W1470">
        <v>218</v>
      </c>
      <c r="X1470">
        <v>218</v>
      </c>
      <c r="Y1470" t="s">
        <v>808</v>
      </c>
      <c r="Z1470" t="s">
        <v>1006</v>
      </c>
      <c r="AB1470" t="s">
        <v>1739</v>
      </c>
      <c r="AC1470">
        <v>0.5</v>
      </c>
      <c r="AD1470">
        <v>0.5</v>
      </c>
      <c r="AE1470" t="s">
        <v>804</v>
      </c>
      <c r="AF1470" t="s">
        <v>1029</v>
      </c>
      <c r="AG1470" t="s">
        <v>797</v>
      </c>
      <c r="AH1470">
        <v>13039960</v>
      </c>
      <c r="AI1470">
        <v>13691958</v>
      </c>
      <c r="AJ1470">
        <v>0.13026792648259067</v>
      </c>
    </row>
    <row r="1471" spans="1:36" x14ac:dyDescent="0.3">
      <c r="A1471">
        <f>COUNTIF($D$2:D1471,D1471)</f>
        <v>1</v>
      </c>
      <c r="B1471" t="str">
        <f t="shared" si="89"/>
        <v>1Norfolk</v>
      </c>
      <c r="C1471" t="s">
        <v>4473</v>
      </c>
      <c r="D1471" t="s">
        <v>229</v>
      </c>
      <c r="E1471">
        <v>2</v>
      </c>
      <c r="F1471" t="s">
        <v>4474</v>
      </c>
      <c r="G1471" t="s">
        <v>811</v>
      </c>
      <c r="H1471" t="s">
        <v>895</v>
      </c>
      <c r="I1471" t="s">
        <v>813</v>
      </c>
      <c r="J1471">
        <f t="shared" ca="1" si="90"/>
        <v>1416720</v>
      </c>
      <c r="K1471">
        <f t="shared" ca="1" si="91"/>
        <v>2244</v>
      </c>
      <c r="N1471" t="str">
        <f t="shared" si="88"/>
        <v>Liverpool30Joint Funded Packages – Mental Health S117
Residential PlacementsNursing home</v>
      </c>
      <c r="O1471" t="s">
        <v>211</v>
      </c>
      <c r="P1471" t="s">
        <v>1201</v>
      </c>
      <c r="Q1471">
        <v>30</v>
      </c>
      <c r="R1471" t="s">
        <v>4050</v>
      </c>
      <c r="S1471" t="s">
        <v>4469</v>
      </c>
      <c r="T1471" t="s">
        <v>806</v>
      </c>
      <c r="U1471" t="s">
        <v>917</v>
      </c>
      <c r="W1471">
        <v>50</v>
      </c>
      <c r="X1471">
        <v>50</v>
      </c>
      <c r="Y1471" t="s">
        <v>808</v>
      </c>
      <c r="Z1471" t="s">
        <v>1006</v>
      </c>
      <c r="AB1471" t="s">
        <v>1739</v>
      </c>
      <c r="AC1471">
        <v>0.5</v>
      </c>
      <c r="AD1471">
        <v>0.5</v>
      </c>
      <c r="AE1471" t="s">
        <v>804</v>
      </c>
      <c r="AF1471" t="s">
        <v>1042</v>
      </c>
      <c r="AG1471" t="s">
        <v>797</v>
      </c>
      <c r="AH1471">
        <v>3087800</v>
      </c>
      <c r="AI1471">
        <v>3242190</v>
      </c>
      <c r="AJ1471">
        <v>3.0846820342466039E-2</v>
      </c>
    </row>
    <row r="1472" spans="1:36" x14ac:dyDescent="0.3">
      <c r="A1472">
        <f>COUNTIF($D$2:D1472,D1472)</f>
        <v>2</v>
      </c>
      <c r="B1472" t="str">
        <f t="shared" si="89"/>
        <v>2Norfolk</v>
      </c>
      <c r="C1472" t="s">
        <v>4475</v>
      </c>
      <c r="D1472" t="s">
        <v>229</v>
      </c>
      <c r="E1472">
        <v>9</v>
      </c>
      <c r="F1472" t="s">
        <v>4476</v>
      </c>
      <c r="G1472" t="s">
        <v>800</v>
      </c>
      <c r="H1472" t="s">
        <v>903</v>
      </c>
      <c r="I1472" t="s">
        <v>802</v>
      </c>
      <c r="J1472">
        <f t="shared" ca="1" si="90"/>
        <v>7172953</v>
      </c>
      <c r="K1472">
        <f t="shared" ca="1" si="91"/>
        <v>37450</v>
      </c>
      <c r="N1472" t="str">
        <f t="shared" si="88"/>
        <v>Liverpool101Joint Funded Packages – Mental Health S117
Residential PlacementsNursing home</v>
      </c>
      <c r="O1472" t="s">
        <v>211</v>
      </c>
      <c r="P1472" t="s">
        <v>1201</v>
      </c>
      <c r="Q1472">
        <v>101</v>
      </c>
      <c r="R1472" t="s">
        <v>4050</v>
      </c>
      <c r="S1472" t="s">
        <v>4469</v>
      </c>
      <c r="T1472" t="s">
        <v>806</v>
      </c>
      <c r="U1472" t="s">
        <v>917</v>
      </c>
      <c r="W1472">
        <v>180</v>
      </c>
      <c r="X1472">
        <v>180</v>
      </c>
      <c r="Y1472" t="s">
        <v>808</v>
      </c>
      <c r="Z1472" t="s">
        <v>1006</v>
      </c>
      <c r="AB1472" t="s">
        <v>1739</v>
      </c>
      <c r="AC1472">
        <v>0.5</v>
      </c>
      <c r="AD1472">
        <v>0.5</v>
      </c>
      <c r="AE1472" t="s">
        <v>804</v>
      </c>
      <c r="AF1472" t="s">
        <v>1042</v>
      </c>
      <c r="AG1472" t="s">
        <v>797</v>
      </c>
      <c r="AH1472">
        <v>10739329</v>
      </c>
      <c r="AI1472">
        <v>11276296</v>
      </c>
      <c r="AJ1472">
        <v>0.107284847548946</v>
      </c>
    </row>
    <row r="1473" spans="1:36" x14ac:dyDescent="0.3">
      <c r="A1473">
        <f>COUNTIF($D$2:D1473,D1473)</f>
        <v>3</v>
      </c>
      <c r="B1473" t="str">
        <f t="shared" si="89"/>
        <v>3Norfolk</v>
      </c>
      <c r="C1473" t="s">
        <v>4477</v>
      </c>
      <c r="D1473" t="s">
        <v>229</v>
      </c>
      <c r="E1473">
        <v>20</v>
      </c>
      <c r="F1473" t="s">
        <v>4478</v>
      </c>
      <c r="G1473" t="s">
        <v>787</v>
      </c>
      <c r="H1473" t="s">
        <v>930</v>
      </c>
      <c r="I1473" t="s">
        <v>789</v>
      </c>
      <c r="J1473">
        <f t="shared" ca="1" si="90"/>
        <v>10242162</v>
      </c>
      <c r="K1473">
        <f t="shared" ca="1" si="91"/>
        <v>6827</v>
      </c>
      <c r="N1473" t="str">
        <f t="shared" si="88"/>
        <v>Liverpool27Joint Funded Packages MH rehab (supported Accommodation)Residential PlacementsSupported housing</v>
      </c>
      <c r="O1473" t="s">
        <v>211</v>
      </c>
      <c r="P1473" t="s">
        <v>1201</v>
      </c>
      <c r="Q1473">
        <v>27</v>
      </c>
      <c r="R1473" t="s">
        <v>4056</v>
      </c>
      <c r="S1473" t="s">
        <v>4469</v>
      </c>
      <c r="T1473" t="s">
        <v>806</v>
      </c>
      <c r="U1473" t="s">
        <v>873</v>
      </c>
      <c r="W1473">
        <v>35</v>
      </c>
      <c r="X1473">
        <v>35</v>
      </c>
      <c r="Y1473" t="s">
        <v>808</v>
      </c>
      <c r="Z1473" t="s">
        <v>1006</v>
      </c>
      <c r="AB1473" t="s">
        <v>1739</v>
      </c>
      <c r="AC1473">
        <v>0.5</v>
      </c>
      <c r="AD1473">
        <v>0.5</v>
      </c>
      <c r="AE1473" t="s">
        <v>804</v>
      </c>
      <c r="AF1473" t="s">
        <v>1029</v>
      </c>
      <c r="AG1473" t="s">
        <v>797</v>
      </c>
      <c r="AH1473">
        <v>1090706</v>
      </c>
      <c r="AI1473">
        <v>1145241</v>
      </c>
      <c r="AJ1473">
        <v>1.0896046385274229E-2</v>
      </c>
    </row>
    <row r="1474" spans="1:36" x14ac:dyDescent="0.3">
      <c r="A1474">
        <f>COUNTIF($D$2:D1474,D1474)</f>
        <v>4</v>
      </c>
      <c r="B1474" t="str">
        <f t="shared" si="89"/>
        <v>4Norfolk</v>
      </c>
      <c r="C1474" t="s">
        <v>4479</v>
      </c>
      <c r="D1474" t="s">
        <v>229</v>
      </c>
      <c r="E1474">
        <v>51</v>
      </c>
      <c r="F1474" t="s">
        <v>4480</v>
      </c>
      <c r="G1474" t="s">
        <v>842</v>
      </c>
      <c r="H1474" t="s">
        <v>1102</v>
      </c>
      <c r="I1474" t="s">
        <v>789</v>
      </c>
      <c r="J1474">
        <f t="shared" ca="1" si="90"/>
        <v>1224000</v>
      </c>
      <c r="K1474">
        <f t="shared" ca="1" si="91"/>
        <v>380</v>
      </c>
      <c r="N1474" t="str">
        <f t="shared" ref="N1474:N1537" si="92">O1474&amp;Q1474&amp;R1474&amp;T1474&amp;U1474</f>
        <v>Liverpool25Joint Funded Packages MH rehab (supported Accommodation)Residential PlacementsSupported housing</v>
      </c>
      <c r="O1474" t="s">
        <v>211</v>
      </c>
      <c r="P1474" t="s">
        <v>1201</v>
      </c>
      <c r="Q1474">
        <v>25</v>
      </c>
      <c r="R1474" t="s">
        <v>4056</v>
      </c>
      <c r="S1474" t="s">
        <v>4469</v>
      </c>
      <c r="T1474" t="s">
        <v>806</v>
      </c>
      <c r="U1474" t="s">
        <v>873</v>
      </c>
      <c r="W1474">
        <v>45</v>
      </c>
      <c r="X1474">
        <v>45</v>
      </c>
      <c r="Y1474" t="s">
        <v>808</v>
      </c>
      <c r="Z1474" t="s">
        <v>1006</v>
      </c>
      <c r="AB1474" t="s">
        <v>1739</v>
      </c>
      <c r="AC1474">
        <v>0.5</v>
      </c>
      <c r="AD1474">
        <v>0.5</v>
      </c>
      <c r="AE1474" t="s">
        <v>804</v>
      </c>
      <c r="AF1474" t="s">
        <v>1042</v>
      </c>
      <c r="AG1474" t="s">
        <v>797</v>
      </c>
      <c r="AH1474">
        <v>1385941</v>
      </c>
      <c r="AI1474">
        <v>1455239</v>
      </c>
      <c r="AJ1474">
        <v>1.3845415192777292E-2</v>
      </c>
    </row>
    <row r="1475" spans="1:36" x14ac:dyDescent="0.3">
      <c r="A1475">
        <f>COUNTIF($D$2:D1475,D1475)</f>
        <v>5</v>
      </c>
      <c r="B1475" t="str">
        <f t="shared" ref="B1475:B1538" si="93">A1475&amp;D1475</f>
        <v>5Norfolk</v>
      </c>
      <c r="C1475" t="s">
        <v>4481</v>
      </c>
      <c r="D1475" t="s">
        <v>229</v>
      </c>
      <c r="E1475">
        <v>64</v>
      </c>
      <c r="F1475" t="s">
        <v>4482</v>
      </c>
      <c r="G1475" t="s">
        <v>842</v>
      </c>
      <c r="H1475" t="s">
        <v>843</v>
      </c>
      <c r="I1475" t="s">
        <v>844</v>
      </c>
      <c r="J1475">
        <f t="shared" ref="J1475:J1538" ca="1" si="94">SUMIF($N:$AI,C1475,AH:AH)</f>
        <v>3343270</v>
      </c>
      <c r="K1475">
        <f t="shared" ref="K1475:K1538" ca="1" si="95">SUMIF($N:$AI,C1475,W:W)</f>
        <v>138610</v>
      </c>
      <c r="N1475" t="str">
        <f t="shared" si="92"/>
        <v>Liverpool90Joint Funded Packages- Complex Needs PHBResidential PlacementsNursing home</v>
      </c>
      <c r="O1475" t="s">
        <v>211</v>
      </c>
      <c r="P1475" t="s">
        <v>1201</v>
      </c>
      <c r="Q1475">
        <v>90</v>
      </c>
      <c r="R1475" t="s">
        <v>4060</v>
      </c>
      <c r="S1475" t="s">
        <v>4469</v>
      </c>
      <c r="T1475" t="s">
        <v>806</v>
      </c>
      <c r="U1475" t="s">
        <v>917</v>
      </c>
      <c r="W1475">
        <v>10</v>
      </c>
      <c r="X1475">
        <v>10</v>
      </c>
      <c r="Y1475" t="s">
        <v>808</v>
      </c>
      <c r="Z1475" t="s">
        <v>792</v>
      </c>
      <c r="AB1475" t="s">
        <v>1739</v>
      </c>
      <c r="AC1475">
        <v>0.5</v>
      </c>
      <c r="AD1475">
        <v>0.5</v>
      </c>
      <c r="AE1475" t="s">
        <v>804</v>
      </c>
      <c r="AF1475" t="s">
        <v>1042</v>
      </c>
      <c r="AG1475" t="s">
        <v>797</v>
      </c>
      <c r="AH1475">
        <v>405372</v>
      </c>
      <c r="AI1475">
        <v>425641</v>
      </c>
      <c r="AJ1475">
        <v>4.0496266778502956E-3</v>
      </c>
    </row>
    <row r="1476" spans="1:36" x14ac:dyDescent="0.3">
      <c r="A1476">
        <f>COUNTIF($D$2:D1476,D1476)</f>
        <v>6</v>
      </c>
      <c r="B1476" t="str">
        <f t="shared" si="93"/>
        <v>6Norfolk</v>
      </c>
      <c r="C1476" t="s">
        <v>4483</v>
      </c>
      <c r="D1476" t="s">
        <v>229</v>
      </c>
      <c r="E1476">
        <v>67</v>
      </c>
      <c r="F1476" t="s">
        <v>891</v>
      </c>
      <c r="G1476" t="s">
        <v>834</v>
      </c>
      <c r="H1476" t="s">
        <v>835</v>
      </c>
      <c r="I1476" t="s">
        <v>836</v>
      </c>
      <c r="J1476">
        <f t="shared" ca="1" si="94"/>
        <v>9157782</v>
      </c>
      <c r="K1476">
        <f t="shared" ca="1" si="95"/>
        <v>1400</v>
      </c>
      <c r="N1476" t="str">
        <f t="shared" si="92"/>
        <v>Liverpool90Joint Funded Packages- Complex Needs PHBResidential PlacementsNursing home</v>
      </c>
      <c r="O1476" t="s">
        <v>211</v>
      </c>
      <c r="P1476" t="s">
        <v>1201</v>
      </c>
      <c r="Q1476">
        <v>90</v>
      </c>
      <c r="R1476" t="s">
        <v>4060</v>
      </c>
      <c r="S1476" t="s">
        <v>4469</v>
      </c>
      <c r="T1476" t="s">
        <v>806</v>
      </c>
      <c r="U1476" t="s">
        <v>917</v>
      </c>
      <c r="W1476">
        <v>60</v>
      </c>
      <c r="X1476">
        <v>60</v>
      </c>
      <c r="Y1476" t="s">
        <v>808</v>
      </c>
      <c r="Z1476" t="s">
        <v>792</v>
      </c>
      <c r="AB1476" t="s">
        <v>1739</v>
      </c>
      <c r="AC1476">
        <v>0.5</v>
      </c>
      <c r="AD1476">
        <v>0.5</v>
      </c>
      <c r="AE1476" t="s">
        <v>804</v>
      </c>
      <c r="AF1476" t="s">
        <v>1042</v>
      </c>
      <c r="AG1476" t="s">
        <v>797</v>
      </c>
      <c r="AH1476">
        <v>2992990</v>
      </c>
      <c r="AI1476">
        <v>3142640</v>
      </c>
      <c r="AJ1476">
        <v>2.9899677704772792E-2</v>
      </c>
    </row>
    <row r="1477" spans="1:36" x14ac:dyDescent="0.3">
      <c r="A1477">
        <f>COUNTIF($D$2:D1477,D1477)</f>
        <v>7</v>
      </c>
      <c r="B1477" t="str">
        <f t="shared" si="93"/>
        <v>7Norfolk</v>
      </c>
      <c r="C1477" t="s">
        <v>4484</v>
      </c>
      <c r="D1477" t="s">
        <v>229</v>
      </c>
      <c r="E1477">
        <v>70</v>
      </c>
      <c r="F1477" t="s">
        <v>4485</v>
      </c>
      <c r="G1477" t="s">
        <v>806</v>
      </c>
      <c r="H1477" t="s">
        <v>812</v>
      </c>
      <c r="I1477" t="s">
        <v>808</v>
      </c>
      <c r="J1477">
        <f t="shared" ca="1" si="94"/>
        <v>21586564</v>
      </c>
      <c r="K1477">
        <f t="shared" ca="1" si="95"/>
        <v>245</v>
      </c>
      <c r="N1477" t="str">
        <f t="shared" si="92"/>
        <v>Liverpool37Joint Funded Packages- Complex NeedsResidential PlacementsNursing home</v>
      </c>
      <c r="O1477" t="s">
        <v>211</v>
      </c>
      <c r="P1477" t="s">
        <v>1201</v>
      </c>
      <c r="Q1477">
        <v>37</v>
      </c>
      <c r="R1477" t="s">
        <v>4062</v>
      </c>
      <c r="S1477" t="s">
        <v>4469</v>
      </c>
      <c r="T1477" t="s">
        <v>806</v>
      </c>
      <c r="U1477" t="s">
        <v>917</v>
      </c>
      <c r="W1477">
        <v>50</v>
      </c>
      <c r="X1477">
        <v>50</v>
      </c>
      <c r="Y1477" t="s">
        <v>808</v>
      </c>
      <c r="Z1477" t="s">
        <v>792</v>
      </c>
      <c r="AB1477" t="s">
        <v>1739</v>
      </c>
      <c r="AC1477">
        <v>0.5</v>
      </c>
      <c r="AD1477">
        <v>0.5</v>
      </c>
      <c r="AE1477" t="s">
        <v>804</v>
      </c>
      <c r="AF1477" t="s">
        <v>1042</v>
      </c>
      <c r="AG1477" t="s">
        <v>797</v>
      </c>
      <c r="AH1477">
        <v>2577973</v>
      </c>
      <c r="AI1477">
        <v>2706872</v>
      </c>
      <c r="AJ1477">
        <v>2.5753698419174881E-2</v>
      </c>
    </row>
    <row r="1478" spans="1:36" x14ac:dyDescent="0.3">
      <c r="A1478">
        <f>COUNTIF($D$2:D1478,D1478)</f>
        <v>8</v>
      </c>
      <c r="B1478" t="str">
        <f t="shared" si="93"/>
        <v>8Norfolk</v>
      </c>
      <c r="C1478" t="s">
        <v>4486</v>
      </c>
      <c r="D1478" t="s">
        <v>229</v>
      </c>
      <c r="E1478">
        <v>70</v>
      </c>
      <c r="F1478" t="s">
        <v>4485</v>
      </c>
      <c r="G1478" t="s">
        <v>842</v>
      </c>
      <c r="H1478" t="s">
        <v>843</v>
      </c>
      <c r="I1478" t="s">
        <v>844</v>
      </c>
      <c r="J1478">
        <f t="shared" ca="1" si="94"/>
        <v>14524000</v>
      </c>
      <c r="K1478">
        <f t="shared" ca="1" si="95"/>
        <v>657789</v>
      </c>
      <c r="N1478" t="str">
        <f t="shared" si="92"/>
        <v>Liverpool89Joint Funded Packages- Complex NeedsResidential PlacementsSupported housing</v>
      </c>
      <c r="O1478" t="s">
        <v>211</v>
      </c>
      <c r="P1478" t="s">
        <v>1201</v>
      </c>
      <c r="Q1478">
        <v>89</v>
      </c>
      <c r="R1478" t="s">
        <v>4062</v>
      </c>
      <c r="S1478" t="s">
        <v>4469</v>
      </c>
      <c r="T1478" t="s">
        <v>806</v>
      </c>
      <c r="U1478" t="s">
        <v>873</v>
      </c>
      <c r="W1478">
        <v>30</v>
      </c>
      <c r="X1478">
        <v>30</v>
      </c>
      <c r="Y1478" t="s">
        <v>808</v>
      </c>
      <c r="Z1478" t="s">
        <v>792</v>
      </c>
      <c r="AB1478" t="s">
        <v>1739</v>
      </c>
      <c r="AC1478">
        <v>0.5</v>
      </c>
      <c r="AD1478">
        <v>0.5</v>
      </c>
      <c r="AE1478" t="s">
        <v>804</v>
      </c>
      <c r="AF1478" t="s">
        <v>1042</v>
      </c>
      <c r="AG1478" t="s">
        <v>797</v>
      </c>
      <c r="AH1478">
        <v>1959727</v>
      </c>
      <c r="AI1478">
        <v>2057714</v>
      </c>
      <c r="AJ1478">
        <v>1.9577481277699316E-2</v>
      </c>
    </row>
    <row r="1479" spans="1:36" x14ac:dyDescent="0.3">
      <c r="A1479">
        <f>COUNTIF($D$2:D1479,D1479)</f>
        <v>9</v>
      </c>
      <c r="B1479" t="str">
        <f t="shared" si="93"/>
        <v>9Norfolk</v>
      </c>
      <c r="C1479" t="s">
        <v>4487</v>
      </c>
      <c r="D1479" t="s">
        <v>229</v>
      </c>
      <c r="E1479">
        <v>40</v>
      </c>
      <c r="F1479" t="s">
        <v>4488</v>
      </c>
      <c r="G1479" t="s">
        <v>811</v>
      </c>
      <c r="H1479" t="s">
        <v>812</v>
      </c>
      <c r="I1479" t="s">
        <v>813</v>
      </c>
      <c r="J1479">
        <f t="shared" ca="1" si="94"/>
        <v>19244.578500000018</v>
      </c>
      <c r="K1479">
        <f t="shared" ca="1" si="95"/>
        <v>164</v>
      </c>
      <c r="N1479" t="str">
        <f t="shared" si="92"/>
        <v>Liverpool89Joint Funded Packages- Complex NeedsResidential PlacementsSupported housing</v>
      </c>
      <c r="O1479" t="s">
        <v>211</v>
      </c>
      <c r="P1479" t="s">
        <v>1201</v>
      </c>
      <c r="Q1479">
        <v>89</v>
      </c>
      <c r="R1479" t="s">
        <v>4062</v>
      </c>
      <c r="S1479" t="s">
        <v>4469</v>
      </c>
      <c r="T1479" t="s">
        <v>806</v>
      </c>
      <c r="U1479" t="s">
        <v>873</v>
      </c>
      <c r="W1479">
        <v>100</v>
      </c>
      <c r="X1479">
        <v>100</v>
      </c>
      <c r="Y1479" t="s">
        <v>808</v>
      </c>
      <c r="Z1479" t="s">
        <v>792</v>
      </c>
      <c r="AB1479" t="s">
        <v>1739</v>
      </c>
      <c r="AC1479">
        <v>0.5</v>
      </c>
      <c r="AD1479">
        <v>0.5</v>
      </c>
      <c r="AE1479" t="s">
        <v>804</v>
      </c>
      <c r="AF1479" t="s">
        <v>1029</v>
      </c>
      <c r="AG1479" t="s">
        <v>797</v>
      </c>
      <c r="AH1479">
        <v>6487644</v>
      </c>
      <c r="AI1479">
        <v>6812026</v>
      </c>
      <c r="AJ1479">
        <v>6.4810929760307584E-2</v>
      </c>
    </row>
    <row r="1480" spans="1:36" x14ac:dyDescent="0.3">
      <c r="A1480">
        <f>COUNTIF($D$2:D1480,D1480)</f>
        <v>10</v>
      </c>
      <c r="B1480" t="str">
        <f t="shared" si="93"/>
        <v>10Norfolk</v>
      </c>
      <c r="C1480" t="s">
        <v>4489</v>
      </c>
      <c r="D1480" t="s">
        <v>229</v>
      </c>
      <c r="E1480">
        <v>82</v>
      </c>
      <c r="F1480" t="s">
        <v>4490</v>
      </c>
      <c r="G1480" t="s">
        <v>842</v>
      </c>
      <c r="H1480" t="s">
        <v>1102</v>
      </c>
      <c r="I1480" t="s">
        <v>789</v>
      </c>
      <c r="J1480">
        <f t="shared" ca="1" si="94"/>
        <v>1114000</v>
      </c>
      <c r="K1480">
        <f t="shared" ca="1" si="95"/>
        <v>380</v>
      </c>
      <c r="N1480" t="str">
        <f t="shared" si="92"/>
        <v>Liverpool103Specialist Rehab - Contract BedsResidential PlacementsNursing home</v>
      </c>
      <c r="O1480" t="s">
        <v>211</v>
      </c>
      <c r="P1480" t="s">
        <v>1201</v>
      </c>
      <c r="Q1480">
        <v>103</v>
      </c>
      <c r="R1480" t="s">
        <v>4067</v>
      </c>
      <c r="S1480" t="s">
        <v>4491</v>
      </c>
      <c r="T1480" t="s">
        <v>806</v>
      </c>
      <c r="U1480" t="s">
        <v>917</v>
      </c>
      <c r="W1480">
        <v>10</v>
      </c>
      <c r="X1480">
        <v>10</v>
      </c>
      <c r="Y1480" t="s">
        <v>808</v>
      </c>
      <c r="Z1480" t="s">
        <v>823</v>
      </c>
      <c r="AB1480" t="s">
        <v>824</v>
      </c>
      <c r="AD1480" t="s">
        <v>794</v>
      </c>
      <c r="AE1480" t="s">
        <v>804</v>
      </c>
      <c r="AF1480" t="s">
        <v>1042</v>
      </c>
      <c r="AG1480" t="s">
        <v>797</v>
      </c>
      <c r="AH1480">
        <v>1140559</v>
      </c>
      <c r="AI1480">
        <v>1197587</v>
      </c>
      <c r="AJ1480">
        <v>0.93195716405519713</v>
      </c>
    </row>
    <row r="1481" spans="1:36" x14ac:dyDescent="0.3">
      <c r="A1481">
        <f>COUNTIF($D$2:D1481,D1481)</f>
        <v>11</v>
      </c>
      <c r="B1481" t="str">
        <f t="shared" si="93"/>
        <v>11Norfolk</v>
      </c>
      <c r="C1481" t="s">
        <v>4492</v>
      </c>
      <c r="D1481" t="s">
        <v>229</v>
      </c>
      <c r="E1481">
        <v>84</v>
      </c>
      <c r="F1481" t="s">
        <v>4493</v>
      </c>
      <c r="G1481" t="s">
        <v>811</v>
      </c>
      <c r="H1481" t="s">
        <v>895</v>
      </c>
      <c r="I1481" t="s">
        <v>813</v>
      </c>
      <c r="J1481">
        <f t="shared" ca="1" si="94"/>
        <v>35000</v>
      </c>
      <c r="K1481">
        <f t="shared" ca="1" si="95"/>
        <v>520</v>
      </c>
      <c r="N1481" t="str">
        <f t="shared" si="92"/>
        <v>Liverpool38BCF - Out of City Resettlement Residential PlacementsSupported housing</v>
      </c>
      <c r="O1481" t="s">
        <v>211</v>
      </c>
      <c r="P1481" t="s">
        <v>1201</v>
      </c>
      <c r="Q1481">
        <v>38</v>
      </c>
      <c r="R1481" t="s">
        <v>4069</v>
      </c>
      <c r="S1481" t="s">
        <v>4494</v>
      </c>
      <c r="T1481" t="s">
        <v>806</v>
      </c>
      <c r="U1481" t="s">
        <v>873</v>
      </c>
      <c r="W1481">
        <v>10</v>
      </c>
      <c r="X1481">
        <v>10</v>
      </c>
      <c r="Y1481" t="s">
        <v>808</v>
      </c>
      <c r="Z1481" t="s">
        <v>1006</v>
      </c>
      <c r="AB1481" t="s">
        <v>793</v>
      </c>
      <c r="AD1481" t="s">
        <v>794</v>
      </c>
      <c r="AE1481" t="s">
        <v>804</v>
      </c>
      <c r="AF1481" t="s">
        <v>796</v>
      </c>
      <c r="AG1481" t="s">
        <v>797</v>
      </c>
      <c r="AH1481">
        <v>316966</v>
      </c>
      <c r="AI1481">
        <v>332814</v>
      </c>
      <c r="AJ1481">
        <v>3.1664593745288198E-3</v>
      </c>
    </row>
    <row r="1482" spans="1:36" x14ac:dyDescent="0.3">
      <c r="A1482">
        <f>COUNTIF($D$2:D1482,D1482)</f>
        <v>12</v>
      </c>
      <c r="B1482" t="str">
        <f t="shared" si="93"/>
        <v>12Norfolk</v>
      </c>
      <c r="C1482" t="s">
        <v>4495</v>
      </c>
      <c r="D1482" t="s">
        <v>229</v>
      </c>
      <c r="E1482">
        <v>7</v>
      </c>
      <c r="F1482" t="s">
        <v>4496</v>
      </c>
      <c r="G1482" t="s">
        <v>787</v>
      </c>
      <c r="H1482" t="s">
        <v>1688</v>
      </c>
      <c r="I1482" t="s">
        <v>789</v>
      </c>
      <c r="J1482">
        <f t="shared" ca="1" si="94"/>
        <v>1589802.9283328</v>
      </c>
      <c r="K1482">
        <f t="shared" ca="1" si="95"/>
        <v>24</v>
      </c>
      <c r="N1482" t="str">
        <f t="shared" si="92"/>
        <v>Liverpool82Bankfield  - Specialist  (LCC)Residential PlacementsSupported housing</v>
      </c>
      <c r="O1482" t="s">
        <v>211</v>
      </c>
      <c r="P1482" t="s">
        <v>1201</v>
      </c>
      <c r="Q1482">
        <v>82</v>
      </c>
      <c r="R1482" t="s">
        <v>4071</v>
      </c>
      <c r="S1482" t="s">
        <v>4497</v>
      </c>
      <c r="T1482" t="s">
        <v>806</v>
      </c>
      <c r="U1482" t="s">
        <v>873</v>
      </c>
      <c r="W1482">
        <v>5</v>
      </c>
      <c r="X1482">
        <v>6</v>
      </c>
      <c r="Y1482" t="s">
        <v>808</v>
      </c>
      <c r="Z1482" t="s">
        <v>792</v>
      </c>
      <c r="AB1482" t="s">
        <v>1739</v>
      </c>
      <c r="AC1482">
        <v>0.5</v>
      </c>
      <c r="AD1482">
        <v>0.5</v>
      </c>
      <c r="AE1482" t="s">
        <v>804</v>
      </c>
      <c r="AF1482" t="s">
        <v>1029</v>
      </c>
      <c r="AG1482" t="s">
        <v>797</v>
      </c>
      <c r="AH1482">
        <v>799221</v>
      </c>
      <c r="AI1482">
        <v>839182</v>
      </c>
      <c r="AJ1482">
        <v>7.9841397114210934E-3</v>
      </c>
    </row>
    <row r="1483" spans="1:36" x14ac:dyDescent="0.3">
      <c r="A1483">
        <f>COUNTIF($D$2:D1483,D1483)</f>
        <v>13</v>
      </c>
      <c r="B1483" t="str">
        <f t="shared" si="93"/>
        <v>13Norfolk</v>
      </c>
      <c r="C1483" t="s">
        <v>4498</v>
      </c>
      <c r="D1483" t="s">
        <v>229</v>
      </c>
      <c r="E1483">
        <v>8</v>
      </c>
      <c r="F1483" t="s">
        <v>4499</v>
      </c>
      <c r="G1483" t="s">
        <v>787</v>
      </c>
      <c r="H1483" t="s">
        <v>1688</v>
      </c>
      <c r="I1483" t="s">
        <v>789</v>
      </c>
      <c r="J1483">
        <f t="shared" ca="1" si="94"/>
        <v>2019334.8854272</v>
      </c>
      <c r="K1483">
        <f t="shared" ca="1" si="95"/>
        <v>30</v>
      </c>
      <c r="N1483" t="str">
        <f t="shared" si="92"/>
        <v>Liverpool83BankfieldResidential PlacementsSupported housing</v>
      </c>
      <c r="O1483" t="s">
        <v>211</v>
      </c>
      <c r="P1483" t="s">
        <v>1201</v>
      </c>
      <c r="Q1483">
        <v>83</v>
      </c>
      <c r="R1483" t="s">
        <v>4073</v>
      </c>
      <c r="S1483" t="s">
        <v>4500</v>
      </c>
      <c r="T1483" t="s">
        <v>806</v>
      </c>
      <c r="U1483" t="s">
        <v>873</v>
      </c>
      <c r="W1483">
        <v>2</v>
      </c>
      <c r="X1483">
        <v>2</v>
      </c>
      <c r="Y1483" t="s">
        <v>808</v>
      </c>
      <c r="Z1483" t="s">
        <v>792</v>
      </c>
      <c r="AB1483" t="s">
        <v>1739</v>
      </c>
      <c r="AC1483">
        <v>0.5</v>
      </c>
      <c r="AD1483">
        <v>0.5</v>
      </c>
      <c r="AE1483" t="s">
        <v>804</v>
      </c>
      <c r="AF1483" t="s">
        <v>1042</v>
      </c>
      <c r="AG1483" t="s">
        <v>797</v>
      </c>
      <c r="AH1483">
        <v>715792</v>
      </c>
      <c r="AI1483">
        <v>751581</v>
      </c>
      <c r="AJ1483">
        <v>7.1506921518798014E-3</v>
      </c>
    </row>
    <row r="1484" spans="1:36" x14ac:dyDescent="0.3">
      <c r="A1484">
        <f>COUNTIF($D$2:D1484,D1484)</f>
        <v>14</v>
      </c>
      <c r="B1484" t="str">
        <f t="shared" si="93"/>
        <v>14Norfolk</v>
      </c>
      <c r="C1484" t="s">
        <v>4501</v>
      </c>
      <c r="D1484" t="s">
        <v>229</v>
      </c>
      <c r="E1484">
        <v>11</v>
      </c>
      <c r="F1484" t="s">
        <v>4502</v>
      </c>
      <c r="G1484" t="s">
        <v>877</v>
      </c>
      <c r="H1484" t="s">
        <v>968</v>
      </c>
      <c r="I1484" t="s">
        <v>879</v>
      </c>
      <c r="J1484">
        <f t="shared" ca="1" si="94"/>
        <v>1836863.5419000001</v>
      </c>
      <c r="K1484">
        <f t="shared" ca="1" si="95"/>
        <v>306</v>
      </c>
      <c r="N1484" t="str">
        <f t="shared" si="92"/>
        <v>Liverpool85Queens Drive (LCC)Residential PlacementsSupported housing</v>
      </c>
      <c r="O1484" t="s">
        <v>211</v>
      </c>
      <c r="P1484" t="s">
        <v>1201</v>
      </c>
      <c r="Q1484">
        <v>85</v>
      </c>
      <c r="R1484" t="s">
        <v>4076</v>
      </c>
      <c r="S1484" t="s">
        <v>4500</v>
      </c>
      <c r="T1484" t="s">
        <v>806</v>
      </c>
      <c r="U1484" t="s">
        <v>873</v>
      </c>
      <c r="W1484">
        <v>5</v>
      </c>
      <c r="X1484">
        <v>5</v>
      </c>
      <c r="Y1484" t="s">
        <v>808</v>
      </c>
      <c r="Z1484" t="s">
        <v>792</v>
      </c>
      <c r="AB1484" t="s">
        <v>1739</v>
      </c>
      <c r="AC1484">
        <v>0.5</v>
      </c>
      <c r="AD1484">
        <v>0.5</v>
      </c>
      <c r="AE1484" t="s">
        <v>804</v>
      </c>
      <c r="AF1484" t="s">
        <v>1029</v>
      </c>
      <c r="AG1484" t="s">
        <v>797</v>
      </c>
      <c r="AH1484">
        <v>164785</v>
      </c>
      <c r="AI1484">
        <v>173024</v>
      </c>
      <c r="AJ1484">
        <v>1.6461860516009024E-3</v>
      </c>
    </row>
    <row r="1485" spans="1:36" x14ac:dyDescent="0.3">
      <c r="A1485">
        <f>COUNTIF($D$2:D1485,D1485)</f>
        <v>15</v>
      </c>
      <c r="B1485" t="str">
        <f t="shared" si="93"/>
        <v>15Norfolk</v>
      </c>
      <c r="C1485" t="s">
        <v>4503</v>
      </c>
      <c r="D1485" t="s">
        <v>229</v>
      </c>
      <c r="E1485">
        <v>14</v>
      </c>
      <c r="F1485" t="s">
        <v>4504</v>
      </c>
      <c r="G1485" t="s">
        <v>800</v>
      </c>
      <c r="H1485" t="s">
        <v>903</v>
      </c>
      <c r="I1485" t="s">
        <v>802</v>
      </c>
      <c r="J1485">
        <f t="shared" ca="1" si="94"/>
        <v>192375</v>
      </c>
      <c r="K1485">
        <f t="shared" ca="1" si="95"/>
        <v>4861</v>
      </c>
      <c r="N1485" t="str">
        <f t="shared" si="92"/>
        <v>Liverpool86Queens Drive (LCCG)Residential PlacementsSupported housing</v>
      </c>
      <c r="O1485" t="s">
        <v>211</v>
      </c>
      <c r="P1485" t="s">
        <v>1201</v>
      </c>
      <c r="Q1485">
        <v>86</v>
      </c>
      <c r="R1485" t="s">
        <v>4078</v>
      </c>
      <c r="S1485" t="s">
        <v>4500</v>
      </c>
      <c r="T1485" t="s">
        <v>806</v>
      </c>
      <c r="U1485" t="s">
        <v>873</v>
      </c>
      <c r="W1485">
        <v>5</v>
      </c>
      <c r="X1485">
        <v>5</v>
      </c>
      <c r="Y1485" t="s">
        <v>808</v>
      </c>
      <c r="Z1485" t="s">
        <v>792</v>
      </c>
      <c r="AB1485" t="s">
        <v>1739</v>
      </c>
      <c r="AC1485">
        <v>0.5</v>
      </c>
      <c r="AD1485">
        <v>0.5</v>
      </c>
      <c r="AE1485" t="s">
        <v>804</v>
      </c>
      <c r="AF1485" t="s">
        <v>1042</v>
      </c>
      <c r="AG1485" t="s">
        <v>797</v>
      </c>
      <c r="AH1485">
        <v>190274</v>
      </c>
      <c r="AI1485">
        <v>199788</v>
      </c>
      <c r="AJ1485">
        <v>1.9008186714950396E-3</v>
      </c>
    </row>
    <row r="1486" spans="1:36" x14ac:dyDescent="0.3">
      <c r="A1486">
        <f>COUNTIF($D$2:D1486,D1486)</f>
        <v>16</v>
      </c>
      <c r="B1486" t="str">
        <f t="shared" si="93"/>
        <v>16Norfolk</v>
      </c>
      <c r="C1486" t="s">
        <v>4505</v>
      </c>
      <c r="D1486" t="s">
        <v>229</v>
      </c>
      <c r="E1486">
        <v>19</v>
      </c>
      <c r="F1486" t="s">
        <v>4506</v>
      </c>
      <c r="G1486" t="s">
        <v>806</v>
      </c>
      <c r="H1486" t="s">
        <v>917</v>
      </c>
      <c r="I1486" t="s">
        <v>808</v>
      </c>
      <c r="J1486">
        <f t="shared" ca="1" si="94"/>
        <v>883923.67350000003</v>
      </c>
      <c r="K1486">
        <f t="shared" ca="1" si="95"/>
        <v>225</v>
      </c>
      <c r="N1486" t="str">
        <f t="shared" si="92"/>
        <v>Liverpool48Disabled Facilities GrantDFG Related SchemesAdaptations, including statutory DFG grants</v>
      </c>
      <c r="O1486" t="s">
        <v>211</v>
      </c>
      <c r="P1486" t="s">
        <v>1201</v>
      </c>
      <c r="Q1486">
        <v>48</v>
      </c>
      <c r="R1486" t="s">
        <v>891</v>
      </c>
      <c r="S1486" t="s">
        <v>4507</v>
      </c>
      <c r="T1486" t="s">
        <v>834</v>
      </c>
      <c r="U1486" t="s">
        <v>835</v>
      </c>
      <c r="W1486">
        <v>950</v>
      </c>
      <c r="X1486">
        <v>950</v>
      </c>
      <c r="Y1486" t="s">
        <v>836</v>
      </c>
      <c r="Z1486" t="s">
        <v>792</v>
      </c>
      <c r="AB1486" t="s">
        <v>793</v>
      </c>
      <c r="AD1486" t="s">
        <v>794</v>
      </c>
      <c r="AE1486" t="s">
        <v>804</v>
      </c>
      <c r="AF1486" t="s">
        <v>840</v>
      </c>
      <c r="AG1486" t="s">
        <v>797</v>
      </c>
      <c r="AH1486">
        <v>8514314</v>
      </c>
      <c r="AI1486">
        <v>8514314</v>
      </c>
      <c r="AJ1486">
        <v>1</v>
      </c>
    </row>
    <row r="1487" spans="1:36" x14ac:dyDescent="0.3">
      <c r="A1487">
        <f>COUNTIF($D$2:D1487,D1487)</f>
        <v>1</v>
      </c>
      <c r="B1487" t="str">
        <f t="shared" si="93"/>
        <v>1North East Lincolnshire</v>
      </c>
      <c r="C1487" t="s">
        <v>4508</v>
      </c>
      <c r="D1487" t="s">
        <v>231</v>
      </c>
      <c r="E1487">
        <v>6</v>
      </c>
      <c r="F1487" t="s">
        <v>4509</v>
      </c>
      <c r="G1487" t="s">
        <v>877</v>
      </c>
      <c r="H1487" t="s">
        <v>1259</v>
      </c>
      <c r="I1487" t="s">
        <v>879</v>
      </c>
      <c r="J1487">
        <f t="shared" ca="1" si="94"/>
        <v>2099625</v>
      </c>
      <c r="K1487">
        <f t="shared" ca="1" si="95"/>
        <v>350</v>
      </c>
      <c r="N1487" t="str">
        <f t="shared" si="92"/>
        <v>Liverpool107Besford Residential PlacementsSupported housing</v>
      </c>
      <c r="O1487" t="s">
        <v>211</v>
      </c>
      <c r="P1487" t="s">
        <v>1201</v>
      </c>
      <c r="Q1487">
        <v>107</v>
      </c>
      <c r="R1487" t="s">
        <v>4081</v>
      </c>
      <c r="S1487" t="s">
        <v>4500</v>
      </c>
      <c r="T1487" t="s">
        <v>806</v>
      </c>
      <c r="U1487" t="s">
        <v>873</v>
      </c>
      <c r="W1487">
        <v>10</v>
      </c>
      <c r="X1487">
        <v>10</v>
      </c>
      <c r="Y1487" t="s">
        <v>808</v>
      </c>
      <c r="Z1487" t="s">
        <v>792</v>
      </c>
      <c r="AB1487" t="s">
        <v>1739</v>
      </c>
      <c r="AC1487">
        <v>0.5</v>
      </c>
      <c r="AD1487">
        <v>0.5</v>
      </c>
      <c r="AE1487" t="s">
        <v>795</v>
      </c>
      <c r="AF1487" t="s">
        <v>1042</v>
      </c>
      <c r="AG1487" t="s">
        <v>797</v>
      </c>
      <c r="AH1487">
        <v>279356</v>
      </c>
      <c r="AI1487">
        <v>293324</v>
      </c>
      <c r="AJ1487">
        <v>2.7907391487758089E-3</v>
      </c>
    </row>
    <row r="1488" spans="1:36" x14ac:dyDescent="0.3">
      <c r="A1488">
        <f>COUNTIF($D$2:D1488,D1488)</f>
        <v>2</v>
      </c>
      <c r="B1488" t="str">
        <f t="shared" si="93"/>
        <v>2North East Lincolnshire</v>
      </c>
      <c r="C1488" t="s">
        <v>4510</v>
      </c>
      <c r="D1488" t="s">
        <v>231</v>
      </c>
      <c r="E1488">
        <v>7</v>
      </c>
      <c r="F1488" t="s">
        <v>4509</v>
      </c>
      <c r="G1488" t="s">
        <v>877</v>
      </c>
      <c r="H1488" t="s">
        <v>1259</v>
      </c>
      <c r="I1488" t="s">
        <v>879</v>
      </c>
      <c r="J1488">
        <f t="shared" ca="1" si="94"/>
        <v>857757</v>
      </c>
      <c r="K1488">
        <f t="shared" ca="1" si="95"/>
        <v>142</v>
      </c>
      <c r="N1488" t="str">
        <f t="shared" si="92"/>
        <v>Liverpool50Community Equipment/Single Handed CareAssistive Technologies and EquipmentCommunity based equipment</v>
      </c>
      <c r="O1488" t="s">
        <v>211</v>
      </c>
      <c r="P1488" t="s">
        <v>1201</v>
      </c>
      <c r="Q1488">
        <v>50</v>
      </c>
      <c r="R1488" t="s">
        <v>4083</v>
      </c>
      <c r="S1488" t="s">
        <v>4511</v>
      </c>
      <c r="T1488" t="s">
        <v>800</v>
      </c>
      <c r="U1488" t="s">
        <v>903</v>
      </c>
      <c r="W1488">
        <v>3000</v>
      </c>
      <c r="X1488">
        <v>3000</v>
      </c>
      <c r="Y1488" t="s">
        <v>802</v>
      </c>
      <c r="Z1488" t="s">
        <v>792</v>
      </c>
      <c r="AB1488" t="s">
        <v>824</v>
      </c>
      <c r="AD1488" t="s">
        <v>794</v>
      </c>
      <c r="AE1488" t="s">
        <v>832</v>
      </c>
      <c r="AF1488" t="s">
        <v>1029</v>
      </c>
      <c r="AG1488" t="s">
        <v>797</v>
      </c>
      <c r="AH1488">
        <v>1077107</v>
      </c>
      <c r="AI1488">
        <v>1130962</v>
      </c>
      <c r="AJ1488">
        <v>0.1660209908603503</v>
      </c>
    </row>
    <row r="1489" spans="1:36" x14ac:dyDescent="0.3">
      <c r="A1489">
        <f>COUNTIF($D$2:D1489,D1489)</f>
        <v>3</v>
      </c>
      <c r="B1489" t="str">
        <f t="shared" si="93"/>
        <v>3North East Lincolnshire</v>
      </c>
      <c r="C1489" t="s">
        <v>4512</v>
      </c>
      <c r="D1489" t="s">
        <v>231</v>
      </c>
      <c r="E1489">
        <v>10</v>
      </c>
      <c r="F1489" t="s">
        <v>1051</v>
      </c>
      <c r="G1489" t="s">
        <v>800</v>
      </c>
      <c r="H1489" t="s">
        <v>903</v>
      </c>
      <c r="I1489" t="s">
        <v>802</v>
      </c>
      <c r="J1489">
        <f t="shared" ca="1" si="94"/>
        <v>757688</v>
      </c>
      <c r="K1489">
        <f t="shared" ca="1" si="95"/>
        <v>5200</v>
      </c>
      <c r="N1489" t="str">
        <f t="shared" si="92"/>
        <v>Liverpool97Community Equipment Assistive Technologies and EquipmentCommunity based equipment</v>
      </c>
      <c r="O1489" t="s">
        <v>211</v>
      </c>
      <c r="P1489" t="s">
        <v>1201</v>
      </c>
      <c r="Q1489">
        <v>97</v>
      </c>
      <c r="R1489" t="s">
        <v>3417</v>
      </c>
      <c r="S1489" t="s">
        <v>4513</v>
      </c>
      <c r="T1489" t="s">
        <v>800</v>
      </c>
      <c r="U1489" t="s">
        <v>903</v>
      </c>
      <c r="W1489">
        <v>3000</v>
      </c>
      <c r="X1489">
        <v>3000</v>
      </c>
      <c r="Y1489" t="s">
        <v>802</v>
      </c>
      <c r="Z1489" t="s">
        <v>792</v>
      </c>
      <c r="AB1489" t="s">
        <v>824</v>
      </c>
      <c r="AD1489" t="s">
        <v>794</v>
      </c>
      <c r="AE1489" t="s">
        <v>832</v>
      </c>
      <c r="AF1489" t="s">
        <v>796</v>
      </c>
      <c r="AG1489" t="s">
        <v>797</v>
      </c>
      <c r="AH1489">
        <v>5410669</v>
      </c>
      <c r="AI1489">
        <v>5681202</v>
      </c>
      <c r="AJ1489">
        <v>0.83397900913964973</v>
      </c>
    </row>
    <row r="1490" spans="1:36" x14ac:dyDescent="0.3">
      <c r="A1490">
        <f>COUNTIF($D$2:D1490,D1490)</f>
        <v>4</v>
      </c>
      <c r="B1490" t="str">
        <f t="shared" si="93"/>
        <v>4North East Lincolnshire</v>
      </c>
      <c r="C1490" t="s">
        <v>4514</v>
      </c>
      <c r="D1490" t="s">
        <v>231</v>
      </c>
      <c r="E1490">
        <v>12</v>
      </c>
      <c r="F1490" t="s">
        <v>1816</v>
      </c>
      <c r="G1490" t="s">
        <v>800</v>
      </c>
      <c r="H1490" t="s">
        <v>903</v>
      </c>
      <c r="I1490" t="s">
        <v>802</v>
      </c>
      <c r="J1490">
        <f t="shared" ca="1" si="94"/>
        <v>362000</v>
      </c>
      <c r="K1490">
        <f t="shared" ca="1" si="95"/>
        <v>1296</v>
      </c>
      <c r="N1490" t="str">
        <f t="shared" si="92"/>
        <v>Liverpool98Telehealth Technology and ServicesAssistive Technologies and EquipmentCommunity based equipment</v>
      </c>
      <c r="O1490" t="s">
        <v>211</v>
      </c>
      <c r="P1490" t="s">
        <v>1201</v>
      </c>
      <c r="Q1490">
        <v>98</v>
      </c>
      <c r="R1490" t="s">
        <v>4087</v>
      </c>
      <c r="S1490" t="s">
        <v>4515</v>
      </c>
      <c r="T1490" t="s">
        <v>800</v>
      </c>
      <c r="U1490" t="s">
        <v>903</v>
      </c>
      <c r="W1490">
        <v>378</v>
      </c>
      <c r="X1490">
        <v>378</v>
      </c>
      <c r="Y1490" t="s">
        <v>802</v>
      </c>
      <c r="Z1490" t="s">
        <v>792</v>
      </c>
      <c r="AB1490" t="s">
        <v>824</v>
      </c>
      <c r="AD1490" t="s">
        <v>794</v>
      </c>
      <c r="AE1490" t="s">
        <v>832</v>
      </c>
      <c r="AF1490" t="s">
        <v>796</v>
      </c>
      <c r="AG1490" t="s">
        <v>797</v>
      </c>
      <c r="AH1490">
        <v>1212927</v>
      </c>
      <c r="AI1490">
        <v>1273573</v>
      </c>
      <c r="AJ1490">
        <v>1</v>
      </c>
    </row>
    <row r="1491" spans="1:36" x14ac:dyDescent="0.3">
      <c r="A1491">
        <f>COUNTIF($D$2:D1491,D1491)</f>
        <v>5</v>
      </c>
      <c r="B1491" t="str">
        <f t="shared" si="93"/>
        <v>5North East Lincolnshire</v>
      </c>
      <c r="C1491" t="s">
        <v>4516</v>
      </c>
      <c r="D1491" t="s">
        <v>231</v>
      </c>
      <c r="E1491">
        <v>14</v>
      </c>
      <c r="F1491" t="s">
        <v>1155</v>
      </c>
      <c r="G1491" t="s">
        <v>811</v>
      </c>
      <c r="H1491" t="s">
        <v>812</v>
      </c>
      <c r="I1491" t="s">
        <v>813</v>
      </c>
      <c r="J1491">
        <f t="shared" ca="1" si="94"/>
        <v>357338</v>
      </c>
      <c r="K1491">
        <f t="shared" ca="1" si="95"/>
        <v>2251</v>
      </c>
      <c r="N1491" t="str">
        <f t="shared" si="92"/>
        <v>Liverpool45Telecare Joint Contract PaymentAssistive Technologies and EquipmentAssistive technologies including telecare</v>
      </c>
      <c r="O1491" t="s">
        <v>211</v>
      </c>
      <c r="P1491" t="s">
        <v>1201</v>
      </c>
      <c r="Q1491">
        <v>45</v>
      </c>
      <c r="R1491" t="s">
        <v>4089</v>
      </c>
      <c r="S1491" t="s">
        <v>4517</v>
      </c>
      <c r="T1491" t="s">
        <v>800</v>
      </c>
      <c r="U1491" t="s">
        <v>850</v>
      </c>
      <c r="W1491">
        <v>550</v>
      </c>
      <c r="X1491">
        <v>550</v>
      </c>
      <c r="Y1491" t="s">
        <v>802</v>
      </c>
      <c r="Z1491" t="s">
        <v>792</v>
      </c>
      <c r="AB1491" t="s">
        <v>793</v>
      </c>
      <c r="AD1491" t="s">
        <v>794</v>
      </c>
      <c r="AE1491" t="s">
        <v>804</v>
      </c>
      <c r="AF1491" t="s">
        <v>1029</v>
      </c>
      <c r="AG1491" t="s">
        <v>797</v>
      </c>
      <c r="AH1491">
        <v>758115</v>
      </c>
      <c r="AI1491">
        <v>796021</v>
      </c>
      <c r="AJ1491">
        <v>0.36766164352802705</v>
      </c>
    </row>
    <row r="1492" spans="1:36" x14ac:dyDescent="0.3">
      <c r="A1492">
        <f>COUNTIF($D$2:D1492,D1492)</f>
        <v>6</v>
      </c>
      <c r="B1492" t="str">
        <f t="shared" si="93"/>
        <v>6North East Lincolnshire</v>
      </c>
      <c r="C1492" t="s">
        <v>4518</v>
      </c>
      <c r="D1492" t="s">
        <v>231</v>
      </c>
      <c r="E1492">
        <v>15</v>
      </c>
      <c r="F1492" t="s">
        <v>4519</v>
      </c>
      <c r="G1492" t="s">
        <v>842</v>
      </c>
      <c r="H1492" t="s">
        <v>843</v>
      </c>
      <c r="I1492" t="s">
        <v>844</v>
      </c>
      <c r="J1492">
        <f t="shared" ca="1" si="94"/>
        <v>90803</v>
      </c>
      <c r="K1492">
        <f t="shared" ca="1" si="95"/>
        <v>4956</v>
      </c>
      <c r="N1492" t="str">
        <f t="shared" si="92"/>
        <v>Liverpool45Telecare Joint Contract PaymentAssistive Technologies and EquipmentAssistive technologies including telecare</v>
      </c>
      <c r="O1492" t="s">
        <v>211</v>
      </c>
      <c r="P1492" t="s">
        <v>1201</v>
      </c>
      <c r="Q1492">
        <v>45</v>
      </c>
      <c r="R1492" t="s">
        <v>4089</v>
      </c>
      <c r="S1492" t="s">
        <v>4517</v>
      </c>
      <c r="T1492" t="s">
        <v>800</v>
      </c>
      <c r="U1492" t="s">
        <v>850</v>
      </c>
      <c r="W1492">
        <v>950</v>
      </c>
      <c r="X1492">
        <v>950</v>
      </c>
      <c r="Y1492" t="s">
        <v>802</v>
      </c>
      <c r="Z1492" t="s">
        <v>792</v>
      </c>
      <c r="AB1492" t="s">
        <v>793</v>
      </c>
      <c r="AD1492" t="s">
        <v>794</v>
      </c>
      <c r="AE1492" t="s">
        <v>804</v>
      </c>
      <c r="AF1492" t="s">
        <v>796</v>
      </c>
      <c r="AG1492" t="s">
        <v>797</v>
      </c>
      <c r="AH1492">
        <v>1303876</v>
      </c>
      <c r="AI1492">
        <v>1369070</v>
      </c>
      <c r="AJ1492">
        <v>0.63233835647197301</v>
      </c>
    </row>
    <row r="1493" spans="1:36" x14ac:dyDescent="0.3">
      <c r="A1493">
        <f>COUNTIF($D$2:D1493,D1493)</f>
        <v>7</v>
      </c>
      <c r="B1493" t="str">
        <f t="shared" si="93"/>
        <v>7North East Lincolnshire</v>
      </c>
      <c r="C1493" t="s">
        <v>4520</v>
      </c>
      <c r="D1493" t="s">
        <v>231</v>
      </c>
      <c r="E1493">
        <v>23</v>
      </c>
      <c r="F1493" t="s">
        <v>4509</v>
      </c>
      <c r="G1493" t="s">
        <v>877</v>
      </c>
      <c r="H1493" t="s">
        <v>1259</v>
      </c>
      <c r="I1493" t="s">
        <v>879</v>
      </c>
      <c r="J1493">
        <f t="shared" ca="1" si="94"/>
        <v>362586</v>
      </c>
      <c r="K1493">
        <f t="shared" ca="1" si="95"/>
        <v>132</v>
      </c>
      <c r="N1493" t="str">
        <f t="shared" si="92"/>
        <v>Liverpool9Dom Care Packages - Acute WardsHome Care or Domiciliary CareDomiciliary care to support hospital discharge (Discharge to Assess pathway 1)</v>
      </c>
      <c r="O1493" t="s">
        <v>211</v>
      </c>
      <c r="P1493" t="s">
        <v>1201</v>
      </c>
      <c r="Q1493">
        <v>9</v>
      </c>
      <c r="R1493" t="s">
        <v>4092</v>
      </c>
      <c r="S1493" t="s">
        <v>4521</v>
      </c>
      <c r="T1493" t="s">
        <v>842</v>
      </c>
      <c r="U1493" t="s">
        <v>856</v>
      </c>
      <c r="W1493">
        <v>34000</v>
      </c>
      <c r="X1493">
        <v>34000</v>
      </c>
      <c r="Y1493" t="s">
        <v>844</v>
      </c>
      <c r="Z1493" t="s">
        <v>792</v>
      </c>
      <c r="AB1493" t="s">
        <v>793</v>
      </c>
      <c r="AD1493" t="s">
        <v>794</v>
      </c>
      <c r="AE1493" t="s">
        <v>804</v>
      </c>
      <c r="AF1493" t="s">
        <v>796</v>
      </c>
      <c r="AG1493" t="s">
        <v>797</v>
      </c>
      <c r="AH1493">
        <v>1513653</v>
      </c>
      <c r="AI1493">
        <v>1589336</v>
      </c>
      <c r="AJ1493">
        <v>0.15304096078371698</v>
      </c>
    </row>
    <row r="1494" spans="1:36" x14ac:dyDescent="0.3">
      <c r="A1494">
        <f>COUNTIF($D$2:D1494,D1494)</f>
        <v>8</v>
      </c>
      <c r="B1494" t="str">
        <f t="shared" si="93"/>
        <v>8North East Lincolnshire</v>
      </c>
      <c r="C1494" t="s">
        <v>4522</v>
      </c>
      <c r="D1494" t="s">
        <v>231</v>
      </c>
      <c r="E1494">
        <v>24</v>
      </c>
      <c r="F1494" t="s">
        <v>4509</v>
      </c>
      <c r="G1494" t="s">
        <v>787</v>
      </c>
      <c r="H1494" t="s">
        <v>930</v>
      </c>
      <c r="I1494" t="s">
        <v>789</v>
      </c>
      <c r="J1494">
        <f t="shared" ca="1" si="94"/>
        <v>3251636</v>
      </c>
      <c r="K1494">
        <f t="shared" ca="1" si="95"/>
        <v>456</v>
      </c>
      <c r="N1494" t="str">
        <f t="shared" si="92"/>
        <v>Liverpool33Home First Home Care or Domiciliary CareDomiciliary care to support hospital discharge (Discharge to Assess pathway 1)</v>
      </c>
      <c r="O1494" t="s">
        <v>211</v>
      </c>
      <c r="P1494" t="s">
        <v>1201</v>
      </c>
      <c r="Q1494">
        <v>33</v>
      </c>
      <c r="R1494" t="s">
        <v>4095</v>
      </c>
      <c r="S1494" t="s">
        <v>4523</v>
      </c>
      <c r="T1494" t="s">
        <v>842</v>
      </c>
      <c r="U1494" t="s">
        <v>856</v>
      </c>
      <c r="W1494">
        <v>59350</v>
      </c>
      <c r="X1494">
        <v>59350</v>
      </c>
      <c r="Y1494" t="s">
        <v>844</v>
      </c>
      <c r="Z1494" t="s">
        <v>792</v>
      </c>
      <c r="AB1494" t="s">
        <v>793</v>
      </c>
      <c r="AD1494" t="s">
        <v>794</v>
      </c>
      <c r="AE1494" t="s">
        <v>795</v>
      </c>
      <c r="AF1494" t="s">
        <v>796</v>
      </c>
      <c r="AG1494" t="s">
        <v>797</v>
      </c>
      <c r="AH1494">
        <v>3668030</v>
      </c>
      <c r="AI1494">
        <v>3851432</v>
      </c>
      <c r="AJ1494">
        <v>0.3708636228934224</v>
      </c>
    </row>
    <row r="1495" spans="1:36" x14ac:dyDescent="0.3">
      <c r="A1495">
        <f>COUNTIF($D$2:D1495,D1495)</f>
        <v>9</v>
      </c>
      <c r="B1495" t="str">
        <f t="shared" si="93"/>
        <v>9North East Lincolnshire</v>
      </c>
      <c r="C1495" t="s">
        <v>4524</v>
      </c>
      <c r="D1495" t="s">
        <v>231</v>
      </c>
      <c r="E1495">
        <v>25</v>
      </c>
      <c r="F1495" t="s">
        <v>4509</v>
      </c>
      <c r="G1495" t="s">
        <v>787</v>
      </c>
      <c r="H1495" t="s">
        <v>930</v>
      </c>
      <c r="I1495" t="s">
        <v>789</v>
      </c>
      <c r="J1495">
        <f t="shared" ca="1" si="94"/>
        <v>1180792</v>
      </c>
      <c r="K1495">
        <f t="shared" ca="1" si="95"/>
        <v>168</v>
      </c>
      <c r="N1495" t="str">
        <f t="shared" si="92"/>
        <v>Liverpool33Home First Home Care or Domiciliary CareDomiciliary care to support hospital discharge (Discharge to Assess pathway 1)</v>
      </c>
      <c r="O1495" t="s">
        <v>211</v>
      </c>
      <c r="P1495" t="s">
        <v>1201</v>
      </c>
      <c r="Q1495">
        <v>33</v>
      </c>
      <c r="R1495" t="s">
        <v>4095</v>
      </c>
      <c r="S1495" t="s">
        <v>4523</v>
      </c>
      <c r="T1495" t="s">
        <v>842</v>
      </c>
      <c r="U1495" t="s">
        <v>856</v>
      </c>
      <c r="W1495">
        <v>1750</v>
      </c>
      <c r="X1495">
        <v>1750</v>
      </c>
      <c r="Y1495" t="s">
        <v>844</v>
      </c>
      <c r="Z1495" t="s">
        <v>792</v>
      </c>
      <c r="AB1495" t="s">
        <v>793</v>
      </c>
      <c r="AD1495" t="s">
        <v>794</v>
      </c>
      <c r="AE1495" t="s">
        <v>795</v>
      </c>
      <c r="AF1495" t="s">
        <v>1029</v>
      </c>
      <c r="AG1495" t="s">
        <v>797</v>
      </c>
      <c r="AH1495">
        <v>108347</v>
      </c>
      <c r="AI1495">
        <v>113764</v>
      </c>
      <c r="AJ1495">
        <v>1.095464348700355E-2</v>
      </c>
    </row>
    <row r="1496" spans="1:36" x14ac:dyDescent="0.3">
      <c r="A1496">
        <f>COUNTIF($D$2:D1496,D1496)</f>
        <v>10</v>
      </c>
      <c r="B1496" t="str">
        <f t="shared" si="93"/>
        <v>10North East Lincolnshire</v>
      </c>
      <c r="C1496" t="s">
        <v>4525</v>
      </c>
      <c r="D1496" t="s">
        <v>231</v>
      </c>
      <c r="E1496">
        <v>5</v>
      </c>
      <c r="F1496" t="s">
        <v>4526</v>
      </c>
      <c r="G1496" t="s">
        <v>806</v>
      </c>
      <c r="H1496" t="s">
        <v>807</v>
      </c>
      <c r="I1496" t="s">
        <v>808</v>
      </c>
      <c r="J1496">
        <f t="shared" ca="1" si="94"/>
        <v>1030293</v>
      </c>
      <c r="K1496">
        <f t="shared" ca="1" si="95"/>
        <v>32</v>
      </c>
      <c r="N1496" t="str">
        <f t="shared" si="92"/>
        <v>Liverpool33Home First Home Care or Domiciliary CareDomiciliary care to support hospital discharge (Discharge to Assess pathway 1)</v>
      </c>
      <c r="O1496" t="s">
        <v>211</v>
      </c>
      <c r="P1496" t="s">
        <v>1201</v>
      </c>
      <c r="Q1496">
        <v>33</v>
      </c>
      <c r="R1496" t="s">
        <v>4095</v>
      </c>
      <c r="S1496" t="s">
        <v>4523</v>
      </c>
      <c r="T1496" t="s">
        <v>842</v>
      </c>
      <c r="U1496" t="s">
        <v>856</v>
      </c>
      <c r="W1496">
        <v>20900</v>
      </c>
      <c r="X1496">
        <v>20900</v>
      </c>
      <c r="Y1496" t="s">
        <v>844</v>
      </c>
      <c r="Z1496" t="s">
        <v>792</v>
      </c>
      <c r="AB1496" t="s">
        <v>793</v>
      </c>
      <c r="AD1496" t="s">
        <v>794</v>
      </c>
      <c r="AE1496" t="s">
        <v>795</v>
      </c>
      <c r="AF1496" t="s">
        <v>1029</v>
      </c>
      <c r="AG1496" t="s">
        <v>797</v>
      </c>
      <c r="AH1496">
        <v>1291653</v>
      </c>
      <c r="AI1496">
        <v>1356236</v>
      </c>
      <c r="AJ1496">
        <v>0.13059519990326079</v>
      </c>
    </row>
    <row r="1497" spans="1:36" x14ac:dyDescent="0.3">
      <c r="A1497">
        <f>COUNTIF($D$2:D1497,D1497)</f>
        <v>11</v>
      </c>
      <c r="B1497" t="str">
        <f t="shared" si="93"/>
        <v>11North East Lincolnshire</v>
      </c>
      <c r="C1497" t="s">
        <v>4527</v>
      </c>
      <c r="D1497" t="s">
        <v>231</v>
      </c>
      <c r="E1497">
        <v>20</v>
      </c>
      <c r="F1497" t="s">
        <v>840</v>
      </c>
      <c r="G1497" t="s">
        <v>834</v>
      </c>
      <c r="H1497" t="s">
        <v>835</v>
      </c>
      <c r="I1497" t="s">
        <v>836</v>
      </c>
      <c r="J1497">
        <f t="shared" ca="1" si="94"/>
        <v>3220832</v>
      </c>
      <c r="K1497">
        <f t="shared" ca="1" si="95"/>
        <v>230</v>
      </c>
      <c r="N1497" t="str">
        <f t="shared" si="92"/>
        <v>Liverpool69Home First Home Care or Domiciliary CareDomiciliary care to support hospital discharge (Discharge to Assess pathway 1)</v>
      </c>
      <c r="O1497" t="s">
        <v>211</v>
      </c>
      <c r="P1497" t="s">
        <v>1201</v>
      </c>
      <c r="Q1497">
        <v>69</v>
      </c>
      <c r="R1497" t="s">
        <v>4095</v>
      </c>
      <c r="S1497" t="s">
        <v>4523</v>
      </c>
      <c r="T1497" t="s">
        <v>842</v>
      </c>
      <c r="U1497" t="s">
        <v>856</v>
      </c>
      <c r="W1497">
        <v>2900</v>
      </c>
      <c r="X1497">
        <v>2900</v>
      </c>
      <c r="Y1497" t="s">
        <v>844</v>
      </c>
      <c r="Z1497" t="s">
        <v>792</v>
      </c>
      <c r="AB1497" t="s">
        <v>793</v>
      </c>
      <c r="AD1497" t="s">
        <v>794</v>
      </c>
      <c r="AE1497" t="s">
        <v>795</v>
      </c>
      <c r="AF1497" t="s">
        <v>1029</v>
      </c>
      <c r="AG1497" t="s">
        <v>797</v>
      </c>
      <c r="AH1497">
        <v>13758</v>
      </c>
      <c r="AI1497">
        <v>14446</v>
      </c>
      <c r="AJ1497">
        <v>1.3910305324023263E-3</v>
      </c>
    </row>
    <row r="1498" spans="1:36" x14ac:dyDescent="0.3">
      <c r="A1498">
        <f>COUNTIF($D$2:D1498,D1498)</f>
        <v>12</v>
      </c>
      <c r="B1498" t="str">
        <f t="shared" si="93"/>
        <v>12North East Lincolnshire</v>
      </c>
      <c r="C1498" t="s">
        <v>4528</v>
      </c>
      <c r="D1498" t="s">
        <v>231</v>
      </c>
      <c r="E1498">
        <v>30</v>
      </c>
      <c r="F1498" t="s">
        <v>4529</v>
      </c>
      <c r="G1498" t="s">
        <v>806</v>
      </c>
      <c r="H1498" t="s">
        <v>807</v>
      </c>
      <c r="I1498" t="s">
        <v>808</v>
      </c>
      <c r="J1498">
        <f t="shared" ca="1" si="94"/>
        <v>145034</v>
      </c>
      <c r="K1498">
        <f t="shared" ca="1" si="95"/>
        <v>26</v>
      </c>
      <c r="N1498" t="str">
        <f t="shared" si="92"/>
        <v>Liverpool69Home First Home Care or Domiciliary CareDomiciliary care to support hospital discharge (Discharge to Assess pathway 1)</v>
      </c>
      <c r="O1498" t="s">
        <v>211</v>
      </c>
      <c r="P1498" t="s">
        <v>1201</v>
      </c>
      <c r="Q1498">
        <v>69</v>
      </c>
      <c r="R1498" t="s">
        <v>4095</v>
      </c>
      <c r="S1498" t="s">
        <v>4523</v>
      </c>
      <c r="T1498" t="s">
        <v>842</v>
      </c>
      <c r="U1498" t="s">
        <v>856</v>
      </c>
      <c r="W1498">
        <v>79100</v>
      </c>
      <c r="X1498">
        <v>79100</v>
      </c>
      <c r="Y1498" t="s">
        <v>844</v>
      </c>
      <c r="Z1498" t="s">
        <v>792</v>
      </c>
      <c r="AB1498" t="s">
        <v>793</v>
      </c>
      <c r="AD1498" t="s">
        <v>794</v>
      </c>
      <c r="AE1498" t="s">
        <v>795</v>
      </c>
      <c r="AF1498" t="s">
        <v>1029</v>
      </c>
      <c r="AG1498" t="s">
        <v>797</v>
      </c>
      <c r="AH1498">
        <v>374335</v>
      </c>
      <c r="AI1498">
        <v>393052</v>
      </c>
      <c r="AJ1498">
        <v>3.7847900446781858E-2</v>
      </c>
    </row>
    <row r="1499" spans="1:36" x14ac:dyDescent="0.3">
      <c r="A1499">
        <f>COUNTIF($D$2:D1499,D1499)</f>
        <v>13</v>
      </c>
      <c r="B1499" t="str">
        <f t="shared" si="93"/>
        <v>13North East Lincolnshire</v>
      </c>
      <c r="C1499" t="s">
        <v>4530</v>
      </c>
      <c r="D1499" t="s">
        <v>231</v>
      </c>
      <c r="E1499">
        <v>32</v>
      </c>
      <c r="F1499" t="s">
        <v>800</v>
      </c>
      <c r="G1499" t="s">
        <v>800</v>
      </c>
      <c r="H1499" t="s">
        <v>903</v>
      </c>
      <c r="I1499" t="s">
        <v>802</v>
      </c>
      <c r="J1499">
        <f t="shared" ca="1" si="94"/>
        <v>50000</v>
      </c>
      <c r="K1499">
        <f t="shared" ca="1" si="95"/>
        <v>100</v>
      </c>
      <c r="N1499" t="str">
        <f t="shared" si="92"/>
        <v>Liverpool70Home First Home Care or Domiciliary CareDomiciliary care to support hospital discharge (Discharge to Assess pathway 1)</v>
      </c>
      <c r="O1499" t="s">
        <v>211</v>
      </c>
      <c r="P1499" t="s">
        <v>1201</v>
      </c>
      <c r="Q1499">
        <v>70</v>
      </c>
      <c r="R1499" t="s">
        <v>4095</v>
      </c>
      <c r="S1499" t="s">
        <v>4523</v>
      </c>
      <c r="T1499" t="s">
        <v>842</v>
      </c>
      <c r="U1499" t="s">
        <v>856</v>
      </c>
      <c r="W1499">
        <v>82000</v>
      </c>
      <c r="X1499">
        <v>82000</v>
      </c>
      <c r="Y1499" t="s">
        <v>844</v>
      </c>
      <c r="Z1499" t="s">
        <v>792</v>
      </c>
      <c r="AB1499" t="s">
        <v>793</v>
      </c>
      <c r="AD1499" t="s">
        <v>794</v>
      </c>
      <c r="AE1499" t="s">
        <v>795</v>
      </c>
      <c r="AF1499" t="s">
        <v>1029</v>
      </c>
      <c r="AG1499" t="s">
        <v>797</v>
      </c>
      <c r="AH1499">
        <v>249642</v>
      </c>
      <c r="AI1499">
        <v>262124</v>
      </c>
      <c r="AJ1499">
        <v>2.524056143116598E-2</v>
      </c>
    </row>
    <row r="1500" spans="1:36" x14ac:dyDescent="0.3">
      <c r="A1500">
        <f>COUNTIF($D$2:D1500,D1500)</f>
        <v>14</v>
      </c>
      <c r="B1500" t="str">
        <f t="shared" si="93"/>
        <v>14North East Lincolnshire</v>
      </c>
      <c r="C1500" t="s">
        <v>4531</v>
      </c>
      <c r="D1500" t="s">
        <v>231</v>
      </c>
      <c r="E1500">
        <v>33</v>
      </c>
      <c r="F1500" t="s">
        <v>4509</v>
      </c>
      <c r="G1500" t="s">
        <v>877</v>
      </c>
      <c r="H1500" t="s">
        <v>1259</v>
      </c>
      <c r="I1500" t="s">
        <v>879</v>
      </c>
      <c r="J1500">
        <f t="shared" ca="1" si="94"/>
        <v>400000</v>
      </c>
      <c r="K1500">
        <f t="shared" ca="1" si="95"/>
        <v>67</v>
      </c>
      <c r="N1500" t="str">
        <f t="shared" si="92"/>
        <v>Liverpool6Sedgemoor HubBed based intermediate Care Services (Reablement, rehabilitation, wider short-term services supporting recovery)Bed-based intermediate care with reablement (to support discharge)</v>
      </c>
      <c r="O1500" t="s">
        <v>211</v>
      </c>
      <c r="P1500" t="s">
        <v>1201</v>
      </c>
      <c r="Q1500">
        <v>6</v>
      </c>
      <c r="R1500" t="s">
        <v>4100</v>
      </c>
      <c r="S1500" t="s">
        <v>4532</v>
      </c>
      <c r="T1500" t="s">
        <v>877</v>
      </c>
      <c r="U1500" t="s">
        <v>878</v>
      </c>
      <c r="W1500">
        <v>145</v>
      </c>
      <c r="X1500">
        <v>145</v>
      </c>
      <c r="Y1500" t="s">
        <v>879</v>
      </c>
      <c r="Z1500" t="s">
        <v>792</v>
      </c>
      <c r="AB1500" t="s">
        <v>793</v>
      </c>
      <c r="AD1500" t="s">
        <v>794</v>
      </c>
      <c r="AE1500" t="s">
        <v>795</v>
      </c>
      <c r="AF1500" t="s">
        <v>1029</v>
      </c>
      <c r="AG1500" t="s">
        <v>797</v>
      </c>
      <c r="AH1500">
        <v>2540019</v>
      </c>
      <c r="AI1500">
        <v>2667020</v>
      </c>
      <c r="AJ1500">
        <v>0.15650553843694898</v>
      </c>
    </row>
    <row r="1501" spans="1:36" x14ac:dyDescent="0.3">
      <c r="A1501">
        <f>COUNTIF($D$2:D1501,D1501)</f>
        <v>15</v>
      </c>
      <c r="B1501" t="str">
        <f t="shared" si="93"/>
        <v>15North East Lincolnshire</v>
      </c>
      <c r="C1501" t="s">
        <v>4533</v>
      </c>
      <c r="D1501" t="s">
        <v>231</v>
      </c>
      <c r="E1501">
        <v>34</v>
      </c>
      <c r="F1501" t="s">
        <v>1399</v>
      </c>
      <c r="G1501" t="s">
        <v>811</v>
      </c>
      <c r="H1501" t="s">
        <v>895</v>
      </c>
      <c r="I1501" t="s">
        <v>813</v>
      </c>
      <c r="J1501">
        <f t="shared" ca="1" si="94"/>
        <v>58270</v>
      </c>
      <c r="K1501">
        <f t="shared" ca="1" si="95"/>
        <v>350</v>
      </c>
      <c r="N1501" t="str">
        <f t="shared" si="92"/>
        <v>Liverpool6Sedgemoor HubBed based intermediate Care Services (Reablement, rehabilitation, wider short-term services supporting recovery)Bed-based intermediate care with reablement (to support discharge)</v>
      </c>
      <c r="O1501" t="s">
        <v>211</v>
      </c>
      <c r="P1501" t="s">
        <v>1201</v>
      </c>
      <c r="Q1501">
        <v>6</v>
      </c>
      <c r="R1501" t="s">
        <v>4100</v>
      </c>
      <c r="S1501" t="s">
        <v>4532</v>
      </c>
      <c r="T1501" t="s">
        <v>877</v>
      </c>
      <c r="U1501" t="s">
        <v>878</v>
      </c>
      <c r="W1501">
        <v>130</v>
      </c>
      <c r="X1501">
        <v>130</v>
      </c>
      <c r="Y1501" t="s">
        <v>879</v>
      </c>
      <c r="Z1501" t="s">
        <v>792</v>
      </c>
      <c r="AB1501" t="s">
        <v>793</v>
      </c>
      <c r="AD1501" t="s">
        <v>794</v>
      </c>
      <c r="AE1501" t="s">
        <v>795</v>
      </c>
      <c r="AF1501" t="s">
        <v>796</v>
      </c>
      <c r="AG1501" t="s">
        <v>797</v>
      </c>
      <c r="AH1501">
        <v>2293034</v>
      </c>
      <c r="AI1501">
        <v>2407686</v>
      </c>
      <c r="AJ1501">
        <v>0.1412873371515059</v>
      </c>
    </row>
    <row r="1502" spans="1:36" x14ac:dyDescent="0.3">
      <c r="A1502">
        <f>COUNTIF($D$2:D1502,D1502)</f>
        <v>16</v>
      </c>
      <c r="B1502" t="str">
        <f t="shared" si="93"/>
        <v>16North East Lincolnshire</v>
      </c>
      <c r="C1502" t="s">
        <v>4534</v>
      </c>
      <c r="D1502" t="s">
        <v>231</v>
      </c>
      <c r="E1502">
        <v>37</v>
      </c>
      <c r="F1502" t="s">
        <v>4519</v>
      </c>
      <c r="G1502" t="s">
        <v>842</v>
      </c>
      <c r="H1502" t="s">
        <v>856</v>
      </c>
      <c r="I1502" t="s">
        <v>844</v>
      </c>
      <c r="J1502">
        <f t="shared" ca="1" si="94"/>
        <v>272480</v>
      </c>
      <c r="K1502">
        <f t="shared" ca="1" si="95"/>
        <v>14873</v>
      </c>
      <c r="N1502" t="str">
        <f t="shared" si="92"/>
        <v>Liverpool8Townsend HubBed based intermediate Care Services (Reablement, rehabilitation, wider short-term services supporting recovery)Bed-based intermediate care with reablement (to support discharge)</v>
      </c>
      <c r="O1502" t="s">
        <v>211</v>
      </c>
      <c r="P1502" t="s">
        <v>1201</v>
      </c>
      <c r="Q1502">
        <v>8</v>
      </c>
      <c r="R1502" t="s">
        <v>4103</v>
      </c>
      <c r="S1502" t="s">
        <v>4535</v>
      </c>
      <c r="T1502" t="s">
        <v>877</v>
      </c>
      <c r="U1502" t="s">
        <v>878</v>
      </c>
      <c r="W1502">
        <v>20</v>
      </c>
      <c r="X1502">
        <v>20</v>
      </c>
      <c r="Y1502" t="s">
        <v>879</v>
      </c>
      <c r="Z1502" t="s">
        <v>792</v>
      </c>
      <c r="AB1502" t="s">
        <v>793</v>
      </c>
      <c r="AD1502" t="s">
        <v>794</v>
      </c>
      <c r="AE1502" t="s">
        <v>795</v>
      </c>
      <c r="AF1502" t="s">
        <v>1029</v>
      </c>
      <c r="AG1502" t="s">
        <v>797</v>
      </c>
      <c r="AH1502">
        <v>272268</v>
      </c>
      <c r="AI1502">
        <v>285881</v>
      </c>
      <c r="AJ1502">
        <v>1.6776035903334277E-2</v>
      </c>
    </row>
    <row r="1503" spans="1:36" x14ac:dyDescent="0.3">
      <c r="A1503">
        <f>COUNTIF($D$2:D1503,D1503)</f>
        <v>1</v>
      </c>
      <c r="B1503" t="str">
        <f t="shared" si="93"/>
        <v>1North Lincolnshire</v>
      </c>
      <c r="C1503" t="s">
        <v>4536</v>
      </c>
      <c r="D1503" t="s">
        <v>233</v>
      </c>
      <c r="E1503">
        <v>1</v>
      </c>
      <c r="F1503" t="s">
        <v>964</v>
      </c>
      <c r="G1503" t="s">
        <v>877</v>
      </c>
      <c r="H1503" t="s">
        <v>1015</v>
      </c>
      <c r="I1503" t="s">
        <v>879</v>
      </c>
      <c r="J1503">
        <f t="shared" ca="1" si="94"/>
        <v>1961000</v>
      </c>
      <c r="K1503">
        <f t="shared" ca="1" si="95"/>
        <v>342</v>
      </c>
      <c r="N1503" t="str">
        <f t="shared" si="92"/>
        <v>Liverpool8Townsend HubBed based intermediate Care Services (Reablement, rehabilitation, wider short-term services supporting recovery)Bed-based intermediate care with reablement (to support discharge)</v>
      </c>
      <c r="O1503" t="s">
        <v>211</v>
      </c>
      <c r="P1503" t="s">
        <v>1201</v>
      </c>
      <c r="Q1503">
        <v>8</v>
      </c>
      <c r="R1503" t="s">
        <v>4103</v>
      </c>
      <c r="S1503" t="s">
        <v>4535</v>
      </c>
      <c r="T1503" t="s">
        <v>877</v>
      </c>
      <c r="U1503" t="s">
        <v>878</v>
      </c>
      <c r="W1503">
        <v>230</v>
      </c>
      <c r="X1503">
        <v>230</v>
      </c>
      <c r="Y1503" t="s">
        <v>879</v>
      </c>
      <c r="Z1503" t="s">
        <v>792</v>
      </c>
      <c r="AB1503" t="s">
        <v>793</v>
      </c>
      <c r="AD1503" t="s">
        <v>794</v>
      </c>
      <c r="AE1503" t="s">
        <v>795</v>
      </c>
      <c r="AF1503" t="s">
        <v>796</v>
      </c>
      <c r="AG1503" t="s">
        <v>797</v>
      </c>
      <c r="AH1503">
        <v>3399814</v>
      </c>
      <c r="AI1503">
        <v>3569805</v>
      </c>
      <c r="AJ1503">
        <v>0.20948257499470568</v>
      </c>
    </row>
    <row r="1504" spans="1:36" x14ac:dyDescent="0.3">
      <c r="A1504">
        <f>COUNTIF($D$2:D1504,D1504)</f>
        <v>2</v>
      </c>
      <c r="B1504" t="str">
        <f t="shared" si="93"/>
        <v>2North Lincolnshire</v>
      </c>
      <c r="C1504" t="s">
        <v>4537</v>
      </c>
      <c r="D1504" t="s">
        <v>233</v>
      </c>
      <c r="E1504">
        <v>2</v>
      </c>
      <c r="F1504" t="s">
        <v>4538</v>
      </c>
      <c r="G1504" t="s">
        <v>877</v>
      </c>
      <c r="H1504" t="s">
        <v>1015</v>
      </c>
      <c r="I1504" t="s">
        <v>879</v>
      </c>
      <c r="J1504" t="e">
        <f t="shared" si="94"/>
        <v>#VALUE!</v>
      </c>
      <c r="K1504" t="e">
        <f t="shared" si="95"/>
        <v>#VALUE!</v>
      </c>
      <c r="N1504" t="str">
        <f t="shared" si="92"/>
        <v>Liverpool4Granby HubBed based intermediate Care Services (Reablement, rehabilitation, wider short-term services supporting recovery)Bed-based intermediate care with reablement (to support discharge)</v>
      </c>
      <c r="O1504" t="s">
        <v>211</v>
      </c>
      <c r="P1504" t="s">
        <v>1201</v>
      </c>
      <c r="Q1504">
        <v>4</v>
      </c>
      <c r="R1504" t="s">
        <v>4106</v>
      </c>
      <c r="S1504" t="s">
        <v>4539</v>
      </c>
      <c r="T1504" t="s">
        <v>877</v>
      </c>
      <c r="U1504" t="s">
        <v>878</v>
      </c>
      <c r="W1504">
        <v>125</v>
      </c>
      <c r="X1504">
        <v>125</v>
      </c>
      <c r="Y1504" t="s">
        <v>879</v>
      </c>
      <c r="Z1504" t="s">
        <v>792</v>
      </c>
      <c r="AB1504" t="s">
        <v>793</v>
      </c>
      <c r="AD1504" t="s">
        <v>794</v>
      </c>
      <c r="AE1504" t="s">
        <v>795</v>
      </c>
      <c r="AF1504" t="s">
        <v>1029</v>
      </c>
      <c r="AG1504" t="s">
        <v>797</v>
      </c>
      <c r="AH1504">
        <v>1997448</v>
      </c>
      <c r="AI1504">
        <v>2097320</v>
      </c>
      <c r="AJ1504">
        <v>0.12307454185965019</v>
      </c>
    </row>
    <row r="1505" spans="1:36" x14ac:dyDescent="0.3">
      <c r="A1505">
        <f>COUNTIF($D$2:D1505,D1505)</f>
        <v>3</v>
      </c>
      <c r="B1505" t="str">
        <f t="shared" si="93"/>
        <v>3North Lincolnshire</v>
      </c>
      <c r="C1505" t="s">
        <v>4540</v>
      </c>
      <c r="D1505" t="s">
        <v>233</v>
      </c>
      <c r="E1505">
        <v>3</v>
      </c>
      <c r="F1505" t="s">
        <v>964</v>
      </c>
      <c r="G1505" t="s">
        <v>787</v>
      </c>
      <c r="H1505" t="s">
        <v>930</v>
      </c>
      <c r="I1505" t="s">
        <v>789</v>
      </c>
      <c r="J1505">
        <f t="shared" ca="1" si="94"/>
        <v>3434000</v>
      </c>
      <c r="K1505">
        <f t="shared" ca="1" si="95"/>
        <v>2771</v>
      </c>
      <c r="N1505" t="str">
        <f t="shared" si="92"/>
        <v>Liverpool4Granby HubBed based intermediate Care Services (Reablement, rehabilitation, wider short-term services supporting recovery)Bed-based intermediate care with reablement (to support discharge)</v>
      </c>
      <c r="O1505" t="s">
        <v>211</v>
      </c>
      <c r="P1505" t="s">
        <v>1201</v>
      </c>
      <c r="Q1505">
        <v>4</v>
      </c>
      <c r="R1505" t="s">
        <v>4106</v>
      </c>
      <c r="S1505" t="s">
        <v>4539</v>
      </c>
      <c r="T1505" t="s">
        <v>877</v>
      </c>
      <c r="U1505" t="s">
        <v>878</v>
      </c>
      <c r="W1505">
        <v>150</v>
      </c>
      <c r="X1505">
        <v>150</v>
      </c>
      <c r="Y1505" t="s">
        <v>879</v>
      </c>
      <c r="Z1505" t="s">
        <v>792</v>
      </c>
      <c r="AB1505" t="s">
        <v>793</v>
      </c>
      <c r="AD1505" t="s">
        <v>794</v>
      </c>
      <c r="AE1505" t="s">
        <v>795</v>
      </c>
      <c r="AF1505" t="s">
        <v>796</v>
      </c>
      <c r="AG1505" t="s">
        <v>797</v>
      </c>
      <c r="AH1505">
        <v>2405204</v>
      </c>
      <c r="AI1505">
        <v>2525464</v>
      </c>
      <c r="AJ1505">
        <v>0.14819879184789697</v>
      </c>
    </row>
    <row r="1506" spans="1:36" x14ac:dyDescent="0.3">
      <c r="A1506">
        <f>COUNTIF($D$2:D1506,D1506)</f>
        <v>4</v>
      </c>
      <c r="B1506" t="str">
        <f t="shared" si="93"/>
        <v>4North Lincolnshire</v>
      </c>
      <c r="C1506" t="s">
        <v>4541</v>
      </c>
      <c r="D1506" t="s">
        <v>233</v>
      </c>
      <c r="E1506">
        <v>9</v>
      </c>
      <c r="F1506" t="s">
        <v>4542</v>
      </c>
      <c r="G1506" t="s">
        <v>811</v>
      </c>
      <c r="H1506" t="s">
        <v>830</v>
      </c>
      <c r="I1506" t="s">
        <v>813</v>
      </c>
      <c r="J1506">
        <f t="shared" ca="1" si="94"/>
        <v>979000</v>
      </c>
      <c r="K1506">
        <f t="shared" ca="1" si="95"/>
        <v>2359</v>
      </c>
      <c r="N1506" t="str">
        <f t="shared" si="92"/>
        <v>Liverpool73Granby 2 to 1Bed based intermediate Care Services (Reablement, rehabilitation, wider short-term services supporting recovery)Bed-based intermediate care with reablement (to support discharge)</v>
      </c>
      <c r="O1506" t="s">
        <v>211</v>
      </c>
      <c r="P1506" t="s">
        <v>1201</v>
      </c>
      <c r="Q1506">
        <v>73</v>
      </c>
      <c r="R1506" t="s">
        <v>4109</v>
      </c>
      <c r="S1506" t="s">
        <v>4543</v>
      </c>
      <c r="T1506" t="s">
        <v>877</v>
      </c>
      <c r="U1506" t="s">
        <v>878</v>
      </c>
      <c r="W1506">
        <v>40</v>
      </c>
      <c r="X1506">
        <v>40</v>
      </c>
      <c r="Y1506" t="s">
        <v>879</v>
      </c>
      <c r="Z1506" t="s">
        <v>792</v>
      </c>
      <c r="AB1506" t="s">
        <v>793</v>
      </c>
      <c r="AD1506" t="s">
        <v>794</v>
      </c>
      <c r="AE1506" t="s">
        <v>795</v>
      </c>
      <c r="AF1506" t="s">
        <v>1029</v>
      </c>
      <c r="AG1506" t="s">
        <v>797</v>
      </c>
      <c r="AH1506">
        <v>806642</v>
      </c>
      <c r="AI1506">
        <v>846974</v>
      </c>
      <c r="AJ1506">
        <v>4.9701967007277269E-2</v>
      </c>
    </row>
    <row r="1507" spans="1:36" x14ac:dyDescent="0.3">
      <c r="A1507">
        <f>COUNTIF($D$2:D1507,D1507)</f>
        <v>5</v>
      </c>
      <c r="B1507" t="str">
        <f t="shared" si="93"/>
        <v>5North Lincolnshire</v>
      </c>
      <c r="C1507" t="s">
        <v>4544</v>
      </c>
      <c r="D1507" t="s">
        <v>233</v>
      </c>
      <c r="E1507">
        <v>10</v>
      </c>
      <c r="F1507" t="s">
        <v>4545</v>
      </c>
      <c r="G1507" t="s">
        <v>811</v>
      </c>
      <c r="H1507" t="s">
        <v>895</v>
      </c>
      <c r="I1507" t="s">
        <v>813</v>
      </c>
      <c r="J1507">
        <f t="shared" ca="1" si="94"/>
        <v>176000</v>
      </c>
      <c r="K1507">
        <f t="shared" ca="1" si="95"/>
        <v>263</v>
      </c>
      <c r="N1507" t="str">
        <f t="shared" si="92"/>
        <v>Liverpool24Residential &amp; Nursing fee UpliftResidential PlacementsCare home</v>
      </c>
      <c r="O1507" t="s">
        <v>211</v>
      </c>
      <c r="P1507" t="s">
        <v>1201</v>
      </c>
      <c r="Q1507">
        <v>24</v>
      </c>
      <c r="R1507" t="s">
        <v>4112</v>
      </c>
      <c r="S1507" t="s">
        <v>4112</v>
      </c>
      <c r="T1507" t="s">
        <v>806</v>
      </c>
      <c r="U1507" t="s">
        <v>807</v>
      </c>
      <c r="W1507">
        <v>500</v>
      </c>
      <c r="X1507">
        <v>500</v>
      </c>
      <c r="Y1507" t="s">
        <v>808</v>
      </c>
      <c r="Z1507" t="s">
        <v>792</v>
      </c>
      <c r="AB1507" t="s">
        <v>793</v>
      </c>
      <c r="AD1507" t="s">
        <v>794</v>
      </c>
      <c r="AE1507" t="s">
        <v>795</v>
      </c>
      <c r="AF1507" t="s">
        <v>796</v>
      </c>
      <c r="AG1507" t="s">
        <v>797</v>
      </c>
      <c r="AH1507">
        <v>541582</v>
      </c>
      <c r="AI1507">
        <v>568661</v>
      </c>
      <c r="AJ1507">
        <v>5.4103512710387469E-3</v>
      </c>
    </row>
    <row r="1508" spans="1:36" x14ac:dyDescent="0.3">
      <c r="A1508">
        <f>COUNTIF($D$2:D1508,D1508)</f>
        <v>6</v>
      </c>
      <c r="B1508" t="str">
        <f t="shared" si="93"/>
        <v>6North Lincolnshire</v>
      </c>
      <c r="C1508" t="s">
        <v>4546</v>
      </c>
      <c r="D1508" t="s">
        <v>233</v>
      </c>
      <c r="E1508">
        <v>12</v>
      </c>
      <c r="F1508" t="s">
        <v>4547</v>
      </c>
      <c r="G1508" t="s">
        <v>834</v>
      </c>
      <c r="H1508" t="s">
        <v>835</v>
      </c>
      <c r="I1508" t="s">
        <v>836</v>
      </c>
      <c r="J1508">
        <f t="shared" ca="1" si="94"/>
        <v>1812067</v>
      </c>
      <c r="K1508">
        <f t="shared" ca="1" si="95"/>
        <v>100</v>
      </c>
      <c r="N1508" t="str">
        <f t="shared" si="92"/>
        <v>Liverpool99High Nursing Dependency Care Residential PlacementsNursing home</v>
      </c>
      <c r="O1508" t="s">
        <v>211</v>
      </c>
      <c r="P1508" t="s">
        <v>1201</v>
      </c>
      <c r="Q1508">
        <v>99</v>
      </c>
      <c r="R1508" t="s">
        <v>4114</v>
      </c>
      <c r="S1508" t="s">
        <v>4548</v>
      </c>
      <c r="T1508" t="s">
        <v>806</v>
      </c>
      <c r="U1508" t="s">
        <v>917</v>
      </c>
      <c r="W1508">
        <v>41</v>
      </c>
      <c r="X1508">
        <v>41</v>
      </c>
      <c r="Y1508" t="s">
        <v>808</v>
      </c>
      <c r="Z1508" t="s">
        <v>823</v>
      </c>
      <c r="AB1508" t="s">
        <v>824</v>
      </c>
      <c r="AD1508" t="s">
        <v>794</v>
      </c>
      <c r="AE1508" t="s">
        <v>804</v>
      </c>
      <c r="AF1508" t="s">
        <v>796</v>
      </c>
      <c r="AG1508" t="s">
        <v>797</v>
      </c>
      <c r="AH1508">
        <v>2458536</v>
      </c>
      <c r="AI1508">
        <v>2581463</v>
      </c>
      <c r="AJ1508">
        <v>0.77333074983517613</v>
      </c>
    </row>
    <row r="1509" spans="1:36" x14ac:dyDescent="0.3">
      <c r="A1509">
        <f>COUNTIF($D$2:D1509,D1509)</f>
        <v>7</v>
      </c>
      <c r="B1509" t="str">
        <f t="shared" si="93"/>
        <v>7North Lincolnshire</v>
      </c>
      <c r="C1509" t="s">
        <v>4549</v>
      </c>
      <c r="D1509" t="s">
        <v>233</v>
      </c>
      <c r="E1509">
        <v>13</v>
      </c>
      <c r="F1509" t="s">
        <v>4550</v>
      </c>
      <c r="G1509" t="s">
        <v>834</v>
      </c>
      <c r="H1509" t="s">
        <v>1732</v>
      </c>
      <c r="I1509" t="s">
        <v>836</v>
      </c>
      <c r="J1509">
        <f t="shared" ca="1" si="94"/>
        <v>60000</v>
      </c>
      <c r="K1509">
        <f t="shared" ca="1" si="95"/>
        <v>1460</v>
      </c>
      <c r="N1509" t="str">
        <f t="shared" si="92"/>
        <v>Liverpool931:1 Fees for High Nursing Dependency Care Residential PlacementsNursing home</v>
      </c>
      <c r="O1509" t="s">
        <v>211</v>
      </c>
      <c r="P1509" t="s">
        <v>1201</v>
      </c>
      <c r="Q1509">
        <v>93</v>
      </c>
      <c r="R1509" t="s">
        <v>4118</v>
      </c>
      <c r="S1509" t="s">
        <v>4548</v>
      </c>
      <c r="T1509" t="s">
        <v>806</v>
      </c>
      <c r="U1509" t="s">
        <v>917</v>
      </c>
      <c r="W1509">
        <v>41</v>
      </c>
      <c r="X1509">
        <v>41</v>
      </c>
      <c r="Y1509" t="s">
        <v>808</v>
      </c>
      <c r="Z1509" t="s">
        <v>823</v>
      </c>
      <c r="AB1509" t="s">
        <v>824</v>
      </c>
      <c r="AD1509" t="s">
        <v>794</v>
      </c>
      <c r="AE1509" t="s">
        <v>804</v>
      </c>
      <c r="AF1509" t="s">
        <v>796</v>
      </c>
      <c r="AG1509" t="s">
        <v>797</v>
      </c>
      <c r="AH1509">
        <v>589703</v>
      </c>
      <c r="AI1509">
        <v>619188</v>
      </c>
      <c r="AJ1509">
        <v>0.18549065914432528</v>
      </c>
    </row>
    <row r="1510" spans="1:36" x14ac:dyDescent="0.3">
      <c r="A1510">
        <f>COUNTIF($D$2:D1510,D1510)</f>
        <v>8</v>
      </c>
      <c r="B1510" t="str">
        <f t="shared" si="93"/>
        <v>8North Lincolnshire</v>
      </c>
      <c r="C1510" t="s">
        <v>4551</v>
      </c>
      <c r="D1510" t="s">
        <v>233</v>
      </c>
      <c r="E1510">
        <v>14</v>
      </c>
      <c r="F1510" t="s">
        <v>4552</v>
      </c>
      <c r="G1510" t="s">
        <v>834</v>
      </c>
      <c r="H1510" t="s">
        <v>1293</v>
      </c>
      <c r="I1510" t="s">
        <v>836</v>
      </c>
      <c r="J1510">
        <f t="shared" ca="1" si="94"/>
        <v>715000</v>
      </c>
      <c r="K1510">
        <f t="shared" ca="1" si="95"/>
        <v>50</v>
      </c>
      <c r="N1510" t="str">
        <f t="shared" si="92"/>
        <v>Liverpool92Medical CoverBed based intermediate Care Services (Reablement, rehabilitation, wider short-term services supporting recovery)Other</v>
      </c>
      <c r="O1510" t="s">
        <v>211</v>
      </c>
      <c r="P1510" t="s">
        <v>1201</v>
      </c>
      <c r="Q1510">
        <v>92</v>
      </c>
      <c r="R1510" t="s">
        <v>4121</v>
      </c>
      <c r="S1510" t="s">
        <v>4553</v>
      </c>
      <c r="T1510" t="s">
        <v>877</v>
      </c>
      <c r="U1510" t="s">
        <v>812</v>
      </c>
      <c r="V1510" t="s">
        <v>4554</v>
      </c>
      <c r="W1510">
        <v>41</v>
      </c>
      <c r="X1510">
        <v>41</v>
      </c>
      <c r="Y1510" t="s">
        <v>879</v>
      </c>
      <c r="Z1510" t="s">
        <v>823</v>
      </c>
      <c r="AB1510" t="s">
        <v>824</v>
      </c>
      <c r="AD1510" t="s">
        <v>794</v>
      </c>
      <c r="AE1510" t="s">
        <v>824</v>
      </c>
      <c r="AF1510" t="s">
        <v>796</v>
      </c>
      <c r="AG1510" t="s">
        <v>797</v>
      </c>
      <c r="AH1510">
        <v>32217</v>
      </c>
      <c r="AI1510">
        <v>33828</v>
      </c>
      <c r="AJ1510">
        <v>1</v>
      </c>
    </row>
    <row r="1511" spans="1:36" x14ac:dyDescent="0.3">
      <c r="A1511">
        <f>COUNTIF($D$2:D1511,D1511)</f>
        <v>9</v>
      </c>
      <c r="B1511" t="str">
        <f t="shared" si="93"/>
        <v>9North Lincolnshire</v>
      </c>
      <c r="C1511" t="s">
        <v>4555</v>
      </c>
      <c r="D1511" t="s">
        <v>233</v>
      </c>
      <c r="E1511">
        <v>18</v>
      </c>
      <c r="F1511" t="s">
        <v>4556</v>
      </c>
      <c r="G1511" t="s">
        <v>806</v>
      </c>
      <c r="H1511" t="s">
        <v>854</v>
      </c>
      <c r="I1511" t="s">
        <v>808</v>
      </c>
      <c r="J1511">
        <f t="shared" ca="1" si="94"/>
        <v>137500</v>
      </c>
      <c r="K1511">
        <f t="shared" ca="1" si="95"/>
        <v>8</v>
      </c>
      <c r="N1511" t="str">
        <f t="shared" si="92"/>
        <v>Liverpool87Adult FF CHC Residential PlacementsNursing home</v>
      </c>
      <c r="O1511" t="s">
        <v>211</v>
      </c>
      <c r="P1511" t="s">
        <v>1201</v>
      </c>
      <c r="Q1511">
        <v>87</v>
      </c>
      <c r="R1511" t="s">
        <v>4123</v>
      </c>
      <c r="S1511" t="s">
        <v>4469</v>
      </c>
      <c r="T1511" t="s">
        <v>806</v>
      </c>
      <c r="U1511" t="s">
        <v>917</v>
      </c>
      <c r="W1511">
        <v>47</v>
      </c>
      <c r="X1511">
        <v>47</v>
      </c>
      <c r="Y1511" t="s">
        <v>808</v>
      </c>
      <c r="Z1511" t="s">
        <v>1061</v>
      </c>
      <c r="AB1511" t="s">
        <v>1739</v>
      </c>
      <c r="AC1511">
        <v>0.5</v>
      </c>
      <c r="AD1511">
        <v>0.5</v>
      </c>
      <c r="AE1511" t="s">
        <v>804</v>
      </c>
      <c r="AF1511" t="s">
        <v>1042</v>
      </c>
      <c r="AG1511" t="s">
        <v>797</v>
      </c>
      <c r="AH1511">
        <v>424981</v>
      </c>
      <c r="AI1511">
        <v>446227</v>
      </c>
      <c r="AJ1511">
        <v>4.2455186721813455E-3</v>
      </c>
    </row>
    <row r="1512" spans="1:36" x14ac:dyDescent="0.3">
      <c r="A1512">
        <f>COUNTIF($D$2:D1512,D1512)</f>
        <v>10</v>
      </c>
      <c r="B1512" t="str">
        <f t="shared" si="93"/>
        <v>10North Lincolnshire</v>
      </c>
      <c r="C1512" t="s">
        <v>4557</v>
      </c>
      <c r="D1512" t="s">
        <v>233</v>
      </c>
      <c r="E1512">
        <v>19</v>
      </c>
      <c r="F1512" t="s">
        <v>4556</v>
      </c>
      <c r="G1512" t="s">
        <v>806</v>
      </c>
      <c r="H1512" t="s">
        <v>955</v>
      </c>
      <c r="I1512" t="s">
        <v>808</v>
      </c>
      <c r="J1512">
        <f t="shared" ca="1" si="94"/>
        <v>741532</v>
      </c>
      <c r="K1512">
        <f t="shared" ca="1" si="95"/>
        <v>773</v>
      </c>
      <c r="N1512" t="str">
        <f t="shared" si="92"/>
        <v>Liverpool64Residential Fee Uplifts  Residential PlacementsCare home</v>
      </c>
      <c r="O1512" t="s">
        <v>211</v>
      </c>
      <c r="P1512" t="s">
        <v>1201</v>
      </c>
      <c r="Q1512">
        <v>64</v>
      </c>
      <c r="R1512" t="s">
        <v>4125</v>
      </c>
      <c r="S1512" t="s">
        <v>4558</v>
      </c>
      <c r="T1512" t="s">
        <v>806</v>
      </c>
      <c r="U1512" t="s">
        <v>807</v>
      </c>
      <c r="W1512">
        <v>500</v>
      </c>
      <c r="X1512">
        <v>500</v>
      </c>
      <c r="Y1512" t="s">
        <v>808</v>
      </c>
      <c r="Z1512" t="s">
        <v>792</v>
      </c>
      <c r="AB1512" t="s">
        <v>793</v>
      </c>
      <c r="AD1512" t="s">
        <v>794</v>
      </c>
      <c r="AE1512" t="s">
        <v>804</v>
      </c>
      <c r="AF1512" t="s">
        <v>845</v>
      </c>
      <c r="AG1512" t="s">
        <v>797</v>
      </c>
      <c r="AH1512">
        <v>35999722</v>
      </c>
      <c r="AI1512">
        <v>35999722</v>
      </c>
      <c r="AJ1512">
        <v>0.35963370584646742</v>
      </c>
    </row>
    <row r="1513" spans="1:36" x14ac:dyDescent="0.3">
      <c r="A1513">
        <f>COUNTIF($D$2:D1513,D1513)</f>
        <v>11</v>
      </c>
      <c r="B1513" t="str">
        <f t="shared" si="93"/>
        <v>11North Lincolnshire</v>
      </c>
      <c r="C1513" t="s">
        <v>4559</v>
      </c>
      <c r="D1513" t="s">
        <v>233</v>
      </c>
      <c r="E1513">
        <v>20</v>
      </c>
      <c r="F1513" t="s">
        <v>4556</v>
      </c>
      <c r="G1513" t="s">
        <v>806</v>
      </c>
      <c r="H1513" t="s">
        <v>807</v>
      </c>
      <c r="I1513" t="s">
        <v>808</v>
      </c>
      <c r="J1513">
        <f t="shared" ca="1" si="94"/>
        <v>1925000</v>
      </c>
      <c r="K1513">
        <f t="shared" ca="1" si="95"/>
        <v>61</v>
      </c>
      <c r="N1513" t="str">
        <f t="shared" si="92"/>
        <v>Liverpool78My TimeCarers ServicesRespite services</v>
      </c>
      <c r="O1513" t="s">
        <v>211</v>
      </c>
      <c r="P1513" t="s">
        <v>1201</v>
      </c>
      <c r="Q1513">
        <v>78</v>
      </c>
      <c r="R1513" t="s">
        <v>4128</v>
      </c>
      <c r="S1513" t="s">
        <v>4560</v>
      </c>
      <c r="T1513" t="s">
        <v>811</v>
      </c>
      <c r="U1513" t="s">
        <v>830</v>
      </c>
      <c r="W1513">
        <v>280</v>
      </c>
      <c r="X1513">
        <v>300</v>
      </c>
      <c r="Y1513" t="s">
        <v>813</v>
      </c>
      <c r="Z1513" t="s">
        <v>792</v>
      </c>
      <c r="AB1513" t="s">
        <v>793</v>
      </c>
      <c r="AD1513" t="s">
        <v>794</v>
      </c>
      <c r="AE1513" t="s">
        <v>804</v>
      </c>
      <c r="AF1513" t="s">
        <v>1029</v>
      </c>
      <c r="AG1513" t="s">
        <v>797</v>
      </c>
      <c r="AH1513">
        <v>48354</v>
      </c>
      <c r="AI1513">
        <v>50772</v>
      </c>
      <c r="AJ1513">
        <v>3.2177394239292167E-2</v>
      </c>
    </row>
    <row r="1514" spans="1:36" x14ac:dyDescent="0.3">
      <c r="A1514">
        <f>COUNTIF($D$2:D1514,D1514)</f>
        <v>12</v>
      </c>
      <c r="B1514" t="str">
        <f t="shared" si="93"/>
        <v>12North Lincolnshire</v>
      </c>
      <c r="C1514" t="s">
        <v>4561</v>
      </c>
      <c r="D1514" t="s">
        <v>233</v>
      </c>
      <c r="E1514">
        <v>21</v>
      </c>
      <c r="F1514" t="s">
        <v>4562</v>
      </c>
      <c r="G1514" t="s">
        <v>877</v>
      </c>
      <c r="H1514" t="s">
        <v>968</v>
      </c>
      <c r="I1514" t="s">
        <v>879</v>
      </c>
      <c r="J1514">
        <f t="shared" ca="1" si="94"/>
        <v>109000</v>
      </c>
      <c r="K1514">
        <f t="shared" ca="1" si="95"/>
        <v>30</v>
      </c>
      <c r="N1514" t="str">
        <f t="shared" si="92"/>
        <v>Liverpool109Personalised Health &amp; Social CareResidential PlacementsCare home</v>
      </c>
      <c r="O1514" t="s">
        <v>211</v>
      </c>
      <c r="P1514" t="s">
        <v>1201</v>
      </c>
      <c r="Q1514">
        <v>109</v>
      </c>
      <c r="R1514" t="s">
        <v>4131</v>
      </c>
      <c r="S1514" t="s">
        <v>806</v>
      </c>
      <c r="T1514" t="s">
        <v>806</v>
      </c>
      <c r="U1514" t="s">
        <v>807</v>
      </c>
      <c r="W1514">
        <v>500</v>
      </c>
      <c r="X1514">
        <v>500</v>
      </c>
      <c r="Y1514" t="s">
        <v>808</v>
      </c>
      <c r="Z1514" t="s">
        <v>792</v>
      </c>
      <c r="AB1514" t="s">
        <v>793</v>
      </c>
      <c r="AD1514" t="s">
        <v>794</v>
      </c>
      <c r="AE1514" t="s">
        <v>804</v>
      </c>
      <c r="AF1514" t="s">
        <v>796</v>
      </c>
      <c r="AG1514" t="s">
        <v>797</v>
      </c>
      <c r="AH1514">
        <v>1966705</v>
      </c>
      <c r="AI1514">
        <v>2065040</v>
      </c>
      <c r="AJ1514">
        <v>1.96471908159951E-2</v>
      </c>
    </row>
    <row r="1515" spans="1:36" x14ac:dyDescent="0.3">
      <c r="A1515">
        <f>COUNTIF($D$2:D1515,D1515)</f>
        <v>13</v>
      </c>
      <c r="B1515" t="str">
        <f t="shared" si="93"/>
        <v>13North Lincolnshire</v>
      </c>
      <c r="C1515" t="s">
        <v>4563</v>
      </c>
      <c r="D1515" t="s">
        <v>233</v>
      </c>
      <c r="E1515">
        <v>28</v>
      </c>
      <c r="F1515" t="s">
        <v>1881</v>
      </c>
      <c r="G1515" t="s">
        <v>800</v>
      </c>
      <c r="H1515" t="s">
        <v>903</v>
      </c>
      <c r="I1515" t="s">
        <v>802</v>
      </c>
      <c r="J1515">
        <f t="shared" ca="1" si="94"/>
        <v>613049</v>
      </c>
      <c r="K1515">
        <f t="shared" ca="1" si="95"/>
        <v>3500</v>
      </c>
      <c r="N1515" t="str">
        <f t="shared" si="92"/>
        <v>Liverpool93Fees for High Nursing Dependency Care Residential PlacementsNursing home</v>
      </c>
      <c r="O1515" t="s">
        <v>211</v>
      </c>
      <c r="P1515" t="s">
        <v>1201</v>
      </c>
      <c r="Q1515">
        <v>93</v>
      </c>
      <c r="R1515" t="s">
        <v>4134</v>
      </c>
      <c r="S1515" t="s">
        <v>4548</v>
      </c>
      <c r="T1515" t="s">
        <v>806</v>
      </c>
      <c r="U1515" t="s">
        <v>917</v>
      </c>
      <c r="W1515">
        <v>4</v>
      </c>
      <c r="X1515">
        <v>4</v>
      </c>
      <c r="Y1515" t="s">
        <v>808</v>
      </c>
      <c r="Z1515" t="s">
        <v>823</v>
      </c>
      <c r="AB1515" t="s">
        <v>824</v>
      </c>
      <c r="AD1515" t="s">
        <v>794</v>
      </c>
      <c r="AE1515" t="s">
        <v>804</v>
      </c>
      <c r="AF1515" t="s">
        <v>1042</v>
      </c>
      <c r="AG1515" t="s">
        <v>797</v>
      </c>
      <c r="AH1515">
        <v>130913</v>
      </c>
      <c r="AI1515">
        <v>137458</v>
      </c>
      <c r="AJ1515">
        <v>4.1178591020498541E-2</v>
      </c>
    </row>
    <row r="1516" spans="1:36" x14ac:dyDescent="0.3">
      <c r="A1516">
        <f>COUNTIF($D$2:D1516,D1516)</f>
        <v>14</v>
      </c>
      <c r="B1516" t="str">
        <f t="shared" si="93"/>
        <v>14North Lincolnshire</v>
      </c>
      <c r="C1516" t="s">
        <v>4564</v>
      </c>
      <c r="D1516" t="s">
        <v>233</v>
      </c>
      <c r="E1516">
        <v>29</v>
      </c>
      <c r="F1516" t="s">
        <v>1094</v>
      </c>
      <c r="G1516" t="s">
        <v>800</v>
      </c>
      <c r="H1516" t="s">
        <v>903</v>
      </c>
      <c r="I1516" t="s">
        <v>802</v>
      </c>
      <c r="J1516">
        <f t="shared" ca="1" si="94"/>
        <v>280807</v>
      </c>
      <c r="K1516">
        <f t="shared" ca="1" si="95"/>
        <v>280</v>
      </c>
      <c r="N1516" t="str">
        <f t="shared" si="92"/>
        <v>Liverpool2Reablement Beds (Spot Purchase)Bed based intermediate Care Services (Reablement, rehabilitation, wider short-term services supporting recovery)Bed-based intermediate care with rehabilitation (to support discharge)</v>
      </c>
      <c r="O1516" t="s">
        <v>211</v>
      </c>
      <c r="P1516" t="s">
        <v>1201</v>
      </c>
      <c r="Q1516">
        <v>2</v>
      </c>
      <c r="R1516" t="s">
        <v>4137</v>
      </c>
      <c r="S1516" t="s">
        <v>4137</v>
      </c>
      <c r="T1516" t="s">
        <v>877</v>
      </c>
      <c r="U1516" t="s">
        <v>968</v>
      </c>
      <c r="W1516">
        <v>800</v>
      </c>
      <c r="X1516">
        <v>800</v>
      </c>
      <c r="Y1516" t="s">
        <v>879</v>
      </c>
      <c r="Z1516" t="s">
        <v>792</v>
      </c>
      <c r="AB1516" t="s">
        <v>793</v>
      </c>
      <c r="AD1516" t="s">
        <v>794</v>
      </c>
      <c r="AE1516" t="s">
        <v>804</v>
      </c>
      <c r="AF1516" t="s">
        <v>796</v>
      </c>
      <c r="AG1516" t="s">
        <v>797</v>
      </c>
      <c r="AH1516">
        <v>1473069</v>
      </c>
      <c r="AI1516">
        <v>1546722</v>
      </c>
      <c r="AJ1516">
        <v>9.0764461604333657E-2</v>
      </c>
    </row>
    <row r="1517" spans="1:36" x14ac:dyDescent="0.3">
      <c r="A1517">
        <f>COUNTIF($D$2:D1517,D1517)</f>
        <v>15</v>
      </c>
      <c r="B1517" t="str">
        <f t="shared" si="93"/>
        <v>15North Lincolnshire</v>
      </c>
      <c r="C1517" t="s">
        <v>4565</v>
      </c>
      <c r="D1517" t="s">
        <v>233</v>
      </c>
      <c r="E1517">
        <v>33</v>
      </c>
      <c r="F1517" t="s">
        <v>4566</v>
      </c>
      <c r="G1517" t="s">
        <v>800</v>
      </c>
      <c r="H1517" t="s">
        <v>850</v>
      </c>
      <c r="I1517" t="s">
        <v>802</v>
      </c>
      <c r="J1517">
        <f t="shared" ca="1" si="94"/>
        <v>85000</v>
      </c>
      <c r="K1517">
        <f t="shared" ca="1" si="95"/>
        <v>460</v>
      </c>
      <c r="N1517" t="str">
        <f t="shared" si="92"/>
        <v>Luton1Meet and Greet SchemeCarers ServicesOther</v>
      </c>
      <c r="O1517" t="s">
        <v>213</v>
      </c>
      <c r="P1517" t="s">
        <v>1056</v>
      </c>
      <c r="Q1517">
        <v>1</v>
      </c>
      <c r="R1517" t="s">
        <v>4140</v>
      </c>
      <c r="S1517" t="s">
        <v>4567</v>
      </c>
      <c r="T1517" t="s">
        <v>811</v>
      </c>
      <c r="U1517" t="s">
        <v>812</v>
      </c>
      <c r="V1517" t="s">
        <v>822</v>
      </c>
      <c r="W1517">
        <v>840</v>
      </c>
      <c r="X1517">
        <v>840</v>
      </c>
      <c r="Y1517" t="s">
        <v>813</v>
      </c>
      <c r="Z1517" t="s">
        <v>812</v>
      </c>
      <c r="AA1517" t="s">
        <v>1250</v>
      </c>
      <c r="AB1517" t="s">
        <v>824</v>
      </c>
      <c r="AD1517" t="s">
        <v>794</v>
      </c>
      <c r="AE1517" t="s">
        <v>825</v>
      </c>
      <c r="AF1517" t="s">
        <v>796</v>
      </c>
      <c r="AG1517" t="s">
        <v>797</v>
      </c>
      <c r="AH1517">
        <v>153914</v>
      </c>
      <c r="AI1517">
        <v>162626</v>
      </c>
      <c r="AJ1517">
        <v>5.2631962081733279E-3</v>
      </c>
    </row>
    <row r="1518" spans="1:36" x14ac:dyDescent="0.3">
      <c r="A1518">
        <f>COUNTIF($D$2:D1518,D1518)</f>
        <v>16</v>
      </c>
      <c r="B1518" t="str">
        <f t="shared" si="93"/>
        <v>16North Lincolnshire</v>
      </c>
      <c r="C1518" t="s">
        <v>4568</v>
      </c>
      <c r="D1518" t="s">
        <v>233</v>
      </c>
      <c r="E1518">
        <v>38</v>
      </c>
      <c r="F1518" t="s">
        <v>4569</v>
      </c>
      <c r="G1518" t="s">
        <v>842</v>
      </c>
      <c r="H1518" t="s">
        <v>856</v>
      </c>
      <c r="I1518" t="s">
        <v>844</v>
      </c>
      <c r="J1518">
        <f t="shared" ca="1" si="94"/>
        <v>58000</v>
      </c>
      <c r="K1518">
        <f t="shared" ca="1" si="95"/>
        <v>2935</v>
      </c>
      <c r="N1518" t="str">
        <f t="shared" si="92"/>
        <v>Luton90Disabled Facilities Grant (DFG)DFG Related SchemesAdaptations, including statutory DFG grants</v>
      </c>
      <c r="O1518" t="s">
        <v>213</v>
      </c>
      <c r="P1518" t="s">
        <v>1056</v>
      </c>
      <c r="Q1518">
        <v>90</v>
      </c>
      <c r="R1518" t="s">
        <v>1844</v>
      </c>
      <c r="S1518" t="s">
        <v>4570</v>
      </c>
      <c r="T1518" t="s">
        <v>834</v>
      </c>
      <c r="U1518" t="s">
        <v>835</v>
      </c>
      <c r="W1518">
        <v>75</v>
      </c>
      <c r="X1518">
        <v>75</v>
      </c>
      <c r="Y1518" t="s">
        <v>836</v>
      </c>
      <c r="Z1518" t="s">
        <v>792</v>
      </c>
      <c r="AB1518" t="s">
        <v>793</v>
      </c>
      <c r="AD1518" t="s">
        <v>794</v>
      </c>
      <c r="AE1518" t="s">
        <v>795</v>
      </c>
      <c r="AF1518" t="s">
        <v>840</v>
      </c>
      <c r="AG1518" t="s">
        <v>797</v>
      </c>
      <c r="AH1518">
        <v>1608433</v>
      </c>
      <c r="AI1518">
        <v>1608433</v>
      </c>
      <c r="AJ1518">
        <v>5.3487701185953432E-2</v>
      </c>
    </row>
    <row r="1519" spans="1:36" x14ac:dyDescent="0.3">
      <c r="A1519">
        <f>COUNTIF($D$2:D1519,D1519)</f>
        <v>17</v>
      </c>
      <c r="B1519" t="str">
        <f t="shared" si="93"/>
        <v>17North Lincolnshire</v>
      </c>
      <c r="C1519" t="s">
        <v>4571</v>
      </c>
      <c r="D1519" t="s">
        <v>233</v>
      </c>
      <c r="E1519">
        <v>39</v>
      </c>
      <c r="F1519" t="s">
        <v>4572</v>
      </c>
      <c r="G1519" t="s">
        <v>806</v>
      </c>
      <c r="H1519" t="s">
        <v>955</v>
      </c>
      <c r="I1519" t="s">
        <v>808</v>
      </c>
      <c r="J1519">
        <f t="shared" ca="1" si="94"/>
        <v>830000</v>
      </c>
      <c r="K1519">
        <f t="shared" ca="1" si="95"/>
        <v>17</v>
      </c>
      <c r="N1519" t="str">
        <f t="shared" si="92"/>
        <v>Luton13Community Equipment Services - LBCAssistive Technologies and EquipmentCommunity based equipment</v>
      </c>
      <c r="O1519" t="s">
        <v>213</v>
      </c>
      <c r="P1519" t="s">
        <v>1056</v>
      </c>
      <c r="Q1519">
        <v>13</v>
      </c>
      <c r="R1519" t="s">
        <v>4144</v>
      </c>
      <c r="S1519" t="s">
        <v>4573</v>
      </c>
      <c r="T1519" t="s">
        <v>800</v>
      </c>
      <c r="U1519" t="s">
        <v>903</v>
      </c>
      <c r="W1519">
        <v>3500</v>
      </c>
      <c r="X1519">
        <v>3500</v>
      </c>
      <c r="Y1519" t="s">
        <v>802</v>
      </c>
      <c r="Z1519" t="s">
        <v>792</v>
      </c>
      <c r="AB1519" t="s">
        <v>1739</v>
      </c>
      <c r="AC1519">
        <v>0.5</v>
      </c>
      <c r="AD1519">
        <v>0.5</v>
      </c>
      <c r="AE1519" t="s">
        <v>804</v>
      </c>
      <c r="AF1519" t="s">
        <v>796</v>
      </c>
      <c r="AG1519" t="s">
        <v>797</v>
      </c>
      <c r="AH1519">
        <v>687617</v>
      </c>
      <c r="AI1519">
        <v>726536</v>
      </c>
      <c r="AJ1519">
        <v>2.3513504477718251E-2</v>
      </c>
    </row>
    <row r="1520" spans="1:36" x14ac:dyDescent="0.3">
      <c r="A1520">
        <f>COUNTIF($D$2:D1520,D1520)</f>
        <v>18</v>
      </c>
      <c r="B1520" t="str">
        <f t="shared" si="93"/>
        <v>18North Lincolnshire</v>
      </c>
      <c r="C1520" t="s">
        <v>4574</v>
      </c>
      <c r="D1520" t="s">
        <v>233</v>
      </c>
      <c r="E1520">
        <v>41</v>
      </c>
      <c r="F1520" t="s">
        <v>4575</v>
      </c>
      <c r="G1520" t="s">
        <v>787</v>
      </c>
      <c r="H1520" t="s">
        <v>1195</v>
      </c>
      <c r="I1520" t="s">
        <v>789</v>
      </c>
      <c r="J1520">
        <f t="shared" ca="1" si="94"/>
        <v>39000</v>
      </c>
      <c r="K1520">
        <f t="shared" ca="1" si="95"/>
        <v>19</v>
      </c>
      <c r="N1520" t="str">
        <f t="shared" si="92"/>
        <v>Luton13Community Equipment Services - CCGAssistive Technologies and EquipmentCommunity based equipment</v>
      </c>
      <c r="O1520" t="s">
        <v>213</v>
      </c>
      <c r="P1520" t="s">
        <v>1056</v>
      </c>
      <c r="Q1520">
        <v>13</v>
      </c>
      <c r="R1520" t="s">
        <v>4146</v>
      </c>
      <c r="S1520" t="s">
        <v>4573</v>
      </c>
      <c r="T1520" t="s">
        <v>800</v>
      </c>
      <c r="U1520" t="s">
        <v>903</v>
      </c>
      <c r="W1520">
        <v>3500</v>
      </c>
      <c r="X1520">
        <v>3500</v>
      </c>
      <c r="Y1520" t="s">
        <v>802</v>
      </c>
      <c r="Z1520" t="s">
        <v>3118</v>
      </c>
      <c r="AB1520" t="s">
        <v>1739</v>
      </c>
      <c r="AC1520">
        <v>0.5</v>
      </c>
      <c r="AD1520">
        <v>0.5</v>
      </c>
      <c r="AE1520" t="s">
        <v>804</v>
      </c>
      <c r="AF1520" t="s">
        <v>796</v>
      </c>
      <c r="AG1520" t="s">
        <v>797</v>
      </c>
      <c r="AH1520">
        <v>687617</v>
      </c>
      <c r="AI1520">
        <v>726536</v>
      </c>
      <c r="AJ1520">
        <v>2.3513504477718251E-2</v>
      </c>
    </row>
    <row r="1521" spans="1:36" x14ac:dyDescent="0.3">
      <c r="A1521">
        <f>COUNTIF($D$2:D1521,D1521)</f>
        <v>19</v>
      </c>
      <c r="B1521" t="str">
        <f t="shared" si="93"/>
        <v>19North Lincolnshire</v>
      </c>
      <c r="C1521" t="s">
        <v>4576</v>
      </c>
      <c r="D1521" t="s">
        <v>233</v>
      </c>
      <c r="E1521">
        <v>43</v>
      </c>
      <c r="F1521" t="s">
        <v>4577</v>
      </c>
      <c r="G1521" t="s">
        <v>806</v>
      </c>
      <c r="H1521" t="s">
        <v>955</v>
      </c>
      <c r="I1521" t="s">
        <v>808</v>
      </c>
      <c r="J1521">
        <f t="shared" ca="1" si="94"/>
        <v>355715</v>
      </c>
      <c r="K1521">
        <f t="shared" ca="1" si="95"/>
        <v>7</v>
      </c>
      <c r="N1521" t="str">
        <f t="shared" si="92"/>
        <v>Luton2TelecareAssistive Technologies and EquipmentAssistive technologies including telecare</v>
      </c>
      <c r="O1521" t="s">
        <v>213</v>
      </c>
      <c r="P1521" t="s">
        <v>1056</v>
      </c>
      <c r="Q1521">
        <v>2</v>
      </c>
      <c r="R1521" t="s">
        <v>2108</v>
      </c>
      <c r="S1521" t="s">
        <v>4578</v>
      </c>
      <c r="T1521" t="s">
        <v>800</v>
      </c>
      <c r="U1521" t="s">
        <v>850</v>
      </c>
      <c r="W1521">
        <v>175</v>
      </c>
      <c r="X1521">
        <v>175</v>
      </c>
      <c r="Y1521" t="s">
        <v>802</v>
      </c>
      <c r="Z1521" t="s">
        <v>792</v>
      </c>
      <c r="AB1521" t="s">
        <v>793</v>
      </c>
      <c r="AD1521" t="s">
        <v>794</v>
      </c>
      <c r="AE1521" t="s">
        <v>804</v>
      </c>
      <c r="AF1521" t="s">
        <v>796</v>
      </c>
      <c r="AG1521" t="s">
        <v>797</v>
      </c>
      <c r="AH1521">
        <v>84891</v>
      </c>
      <c r="AI1521">
        <v>89696</v>
      </c>
      <c r="AJ1521">
        <v>2.9029052770466819E-3</v>
      </c>
    </row>
    <row r="1522" spans="1:36" x14ac:dyDescent="0.3">
      <c r="A1522">
        <f>COUNTIF($D$2:D1522,D1522)</f>
        <v>1</v>
      </c>
      <c r="B1522" t="str">
        <f t="shared" si="93"/>
        <v>1North Northamptonshire</v>
      </c>
      <c r="C1522" t="s">
        <v>4579</v>
      </c>
      <c r="D1522" t="s">
        <v>235</v>
      </c>
      <c r="E1522">
        <v>1</v>
      </c>
      <c r="F1522" t="s">
        <v>4580</v>
      </c>
      <c r="G1522" t="s">
        <v>811</v>
      </c>
      <c r="H1522" t="s">
        <v>830</v>
      </c>
      <c r="I1522" t="s">
        <v>813</v>
      </c>
      <c r="J1522">
        <f t="shared" ca="1" si="94"/>
        <v>327629</v>
      </c>
      <c r="K1522">
        <f t="shared" ca="1" si="95"/>
        <v>786</v>
      </c>
      <c r="N1522" t="str">
        <f t="shared" si="92"/>
        <v>Luton13Adaptations &amp; Minor WorksDFG Related SchemesAdaptations, including statutory DFG grants</v>
      </c>
      <c r="O1522" t="s">
        <v>213</v>
      </c>
      <c r="P1522" t="s">
        <v>1056</v>
      </c>
      <c r="Q1522">
        <v>13</v>
      </c>
      <c r="R1522" t="s">
        <v>4149</v>
      </c>
      <c r="S1522" t="s">
        <v>4581</v>
      </c>
      <c r="T1522" t="s">
        <v>834</v>
      </c>
      <c r="U1522" t="s">
        <v>835</v>
      </c>
      <c r="W1522">
        <v>50</v>
      </c>
      <c r="X1522">
        <v>50</v>
      </c>
      <c r="Y1522" t="s">
        <v>836</v>
      </c>
      <c r="Z1522" t="s">
        <v>792</v>
      </c>
      <c r="AB1522" t="s">
        <v>793</v>
      </c>
      <c r="AD1522" t="s">
        <v>794</v>
      </c>
      <c r="AE1522" t="s">
        <v>795</v>
      </c>
      <c r="AF1522" t="s">
        <v>796</v>
      </c>
      <c r="AG1522" t="s">
        <v>797</v>
      </c>
      <c r="AH1522">
        <v>1100001</v>
      </c>
      <c r="AI1522">
        <v>1162261</v>
      </c>
      <c r="AJ1522">
        <v>3.7615242245196842E-2</v>
      </c>
    </row>
    <row r="1523" spans="1:36" x14ac:dyDescent="0.3">
      <c r="A1523">
        <f>COUNTIF($D$2:D1523,D1523)</f>
        <v>2</v>
      </c>
      <c r="B1523" t="str">
        <f t="shared" si="93"/>
        <v>2North Northamptonshire</v>
      </c>
      <c r="C1523" t="s">
        <v>4582</v>
      </c>
      <c r="D1523" t="s">
        <v>235</v>
      </c>
      <c r="E1523">
        <v>2</v>
      </c>
      <c r="F1523" t="s">
        <v>4583</v>
      </c>
      <c r="G1523" t="s">
        <v>811</v>
      </c>
      <c r="H1523" t="s">
        <v>812</v>
      </c>
      <c r="I1523" t="s">
        <v>813</v>
      </c>
      <c r="J1523">
        <f t="shared" ca="1" si="94"/>
        <v>436080</v>
      </c>
      <c r="K1523">
        <f t="shared" ca="1" si="95"/>
        <v>1625</v>
      </c>
      <c r="N1523" t="str">
        <f t="shared" si="92"/>
        <v>Luton14Short term packages of care to support hospital discharge (up to 4 weeks)Home Care or Domiciliary CareDomiciliary care to support hospital discharge (Discharge to Assess pathway 1)</v>
      </c>
      <c r="O1523" t="s">
        <v>213</v>
      </c>
      <c r="P1523" t="s">
        <v>1056</v>
      </c>
      <c r="Q1523">
        <v>14</v>
      </c>
      <c r="R1523" t="s">
        <v>4151</v>
      </c>
      <c r="S1523" t="s">
        <v>4584</v>
      </c>
      <c r="T1523" t="s">
        <v>842</v>
      </c>
      <c r="U1523" t="s">
        <v>856</v>
      </c>
      <c r="W1523">
        <v>46000</v>
      </c>
      <c r="X1523">
        <v>70000</v>
      </c>
      <c r="Y1523" t="s">
        <v>844</v>
      </c>
      <c r="Z1523" t="s">
        <v>792</v>
      </c>
      <c r="AB1523" t="s">
        <v>793</v>
      </c>
      <c r="AD1523" t="s">
        <v>794</v>
      </c>
      <c r="AE1523" t="s">
        <v>795</v>
      </c>
      <c r="AF1523" t="s">
        <v>864</v>
      </c>
      <c r="AG1523" t="s">
        <v>797</v>
      </c>
      <c r="AH1523">
        <v>873241</v>
      </c>
      <c r="AI1523">
        <v>1396435</v>
      </c>
      <c r="AJ1523">
        <v>3.7738516828779947E-2</v>
      </c>
    </row>
    <row r="1524" spans="1:36" x14ac:dyDescent="0.3">
      <c r="A1524">
        <f>COUNTIF($D$2:D1524,D1524)</f>
        <v>3</v>
      </c>
      <c r="B1524" t="str">
        <f t="shared" si="93"/>
        <v>3North Northamptonshire</v>
      </c>
      <c r="C1524" t="s">
        <v>4585</v>
      </c>
      <c r="D1524" t="s">
        <v>235</v>
      </c>
      <c r="E1524">
        <v>7</v>
      </c>
      <c r="F1524" t="s">
        <v>4586</v>
      </c>
      <c r="G1524" t="s">
        <v>800</v>
      </c>
      <c r="H1524" t="s">
        <v>903</v>
      </c>
      <c r="I1524" t="s">
        <v>802</v>
      </c>
      <c r="J1524">
        <f t="shared" ca="1" si="94"/>
        <v>200000</v>
      </c>
      <c r="K1524">
        <f t="shared" ca="1" si="95"/>
        <v>2000</v>
      </c>
      <c r="N1524" t="str">
        <f t="shared" si="92"/>
        <v>Luton14Short term packages of care to support hospital discharge (up to 4 weeks)Residential PlacementsShort term residential care (without rehabilitation or reablement input)</v>
      </c>
      <c r="O1524" t="s">
        <v>213</v>
      </c>
      <c r="P1524" t="s">
        <v>1056</v>
      </c>
      <c r="Q1524">
        <v>14</v>
      </c>
      <c r="R1524" t="s">
        <v>4151</v>
      </c>
      <c r="S1524" t="s">
        <v>4584</v>
      </c>
      <c r="T1524" t="s">
        <v>806</v>
      </c>
      <c r="U1524" t="s">
        <v>955</v>
      </c>
      <c r="W1524">
        <v>58</v>
      </c>
      <c r="X1524">
        <v>100</v>
      </c>
      <c r="Y1524" t="s">
        <v>808</v>
      </c>
      <c r="Z1524" t="s">
        <v>792</v>
      </c>
      <c r="AB1524" t="s">
        <v>793</v>
      </c>
      <c r="AD1524" t="s">
        <v>794</v>
      </c>
      <c r="AE1524" t="s">
        <v>795</v>
      </c>
      <c r="AF1524" t="s">
        <v>864</v>
      </c>
      <c r="AG1524" t="s">
        <v>797</v>
      </c>
      <c r="AH1524">
        <v>175571.45</v>
      </c>
      <c r="AI1524">
        <v>351516</v>
      </c>
      <c r="AJ1524">
        <v>8.764025615137892E-3</v>
      </c>
    </row>
    <row r="1525" spans="1:36" x14ac:dyDescent="0.3">
      <c r="A1525">
        <f>COUNTIF($D$2:D1525,D1525)</f>
        <v>4</v>
      </c>
      <c r="B1525" t="str">
        <f t="shared" si="93"/>
        <v>4North Northamptonshire</v>
      </c>
      <c r="C1525" t="s">
        <v>4587</v>
      </c>
      <c r="D1525" t="s">
        <v>235</v>
      </c>
      <c r="E1525">
        <v>8</v>
      </c>
      <c r="F1525" t="s">
        <v>4588</v>
      </c>
      <c r="G1525" t="s">
        <v>787</v>
      </c>
      <c r="H1525" t="s">
        <v>788</v>
      </c>
      <c r="I1525" t="s">
        <v>789</v>
      </c>
      <c r="J1525">
        <f t="shared" ca="1" si="94"/>
        <v>4379334</v>
      </c>
      <c r="K1525">
        <f t="shared" ca="1" si="95"/>
        <v>1326</v>
      </c>
      <c r="N1525" t="str">
        <f t="shared" si="92"/>
        <v>Manchester1DFGDFG Related SchemesAdaptations, including statutory DFG grants</v>
      </c>
      <c r="O1525" t="s">
        <v>215</v>
      </c>
      <c r="P1525" t="s">
        <v>1201</v>
      </c>
      <c r="Q1525">
        <v>1</v>
      </c>
      <c r="R1525" t="s">
        <v>840</v>
      </c>
      <c r="S1525" t="s">
        <v>4589</v>
      </c>
      <c r="T1525" t="s">
        <v>834</v>
      </c>
      <c r="U1525" t="s">
        <v>835</v>
      </c>
      <c r="W1525">
        <v>1200</v>
      </c>
      <c r="X1525">
        <v>1200</v>
      </c>
      <c r="Y1525" t="s">
        <v>836</v>
      </c>
      <c r="Z1525" t="s">
        <v>792</v>
      </c>
      <c r="AB1525" t="s">
        <v>793</v>
      </c>
      <c r="AD1525" t="s">
        <v>794</v>
      </c>
      <c r="AE1525" t="s">
        <v>795</v>
      </c>
      <c r="AF1525" t="s">
        <v>840</v>
      </c>
      <c r="AG1525" t="s">
        <v>797</v>
      </c>
      <c r="AH1525">
        <v>8482757</v>
      </c>
      <c r="AI1525">
        <v>8482757</v>
      </c>
      <c r="AJ1525">
        <v>1</v>
      </c>
    </row>
    <row r="1526" spans="1:36" x14ac:dyDescent="0.3">
      <c r="A1526">
        <f>COUNTIF($D$2:D1526,D1526)</f>
        <v>5</v>
      </c>
      <c r="B1526" t="str">
        <f t="shared" si="93"/>
        <v>5North Northamptonshire</v>
      </c>
      <c r="C1526" t="s">
        <v>4590</v>
      </c>
      <c r="D1526" t="s">
        <v>235</v>
      </c>
      <c r="E1526">
        <v>9</v>
      </c>
      <c r="F1526" t="s">
        <v>4591</v>
      </c>
      <c r="G1526" t="s">
        <v>800</v>
      </c>
      <c r="H1526" t="s">
        <v>903</v>
      </c>
      <c r="I1526" t="s">
        <v>802</v>
      </c>
      <c r="J1526">
        <f t="shared" ca="1" si="94"/>
        <v>901019</v>
      </c>
      <c r="K1526">
        <f t="shared" ca="1" si="95"/>
        <v>650</v>
      </c>
      <c r="N1526" t="str">
        <f t="shared" si="92"/>
        <v>Manchester4Winter Pressures GrantHome Care or Domiciliary CareDomiciliary care packages</v>
      </c>
      <c r="O1526" t="s">
        <v>215</v>
      </c>
      <c r="P1526" t="s">
        <v>1201</v>
      </c>
      <c r="Q1526">
        <v>4</v>
      </c>
      <c r="R1526" t="s">
        <v>4155</v>
      </c>
      <c r="S1526" t="s">
        <v>4592</v>
      </c>
      <c r="T1526" t="s">
        <v>842</v>
      </c>
      <c r="U1526" t="s">
        <v>843</v>
      </c>
      <c r="W1526">
        <v>5211</v>
      </c>
      <c r="X1526">
        <v>5211</v>
      </c>
      <c r="Y1526" t="s">
        <v>844</v>
      </c>
      <c r="Z1526" t="s">
        <v>792</v>
      </c>
      <c r="AB1526" t="s">
        <v>793</v>
      </c>
      <c r="AD1526" t="s">
        <v>794</v>
      </c>
      <c r="AE1526" t="s">
        <v>795</v>
      </c>
      <c r="AF1526" t="s">
        <v>845</v>
      </c>
      <c r="AG1526" t="s">
        <v>797</v>
      </c>
      <c r="AH1526">
        <v>105000</v>
      </c>
      <c r="AI1526">
        <v>105000</v>
      </c>
      <c r="AJ1526">
        <v>6.4525624508184149E-3</v>
      </c>
    </row>
    <row r="1527" spans="1:36" x14ac:dyDescent="0.3">
      <c r="A1527">
        <f>COUNTIF($D$2:D1527,D1527)</f>
        <v>6</v>
      </c>
      <c r="B1527" t="str">
        <f t="shared" si="93"/>
        <v>6North Northamptonshire</v>
      </c>
      <c r="C1527" t="s">
        <v>4593</v>
      </c>
      <c r="D1527" t="s">
        <v>235</v>
      </c>
      <c r="E1527">
        <v>10</v>
      </c>
      <c r="F1527" t="s">
        <v>4594</v>
      </c>
      <c r="G1527" t="s">
        <v>787</v>
      </c>
      <c r="H1527" t="s">
        <v>1551</v>
      </c>
      <c r="I1527" t="s">
        <v>789</v>
      </c>
      <c r="J1527">
        <f t="shared" ca="1" si="94"/>
        <v>4691441</v>
      </c>
      <c r="K1527">
        <f t="shared" ca="1" si="95"/>
        <v>1775</v>
      </c>
      <c r="N1527" t="str">
        <f t="shared" si="92"/>
        <v>Manchester7Social Care Residential PlacementsCare home</v>
      </c>
      <c r="O1527" t="s">
        <v>215</v>
      </c>
      <c r="P1527" t="s">
        <v>1201</v>
      </c>
      <c r="Q1527">
        <v>7</v>
      </c>
      <c r="R1527" t="s">
        <v>4158</v>
      </c>
      <c r="S1527" t="s">
        <v>4595</v>
      </c>
      <c r="T1527" t="s">
        <v>806</v>
      </c>
      <c r="U1527" t="s">
        <v>807</v>
      </c>
      <c r="W1527">
        <v>91</v>
      </c>
      <c r="X1527">
        <v>91</v>
      </c>
      <c r="Y1527" t="s">
        <v>808</v>
      </c>
      <c r="Z1527" t="s">
        <v>792</v>
      </c>
      <c r="AB1527" t="s">
        <v>793</v>
      </c>
      <c r="AD1527" t="s">
        <v>794</v>
      </c>
      <c r="AE1527" t="s">
        <v>795</v>
      </c>
      <c r="AF1527" t="s">
        <v>796</v>
      </c>
      <c r="AG1527" t="s">
        <v>797</v>
      </c>
      <c r="AH1527">
        <v>3434069.3958000001</v>
      </c>
      <c r="AI1527">
        <v>3434069.3958000001</v>
      </c>
      <c r="AJ1527">
        <v>0.23146629694368884</v>
      </c>
    </row>
    <row r="1528" spans="1:36" x14ac:dyDescent="0.3">
      <c r="A1528">
        <f>COUNTIF($D$2:D1528,D1528)</f>
        <v>7</v>
      </c>
      <c r="B1528" t="str">
        <f t="shared" si="93"/>
        <v>7North Northamptonshire</v>
      </c>
      <c r="C1528" t="s">
        <v>4596</v>
      </c>
      <c r="D1528" t="s">
        <v>235</v>
      </c>
      <c r="E1528">
        <v>11</v>
      </c>
      <c r="F1528" t="s">
        <v>4597</v>
      </c>
      <c r="G1528" t="s">
        <v>787</v>
      </c>
      <c r="H1528" t="s">
        <v>899</v>
      </c>
      <c r="I1528" t="s">
        <v>789</v>
      </c>
      <c r="J1528">
        <f t="shared" ca="1" si="94"/>
        <v>1714588</v>
      </c>
      <c r="K1528">
        <f t="shared" ca="1" si="95"/>
        <v>3350</v>
      </c>
      <c r="N1528" t="str">
        <f t="shared" si="92"/>
        <v>Manchester8Social Care Residential PlacementsNursing home</v>
      </c>
      <c r="O1528" t="s">
        <v>215</v>
      </c>
      <c r="P1528" t="s">
        <v>1201</v>
      </c>
      <c r="Q1528">
        <v>8</v>
      </c>
      <c r="R1528" t="s">
        <v>4158</v>
      </c>
      <c r="S1528" t="s">
        <v>4595</v>
      </c>
      <c r="T1528" t="s">
        <v>806</v>
      </c>
      <c r="U1528" t="s">
        <v>917</v>
      </c>
      <c r="W1528">
        <v>35</v>
      </c>
      <c r="X1528">
        <v>35</v>
      </c>
      <c r="Y1528" t="s">
        <v>808</v>
      </c>
      <c r="Z1528" t="s">
        <v>792</v>
      </c>
      <c r="AB1528" t="s">
        <v>793</v>
      </c>
      <c r="AD1528" t="s">
        <v>794</v>
      </c>
      <c r="AE1528" t="s">
        <v>795</v>
      </c>
      <c r="AF1528" t="s">
        <v>796</v>
      </c>
      <c r="AG1528" t="s">
        <v>797</v>
      </c>
      <c r="AH1528">
        <v>1564824.6</v>
      </c>
      <c r="AI1528">
        <v>1564824.6</v>
      </c>
      <c r="AJ1528">
        <v>0.18417026819726764</v>
      </c>
    </row>
    <row r="1529" spans="1:36" x14ac:dyDescent="0.3">
      <c r="A1529">
        <f>COUNTIF($D$2:D1529,D1529)</f>
        <v>8</v>
      </c>
      <c r="B1529" t="str">
        <f t="shared" si="93"/>
        <v>8North Northamptonshire</v>
      </c>
      <c r="C1529" t="s">
        <v>4598</v>
      </c>
      <c r="D1529" t="s">
        <v>235</v>
      </c>
      <c r="E1529">
        <v>17</v>
      </c>
      <c r="F1529" t="s">
        <v>4599</v>
      </c>
      <c r="G1529" t="s">
        <v>787</v>
      </c>
      <c r="H1529" t="s">
        <v>788</v>
      </c>
      <c r="I1529" t="s">
        <v>789</v>
      </c>
      <c r="J1529">
        <f t="shared" ca="1" si="94"/>
        <v>1615567</v>
      </c>
      <c r="K1529">
        <f t="shared" ca="1" si="95"/>
        <v>396</v>
      </c>
      <c r="N1529" t="str">
        <f t="shared" si="92"/>
        <v>Manchester9Social Care Assistive Technologies and EquipmentAssistive technologies including telecare</v>
      </c>
      <c r="O1529" t="s">
        <v>215</v>
      </c>
      <c r="P1529" t="s">
        <v>1201</v>
      </c>
      <c r="Q1529">
        <v>9</v>
      </c>
      <c r="R1529" t="s">
        <v>4158</v>
      </c>
      <c r="S1529" t="s">
        <v>4595</v>
      </c>
      <c r="T1529" t="s">
        <v>800</v>
      </c>
      <c r="U1529" t="s">
        <v>850</v>
      </c>
      <c r="W1529">
        <v>2514</v>
      </c>
      <c r="X1529">
        <v>2514</v>
      </c>
      <c r="Y1529" t="s">
        <v>802</v>
      </c>
      <c r="Z1529" t="s">
        <v>792</v>
      </c>
      <c r="AB1529" t="s">
        <v>793</v>
      </c>
      <c r="AD1529" t="s">
        <v>794</v>
      </c>
      <c r="AE1529" t="s">
        <v>795</v>
      </c>
      <c r="AF1529" t="s">
        <v>796</v>
      </c>
      <c r="AG1529" t="s">
        <v>797</v>
      </c>
      <c r="AH1529">
        <v>125692.0794</v>
      </c>
      <c r="AI1529">
        <v>125692.0794</v>
      </c>
      <c r="AJ1529">
        <v>0.21974139755244756</v>
      </c>
    </row>
    <row r="1530" spans="1:36" x14ac:dyDescent="0.3">
      <c r="A1530">
        <f>COUNTIF($D$2:D1530,D1530)</f>
        <v>9</v>
      </c>
      <c r="B1530" t="str">
        <f t="shared" si="93"/>
        <v>9North Northamptonshire</v>
      </c>
      <c r="C1530" t="s">
        <v>4600</v>
      </c>
      <c r="D1530" t="s">
        <v>235</v>
      </c>
      <c r="E1530">
        <v>19</v>
      </c>
      <c r="F1530" t="s">
        <v>4601</v>
      </c>
      <c r="G1530" t="s">
        <v>800</v>
      </c>
      <c r="H1530" t="s">
        <v>907</v>
      </c>
      <c r="I1530" t="s">
        <v>802</v>
      </c>
      <c r="J1530">
        <f t="shared" ca="1" si="94"/>
        <v>100000</v>
      </c>
      <c r="K1530">
        <f t="shared" ca="1" si="95"/>
        <v>40</v>
      </c>
      <c r="N1530" t="str">
        <f t="shared" si="92"/>
        <v>Manchester10Social Care Assistive Technologies and EquipmentCommunity based equipment</v>
      </c>
      <c r="O1530" t="s">
        <v>215</v>
      </c>
      <c r="P1530" t="s">
        <v>1201</v>
      </c>
      <c r="Q1530">
        <v>10</v>
      </c>
      <c r="R1530" t="s">
        <v>4158</v>
      </c>
      <c r="S1530" t="s">
        <v>4595</v>
      </c>
      <c r="T1530" t="s">
        <v>800</v>
      </c>
      <c r="U1530" t="s">
        <v>903</v>
      </c>
      <c r="W1530">
        <v>9540</v>
      </c>
      <c r="X1530">
        <v>9540</v>
      </c>
      <c r="Y1530" t="s">
        <v>802</v>
      </c>
      <c r="Z1530" t="s">
        <v>792</v>
      </c>
      <c r="AB1530" t="s">
        <v>793</v>
      </c>
      <c r="AD1530" t="s">
        <v>794</v>
      </c>
      <c r="AE1530" t="s">
        <v>795</v>
      </c>
      <c r="AF1530" t="s">
        <v>796</v>
      </c>
      <c r="AG1530" t="s">
        <v>797</v>
      </c>
      <c r="AH1530">
        <v>476980</v>
      </c>
      <c r="AI1530">
        <v>476980</v>
      </c>
      <c r="AJ1530">
        <v>0.34943589743589742</v>
      </c>
    </row>
    <row r="1531" spans="1:36" x14ac:dyDescent="0.3">
      <c r="A1531">
        <f>COUNTIF($D$2:D1531,D1531)</f>
        <v>10</v>
      </c>
      <c r="B1531" t="str">
        <f t="shared" si="93"/>
        <v>10North Northamptonshire</v>
      </c>
      <c r="C1531" t="s">
        <v>4602</v>
      </c>
      <c r="D1531" t="s">
        <v>235</v>
      </c>
      <c r="E1531">
        <v>20</v>
      </c>
      <c r="F1531" t="s">
        <v>4603</v>
      </c>
      <c r="G1531" t="s">
        <v>877</v>
      </c>
      <c r="H1531" t="s">
        <v>878</v>
      </c>
      <c r="I1531" t="s">
        <v>879</v>
      </c>
      <c r="J1531">
        <f t="shared" ca="1" si="94"/>
        <v>1760789</v>
      </c>
      <c r="K1531">
        <f t="shared" ca="1" si="95"/>
        <v>432</v>
      </c>
      <c r="N1531" t="str">
        <f t="shared" si="92"/>
        <v>Manchester11Social Care Home Care or Domiciliary CareDomiciliary care to support hospital discharge (Discharge to Assess pathway 1)</v>
      </c>
      <c r="O1531" t="s">
        <v>215</v>
      </c>
      <c r="P1531" t="s">
        <v>1201</v>
      </c>
      <c r="Q1531">
        <v>11</v>
      </c>
      <c r="R1531" t="s">
        <v>4158</v>
      </c>
      <c r="S1531" t="s">
        <v>4595</v>
      </c>
      <c r="T1531" t="s">
        <v>842</v>
      </c>
      <c r="U1531" t="s">
        <v>856</v>
      </c>
      <c r="W1531">
        <v>6384</v>
      </c>
      <c r="X1531">
        <v>6384</v>
      </c>
      <c r="Y1531" t="s">
        <v>844</v>
      </c>
      <c r="Z1531" t="s">
        <v>792</v>
      </c>
      <c r="AB1531" t="s">
        <v>793</v>
      </c>
      <c r="AD1531" t="s">
        <v>794</v>
      </c>
      <c r="AE1531" t="s">
        <v>795</v>
      </c>
      <c r="AF1531" t="s">
        <v>796</v>
      </c>
      <c r="AG1531" t="s">
        <v>797</v>
      </c>
      <c r="AH1531">
        <v>1986272.7552</v>
      </c>
      <c r="AI1531">
        <v>1986272.7552</v>
      </c>
      <c r="AJ1531">
        <v>0.22486955226989697</v>
      </c>
    </row>
    <row r="1532" spans="1:36" x14ac:dyDescent="0.3">
      <c r="A1532">
        <f>COUNTIF($D$2:D1532,D1532)</f>
        <v>1</v>
      </c>
      <c r="B1532" t="str">
        <f t="shared" si="93"/>
        <v>1North Somerset</v>
      </c>
      <c r="C1532" t="s">
        <v>4604</v>
      </c>
      <c r="D1532" t="s">
        <v>237</v>
      </c>
      <c r="E1532">
        <v>11</v>
      </c>
      <c r="F1532" t="s">
        <v>4605</v>
      </c>
      <c r="G1532" t="s">
        <v>800</v>
      </c>
      <c r="H1532" t="s">
        <v>850</v>
      </c>
      <c r="I1532" t="s">
        <v>802</v>
      </c>
      <c r="J1532">
        <f t="shared" ca="1" si="94"/>
        <v>40706</v>
      </c>
      <c r="K1532">
        <f t="shared" ca="1" si="95"/>
        <v>10</v>
      </c>
      <c r="N1532" t="str">
        <f t="shared" si="92"/>
        <v>Manchester13Social Care Home Care or Domiciliary CareDomiciliary care packages</v>
      </c>
      <c r="O1532" t="s">
        <v>215</v>
      </c>
      <c r="P1532" t="s">
        <v>1201</v>
      </c>
      <c r="Q1532">
        <v>13</v>
      </c>
      <c r="R1532" t="s">
        <v>4158</v>
      </c>
      <c r="S1532" t="s">
        <v>4595</v>
      </c>
      <c r="T1532" t="s">
        <v>842</v>
      </c>
      <c r="U1532" t="s">
        <v>843</v>
      </c>
      <c r="W1532">
        <v>128351</v>
      </c>
      <c r="X1532">
        <v>128351</v>
      </c>
      <c r="Y1532" t="s">
        <v>844</v>
      </c>
      <c r="Z1532" t="s">
        <v>792</v>
      </c>
      <c r="AB1532" t="s">
        <v>793</v>
      </c>
      <c r="AD1532" t="s">
        <v>794</v>
      </c>
      <c r="AE1532" t="s">
        <v>795</v>
      </c>
      <c r="AF1532" t="s">
        <v>796</v>
      </c>
      <c r="AG1532" t="s">
        <v>797</v>
      </c>
      <c r="AH1532">
        <v>2586272.5745999999</v>
      </c>
      <c r="AI1532">
        <v>2586272.5745999999</v>
      </c>
      <c r="AJ1532">
        <v>0.1589341457375755</v>
      </c>
    </row>
    <row r="1533" spans="1:36" x14ac:dyDescent="0.3">
      <c r="A1533">
        <f>COUNTIF($D$2:D1533,D1533)</f>
        <v>2</v>
      </c>
      <c r="B1533" t="str">
        <f t="shared" si="93"/>
        <v>2North Somerset</v>
      </c>
      <c r="C1533" t="s">
        <v>4606</v>
      </c>
      <c r="D1533" t="s">
        <v>237</v>
      </c>
      <c r="E1533">
        <v>12</v>
      </c>
      <c r="F1533" t="s">
        <v>4607</v>
      </c>
      <c r="G1533" t="s">
        <v>800</v>
      </c>
      <c r="H1533" t="s">
        <v>903</v>
      </c>
      <c r="I1533" t="s">
        <v>802</v>
      </c>
      <c r="J1533">
        <f t="shared" ca="1" si="94"/>
        <v>69781</v>
      </c>
      <c r="K1533">
        <f t="shared" ca="1" si="95"/>
        <v>5</v>
      </c>
      <c r="N1533" t="str">
        <f t="shared" si="92"/>
        <v>Manchester16Social Care - Extra CareHome Care or Domiciliary CareDomiciliary care packages</v>
      </c>
      <c r="O1533" t="s">
        <v>215</v>
      </c>
      <c r="P1533" t="s">
        <v>1201</v>
      </c>
      <c r="Q1533">
        <v>16</v>
      </c>
      <c r="R1533" t="s">
        <v>4166</v>
      </c>
      <c r="S1533" t="s">
        <v>4608</v>
      </c>
      <c r="T1533" t="s">
        <v>842</v>
      </c>
      <c r="U1533" t="s">
        <v>843</v>
      </c>
      <c r="W1533">
        <v>56405</v>
      </c>
      <c r="X1533">
        <v>56405</v>
      </c>
      <c r="Y1533" t="s">
        <v>844</v>
      </c>
      <c r="Z1533" t="s">
        <v>792</v>
      </c>
      <c r="AB1533" t="s">
        <v>793</v>
      </c>
      <c r="AD1533" t="s">
        <v>794</v>
      </c>
      <c r="AE1533" t="s">
        <v>795</v>
      </c>
      <c r="AF1533" t="s">
        <v>796</v>
      </c>
      <c r="AG1533" t="s">
        <v>797</v>
      </c>
      <c r="AH1533">
        <v>1136562.8</v>
      </c>
      <c r="AI1533">
        <v>1136562.8</v>
      </c>
      <c r="AJ1533">
        <v>0.22373283464566929</v>
      </c>
    </row>
    <row r="1534" spans="1:36" x14ac:dyDescent="0.3">
      <c r="A1534">
        <f>COUNTIF($D$2:D1534,D1534)</f>
        <v>3</v>
      </c>
      <c r="B1534" t="str">
        <f t="shared" si="93"/>
        <v>3North Somerset</v>
      </c>
      <c r="C1534" t="s">
        <v>4609</v>
      </c>
      <c r="D1534" t="s">
        <v>237</v>
      </c>
      <c r="E1534">
        <v>22</v>
      </c>
      <c r="F1534" t="s">
        <v>4610</v>
      </c>
      <c r="G1534" t="s">
        <v>811</v>
      </c>
      <c r="H1534" t="s">
        <v>830</v>
      </c>
      <c r="I1534" t="s">
        <v>813</v>
      </c>
      <c r="J1534">
        <f t="shared" ca="1" si="94"/>
        <v>738514</v>
      </c>
      <c r="K1534">
        <f t="shared" ca="1" si="95"/>
        <v>50</v>
      </c>
      <c r="N1534" t="str">
        <f t="shared" si="92"/>
        <v>Manchester33Manchester Equipment and Adaptations serviceAssistive Technologies and EquipmentCommunity based equipment</v>
      </c>
      <c r="O1534" t="s">
        <v>215</v>
      </c>
      <c r="P1534" t="s">
        <v>1201</v>
      </c>
      <c r="Q1534">
        <v>33</v>
      </c>
      <c r="R1534" t="s">
        <v>4168</v>
      </c>
      <c r="S1534" t="s">
        <v>4611</v>
      </c>
      <c r="T1534" t="s">
        <v>800</v>
      </c>
      <c r="U1534" t="s">
        <v>903</v>
      </c>
      <c r="W1534">
        <v>900</v>
      </c>
      <c r="X1534">
        <v>900</v>
      </c>
      <c r="Y1534" t="s">
        <v>802</v>
      </c>
      <c r="Z1534" t="s">
        <v>823</v>
      </c>
      <c r="AB1534" t="s">
        <v>824</v>
      </c>
      <c r="AD1534" t="s">
        <v>794</v>
      </c>
      <c r="AE1534" t="s">
        <v>795</v>
      </c>
      <c r="AF1534" t="s">
        <v>1042</v>
      </c>
      <c r="AG1534" t="s">
        <v>797</v>
      </c>
      <c r="AH1534">
        <v>991890</v>
      </c>
      <c r="AI1534">
        <v>991890</v>
      </c>
      <c r="AJ1534">
        <v>1</v>
      </c>
    </row>
    <row r="1535" spans="1:36" x14ac:dyDescent="0.3">
      <c r="A1535">
        <f>COUNTIF($D$2:D1535,D1535)</f>
        <v>4</v>
      </c>
      <c r="B1535" t="str">
        <f t="shared" si="93"/>
        <v>4North Somerset</v>
      </c>
      <c r="C1535" t="s">
        <v>4612</v>
      </c>
      <c r="D1535" t="s">
        <v>237</v>
      </c>
      <c r="E1535">
        <v>23</v>
      </c>
      <c r="F1535" t="s">
        <v>4613</v>
      </c>
      <c r="G1535" t="s">
        <v>842</v>
      </c>
      <c r="H1535" t="s">
        <v>1594</v>
      </c>
      <c r="I1535" t="s">
        <v>844</v>
      </c>
      <c r="J1535">
        <f t="shared" ca="1" si="94"/>
        <v>232603</v>
      </c>
      <c r="K1535">
        <f t="shared" ca="1" si="95"/>
        <v>100</v>
      </c>
      <c r="N1535" t="str">
        <f t="shared" si="92"/>
        <v>Medway2TelecareAssistive Technologies and EquipmentAssistive technologies including telecare</v>
      </c>
      <c r="O1535" t="s">
        <v>217</v>
      </c>
      <c r="P1535" t="s">
        <v>1437</v>
      </c>
      <c r="Q1535">
        <v>2</v>
      </c>
      <c r="R1535" t="s">
        <v>2108</v>
      </c>
      <c r="S1535" t="s">
        <v>4614</v>
      </c>
      <c r="T1535" t="s">
        <v>800</v>
      </c>
      <c r="U1535" t="s">
        <v>850</v>
      </c>
      <c r="W1535">
        <v>211</v>
      </c>
      <c r="X1535">
        <v>243</v>
      </c>
      <c r="Y1535" t="s">
        <v>802</v>
      </c>
      <c r="Z1535" t="s">
        <v>792</v>
      </c>
      <c r="AB1535" t="s">
        <v>793</v>
      </c>
      <c r="AD1535" t="s">
        <v>794</v>
      </c>
      <c r="AE1535" t="s">
        <v>804</v>
      </c>
      <c r="AF1535" t="s">
        <v>796</v>
      </c>
      <c r="AG1535" t="s">
        <v>797</v>
      </c>
      <c r="AH1535">
        <v>80000</v>
      </c>
      <c r="AI1535">
        <v>80000</v>
      </c>
      <c r="AJ1535">
        <v>0.3</v>
      </c>
    </row>
    <row r="1536" spans="1:36" x14ac:dyDescent="0.3">
      <c r="A1536">
        <f>COUNTIF($D$2:D1536,D1536)</f>
        <v>5</v>
      </c>
      <c r="B1536" t="str">
        <f t="shared" si="93"/>
        <v>5North Somerset</v>
      </c>
      <c r="C1536" t="s">
        <v>4615</v>
      </c>
      <c r="D1536" t="s">
        <v>237</v>
      </c>
      <c r="E1536">
        <v>24</v>
      </c>
      <c r="F1536" t="s">
        <v>4616</v>
      </c>
      <c r="G1536" t="s">
        <v>811</v>
      </c>
      <c r="H1536" t="s">
        <v>830</v>
      </c>
      <c r="I1536" t="s">
        <v>813</v>
      </c>
      <c r="J1536">
        <f t="shared" ca="1" si="94"/>
        <v>154588</v>
      </c>
      <c r="K1536">
        <f t="shared" ca="1" si="95"/>
        <v>100</v>
      </c>
      <c r="N1536" t="str">
        <f t="shared" si="92"/>
        <v>Medway3Domiciliary care packagesHome Care or Domiciliary CareOther</v>
      </c>
      <c r="O1536" t="s">
        <v>217</v>
      </c>
      <c r="P1536" t="s">
        <v>1437</v>
      </c>
      <c r="Q1536">
        <v>3</v>
      </c>
      <c r="R1536" t="s">
        <v>843</v>
      </c>
      <c r="S1536" t="s">
        <v>4617</v>
      </c>
      <c r="T1536" t="s">
        <v>842</v>
      </c>
      <c r="U1536" t="s">
        <v>812</v>
      </c>
      <c r="V1536" t="s">
        <v>4618</v>
      </c>
      <c r="W1536">
        <v>5600</v>
      </c>
      <c r="X1536">
        <v>5600</v>
      </c>
      <c r="Y1536" t="s">
        <v>844</v>
      </c>
      <c r="Z1536" t="s">
        <v>792</v>
      </c>
      <c r="AB1536" t="s">
        <v>793</v>
      </c>
      <c r="AD1536" t="s">
        <v>794</v>
      </c>
      <c r="AE1536" t="s">
        <v>804</v>
      </c>
      <c r="AF1536" t="s">
        <v>796</v>
      </c>
      <c r="AG1536" t="s">
        <v>797</v>
      </c>
      <c r="AH1536">
        <v>99232</v>
      </c>
      <c r="AI1536">
        <v>99232</v>
      </c>
      <c r="AJ1536">
        <v>1</v>
      </c>
    </row>
    <row r="1537" spans="1:36" x14ac:dyDescent="0.3">
      <c r="A1537">
        <f>COUNTIF($D$2:D1537,D1537)</f>
        <v>6</v>
      </c>
      <c r="B1537" t="str">
        <f t="shared" si="93"/>
        <v>6North Somerset</v>
      </c>
      <c r="C1537" t="s">
        <v>4619</v>
      </c>
      <c r="D1537" t="s">
        <v>237</v>
      </c>
      <c r="E1537">
        <v>29</v>
      </c>
      <c r="F1537" t="s">
        <v>4620</v>
      </c>
      <c r="G1537" t="s">
        <v>834</v>
      </c>
      <c r="H1537" t="s">
        <v>835</v>
      </c>
      <c r="I1537" t="s">
        <v>836</v>
      </c>
      <c r="J1537">
        <f t="shared" ca="1" si="94"/>
        <v>2361483</v>
      </c>
      <c r="K1537">
        <f t="shared" ca="1" si="95"/>
        <v>250</v>
      </c>
      <c r="N1537" t="str">
        <f t="shared" si="92"/>
        <v>Medway4Carers respite Carers ServicesRespite services</v>
      </c>
      <c r="O1537" t="s">
        <v>217</v>
      </c>
      <c r="P1537" t="s">
        <v>1437</v>
      </c>
      <c r="Q1537">
        <v>4</v>
      </c>
      <c r="R1537" t="s">
        <v>4174</v>
      </c>
      <c r="S1537" t="s">
        <v>4621</v>
      </c>
      <c r="T1537" t="s">
        <v>811</v>
      </c>
      <c r="U1537" t="s">
        <v>830</v>
      </c>
      <c r="W1537">
        <v>60</v>
      </c>
      <c r="X1537">
        <v>60</v>
      </c>
      <c r="Y1537" t="s">
        <v>813</v>
      </c>
      <c r="Z1537" t="s">
        <v>792</v>
      </c>
      <c r="AB1537" t="s">
        <v>1739</v>
      </c>
      <c r="AC1537">
        <v>0.5</v>
      </c>
      <c r="AD1537">
        <v>0.5</v>
      </c>
      <c r="AE1537" t="s">
        <v>804</v>
      </c>
      <c r="AF1537" t="s">
        <v>796</v>
      </c>
      <c r="AG1537" t="s">
        <v>797</v>
      </c>
      <c r="AH1537">
        <v>35000</v>
      </c>
      <c r="AI1537">
        <v>35000</v>
      </c>
      <c r="AJ1537">
        <v>1</v>
      </c>
    </row>
    <row r="1538" spans="1:36" x14ac:dyDescent="0.3">
      <c r="A1538">
        <f>COUNTIF($D$2:D1538,D1538)</f>
        <v>7</v>
      </c>
      <c r="B1538" t="str">
        <f t="shared" si="93"/>
        <v>7North Somerset</v>
      </c>
      <c r="C1538" t="s">
        <v>4622</v>
      </c>
      <c r="D1538" t="s">
        <v>237</v>
      </c>
      <c r="E1538">
        <v>43</v>
      </c>
      <c r="F1538" t="s">
        <v>4623</v>
      </c>
      <c r="G1538" t="s">
        <v>806</v>
      </c>
      <c r="H1538" t="s">
        <v>807</v>
      </c>
      <c r="I1538" t="s">
        <v>808</v>
      </c>
      <c r="J1538">
        <f t="shared" ca="1" si="94"/>
        <v>306454</v>
      </c>
      <c r="K1538">
        <f t="shared" ca="1" si="95"/>
        <v>10</v>
      </c>
      <c r="N1538" t="str">
        <f t="shared" ref="N1538:N1601" si="96">O1538&amp;Q1538&amp;R1538&amp;T1538&amp;U1538</f>
        <v>Medway5Carers Support ServicesCarers ServicesCarer advice and support related to Care Act duties</v>
      </c>
      <c r="O1538" t="s">
        <v>217</v>
      </c>
      <c r="P1538" t="s">
        <v>1437</v>
      </c>
      <c r="Q1538">
        <v>5</v>
      </c>
      <c r="R1538" t="s">
        <v>3674</v>
      </c>
      <c r="S1538" t="s">
        <v>2548</v>
      </c>
      <c r="T1538" t="s">
        <v>811</v>
      </c>
      <c r="U1538" t="s">
        <v>895</v>
      </c>
      <c r="W1538">
        <v>2400</v>
      </c>
      <c r="X1538">
        <v>2400</v>
      </c>
      <c r="Y1538" t="s">
        <v>813</v>
      </c>
      <c r="Z1538" t="s">
        <v>792</v>
      </c>
      <c r="AB1538" t="s">
        <v>1739</v>
      </c>
      <c r="AC1538">
        <v>0.5</v>
      </c>
      <c r="AD1538">
        <v>0.5</v>
      </c>
      <c r="AE1538" t="s">
        <v>825</v>
      </c>
      <c r="AF1538" t="s">
        <v>796</v>
      </c>
      <c r="AG1538" t="s">
        <v>797</v>
      </c>
      <c r="AH1538">
        <v>377739</v>
      </c>
      <c r="AI1538">
        <v>377739</v>
      </c>
      <c r="AJ1538">
        <v>1</v>
      </c>
    </row>
    <row r="1539" spans="1:36" x14ac:dyDescent="0.3">
      <c r="A1539">
        <f>COUNTIF($D$2:D1539,D1539)</f>
        <v>8</v>
      </c>
      <c r="B1539" t="str">
        <f t="shared" ref="B1539:B1602" si="97">A1539&amp;D1539</f>
        <v>8North Somerset</v>
      </c>
      <c r="C1539" t="s">
        <v>4624</v>
      </c>
      <c r="D1539" t="s">
        <v>237</v>
      </c>
      <c r="E1539">
        <v>47</v>
      </c>
      <c r="F1539" t="s">
        <v>4625</v>
      </c>
      <c r="G1539" t="s">
        <v>842</v>
      </c>
      <c r="H1539" t="s">
        <v>1594</v>
      </c>
      <c r="I1539" t="s">
        <v>844</v>
      </c>
      <c r="J1539">
        <f t="shared" ref="J1539:J1602" ca="1" si="98">SUMIF($N:$AI,C1539,AH:AH)</f>
        <v>200000</v>
      </c>
      <c r="K1539">
        <f t="shared" ref="K1539:K1602" ca="1" si="99">SUMIF($N:$AI,C1539,W:W)</f>
        <v>100</v>
      </c>
      <c r="N1539" t="str">
        <f t="shared" si="96"/>
        <v>Medway6Carers Support ServicesCarers ServicesCarer advice and support related to Care Act duties</v>
      </c>
      <c r="O1539" t="s">
        <v>217</v>
      </c>
      <c r="P1539" t="s">
        <v>1437</v>
      </c>
      <c r="Q1539">
        <v>6</v>
      </c>
      <c r="R1539" t="s">
        <v>3674</v>
      </c>
      <c r="S1539" t="s">
        <v>4626</v>
      </c>
      <c r="T1539" t="s">
        <v>811</v>
      </c>
      <c r="U1539" t="s">
        <v>895</v>
      </c>
      <c r="W1539">
        <v>130</v>
      </c>
      <c r="X1539">
        <v>130</v>
      </c>
      <c r="Y1539" t="s">
        <v>813</v>
      </c>
      <c r="Z1539" t="s">
        <v>792</v>
      </c>
      <c r="AB1539" t="s">
        <v>1739</v>
      </c>
      <c r="AC1539">
        <v>0.5</v>
      </c>
      <c r="AD1539">
        <v>0.5</v>
      </c>
      <c r="AE1539" t="s">
        <v>804</v>
      </c>
      <c r="AF1539" t="s">
        <v>796</v>
      </c>
      <c r="AG1539" t="s">
        <v>797</v>
      </c>
      <c r="AH1539">
        <v>464595</v>
      </c>
      <c r="AI1539">
        <v>464595</v>
      </c>
      <c r="AJ1539">
        <v>0.35</v>
      </c>
    </row>
    <row r="1540" spans="1:36" x14ac:dyDescent="0.3">
      <c r="A1540">
        <f>COUNTIF($D$2:D1540,D1540)</f>
        <v>9</v>
      </c>
      <c r="B1540" t="str">
        <f t="shared" si="97"/>
        <v>9North Somerset</v>
      </c>
      <c r="C1540" t="s">
        <v>4627</v>
      </c>
      <c r="D1540" t="s">
        <v>237</v>
      </c>
      <c r="E1540">
        <v>48</v>
      </c>
      <c r="F1540" t="s">
        <v>4628</v>
      </c>
      <c r="G1540" t="s">
        <v>842</v>
      </c>
      <c r="H1540" t="s">
        <v>1594</v>
      </c>
      <c r="I1540" t="s">
        <v>844</v>
      </c>
      <c r="J1540">
        <f t="shared" ca="1" si="98"/>
        <v>200000</v>
      </c>
      <c r="K1540">
        <f t="shared" ca="1" si="99"/>
        <v>100</v>
      </c>
      <c r="N1540" t="str">
        <f t="shared" si="96"/>
        <v>Medway22Medway Integrated Community Equipment ServiceAssistive Technologies and EquipmentCommunity based equipment</v>
      </c>
      <c r="O1540" t="s">
        <v>217</v>
      </c>
      <c r="P1540" t="s">
        <v>1437</v>
      </c>
      <c r="Q1540">
        <v>22</v>
      </c>
      <c r="R1540" t="s">
        <v>4180</v>
      </c>
      <c r="S1540" t="s">
        <v>1881</v>
      </c>
      <c r="T1540" t="s">
        <v>800</v>
      </c>
      <c r="U1540" t="s">
        <v>903</v>
      </c>
      <c r="W1540">
        <v>19600</v>
      </c>
      <c r="X1540">
        <v>19600</v>
      </c>
      <c r="Y1540" t="s">
        <v>802</v>
      </c>
      <c r="Z1540" t="s">
        <v>823</v>
      </c>
      <c r="AB1540" t="s">
        <v>1739</v>
      </c>
      <c r="AC1540">
        <v>0.5</v>
      </c>
      <c r="AD1540">
        <v>0.5</v>
      </c>
      <c r="AE1540" t="s">
        <v>804</v>
      </c>
      <c r="AF1540" t="s">
        <v>796</v>
      </c>
      <c r="AG1540" t="s">
        <v>797</v>
      </c>
      <c r="AH1540">
        <v>1100000</v>
      </c>
      <c r="AI1540">
        <v>1100000</v>
      </c>
      <c r="AJ1540">
        <v>1</v>
      </c>
    </row>
    <row r="1541" spans="1:36" x14ac:dyDescent="0.3">
      <c r="A1541">
        <f>COUNTIF($D$2:D1541,D1541)</f>
        <v>10</v>
      </c>
      <c r="B1541" t="str">
        <f t="shared" si="97"/>
        <v>10North Somerset</v>
      </c>
      <c r="C1541" t="s">
        <v>4629</v>
      </c>
      <c r="D1541" t="s">
        <v>237</v>
      </c>
      <c r="E1541">
        <v>49</v>
      </c>
      <c r="F1541" t="s">
        <v>4630</v>
      </c>
      <c r="G1541" t="s">
        <v>800</v>
      </c>
      <c r="H1541" t="s">
        <v>903</v>
      </c>
      <c r="I1541" t="s">
        <v>802</v>
      </c>
      <c r="J1541">
        <f t="shared" ca="1" si="98"/>
        <v>100000</v>
      </c>
      <c r="K1541">
        <f t="shared" ca="1" si="99"/>
        <v>10</v>
      </c>
      <c r="N1541" t="str">
        <f t="shared" si="96"/>
        <v>Medway23Medway Integrated Community Equipment ServiceAssistive Technologies and EquipmentCommunity based equipment</v>
      </c>
      <c r="O1541" t="s">
        <v>217</v>
      </c>
      <c r="P1541" t="s">
        <v>1437</v>
      </c>
      <c r="Q1541">
        <v>23</v>
      </c>
      <c r="R1541" t="s">
        <v>4180</v>
      </c>
      <c r="S1541" t="s">
        <v>1881</v>
      </c>
      <c r="T1541" t="s">
        <v>800</v>
      </c>
      <c r="U1541" t="s">
        <v>903</v>
      </c>
      <c r="W1541">
        <v>19600</v>
      </c>
      <c r="X1541">
        <v>19600</v>
      </c>
      <c r="Y1541" t="s">
        <v>802</v>
      </c>
      <c r="Z1541" t="s">
        <v>792</v>
      </c>
      <c r="AB1541" t="s">
        <v>1739</v>
      </c>
      <c r="AC1541">
        <v>0.5</v>
      </c>
      <c r="AD1541">
        <v>0.5</v>
      </c>
      <c r="AE1541" t="s">
        <v>804</v>
      </c>
      <c r="AF1541" t="s">
        <v>796</v>
      </c>
      <c r="AG1541" t="s">
        <v>797</v>
      </c>
      <c r="AH1541">
        <v>1100000</v>
      </c>
      <c r="AI1541">
        <v>1100000</v>
      </c>
      <c r="AJ1541">
        <v>1</v>
      </c>
    </row>
    <row r="1542" spans="1:36" x14ac:dyDescent="0.3">
      <c r="A1542">
        <f>COUNTIF($D$2:D1542,D1542)</f>
        <v>11</v>
      </c>
      <c r="B1542" t="str">
        <f t="shared" si="97"/>
        <v>11North Somerset</v>
      </c>
      <c r="C1542" t="s">
        <v>4631</v>
      </c>
      <c r="D1542" t="s">
        <v>237</v>
      </c>
      <c r="E1542">
        <v>52</v>
      </c>
      <c r="F1542" t="s">
        <v>4632</v>
      </c>
      <c r="G1542" t="s">
        <v>800</v>
      </c>
      <c r="H1542" t="s">
        <v>850</v>
      </c>
      <c r="I1542" t="s">
        <v>802</v>
      </c>
      <c r="J1542">
        <f t="shared" ca="1" si="98"/>
        <v>20000</v>
      </c>
      <c r="K1542">
        <f t="shared" ca="1" si="99"/>
        <v>5</v>
      </c>
      <c r="N1542" t="str">
        <f t="shared" si="96"/>
        <v>Medway24Medway Intermediate Care Reablement Service (Platters beds)Bed based intermediate Care Services (Reablement, rehabilitation, wider short-term services supporting recovery)Bed-based intermediate care with reablement (to support discharge)</v>
      </c>
      <c r="O1542" t="s">
        <v>217</v>
      </c>
      <c r="P1542" t="s">
        <v>1437</v>
      </c>
      <c r="Q1542">
        <v>24</v>
      </c>
      <c r="R1542" t="s">
        <v>4185</v>
      </c>
      <c r="S1542" t="s">
        <v>4633</v>
      </c>
      <c r="T1542" t="s">
        <v>877</v>
      </c>
      <c r="U1542" t="s">
        <v>878</v>
      </c>
      <c r="W1542">
        <v>139</v>
      </c>
      <c r="X1542">
        <v>139</v>
      </c>
      <c r="Y1542" t="s">
        <v>879</v>
      </c>
      <c r="Z1542" t="s">
        <v>823</v>
      </c>
      <c r="AB1542" t="s">
        <v>1739</v>
      </c>
      <c r="AC1542">
        <v>0.5</v>
      </c>
      <c r="AD1542">
        <v>0.5</v>
      </c>
      <c r="AE1542" t="s">
        <v>825</v>
      </c>
      <c r="AF1542" t="s">
        <v>796</v>
      </c>
      <c r="AG1542" t="s">
        <v>797</v>
      </c>
      <c r="AH1542">
        <v>570837</v>
      </c>
      <c r="AI1542">
        <v>599378.85</v>
      </c>
      <c r="AJ1542">
        <v>1</v>
      </c>
    </row>
    <row r="1543" spans="1:36" x14ac:dyDescent="0.3">
      <c r="A1543">
        <f>COUNTIF($D$2:D1543,D1543)</f>
        <v>12</v>
      </c>
      <c r="B1543" t="str">
        <f t="shared" si="97"/>
        <v>12North Somerset</v>
      </c>
      <c r="C1543" t="s">
        <v>4634</v>
      </c>
      <c r="D1543" t="s">
        <v>237</v>
      </c>
      <c r="E1543">
        <v>57</v>
      </c>
      <c r="F1543" t="s">
        <v>4635</v>
      </c>
      <c r="G1543" t="s">
        <v>806</v>
      </c>
      <c r="H1543" t="s">
        <v>807</v>
      </c>
      <c r="I1543" t="s">
        <v>808</v>
      </c>
      <c r="J1543">
        <f t="shared" ca="1" si="98"/>
        <v>50000</v>
      </c>
      <c r="K1543">
        <f t="shared" ca="1" si="99"/>
        <v>20</v>
      </c>
      <c r="N1543" t="str">
        <f t="shared" si="96"/>
        <v>Medway25Medway Intermediate Care Reablement Service (Brittania)Bed based intermediate Care Services (Reablement, rehabilitation, wider short-term services supporting recovery)Bed-based intermediate care with reablement (to support discharge)</v>
      </c>
      <c r="O1543" t="s">
        <v>217</v>
      </c>
      <c r="P1543" t="s">
        <v>1437</v>
      </c>
      <c r="Q1543">
        <v>25</v>
      </c>
      <c r="R1543" t="s">
        <v>4188</v>
      </c>
      <c r="S1543" t="s">
        <v>4633</v>
      </c>
      <c r="T1543" t="s">
        <v>877</v>
      </c>
      <c r="U1543" t="s">
        <v>878</v>
      </c>
      <c r="W1543">
        <v>173</v>
      </c>
      <c r="X1543">
        <v>173</v>
      </c>
      <c r="Y1543" t="s">
        <v>879</v>
      </c>
      <c r="Z1543" t="s">
        <v>823</v>
      </c>
      <c r="AB1543" t="s">
        <v>1739</v>
      </c>
      <c r="AC1543">
        <v>0.5</v>
      </c>
      <c r="AD1543">
        <v>0.5</v>
      </c>
      <c r="AE1543" t="s">
        <v>832</v>
      </c>
      <c r="AF1543" t="s">
        <v>796</v>
      </c>
      <c r="AG1543" t="s">
        <v>797</v>
      </c>
      <c r="AH1543">
        <v>2137000</v>
      </c>
      <c r="AI1543">
        <v>2137000</v>
      </c>
      <c r="AJ1543">
        <v>1</v>
      </c>
    </row>
    <row r="1544" spans="1:36" x14ac:dyDescent="0.3">
      <c r="A1544">
        <f>COUNTIF($D$2:D1544,D1544)</f>
        <v>13</v>
      </c>
      <c r="B1544" t="str">
        <f t="shared" si="97"/>
        <v>13North Somerset</v>
      </c>
      <c r="C1544" t="s">
        <v>4636</v>
      </c>
      <c r="D1544" t="s">
        <v>237</v>
      </c>
      <c r="E1544">
        <v>60</v>
      </c>
      <c r="F1544" t="s">
        <v>4637</v>
      </c>
      <c r="G1544" t="s">
        <v>842</v>
      </c>
      <c r="H1544" t="s">
        <v>1594</v>
      </c>
      <c r="I1544" t="s">
        <v>844</v>
      </c>
      <c r="J1544">
        <f t="shared" ca="1" si="98"/>
        <v>50000</v>
      </c>
      <c r="K1544">
        <f t="shared" ca="1" si="99"/>
        <v>100</v>
      </c>
      <c r="N1544" t="str">
        <f t="shared" si="96"/>
        <v xml:space="preserve">Medway26Medway Intermediate Care Reablement ServiceHome-based intermediate care servicesReablement at home (to support discharge) </v>
      </c>
      <c r="O1544" t="s">
        <v>217</v>
      </c>
      <c r="P1544" t="s">
        <v>1437</v>
      </c>
      <c r="Q1544">
        <v>26</v>
      </c>
      <c r="R1544" t="s">
        <v>4190</v>
      </c>
      <c r="S1544" t="s">
        <v>4633</v>
      </c>
      <c r="T1544" t="s">
        <v>787</v>
      </c>
      <c r="U1544" t="s">
        <v>788</v>
      </c>
      <c r="W1544">
        <v>1570</v>
      </c>
      <c r="X1544">
        <v>1570</v>
      </c>
      <c r="Y1544" t="s">
        <v>789</v>
      </c>
      <c r="Z1544" t="s">
        <v>823</v>
      </c>
      <c r="AB1544" t="s">
        <v>1739</v>
      </c>
      <c r="AC1544">
        <v>0.5</v>
      </c>
      <c r="AD1544">
        <v>0.5</v>
      </c>
      <c r="AE1544" t="s">
        <v>832</v>
      </c>
      <c r="AF1544" t="s">
        <v>796</v>
      </c>
      <c r="AG1544" t="s">
        <v>797</v>
      </c>
      <c r="AH1544">
        <v>1968000</v>
      </c>
      <c r="AI1544">
        <v>1968000</v>
      </c>
      <c r="AJ1544">
        <v>1</v>
      </c>
    </row>
    <row r="1545" spans="1:36" x14ac:dyDescent="0.3">
      <c r="A1545">
        <f>COUNTIF($D$2:D1545,D1545)</f>
        <v>14</v>
      </c>
      <c r="B1545" t="str">
        <f t="shared" si="97"/>
        <v>14North Somerset</v>
      </c>
      <c r="C1545" t="s">
        <v>4638</v>
      </c>
      <c r="D1545" t="s">
        <v>237</v>
      </c>
      <c r="E1545">
        <v>61</v>
      </c>
      <c r="F1545" t="s">
        <v>4639</v>
      </c>
      <c r="G1545" t="s">
        <v>806</v>
      </c>
      <c r="H1545" t="s">
        <v>807</v>
      </c>
      <c r="I1545" t="s">
        <v>808</v>
      </c>
      <c r="J1545">
        <f t="shared" ca="1" si="98"/>
        <v>856962</v>
      </c>
      <c r="K1545">
        <f t="shared" ca="1" si="99"/>
        <v>100</v>
      </c>
      <c r="N1545" t="str">
        <f t="shared" si="96"/>
        <v>Medway28Disabled Facilities GrantDFG Related SchemesAdaptations, including statutory DFG grants</v>
      </c>
      <c r="O1545" t="s">
        <v>217</v>
      </c>
      <c r="P1545" t="s">
        <v>1437</v>
      </c>
      <c r="Q1545">
        <v>28</v>
      </c>
      <c r="R1545" t="s">
        <v>891</v>
      </c>
      <c r="S1545" t="s">
        <v>1479</v>
      </c>
      <c r="T1545" t="s">
        <v>834</v>
      </c>
      <c r="U1545" t="s">
        <v>835</v>
      </c>
      <c r="W1545">
        <v>134</v>
      </c>
      <c r="X1545">
        <v>134</v>
      </c>
      <c r="Y1545" t="s">
        <v>836</v>
      </c>
      <c r="Z1545" t="s">
        <v>812</v>
      </c>
      <c r="AA1545" t="s">
        <v>4640</v>
      </c>
      <c r="AB1545" t="s">
        <v>793</v>
      </c>
      <c r="AD1545" t="s">
        <v>794</v>
      </c>
      <c r="AE1545" t="s">
        <v>795</v>
      </c>
      <c r="AF1545" t="s">
        <v>840</v>
      </c>
      <c r="AG1545" t="s">
        <v>797</v>
      </c>
      <c r="AH1545">
        <v>2470674</v>
      </c>
      <c r="AI1545">
        <v>2470674</v>
      </c>
      <c r="AJ1545">
        <v>1</v>
      </c>
    </row>
    <row r="1546" spans="1:36" x14ac:dyDescent="0.3">
      <c r="A1546">
        <f>COUNTIF($D$2:D1546,D1546)</f>
        <v>15</v>
      </c>
      <c r="B1546" t="str">
        <f t="shared" si="97"/>
        <v>15North Somerset</v>
      </c>
      <c r="C1546" t="s">
        <v>4641</v>
      </c>
      <c r="D1546" t="s">
        <v>237</v>
      </c>
      <c r="E1546">
        <v>62</v>
      </c>
      <c r="F1546" t="s">
        <v>4642</v>
      </c>
      <c r="G1546" t="s">
        <v>806</v>
      </c>
      <c r="H1546" t="s">
        <v>807</v>
      </c>
      <c r="I1546" t="s">
        <v>808</v>
      </c>
      <c r="J1546">
        <f t="shared" ca="1" si="98"/>
        <v>350000</v>
      </c>
      <c r="K1546">
        <f t="shared" ca="1" si="99"/>
        <v>15</v>
      </c>
      <c r="N1546" t="str">
        <f t="shared" si="96"/>
        <v>Medway31Managing demand on Social CareResidential PlacementsLearning disability</v>
      </c>
      <c r="O1546" t="s">
        <v>217</v>
      </c>
      <c r="P1546" t="s">
        <v>1437</v>
      </c>
      <c r="Q1546">
        <v>31</v>
      </c>
      <c r="R1546" t="s">
        <v>4195</v>
      </c>
      <c r="S1546" t="s">
        <v>4643</v>
      </c>
      <c r="T1546" t="s">
        <v>806</v>
      </c>
      <c r="U1546" t="s">
        <v>854</v>
      </c>
      <c r="V1546" t="s">
        <v>4644</v>
      </c>
      <c r="W1546">
        <v>14</v>
      </c>
      <c r="X1546">
        <v>14</v>
      </c>
      <c r="Y1546" t="s">
        <v>808</v>
      </c>
      <c r="Z1546" t="s">
        <v>792</v>
      </c>
      <c r="AB1546" t="s">
        <v>793</v>
      </c>
      <c r="AD1546" t="s">
        <v>794</v>
      </c>
      <c r="AE1546" t="s">
        <v>804</v>
      </c>
      <c r="AF1546" t="s">
        <v>845</v>
      </c>
      <c r="AG1546" t="s">
        <v>797</v>
      </c>
      <c r="AH1546">
        <v>1351350</v>
      </c>
      <c r="AI1546">
        <v>1351350</v>
      </c>
      <c r="AJ1546">
        <v>0.02</v>
      </c>
    </row>
    <row r="1547" spans="1:36" x14ac:dyDescent="0.3">
      <c r="A1547">
        <f>COUNTIF($D$2:D1547,D1547)</f>
        <v>16</v>
      </c>
      <c r="B1547" t="str">
        <f t="shared" si="97"/>
        <v>16North Somerset</v>
      </c>
      <c r="C1547" t="s">
        <v>4645</v>
      </c>
      <c r="D1547" t="s">
        <v>237</v>
      </c>
      <c r="E1547">
        <v>70</v>
      </c>
      <c r="F1547" t="s">
        <v>4646</v>
      </c>
      <c r="G1547" t="s">
        <v>800</v>
      </c>
      <c r="H1547" t="s">
        <v>850</v>
      </c>
      <c r="I1547" t="s">
        <v>802</v>
      </c>
      <c r="J1547">
        <f t="shared" ca="1" si="98"/>
        <v>100000</v>
      </c>
      <c r="K1547">
        <f t="shared" ca="1" si="99"/>
        <v>20</v>
      </c>
      <c r="N1547" t="str">
        <f t="shared" si="96"/>
        <v>Medway32Managing demand on Social CareResidential PlacementsNursing home</v>
      </c>
      <c r="O1547" t="s">
        <v>217</v>
      </c>
      <c r="P1547" t="s">
        <v>1437</v>
      </c>
      <c r="Q1547">
        <v>32</v>
      </c>
      <c r="R1547" t="s">
        <v>4195</v>
      </c>
      <c r="S1547" t="s">
        <v>4643</v>
      </c>
      <c r="T1547" t="s">
        <v>806</v>
      </c>
      <c r="U1547" t="s">
        <v>917</v>
      </c>
      <c r="V1547" t="s">
        <v>4644</v>
      </c>
      <c r="W1547">
        <v>52</v>
      </c>
      <c r="X1547">
        <v>52</v>
      </c>
      <c r="Y1547" t="s">
        <v>808</v>
      </c>
      <c r="Z1547" t="s">
        <v>792</v>
      </c>
      <c r="AB1547" t="s">
        <v>793</v>
      </c>
      <c r="AD1547" t="s">
        <v>794</v>
      </c>
      <c r="AE1547" t="s">
        <v>804</v>
      </c>
      <c r="AF1547" t="s">
        <v>845</v>
      </c>
      <c r="AG1547" t="s">
        <v>797</v>
      </c>
      <c r="AH1547">
        <v>2302043</v>
      </c>
      <c r="AI1547">
        <v>2302043</v>
      </c>
      <c r="AJ1547">
        <v>0.04</v>
      </c>
    </row>
    <row r="1548" spans="1:36" x14ac:dyDescent="0.3">
      <c r="A1548">
        <f>COUNTIF($D$2:D1548,D1548)</f>
        <v>17</v>
      </c>
      <c r="B1548" t="str">
        <f t="shared" si="97"/>
        <v>17North Somerset</v>
      </c>
      <c r="C1548" t="s">
        <v>4647</v>
      </c>
      <c r="D1548" t="s">
        <v>237</v>
      </c>
      <c r="E1548">
        <v>73</v>
      </c>
      <c r="F1548" t="s">
        <v>4648</v>
      </c>
      <c r="G1548" t="s">
        <v>806</v>
      </c>
      <c r="H1548" t="s">
        <v>807</v>
      </c>
      <c r="I1548" t="s">
        <v>808</v>
      </c>
      <c r="J1548">
        <f t="shared" ca="1" si="98"/>
        <v>1500000</v>
      </c>
      <c r="K1548">
        <f t="shared" ca="1" si="99"/>
        <v>100</v>
      </c>
      <c r="N1548" t="str">
        <f t="shared" si="96"/>
        <v>Medway33Carers Direct Payments  Overall spend is £1.6m - propsal to fund from BCF (if agreed delete scheme 6)Carers ServicesCarer advice and support related to Care Act duties</v>
      </c>
      <c r="O1548" t="s">
        <v>217</v>
      </c>
      <c r="P1548" t="s">
        <v>1437</v>
      </c>
      <c r="Q1548">
        <v>33</v>
      </c>
      <c r="R1548" t="s">
        <v>4200</v>
      </c>
      <c r="S1548" t="s">
        <v>4649</v>
      </c>
      <c r="T1548" t="s">
        <v>811</v>
      </c>
      <c r="U1548" t="s">
        <v>895</v>
      </c>
      <c r="W1548">
        <v>156</v>
      </c>
      <c r="X1548">
        <v>156</v>
      </c>
      <c r="Y1548" t="s">
        <v>813</v>
      </c>
      <c r="Z1548" t="s">
        <v>792</v>
      </c>
      <c r="AB1548" t="s">
        <v>1739</v>
      </c>
      <c r="AC1548">
        <v>0.5</v>
      </c>
      <c r="AD1548">
        <v>0.5</v>
      </c>
      <c r="AE1548" t="s">
        <v>825</v>
      </c>
      <c r="AF1548" t="s">
        <v>796</v>
      </c>
      <c r="AG1548" t="s">
        <v>861</v>
      </c>
      <c r="AH1548">
        <v>1100000</v>
      </c>
      <c r="AI1548">
        <v>1100000</v>
      </c>
      <c r="AJ1548">
        <v>0.65</v>
      </c>
    </row>
    <row r="1549" spans="1:36" x14ac:dyDescent="0.3">
      <c r="A1549">
        <f>COUNTIF($D$2:D1549,D1549)</f>
        <v>18</v>
      </c>
      <c r="B1549" t="str">
        <f t="shared" si="97"/>
        <v>18North Somerset</v>
      </c>
      <c r="C1549" t="s">
        <v>4650</v>
      </c>
      <c r="D1549" t="s">
        <v>237</v>
      </c>
      <c r="E1549">
        <v>80</v>
      </c>
      <c r="F1549" t="s">
        <v>4651</v>
      </c>
      <c r="G1549" t="s">
        <v>842</v>
      </c>
      <c r="H1549" t="s">
        <v>856</v>
      </c>
      <c r="I1549" t="s">
        <v>844</v>
      </c>
      <c r="J1549">
        <f t="shared" ca="1" si="98"/>
        <v>110000</v>
      </c>
      <c r="K1549">
        <f t="shared" ca="1" si="99"/>
        <v>20</v>
      </c>
      <c r="N1549" t="str">
        <f t="shared" si="96"/>
        <v>Medway34Step down bedsResidential PlacementsNursing home</v>
      </c>
      <c r="O1549" t="s">
        <v>217</v>
      </c>
      <c r="P1549" t="s">
        <v>1437</v>
      </c>
      <c r="Q1549">
        <v>34</v>
      </c>
      <c r="R1549" t="s">
        <v>1394</v>
      </c>
      <c r="S1549" t="s">
        <v>4652</v>
      </c>
      <c r="T1549" t="s">
        <v>806</v>
      </c>
      <c r="U1549" t="s">
        <v>917</v>
      </c>
      <c r="W1549">
        <v>40</v>
      </c>
      <c r="X1549">
        <v>40</v>
      </c>
      <c r="Y1549" t="s">
        <v>808</v>
      </c>
      <c r="Z1549" t="s">
        <v>823</v>
      </c>
      <c r="AB1549" t="s">
        <v>824</v>
      </c>
      <c r="AD1549" t="s">
        <v>794</v>
      </c>
      <c r="AE1549" t="s">
        <v>1119</v>
      </c>
      <c r="AF1549" t="s">
        <v>860</v>
      </c>
      <c r="AG1549" t="s">
        <v>861</v>
      </c>
      <c r="AH1549">
        <v>1268393</v>
      </c>
      <c r="AI1549">
        <v>2082633</v>
      </c>
      <c r="AJ1549">
        <v>1</v>
      </c>
    </row>
    <row r="1550" spans="1:36" x14ac:dyDescent="0.3">
      <c r="A1550">
        <f>COUNTIF($D$2:D1550,D1550)</f>
        <v>19</v>
      </c>
      <c r="B1550" t="str">
        <f t="shared" si="97"/>
        <v>19North Somerset</v>
      </c>
      <c r="C1550" t="s">
        <v>4653</v>
      </c>
      <c r="D1550" t="s">
        <v>237</v>
      </c>
      <c r="E1550">
        <v>81</v>
      </c>
      <c r="F1550" t="s">
        <v>4654</v>
      </c>
      <c r="G1550" t="s">
        <v>877</v>
      </c>
      <c r="H1550" t="s">
        <v>878</v>
      </c>
      <c r="I1550" t="s">
        <v>879</v>
      </c>
      <c r="J1550">
        <f t="shared" ca="1" si="98"/>
        <v>609406</v>
      </c>
      <c r="K1550">
        <f t="shared" ca="1" si="99"/>
        <v>25</v>
      </c>
      <c r="N1550" t="str">
        <f t="shared" si="96"/>
        <v>Medway35Short Term winter bedsResidential PlacementsNursing home</v>
      </c>
      <c r="O1550" t="s">
        <v>217</v>
      </c>
      <c r="P1550" t="s">
        <v>1437</v>
      </c>
      <c r="Q1550">
        <v>35</v>
      </c>
      <c r="R1550" t="s">
        <v>4205</v>
      </c>
      <c r="S1550" t="s">
        <v>4652</v>
      </c>
      <c r="T1550" t="s">
        <v>806</v>
      </c>
      <c r="U1550" t="s">
        <v>917</v>
      </c>
      <c r="W1550">
        <v>8</v>
      </c>
      <c r="X1550">
        <v>8</v>
      </c>
      <c r="Y1550" t="s">
        <v>808</v>
      </c>
      <c r="Z1550" t="s">
        <v>792</v>
      </c>
      <c r="AB1550" t="s">
        <v>793</v>
      </c>
      <c r="AD1550" t="s">
        <v>794</v>
      </c>
      <c r="AE1550" t="s">
        <v>804</v>
      </c>
      <c r="AF1550" t="s">
        <v>864</v>
      </c>
      <c r="AG1550" t="s">
        <v>861</v>
      </c>
      <c r="AH1550">
        <v>125000</v>
      </c>
      <c r="AI1550">
        <v>125000</v>
      </c>
      <c r="AJ1550">
        <v>1</v>
      </c>
    </row>
    <row r="1551" spans="1:36" x14ac:dyDescent="0.3">
      <c r="A1551">
        <f>COUNTIF($D$2:D1551,D1551)</f>
        <v>20</v>
      </c>
      <c r="B1551" t="str">
        <f t="shared" si="97"/>
        <v>20North Somerset</v>
      </c>
      <c r="C1551" t="s">
        <v>4655</v>
      </c>
      <c r="D1551" t="s">
        <v>237</v>
      </c>
      <c r="E1551">
        <v>82</v>
      </c>
      <c r="F1551" t="s">
        <v>4656</v>
      </c>
      <c r="G1551" t="s">
        <v>842</v>
      </c>
      <c r="H1551" t="s">
        <v>1102</v>
      </c>
      <c r="I1551" t="s">
        <v>789</v>
      </c>
      <c r="J1551">
        <f t="shared" ca="1" si="98"/>
        <v>0</v>
      </c>
      <c r="K1551">
        <f t="shared" ca="1" si="99"/>
        <v>50</v>
      </c>
      <c r="N1551" t="str">
        <f t="shared" si="96"/>
        <v>Medway36Short term winter beds complexResidential PlacementsNursing home</v>
      </c>
      <c r="O1551" t="s">
        <v>217</v>
      </c>
      <c r="P1551" t="s">
        <v>1437</v>
      </c>
      <c r="Q1551">
        <v>36</v>
      </c>
      <c r="R1551" t="s">
        <v>4208</v>
      </c>
      <c r="S1551" t="s">
        <v>4652</v>
      </c>
      <c r="T1551" t="s">
        <v>806</v>
      </c>
      <c r="U1551" t="s">
        <v>917</v>
      </c>
      <c r="W1551">
        <v>4</v>
      </c>
      <c r="X1551">
        <v>4</v>
      </c>
      <c r="Y1551" t="s">
        <v>808</v>
      </c>
      <c r="Z1551" t="s">
        <v>792</v>
      </c>
      <c r="AB1551" t="s">
        <v>793</v>
      </c>
      <c r="AD1551" t="s">
        <v>794</v>
      </c>
      <c r="AE1551" t="s">
        <v>804</v>
      </c>
      <c r="AF1551" t="s">
        <v>864</v>
      </c>
      <c r="AG1551" t="s">
        <v>861</v>
      </c>
      <c r="AH1551">
        <v>125000</v>
      </c>
      <c r="AI1551">
        <v>125000</v>
      </c>
      <c r="AJ1551">
        <v>1</v>
      </c>
    </row>
    <row r="1552" spans="1:36" x14ac:dyDescent="0.3">
      <c r="A1552">
        <f>COUNTIF($D$2:D1552,D1552)</f>
        <v>21</v>
      </c>
      <c r="B1552" t="str">
        <f t="shared" si="97"/>
        <v>21North Somerset</v>
      </c>
      <c r="C1552" t="s">
        <v>4657</v>
      </c>
      <c r="D1552" t="s">
        <v>237</v>
      </c>
      <c r="E1552">
        <v>86</v>
      </c>
      <c r="F1552" t="s">
        <v>1607</v>
      </c>
      <c r="G1552" t="s">
        <v>877</v>
      </c>
      <c r="H1552" t="s">
        <v>995</v>
      </c>
      <c r="I1552" t="s">
        <v>879</v>
      </c>
      <c r="J1552">
        <f t="shared" ca="1" si="98"/>
        <v>372000</v>
      </c>
      <c r="K1552">
        <f t="shared" ca="1" si="99"/>
        <v>59</v>
      </c>
      <c r="N1552" t="str">
        <f t="shared" si="96"/>
        <v xml:space="preserve">Medway37Agency staff for reablementHome-based intermediate care servicesReablement at home (to support discharge) </v>
      </c>
      <c r="O1552" t="s">
        <v>217</v>
      </c>
      <c r="P1552" t="s">
        <v>1437</v>
      </c>
      <c r="Q1552">
        <v>37</v>
      </c>
      <c r="R1552" t="s">
        <v>4210</v>
      </c>
      <c r="S1552" t="s">
        <v>4633</v>
      </c>
      <c r="T1552" t="s">
        <v>787</v>
      </c>
      <c r="U1552" t="s">
        <v>788</v>
      </c>
      <c r="W1552">
        <v>60</v>
      </c>
      <c r="X1552">
        <v>60</v>
      </c>
      <c r="Y1552" t="s">
        <v>789</v>
      </c>
      <c r="Z1552" t="s">
        <v>792</v>
      </c>
      <c r="AB1552" t="s">
        <v>793</v>
      </c>
      <c r="AD1552" t="s">
        <v>794</v>
      </c>
      <c r="AE1552" t="s">
        <v>832</v>
      </c>
      <c r="AF1552" t="s">
        <v>864</v>
      </c>
      <c r="AG1552" t="s">
        <v>861</v>
      </c>
      <c r="AH1552">
        <v>120000</v>
      </c>
      <c r="AI1552">
        <v>120000</v>
      </c>
      <c r="AJ1552">
        <v>1</v>
      </c>
    </row>
    <row r="1553" spans="1:36" x14ac:dyDescent="0.3">
      <c r="A1553">
        <f>COUNTIF($D$2:D1553,D1553)</f>
        <v>22</v>
      </c>
      <c r="B1553" t="str">
        <f t="shared" si="97"/>
        <v>22North Somerset</v>
      </c>
      <c r="C1553" t="s">
        <v>4658</v>
      </c>
      <c r="D1553" t="s">
        <v>237</v>
      </c>
      <c r="E1553">
        <v>87</v>
      </c>
      <c r="F1553" t="s">
        <v>1610</v>
      </c>
      <c r="G1553" t="s">
        <v>877</v>
      </c>
      <c r="H1553" t="s">
        <v>878</v>
      </c>
      <c r="I1553" t="s">
        <v>879</v>
      </c>
      <c r="J1553">
        <f t="shared" ca="1" si="98"/>
        <v>156000</v>
      </c>
      <c r="K1553">
        <f t="shared" ca="1" si="99"/>
        <v>25</v>
      </c>
      <c r="N1553" t="str">
        <f t="shared" si="96"/>
        <v>Medway38domiciliary care packagesHome Care or Domiciliary CareShort term domiciliary care (without reablement input)</v>
      </c>
      <c r="O1553" t="s">
        <v>217</v>
      </c>
      <c r="P1553" t="s">
        <v>1437</v>
      </c>
      <c r="Q1553">
        <v>38</v>
      </c>
      <c r="R1553" t="s">
        <v>4213</v>
      </c>
      <c r="S1553" t="s">
        <v>1447</v>
      </c>
      <c r="T1553" t="s">
        <v>842</v>
      </c>
      <c r="U1553" t="s">
        <v>1102</v>
      </c>
      <c r="W1553">
        <v>50</v>
      </c>
      <c r="X1553">
        <v>50</v>
      </c>
      <c r="Y1553" t="s">
        <v>789</v>
      </c>
      <c r="Z1553" t="s">
        <v>792</v>
      </c>
      <c r="AB1553" t="s">
        <v>793</v>
      </c>
      <c r="AD1553" t="s">
        <v>794</v>
      </c>
      <c r="AE1553" t="s">
        <v>804</v>
      </c>
      <c r="AF1553" t="s">
        <v>864</v>
      </c>
      <c r="AG1553" t="s">
        <v>861</v>
      </c>
      <c r="AH1553">
        <v>50000</v>
      </c>
      <c r="AI1553">
        <v>50000</v>
      </c>
      <c r="AJ1553">
        <v>1</v>
      </c>
    </row>
    <row r="1554" spans="1:36" x14ac:dyDescent="0.3">
      <c r="A1554">
        <f>COUNTIF($D$2:D1554,D1554)</f>
        <v>1</v>
      </c>
      <c r="B1554" t="str">
        <f t="shared" si="97"/>
        <v>1North Tyneside</v>
      </c>
      <c r="C1554" t="s">
        <v>4659</v>
      </c>
      <c r="D1554" t="s">
        <v>239</v>
      </c>
      <c r="E1554">
        <v>6</v>
      </c>
      <c r="F1554" t="s">
        <v>4660</v>
      </c>
      <c r="G1554" t="s">
        <v>787</v>
      </c>
      <c r="H1554" t="s">
        <v>1195</v>
      </c>
      <c r="I1554" t="s">
        <v>789</v>
      </c>
      <c r="J1554">
        <f t="shared" ca="1" si="98"/>
        <v>963456</v>
      </c>
      <c r="K1554">
        <f t="shared" ca="1" si="99"/>
        <v>400</v>
      </c>
      <c r="N1554" t="str">
        <f t="shared" si="96"/>
        <v>Medway42Assistive TechnologyAssistive Technologies and EquipmentAssistive technologies including telecare</v>
      </c>
      <c r="O1554" t="s">
        <v>217</v>
      </c>
      <c r="P1554" t="s">
        <v>1437</v>
      </c>
      <c r="Q1554">
        <v>42</v>
      </c>
      <c r="R1554" t="s">
        <v>1578</v>
      </c>
      <c r="S1554" t="s">
        <v>4661</v>
      </c>
      <c r="T1554" t="s">
        <v>800</v>
      </c>
      <c r="U1554" t="s">
        <v>850</v>
      </c>
      <c r="W1554">
        <v>200</v>
      </c>
      <c r="X1554">
        <v>200</v>
      </c>
      <c r="Y1554" t="s">
        <v>802</v>
      </c>
      <c r="Z1554" t="s">
        <v>792</v>
      </c>
      <c r="AB1554" t="s">
        <v>793</v>
      </c>
      <c r="AD1554" t="s">
        <v>794</v>
      </c>
      <c r="AE1554" t="s">
        <v>795</v>
      </c>
      <c r="AF1554" t="s">
        <v>864</v>
      </c>
      <c r="AG1554" t="s">
        <v>861</v>
      </c>
      <c r="AH1554">
        <v>80000</v>
      </c>
      <c r="AI1554">
        <v>80000</v>
      </c>
      <c r="AJ1554">
        <v>1</v>
      </c>
    </row>
    <row r="1555" spans="1:36" x14ac:dyDescent="0.3">
      <c r="A1555">
        <f>COUNTIF($D$2:D1555,D1555)</f>
        <v>2</v>
      </c>
      <c r="B1555" t="str">
        <f t="shared" si="97"/>
        <v>2North Tyneside</v>
      </c>
      <c r="C1555" t="s">
        <v>4662</v>
      </c>
      <c r="D1555" t="s">
        <v>239</v>
      </c>
      <c r="E1555">
        <v>9</v>
      </c>
      <c r="F1555" t="s">
        <v>1781</v>
      </c>
      <c r="G1555" t="s">
        <v>811</v>
      </c>
      <c r="H1555" t="s">
        <v>895</v>
      </c>
      <c r="I1555" t="s">
        <v>813</v>
      </c>
      <c r="J1555">
        <f t="shared" ca="1" si="98"/>
        <v>749107</v>
      </c>
      <c r="K1555">
        <f t="shared" ca="1" si="99"/>
        <v>5000</v>
      </c>
      <c r="N1555" t="str">
        <f t="shared" si="96"/>
        <v>Merton2Telecare (MASCOT)Assistive Technologies and EquipmentAssistive technologies including telecare</v>
      </c>
      <c r="O1555" t="s">
        <v>219</v>
      </c>
      <c r="P1555" t="s">
        <v>790</v>
      </c>
      <c r="Q1555">
        <v>2</v>
      </c>
      <c r="R1555" t="s">
        <v>4217</v>
      </c>
      <c r="S1555" t="s">
        <v>2108</v>
      </c>
      <c r="T1555" t="s">
        <v>800</v>
      </c>
      <c r="U1555" t="s">
        <v>850</v>
      </c>
      <c r="W1555">
        <v>1200</v>
      </c>
      <c r="X1555">
        <v>1400</v>
      </c>
      <c r="Y1555" t="s">
        <v>802</v>
      </c>
      <c r="Z1555" t="s">
        <v>792</v>
      </c>
      <c r="AB1555" t="s">
        <v>793</v>
      </c>
      <c r="AD1555" t="s">
        <v>794</v>
      </c>
      <c r="AE1555" t="s">
        <v>795</v>
      </c>
      <c r="AF1555" t="s">
        <v>796</v>
      </c>
      <c r="AG1555" t="s">
        <v>797</v>
      </c>
      <c r="AH1555">
        <v>439000</v>
      </c>
      <c r="AI1555">
        <v>439000</v>
      </c>
      <c r="AJ1555">
        <v>0.4</v>
      </c>
    </row>
    <row r="1556" spans="1:36" x14ac:dyDescent="0.3">
      <c r="A1556">
        <f>COUNTIF($D$2:D1556,D1556)</f>
        <v>3</v>
      </c>
      <c r="B1556" t="str">
        <f t="shared" si="97"/>
        <v>3North Tyneside</v>
      </c>
      <c r="C1556" t="s">
        <v>4663</v>
      </c>
      <c r="D1556" t="s">
        <v>239</v>
      </c>
      <c r="E1556">
        <v>12</v>
      </c>
      <c r="F1556" t="s">
        <v>2423</v>
      </c>
      <c r="G1556" t="s">
        <v>877</v>
      </c>
      <c r="H1556" t="s">
        <v>968</v>
      </c>
      <c r="I1556" t="s">
        <v>879</v>
      </c>
      <c r="J1556">
        <f t="shared" ca="1" si="98"/>
        <v>3616877</v>
      </c>
      <c r="K1556">
        <f t="shared" ca="1" si="99"/>
        <v>40</v>
      </c>
      <c r="N1556" t="str">
        <f t="shared" si="96"/>
        <v>Merton3Voluntary Sector ( including Ageing Well, dementia hub and carers support)Carers ServicesCarer advice and support related to Care Act duties</v>
      </c>
      <c r="O1556" t="s">
        <v>219</v>
      </c>
      <c r="P1556" t="s">
        <v>790</v>
      </c>
      <c r="Q1556">
        <v>3</v>
      </c>
      <c r="R1556" t="s">
        <v>4219</v>
      </c>
      <c r="S1556" t="s">
        <v>4664</v>
      </c>
      <c r="T1556" t="s">
        <v>811</v>
      </c>
      <c r="U1556" t="s">
        <v>895</v>
      </c>
      <c r="W1556">
        <v>800</v>
      </c>
      <c r="X1556">
        <v>800</v>
      </c>
      <c r="Y1556" t="s">
        <v>813</v>
      </c>
      <c r="Z1556" t="s">
        <v>792</v>
      </c>
      <c r="AB1556" t="s">
        <v>793</v>
      </c>
      <c r="AD1556" t="s">
        <v>794</v>
      </c>
      <c r="AE1556" t="s">
        <v>825</v>
      </c>
      <c r="AF1556" t="s">
        <v>796</v>
      </c>
      <c r="AG1556" t="s">
        <v>797</v>
      </c>
      <c r="AH1556">
        <v>217000</v>
      </c>
      <c r="AI1556">
        <v>217000</v>
      </c>
      <c r="AJ1556">
        <v>0.75</v>
      </c>
    </row>
    <row r="1557" spans="1:36" x14ac:dyDescent="0.3">
      <c r="A1557">
        <f>COUNTIF($D$2:D1557,D1557)</f>
        <v>4</v>
      </c>
      <c r="B1557" t="str">
        <f t="shared" si="97"/>
        <v>4North Tyneside</v>
      </c>
      <c r="C1557" t="s">
        <v>4665</v>
      </c>
      <c r="D1557" t="s">
        <v>239</v>
      </c>
      <c r="E1557">
        <v>15</v>
      </c>
      <c r="F1557" t="s">
        <v>4666</v>
      </c>
      <c r="G1557" t="s">
        <v>806</v>
      </c>
      <c r="H1557" t="s">
        <v>807</v>
      </c>
      <c r="I1557" t="s">
        <v>808</v>
      </c>
      <c r="J1557">
        <f t="shared" ca="1" si="98"/>
        <v>557409</v>
      </c>
      <c r="K1557">
        <f t="shared" ca="1" si="99"/>
        <v>10</v>
      </c>
      <c r="N1557" t="str">
        <f t="shared" si="96"/>
        <v>Merton5Community Equipment and Adaptions (ICES)Assistive Technologies and EquipmentCommunity based equipment</v>
      </c>
      <c r="O1557" t="s">
        <v>219</v>
      </c>
      <c r="P1557" t="s">
        <v>790</v>
      </c>
      <c r="Q1557">
        <v>5</v>
      </c>
      <c r="R1557" t="s">
        <v>4222</v>
      </c>
      <c r="S1557" t="s">
        <v>4667</v>
      </c>
      <c r="T1557" t="s">
        <v>800</v>
      </c>
      <c r="U1557" t="s">
        <v>903</v>
      </c>
      <c r="W1557">
        <v>650</v>
      </c>
      <c r="X1557">
        <v>650</v>
      </c>
      <c r="Y1557" t="s">
        <v>802</v>
      </c>
      <c r="Z1557" t="s">
        <v>792</v>
      </c>
      <c r="AB1557" t="s">
        <v>793</v>
      </c>
      <c r="AD1557" t="s">
        <v>794</v>
      </c>
      <c r="AE1557" t="s">
        <v>825</v>
      </c>
      <c r="AF1557" t="s">
        <v>796</v>
      </c>
      <c r="AG1557" t="s">
        <v>797</v>
      </c>
      <c r="AH1557">
        <v>1089822</v>
      </c>
      <c r="AI1557">
        <v>1151505.9251999999</v>
      </c>
      <c r="AJ1557">
        <v>0.56000000000000005</v>
      </c>
    </row>
    <row r="1558" spans="1:36" x14ac:dyDescent="0.3">
      <c r="A1558">
        <f>COUNTIF($D$2:D1558,D1558)</f>
        <v>5</v>
      </c>
      <c r="B1558" t="str">
        <f t="shared" si="97"/>
        <v>5North Tyneside</v>
      </c>
      <c r="C1558" t="s">
        <v>4668</v>
      </c>
      <c r="D1558" t="s">
        <v>239</v>
      </c>
      <c r="E1558">
        <v>16</v>
      </c>
      <c r="F1558" t="s">
        <v>4669</v>
      </c>
      <c r="G1558" t="s">
        <v>842</v>
      </c>
      <c r="H1558" t="s">
        <v>843</v>
      </c>
      <c r="I1558" t="s">
        <v>844</v>
      </c>
      <c r="J1558">
        <f t="shared" ca="1" si="98"/>
        <v>504775</v>
      </c>
      <c r="K1558">
        <f t="shared" ca="1" si="99"/>
        <v>7800</v>
      </c>
      <c r="N1558" t="str">
        <f t="shared" si="96"/>
        <v>Merton6ReablementHome-based intermediate care servicesRehabilitation at home (to support discharge)</v>
      </c>
      <c r="O1558" t="s">
        <v>219</v>
      </c>
      <c r="P1558" t="s">
        <v>790</v>
      </c>
      <c r="Q1558">
        <v>6</v>
      </c>
      <c r="R1558" t="s">
        <v>434</v>
      </c>
      <c r="S1558" t="s">
        <v>2939</v>
      </c>
      <c r="T1558" t="s">
        <v>787</v>
      </c>
      <c r="U1558" t="s">
        <v>1195</v>
      </c>
      <c r="W1558">
        <v>2500</v>
      </c>
      <c r="X1558">
        <v>2500</v>
      </c>
      <c r="Y1558" t="s">
        <v>789</v>
      </c>
      <c r="Z1558" t="s">
        <v>792</v>
      </c>
      <c r="AB1558" t="s">
        <v>793</v>
      </c>
      <c r="AD1558" t="s">
        <v>794</v>
      </c>
      <c r="AE1558" t="s">
        <v>795</v>
      </c>
      <c r="AF1558" t="s">
        <v>796</v>
      </c>
      <c r="AG1558" t="s">
        <v>797</v>
      </c>
      <c r="AH1558">
        <v>1668000</v>
      </c>
      <c r="AI1558">
        <v>1668000</v>
      </c>
      <c r="AJ1558">
        <v>1</v>
      </c>
    </row>
    <row r="1559" spans="1:36" x14ac:dyDescent="0.3">
      <c r="A1559">
        <f>COUNTIF($D$2:D1559,D1559)</f>
        <v>6</v>
      </c>
      <c r="B1559" t="str">
        <f t="shared" si="97"/>
        <v>6North Tyneside</v>
      </c>
      <c r="C1559" t="s">
        <v>4670</v>
      </c>
      <c r="D1559" t="s">
        <v>239</v>
      </c>
      <c r="E1559">
        <v>17</v>
      </c>
      <c r="F1559" t="s">
        <v>4671</v>
      </c>
      <c r="G1559" t="s">
        <v>842</v>
      </c>
      <c r="H1559" t="s">
        <v>843</v>
      </c>
      <c r="I1559" t="s">
        <v>844</v>
      </c>
      <c r="J1559">
        <f t="shared" ca="1" si="98"/>
        <v>209855</v>
      </c>
      <c r="K1559">
        <f t="shared" ca="1" si="99"/>
        <v>9360</v>
      </c>
      <c r="N1559" t="str">
        <f t="shared" si="96"/>
        <v>Merton7Integrated domiciliary packages of careHome Care or Domiciliary CareDomiciliary care packages</v>
      </c>
      <c r="O1559" t="s">
        <v>219</v>
      </c>
      <c r="P1559" t="s">
        <v>790</v>
      </c>
      <c r="Q1559">
        <v>7</v>
      </c>
      <c r="R1559" t="s">
        <v>4227</v>
      </c>
      <c r="S1559" t="s">
        <v>4227</v>
      </c>
      <c r="T1559" t="s">
        <v>842</v>
      </c>
      <c r="U1559" t="s">
        <v>843</v>
      </c>
      <c r="W1559">
        <v>8718</v>
      </c>
      <c r="X1559">
        <v>9500</v>
      </c>
      <c r="Y1559" t="s">
        <v>844</v>
      </c>
      <c r="Z1559" t="s">
        <v>792</v>
      </c>
      <c r="AB1559" t="s">
        <v>793</v>
      </c>
      <c r="AD1559" t="s">
        <v>794</v>
      </c>
      <c r="AE1559" t="s">
        <v>804</v>
      </c>
      <c r="AF1559" t="s">
        <v>796</v>
      </c>
      <c r="AG1559" t="s">
        <v>797</v>
      </c>
      <c r="AH1559">
        <v>2100000</v>
      </c>
      <c r="AI1559">
        <v>2218860</v>
      </c>
      <c r="AJ1559">
        <v>0.2</v>
      </c>
    </row>
    <row r="1560" spans="1:36" x14ac:dyDescent="0.3">
      <c r="A1560">
        <f>COUNTIF($D$2:D1560,D1560)</f>
        <v>7</v>
      </c>
      <c r="B1560" t="str">
        <f t="shared" si="97"/>
        <v>7North Tyneside</v>
      </c>
      <c r="C1560" t="s">
        <v>4672</v>
      </c>
      <c r="D1560" t="s">
        <v>239</v>
      </c>
      <c r="E1560">
        <v>21</v>
      </c>
      <c r="F1560" t="s">
        <v>4673</v>
      </c>
      <c r="G1560" t="s">
        <v>806</v>
      </c>
      <c r="H1560" t="s">
        <v>917</v>
      </c>
      <c r="I1560" t="s">
        <v>808</v>
      </c>
      <c r="J1560">
        <f t="shared" ca="1" si="98"/>
        <v>557409</v>
      </c>
      <c r="K1560">
        <f t="shared" ca="1" si="99"/>
        <v>10</v>
      </c>
      <c r="N1560" t="str">
        <f t="shared" si="96"/>
        <v>Merton12Equipment special ordersAssistive Technologies and EquipmentCommunity based equipment</v>
      </c>
      <c r="O1560" t="s">
        <v>219</v>
      </c>
      <c r="P1560" t="s">
        <v>790</v>
      </c>
      <c r="Q1560">
        <v>12</v>
      </c>
      <c r="R1560" t="s">
        <v>4230</v>
      </c>
      <c r="S1560" t="s">
        <v>4674</v>
      </c>
      <c r="T1560" t="s">
        <v>800</v>
      </c>
      <c r="U1560" t="s">
        <v>903</v>
      </c>
      <c r="W1560">
        <v>25</v>
      </c>
      <c r="X1560">
        <v>25</v>
      </c>
      <c r="Y1560" t="s">
        <v>802</v>
      </c>
      <c r="Z1560" t="s">
        <v>792</v>
      </c>
      <c r="AB1560" t="s">
        <v>793</v>
      </c>
      <c r="AD1560" t="s">
        <v>794</v>
      </c>
      <c r="AE1560" t="s">
        <v>795</v>
      </c>
      <c r="AF1560" t="s">
        <v>796</v>
      </c>
      <c r="AG1560" t="s">
        <v>797</v>
      </c>
      <c r="AH1560">
        <v>21000</v>
      </c>
      <c r="AI1560">
        <v>22188.6</v>
      </c>
      <c r="AJ1560">
        <v>1</v>
      </c>
    </row>
    <row r="1561" spans="1:36" x14ac:dyDescent="0.3">
      <c r="A1561">
        <f>COUNTIF($D$2:D1561,D1561)</f>
        <v>8</v>
      </c>
      <c r="B1561" t="str">
        <f t="shared" si="97"/>
        <v>8North Tyneside</v>
      </c>
      <c r="C1561" t="s">
        <v>4675</v>
      </c>
      <c r="D1561" t="s">
        <v>239</v>
      </c>
      <c r="E1561">
        <v>23</v>
      </c>
      <c r="F1561" t="s">
        <v>4676</v>
      </c>
      <c r="G1561" t="s">
        <v>1453</v>
      </c>
      <c r="H1561" t="s">
        <v>4677</v>
      </c>
      <c r="I1561" t="s">
        <v>794</v>
      </c>
      <c r="J1561">
        <f t="shared" ca="1" si="98"/>
        <v>35000</v>
      </c>
      <c r="K1561">
        <f t="shared" ca="1" si="99"/>
        <v>300</v>
      </c>
      <c r="N1561" t="str">
        <f t="shared" si="96"/>
        <v>Merton13Reablement CapacityHome-based intermediate care servicesReablement at home (accepting step up and step down users)</v>
      </c>
      <c r="O1561" t="s">
        <v>219</v>
      </c>
      <c r="P1561" t="s">
        <v>790</v>
      </c>
      <c r="Q1561">
        <v>13</v>
      </c>
      <c r="R1561" t="s">
        <v>4233</v>
      </c>
      <c r="S1561" t="s">
        <v>4678</v>
      </c>
      <c r="T1561" t="s">
        <v>787</v>
      </c>
      <c r="U1561" t="s">
        <v>930</v>
      </c>
      <c r="W1561">
        <v>350</v>
      </c>
      <c r="X1561">
        <v>350</v>
      </c>
      <c r="Y1561" t="s">
        <v>789</v>
      </c>
      <c r="Z1561" t="s">
        <v>792</v>
      </c>
      <c r="AB1561" t="s">
        <v>793</v>
      </c>
      <c r="AD1561" t="s">
        <v>794</v>
      </c>
      <c r="AE1561" t="s">
        <v>795</v>
      </c>
      <c r="AF1561" t="s">
        <v>796</v>
      </c>
      <c r="AG1561" t="s">
        <v>797</v>
      </c>
      <c r="AH1561">
        <v>230000</v>
      </c>
      <c r="AI1561">
        <v>230000</v>
      </c>
      <c r="AJ1561">
        <v>1</v>
      </c>
    </row>
    <row r="1562" spans="1:36" x14ac:dyDescent="0.3">
      <c r="A1562">
        <f>COUNTIF($D$2:D1562,D1562)</f>
        <v>9</v>
      </c>
      <c r="B1562" t="str">
        <f t="shared" si="97"/>
        <v>9North Tyneside</v>
      </c>
      <c r="C1562" t="s">
        <v>4679</v>
      </c>
      <c r="D1562" t="s">
        <v>239</v>
      </c>
      <c r="E1562">
        <v>29</v>
      </c>
      <c r="F1562" t="s">
        <v>891</v>
      </c>
      <c r="G1562" t="s">
        <v>834</v>
      </c>
      <c r="H1562" t="s">
        <v>835</v>
      </c>
      <c r="I1562" t="s">
        <v>836</v>
      </c>
      <c r="J1562">
        <f t="shared" ca="1" si="98"/>
        <v>1869024</v>
      </c>
      <c r="K1562">
        <f t="shared" ca="1" si="99"/>
        <v>55</v>
      </c>
      <c r="N1562" t="str">
        <f t="shared" si="96"/>
        <v>Merton17Marie Curie night serviceCarers ServicesRespite services</v>
      </c>
      <c r="O1562" t="s">
        <v>219</v>
      </c>
      <c r="P1562" t="s">
        <v>790</v>
      </c>
      <c r="Q1562">
        <v>17</v>
      </c>
      <c r="R1562" t="s">
        <v>4236</v>
      </c>
      <c r="S1562" t="s">
        <v>4680</v>
      </c>
      <c r="T1562" t="s">
        <v>811</v>
      </c>
      <c r="U1562" t="s">
        <v>830</v>
      </c>
      <c r="W1562">
        <v>57</v>
      </c>
      <c r="X1562">
        <v>57</v>
      </c>
      <c r="Y1562" t="s">
        <v>813</v>
      </c>
      <c r="Z1562" t="s">
        <v>792</v>
      </c>
      <c r="AB1562" t="s">
        <v>824</v>
      </c>
      <c r="AD1562" t="s">
        <v>794</v>
      </c>
      <c r="AE1562" t="s">
        <v>825</v>
      </c>
      <c r="AF1562" t="s">
        <v>796</v>
      </c>
      <c r="AG1562" t="s">
        <v>797</v>
      </c>
      <c r="AH1562">
        <v>131000</v>
      </c>
      <c r="AI1562">
        <v>131000</v>
      </c>
      <c r="AJ1562">
        <v>1</v>
      </c>
    </row>
    <row r="1563" spans="1:36" x14ac:dyDescent="0.3">
      <c r="A1563">
        <f>COUNTIF($D$2:D1563,D1563)</f>
        <v>1</v>
      </c>
      <c r="B1563" t="str">
        <f t="shared" si="97"/>
        <v>1North Yorkshire</v>
      </c>
      <c r="C1563" t="s">
        <v>4681</v>
      </c>
      <c r="D1563" t="s">
        <v>241</v>
      </c>
      <c r="E1563">
        <v>7</v>
      </c>
      <c r="F1563" t="s">
        <v>4682</v>
      </c>
      <c r="G1563" t="s">
        <v>811</v>
      </c>
      <c r="H1563" t="s">
        <v>895</v>
      </c>
      <c r="I1563" t="s">
        <v>813</v>
      </c>
      <c r="J1563">
        <f t="shared" ca="1" si="98"/>
        <v>990000</v>
      </c>
      <c r="K1563">
        <f t="shared" ca="1" si="99"/>
        <v>25</v>
      </c>
      <c r="N1563" t="str">
        <f t="shared" si="96"/>
        <v>Merton24Home based rehabilitationHome-based intermediate care servicesRehabilitation at home (accepting step up and step down users)</v>
      </c>
      <c r="O1563" t="s">
        <v>219</v>
      </c>
      <c r="P1563" t="s">
        <v>790</v>
      </c>
      <c r="Q1563">
        <v>24</v>
      </c>
      <c r="R1563" t="s">
        <v>4238</v>
      </c>
      <c r="S1563" t="s">
        <v>4238</v>
      </c>
      <c r="T1563" t="s">
        <v>787</v>
      </c>
      <c r="U1563" t="s">
        <v>1688</v>
      </c>
      <c r="W1563">
        <v>5644</v>
      </c>
      <c r="X1563">
        <v>5644</v>
      </c>
      <c r="Y1563" t="s">
        <v>789</v>
      </c>
      <c r="Z1563" t="s">
        <v>823</v>
      </c>
      <c r="AB1563" t="s">
        <v>824</v>
      </c>
      <c r="AD1563" t="s">
        <v>794</v>
      </c>
      <c r="AE1563" t="s">
        <v>832</v>
      </c>
      <c r="AF1563" t="s">
        <v>796</v>
      </c>
      <c r="AG1563" t="s">
        <v>797</v>
      </c>
      <c r="AH1563">
        <v>654114</v>
      </c>
      <c r="AI1563">
        <v>654114</v>
      </c>
      <c r="AJ1563">
        <v>1</v>
      </c>
    </row>
    <row r="1564" spans="1:36" x14ac:dyDescent="0.3">
      <c r="A1564">
        <f>COUNTIF($D$2:D1564,D1564)</f>
        <v>2</v>
      </c>
      <c r="B1564" t="str">
        <f t="shared" si="97"/>
        <v>2North Yorkshire</v>
      </c>
      <c r="C1564" t="s">
        <v>4683</v>
      </c>
      <c r="D1564" t="s">
        <v>241</v>
      </c>
      <c r="E1564">
        <v>8</v>
      </c>
      <c r="F1564" t="s">
        <v>4684</v>
      </c>
      <c r="G1564" t="s">
        <v>834</v>
      </c>
      <c r="H1564" t="s">
        <v>835</v>
      </c>
      <c r="I1564" t="s">
        <v>836</v>
      </c>
      <c r="J1564">
        <f t="shared" ca="1" si="98"/>
        <v>5114924</v>
      </c>
      <c r="K1564">
        <f t="shared" ca="1" si="99"/>
        <v>726</v>
      </c>
      <c r="N1564" t="str">
        <f t="shared" si="96"/>
        <v>Merton25Bedded rehabilitation (intermediate care)Bed based intermediate Care Services (Reablement, rehabilitation, wider short-term services supporting recovery)Bed-based intermediate care with rehabilitation (to support discharge)</v>
      </c>
      <c r="O1564" t="s">
        <v>219</v>
      </c>
      <c r="P1564" t="s">
        <v>790</v>
      </c>
      <c r="Q1564">
        <v>25</v>
      </c>
      <c r="R1564" t="s">
        <v>4241</v>
      </c>
      <c r="S1564" t="s">
        <v>4685</v>
      </c>
      <c r="T1564" t="s">
        <v>877</v>
      </c>
      <c r="U1564" t="s">
        <v>968</v>
      </c>
      <c r="W1564">
        <v>156</v>
      </c>
      <c r="X1564">
        <v>156</v>
      </c>
      <c r="Y1564" t="s">
        <v>879</v>
      </c>
      <c r="Z1564" t="s">
        <v>823</v>
      </c>
      <c r="AB1564" t="s">
        <v>824</v>
      </c>
      <c r="AD1564" t="s">
        <v>794</v>
      </c>
      <c r="AE1564" t="s">
        <v>832</v>
      </c>
      <c r="AF1564" t="s">
        <v>796</v>
      </c>
      <c r="AG1564" t="s">
        <v>797</v>
      </c>
      <c r="AH1564">
        <v>2968811</v>
      </c>
      <c r="AI1564">
        <v>2968811</v>
      </c>
      <c r="AJ1564">
        <v>1</v>
      </c>
    </row>
    <row r="1565" spans="1:36" x14ac:dyDescent="0.3">
      <c r="A1565">
        <f>COUNTIF($D$2:D1565,D1565)</f>
        <v>3</v>
      </c>
      <c r="B1565" t="str">
        <f t="shared" si="97"/>
        <v>3North Yorkshire</v>
      </c>
      <c r="C1565" t="s">
        <v>4686</v>
      </c>
      <c r="D1565" t="s">
        <v>241</v>
      </c>
      <c r="E1565">
        <v>12</v>
      </c>
      <c r="F1565" t="s">
        <v>4687</v>
      </c>
      <c r="G1565" t="s">
        <v>877</v>
      </c>
      <c r="H1565" t="s">
        <v>878</v>
      </c>
      <c r="I1565" t="s">
        <v>879</v>
      </c>
      <c r="J1565">
        <f t="shared" ca="1" si="98"/>
        <v>1016143</v>
      </c>
      <c r="K1565">
        <f t="shared" ca="1" si="99"/>
        <v>22</v>
      </c>
      <c r="N1565" t="str">
        <f t="shared" si="96"/>
        <v>Merton31Integrated domiciliary packages of careHome Care or Domiciliary CareDomiciliary care packages</v>
      </c>
      <c r="O1565" t="s">
        <v>219</v>
      </c>
      <c r="P1565" t="s">
        <v>790</v>
      </c>
      <c r="Q1565">
        <v>31</v>
      </c>
      <c r="R1565" t="s">
        <v>4227</v>
      </c>
      <c r="S1565" t="s">
        <v>4688</v>
      </c>
      <c r="T1565" t="s">
        <v>842</v>
      </c>
      <c r="U1565" t="s">
        <v>843</v>
      </c>
      <c r="W1565">
        <v>8718</v>
      </c>
      <c r="X1565">
        <v>9500</v>
      </c>
      <c r="Y1565" t="s">
        <v>844</v>
      </c>
      <c r="Z1565" t="s">
        <v>792</v>
      </c>
      <c r="AB1565" t="s">
        <v>793</v>
      </c>
      <c r="AD1565" t="s">
        <v>794</v>
      </c>
      <c r="AE1565" t="s">
        <v>804</v>
      </c>
      <c r="AF1565" t="s">
        <v>845</v>
      </c>
      <c r="AG1565" t="s">
        <v>797</v>
      </c>
      <c r="AH1565">
        <v>2885577</v>
      </c>
      <c r="AI1565">
        <v>2885577</v>
      </c>
      <c r="AJ1565">
        <v>1</v>
      </c>
    </row>
    <row r="1566" spans="1:36" x14ac:dyDescent="0.3">
      <c r="A1566">
        <f>COUNTIF($D$2:D1566,D1566)</f>
        <v>4</v>
      </c>
      <c r="B1566" t="str">
        <f t="shared" si="97"/>
        <v>4North Yorkshire</v>
      </c>
      <c r="C1566" t="s">
        <v>4689</v>
      </c>
      <c r="D1566" t="s">
        <v>241</v>
      </c>
      <c r="E1566">
        <v>13</v>
      </c>
      <c r="F1566" t="s">
        <v>4690</v>
      </c>
      <c r="G1566" t="s">
        <v>842</v>
      </c>
      <c r="H1566" t="s">
        <v>856</v>
      </c>
      <c r="I1566" t="s">
        <v>844</v>
      </c>
      <c r="J1566">
        <f t="shared" ca="1" si="98"/>
        <v>275000</v>
      </c>
      <c r="K1566">
        <f t="shared" ca="1" si="99"/>
        <v>10333</v>
      </c>
      <c r="N1566" t="str">
        <f t="shared" si="96"/>
        <v>Merton33reablement capacityHome-based intermediate care servicesReablement at home (accepting step up and step down users)</v>
      </c>
      <c r="O1566" t="s">
        <v>219</v>
      </c>
      <c r="P1566" t="s">
        <v>790</v>
      </c>
      <c r="Q1566">
        <v>33</v>
      </c>
      <c r="R1566" t="s">
        <v>4246</v>
      </c>
      <c r="S1566" t="s">
        <v>4691</v>
      </c>
      <c r="T1566" t="s">
        <v>787</v>
      </c>
      <c r="U1566" t="s">
        <v>930</v>
      </c>
      <c r="W1566">
        <v>2500</v>
      </c>
      <c r="X1566">
        <v>2500</v>
      </c>
      <c r="Y1566" t="s">
        <v>789</v>
      </c>
      <c r="Z1566" t="s">
        <v>792</v>
      </c>
      <c r="AB1566" t="s">
        <v>793</v>
      </c>
      <c r="AD1566" t="s">
        <v>794</v>
      </c>
      <c r="AE1566" t="s">
        <v>795</v>
      </c>
      <c r="AF1566" t="s">
        <v>845</v>
      </c>
      <c r="AG1566" t="s">
        <v>797</v>
      </c>
      <c r="AH1566">
        <v>144000</v>
      </c>
      <c r="AI1566">
        <v>144000</v>
      </c>
      <c r="AJ1566">
        <v>1</v>
      </c>
    </row>
    <row r="1567" spans="1:36" x14ac:dyDescent="0.3">
      <c r="A1567">
        <f>COUNTIF($D$2:D1567,D1567)</f>
        <v>5</v>
      </c>
      <c r="B1567" t="str">
        <f t="shared" si="97"/>
        <v>5North Yorkshire</v>
      </c>
      <c r="C1567" t="s">
        <v>4692</v>
      </c>
      <c r="D1567" t="s">
        <v>241</v>
      </c>
      <c r="E1567">
        <v>15</v>
      </c>
      <c r="F1567" t="s">
        <v>4693</v>
      </c>
      <c r="G1567" t="s">
        <v>842</v>
      </c>
      <c r="H1567" t="s">
        <v>856</v>
      </c>
      <c r="I1567" t="s">
        <v>844</v>
      </c>
      <c r="J1567">
        <f t="shared" ca="1" si="98"/>
        <v>189857</v>
      </c>
      <c r="K1567">
        <f t="shared" ca="1" si="99"/>
        <v>6328</v>
      </c>
      <c r="N1567" t="str">
        <f t="shared" si="96"/>
        <v>Merton34occupational therapyAssistive Technologies and EquipmentCommunity based equipment</v>
      </c>
      <c r="O1567" t="s">
        <v>219</v>
      </c>
      <c r="P1567" t="s">
        <v>790</v>
      </c>
      <c r="Q1567">
        <v>34</v>
      </c>
      <c r="R1567" t="s">
        <v>4248</v>
      </c>
      <c r="S1567" t="s">
        <v>4694</v>
      </c>
      <c r="T1567" t="s">
        <v>800</v>
      </c>
      <c r="U1567" t="s">
        <v>903</v>
      </c>
      <c r="W1567">
        <v>25</v>
      </c>
      <c r="X1567">
        <v>25</v>
      </c>
      <c r="Y1567" t="s">
        <v>802</v>
      </c>
      <c r="Z1567" t="s">
        <v>792</v>
      </c>
      <c r="AB1567" t="s">
        <v>793</v>
      </c>
      <c r="AD1567" t="s">
        <v>794</v>
      </c>
      <c r="AE1567" t="s">
        <v>795</v>
      </c>
      <c r="AF1567" t="s">
        <v>845</v>
      </c>
      <c r="AG1567" t="s">
        <v>797</v>
      </c>
      <c r="AH1567">
        <v>44000</v>
      </c>
      <c r="AI1567">
        <v>44000</v>
      </c>
      <c r="AJ1567">
        <v>1</v>
      </c>
    </row>
    <row r="1568" spans="1:36" x14ac:dyDescent="0.3">
      <c r="A1568">
        <f>COUNTIF($D$2:D1568,D1568)</f>
        <v>6</v>
      </c>
      <c r="B1568" t="str">
        <f t="shared" si="97"/>
        <v>6North Yorkshire</v>
      </c>
      <c r="C1568" t="s">
        <v>4695</v>
      </c>
      <c r="D1568" t="s">
        <v>241</v>
      </c>
      <c r="E1568">
        <v>19</v>
      </c>
      <c r="F1568" t="s">
        <v>4696</v>
      </c>
      <c r="G1568" t="s">
        <v>842</v>
      </c>
      <c r="H1568" t="s">
        <v>856</v>
      </c>
      <c r="I1568" t="s">
        <v>844</v>
      </c>
      <c r="J1568">
        <f t="shared" ca="1" si="98"/>
        <v>27430</v>
      </c>
      <c r="K1568">
        <f t="shared" ca="1" si="99"/>
        <v>914</v>
      </c>
      <c r="N1568" t="str">
        <f t="shared" si="96"/>
        <v>Merton39Telecare (MASCOT)Assistive Technologies and EquipmentAssistive technologies including telecare</v>
      </c>
      <c r="O1568" t="s">
        <v>219</v>
      </c>
      <c r="P1568" t="s">
        <v>790</v>
      </c>
      <c r="Q1568">
        <v>39</v>
      </c>
      <c r="R1568" t="s">
        <v>4217</v>
      </c>
      <c r="S1568" t="s">
        <v>4697</v>
      </c>
      <c r="T1568" t="s">
        <v>800</v>
      </c>
      <c r="U1568" t="s">
        <v>850</v>
      </c>
      <c r="W1568">
        <v>1200</v>
      </c>
      <c r="X1568">
        <v>1400</v>
      </c>
      <c r="Y1568" t="s">
        <v>802</v>
      </c>
      <c r="Z1568" t="s">
        <v>792</v>
      </c>
      <c r="AB1568" t="s">
        <v>793</v>
      </c>
      <c r="AD1568" t="s">
        <v>794</v>
      </c>
      <c r="AE1568" t="s">
        <v>795</v>
      </c>
      <c r="AF1568" t="s">
        <v>845</v>
      </c>
      <c r="AG1568" t="s">
        <v>797</v>
      </c>
      <c r="AH1568">
        <v>50000</v>
      </c>
      <c r="AI1568">
        <v>50000</v>
      </c>
      <c r="AJ1568">
        <v>0.05</v>
      </c>
    </row>
    <row r="1569" spans="1:36" x14ac:dyDescent="0.3">
      <c r="A1569">
        <f>COUNTIF($D$2:D1569,D1569)</f>
        <v>7</v>
      </c>
      <c r="B1569" t="str">
        <f t="shared" si="97"/>
        <v>7North Yorkshire</v>
      </c>
      <c r="C1569" t="s">
        <v>4698</v>
      </c>
      <c r="D1569" t="s">
        <v>241</v>
      </c>
      <c r="E1569">
        <v>20</v>
      </c>
      <c r="F1569" t="s">
        <v>4699</v>
      </c>
      <c r="G1569" t="s">
        <v>811</v>
      </c>
      <c r="H1569" t="s">
        <v>830</v>
      </c>
      <c r="I1569" t="s">
        <v>813</v>
      </c>
      <c r="J1569">
        <f t="shared" ca="1" si="98"/>
        <v>38058</v>
      </c>
      <c r="K1569">
        <f t="shared" ca="1" si="99"/>
        <v>2</v>
      </c>
      <c r="N1569" t="str">
        <f t="shared" si="96"/>
        <v>Merton41Disabled Facility GrantDFG Related SchemesDiscretionary use of DFG</v>
      </c>
      <c r="O1569" t="s">
        <v>219</v>
      </c>
      <c r="P1569" t="s">
        <v>790</v>
      </c>
      <c r="Q1569">
        <v>41</v>
      </c>
      <c r="R1569" t="s">
        <v>3205</v>
      </c>
      <c r="S1569" t="s">
        <v>4700</v>
      </c>
      <c r="T1569" t="s">
        <v>834</v>
      </c>
      <c r="U1569" t="s">
        <v>1293</v>
      </c>
      <c r="W1569">
        <v>20</v>
      </c>
      <c r="X1569">
        <v>25</v>
      </c>
      <c r="Y1569" t="s">
        <v>836</v>
      </c>
      <c r="Z1569" t="s">
        <v>792</v>
      </c>
      <c r="AB1569" t="s">
        <v>793</v>
      </c>
      <c r="AD1569" t="s">
        <v>794</v>
      </c>
      <c r="AE1569" t="s">
        <v>795</v>
      </c>
      <c r="AF1569" t="s">
        <v>840</v>
      </c>
      <c r="AG1569" t="s">
        <v>797</v>
      </c>
      <c r="AH1569">
        <v>26605</v>
      </c>
      <c r="AI1569">
        <v>26605</v>
      </c>
      <c r="AJ1569">
        <v>1</v>
      </c>
    </row>
    <row r="1570" spans="1:36" x14ac:dyDescent="0.3">
      <c r="A1570">
        <f>COUNTIF($D$2:D1570,D1570)</f>
        <v>8</v>
      </c>
      <c r="B1570" t="str">
        <f t="shared" si="97"/>
        <v>8North Yorkshire</v>
      </c>
      <c r="C1570" t="s">
        <v>4701</v>
      </c>
      <c r="D1570" t="s">
        <v>241</v>
      </c>
      <c r="E1570">
        <v>22</v>
      </c>
      <c r="F1570" t="s">
        <v>4702</v>
      </c>
      <c r="G1570" t="s">
        <v>842</v>
      </c>
      <c r="H1570" t="s">
        <v>843</v>
      </c>
      <c r="I1570" t="s">
        <v>844</v>
      </c>
      <c r="J1570">
        <f t="shared" ca="1" si="98"/>
        <v>3742002</v>
      </c>
      <c r="K1570">
        <f t="shared" ca="1" si="99"/>
        <v>124733</v>
      </c>
      <c r="N1570" t="str">
        <f t="shared" si="96"/>
        <v>Merton42Disabled Facility GrantDFG Related SchemesAdaptations, including statutory DFG grants</v>
      </c>
      <c r="O1570" t="s">
        <v>219</v>
      </c>
      <c r="P1570" t="s">
        <v>790</v>
      </c>
      <c r="Q1570">
        <v>42</v>
      </c>
      <c r="R1570" t="s">
        <v>3205</v>
      </c>
      <c r="S1570" t="s">
        <v>840</v>
      </c>
      <c r="T1570" t="s">
        <v>834</v>
      </c>
      <c r="U1570" t="s">
        <v>835</v>
      </c>
      <c r="W1570">
        <v>120</v>
      </c>
      <c r="X1570">
        <v>120</v>
      </c>
      <c r="Y1570" t="s">
        <v>836</v>
      </c>
      <c r="Z1570" t="s">
        <v>792</v>
      </c>
      <c r="AB1570" t="s">
        <v>793</v>
      </c>
      <c r="AD1570" t="s">
        <v>794</v>
      </c>
      <c r="AE1570" t="s">
        <v>795</v>
      </c>
      <c r="AF1570" t="s">
        <v>840</v>
      </c>
      <c r="AG1570" t="s">
        <v>797</v>
      </c>
      <c r="AH1570">
        <v>1387219</v>
      </c>
      <c r="AI1570">
        <v>1387219</v>
      </c>
      <c r="AJ1570">
        <v>1</v>
      </c>
    </row>
    <row r="1571" spans="1:36" x14ac:dyDescent="0.3">
      <c r="A1571">
        <f>COUNTIF($D$2:D1571,D1571)</f>
        <v>9</v>
      </c>
      <c r="B1571" t="str">
        <f t="shared" si="97"/>
        <v>9North Yorkshire</v>
      </c>
      <c r="C1571" t="s">
        <v>4703</v>
      </c>
      <c r="D1571" t="s">
        <v>241</v>
      </c>
      <c r="E1571">
        <v>29</v>
      </c>
      <c r="F1571" t="s">
        <v>4704</v>
      </c>
      <c r="G1571" t="s">
        <v>811</v>
      </c>
      <c r="H1571" t="s">
        <v>812</v>
      </c>
      <c r="I1571" t="s">
        <v>813</v>
      </c>
      <c r="J1571">
        <f t="shared" ca="1" si="98"/>
        <v>224993</v>
      </c>
      <c r="K1571">
        <f t="shared" ca="1" si="99"/>
        <v>8</v>
      </c>
      <c r="N1571" t="str">
        <f t="shared" si="96"/>
        <v>Merton43Disabled Facility GrantDFG Related SchemesDiscretionary use of DFG</v>
      </c>
      <c r="O1571" t="s">
        <v>219</v>
      </c>
      <c r="P1571" t="s">
        <v>790</v>
      </c>
      <c r="Q1571">
        <v>43</v>
      </c>
      <c r="R1571" t="s">
        <v>3205</v>
      </c>
      <c r="S1571" t="s">
        <v>4705</v>
      </c>
      <c r="T1571" t="s">
        <v>834</v>
      </c>
      <c r="U1571" t="s">
        <v>1293</v>
      </c>
      <c r="W1571">
        <v>65</v>
      </c>
      <c r="X1571">
        <v>80</v>
      </c>
      <c r="Y1571" t="s">
        <v>836</v>
      </c>
      <c r="Z1571" t="s">
        <v>792</v>
      </c>
      <c r="AB1571" t="s">
        <v>793</v>
      </c>
      <c r="AD1571" t="s">
        <v>794</v>
      </c>
      <c r="AE1571" t="s">
        <v>795</v>
      </c>
      <c r="AF1571" t="s">
        <v>840</v>
      </c>
      <c r="AG1571" t="s">
        <v>797</v>
      </c>
      <c r="AH1571">
        <v>38400</v>
      </c>
      <c r="AI1571">
        <v>38400</v>
      </c>
      <c r="AJ1571">
        <v>1</v>
      </c>
    </row>
    <row r="1572" spans="1:36" x14ac:dyDescent="0.3">
      <c r="A1572">
        <f>COUNTIF($D$2:D1572,D1572)</f>
        <v>10</v>
      </c>
      <c r="B1572" t="str">
        <f t="shared" si="97"/>
        <v>10North Yorkshire</v>
      </c>
      <c r="C1572" t="s">
        <v>4706</v>
      </c>
      <c r="D1572" t="s">
        <v>241</v>
      </c>
      <c r="E1572">
        <v>31</v>
      </c>
      <c r="F1572" t="s">
        <v>4707</v>
      </c>
      <c r="G1572" t="s">
        <v>877</v>
      </c>
      <c r="H1572" t="s">
        <v>1259</v>
      </c>
      <c r="I1572" t="s">
        <v>879</v>
      </c>
      <c r="J1572">
        <f t="shared" ca="1" si="98"/>
        <v>318933</v>
      </c>
      <c r="K1572">
        <f t="shared" ca="1" si="99"/>
        <v>62</v>
      </c>
      <c r="N1572" t="str">
        <f t="shared" si="96"/>
        <v>Merton5Commnuity Equipment and AdaptionsAssistive Technologies and EquipmentCommunity based equipment</v>
      </c>
      <c r="O1572" t="s">
        <v>219</v>
      </c>
      <c r="P1572" t="s">
        <v>790</v>
      </c>
      <c r="Q1572">
        <v>5</v>
      </c>
      <c r="R1572" t="s">
        <v>4255</v>
      </c>
      <c r="S1572" t="s">
        <v>4667</v>
      </c>
      <c r="T1572" t="s">
        <v>800</v>
      </c>
      <c r="U1572" t="s">
        <v>903</v>
      </c>
      <c r="W1572">
        <v>650</v>
      </c>
      <c r="X1572">
        <v>650</v>
      </c>
      <c r="Y1572" t="s">
        <v>802</v>
      </c>
      <c r="Z1572" t="s">
        <v>792</v>
      </c>
      <c r="AB1572" t="s">
        <v>793</v>
      </c>
      <c r="AD1572" t="s">
        <v>794</v>
      </c>
      <c r="AE1572" t="s">
        <v>825</v>
      </c>
      <c r="AF1572" t="s">
        <v>796</v>
      </c>
      <c r="AG1572" t="s">
        <v>861</v>
      </c>
      <c r="AH1572">
        <v>110000</v>
      </c>
      <c r="AI1572">
        <v>173360</v>
      </c>
      <c r="AJ1572">
        <v>0.06</v>
      </c>
    </row>
    <row r="1573" spans="1:36" x14ac:dyDescent="0.3">
      <c r="A1573">
        <f>COUNTIF($D$2:D1573,D1573)</f>
        <v>11</v>
      </c>
      <c r="B1573" t="str">
        <f t="shared" si="97"/>
        <v>11North Yorkshire</v>
      </c>
      <c r="C1573" t="s">
        <v>4708</v>
      </c>
      <c r="D1573" t="s">
        <v>241</v>
      </c>
      <c r="E1573">
        <v>32</v>
      </c>
      <c r="F1573" t="s">
        <v>4709</v>
      </c>
      <c r="G1573" t="s">
        <v>800</v>
      </c>
      <c r="H1573" t="s">
        <v>903</v>
      </c>
      <c r="I1573" t="s">
        <v>802</v>
      </c>
      <c r="J1573">
        <f t="shared" ca="1" si="98"/>
        <v>1523862</v>
      </c>
      <c r="K1573">
        <f t="shared" ca="1" si="99"/>
        <v>2468</v>
      </c>
      <c r="N1573" t="str">
        <f t="shared" si="96"/>
        <v>Merton49Carer Liaison in HospitalCarers ServicesCarer advice and support related to Care Act duties</v>
      </c>
      <c r="O1573" t="s">
        <v>219</v>
      </c>
      <c r="P1573" t="s">
        <v>790</v>
      </c>
      <c r="Q1573">
        <v>49</v>
      </c>
      <c r="R1573" t="s">
        <v>4257</v>
      </c>
      <c r="S1573" t="s">
        <v>4710</v>
      </c>
      <c r="T1573" t="s">
        <v>811</v>
      </c>
      <c r="U1573" t="s">
        <v>895</v>
      </c>
      <c r="W1573">
        <v>375</v>
      </c>
      <c r="X1573">
        <v>375</v>
      </c>
      <c r="Y1573" t="s">
        <v>813</v>
      </c>
      <c r="Z1573" t="s">
        <v>792</v>
      </c>
      <c r="AB1573" t="s">
        <v>793</v>
      </c>
      <c r="AD1573" t="s">
        <v>794</v>
      </c>
      <c r="AE1573" t="s">
        <v>825</v>
      </c>
      <c r="AF1573" t="s">
        <v>860</v>
      </c>
      <c r="AG1573" t="s">
        <v>861</v>
      </c>
      <c r="AH1573">
        <v>167000</v>
      </c>
      <c r="AI1573">
        <v>277220</v>
      </c>
      <c r="AJ1573">
        <v>1</v>
      </c>
    </row>
    <row r="1574" spans="1:36" x14ac:dyDescent="0.3">
      <c r="A1574">
        <f>COUNTIF($D$2:D1574,D1574)</f>
        <v>12</v>
      </c>
      <c r="B1574" t="str">
        <f t="shared" si="97"/>
        <v>12North Yorkshire</v>
      </c>
      <c r="C1574" t="s">
        <v>4711</v>
      </c>
      <c r="D1574" t="s">
        <v>241</v>
      </c>
      <c r="E1574">
        <v>33</v>
      </c>
      <c r="F1574" t="s">
        <v>4712</v>
      </c>
      <c r="G1574" t="s">
        <v>800</v>
      </c>
      <c r="H1574" t="s">
        <v>903</v>
      </c>
      <c r="I1574" t="s">
        <v>802</v>
      </c>
      <c r="J1574">
        <f t="shared" ca="1" si="98"/>
        <v>2565930</v>
      </c>
      <c r="K1574">
        <f t="shared" ca="1" si="99"/>
        <v>26904</v>
      </c>
      <c r="N1574" t="str">
        <f t="shared" si="96"/>
        <v>Merton511:1 support in care homesResidential PlacementsNursing home</v>
      </c>
      <c r="O1574" t="s">
        <v>219</v>
      </c>
      <c r="P1574" t="s">
        <v>790</v>
      </c>
      <c r="Q1574">
        <v>51</v>
      </c>
      <c r="R1574" t="s">
        <v>4259</v>
      </c>
      <c r="S1574" t="s">
        <v>4710</v>
      </c>
      <c r="T1574" t="s">
        <v>806</v>
      </c>
      <c r="U1574" t="s">
        <v>917</v>
      </c>
      <c r="W1574">
        <v>18</v>
      </c>
      <c r="X1574">
        <v>18</v>
      </c>
      <c r="Y1574" t="s">
        <v>808</v>
      </c>
      <c r="Z1574" t="s">
        <v>823</v>
      </c>
      <c r="AB1574" t="s">
        <v>824</v>
      </c>
      <c r="AD1574" t="s">
        <v>794</v>
      </c>
      <c r="AE1574" t="s">
        <v>804</v>
      </c>
      <c r="AF1574" t="s">
        <v>860</v>
      </c>
      <c r="AG1574" t="s">
        <v>861</v>
      </c>
      <c r="AH1574">
        <v>25000</v>
      </c>
      <c r="AI1574">
        <v>41500</v>
      </c>
      <c r="AJ1574">
        <v>1</v>
      </c>
    </row>
    <row r="1575" spans="1:36" x14ac:dyDescent="0.3">
      <c r="A1575">
        <f>COUNTIF($D$2:D1575,D1575)</f>
        <v>13</v>
      </c>
      <c r="B1575" t="str">
        <f t="shared" si="97"/>
        <v>13North Yorkshire</v>
      </c>
      <c r="C1575" t="s">
        <v>4713</v>
      </c>
      <c r="D1575" t="s">
        <v>241</v>
      </c>
      <c r="E1575">
        <v>40</v>
      </c>
      <c r="F1575" t="s">
        <v>4714</v>
      </c>
      <c r="G1575" t="s">
        <v>842</v>
      </c>
      <c r="H1575" t="s">
        <v>843</v>
      </c>
      <c r="I1575" t="s">
        <v>844</v>
      </c>
      <c r="J1575">
        <f t="shared" ca="1" si="98"/>
        <v>12696635</v>
      </c>
      <c r="K1575">
        <f t="shared" ca="1" si="99"/>
        <v>423221</v>
      </c>
      <c r="N1575" t="str">
        <f t="shared" si="96"/>
        <v>Merton39Telecare (MASCOT)Assistive Technologies and EquipmentAssistive technologies including telecare</v>
      </c>
      <c r="O1575" t="s">
        <v>219</v>
      </c>
      <c r="P1575" t="s">
        <v>790</v>
      </c>
      <c r="Q1575">
        <v>39</v>
      </c>
      <c r="R1575" t="s">
        <v>4217</v>
      </c>
      <c r="S1575" t="s">
        <v>4715</v>
      </c>
      <c r="T1575" t="s">
        <v>800</v>
      </c>
      <c r="U1575" t="s">
        <v>850</v>
      </c>
      <c r="W1575">
        <v>1200</v>
      </c>
      <c r="X1575">
        <v>1400</v>
      </c>
      <c r="Y1575" t="s">
        <v>802</v>
      </c>
      <c r="Z1575" t="s">
        <v>792</v>
      </c>
      <c r="AB1575" t="s">
        <v>793</v>
      </c>
      <c r="AD1575" t="s">
        <v>794</v>
      </c>
      <c r="AE1575" t="s">
        <v>795</v>
      </c>
      <c r="AF1575" t="s">
        <v>864</v>
      </c>
      <c r="AG1575" t="s">
        <v>861</v>
      </c>
      <c r="AH1575">
        <v>141000</v>
      </c>
      <c r="AI1575">
        <v>173982</v>
      </c>
      <c r="AJ1575">
        <v>0.1</v>
      </c>
    </row>
    <row r="1576" spans="1:36" x14ac:dyDescent="0.3">
      <c r="A1576">
        <f>COUNTIF($D$2:D1576,D1576)</f>
        <v>14</v>
      </c>
      <c r="B1576" t="str">
        <f t="shared" si="97"/>
        <v>14North Yorkshire</v>
      </c>
      <c r="C1576" t="s">
        <v>4716</v>
      </c>
      <c r="D1576" t="s">
        <v>241</v>
      </c>
      <c r="E1576">
        <v>45</v>
      </c>
      <c r="F1576" t="s">
        <v>4717</v>
      </c>
      <c r="G1576" t="s">
        <v>877</v>
      </c>
      <c r="H1576" t="s">
        <v>968</v>
      </c>
      <c r="I1576" t="s">
        <v>879</v>
      </c>
      <c r="J1576">
        <f t="shared" ca="1" si="98"/>
        <v>400000</v>
      </c>
      <c r="K1576">
        <f t="shared" ca="1" si="99"/>
        <v>88</v>
      </c>
      <c r="N1576" t="str">
        <f t="shared" si="96"/>
        <v>Merton5Community Equipment and Adaptions (ICES)Assistive Technologies and EquipmentCommunity based equipment</v>
      </c>
      <c r="O1576" t="s">
        <v>219</v>
      </c>
      <c r="P1576" t="s">
        <v>790</v>
      </c>
      <c r="Q1576">
        <v>5</v>
      </c>
      <c r="R1576" t="s">
        <v>4222</v>
      </c>
      <c r="S1576" t="s">
        <v>4667</v>
      </c>
      <c r="T1576" t="s">
        <v>800</v>
      </c>
      <c r="U1576" t="s">
        <v>903</v>
      </c>
      <c r="W1576">
        <v>650</v>
      </c>
      <c r="X1576">
        <v>650</v>
      </c>
      <c r="Y1576" t="s">
        <v>802</v>
      </c>
      <c r="Z1576" t="s">
        <v>792</v>
      </c>
      <c r="AB1576" t="s">
        <v>793</v>
      </c>
      <c r="AD1576" t="s">
        <v>794</v>
      </c>
      <c r="AE1576" t="s">
        <v>795</v>
      </c>
      <c r="AF1576" t="s">
        <v>860</v>
      </c>
      <c r="AG1576" t="s">
        <v>861</v>
      </c>
      <c r="AH1576">
        <v>100000</v>
      </c>
      <c r="AI1576">
        <v>282065</v>
      </c>
      <c r="AJ1576">
        <v>0.05</v>
      </c>
    </row>
    <row r="1577" spans="1:36" x14ac:dyDescent="0.3">
      <c r="A1577">
        <f>COUNTIF($D$2:D1577,D1577)</f>
        <v>15</v>
      </c>
      <c r="B1577" t="str">
        <f t="shared" si="97"/>
        <v>15North Yorkshire</v>
      </c>
      <c r="C1577" t="s">
        <v>4718</v>
      </c>
      <c r="D1577" t="s">
        <v>241</v>
      </c>
      <c r="E1577">
        <v>46</v>
      </c>
      <c r="F1577" t="s">
        <v>4719</v>
      </c>
      <c r="G1577" t="s">
        <v>842</v>
      </c>
      <c r="H1577" t="s">
        <v>812</v>
      </c>
      <c r="I1577" t="s">
        <v>844</v>
      </c>
      <c r="J1577">
        <f t="shared" ca="1" si="98"/>
        <v>1000000</v>
      </c>
      <c r="K1577">
        <f t="shared" ca="1" si="99"/>
        <v>7444</v>
      </c>
      <c r="N1577" t="str">
        <f t="shared" si="96"/>
        <v>Middlesbrough1Recovery &amp; Reablement - Community ReablementAssistive Technologies and EquipmentCommunity based equipment</v>
      </c>
      <c r="O1577" t="s">
        <v>221</v>
      </c>
      <c r="P1577" t="s">
        <v>2195</v>
      </c>
      <c r="Q1577">
        <v>1</v>
      </c>
      <c r="R1577" t="s">
        <v>4262</v>
      </c>
      <c r="S1577" t="s">
        <v>1816</v>
      </c>
      <c r="T1577" t="s">
        <v>800</v>
      </c>
      <c r="U1577" t="s">
        <v>903</v>
      </c>
      <c r="W1577">
        <v>694</v>
      </c>
      <c r="X1577">
        <v>694</v>
      </c>
      <c r="Y1577" t="s">
        <v>802</v>
      </c>
      <c r="Z1577" t="s">
        <v>792</v>
      </c>
      <c r="AB1577" t="s">
        <v>824</v>
      </c>
      <c r="AD1577" t="s">
        <v>794</v>
      </c>
      <c r="AE1577" t="s">
        <v>795</v>
      </c>
      <c r="AF1577" t="s">
        <v>796</v>
      </c>
      <c r="AG1577" t="s">
        <v>797</v>
      </c>
      <c r="AH1577">
        <v>162400</v>
      </c>
      <c r="AI1577">
        <v>171600</v>
      </c>
      <c r="AJ1577">
        <v>0.03</v>
      </c>
    </row>
    <row r="1578" spans="1:36" x14ac:dyDescent="0.3">
      <c r="A1578">
        <f>COUNTIF($D$2:D1578,D1578)</f>
        <v>16</v>
      </c>
      <c r="B1578" t="str">
        <f t="shared" si="97"/>
        <v>16North Yorkshire</v>
      </c>
      <c r="C1578" t="s">
        <v>4720</v>
      </c>
      <c r="D1578" t="s">
        <v>241</v>
      </c>
      <c r="E1578">
        <v>47</v>
      </c>
      <c r="F1578" t="s">
        <v>4721</v>
      </c>
      <c r="G1578" t="s">
        <v>842</v>
      </c>
      <c r="H1578" t="s">
        <v>843</v>
      </c>
      <c r="I1578" t="s">
        <v>844</v>
      </c>
      <c r="J1578">
        <f t="shared" ca="1" si="98"/>
        <v>100000</v>
      </c>
      <c r="K1578">
        <f t="shared" ca="1" si="99"/>
        <v>470</v>
      </c>
      <c r="N1578" t="str">
        <f t="shared" si="96"/>
        <v>Middlesbrough2Recovery &amp; reablement - Residential ReablementBed based intermediate Care Services (Reablement, rehabilitation, wider short-term services supporting recovery)Bed-based intermediate care with rehabilitation accepting step up and step down users</v>
      </c>
      <c r="O1578" t="s">
        <v>221</v>
      </c>
      <c r="P1578" t="s">
        <v>2195</v>
      </c>
      <c r="Q1578">
        <v>2</v>
      </c>
      <c r="R1578" t="s">
        <v>4265</v>
      </c>
      <c r="S1578" t="s">
        <v>4722</v>
      </c>
      <c r="T1578" t="s">
        <v>877</v>
      </c>
      <c r="U1578" t="s">
        <v>1015</v>
      </c>
      <c r="W1578">
        <v>30</v>
      </c>
      <c r="X1578">
        <v>15</v>
      </c>
      <c r="Y1578" t="s">
        <v>879</v>
      </c>
      <c r="Z1578" t="s">
        <v>792</v>
      </c>
      <c r="AB1578" t="s">
        <v>824</v>
      </c>
      <c r="AD1578" t="s">
        <v>794</v>
      </c>
      <c r="AE1578" t="s">
        <v>804</v>
      </c>
      <c r="AF1578" t="s">
        <v>796</v>
      </c>
      <c r="AG1578" t="s">
        <v>797</v>
      </c>
      <c r="AH1578">
        <v>1157900</v>
      </c>
      <c r="AI1578">
        <v>636900</v>
      </c>
      <c r="AJ1578">
        <v>0.05</v>
      </c>
    </row>
    <row r="1579" spans="1:36" x14ac:dyDescent="0.3">
      <c r="A1579">
        <f>COUNTIF($D$2:D1579,D1579)</f>
        <v>17</v>
      </c>
      <c r="B1579" t="str">
        <f t="shared" si="97"/>
        <v>17North Yorkshire</v>
      </c>
      <c r="C1579" t="s">
        <v>4723</v>
      </c>
      <c r="D1579" t="s">
        <v>241</v>
      </c>
      <c r="E1579">
        <v>48</v>
      </c>
      <c r="F1579" t="s">
        <v>4724</v>
      </c>
      <c r="G1579" t="s">
        <v>800</v>
      </c>
      <c r="H1579" t="s">
        <v>903</v>
      </c>
      <c r="I1579" t="s">
        <v>802</v>
      </c>
      <c r="J1579">
        <f t="shared" ca="1" si="98"/>
        <v>109000</v>
      </c>
      <c r="K1579">
        <f t="shared" ca="1" si="99"/>
        <v>115</v>
      </c>
      <c r="N1579" t="str">
        <f t="shared" si="96"/>
        <v>Middlesbrough2Recovery &amp; reablement - Residential ReablementBed based intermediate Care Services (Reablement, rehabilitation, wider short-term services supporting recovery)Bed-based intermediate care with rehabilitation accepting step up and step down users</v>
      </c>
      <c r="O1579" t="s">
        <v>221</v>
      </c>
      <c r="P1579" t="s">
        <v>2195</v>
      </c>
      <c r="Q1579">
        <v>2</v>
      </c>
      <c r="R1579" t="s">
        <v>4265</v>
      </c>
      <c r="S1579" t="s">
        <v>4725</v>
      </c>
      <c r="T1579" t="s">
        <v>877</v>
      </c>
      <c r="U1579" t="s">
        <v>1015</v>
      </c>
      <c r="W1579">
        <v>30</v>
      </c>
      <c r="X1579">
        <v>24</v>
      </c>
      <c r="Y1579" t="s">
        <v>879</v>
      </c>
      <c r="Z1579" t="s">
        <v>792</v>
      </c>
      <c r="AB1579" t="s">
        <v>824</v>
      </c>
      <c r="AD1579" t="s">
        <v>794</v>
      </c>
      <c r="AE1579" t="s">
        <v>832</v>
      </c>
      <c r="AF1579" t="s">
        <v>796</v>
      </c>
      <c r="AG1579" t="s">
        <v>797</v>
      </c>
      <c r="AH1579">
        <v>100500</v>
      </c>
      <c r="AI1579">
        <v>104000</v>
      </c>
      <c r="AJ1579">
        <v>0.02</v>
      </c>
    </row>
    <row r="1580" spans="1:36" x14ac:dyDescent="0.3">
      <c r="A1580">
        <f>COUNTIF($D$2:D1580,D1580)</f>
        <v>18</v>
      </c>
      <c r="B1580" t="str">
        <f t="shared" si="97"/>
        <v>18North Yorkshire</v>
      </c>
      <c r="C1580" t="s">
        <v>4726</v>
      </c>
      <c r="D1580" t="s">
        <v>241</v>
      </c>
      <c r="E1580">
        <v>54</v>
      </c>
      <c r="F1580" t="s">
        <v>4727</v>
      </c>
      <c r="G1580" t="s">
        <v>842</v>
      </c>
      <c r="H1580" t="s">
        <v>856</v>
      </c>
      <c r="I1580" t="s">
        <v>844</v>
      </c>
      <c r="J1580">
        <f t="shared" ca="1" si="98"/>
        <v>152000</v>
      </c>
      <c r="K1580">
        <f t="shared" ca="1" si="99"/>
        <v>5067</v>
      </c>
      <c r="N1580" t="str">
        <f t="shared" si="96"/>
        <v>Middlesbrough3Recovery &amp; Reablement - Community ReablementHome-based intermediate care servicesReablement at home (to prevent admission to hospital or residential care)</v>
      </c>
      <c r="O1580" t="s">
        <v>221</v>
      </c>
      <c r="P1580" t="s">
        <v>2195</v>
      </c>
      <c r="Q1580">
        <v>3</v>
      </c>
      <c r="R1580" t="s">
        <v>4262</v>
      </c>
      <c r="S1580" t="s">
        <v>4728</v>
      </c>
      <c r="T1580" t="s">
        <v>787</v>
      </c>
      <c r="U1580" t="s">
        <v>886</v>
      </c>
      <c r="W1580">
        <v>18</v>
      </c>
      <c r="X1580">
        <v>18</v>
      </c>
      <c r="Y1580" t="s">
        <v>789</v>
      </c>
      <c r="Z1580" t="s">
        <v>792</v>
      </c>
      <c r="AB1580" t="s">
        <v>824</v>
      </c>
      <c r="AD1580" t="s">
        <v>794</v>
      </c>
      <c r="AE1580" t="s">
        <v>832</v>
      </c>
      <c r="AF1580" t="s">
        <v>796</v>
      </c>
      <c r="AG1580" t="s">
        <v>797</v>
      </c>
      <c r="AH1580">
        <v>960100</v>
      </c>
      <c r="AI1580">
        <v>984100</v>
      </c>
      <c r="AJ1580">
        <v>0.04</v>
      </c>
    </row>
    <row r="1581" spans="1:36" x14ac:dyDescent="0.3">
      <c r="A1581">
        <f>COUNTIF($D$2:D1581,D1581)</f>
        <v>19</v>
      </c>
      <c r="B1581" t="str">
        <f t="shared" si="97"/>
        <v>19North Yorkshire</v>
      </c>
      <c r="C1581" t="s">
        <v>4729</v>
      </c>
      <c r="D1581" t="s">
        <v>241</v>
      </c>
      <c r="E1581">
        <v>55</v>
      </c>
      <c r="F1581" t="s">
        <v>4730</v>
      </c>
      <c r="G1581" t="s">
        <v>877</v>
      </c>
      <c r="H1581" t="s">
        <v>1259</v>
      </c>
      <c r="I1581" t="s">
        <v>879</v>
      </c>
      <c r="J1581">
        <f t="shared" ca="1" si="98"/>
        <v>229000</v>
      </c>
      <c r="K1581">
        <f t="shared" ca="1" si="99"/>
        <v>26</v>
      </c>
      <c r="N1581" t="str">
        <f t="shared" si="96"/>
        <v>Middlesbrough4Recovery &amp; reablement - Residential ReablmentBed based intermediate Care Services (Reablement, rehabilitation, wider short-term services supporting recovery)Bed-based intermediate care with reablement (to support admissions avoidance)</v>
      </c>
      <c r="O1581" t="s">
        <v>221</v>
      </c>
      <c r="P1581" t="s">
        <v>2195</v>
      </c>
      <c r="Q1581">
        <v>4</v>
      </c>
      <c r="R1581" t="s">
        <v>4270</v>
      </c>
      <c r="S1581" t="s">
        <v>4731</v>
      </c>
      <c r="T1581" t="s">
        <v>877</v>
      </c>
      <c r="U1581" t="s">
        <v>995</v>
      </c>
      <c r="W1581">
        <v>2</v>
      </c>
      <c r="X1581">
        <v>2</v>
      </c>
      <c r="Y1581" t="s">
        <v>879</v>
      </c>
      <c r="Z1581" t="s">
        <v>792</v>
      </c>
      <c r="AB1581" t="s">
        <v>793</v>
      </c>
      <c r="AD1581" t="s">
        <v>794</v>
      </c>
      <c r="AE1581" t="s">
        <v>804</v>
      </c>
      <c r="AF1581" t="s">
        <v>796</v>
      </c>
      <c r="AG1581" t="s">
        <v>797</v>
      </c>
      <c r="AH1581">
        <v>77200</v>
      </c>
      <c r="AI1581">
        <v>84900</v>
      </c>
      <c r="AJ1581">
        <v>0.01</v>
      </c>
    </row>
    <row r="1582" spans="1:36" x14ac:dyDescent="0.3">
      <c r="A1582">
        <f>COUNTIF($D$2:D1582,D1582)</f>
        <v>20</v>
      </c>
      <c r="B1582" t="str">
        <f t="shared" si="97"/>
        <v>20North Yorkshire</v>
      </c>
      <c r="C1582" t="s">
        <v>4732</v>
      </c>
      <c r="D1582" t="s">
        <v>241</v>
      </c>
      <c r="E1582">
        <v>57</v>
      </c>
      <c r="F1582" t="s">
        <v>4733</v>
      </c>
      <c r="G1582" t="s">
        <v>877</v>
      </c>
      <c r="H1582" t="s">
        <v>968</v>
      </c>
      <c r="I1582" t="s">
        <v>879</v>
      </c>
      <c r="J1582">
        <f t="shared" ca="1" si="98"/>
        <v>189000</v>
      </c>
      <c r="K1582">
        <f t="shared" ca="1" si="99"/>
        <v>26</v>
      </c>
      <c r="N1582" t="str">
        <f t="shared" si="96"/>
        <v>Middlesbrough6CarersCarers ServicesCarer advice and support related to Care Act duties</v>
      </c>
      <c r="O1582" t="s">
        <v>221</v>
      </c>
      <c r="P1582" t="s">
        <v>2195</v>
      </c>
      <c r="Q1582">
        <v>6</v>
      </c>
      <c r="R1582" t="s">
        <v>1250</v>
      </c>
      <c r="S1582" t="s">
        <v>4734</v>
      </c>
      <c r="T1582" t="s">
        <v>811</v>
      </c>
      <c r="U1582" t="s">
        <v>895</v>
      </c>
      <c r="W1582">
        <v>1800</v>
      </c>
      <c r="X1582">
        <v>1800</v>
      </c>
      <c r="Y1582" t="s">
        <v>813</v>
      </c>
      <c r="Z1582" t="s">
        <v>792</v>
      </c>
      <c r="AB1582" t="s">
        <v>793</v>
      </c>
      <c r="AD1582" t="s">
        <v>794</v>
      </c>
      <c r="AE1582" t="s">
        <v>795</v>
      </c>
      <c r="AF1582" t="s">
        <v>796</v>
      </c>
      <c r="AG1582" t="s">
        <v>797</v>
      </c>
      <c r="AH1582">
        <v>49600</v>
      </c>
      <c r="AI1582">
        <v>51100</v>
      </c>
      <c r="AJ1582">
        <v>0.01</v>
      </c>
    </row>
    <row r="1583" spans="1:36" x14ac:dyDescent="0.3">
      <c r="A1583">
        <f>COUNTIF($D$2:D1583,D1583)</f>
        <v>21</v>
      </c>
      <c r="B1583" t="str">
        <f t="shared" si="97"/>
        <v>21North Yorkshire</v>
      </c>
      <c r="C1583" t="s">
        <v>4735</v>
      </c>
      <c r="D1583" t="s">
        <v>241</v>
      </c>
      <c r="E1583">
        <v>58</v>
      </c>
      <c r="F1583" t="s">
        <v>4736</v>
      </c>
      <c r="G1583" t="s">
        <v>842</v>
      </c>
      <c r="H1583" t="s">
        <v>843</v>
      </c>
      <c r="I1583" t="s">
        <v>844</v>
      </c>
      <c r="J1583">
        <f t="shared" ca="1" si="98"/>
        <v>177444</v>
      </c>
      <c r="K1583">
        <f t="shared" ca="1" si="99"/>
        <v>5915</v>
      </c>
      <c r="N1583" t="str">
        <f t="shared" si="96"/>
        <v>Middlesbrough7CarersCarers ServicesCarer advice and support related to Care Act duties</v>
      </c>
      <c r="O1583" t="s">
        <v>221</v>
      </c>
      <c r="P1583" t="s">
        <v>2195</v>
      </c>
      <c r="Q1583">
        <v>7</v>
      </c>
      <c r="R1583" t="s">
        <v>1250</v>
      </c>
      <c r="S1583" t="s">
        <v>4737</v>
      </c>
      <c r="T1583" t="s">
        <v>811</v>
      </c>
      <c r="U1583" t="s">
        <v>895</v>
      </c>
      <c r="W1583">
        <v>1800</v>
      </c>
      <c r="X1583">
        <v>1800</v>
      </c>
      <c r="Y1583" t="s">
        <v>813</v>
      </c>
      <c r="Z1583" t="s">
        <v>792</v>
      </c>
      <c r="AB1583" t="s">
        <v>793</v>
      </c>
      <c r="AD1583" t="s">
        <v>794</v>
      </c>
      <c r="AE1583" t="s">
        <v>825</v>
      </c>
      <c r="AF1583" t="s">
        <v>796</v>
      </c>
      <c r="AG1583" t="s">
        <v>797</v>
      </c>
      <c r="AH1583">
        <v>183200</v>
      </c>
      <c r="AI1583">
        <v>208400</v>
      </c>
      <c r="AJ1583">
        <v>0.02</v>
      </c>
    </row>
    <row r="1584" spans="1:36" x14ac:dyDescent="0.3">
      <c r="A1584">
        <f>COUNTIF($D$2:D1584,D1584)</f>
        <v>22</v>
      </c>
      <c r="B1584" t="str">
        <f t="shared" si="97"/>
        <v>22North Yorkshire</v>
      </c>
      <c r="C1584" t="s">
        <v>4738</v>
      </c>
      <c r="D1584" t="s">
        <v>241</v>
      </c>
      <c r="E1584">
        <v>59</v>
      </c>
      <c r="F1584" t="s">
        <v>4739</v>
      </c>
      <c r="G1584" t="s">
        <v>842</v>
      </c>
      <c r="H1584" t="s">
        <v>843</v>
      </c>
      <c r="I1584" t="s">
        <v>844</v>
      </c>
      <c r="J1584">
        <f t="shared" ca="1" si="98"/>
        <v>298359</v>
      </c>
      <c r="K1584">
        <f t="shared" ca="1" si="99"/>
        <v>9945</v>
      </c>
      <c r="N1584" t="str">
        <f t="shared" si="96"/>
        <v>Middlesbrough8CarersCarers ServicesCarer advice and support related to Care Act duties</v>
      </c>
      <c r="O1584" t="s">
        <v>221</v>
      </c>
      <c r="P1584" t="s">
        <v>2195</v>
      </c>
      <c r="Q1584">
        <v>8</v>
      </c>
      <c r="R1584" t="s">
        <v>1250</v>
      </c>
      <c r="S1584" t="s">
        <v>4740</v>
      </c>
      <c r="T1584" t="s">
        <v>811</v>
      </c>
      <c r="U1584" t="s">
        <v>895</v>
      </c>
      <c r="W1584">
        <v>350</v>
      </c>
      <c r="X1584">
        <v>350</v>
      </c>
      <c r="Y1584" t="s">
        <v>813</v>
      </c>
      <c r="Z1584" t="s">
        <v>792</v>
      </c>
      <c r="AB1584" t="s">
        <v>793</v>
      </c>
      <c r="AD1584" t="s">
        <v>794</v>
      </c>
      <c r="AE1584" t="s">
        <v>825</v>
      </c>
      <c r="AF1584" t="s">
        <v>796</v>
      </c>
      <c r="AG1584" t="s">
        <v>797</v>
      </c>
      <c r="AH1584">
        <v>112500</v>
      </c>
      <c r="AI1584">
        <v>112500</v>
      </c>
      <c r="AJ1584">
        <v>0.01</v>
      </c>
    </row>
    <row r="1585" spans="1:36" x14ac:dyDescent="0.3">
      <c r="A1585">
        <f>COUNTIF($D$2:D1585,D1585)</f>
        <v>23</v>
      </c>
      <c r="B1585" t="str">
        <f t="shared" si="97"/>
        <v>23North Yorkshire</v>
      </c>
      <c r="C1585" t="s">
        <v>4741</v>
      </c>
      <c r="D1585" t="s">
        <v>241</v>
      </c>
      <c r="E1585">
        <v>60</v>
      </c>
      <c r="F1585" t="s">
        <v>4742</v>
      </c>
      <c r="G1585" t="s">
        <v>800</v>
      </c>
      <c r="H1585" t="s">
        <v>903</v>
      </c>
      <c r="I1585" t="s">
        <v>802</v>
      </c>
      <c r="J1585">
        <f t="shared" ca="1" si="98"/>
        <v>290570</v>
      </c>
      <c r="K1585">
        <f t="shared" ca="1" si="99"/>
        <v>305</v>
      </c>
      <c r="N1585" t="str">
        <f t="shared" si="96"/>
        <v>Middlesbrough9CarersCarers ServicesCarer advice and support related to Care Act duties</v>
      </c>
      <c r="O1585" t="s">
        <v>221</v>
      </c>
      <c r="P1585" t="s">
        <v>2195</v>
      </c>
      <c r="Q1585">
        <v>9</v>
      </c>
      <c r="R1585" t="s">
        <v>1250</v>
      </c>
      <c r="S1585" t="s">
        <v>4743</v>
      </c>
      <c r="T1585" t="s">
        <v>811</v>
      </c>
      <c r="U1585" t="s">
        <v>895</v>
      </c>
      <c r="W1585">
        <v>1800</v>
      </c>
      <c r="X1585">
        <v>1800</v>
      </c>
      <c r="Y1585" t="s">
        <v>813</v>
      </c>
      <c r="Z1585" t="s">
        <v>792</v>
      </c>
      <c r="AB1585" t="s">
        <v>793</v>
      </c>
      <c r="AD1585" t="s">
        <v>794</v>
      </c>
      <c r="AE1585" t="s">
        <v>825</v>
      </c>
      <c r="AF1585" t="s">
        <v>796</v>
      </c>
      <c r="AG1585" t="s">
        <v>797</v>
      </c>
      <c r="AH1585">
        <v>149700</v>
      </c>
      <c r="AI1585">
        <v>149700</v>
      </c>
      <c r="AJ1585">
        <v>0.01</v>
      </c>
    </row>
    <row r="1586" spans="1:36" x14ac:dyDescent="0.3">
      <c r="A1586">
        <f>COUNTIF($D$2:D1586,D1586)</f>
        <v>24</v>
      </c>
      <c r="B1586" t="str">
        <f t="shared" si="97"/>
        <v>24North Yorkshire</v>
      </c>
      <c r="C1586" t="s">
        <v>4744</v>
      </c>
      <c r="D1586" t="s">
        <v>241</v>
      </c>
      <c r="E1586">
        <v>63</v>
      </c>
      <c r="F1586" t="s">
        <v>4745</v>
      </c>
      <c r="G1586" t="s">
        <v>877</v>
      </c>
      <c r="H1586" t="s">
        <v>878</v>
      </c>
      <c r="I1586" t="s">
        <v>879</v>
      </c>
      <c r="J1586">
        <f t="shared" ca="1" si="98"/>
        <v>406861</v>
      </c>
      <c r="K1586">
        <f t="shared" ca="1" si="99"/>
        <v>56</v>
      </c>
      <c r="N1586" t="str">
        <f t="shared" si="96"/>
        <v>Middlesbrough10CarersCarers ServicesRespite services</v>
      </c>
      <c r="O1586" t="s">
        <v>221</v>
      </c>
      <c r="P1586" t="s">
        <v>2195</v>
      </c>
      <c r="Q1586">
        <v>10</v>
      </c>
      <c r="R1586" t="s">
        <v>1250</v>
      </c>
      <c r="S1586" t="s">
        <v>4746</v>
      </c>
      <c r="T1586" t="s">
        <v>811</v>
      </c>
      <c r="U1586" t="s">
        <v>830</v>
      </c>
      <c r="W1586">
        <v>103</v>
      </c>
      <c r="X1586">
        <v>103</v>
      </c>
      <c r="Y1586" t="s">
        <v>813</v>
      </c>
      <c r="Z1586" t="s">
        <v>792</v>
      </c>
      <c r="AB1586" t="s">
        <v>793</v>
      </c>
      <c r="AD1586" t="s">
        <v>794</v>
      </c>
      <c r="AE1586" t="s">
        <v>804</v>
      </c>
      <c r="AF1586" t="s">
        <v>796</v>
      </c>
      <c r="AG1586" t="s">
        <v>797</v>
      </c>
      <c r="AH1586">
        <v>194200</v>
      </c>
      <c r="AI1586">
        <v>198700</v>
      </c>
      <c r="AJ1586">
        <v>0.02</v>
      </c>
    </row>
    <row r="1587" spans="1:36" x14ac:dyDescent="0.3">
      <c r="A1587">
        <f>COUNTIF($D$2:D1587,D1587)</f>
        <v>25</v>
      </c>
      <c r="B1587" t="str">
        <f t="shared" si="97"/>
        <v>25North Yorkshire</v>
      </c>
      <c r="C1587" t="s">
        <v>4747</v>
      </c>
      <c r="D1587" t="s">
        <v>241</v>
      </c>
      <c r="E1587">
        <v>64</v>
      </c>
      <c r="F1587" t="s">
        <v>4748</v>
      </c>
      <c r="G1587" t="s">
        <v>811</v>
      </c>
      <c r="H1587" t="s">
        <v>812</v>
      </c>
      <c r="I1587" t="s">
        <v>813</v>
      </c>
      <c r="J1587">
        <f t="shared" ca="1" si="98"/>
        <v>48558</v>
      </c>
      <c r="K1587">
        <f t="shared" ca="1" si="99"/>
        <v>2</v>
      </c>
      <c r="N1587" t="str">
        <f t="shared" si="96"/>
        <v>Middlesbrough11CarersCarers ServicesCarer advice and support related to Care Act duties</v>
      </c>
      <c r="O1587" t="s">
        <v>221</v>
      </c>
      <c r="P1587" t="s">
        <v>2195</v>
      </c>
      <c r="Q1587">
        <v>11</v>
      </c>
      <c r="R1587" t="s">
        <v>1250</v>
      </c>
      <c r="S1587" t="s">
        <v>4737</v>
      </c>
      <c r="T1587" t="s">
        <v>811</v>
      </c>
      <c r="U1587" t="s">
        <v>895</v>
      </c>
      <c r="W1587">
        <v>1800</v>
      </c>
      <c r="X1587">
        <v>1800</v>
      </c>
      <c r="Y1587" t="s">
        <v>813</v>
      </c>
      <c r="Z1587" t="s">
        <v>792</v>
      </c>
      <c r="AB1587" t="s">
        <v>793</v>
      </c>
      <c r="AD1587" t="s">
        <v>794</v>
      </c>
      <c r="AE1587" t="s">
        <v>825</v>
      </c>
      <c r="AF1587" t="s">
        <v>1029</v>
      </c>
      <c r="AG1587" t="s">
        <v>797</v>
      </c>
      <c r="AH1587">
        <v>173000</v>
      </c>
      <c r="AI1587">
        <v>173000</v>
      </c>
      <c r="AJ1587">
        <v>0.02</v>
      </c>
    </row>
    <row r="1588" spans="1:36" x14ac:dyDescent="0.3">
      <c r="A1588">
        <f>COUNTIF($D$2:D1588,D1588)</f>
        <v>26</v>
      </c>
      <c r="B1588" t="str">
        <f t="shared" si="97"/>
        <v>26North Yorkshire</v>
      </c>
      <c r="C1588" t="s">
        <v>4749</v>
      </c>
      <c r="D1588" t="s">
        <v>241</v>
      </c>
      <c r="E1588">
        <v>65</v>
      </c>
      <c r="F1588" t="s">
        <v>4748</v>
      </c>
      <c r="G1588" t="s">
        <v>811</v>
      </c>
      <c r="H1588" t="s">
        <v>812</v>
      </c>
      <c r="I1588" t="s">
        <v>813</v>
      </c>
      <c r="J1588">
        <f t="shared" ca="1" si="98"/>
        <v>20618</v>
      </c>
      <c r="K1588">
        <f t="shared" ca="1" si="99"/>
        <v>2</v>
      </c>
      <c r="N1588" t="str">
        <f t="shared" si="96"/>
        <v>Middlesbrough12CarersCarers ServicesRespite services</v>
      </c>
      <c r="O1588" t="s">
        <v>221</v>
      </c>
      <c r="P1588" t="s">
        <v>2195</v>
      </c>
      <c r="Q1588">
        <v>12</v>
      </c>
      <c r="R1588" t="s">
        <v>1250</v>
      </c>
      <c r="S1588" t="s">
        <v>4750</v>
      </c>
      <c r="T1588" t="s">
        <v>811</v>
      </c>
      <c r="U1588" t="s">
        <v>830</v>
      </c>
      <c r="W1588">
        <v>192</v>
      </c>
      <c r="X1588">
        <v>192</v>
      </c>
      <c r="Y1588" t="s">
        <v>813</v>
      </c>
      <c r="Z1588" t="s">
        <v>792</v>
      </c>
      <c r="AB1588" t="s">
        <v>793</v>
      </c>
      <c r="AD1588" t="s">
        <v>794</v>
      </c>
      <c r="AE1588" t="s">
        <v>804</v>
      </c>
      <c r="AF1588" t="s">
        <v>1029</v>
      </c>
      <c r="AG1588" t="s">
        <v>797</v>
      </c>
      <c r="AH1588">
        <v>127000</v>
      </c>
      <c r="AI1588">
        <v>127000</v>
      </c>
      <c r="AJ1588">
        <v>0.01</v>
      </c>
    </row>
    <row r="1589" spans="1:36" x14ac:dyDescent="0.3">
      <c r="A1589">
        <f>COUNTIF($D$2:D1589,D1589)</f>
        <v>27</v>
      </c>
      <c r="B1589" t="str">
        <f t="shared" si="97"/>
        <v>27North Yorkshire</v>
      </c>
      <c r="C1589" t="s">
        <v>4751</v>
      </c>
      <c r="D1589" t="s">
        <v>241</v>
      </c>
      <c r="E1589">
        <v>66</v>
      </c>
      <c r="F1589" t="s">
        <v>4752</v>
      </c>
      <c r="G1589" t="s">
        <v>877</v>
      </c>
      <c r="H1589" t="s">
        <v>878</v>
      </c>
      <c r="I1589" t="s">
        <v>879</v>
      </c>
      <c r="J1589">
        <f t="shared" ca="1" si="98"/>
        <v>113302</v>
      </c>
      <c r="K1589">
        <f t="shared" ca="1" si="99"/>
        <v>15</v>
      </c>
      <c r="N1589" t="str">
        <f t="shared" si="96"/>
        <v>Middlesbrough19Overnight Planned CareHome Care or Domiciliary CareDomiciliary care packages</v>
      </c>
      <c r="O1589" t="s">
        <v>221</v>
      </c>
      <c r="P1589" t="s">
        <v>2195</v>
      </c>
      <c r="Q1589">
        <v>19</v>
      </c>
      <c r="R1589" t="s">
        <v>4287</v>
      </c>
      <c r="S1589" t="s">
        <v>4753</v>
      </c>
      <c r="T1589" t="s">
        <v>842</v>
      </c>
      <c r="U1589" t="s">
        <v>843</v>
      </c>
      <c r="W1589">
        <v>189</v>
      </c>
      <c r="X1589">
        <v>189</v>
      </c>
      <c r="Y1589" t="s">
        <v>844</v>
      </c>
      <c r="Z1589" t="s">
        <v>792</v>
      </c>
      <c r="AB1589" t="s">
        <v>793</v>
      </c>
      <c r="AD1589" t="s">
        <v>794</v>
      </c>
      <c r="AE1589" t="s">
        <v>804</v>
      </c>
      <c r="AF1589" t="s">
        <v>796</v>
      </c>
      <c r="AG1589" t="s">
        <v>797</v>
      </c>
      <c r="AH1589">
        <v>456100</v>
      </c>
      <c r="AI1589">
        <v>499500</v>
      </c>
      <c r="AJ1589">
        <v>0.04</v>
      </c>
    </row>
    <row r="1590" spans="1:36" x14ac:dyDescent="0.3">
      <c r="A1590">
        <f>COUNTIF($D$2:D1590,D1590)</f>
        <v>28</v>
      </c>
      <c r="B1590" t="str">
        <f t="shared" si="97"/>
        <v>28North Yorkshire</v>
      </c>
      <c r="C1590" t="s">
        <v>4754</v>
      </c>
      <c r="D1590" t="s">
        <v>241</v>
      </c>
      <c r="E1590">
        <v>71</v>
      </c>
      <c r="F1590" t="s">
        <v>4755</v>
      </c>
      <c r="G1590" t="s">
        <v>842</v>
      </c>
      <c r="H1590" t="s">
        <v>843</v>
      </c>
      <c r="I1590" t="s">
        <v>844</v>
      </c>
      <c r="J1590">
        <f t="shared" ca="1" si="98"/>
        <v>1479618</v>
      </c>
      <c r="K1590">
        <f t="shared" ca="1" si="99"/>
        <v>49320</v>
      </c>
      <c r="N1590" t="str">
        <f t="shared" si="96"/>
        <v>Middlesbrough48IBCF Residential placementsResidential PlacementsCare home</v>
      </c>
      <c r="O1590" t="s">
        <v>221</v>
      </c>
      <c r="P1590" t="s">
        <v>2195</v>
      </c>
      <c r="Q1590">
        <v>48</v>
      </c>
      <c r="R1590" t="s">
        <v>4290</v>
      </c>
      <c r="S1590" t="s">
        <v>4290</v>
      </c>
      <c r="T1590" t="s">
        <v>806</v>
      </c>
      <c r="U1590" t="s">
        <v>807</v>
      </c>
      <c r="W1590">
        <v>85</v>
      </c>
      <c r="X1590">
        <v>77</v>
      </c>
      <c r="Y1590" t="s">
        <v>808</v>
      </c>
      <c r="Z1590" t="s">
        <v>792</v>
      </c>
      <c r="AB1590" t="s">
        <v>793</v>
      </c>
      <c r="AD1590" t="s">
        <v>794</v>
      </c>
      <c r="AE1590" t="s">
        <v>804</v>
      </c>
      <c r="AF1590" t="s">
        <v>845</v>
      </c>
      <c r="AG1590" t="s">
        <v>797</v>
      </c>
      <c r="AH1590">
        <v>3276762</v>
      </c>
      <c r="AI1590">
        <v>3276762</v>
      </c>
      <c r="AJ1590">
        <v>0.03</v>
      </c>
    </row>
    <row r="1591" spans="1:36" x14ac:dyDescent="0.3">
      <c r="A1591">
        <f>COUNTIF($D$2:D1591,D1591)</f>
        <v>29</v>
      </c>
      <c r="B1591" t="str">
        <f t="shared" si="97"/>
        <v>29North Yorkshire</v>
      </c>
      <c r="C1591" t="s">
        <v>4756</v>
      </c>
      <c r="D1591" t="s">
        <v>241</v>
      </c>
      <c r="E1591">
        <v>72</v>
      </c>
      <c r="F1591" t="s">
        <v>4757</v>
      </c>
      <c r="G1591" t="s">
        <v>800</v>
      </c>
      <c r="H1591" t="s">
        <v>903</v>
      </c>
      <c r="I1591" t="s">
        <v>802</v>
      </c>
      <c r="J1591">
        <f t="shared" ca="1" si="98"/>
        <v>22968</v>
      </c>
      <c r="K1591">
        <f t="shared" ca="1" si="99"/>
        <v>24</v>
      </c>
      <c r="N1591" t="str">
        <f t="shared" si="96"/>
        <v>Middlesbrough48IBCF Home Care / Domiciliary CareHome Care or Domiciliary CareDomiciliary care packages</v>
      </c>
      <c r="O1591" t="s">
        <v>221</v>
      </c>
      <c r="P1591" t="s">
        <v>2195</v>
      </c>
      <c r="Q1591">
        <v>48</v>
      </c>
      <c r="R1591" t="s">
        <v>4292</v>
      </c>
      <c r="S1591" t="s">
        <v>4292</v>
      </c>
      <c r="T1591" t="s">
        <v>842</v>
      </c>
      <c r="U1591" t="s">
        <v>843</v>
      </c>
      <c r="W1591">
        <v>3874</v>
      </c>
      <c r="X1591">
        <v>3522</v>
      </c>
      <c r="Y1591" t="s">
        <v>844</v>
      </c>
      <c r="Z1591" t="s">
        <v>792</v>
      </c>
      <c r="AB1591" t="s">
        <v>793</v>
      </c>
      <c r="AD1591" t="s">
        <v>794</v>
      </c>
      <c r="AE1591" t="s">
        <v>804</v>
      </c>
      <c r="AF1591" t="s">
        <v>845</v>
      </c>
      <c r="AG1591" t="s">
        <v>797</v>
      </c>
      <c r="AH1591">
        <v>4044157</v>
      </c>
      <c r="AI1591">
        <v>4044157</v>
      </c>
      <c r="AJ1591">
        <v>0.1</v>
      </c>
    </row>
    <row r="1592" spans="1:36" x14ac:dyDescent="0.3">
      <c r="A1592">
        <f>COUNTIF($D$2:D1592,D1592)</f>
        <v>30</v>
      </c>
      <c r="B1592" t="str">
        <f t="shared" si="97"/>
        <v>30North Yorkshire</v>
      </c>
      <c r="C1592" t="s">
        <v>4758</v>
      </c>
      <c r="D1592" t="s">
        <v>241</v>
      </c>
      <c r="E1592">
        <v>73</v>
      </c>
      <c r="F1592" t="s">
        <v>4759</v>
      </c>
      <c r="G1592" t="s">
        <v>787</v>
      </c>
      <c r="H1592" t="s">
        <v>788</v>
      </c>
      <c r="I1592" t="s">
        <v>789</v>
      </c>
      <c r="J1592">
        <f t="shared" ca="1" si="98"/>
        <v>124000</v>
      </c>
      <c r="K1592">
        <f t="shared" ca="1" si="99"/>
        <v>4</v>
      </c>
      <c r="N1592" t="str">
        <f t="shared" si="96"/>
        <v>Middlesbrough48IBCF Additional CSDPa equipmentAssistive Technologies and EquipmentCommunity based equipment</v>
      </c>
      <c r="O1592" t="s">
        <v>221</v>
      </c>
      <c r="P1592" t="s">
        <v>2195</v>
      </c>
      <c r="Q1592">
        <v>48</v>
      </c>
      <c r="R1592" t="s">
        <v>4295</v>
      </c>
      <c r="S1592" t="s">
        <v>4295</v>
      </c>
      <c r="T1592" t="s">
        <v>800</v>
      </c>
      <c r="U1592" t="s">
        <v>903</v>
      </c>
      <c r="W1592">
        <v>62</v>
      </c>
      <c r="X1592">
        <v>62</v>
      </c>
      <c r="Y1592" t="s">
        <v>802</v>
      </c>
      <c r="Z1592" t="s">
        <v>792</v>
      </c>
      <c r="AB1592" t="s">
        <v>793</v>
      </c>
      <c r="AD1592" t="s">
        <v>794</v>
      </c>
      <c r="AE1592" t="s">
        <v>795</v>
      </c>
      <c r="AF1592" t="s">
        <v>845</v>
      </c>
      <c r="AG1592" t="s">
        <v>797</v>
      </c>
      <c r="AH1592">
        <v>14478</v>
      </c>
      <c r="AI1592">
        <v>14478</v>
      </c>
      <c r="AJ1592">
        <v>0.01</v>
      </c>
    </row>
    <row r="1593" spans="1:36" x14ac:dyDescent="0.3">
      <c r="A1593">
        <f>COUNTIF($D$2:D1593,D1593)</f>
        <v>31</v>
      </c>
      <c r="B1593" t="str">
        <f t="shared" si="97"/>
        <v>31North Yorkshire</v>
      </c>
      <c r="C1593" t="s">
        <v>4760</v>
      </c>
      <c r="D1593" t="s">
        <v>241</v>
      </c>
      <c r="E1593">
        <v>74</v>
      </c>
      <c r="F1593" t="s">
        <v>4761</v>
      </c>
      <c r="G1593" t="s">
        <v>787</v>
      </c>
      <c r="H1593" t="s">
        <v>788</v>
      </c>
      <c r="I1593" t="s">
        <v>789</v>
      </c>
      <c r="J1593">
        <f t="shared" ca="1" si="98"/>
        <v>45496</v>
      </c>
      <c r="K1593">
        <f t="shared" ca="1" si="99"/>
        <v>2</v>
      </c>
      <c r="N1593" t="str">
        <f t="shared" si="96"/>
        <v>Middlesbrough49Social Care TransferHome Care or Domiciliary CareDomiciliary care packages</v>
      </c>
      <c r="O1593" t="s">
        <v>221</v>
      </c>
      <c r="P1593" t="s">
        <v>2195</v>
      </c>
      <c r="Q1593">
        <v>49</v>
      </c>
      <c r="R1593" t="s">
        <v>4298</v>
      </c>
      <c r="S1593" t="s">
        <v>4762</v>
      </c>
      <c r="T1593" t="s">
        <v>842</v>
      </c>
      <c r="U1593" t="s">
        <v>843</v>
      </c>
      <c r="W1593">
        <v>918</v>
      </c>
      <c r="X1593">
        <v>882</v>
      </c>
      <c r="Y1593" t="s">
        <v>844</v>
      </c>
      <c r="Z1593" t="s">
        <v>792</v>
      </c>
      <c r="AB1593" t="s">
        <v>793</v>
      </c>
      <c r="AD1593" t="s">
        <v>794</v>
      </c>
      <c r="AE1593" t="s">
        <v>804</v>
      </c>
      <c r="AF1593" t="s">
        <v>796</v>
      </c>
      <c r="AG1593" t="s">
        <v>797</v>
      </c>
      <c r="AH1593">
        <v>958700</v>
      </c>
      <c r="AI1593">
        <v>1012900</v>
      </c>
      <c r="AJ1593">
        <v>0.06</v>
      </c>
    </row>
    <row r="1594" spans="1:36" x14ac:dyDescent="0.3">
      <c r="A1594">
        <f>COUNTIF($D$2:D1594,D1594)</f>
        <v>1</v>
      </c>
      <c r="B1594" t="str">
        <f t="shared" si="97"/>
        <v>1Northumberland</v>
      </c>
      <c r="C1594" t="s">
        <v>4763</v>
      </c>
      <c r="D1594" t="s">
        <v>243</v>
      </c>
      <c r="E1594">
        <v>1</v>
      </c>
      <c r="F1594" t="s">
        <v>4764</v>
      </c>
      <c r="G1594" t="s">
        <v>877</v>
      </c>
      <c r="H1594" t="s">
        <v>968</v>
      </c>
      <c r="I1594" t="s">
        <v>879</v>
      </c>
      <c r="J1594">
        <f t="shared" ca="1" si="98"/>
        <v>2697041.0164153278</v>
      </c>
      <c r="K1594">
        <f t="shared" ca="1" si="99"/>
        <v>22</v>
      </c>
      <c r="N1594" t="str">
        <f t="shared" si="96"/>
        <v>Middlesbrough49Social Care TransferResidential PlacementsSupported housing</v>
      </c>
      <c r="O1594" t="s">
        <v>221</v>
      </c>
      <c r="P1594" t="s">
        <v>2195</v>
      </c>
      <c r="Q1594">
        <v>49</v>
      </c>
      <c r="R1594" t="s">
        <v>4298</v>
      </c>
      <c r="S1594" t="s">
        <v>4762</v>
      </c>
      <c r="T1594" t="s">
        <v>806</v>
      </c>
      <c r="U1594" t="s">
        <v>873</v>
      </c>
      <c r="W1594">
        <v>20</v>
      </c>
      <c r="X1594">
        <v>20</v>
      </c>
      <c r="Y1594" t="s">
        <v>808</v>
      </c>
      <c r="Z1594" t="s">
        <v>792</v>
      </c>
      <c r="AB1594" t="s">
        <v>793</v>
      </c>
      <c r="AD1594" t="s">
        <v>794</v>
      </c>
      <c r="AE1594" t="s">
        <v>804</v>
      </c>
      <c r="AF1594" t="s">
        <v>796</v>
      </c>
      <c r="AG1594" t="s">
        <v>797</v>
      </c>
      <c r="AH1594">
        <v>785800</v>
      </c>
      <c r="AI1594">
        <v>830300</v>
      </c>
      <c r="AJ1594">
        <v>0.04</v>
      </c>
    </row>
    <row r="1595" spans="1:36" x14ac:dyDescent="0.3">
      <c r="A1595">
        <f>COUNTIF($D$2:D1595,D1595)</f>
        <v>2</v>
      </c>
      <c r="B1595" t="str">
        <f t="shared" si="97"/>
        <v>2Northumberland</v>
      </c>
      <c r="C1595" t="s">
        <v>4765</v>
      </c>
      <c r="D1595" t="s">
        <v>243</v>
      </c>
      <c r="E1595">
        <v>7</v>
      </c>
      <c r="F1595" t="s">
        <v>1250</v>
      </c>
      <c r="G1595" t="s">
        <v>811</v>
      </c>
      <c r="H1595" t="s">
        <v>830</v>
      </c>
      <c r="I1595" t="s">
        <v>813</v>
      </c>
      <c r="J1595">
        <f t="shared" ca="1" si="98"/>
        <v>907306.39999999979</v>
      </c>
      <c r="K1595">
        <f t="shared" ca="1" si="99"/>
        <v>270</v>
      </c>
      <c r="N1595" t="str">
        <f t="shared" si="96"/>
        <v>Middlesbrough49Social Care TransferResidential PlacementsLearning disability</v>
      </c>
      <c r="O1595" t="s">
        <v>221</v>
      </c>
      <c r="P1595" t="s">
        <v>2195</v>
      </c>
      <c r="Q1595">
        <v>49</v>
      </c>
      <c r="R1595" t="s">
        <v>4298</v>
      </c>
      <c r="S1595" t="s">
        <v>4762</v>
      </c>
      <c r="T1595" t="s">
        <v>806</v>
      </c>
      <c r="U1595" t="s">
        <v>854</v>
      </c>
      <c r="W1595">
        <v>5</v>
      </c>
      <c r="X1595">
        <v>5</v>
      </c>
      <c r="Y1595" t="s">
        <v>808</v>
      </c>
      <c r="Z1595" t="s">
        <v>792</v>
      </c>
      <c r="AB1595" t="s">
        <v>793</v>
      </c>
      <c r="AD1595" t="s">
        <v>794</v>
      </c>
      <c r="AE1595" t="s">
        <v>804</v>
      </c>
      <c r="AF1595" t="s">
        <v>796</v>
      </c>
      <c r="AG1595" t="s">
        <v>797</v>
      </c>
      <c r="AH1595">
        <v>536200</v>
      </c>
      <c r="AI1595">
        <v>566600</v>
      </c>
      <c r="AJ1595">
        <v>0.03</v>
      </c>
    </row>
    <row r="1596" spans="1:36" x14ac:dyDescent="0.3">
      <c r="A1596">
        <f>COUNTIF($D$2:D1596,D1596)</f>
        <v>3</v>
      </c>
      <c r="B1596" t="str">
        <f t="shared" si="97"/>
        <v>3Northumberland</v>
      </c>
      <c r="C1596" t="s">
        <v>4766</v>
      </c>
      <c r="D1596" t="s">
        <v>243</v>
      </c>
      <c r="E1596">
        <v>10</v>
      </c>
      <c r="F1596" t="s">
        <v>4767</v>
      </c>
      <c r="G1596" t="s">
        <v>787</v>
      </c>
      <c r="H1596" t="s">
        <v>1688</v>
      </c>
      <c r="I1596" t="s">
        <v>789</v>
      </c>
      <c r="J1596">
        <f t="shared" ca="1" si="98"/>
        <v>3000000</v>
      </c>
      <c r="K1596">
        <f t="shared" ca="1" si="99"/>
        <v>1027.7968188164175</v>
      </c>
      <c r="N1596" t="str">
        <f t="shared" si="96"/>
        <v>Middlesbrough49Social Care TransferResidential PlacementsExtra care</v>
      </c>
      <c r="O1596" t="s">
        <v>221</v>
      </c>
      <c r="P1596" t="s">
        <v>2195</v>
      </c>
      <c r="Q1596">
        <v>49</v>
      </c>
      <c r="R1596" t="s">
        <v>4298</v>
      </c>
      <c r="S1596" t="s">
        <v>4762</v>
      </c>
      <c r="T1596" t="s">
        <v>806</v>
      </c>
      <c r="U1596" t="s">
        <v>934</v>
      </c>
      <c r="W1596">
        <v>2</v>
      </c>
      <c r="X1596">
        <v>2</v>
      </c>
      <c r="Y1596" t="s">
        <v>808</v>
      </c>
      <c r="Z1596" t="s">
        <v>792</v>
      </c>
      <c r="AB1596" t="s">
        <v>793</v>
      </c>
      <c r="AD1596" t="s">
        <v>794</v>
      </c>
      <c r="AE1596" t="s">
        <v>804</v>
      </c>
      <c r="AF1596" t="s">
        <v>796</v>
      </c>
      <c r="AG1596" t="s">
        <v>797</v>
      </c>
      <c r="AH1596">
        <v>93400</v>
      </c>
      <c r="AI1596">
        <v>98700</v>
      </c>
      <c r="AJ1596">
        <v>0.01</v>
      </c>
    </row>
    <row r="1597" spans="1:36" x14ac:dyDescent="0.3">
      <c r="A1597">
        <f>COUNTIF($D$2:D1597,D1597)</f>
        <v>4</v>
      </c>
      <c r="B1597" t="str">
        <f t="shared" si="97"/>
        <v>4Northumberland</v>
      </c>
      <c r="C1597" t="s">
        <v>4768</v>
      </c>
      <c r="D1597" t="s">
        <v>243</v>
      </c>
      <c r="E1597">
        <v>11</v>
      </c>
      <c r="F1597" t="s">
        <v>4769</v>
      </c>
      <c r="G1597" t="s">
        <v>787</v>
      </c>
      <c r="H1597" t="s">
        <v>1688</v>
      </c>
      <c r="I1597" t="s">
        <v>789</v>
      </c>
      <c r="J1597">
        <f t="shared" ca="1" si="98"/>
        <v>427157.90284176311</v>
      </c>
      <c r="K1597">
        <f t="shared" ca="1" si="99"/>
        <v>2991.4748959719545</v>
      </c>
      <c r="N1597" t="str">
        <f t="shared" si="96"/>
        <v>Middlesbrough49Social Care TransferResidential PlacementsCare home</v>
      </c>
      <c r="O1597" t="s">
        <v>221</v>
      </c>
      <c r="P1597" t="s">
        <v>2195</v>
      </c>
      <c r="Q1597">
        <v>49</v>
      </c>
      <c r="R1597" t="s">
        <v>4298</v>
      </c>
      <c r="S1597" t="s">
        <v>4762</v>
      </c>
      <c r="T1597" t="s">
        <v>806</v>
      </c>
      <c r="U1597" t="s">
        <v>807</v>
      </c>
      <c r="W1597">
        <v>39</v>
      </c>
      <c r="X1597">
        <v>37</v>
      </c>
      <c r="Y1597" t="s">
        <v>808</v>
      </c>
      <c r="Z1597" t="s">
        <v>792</v>
      </c>
      <c r="AB1597" t="s">
        <v>793</v>
      </c>
      <c r="AD1597" t="s">
        <v>794</v>
      </c>
      <c r="AE1597" t="s">
        <v>804</v>
      </c>
      <c r="AF1597" t="s">
        <v>796</v>
      </c>
      <c r="AG1597" t="s">
        <v>797</v>
      </c>
      <c r="AH1597">
        <v>1487700</v>
      </c>
      <c r="AI1597">
        <v>1571800</v>
      </c>
      <c r="AJ1597">
        <v>1.3507885143514448E-2</v>
      </c>
    </row>
    <row r="1598" spans="1:36" x14ac:dyDescent="0.3">
      <c r="A1598">
        <f>COUNTIF($D$2:D1598,D1598)</f>
        <v>5</v>
      </c>
      <c r="B1598" t="str">
        <f t="shared" si="97"/>
        <v>5Northumberland</v>
      </c>
      <c r="C1598" t="s">
        <v>4770</v>
      </c>
      <c r="D1598" t="s">
        <v>243</v>
      </c>
      <c r="E1598">
        <v>12</v>
      </c>
      <c r="F1598" t="s">
        <v>4771</v>
      </c>
      <c r="G1598" t="s">
        <v>842</v>
      </c>
      <c r="H1598" t="s">
        <v>843</v>
      </c>
      <c r="I1598" t="s">
        <v>844</v>
      </c>
      <c r="J1598">
        <f t="shared" ca="1" si="98"/>
        <v>8728906.1866757683</v>
      </c>
      <c r="K1598">
        <f t="shared" ca="1" si="99"/>
        <v>347350.02732494107</v>
      </c>
      <c r="N1598" t="str">
        <f t="shared" si="96"/>
        <v>Middlesbrough49Social Care TransferResidential PlacementsNursing home</v>
      </c>
      <c r="O1598" t="s">
        <v>221</v>
      </c>
      <c r="P1598" t="s">
        <v>2195</v>
      </c>
      <c r="Q1598">
        <v>49</v>
      </c>
      <c r="R1598" t="s">
        <v>4298</v>
      </c>
      <c r="S1598" t="s">
        <v>4762</v>
      </c>
      <c r="T1598" t="s">
        <v>806</v>
      </c>
      <c r="U1598" t="s">
        <v>917</v>
      </c>
      <c r="W1598">
        <v>8</v>
      </c>
      <c r="X1598">
        <v>8</v>
      </c>
      <c r="Y1598" t="s">
        <v>808</v>
      </c>
      <c r="Z1598" t="s">
        <v>792</v>
      </c>
      <c r="AB1598" t="s">
        <v>793</v>
      </c>
      <c r="AD1598" t="s">
        <v>794</v>
      </c>
      <c r="AE1598" t="s">
        <v>804</v>
      </c>
      <c r="AF1598" t="s">
        <v>796</v>
      </c>
      <c r="AG1598" t="s">
        <v>797</v>
      </c>
      <c r="AH1598">
        <v>326300</v>
      </c>
      <c r="AI1598">
        <v>344800</v>
      </c>
      <c r="AJ1598">
        <v>0.02</v>
      </c>
    </row>
    <row r="1599" spans="1:36" x14ac:dyDescent="0.3">
      <c r="A1599">
        <f>COUNTIF($D$2:D1599,D1599)</f>
        <v>6</v>
      </c>
      <c r="B1599" t="str">
        <f t="shared" si="97"/>
        <v>6Northumberland</v>
      </c>
      <c r="C1599" t="s">
        <v>4772</v>
      </c>
      <c r="D1599" t="s">
        <v>243</v>
      </c>
      <c r="E1599">
        <v>13</v>
      </c>
      <c r="F1599" t="s">
        <v>4771</v>
      </c>
      <c r="G1599" t="s">
        <v>842</v>
      </c>
      <c r="H1599" t="s">
        <v>843</v>
      </c>
      <c r="I1599" t="s">
        <v>844</v>
      </c>
      <c r="J1599">
        <f t="shared" ca="1" si="98"/>
        <v>7500000</v>
      </c>
      <c r="K1599">
        <f t="shared" ca="1" si="99"/>
        <v>298448.07003581378</v>
      </c>
      <c r="N1599" t="str">
        <f t="shared" si="96"/>
        <v>Middlesbrough51Effective Discharge - D2A PathwaysBed based intermediate Care Services (Reablement, rehabilitation, wider short-term services supporting recovery)Bed-based intermediate care with reablement (to support discharge)</v>
      </c>
      <c r="O1599" t="s">
        <v>221</v>
      </c>
      <c r="P1599" t="s">
        <v>2195</v>
      </c>
      <c r="Q1599">
        <v>51</v>
      </c>
      <c r="R1599" t="s">
        <v>4310</v>
      </c>
      <c r="S1599" t="s">
        <v>4773</v>
      </c>
      <c r="T1599" t="s">
        <v>877</v>
      </c>
      <c r="U1599" t="s">
        <v>878</v>
      </c>
      <c r="W1599">
        <v>10</v>
      </c>
      <c r="X1599">
        <v>11</v>
      </c>
      <c r="Y1599" t="s">
        <v>879</v>
      </c>
      <c r="Z1599" t="s">
        <v>1061</v>
      </c>
      <c r="AB1599" t="s">
        <v>793</v>
      </c>
      <c r="AD1599" t="s">
        <v>794</v>
      </c>
      <c r="AE1599" t="s">
        <v>804</v>
      </c>
      <c r="AF1599" t="s">
        <v>864</v>
      </c>
      <c r="AG1599" t="s">
        <v>797</v>
      </c>
      <c r="AH1599">
        <v>372368</v>
      </c>
      <c r="AI1599">
        <v>449360</v>
      </c>
      <c r="AJ1599">
        <v>0.03</v>
      </c>
    </row>
    <row r="1600" spans="1:36" x14ac:dyDescent="0.3">
      <c r="A1600">
        <f>COUNTIF($D$2:D1600,D1600)</f>
        <v>7</v>
      </c>
      <c r="B1600" t="str">
        <f t="shared" si="97"/>
        <v>7Northumberland</v>
      </c>
      <c r="C1600" t="s">
        <v>4774</v>
      </c>
      <c r="D1600" t="s">
        <v>243</v>
      </c>
      <c r="E1600">
        <v>14</v>
      </c>
      <c r="F1600" t="s">
        <v>4775</v>
      </c>
      <c r="G1600" t="s">
        <v>806</v>
      </c>
      <c r="H1600" t="s">
        <v>807</v>
      </c>
      <c r="I1600" t="s">
        <v>808</v>
      </c>
      <c r="J1600">
        <f t="shared" ca="1" si="98"/>
        <v>5266812.5344172474</v>
      </c>
      <c r="K1600">
        <f t="shared" ca="1" si="99"/>
        <v>128.17139887386799</v>
      </c>
      <c r="N1600" t="str">
        <f t="shared" si="96"/>
        <v>Middlesbrough51Effective Discharge - D2A PathwaysBed based intermediate Care Services (Reablement, rehabilitation, wider short-term services supporting recovery)Bed-based intermediate care with reablement (to support discharge)</v>
      </c>
      <c r="O1600" t="s">
        <v>221</v>
      </c>
      <c r="P1600" t="s">
        <v>2195</v>
      </c>
      <c r="Q1600">
        <v>51</v>
      </c>
      <c r="R1600" t="s">
        <v>4310</v>
      </c>
      <c r="S1600" t="s">
        <v>4773</v>
      </c>
      <c r="T1600" t="s">
        <v>877</v>
      </c>
      <c r="U1600" t="s">
        <v>878</v>
      </c>
      <c r="W1600">
        <v>10</v>
      </c>
      <c r="X1600">
        <v>11</v>
      </c>
      <c r="Y1600" t="s">
        <v>879</v>
      </c>
      <c r="Z1600" t="s">
        <v>1061</v>
      </c>
      <c r="AB1600" t="s">
        <v>793</v>
      </c>
      <c r="AD1600" t="s">
        <v>794</v>
      </c>
      <c r="AE1600" t="s">
        <v>804</v>
      </c>
      <c r="AF1600" t="s">
        <v>860</v>
      </c>
      <c r="AG1600" t="s">
        <v>797</v>
      </c>
      <c r="AH1600">
        <v>345868</v>
      </c>
      <c r="AI1600">
        <v>482140</v>
      </c>
      <c r="AJ1600">
        <v>0.04</v>
      </c>
    </row>
    <row r="1601" spans="1:36" x14ac:dyDescent="0.3">
      <c r="A1601">
        <f>COUNTIF($D$2:D1601,D1601)</f>
        <v>8</v>
      </c>
      <c r="B1601" t="str">
        <f t="shared" si="97"/>
        <v>8Northumberland</v>
      </c>
      <c r="C1601" t="s">
        <v>4776</v>
      </c>
      <c r="D1601" t="s">
        <v>243</v>
      </c>
      <c r="E1601">
        <v>15</v>
      </c>
      <c r="F1601" t="s">
        <v>4777</v>
      </c>
      <c r="G1601" t="s">
        <v>806</v>
      </c>
      <c r="H1601" t="s">
        <v>807</v>
      </c>
      <c r="I1601" t="s">
        <v>808</v>
      </c>
      <c r="J1601">
        <f t="shared" ca="1" si="98"/>
        <v>4995752</v>
      </c>
      <c r="K1601">
        <f t="shared" ca="1" si="99"/>
        <v>131.34435388837133</v>
      </c>
      <c r="N1601" t="str">
        <f t="shared" si="96"/>
        <v>Middlesbrough52Effective Discharge - D2A PathwaysHome Care or Domiciliary CareDomiciliary care to support hospital discharge (Discharge to Assess pathway 1)</v>
      </c>
      <c r="O1601" t="s">
        <v>221</v>
      </c>
      <c r="P1601" t="s">
        <v>2195</v>
      </c>
      <c r="Q1601">
        <v>52</v>
      </c>
      <c r="R1601" t="s">
        <v>4310</v>
      </c>
      <c r="S1601" t="s">
        <v>4773</v>
      </c>
      <c r="T1601" t="s">
        <v>842</v>
      </c>
      <c r="U1601" t="s">
        <v>856</v>
      </c>
      <c r="W1601">
        <v>159</v>
      </c>
      <c r="X1601">
        <v>199</v>
      </c>
      <c r="Y1601" t="s">
        <v>844</v>
      </c>
      <c r="Z1601" t="s">
        <v>1061</v>
      </c>
      <c r="AB1601" t="s">
        <v>793</v>
      </c>
      <c r="AD1601" t="s">
        <v>794</v>
      </c>
      <c r="AE1601" t="s">
        <v>804</v>
      </c>
      <c r="AF1601" t="s">
        <v>860</v>
      </c>
      <c r="AG1601" t="s">
        <v>797</v>
      </c>
      <c r="AH1601">
        <v>166034</v>
      </c>
      <c r="AI1601">
        <v>229400</v>
      </c>
      <c r="AJ1601">
        <v>0.02</v>
      </c>
    </row>
    <row r="1602" spans="1:36" x14ac:dyDescent="0.3">
      <c r="A1602">
        <f>COUNTIF($D$2:D1602,D1602)</f>
        <v>9</v>
      </c>
      <c r="B1602" t="str">
        <f t="shared" si="97"/>
        <v>9Northumberland</v>
      </c>
      <c r="C1602" t="s">
        <v>4778</v>
      </c>
      <c r="D1602" t="s">
        <v>243</v>
      </c>
      <c r="E1602">
        <v>17</v>
      </c>
      <c r="F1602" t="s">
        <v>4779</v>
      </c>
      <c r="G1602" t="s">
        <v>834</v>
      </c>
      <c r="H1602" t="s">
        <v>812</v>
      </c>
      <c r="I1602" t="s">
        <v>836</v>
      </c>
      <c r="J1602">
        <f t="shared" ca="1" si="98"/>
        <v>3328942</v>
      </c>
      <c r="K1602">
        <f t="shared" ca="1" si="99"/>
        <v>200</v>
      </c>
      <c r="N1602" t="str">
        <f t="shared" ref="N1602:N1665" si="100">O1602&amp;Q1602&amp;R1602&amp;T1602&amp;U1602</f>
        <v>Middlesbrough53Tees Community Equipment Service expansionAssistive Technologies and EquipmentCommunity based equipment</v>
      </c>
      <c r="O1602" t="s">
        <v>221</v>
      </c>
      <c r="P1602" t="s">
        <v>2195</v>
      </c>
      <c r="Q1602">
        <v>53</v>
      </c>
      <c r="R1602" t="s">
        <v>4315</v>
      </c>
      <c r="S1602" t="s">
        <v>4780</v>
      </c>
      <c r="T1602" t="s">
        <v>800</v>
      </c>
      <c r="U1602" t="s">
        <v>903</v>
      </c>
      <c r="W1602">
        <v>169</v>
      </c>
      <c r="X1602">
        <v>169</v>
      </c>
      <c r="Y1602" t="s">
        <v>802</v>
      </c>
      <c r="Z1602" t="s">
        <v>792</v>
      </c>
      <c r="AB1602" t="s">
        <v>824</v>
      </c>
      <c r="AD1602" t="s">
        <v>794</v>
      </c>
      <c r="AE1602" t="s">
        <v>795</v>
      </c>
      <c r="AF1602" t="s">
        <v>860</v>
      </c>
      <c r="AG1602" t="s">
        <v>797</v>
      </c>
      <c r="AH1602">
        <v>81600</v>
      </c>
      <c r="AI1602">
        <v>89500</v>
      </c>
      <c r="AJ1602">
        <v>0.02</v>
      </c>
    </row>
    <row r="1603" spans="1:36" x14ac:dyDescent="0.3">
      <c r="A1603">
        <f>COUNTIF($D$2:D1603,D1603)</f>
        <v>10</v>
      </c>
      <c r="B1603" t="str">
        <f t="shared" ref="B1603:B1666" si="101">A1603&amp;D1603</f>
        <v>10Northumberland</v>
      </c>
      <c r="C1603" t="s">
        <v>4781</v>
      </c>
      <c r="D1603" t="s">
        <v>243</v>
      </c>
      <c r="E1603">
        <v>18</v>
      </c>
      <c r="F1603" t="s">
        <v>4782</v>
      </c>
      <c r="G1603" t="s">
        <v>806</v>
      </c>
      <c r="H1603" t="s">
        <v>917</v>
      </c>
      <c r="I1603" t="s">
        <v>808</v>
      </c>
      <c r="J1603">
        <f t="shared" ref="J1603:J1666" ca="1" si="102">SUMIF($N:$AI,C1603,AH:AH)</f>
        <v>340391</v>
      </c>
      <c r="K1603">
        <f t="shared" ref="K1603:K1666" ca="1" si="103">SUMIF($N:$AI,C1603,W:W)</f>
        <v>20</v>
      </c>
      <c r="N1603" t="str">
        <f t="shared" si="100"/>
        <v>Middlesbrough54Post Reablement Domiciliary Care Pressures RoundHome Care or Domiciliary CareDomiciliary care packages</v>
      </c>
      <c r="O1603" t="s">
        <v>221</v>
      </c>
      <c r="P1603" t="s">
        <v>2195</v>
      </c>
      <c r="Q1603">
        <v>54</v>
      </c>
      <c r="R1603" t="s">
        <v>4318</v>
      </c>
      <c r="S1603" t="s">
        <v>4783</v>
      </c>
      <c r="T1603" t="s">
        <v>842</v>
      </c>
      <c r="U1603" t="s">
        <v>843</v>
      </c>
      <c r="W1603">
        <v>119</v>
      </c>
      <c r="X1603">
        <v>105</v>
      </c>
      <c r="Y1603" t="s">
        <v>844</v>
      </c>
      <c r="Z1603" t="s">
        <v>792</v>
      </c>
      <c r="AB1603" t="s">
        <v>793</v>
      </c>
      <c r="AD1603" t="s">
        <v>794</v>
      </c>
      <c r="AE1603" t="s">
        <v>804</v>
      </c>
      <c r="AF1603" t="s">
        <v>864</v>
      </c>
      <c r="AG1603" t="s">
        <v>797</v>
      </c>
      <c r="AH1603">
        <v>257600</v>
      </c>
      <c r="AI1603">
        <v>248800</v>
      </c>
      <c r="AJ1603">
        <v>0.02</v>
      </c>
    </row>
    <row r="1604" spans="1:36" x14ac:dyDescent="0.3">
      <c r="A1604">
        <f>COUNTIF($D$2:D1604,D1604)</f>
        <v>11</v>
      </c>
      <c r="B1604" t="str">
        <f t="shared" si="101"/>
        <v>11Northumberland</v>
      </c>
      <c r="C1604" t="s">
        <v>4784</v>
      </c>
      <c r="D1604" t="s">
        <v>243</v>
      </c>
      <c r="E1604">
        <v>23</v>
      </c>
      <c r="F1604" t="s">
        <v>4785</v>
      </c>
      <c r="G1604" t="s">
        <v>806</v>
      </c>
      <c r="H1604" t="s">
        <v>917</v>
      </c>
      <c r="I1604" t="s">
        <v>808</v>
      </c>
      <c r="J1604">
        <f t="shared" ca="1" si="102"/>
        <v>308877</v>
      </c>
      <c r="K1604">
        <f t="shared" ca="1" si="103"/>
        <v>12</v>
      </c>
      <c r="N1604" t="str">
        <f t="shared" si="100"/>
        <v>Middlesbrough55Hospital Discharge Domiciliary Care RoundHome Care or Domiciliary CareDomiciliary care to support hospital discharge (Discharge to Assess pathway 1)</v>
      </c>
      <c r="O1604" t="s">
        <v>221</v>
      </c>
      <c r="P1604" t="s">
        <v>2195</v>
      </c>
      <c r="Q1604">
        <v>55</v>
      </c>
      <c r="R1604" t="s">
        <v>4321</v>
      </c>
      <c r="S1604" t="s">
        <v>4786</v>
      </c>
      <c r="T1604" t="s">
        <v>842</v>
      </c>
      <c r="U1604" t="s">
        <v>856</v>
      </c>
      <c r="W1604">
        <v>112</v>
      </c>
      <c r="X1604">
        <v>112</v>
      </c>
      <c r="Y1604" t="s">
        <v>844</v>
      </c>
      <c r="Z1604" t="s">
        <v>792</v>
      </c>
      <c r="AB1604" t="s">
        <v>793</v>
      </c>
      <c r="AD1604" t="s">
        <v>794</v>
      </c>
      <c r="AE1604" t="s">
        <v>804</v>
      </c>
      <c r="AF1604" t="s">
        <v>864</v>
      </c>
      <c r="AG1604" t="s">
        <v>797</v>
      </c>
      <c r="AH1604">
        <v>247500</v>
      </c>
      <c r="AI1604">
        <v>271400</v>
      </c>
      <c r="AJ1604">
        <v>0.02</v>
      </c>
    </row>
    <row r="1605" spans="1:36" x14ac:dyDescent="0.3">
      <c r="A1605">
        <f>COUNTIF($D$2:D1605,D1605)</f>
        <v>12</v>
      </c>
      <c r="B1605" t="str">
        <f t="shared" si="101"/>
        <v>12Northumberland</v>
      </c>
      <c r="C1605" t="s">
        <v>4787</v>
      </c>
      <c r="D1605" t="s">
        <v>243</v>
      </c>
      <c r="E1605" t="s">
        <v>4788</v>
      </c>
      <c r="F1605" t="s">
        <v>4789</v>
      </c>
      <c r="G1605" t="s">
        <v>842</v>
      </c>
      <c r="H1605" t="s">
        <v>843</v>
      </c>
      <c r="I1605" t="s">
        <v>844</v>
      </c>
      <c r="J1605">
        <f t="shared" ca="1" si="102"/>
        <v>650000</v>
      </c>
      <c r="K1605">
        <f t="shared" ca="1" si="103"/>
        <v>25865.499403103862</v>
      </c>
      <c r="N1605" t="str">
        <f t="shared" si="100"/>
        <v xml:space="preserve">Middlesbrough3Recovery &amp; Reablement - Community ReablementHome-based intermediate care servicesReablement at home (to support discharge) </v>
      </c>
      <c r="O1605" t="s">
        <v>221</v>
      </c>
      <c r="P1605" t="s">
        <v>2195</v>
      </c>
      <c r="Q1605">
        <v>3</v>
      </c>
      <c r="R1605" t="s">
        <v>4262</v>
      </c>
      <c r="S1605" t="s">
        <v>4728</v>
      </c>
      <c r="T1605" t="s">
        <v>787</v>
      </c>
      <c r="U1605" t="s">
        <v>788</v>
      </c>
      <c r="W1605">
        <v>4</v>
      </c>
      <c r="X1605">
        <v>4</v>
      </c>
      <c r="Y1605" t="s">
        <v>789</v>
      </c>
      <c r="Z1605" t="s">
        <v>792</v>
      </c>
      <c r="AB1605" t="s">
        <v>824</v>
      </c>
      <c r="AD1605" t="s">
        <v>794</v>
      </c>
      <c r="AE1605" t="s">
        <v>795</v>
      </c>
      <c r="AF1605" t="s">
        <v>864</v>
      </c>
      <c r="AG1605" t="s">
        <v>797</v>
      </c>
      <c r="AH1605">
        <v>235600</v>
      </c>
      <c r="AI1605">
        <v>0</v>
      </c>
      <c r="AJ1605">
        <v>0.02</v>
      </c>
    </row>
    <row r="1606" spans="1:36" x14ac:dyDescent="0.3">
      <c r="A1606">
        <f>COUNTIF($D$2:D1606,D1606)</f>
        <v>13</v>
      </c>
      <c r="B1606" t="str">
        <f t="shared" si="101"/>
        <v>13Northumberland</v>
      </c>
      <c r="C1606" t="s">
        <v>4790</v>
      </c>
      <c r="D1606" t="s">
        <v>243</v>
      </c>
      <c r="E1606" t="s">
        <v>4791</v>
      </c>
      <c r="F1606" t="s">
        <v>4792</v>
      </c>
      <c r="G1606" t="s">
        <v>806</v>
      </c>
      <c r="H1606" t="s">
        <v>807</v>
      </c>
      <c r="I1606" t="s">
        <v>808</v>
      </c>
      <c r="J1606">
        <f t="shared" ca="1" si="102"/>
        <v>450000</v>
      </c>
      <c r="K1606">
        <f t="shared" ca="1" si="103"/>
        <v>11.831043504514856</v>
      </c>
      <c r="N1606" t="str">
        <f t="shared" si="100"/>
        <v>Middlesbrough56Pennyman Extra Care SchemeResidential PlacementsExtra care</v>
      </c>
      <c r="O1606" t="s">
        <v>221</v>
      </c>
      <c r="P1606" t="s">
        <v>2195</v>
      </c>
      <c r="Q1606">
        <v>56</v>
      </c>
      <c r="R1606" t="s">
        <v>4325</v>
      </c>
      <c r="S1606" t="s">
        <v>4793</v>
      </c>
      <c r="T1606" t="s">
        <v>806</v>
      </c>
      <c r="U1606" t="s">
        <v>934</v>
      </c>
      <c r="W1606">
        <v>1</v>
      </c>
      <c r="X1606">
        <v>1</v>
      </c>
      <c r="Y1606" t="s">
        <v>808</v>
      </c>
      <c r="Z1606" t="s">
        <v>792</v>
      </c>
      <c r="AB1606" t="s">
        <v>793</v>
      </c>
      <c r="AD1606" t="s">
        <v>794</v>
      </c>
      <c r="AE1606" t="s">
        <v>804</v>
      </c>
      <c r="AF1606" t="s">
        <v>864</v>
      </c>
      <c r="AG1606" t="s">
        <v>797</v>
      </c>
      <c r="AH1606">
        <v>7500</v>
      </c>
      <c r="AI1606">
        <v>0</v>
      </c>
      <c r="AJ1606">
        <v>0.01</v>
      </c>
    </row>
    <row r="1607" spans="1:36" x14ac:dyDescent="0.3">
      <c r="A1607">
        <f>COUNTIF($D$2:D1607,D1607)</f>
        <v>14</v>
      </c>
      <c r="B1607" t="str">
        <f t="shared" si="101"/>
        <v>14Northumberland</v>
      </c>
      <c r="C1607" t="s">
        <v>4794</v>
      </c>
      <c r="D1607" t="s">
        <v>243</v>
      </c>
      <c r="E1607" t="s">
        <v>4795</v>
      </c>
      <c r="F1607" t="s">
        <v>4796</v>
      </c>
      <c r="G1607" t="s">
        <v>806</v>
      </c>
      <c r="H1607" t="s">
        <v>807</v>
      </c>
      <c r="I1607" t="s">
        <v>808</v>
      </c>
      <c r="J1607">
        <f t="shared" ca="1" si="102"/>
        <v>250000</v>
      </c>
      <c r="K1607">
        <f t="shared" ca="1" si="103"/>
        <v>6.5728019469526977</v>
      </c>
      <c r="N1607" t="str">
        <f t="shared" si="100"/>
        <v>Milton Keynes1Community EquipmentAssistive Technologies and EquipmentCommunity based equipment</v>
      </c>
      <c r="O1607" t="s">
        <v>223</v>
      </c>
      <c r="P1607" t="s">
        <v>1056</v>
      </c>
      <c r="Q1607">
        <v>1</v>
      </c>
      <c r="R1607" t="s">
        <v>1051</v>
      </c>
      <c r="S1607" t="s">
        <v>4797</v>
      </c>
      <c r="T1607" t="s">
        <v>800</v>
      </c>
      <c r="U1607" t="s">
        <v>903</v>
      </c>
      <c r="W1607">
        <v>939</v>
      </c>
      <c r="X1607">
        <v>992</v>
      </c>
      <c r="Y1607" t="s">
        <v>802</v>
      </c>
      <c r="Z1607" t="s">
        <v>792</v>
      </c>
      <c r="AB1607" t="s">
        <v>1739</v>
      </c>
      <c r="AC1607">
        <v>0.46899999999999997</v>
      </c>
      <c r="AD1607">
        <v>0.53100000000000003</v>
      </c>
      <c r="AE1607" t="s">
        <v>804</v>
      </c>
      <c r="AF1607" t="s">
        <v>796</v>
      </c>
      <c r="AG1607" t="s">
        <v>797</v>
      </c>
      <c r="AH1607">
        <v>549140</v>
      </c>
      <c r="AI1607">
        <v>580221</v>
      </c>
      <c r="AJ1607">
        <v>1.8800000000000001E-2</v>
      </c>
    </row>
    <row r="1608" spans="1:36" x14ac:dyDescent="0.3">
      <c r="A1608">
        <f>COUNTIF($D$2:D1608,D1608)</f>
        <v>15</v>
      </c>
      <c r="B1608" t="str">
        <f t="shared" si="101"/>
        <v>15Northumberland</v>
      </c>
      <c r="C1608" t="s">
        <v>4798</v>
      </c>
      <c r="D1608" t="s">
        <v>243</v>
      </c>
      <c r="E1608" t="s">
        <v>4799</v>
      </c>
      <c r="F1608" t="s">
        <v>4800</v>
      </c>
      <c r="G1608" t="s">
        <v>842</v>
      </c>
      <c r="H1608" t="s">
        <v>843</v>
      </c>
      <c r="I1608" t="s">
        <v>844</v>
      </c>
      <c r="J1608">
        <f t="shared" ca="1" si="102"/>
        <v>173296</v>
      </c>
      <c r="K1608">
        <f t="shared" ca="1" si="103"/>
        <v>7406</v>
      </c>
      <c r="N1608" t="str">
        <f t="shared" si="100"/>
        <v>Milton Keynes3Carers ServicesCarers ServicesOther</v>
      </c>
      <c r="O1608" t="s">
        <v>223</v>
      </c>
      <c r="P1608" t="s">
        <v>1056</v>
      </c>
      <c r="Q1608">
        <v>3</v>
      </c>
      <c r="R1608" t="s">
        <v>811</v>
      </c>
      <c r="S1608" t="s">
        <v>4801</v>
      </c>
      <c r="T1608" t="s">
        <v>811</v>
      </c>
      <c r="U1608" t="s">
        <v>812</v>
      </c>
      <c r="V1608" t="s">
        <v>2548</v>
      </c>
      <c r="W1608">
        <v>595</v>
      </c>
      <c r="X1608">
        <v>595</v>
      </c>
      <c r="Y1608" t="s">
        <v>813</v>
      </c>
      <c r="Z1608" t="s">
        <v>792</v>
      </c>
      <c r="AB1608" t="s">
        <v>793</v>
      </c>
      <c r="AD1608" t="s">
        <v>794</v>
      </c>
      <c r="AE1608" t="s">
        <v>825</v>
      </c>
      <c r="AF1608" t="s">
        <v>796</v>
      </c>
      <c r="AG1608" t="s">
        <v>797</v>
      </c>
      <c r="AH1608">
        <v>239000</v>
      </c>
      <c r="AI1608">
        <v>252257</v>
      </c>
      <c r="AJ1608">
        <v>8.2000000000000007E-3</v>
      </c>
    </row>
    <row r="1609" spans="1:36" x14ac:dyDescent="0.3">
      <c r="A1609">
        <f>COUNTIF($D$2:D1609,D1609)</f>
        <v>16</v>
      </c>
      <c r="B1609" t="str">
        <f t="shared" si="101"/>
        <v>16Northumberland</v>
      </c>
      <c r="C1609" t="s">
        <v>4802</v>
      </c>
      <c r="D1609" t="s">
        <v>243</v>
      </c>
      <c r="E1609" t="s">
        <v>4803</v>
      </c>
      <c r="F1609" t="s">
        <v>4804</v>
      </c>
      <c r="G1609" t="s">
        <v>806</v>
      </c>
      <c r="H1609" t="s">
        <v>807</v>
      </c>
      <c r="I1609" t="s">
        <v>808</v>
      </c>
      <c r="J1609">
        <f t="shared" ca="1" si="102"/>
        <v>231292</v>
      </c>
      <c r="K1609">
        <f t="shared" ca="1" si="103"/>
        <v>6</v>
      </c>
      <c r="N1609" t="str">
        <f t="shared" si="100"/>
        <v>Milton Keynes14Allocation to ASCHome Care or Domiciliary CareDomiciliary care packages</v>
      </c>
      <c r="O1609" t="s">
        <v>223</v>
      </c>
      <c r="P1609" t="s">
        <v>1056</v>
      </c>
      <c r="Q1609">
        <v>14</v>
      </c>
      <c r="R1609" t="s">
        <v>4330</v>
      </c>
      <c r="S1609" t="s">
        <v>4805</v>
      </c>
      <c r="T1609" t="s">
        <v>842</v>
      </c>
      <c r="U1609" t="s">
        <v>843</v>
      </c>
      <c r="W1609">
        <v>91936</v>
      </c>
      <c r="X1609">
        <v>97140</v>
      </c>
      <c r="Y1609" t="s">
        <v>844</v>
      </c>
      <c r="Z1609" t="s">
        <v>792</v>
      </c>
      <c r="AB1609" t="s">
        <v>793</v>
      </c>
      <c r="AD1609" t="s">
        <v>794</v>
      </c>
      <c r="AE1609" t="s">
        <v>804</v>
      </c>
      <c r="AF1609" t="s">
        <v>796</v>
      </c>
      <c r="AG1609" t="s">
        <v>797</v>
      </c>
      <c r="AH1609">
        <v>2441137</v>
      </c>
      <c r="AI1609">
        <v>2579306</v>
      </c>
      <c r="AJ1609">
        <v>8.3400000000000002E-2</v>
      </c>
    </row>
    <row r="1610" spans="1:36" x14ac:dyDescent="0.3">
      <c r="A1610">
        <f>COUNTIF($D$2:D1610,D1610)</f>
        <v>17</v>
      </c>
      <c r="B1610" t="str">
        <f t="shared" si="101"/>
        <v>17Northumberland</v>
      </c>
      <c r="C1610" t="s">
        <v>4806</v>
      </c>
      <c r="D1610" t="s">
        <v>243</v>
      </c>
      <c r="E1610" t="s">
        <v>4807</v>
      </c>
      <c r="F1610" t="s">
        <v>4808</v>
      </c>
      <c r="G1610" t="s">
        <v>806</v>
      </c>
      <c r="H1610" t="s">
        <v>807</v>
      </c>
      <c r="I1610" t="s">
        <v>808</v>
      </c>
      <c r="J1610">
        <f t="shared" ca="1" si="102"/>
        <v>139188.51</v>
      </c>
      <c r="K1610">
        <f t="shared" ca="1" si="103"/>
        <v>3</v>
      </c>
      <c r="N1610" t="str">
        <f t="shared" si="100"/>
        <v>Milton Keynes18WICU bedsBed based intermediate Care Services (Reablement, rehabilitation, wider short-term services supporting recovery)Other</v>
      </c>
      <c r="O1610" t="s">
        <v>223</v>
      </c>
      <c r="P1610" t="s">
        <v>1056</v>
      </c>
      <c r="Q1610">
        <v>18</v>
      </c>
      <c r="R1610" t="s">
        <v>4333</v>
      </c>
      <c r="S1610" t="s">
        <v>4809</v>
      </c>
      <c r="T1610" t="s">
        <v>877</v>
      </c>
      <c r="U1610" t="s">
        <v>812</v>
      </c>
      <c r="V1610" t="s">
        <v>4810</v>
      </c>
      <c r="W1610">
        <v>19</v>
      </c>
      <c r="X1610">
        <v>19</v>
      </c>
      <c r="Y1610" t="s">
        <v>879</v>
      </c>
      <c r="Z1610" t="s">
        <v>823</v>
      </c>
      <c r="AB1610" t="s">
        <v>824</v>
      </c>
      <c r="AD1610" t="s">
        <v>794</v>
      </c>
      <c r="AE1610" t="s">
        <v>832</v>
      </c>
      <c r="AF1610" t="s">
        <v>796</v>
      </c>
      <c r="AG1610" t="s">
        <v>797</v>
      </c>
      <c r="AH1610">
        <v>2326383</v>
      </c>
      <c r="AI1610">
        <v>2458057</v>
      </c>
      <c r="AJ1610">
        <v>7.9500000000000001E-2</v>
      </c>
    </row>
    <row r="1611" spans="1:36" x14ac:dyDescent="0.3">
      <c r="A1611">
        <f>COUNTIF($D$2:D1611,D1611)</f>
        <v>1</v>
      </c>
      <c r="B1611" t="str">
        <f t="shared" si="101"/>
        <v>1Nottingham</v>
      </c>
      <c r="C1611" t="s">
        <v>4811</v>
      </c>
      <c r="D1611" t="s">
        <v>245</v>
      </c>
      <c r="E1611">
        <v>4</v>
      </c>
      <c r="F1611" t="s">
        <v>4812</v>
      </c>
      <c r="G1611" t="s">
        <v>842</v>
      </c>
      <c r="H1611" t="s">
        <v>843</v>
      </c>
      <c r="I1611" t="s">
        <v>844</v>
      </c>
      <c r="J1611">
        <f t="shared" ca="1" si="102"/>
        <v>2357727</v>
      </c>
      <c r="K1611">
        <f t="shared" ca="1" si="103"/>
        <v>137876.20000000001</v>
      </c>
      <c r="N1611" t="str">
        <f t="shared" si="100"/>
        <v>Milton Keynes19castlemeadBed based intermediate Care Services (Reablement, rehabilitation, wider short-term services supporting recovery)Other</v>
      </c>
      <c r="O1611" t="s">
        <v>223</v>
      </c>
      <c r="P1611" t="s">
        <v>1056</v>
      </c>
      <c r="Q1611">
        <v>19</v>
      </c>
      <c r="R1611" t="s">
        <v>4336</v>
      </c>
      <c r="S1611" t="s">
        <v>4813</v>
      </c>
      <c r="T1611" t="s">
        <v>877</v>
      </c>
      <c r="U1611" t="s">
        <v>812</v>
      </c>
      <c r="V1611" t="s">
        <v>4810</v>
      </c>
      <c r="W1611">
        <v>7</v>
      </c>
      <c r="X1611">
        <v>7</v>
      </c>
      <c r="Y1611" t="s">
        <v>879</v>
      </c>
      <c r="Z1611" t="s">
        <v>823</v>
      </c>
      <c r="AB1611" t="s">
        <v>369</v>
      </c>
      <c r="AD1611" t="s">
        <v>794</v>
      </c>
      <c r="AE1611" t="s">
        <v>804</v>
      </c>
      <c r="AF1611" t="s">
        <v>796</v>
      </c>
      <c r="AG1611" t="s">
        <v>797</v>
      </c>
      <c r="AH1611">
        <v>483004</v>
      </c>
      <c r="AI1611">
        <v>510342</v>
      </c>
      <c r="AJ1611">
        <v>1.6500000000000001E-2</v>
      </c>
    </row>
    <row r="1612" spans="1:36" x14ac:dyDescent="0.3">
      <c r="A1612">
        <f>COUNTIF($D$2:D1612,D1612)</f>
        <v>2</v>
      </c>
      <c r="B1612" t="str">
        <f t="shared" si="101"/>
        <v>2Nottingham</v>
      </c>
      <c r="C1612" t="s">
        <v>4814</v>
      </c>
      <c r="D1612" t="s">
        <v>245</v>
      </c>
      <c r="E1612">
        <v>11</v>
      </c>
      <c r="F1612" t="s">
        <v>1578</v>
      </c>
      <c r="G1612" t="s">
        <v>800</v>
      </c>
      <c r="H1612" t="s">
        <v>850</v>
      </c>
      <c r="I1612" t="s">
        <v>802</v>
      </c>
      <c r="J1612">
        <f t="shared" ca="1" si="102"/>
        <v>334400</v>
      </c>
      <c r="K1612">
        <f t="shared" ca="1" si="103"/>
        <v>7100</v>
      </c>
      <c r="N1612" t="str">
        <f t="shared" si="100"/>
        <v>Milton Keynes20ParklandsBed based intermediate Care Services (Reablement, rehabilitation, wider short-term services supporting recovery)Other</v>
      </c>
      <c r="O1612" t="s">
        <v>223</v>
      </c>
      <c r="P1612" t="s">
        <v>1056</v>
      </c>
      <c r="Q1612">
        <v>20</v>
      </c>
      <c r="R1612" t="s">
        <v>4338</v>
      </c>
      <c r="S1612" t="s">
        <v>4815</v>
      </c>
      <c r="T1612" t="s">
        <v>877</v>
      </c>
      <c r="U1612" t="s">
        <v>812</v>
      </c>
      <c r="V1612" t="s">
        <v>4810</v>
      </c>
      <c r="W1612">
        <v>14</v>
      </c>
      <c r="X1612">
        <v>14</v>
      </c>
      <c r="Y1612" t="s">
        <v>879</v>
      </c>
      <c r="Z1612" t="s">
        <v>823</v>
      </c>
      <c r="AB1612" t="s">
        <v>824</v>
      </c>
      <c r="AD1612" t="s">
        <v>794</v>
      </c>
      <c r="AE1612" t="s">
        <v>804</v>
      </c>
      <c r="AF1612" t="s">
        <v>796</v>
      </c>
      <c r="AG1612" t="s">
        <v>797</v>
      </c>
      <c r="AH1612">
        <v>735327</v>
      </c>
      <c r="AI1612">
        <v>776947</v>
      </c>
      <c r="AJ1612">
        <v>2.5100000000000001E-2</v>
      </c>
    </row>
    <row r="1613" spans="1:36" x14ac:dyDescent="0.3">
      <c r="A1613">
        <f>COUNTIF($D$2:D1613,D1613)</f>
        <v>3</v>
      </c>
      <c r="B1613" t="str">
        <f t="shared" si="101"/>
        <v>3Nottingham</v>
      </c>
      <c r="C1613" t="s">
        <v>4816</v>
      </c>
      <c r="D1613" t="s">
        <v>245</v>
      </c>
      <c r="E1613">
        <v>12</v>
      </c>
      <c r="F1613" t="s">
        <v>1578</v>
      </c>
      <c r="G1613" t="s">
        <v>800</v>
      </c>
      <c r="H1613" t="s">
        <v>903</v>
      </c>
      <c r="I1613" t="s">
        <v>802</v>
      </c>
      <c r="J1613">
        <f t="shared" ca="1" si="102"/>
        <v>115900</v>
      </c>
      <c r="K1613">
        <f t="shared" ca="1" si="103"/>
        <v>300</v>
      </c>
      <c r="N1613" t="str">
        <f t="shared" si="100"/>
        <v>Milton Keynes22Recuperation Beds at the WillowsBed based intermediate Care Services (Reablement, rehabilitation, wider short-term services supporting recovery)Other</v>
      </c>
      <c r="O1613" t="s">
        <v>223</v>
      </c>
      <c r="P1613" t="s">
        <v>1056</v>
      </c>
      <c r="Q1613">
        <v>22</v>
      </c>
      <c r="R1613" t="s">
        <v>4341</v>
      </c>
      <c r="S1613" t="s">
        <v>4817</v>
      </c>
      <c r="T1613" t="s">
        <v>877</v>
      </c>
      <c r="U1613" t="s">
        <v>812</v>
      </c>
      <c r="V1613" t="s">
        <v>4818</v>
      </c>
      <c r="W1613">
        <v>16</v>
      </c>
      <c r="X1613">
        <v>16</v>
      </c>
      <c r="Y1613" t="s">
        <v>879</v>
      </c>
      <c r="Z1613" t="s">
        <v>792</v>
      </c>
      <c r="AB1613" t="s">
        <v>793</v>
      </c>
      <c r="AD1613" t="s">
        <v>794</v>
      </c>
      <c r="AE1613" t="s">
        <v>804</v>
      </c>
      <c r="AF1613" t="s">
        <v>796</v>
      </c>
      <c r="AG1613" t="s">
        <v>797</v>
      </c>
      <c r="AH1613">
        <v>894607</v>
      </c>
      <c r="AI1613">
        <v>945242</v>
      </c>
      <c r="AJ1613">
        <v>3.0599999999999999E-2</v>
      </c>
    </row>
    <row r="1614" spans="1:36" x14ac:dyDescent="0.3">
      <c r="A1614">
        <f>COUNTIF($D$2:D1614,D1614)</f>
        <v>4</v>
      </c>
      <c r="B1614" t="str">
        <f t="shared" si="101"/>
        <v>4Nottingham</v>
      </c>
      <c r="C1614" t="s">
        <v>4819</v>
      </c>
      <c r="D1614" t="s">
        <v>245</v>
      </c>
      <c r="E1614">
        <v>13</v>
      </c>
      <c r="F1614" t="s">
        <v>1578</v>
      </c>
      <c r="G1614" t="s">
        <v>800</v>
      </c>
      <c r="H1614" t="s">
        <v>903</v>
      </c>
      <c r="I1614" t="s">
        <v>802</v>
      </c>
      <c r="J1614">
        <f t="shared" ca="1" si="102"/>
        <v>21077.60737570671</v>
      </c>
      <c r="K1614">
        <f t="shared" ca="1" si="103"/>
        <v>7000</v>
      </c>
      <c r="N1614" t="str">
        <f t="shared" si="100"/>
        <v>Milton Keynes27Integrated Community Equipment Assistive Technologies and EquipmentCommunity based equipment</v>
      </c>
      <c r="O1614" t="s">
        <v>223</v>
      </c>
      <c r="P1614" t="s">
        <v>1056</v>
      </c>
      <c r="Q1614">
        <v>27</v>
      </c>
      <c r="R1614" t="s">
        <v>4343</v>
      </c>
      <c r="S1614" t="s">
        <v>4820</v>
      </c>
      <c r="T1614" t="s">
        <v>800</v>
      </c>
      <c r="U1614" t="s">
        <v>903</v>
      </c>
      <c r="W1614">
        <v>509</v>
      </c>
      <c r="X1614">
        <v>538</v>
      </c>
      <c r="Y1614" t="s">
        <v>802</v>
      </c>
      <c r="Z1614" t="s">
        <v>812</v>
      </c>
      <c r="AA1614" t="s">
        <v>2098</v>
      </c>
      <c r="AB1614" t="s">
        <v>1739</v>
      </c>
      <c r="AC1614">
        <v>0.5</v>
      </c>
      <c r="AD1614">
        <v>0.5</v>
      </c>
      <c r="AE1614" t="s">
        <v>795</v>
      </c>
      <c r="AF1614" t="s">
        <v>796</v>
      </c>
      <c r="AG1614" t="s">
        <v>797</v>
      </c>
      <c r="AH1614">
        <v>297883</v>
      </c>
      <c r="AI1614">
        <v>315011</v>
      </c>
      <c r="AJ1614">
        <v>1.0200000000000001E-2</v>
      </c>
    </row>
    <row r="1615" spans="1:36" x14ac:dyDescent="0.3">
      <c r="A1615">
        <f>COUNTIF($D$2:D1615,D1615)</f>
        <v>5</v>
      </c>
      <c r="B1615" t="str">
        <f t="shared" si="101"/>
        <v>5Nottingham</v>
      </c>
      <c r="C1615" t="s">
        <v>4821</v>
      </c>
      <c r="D1615" t="s">
        <v>245</v>
      </c>
      <c r="E1615">
        <v>14</v>
      </c>
      <c r="F1615" t="s">
        <v>1250</v>
      </c>
      <c r="G1615" t="s">
        <v>811</v>
      </c>
      <c r="H1615" t="s">
        <v>830</v>
      </c>
      <c r="I1615" t="s">
        <v>813</v>
      </c>
      <c r="J1615">
        <f t="shared" ca="1" si="102"/>
        <v>714040</v>
      </c>
      <c r="K1615">
        <f t="shared" ca="1" si="103"/>
        <v>2545</v>
      </c>
      <c r="N1615" t="str">
        <f t="shared" si="100"/>
        <v>Milton Keynes28Housing adaptationDFG Related SchemesAdaptations, including statutory DFG grants</v>
      </c>
      <c r="O1615" t="s">
        <v>223</v>
      </c>
      <c r="P1615" t="s">
        <v>1056</v>
      </c>
      <c r="Q1615">
        <v>28</v>
      </c>
      <c r="R1615" t="s">
        <v>4345</v>
      </c>
      <c r="S1615" t="s">
        <v>1098</v>
      </c>
      <c r="T1615" t="s">
        <v>834</v>
      </c>
      <c r="U1615" t="s">
        <v>835</v>
      </c>
      <c r="W1615">
        <v>200</v>
      </c>
      <c r="X1615">
        <v>200</v>
      </c>
      <c r="Y1615" t="s">
        <v>836</v>
      </c>
      <c r="Z1615" t="s">
        <v>792</v>
      </c>
      <c r="AB1615" t="s">
        <v>793</v>
      </c>
      <c r="AD1615" t="s">
        <v>794</v>
      </c>
      <c r="AE1615" t="s">
        <v>804</v>
      </c>
      <c r="AF1615" t="s">
        <v>840</v>
      </c>
      <c r="AG1615" t="s">
        <v>797</v>
      </c>
      <c r="AH1615">
        <v>1267783</v>
      </c>
      <c r="AI1615">
        <v>1267783</v>
      </c>
      <c r="AJ1615">
        <v>4.3299999999999998E-2</v>
      </c>
    </row>
    <row r="1616" spans="1:36" x14ac:dyDescent="0.3">
      <c r="A1616">
        <f>COUNTIF($D$2:D1616,D1616)</f>
        <v>6</v>
      </c>
      <c r="B1616" t="str">
        <f t="shared" si="101"/>
        <v>6Nottingham</v>
      </c>
      <c r="C1616" t="s">
        <v>4822</v>
      </c>
      <c r="D1616" t="s">
        <v>245</v>
      </c>
      <c r="E1616">
        <v>16</v>
      </c>
      <c r="F1616" t="s">
        <v>891</v>
      </c>
      <c r="G1616" t="s">
        <v>834</v>
      </c>
      <c r="H1616" t="s">
        <v>835</v>
      </c>
      <c r="I1616" t="s">
        <v>836</v>
      </c>
      <c r="J1616">
        <f t="shared" ca="1" si="102"/>
        <v>2768450</v>
      </c>
      <c r="K1616">
        <f t="shared" ca="1" si="103"/>
        <v>210</v>
      </c>
      <c r="N1616" t="str">
        <f t="shared" si="100"/>
        <v>Milton Keynes29MKCC Homecare serviceHome Care or Domiciliary CareDomiciliary care packages</v>
      </c>
      <c r="O1616" t="s">
        <v>223</v>
      </c>
      <c r="P1616" t="s">
        <v>1056</v>
      </c>
      <c r="Q1616">
        <v>29</v>
      </c>
      <c r="R1616" t="s">
        <v>4348</v>
      </c>
      <c r="S1616" t="s">
        <v>4823</v>
      </c>
      <c r="T1616" t="s">
        <v>842</v>
      </c>
      <c r="U1616" t="s">
        <v>843</v>
      </c>
      <c r="W1616">
        <v>23992</v>
      </c>
      <c r="X1616">
        <v>23992</v>
      </c>
      <c r="Y1616" t="s">
        <v>844</v>
      </c>
      <c r="Z1616" t="s">
        <v>792</v>
      </c>
      <c r="AB1616" t="s">
        <v>793</v>
      </c>
      <c r="AD1616" t="s">
        <v>794</v>
      </c>
      <c r="AE1616" t="s">
        <v>795</v>
      </c>
      <c r="AF1616" t="s">
        <v>845</v>
      </c>
      <c r="AG1616" t="s">
        <v>797</v>
      </c>
      <c r="AH1616">
        <v>1209000</v>
      </c>
      <c r="AI1616">
        <v>1209000</v>
      </c>
      <c r="AJ1616">
        <v>4.1300000000000003E-2</v>
      </c>
    </row>
    <row r="1617" spans="1:36" x14ac:dyDescent="0.3">
      <c r="A1617">
        <f>COUNTIF($D$2:D1617,D1617)</f>
        <v>7</v>
      </c>
      <c r="B1617" t="str">
        <f t="shared" si="101"/>
        <v>7Nottingham</v>
      </c>
      <c r="C1617" t="s">
        <v>4824</v>
      </c>
      <c r="D1617" t="s">
        <v>245</v>
      </c>
      <c r="E1617">
        <v>18</v>
      </c>
      <c r="F1617" t="s">
        <v>1464</v>
      </c>
      <c r="G1617" t="s">
        <v>787</v>
      </c>
      <c r="H1617" t="s">
        <v>1011</v>
      </c>
      <c r="I1617" t="s">
        <v>789</v>
      </c>
      <c r="J1617">
        <f t="shared" ca="1" si="102"/>
        <v>1269521</v>
      </c>
      <c r="K1617">
        <f t="shared" ca="1" si="103"/>
        <v>1659</v>
      </c>
      <c r="N1617" t="str">
        <f t="shared" si="100"/>
        <v>Milton Keynes32Community alarm serviceAssistive Technologies and EquipmentAssistive technologies including telecare</v>
      </c>
      <c r="O1617" t="s">
        <v>223</v>
      </c>
      <c r="P1617" t="s">
        <v>1056</v>
      </c>
      <c r="Q1617">
        <v>32</v>
      </c>
      <c r="R1617" t="s">
        <v>4351</v>
      </c>
      <c r="S1617" t="s">
        <v>4825</v>
      </c>
      <c r="T1617" t="s">
        <v>800</v>
      </c>
      <c r="U1617" t="s">
        <v>850</v>
      </c>
      <c r="W1617">
        <v>916</v>
      </c>
      <c r="X1617">
        <v>916</v>
      </c>
      <c r="Y1617" t="s">
        <v>802</v>
      </c>
      <c r="Z1617" t="s">
        <v>792</v>
      </c>
      <c r="AB1617" t="s">
        <v>793</v>
      </c>
      <c r="AD1617" t="s">
        <v>794</v>
      </c>
      <c r="AE1617" t="s">
        <v>795</v>
      </c>
      <c r="AF1617" t="s">
        <v>845</v>
      </c>
      <c r="AG1617" t="s">
        <v>797</v>
      </c>
      <c r="AH1617">
        <v>406000</v>
      </c>
      <c r="AI1617">
        <v>406000</v>
      </c>
      <c r="AJ1617">
        <v>1.3899999999999999E-2</v>
      </c>
    </row>
    <row r="1618" spans="1:36" x14ac:dyDescent="0.3">
      <c r="A1618">
        <f>COUNTIF($D$2:D1618,D1618)</f>
        <v>8</v>
      </c>
      <c r="B1618" t="str">
        <f t="shared" si="101"/>
        <v>8Nottingham</v>
      </c>
      <c r="C1618" t="s">
        <v>4826</v>
      </c>
      <c r="D1618" t="s">
        <v>245</v>
      </c>
      <c r="E1618">
        <v>19</v>
      </c>
      <c r="F1618" t="s">
        <v>1464</v>
      </c>
      <c r="G1618" t="s">
        <v>842</v>
      </c>
      <c r="H1618" t="s">
        <v>843</v>
      </c>
      <c r="I1618" t="s">
        <v>844</v>
      </c>
      <c r="J1618">
        <f t="shared" ca="1" si="102"/>
        <v>1172561</v>
      </c>
      <c r="K1618">
        <f t="shared" ca="1" si="103"/>
        <v>18500</v>
      </c>
      <c r="N1618" t="str">
        <f t="shared" si="100"/>
        <v>Milton Keynes33Home recuperation servicesHome Care or Domiciliary CareShort term domiciliary care (without reablement input)</v>
      </c>
      <c r="O1618" t="s">
        <v>223</v>
      </c>
      <c r="P1618" t="s">
        <v>1056</v>
      </c>
      <c r="Q1618">
        <v>33</v>
      </c>
      <c r="R1618" t="s">
        <v>4354</v>
      </c>
      <c r="S1618" t="s">
        <v>4827</v>
      </c>
      <c r="T1618" t="s">
        <v>842</v>
      </c>
      <c r="U1618" t="s">
        <v>1102</v>
      </c>
      <c r="W1618">
        <v>122</v>
      </c>
      <c r="X1618">
        <v>122</v>
      </c>
      <c r="Y1618" t="s">
        <v>789</v>
      </c>
      <c r="Z1618" t="s">
        <v>792</v>
      </c>
      <c r="AB1618" t="s">
        <v>793</v>
      </c>
      <c r="AD1618" t="s">
        <v>794</v>
      </c>
      <c r="AE1618" t="s">
        <v>804</v>
      </c>
      <c r="AF1618" t="s">
        <v>845</v>
      </c>
      <c r="AG1618" t="s">
        <v>797</v>
      </c>
      <c r="AH1618">
        <v>480000</v>
      </c>
      <c r="AI1618">
        <v>480000</v>
      </c>
      <c r="AJ1618">
        <v>1.6400000000000001E-2</v>
      </c>
    </row>
    <row r="1619" spans="1:36" x14ac:dyDescent="0.3">
      <c r="A1619">
        <f>COUNTIF($D$2:D1619,D1619)</f>
        <v>9</v>
      </c>
      <c r="B1619" t="str">
        <f t="shared" si="101"/>
        <v>9Nottingham</v>
      </c>
      <c r="C1619" t="s">
        <v>4828</v>
      </c>
      <c r="D1619" t="s">
        <v>245</v>
      </c>
      <c r="E1619">
        <v>27</v>
      </c>
      <c r="F1619" t="s">
        <v>4829</v>
      </c>
      <c r="G1619" t="s">
        <v>787</v>
      </c>
      <c r="H1619" t="s">
        <v>788</v>
      </c>
      <c r="I1619" t="s">
        <v>789</v>
      </c>
      <c r="J1619">
        <f t="shared" ca="1" si="102"/>
        <v>1851950</v>
      </c>
      <c r="K1619">
        <f t="shared" ca="1" si="103"/>
        <v>5200</v>
      </c>
      <c r="N1619" t="str">
        <f t="shared" si="100"/>
        <v>Milton Keynes36Falaise FlatsBed based intermediate Care Services (Reablement, rehabilitation, wider short-term services supporting recovery)Bed-based intermediate care with rehabilitation (to support admission avoidance)</v>
      </c>
      <c r="O1619" t="s">
        <v>223</v>
      </c>
      <c r="P1619" t="s">
        <v>1056</v>
      </c>
      <c r="Q1619">
        <v>36</v>
      </c>
      <c r="R1619" t="s">
        <v>4357</v>
      </c>
      <c r="S1619" t="s">
        <v>4830</v>
      </c>
      <c r="T1619" t="s">
        <v>877</v>
      </c>
      <c r="U1619" t="s">
        <v>1018</v>
      </c>
      <c r="W1619">
        <v>2</v>
      </c>
      <c r="X1619">
        <v>2</v>
      </c>
      <c r="Y1619" t="s">
        <v>879</v>
      </c>
      <c r="Z1619" t="s">
        <v>792</v>
      </c>
      <c r="AB1619" t="s">
        <v>793</v>
      </c>
      <c r="AD1619" t="s">
        <v>794</v>
      </c>
      <c r="AE1619" t="s">
        <v>795</v>
      </c>
      <c r="AF1619" t="s">
        <v>845</v>
      </c>
      <c r="AG1619" t="s">
        <v>797</v>
      </c>
      <c r="AH1619">
        <v>20000</v>
      </c>
      <c r="AI1619">
        <v>20000</v>
      </c>
      <c r="AJ1619">
        <v>6.9999999999999999E-4</v>
      </c>
    </row>
    <row r="1620" spans="1:36" x14ac:dyDescent="0.3">
      <c r="A1620">
        <f>COUNTIF($D$2:D1620,D1620)</f>
        <v>10</v>
      </c>
      <c r="B1620" t="str">
        <f t="shared" si="101"/>
        <v>10Nottingham</v>
      </c>
      <c r="C1620" t="s">
        <v>4831</v>
      </c>
      <c r="D1620" t="s">
        <v>245</v>
      </c>
      <c r="E1620">
        <v>29</v>
      </c>
      <c r="F1620" t="s">
        <v>4829</v>
      </c>
      <c r="G1620" t="s">
        <v>787</v>
      </c>
      <c r="H1620" t="s">
        <v>1195</v>
      </c>
      <c r="I1620" t="s">
        <v>789</v>
      </c>
      <c r="J1620">
        <f t="shared" ca="1" si="102"/>
        <v>2327687.7762848497</v>
      </c>
      <c r="K1620">
        <f t="shared" ca="1" si="103"/>
        <v>1430</v>
      </c>
      <c r="N1620" t="str">
        <f t="shared" si="100"/>
        <v>Milton Keynes37Rapid Response CarerHome Care or Domiciliary CareDomiciliary care packages</v>
      </c>
      <c r="O1620" t="s">
        <v>223</v>
      </c>
      <c r="P1620" t="s">
        <v>1056</v>
      </c>
      <c r="Q1620">
        <v>37</v>
      </c>
      <c r="R1620" t="s">
        <v>4360</v>
      </c>
      <c r="S1620" t="s">
        <v>4832</v>
      </c>
      <c r="T1620" t="s">
        <v>842</v>
      </c>
      <c r="U1620" t="s">
        <v>843</v>
      </c>
      <c r="W1620">
        <v>1078</v>
      </c>
      <c r="X1620">
        <v>1078</v>
      </c>
      <c r="Y1620" t="s">
        <v>844</v>
      </c>
      <c r="Z1620" t="s">
        <v>792</v>
      </c>
      <c r="AB1620" t="s">
        <v>793</v>
      </c>
      <c r="AD1620" t="s">
        <v>794</v>
      </c>
      <c r="AE1620" t="s">
        <v>795</v>
      </c>
      <c r="AF1620" t="s">
        <v>845</v>
      </c>
      <c r="AG1620" t="s">
        <v>797</v>
      </c>
      <c r="AH1620">
        <v>50000</v>
      </c>
      <c r="AI1620">
        <v>50000</v>
      </c>
      <c r="AJ1620">
        <v>1.6999999999999999E-3</v>
      </c>
    </row>
    <row r="1621" spans="1:36" x14ac:dyDescent="0.3">
      <c r="A1621">
        <f>COUNTIF($D$2:D1621,D1621)</f>
        <v>11</v>
      </c>
      <c r="B1621" t="str">
        <f t="shared" si="101"/>
        <v>11Nottingham</v>
      </c>
      <c r="C1621" t="s">
        <v>4833</v>
      </c>
      <c r="D1621" t="s">
        <v>245</v>
      </c>
      <c r="E1621">
        <v>25</v>
      </c>
      <c r="F1621" t="s">
        <v>1464</v>
      </c>
      <c r="G1621" t="s">
        <v>800</v>
      </c>
      <c r="H1621" t="s">
        <v>850</v>
      </c>
      <c r="I1621" t="s">
        <v>802</v>
      </c>
      <c r="J1621">
        <f t="shared" ca="1" si="102"/>
        <v>54000</v>
      </c>
      <c r="K1621">
        <f t="shared" ca="1" si="103"/>
        <v>191</v>
      </c>
      <c r="N1621" t="str">
        <f t="shared" si="100"/>
        <v>Milton Keynes40Home care Incentives Home Care or Domiciliary CareDomiciliary care to support hospital discharge (Discharge to Assess pathway 1)</v>
      </c>
      <c r="O1621" t="s">
        <v>223</v>
      </c>
      <c r="P1621" t="s">
        <v>1056</v>
      </c>
      <c r="Q1621">
        <v>40</v>
      </c>
      <c r="R1621" t="s">
        <v>4363</v>
      </c>
      <c r="S1621" t="s">
        <v>4834</v>
      </c>
      <c r="T1621" t="s">
        <v>842</v>
      </c>
      <c r="U1621" t="s">
        <v>856</v>
      </c>
      <c r="W1621">
        <v>1125</v>
      </c>
      <c r="X1621">
        <v>1125</v>
      </c>
      <c r="Y1621" t="s">
        <v>844</v>
      </c>
      <c r="Z1621" t="s">
        <v>792</v>
      </c>
      <c r="AB1621" t="s">
        <v>793</v>
      </c>
      <c r="AD1621" t="s">
        <v>794</v>
      </c>
      <c r="AE1621" t="s">
        <v>804</v>
      </c>
      <c r="AF1621" t="s">
        <v>845</v>
      </c>
      <c r="AG1621" t="s">
        <v>797</v>
      </c>
      <c r="AH1621">
        <v>30000</v>
      </c>
      <c r="AI1621">
        <v>30000</v>
      </c>
      <c r="AJ1621">
        <v>1E-3</v>
      </c>
    </row>
    <row r="1622" spans="1:36" x14ac:dyDescent="0.3">
      <c r="A1622">
        <f>COUNTIF($D$2:D1622,D1622)</f>
        <v>1</v>
      </c>
      <c r="B1622" t="str">
        <f t="shared" si="101"/>
        <v>1Nottinghamshire</v>
      </c>
      <c r="C1622" t="s">
        <v>4835</v>
      </c>
      <c r="D1622" t="s">
        <v>247</v>
      </c>
      <c r="E1622">
        <v>2</v>
      </c>
      <c r="F1622" t="s">
        <v>4836</v>
      </c>
      <c r="G1622" t="s">
        <v>877</v>
      </c>
      <c r="H1622" t="s">
        <v>968</v>
      </c>
      <c r="I1622" t="s">
        <v>879</v>
      </c>
      <c r="J1622">
        <f t="shared" ca="1" si="102"/>
        <v>7815816</v>
      </c>
      <c r="K1622">
        <f t="shared" ca="1" si="103"/>
        <v>1008</v>
      </c>
      <c r="N1622" t="str">
        <f t="shared" si="100"/>
        <v>Milton Keynes44Homecare Home Care or Domiciliary CareDomiciliary care packages</v>
      </c>
      <c r="O1622" t="s">
        <v>223</v>
      </c>
      <c r="P1622" t="s">
        <v>1056</v>
      </c>
      <c r="Q1622">
        <v>44</v>
      </c>
      <c r="R1622" t="s">
        <v>4366</v>
      </c>
      <c r="S1622" t="s">
        <v>4837</v>
      </c>
      <c r="T1622" t="s">
        <v>842</v>
      </c>
      <c r="U1622" t="s">
        <v>843</v>
      </c>
      <c r="W1622">
        <v>79355</v>
      </c>
      <c r="X1622">
        <v>79355</v>
      </c>
      <c r="Y1622" t="s">
        <v>844</v>
      </c>
      <c r="Z1622" t="s">
        <v>792</v>
      </c>
      <c r="AB1622" t="s">
        <v>793</v>
      </c>
      <c r="AD1622" t="s">
        <v>794</v>
      </c>
      <c r="AE1622" t="s">
        <v>795</v>
      </c>
      <c r="AF1622" t="s">
        <v>845</v>
      </c>
      <c r="AG1622" t="s">
        <v>797</v>
      </c>
      <c r="AH1622">
        <v>1799000</v>
      </c>
      <c r="AI1622">
        <v>1799000</v>
      </c>
      <c r="AJ1622">
        <v>6.1400000000000003E-2</v>
      </c>
    </row>
    <row r="1623" spans="1:36" x14ac:dyDescent="0.3">
      <c r="A1623">
        <f>COUNTIF($D$2:D1623,D1623)</f>
        <v>2</v>
      </c>
      <c r="B1623" t="str">
        <f t="shared" si="101"/>
        <v>2Nottinghamshire</v>
      </c>
      <c r="C1623" t="s">
        <v>4838</v>
      </c>
      <c r="D1623" t="s">
        <v>247</v>
      </c>
      <c r="E1623">
        <v>12</v>
      </c>
      <c r="F1623" t="s">
        <v>4839</v>
      </c>
      <c r="G1623" t="s">
        <v>811</v>
      </c>
      <c r="H1623" t="s">
        <v>830</v>
      </c>
      <c r="I1623" t="s">
        <v>813</v>
      </c>
      <c r="J1623">
        <f t="shared" ca="1" si="102"/>
        <v>352808</v>
      </c>
      <c r="K1623">
        <f t="shared" ca="1" si="103"/>
        <v>403</v>
      </c>
      <c r="N1623" t="str">
        <f t="shared" si="100"/>
        <v>Milton Keynes45Carers ServicesCarers ServicesOther</v>
      </c>
      <c r="O1623" t="s">
        <v>223</v>
      </c>
      <c r="P1623" t="s">
        <v>1056</v>
      </c>
      <c r="Q1623">
        <v>45</v>
      </c>
      <c r="R1623" t="s">
        <v>811</v>
      </c>
      <c r="S1623" t="s">
        <v>4840</v>
      </c>
      <c r="T1623" t="s">
        <v>811</v>
      </c>
      <c r="U1623" t="s">
        <v>812</v>
      </c>
      <c r="V1623" t="s">
        <v>2548</v>
      </c>
      <c r="W1623">
        <v>7244</v>
      </c>
      <c r="X1623">
        <v>7244</v>
      </c>
      <c r="Y1623" t="s">
        <v>813</v>
      </c>
      <c r="Z1623" t="s">
        <v>792</v>
      </c>
      <c r="AB1623" t="s">
        <v>793</v>
      </c>
      <c r="AD1623" t="s">
        <v>794</v>
      </c>
      <c r="AE1623" t="s">
        <v>825</v>
      </c>
      <c r="AF1623" t="s">
        <v>845</v>
      </c>
      <c r="AG1623" t="s">
        <v>797</v>
      </c>
      <c r="AH1623">
        <v>100000</v>
      </c>
      <c r="AI1623">
        <v>100000</v>
      </c>
      <c r="AJ1623">
        <v>3.3999999999999998E-3</v>
      </c>
    </row>
    <row r="1624" spans="1:36" x14ac:dyDescent="0.3">
      <c r="A1624">
        <f>COUNTIF($D$2:D1624,D1624)</f>
        <v>3</v>
      </c>
      <c r="B1624" t="str">
        <f t="shared" si="101"/>
        <v>3Nottinghamshire</v>
      </c>
      <c r="C1624" t="s">
        <v>4841</v>
      </c>
      <c r="D1624" t="s">
        <v>247</v>
      </c>
      <c r="E1624">
        <v>21</v>
      </c>
      <c r="F1624" t="s">
        <v>4842</v>
      </c>
      <c r="G1624" t="s">
        <v>811</v>
      </c>
      <c r="H1624" t="s">
        <v>895</v>
      </c>
      <c r="I1624" t="s">
        <v>813</v>
      </c>
      <c r="J1624">
        <f t="shared" ca="1" si="102"/>
        <v>1655075</v>
      </c>
      <c r="K1624">
        <f t="shared" ca="1" si="103"/>
        <v>5855</v>
      </c>
      <c r="N1624" t="str">
        <f t="shared" si="100"/>
        <v>Milton Keynes47Step down beds at the WillowsBed based intermediate Care Services (Reablement, rehabilitation, wider short-term services supporting recovery)Other</v>
      </c>
      <c r="O1624" t="s">
        <v>223</v>
      </c>
      <c r="P1624" t="s">
        <v>1056</v>
      </c>
      <c r="Q1624">
        <v>47</v>
      </c>
      <c r="R1624" t="s">
        <v>4371</v>
      </c>
      <c r="S1624" t="s">
        <v>4371</v>
      </c>
      <c r="T1624" t="s">
        <v>877</v>
      </c>
      <c r="U1624" t="s">
        <v>812</v>
      </c>
      <c r="V1624" t="s">
        <v>1394</v>
      </c>
      <c r="W1624">
        <v>12</v>
      </c>
      <c r="X1624">
        <v>12</v>
      </c>
      <c r="Y1624" t="s">
        <v>879</v>
      </c>
      <c r="Z1624" t="s">
        <v>792</v>
      </c>
      <c r="AB1624" t="s">
        <v>793</v>
      </c>
      <c r="AD1624" t="s">
        <v>794</v>
      </c>
      <c r="AE1624" t="s">
        <v>804</v>
      </c>
      <c r="AF1624" t="s">
        <v>796</v>
      </c>
      <c r="AG1624" t="s">
        <v>797</v>
      </c>
      <c r="AH1624">
        <v>168501</v>
      </c>
      <c r="AI1624">
        <v>178037</v>
      </c>
      <c r="AJ1624">
        <v>5.7999999999999996E-3</v>
      </c>
    </row>
    <row r="1625" spans="1:36" x14ac:dyDescent="0.3">
      <c r="A1625">
        <f>COUNTIF($D$2:D1625,D1625)</f>
        <v>4</v>
      </c>
      <c r="B1625" t="str">
        <f t="shared" si="101"/>
        <v>4Nottinghamshire</v>
      </c>
      <c r="C1625" t="s">
        <v>4843</v>
      </c>
      <c r="D1625" t="s">
        <v>247</v>
      </c>
      <c r="E1625">
        <v>23</v>
      </c>
      <c r="F1625" t="s">
        <v>4844</v>
      </c>
      <c r="G1625" t="s">
        <v>806</v>
      </c>
      <c r="H1625" t="s">
        <v>917</v>
      </c>
      <c r="I1625" t="s">
        <v>808</v>
      </c>
      <c r="J1625">
        <f t="shared" ca="1" si="102"/>
        <v>2762810</v>
      </c>
      <c r="K1625">
        <f t="shared" ca="1" si="103"/>
        <v>80</v>
      </c>
      <c r="N1625" t="str">
        <f t="shared" si="100"/>
        <v>Milton Keynes48Highclere 8 bedsBed based intermediate Care Services (Reablement, rehabilitation, wider short-term services supporting recovery)Other</v>
      </c>
      <c r="O1625" t="s">
        <v>223</v>
      </c>
      <c r="P1625" t="s">
        <v>1056</v>
      </c>
      <c r="Q1625">
        <v>48</v>
      </c>
      <c r="R1625" t="s">
        <v>4374</v>
      </c>
      <c r="S1625" t="s">
        <v>4845</v>
      </c>
      <c r="T1625" t="s">
        <v>877</v>
      </c>
      <c r="U1625" t="s">
        <v>812</v>
      </c>
      <c r="V1625" t="s">
        <v>4846</v>
      </c>
      <c r="W1625">
        <v>8</v>
      </c>
      <c r="X1625">
        <v>8</v>
      </c>
      <c r="Y1625" t="s">
        <v>879</v>
      </c>
      <c r="Z1625" t="s">
        <v>823</v>
      </c>
      <c r="AB1625" t="s">
        <v>824</v>
      </c>
      <c r="AD1625" t="s">
        <v>794</v>
      </c>
      <c r="AE1625" t="s">
        <v>804</v>
      </c>
      <c r="AF1625" t="s">
        <v>796</v>
      </c>
      <c r="AG1625" t="s">
        <v>797</v>
      </c>
      <c r="AH1625">
        <v>446000</v>
      </c>
      <c r="AI1625">
        <v>471244</v>
      </c>
      <c r="AJ1625">
        <v>1.52E-2</v>
      </c>
    </row>
    <row r="1626" spans="1:36" x14ac:dyDescent="0.3">
      <c r="A1626">
        <f>COUNTIF($D$2:D1626,D1626)</f>
        <v>5</v>
      </c>
      <c r="B1626" t="str">
        <f t="shared" si="101"/>
        <v>5Nottinghamshire</v>
      </c>
      <c r="C1626" t="s">
        <v>4847</v>
      </c>
      <c r="D1626" t="s">
        <v>247</v>
      </c>
      <c r="E1626">
        <v>24</v>
      </c>
      <c r="F1626" t="s">
        <v>4844</v>
      </c>
      <c r="G1626" t="s">
        <v>806</v>
      </c>
      <c r="H1626" t="s">
        <v>873</v>
      </c>
      <c r="I1626" t="s">
        <v>808</v>
      </c>
      <c r="J1626">
        <f t="shared" ca="1" si="102"/>
        <v>3414268</v>
      </c>
      <c r="K1626">
        <f t="shared" ca="1" si="103"/>
        <v>160</v>
      </c>
      <c r="N1626" t="str">
        <f t="shared" si="100"/>
        <v>Milton Keynes53Carers Carers ServicesOther</v>
      </c>
      <c r="O1626" t="s">
        <v>223</v>
      </c>
      <c r="P1626" t="s">
        <v>1056</v>
      </c>
      <c r="Q1626">
        <v>53</v>
      </c>
      <c r="R1626" t="s">
        <v>4377</v>
      </c>
      <c r="S1626" t="s">
        <v>4801</v>
      </c>
      <c r="T1626" t="s">
        <v>811</v>
      </c>
      <c r="U1626" t="s">
        <v>812</v>
      </c>
      <c r="V1626" t="s">
        <v>4848</v>
      </c>
      <c r="W1626">
        <v>500</v>
      </c>
      <c r="X1626">
        <v>500</v>
      </c>
      <c r="Y1626" t="s">
        <v>813</v>
      </c>
      <c r="Z1626" t="s">
        <v>792</v>
      </c>
      <c r="AB1626" t="s">
        <v>793</v>
      </c>
      <c r="AD1626" t="s">
        <v>794</v>
      </c>
      <c r="AE1626" t="s">
        <v>795</v>
      </c>
      <c r="AF1626" t="s">
        <v>845</v>
      </c>
      <c r="AG1626" t="s">
        <v>797</v>
      </c>
      <c r="AH1626">
        <v>100000</v>
      </c>
      <c r="AI1626">
        <v>100000</v>
      </c>
      <c r="AJ1626">
        <v>3.3999999999999998E-3</v>
      </c>
    </row>
    <row r="1627" spans="1:36" x14ac:dyDescent="0.3">
      <c r="A1627">
        <f>COUNTIF($D$2:D1627,D1627)</f>
        <v>6</v>
      </c>
      <c r="B1627" t="str">
        <f t="shared" si="101"/>
        <v>6Nottinghamshire</v>
      </c>
      <c r="C1627" t="s">
        <v>4849</v>
      </c>
      <c r="D1627" t="s">
        <v>247</v>
      </c>
      <c r="E1627">
        <v>27</v>
      </c>
      <c r="F1627" t="s">
        <v>4850</v>
      </c>
      <c r="G1627" t="s">
        <v>834</v>
      </c>
      <c r="H1627" t="s">
        <v>812</v>
      </c>
      <c r="I1627" t="s">
        <v>836</v>
      </c>
      <c r="J1627">
        <f t="shared" ca="1" si="102"/>
        <v>7886632</v>
      </c>
      <c r="K1627">
        <f t="shared" ca="1" si="103"/>
        <v>520</v>
      </c>
      <c r="N1627" t="str">
        <f t="shared" si="100"/>
        <v>Milton Keynes59Live in Care optionsHome Care or Domiciliary CareDomiciliary care to support hospital discharge (Discharge to Assess pathway 1)</v>
      </c>
      <c r="O1627" t="s">
        <v>223</v>
      </c>
      <c r="P1627" t="s">
        <v>1056</v>
      </c>
      <c r="Q1627">
        <v>59</v>
      </c>
      <c r="R1627" t="s">
        <v>4379</v>
      </c>
      <c r="S1627" t="s">
        <v>4851</v>
      </c>
      <c r="T1627" t="s">
        <v>842</v>
      </c>
      <c r="U1627" t="s">
        <v>856</v>
      </c>
      <c r="W1627">
        <v>631</v>
      </c>
      <c r="X1627">
        <v>631</v>
      </c>
      <c r="Y1627" t="s">
        <v>844</v>
      </c>
      <c r="Z1627" t="s">
        <v>792</v>
      </c>
      <c r="AB1627" t="s">
        <v>793</v>
      </c>
      <c r="AD1627" t="s">
        <v>794</v>
      </c>
      <c r="AE1627" t="s">
        <v>795</v>
      </c>
      <c r="AF1627" t="s">
        <v>864</v>
      </c>
      <c r="AG1627" t="s">
        <v>861</v>
      </c>
      <c r="AH1627">
        <v>100000</v>
      </c>
      <c r="AI1627">
        <v>163660.05144186912</v>
      </c>
      <c r="AJ1627">
        <v>3.3999999999999998E-3</v>
      </c>
    </row>
    <row r="1628" spans="1:36" x14ac:dyDescent="0.3">
      <c r="A1628">
        <f>COUNTIF($D$2:D1628,D1628)</f>
        <v>7</v>
      </c>
      <c r="B1628" t="str">
        <f t="shared" si="101"/>
        <v>7Nottinghamshire</v>
      </c>
      <c r="C1628" t="s">
        <v>4852</v>
      </c>
      <c r="D1628" t="s">
        <v>247</v>
      </c>
      <c r="E1628">
        <v>34</v>
      </c>
      <c r="F1628" t="s">
        <v>4829</v>
      </c>
      <c r="G1628" t="s">
        <v>787</v>
      </c>
      <c r="H1628" t="s">
        <v>788</v>
      </c>
      <c r="I1628" t="s">
        <v>789</v>
      </c>
      <c r="J1628">
        <f t="shared" ca="1" si="102"/>
        <v>3518050</v>
      </c>
      <c r="K1628">
        <f t="shared" ca="1" si="103"/>
        <v>10400</v>
      </c>
      <c r="N1628" t="str">
        <f t="shared" si="100"/>
        <v>Milton Keynes60Bridging CareHome Care or Domiciliary CareDomiciliary care to support hospital discharge (Discharge to Assess pathway 1)</v>
      </c>
      <c r="O1628" t="s">
        <v>223</v>
      </c>
      <c r="P1628" t="s">
        <v>1056</v>
      </c>
      <c r="Q1628">
        <v>60</v>
      </c>
      <c r="R1628" t="s">
        <v>4381</v>
      </c>
      <c r="S1628" t="s">
        <v>4853</v>
      </c>
      <c r="T1628" t="s">
        <v>842</v>
      </c>
      <c r="U1628" t="s">
        <v>856</v>
      </c>
      <c r="W1628">
        <v>350</v>
      </c>
      <c r="X1628">
        <v>350</v>
      </c>
      <c r="Y1628" t="s">
        <v>844</v>
      </c>
      <c r="Z1628" t="s">
        <v>792</v>
      </c>
      <c r="AB1628" t="s">
        <v>793</v>
      </c>
      <c r="AD1628" t="s">
        <v>794</v>
      </c>
      <c r="AE1628" t="s">
        <v>795</v>
      </c>
      <c r="AF1628" t="s">
        <v>864</v>
      </c>
      <c r="AG1628" t="s">
        <v>861</v>
      </c>
      <c r="AH1628">
        <v>550000</v>
      </c>
      <c r="AI1628">
        <v>900130.28293027997</v>
      </c>
      <c r="AJ1628">
        <v>1.8800000000000001E-2</v>
      </c>
    </row>
    <row r="1629" spans="1:36" x14ac:dyDescent="0.3">
      <c r="A1629">
        <f>COUNTIF($D$2:D1629,D1629)</f>
        <v>8</v>
      </c>
      <c r="B1629" t="str">
        <f t="shared" si="101"/>
        <v>8Nottinghamshire</v>
      </c>
      <c r="C1629" t="s">
        <v>4854</v>
      </c>
      <c r="D1629" t="s">
        <v>247</v>
      </c>
      <c r="E1629">
        <v>38</v>
      </c>
      <c r="F1629" t="s">
        <v>4855</v>
      </c>
      <c r="G1629" t="s">
        <v>806</v>
      </c>
      <c r="H1629" t="s">
        <v>873</v>
      </c>
      <c r="I1629" t="s">
        <v>808</v>
      </c>
      <c r="J1629">
        <f t="shared" ca="1" si="102"/>
        <v>253000</v>
      </c>
      <c r="K1629">
        <f t="shared" ca="1" si="103"/>
        <v>52</v>
      </c>
      <c r="N1629" t="str">
        <f t="shared" si="100"/>
        <v>Milton Keynes65Step down beds for mental healthBed based intermediate Care Services (Reablement, rehabilitation, wider short-term services supporting recovery)Bed-based intermediate care with rehabilitation (to support discharge)</v>
      </c>
      <c r="O1629" t="s">
        <v>223</v>
      </c>
      <c r="P1629" t="s">
        <v>1056</v>
      </c>
      <c r="Q1629">
        <v>65</v>
      </c>
      <c r="R1629" t="s">
        <v>4384</v>
      </c>
      <c r="S1629" t="s">
        <v>4856</v>
      </c>
      <c r="T1629" t="s">
        <v>877</v>
      </c>
      <c r="U1629" t="s">
        <v>968</v>
      </c>
      <c r="W1629">
        <v>13</v>
      </c>
      <c r="X1629">
        <v>13</v>
      </c>
      <c r="Y1629" t="s">
        <v>879</v>
      </c>
      <c r="Z1629" t="s">
        <v>1006</v>
      </c>
      <c r="AB1629" t="s">
        <v>824</v>
      </c>
      <c r="AD1629" t="s">
        <v>794</v>
      </c>
      <c r="AE1629" t="s">
        <v>824</v>
      </c>
      <c r="AF1629" t="s">
        <v>860</v>
      </c>
      <c r="AG1629" t="s">
        <v>861</v>
      </c>
      <c r="AH1629">
        <v>246000</v>
      </c>
      <c r="AI1629">
        <v>431400.82303167734</v>
      </c>
      <c r="AJ1629">
        <v>8.3999999999999995E-3</v>
      </c>
    </row>
    <row r="1630" spans="1:36" x14ac:dyDescent="0.3">
      <c r="A1630">
        <f>COUNTIF($D$2:D1630,D1630)</f>
        <v>9</v>
      </c>
      <c r="B1630" t="str">
        <f t="shared" si="101"/>
        <v>9Nottinghamshire</v>
      </c>
      <c r="C1630" t="s">
        <v>4857</v>
      </c>
      <c r="D1630" t="s">
        <v>247</v>
      </c>
      <c r="E1630">
        <v>38</v>
      </c>
      <c r="F1630" t="s">
        <v>4855</v>
      </c>
      <c r="G1630" t="s">
        <v>842</v>
      </c>
      <c r="H1630" t="s">
        <v>856</v>
      </c>
      <c r="I1630" t="s">
        <v>844</v>
      </c>
      <c r="J1630">
        <f t="shared" ca="1" si="102"/>
        <v>700000</v>
      </c>
      <c r="K1630">
        <f t="shared" ca="1" si="103"/>
        <v>23729</v>
      </c>
      <c r="N1630" t="str">
        <f t="shared" si="100"/>
        <v>Newcastle upon Tyne1A1.1 Reablement ServiceHome-based intermediate care servicesReablement at home (accepting step up and step down users)</v>
      </c>
      <c r="O1630" t="s">
        <v>225</v>
      </c>
      <c r="P1630" t="s">
        <v>2195</v>
      </c>
      <c r="Q1630">
        <v>1</v>
      </c>
      <c r="R1630" t="s">
        <v>4386</v>
      </c>
      <c r="S1630" t="s">
        <v>4858</v>
      </c>
      <c r="T1630" t="s">
        <v>787</v>
      </c>
      <c r="U1630" t="s">
        <v>930</v>
      </c>
      <c r="W1630">
        <v>1215</v>
      </c>
      <c r="X1630">
        <v>1850</v>
      </c>
      <c r="Y1630" t="s">
        <v>789</v>
      </c>
      <c r="Z1630" t="s">
        <v>792</v>
      </c>
      <c r="AB1630" t="s">
        <v>793</v>
      </c>
      <c r="AD1630" t="s">
        <v>794</v>
      </c>
      <c r="AE1630" t="s">
        <v>795</v>
      </c>
      <c r="AF1630" t="s">
        <v>796</v>
      </c>
      <c r="AG1630" t="s">
        <v>797</v>
      </c>
      <c r="AH1630">
        <v>3345730</v>
      </c>
      <c r="AI1630">
        <v>3345730</v>
      </c>
      <c r="AJ1630">
        <v>0.61013051573501498</v>
      </c>
    </row>
    <row r="1631" spans="1:36" x14ac:dyDescent="0.3">
      <c r="A1631">
        <f>COUNTIF($D$2:D1631,D1631)</f>
        <v>1</v>
      </c>
      <c r="B1631" t="str">
        <f t="shared" si="101"/>
        <v>1Oldham</v>
      </c>
      <c r="C1631" t="s">
        <v>4859</v>
      </c>
      <c r="D1631" t="s">
        <v>249</v>
      </c>
      <c r="E1631">
        <v>1</v>
      </c>
      <c r="F1631" t="s">
        <v>4860</v>
      </c>
      <c r="G1631" t="s">
        <v>877</v>
      </c>
      <c r="H1631" t="s">
        <v>1259</v>
      </c>
      <c r="I1631" t="s">
        <v>879</v>
      </c>
      <c r="J1631">
        <f t="shared" ca="1" si="102"/>
        <v>2537619</v>
      </c>
      <c r="K1631">
        <f t="shared" ca="1" si="103"/>
        <v>483</v>
      </c>
      <c r="N1631" t="str">
        <f t="shared" si="100"/>
        <v>Newcastle upon Tyne3A1.3 Intermediate care Bed based intermediate Care Services (Reablement, rehabilitation, wider short-term services supporting recovery)Bed-based intermediate care with rehabilitation accepting step up and step down users</v>
      </c>
      <c r="O1631" t="s">
        <v>225</v>
      </c>
      <c r="P1631" t="s">
        <v>2195</v>
      </c>
      <c r="Q1631">
        <v>3</v>
      </c>
      <c r="R1631" t="s">
        <v>4388</v>
      </c>
      <c r="S1631" t="s">
        <v>4388</v>
      </c>
      <c r="T1631" t="s">
        <v>877</v>
      </c>
      <c r="U1631" t="s">
        <v>1015</v>
      </c>
      <c r="W1631">
        <v>192</v>
      </c>
      <c r="X1631">
        <v>216</v>
      </c>
      <c r="Y1631" t="s">
        <v>879</v>
      </c>
      <c r="Z1631" t="s">
        <v>792</v>
      </c>
      <c r="AB1631" t="s">
        <v>793</v>
      </c>
      <c r="AD1631" t="s">
        <v>794</v>
      </c>
      <c r="AE1631" t="s">
        <v>795</v>
      </c>
      <c r="AF1631" t="s">
        <v>796</v>
      </c>
      <c r="AG1631" t="s">
        <v>797</v>
      </c>
      <c r="AH1631">
        <v>1118410</v>
      </c>
      <c r="AI1631">
        <v>1320276</v>
      </c>
      <c r="AJ1631">
        <v>0.33494238084459749</v>
      </c>
    </row>
    <row r="1632" spans="1:36" x14ac:dyDescent="0.3">
      <c r="A1632">
        <f>COUNTIF($D$2:D1632,D1632)</f>
        <v>2</v>
      </c>
      <c r="B1632" t="str">
        <f t="shared" si="101"/>
        <v>2Oldham</v>
      </c>
      <c r="C1632" t="s">
        <v>4861</v>
      </c>
      <c r="D1632" t="s">
        <v>249</v>
      </c>
      <c r="E1632">
        <v>11</v>
      </c>
      <c r="F1632" t="s">
        <v>4862</v>
      </c>
      <c r="G1632" t="s">
        <v>800</v>
      </c>
      <c r="H1632" t="s">
        <v>903</v>
      </c>
      <c r="I1632" t="s">
        <v>802</v>
      </c>
      <c r="J1632">
        <f t="shared" ca="1" si="102"/>
        <v>619644.35819980805</v>
      </c>
      <c r="K1632">
        <f t="shared" ca="1" si="103"/>
        <v>1980</v>
      </c>
      <c r="N1632" t="str">
        <f t="shared" si="100"/>
        <v>Newcastle upon Tyne9A1.9 Domiciliary care capacityHome Care or Domiciliary CareDomiciliary care packages</v>
      </c>
      <c r="O1632" t="s">
        <v>225</v>
      </c>
      <c r="P1632" t="s">
        <v>2195</v>
      </c>
      <c r="Q1632">
        <v>9</v>
      </c>
      <c r="R1632" t="s">
        <v>4390</v>
      </c>
      <c r="S1632" t="s">
        <v>4863</v>
      </c>
      <c r="T1632" t="s">
        <v>842</v>
      </c>
      <c r="U1632" t="s">
        <v>843</v>
      </c>
      <c r="W1632">
        <v>60000</v>
      </c>
      <c r="X1632">
        <v>60000</v>
      </c>
      <c r="Y1632" t="s">
        <v>844</v>
      </c>
      <c r="Z1632" t="s">
        <v>792</v>
      </c>
      <c r="AB1632" t="s">
        <v>793</v>
      </c>
      <c r="AD1632" t="s">
        <v>794</v>
      </c>
      <c r="AE1632" t="s">
        <v>804</v>
      </c>
      <c r="AF1632" t="s">
        <v>796</v>
      </c>
      <c r="AG1632" t="s">
        <v>797</v>
      </c>
      <c r="AH1632">
        <v>1180340</v>
      </c>
      <c r="AI1632">
        <v>1180340</v>
      </c>
      <c r="AJ1632">
        <v>1.9140346541557291E-2</v>
      </c>
    </row>
    <row r="1633" spans="1:36" x14ac:dyDescent="0.3">
      <c r="A1633">
        <f>COUNTIF($D$2:D1633,D1633)</f>
        <v>3</v>
      </c>
      <c r="B1633" t="str">
        <f t="shared" si="101"/>
        <v>3Oldham</v>
      </c>
      <c r="C1633" t="s">
        <v>4864</v>
      </c>
      <c r="D1633" t="s">
        <v>249</v>
      </c>
      <c r="E1633">
        <v>12</v>
      </c>
      <c r="F1633" t="s">
        <v>4865</v>
      </c>
      <c r="G1633" t="s">
        <v>800</v>
      </c>
      <c r="H1633" t="s">
        <v>903</v>
      </c>
      <c r="I1633" t="s">
        <v>802</v>
      </c>
      <c r="J1633">
        <f t="shared" ca="1" si="102"/>
        <v>950940</v>
      </c>
      <c r="K1633">
        <f t="shared" ca="1" si="103"/>
        <v>3800</v>
      </c>
      <c r="N1633" t="str">
        <f t="shared" si="100"/>
        <v>Newcastle upon Tyne10A2.1 Resource Centre DementiaBed based intermediate Care Services (Reablement, rehabilitation, wider short-term services supporting recovery)Other</v>
      </c>
      <c r="O1633" t="s">
        <v>225</v>
      </c>
      <c r="P1633" t="s">
        <v>2195</v>
      </c>
      <c r="Q1633">
        <v>10</v>
      </c>
      <c r="R1633" t="s">
        <v>4392</v>
      </c>
      <c r="S1633" t="s">
        <v>4866</v>
      </c>
      <c r="T1633" t="s">
        <v>877</v>
      </c>
      <c r="U1633" t="s">
        <v>812</v>
      </c>
      <c r="V1633" t="s">
        <v>4867</v>
      </c>
      <c r="W1633">
        <v>186</v>
      </c>
      <c r="X1633">
        <v>186</v>
      </c>
      <c r="Y1633" t="s">
        <v>879</v>
      </c>
      <c r="Z1633" t="s">
        <v>792</v>
      </c>
      <c r="AB1633" t="s">
        <v>793</v>
      </c>
      <c r="AD1633" t="s">
        <v>794</v>
      </c>
      <c r="AE1633" t="s">
        <v>795</v>
      </c>
      <c r="AF1633" t="s">
        <v>796</v>
      </c>
      <c r="AG1633" t="s">
        <v>797</v>
      </c>
      <c r="AH1633">
        <v>665480</v>
      </c>
      <c r="AI1633">
        <v>665480</v>
      </c>
      <c r="AJ1633">
        <v>0.21560341774895492</v>
      </c>
    </row>
    <row r="1634" spans="1:36" x14ac:dyDescent="0.3">
      <c r="A1634">
        <f>COUNTIF($D$2:D1634,D1634)</f>
        <v>4</v>
      </c>
      <c r="B1634" t="str">
        <f t="shared" si="101"/>
        <v>4Oldham</v>
      </c>
      <c r="C1634" t="s">
        <v>4868</v>
      </c>
      <c r="D1634" t="s">
        <v>249</v>
      </c>
      <c r="E1634">
        <v>14</v>
      </c>
      <c r="F1634" t="s">
        <v>4869</v>
      </c>
      <c r="G1634" t="s">
        <v>811</v>
      </c>
      <c r="H1634" t="s">
        <v>895</v>
      </c>
      <c r="I1634" t="s">
        <v>813</v>
      </c>
      <c r="J1634">
        <f t="shared" ca="1" si="102"/>
        <v>508214.03399999999</v>
      </c>
      <c r="K1634">
        <f t="shared" ca="1" si="103"/>
        <v>2000</v>
      </c>
      <c r="N1634" t="str">
        <f t="shared" si="100"/>
        <v>Newcastle upon Tyne12A2.3 Mental health recovery support teamBed based intermediate Care Services (Reablement, rehabilitation, wider short-term services supporting recovery)Other</v>
      </c>
      <c r="O1634" t="s">
        <v>225</v>
      </c>
      <c r="P1634" t="s">
        <v>2195</v>
      </c>
      <c r="Q1634">
        <v>12</v>
      </c>
      <c r="R1634" t="s">
        <v>4395</v>
      </c>
      <c r="S1634" t="s">
        <v>4870</v>
      </c>
      <c r="T1634" t="s">
        <v>877</v>
      </c>
      <c r="U1634" t="s">
        <v>812</v>
      </c>
      <c r="V1634" t="s">
        <v>4871</v>
      </c>
      <c r="W1634">
        <v>42</v>
      </c>
      <c r="X1634">
        <v>42</v>
      </c>
      <c r="Y1634" t="s">
        <v>879</v>
      </c>
      <c r="Z1634" t="s">
        <v>792</v>
      </c>
      <c r="AB1634" t="s">
        <v>793</v>
      </c>
      <c r="AD1634" t="s">
        <v>794</v>
      </c>
      <c r="AE1634" t="s">
        <v>795</v>
      </c>
      <c r="AF1634" t="s">
        <v>796</v>
      </c>
      <c r="AG1634" t="s">
        <v>797</v>
      </c>
      <c r="AH1634">
        <v>499920</v>
      </c>
      <c r="AI1634">
        <v>499920</v>
      </c>
      <c r="AJ1634">
        <v>0.17114493400108796</v>
      </c>
    </row>
    <row r="1635" spans="1:36" x14ac:dyDescent="0.3">
      <c r="A1635">
        <f>COUNTIF($D$2:D1635,D1635)</f>
        <v>5</v>
      </c>
      <c r="B1635" t="str">
        <f t="shared" si="101"/>
        <v>5Oldham</v>
      </c>
      <c r="C1635" t="s">
        <v>4872</v>
      </c>
      <c r="D1635" t="s">
        <v>249</v>
      </c>
      <c r="E1635">
        <v>15</v>
      </c>
      <c r="F1635" t="s">
        <v>4873</v>
      </c>
      <c r="G1635" t="s">
        <v>811</v>
      </c>
      <c r="H1635" t="s">
        <v>830</v>
      </c>
      <c r="I1635" t="s">
        <v>813</v>
      </c>
      <c r="J1635">
        <f t="shared" ca="1" si="102"/>
        <v>100000</v>
      </c>
      <c r="K1635">
        <f t="shared" ca="1" si="103"/>
        <v>400</v>
      </c>
      <c r="N1635" t="str">
        <f t="shared" si="100"/>
        <v>Newcastle upon Tyne17A3.3 Supporting people with long term conditionsHome Care or Domiciliary CareDomiciliary care packages</v>
      </c>
      <c r="O1635" t="s">
        <v>225</v>
      </c>
      <c r="P1635" t="s">
        <v>2195</v>
      </c>
      <c r="Q1635">
        <v>17</v>
      </c>
      <c r="R1635" t="s">
        <v>4398</v>
      </c>
      <c r="S1635" t="s">
        <v>4874</v>
      </c>
      <c r="T1635" t="s">
        <v>842</v>
      </c>
      <c r="U1635" t="s">
        <v>843</v>
      </c>
      <c r="W1635">
        <v>120000</v>
      </c>
      <c r="X1635">
        <v>120000</v>
      </c>
      <c r="Y1635" t="s">
        <v>844</v>
      </c>
      <c r="Z1635" t="s">
        <v>792</v>
      </c>
      <c r="AB1635" t="s">
        <v>793</v>
      </c>
      <c r="AD1635" t="s">
        <v>794</v>
      </c>
      <c r="AE1635" t="s">
        <v>795</v>
      </c>
      <c r="AF1635" t="s">
        <v>796</v>
      </c>
      <c r="AG1635" t="s">
        <v>797</v>
      </c>
      <c r="AH1635">
        <v>2352070</v>
      </c>
      <c r="AI1635">
        <v>2352070</v>
      </c>
      <c r="AJ1635">
        <v>3.7429878752762803E-2</v>
      </c>
    </row>
    <row r="1636" spans="1:36" x14ac:dyDescent="0.3">
      <c r="A1636">
        <f>COUNTIF($D$2:D1636,D1636)</f>
        <v>6</v>
      </c>
      <c r="B1636" t="str">
        <f t="shared" si="101"/>
        <v>6Oldham</v>
      </c>
      <c r="C1636" t="s">
        <v>4875</v>
      </c>
      <c r="D1636" t="s">
        <v>249</v>
      </c>
      <c r="E1636">
        <v>23</v>
      </c>
      <c r="F1636" t="s">
        <v>4876</v>
      </c>
      <c r="G1636" t="s">
        <v>800</v>
      </c>
      <c r="H1636" t="s">
        <v>903</v>
      </c>
      <c r="I1636" t="s">
        <v>802</v>
      </c>
      <c r="J1636">
        <f t="shared" ca="1" si="102"/>
        <v>412050</v>
      </c>
      <c r="K1636">
        <f t="shared" ca="1" si="103"/>
        <v>3800</v>
      </c>
      <c r="N1636" t="str">
        <f t="shared" si="100"/>
        <v>Newcastle upon Tyne18A3.4 CarersCarers ServicesCarer advice and support related to Care Act duties</v>
      </c>
      <c r="O1636" t="s">
        <v>225</v>
      </c>
      <c r="P1636" t="s">
        <v>2195</v>
      </c>
      <c r="Q1636">
        <v>18</v>
      </c>
      <c r="R1636" t="s">
        <v>4401</v>
      </c>
      <c r="S1636" t="s">
        <v>4877</v>
      </c>
      <c r="T1636" t="s">
        <v>811</v>
      </c>
      <c r="U1636" t="s">
        <v>895</v>
      </c>
      <c r="W1636">
        <v>7240</v>
      </c>
      <c r="X1636">
        <v>7520</v>
      </c>
      <c r="Y1636" t="s">
        <v>813</v>
      </c>
      <c r="Z1636" t="s">
        <v>823</v>
      </c>
      <c r="AB1636" t="s">
        <v>824</v>
      </c>
      <c r="AD1636" t="s">
        <v>794</v>
      </c>
      <c r="AE1636" t="s">
        <v>825</v>
      </c>
      <c r="AF1636" t="s">
        <v>796</v>
      </c>
      <c r="AG1636" t="s">
        <v>797</v>
      </c>
      <c r="AH1636">
        <v>275241.75</v>
      </c>
      <c r="AI1636">
        <v>280196.10149999999</v>
      </c>
      <c r="AJ1636">
        <v>0.18122308378357421</v>
      </c>
    </row>
    <row r="1637" spans="1:36" x14ac:dyDescent="0.3">
      <c r="A1637">
        <f>COUNTIF($D$2:D1637,D1637)</f>
        <v>7</v>
      </c>
      <c r="B1637" t="str">
        <f t="shared" si="101"/>
        <v>7Oldham</v>
      </c>
      <c r="C1637" t="s">
        <v>4878</v>
      </c>
      <c r="D1637" t="s">
        <v>249</v>
      </c>
      <c r="E1637">
        <v>25</v>
      </c>
      <c r="F1637" t="s">
        <v>4879</v>
      </c>
      <c r="G1637" t="s">
        <v>787</v>
      </c>
      <c r="H1637" t="s">
        <v>2374</v>
      </c>
      <c r="I1637" t="s">
        <v>789</v>
      </c>
      <c r="J1637">
        <f t="shared" ca="1" si="102"/>
        <v>2511660</v>
      </c>
      <c r="K1637">
        <f t="shared" ca="1" si="103"/>
        <v>194</v>
      </c>
      <c r="N1637" t="str">
        <f t="shared" si="100"/>
        <v>Newcastle upon Tyne18A3.4 CarersCarers ServicesCarer advice and support related to Care Act duties</v>
      </c>
      <c r="O1637" t="s">
        <v>225</v>
      </c>
      <c r="P1637" t="s">
        <v>2195</v>
      </c>
      <c r="Q1637">
        <v>18</v>
      </c>
      <c r="R1637" t="s">
        <v>4401</v>
      </c>
      <c r="S1637" t="s">
        <v>4880</v>
      </c>
      <c r="T1637" t="s">
        <v>811</v>
      </c>
      <c r="U1637" t="s">
        <v>895</v>
      </c>
      <c r="W1637">
        <v>7240</v>
      </c>
      <c r="X1637">
        <v>7520</v>
      </c>
      <c r="Y1637" t="s">
        <v>813</v>
      </c>
      <c r="Z1637" t="s">
        <v>792</v>
      </c>
      <c r="AB1637" t="s">
        <v>793</v>
      </c>
      <c r="AD1637" t="s">
        <v>794</v>
      </c>
      <c r="AE1637" t="s">
        <v>825</v>
      </c>
      <c r="AF1637" t="s">
        <v>796</v>
      </c>
      <c r="AG1637" t="s">
        <v>797</v>
      </c>
      <c r="AH1637">
        <v>219860</v>
      </c>
      <c r="AI1637">
        <v>219860</v>
      </c>
      <c r="AJ1637">
        <v>0.14909694827991923</v>
      </c>
    </row>
    <row r="1638" spans="1:36" x14ac:dyDescent="0.3">
      <c r="A1638">
        <f>COUNTIF($D$2:D1638,D1638)</f>
        <v>8</v>
      </c>
      <c r="B1638" t="str">
        <f t="shared" si="101"/>
        <v>8Oldham</v>
      </c>
      <c r="C1638" t="s">
        <v>4881</v>
      </c>
      <c r="D1638" t="s">
        <v>249</v>
      </c>
      <c r="E1638">
        <v>28</v>
      </c>
      <c r="F1638" t="s">
        <v>4882</v>
      </c>
      <c r="G1638" t="s">
        <v>877</v>
      </c>
      <c r="H1638" t="s">
        <v>1259</v>
      </c>
      <c r="I1638" t="s">
        <v>879</v>
      </c>
      <c r="J1638">
        <f t="shared" ca="1" si="102"/>
        <v>1702140</v>
      </c>
      <c r="K1638">
        <f t="shared" ca="1" si="103"/>
        <v>336</v>
      </c>
      <c r="N1638" t="str">
        <f t="shared" si="100"/>
        <v>Newcastle upon Tyne31C1 - Adaptation Repairs GrantDFG Related SchemesAdaptations, including statutory DFG grants</v>
      </c>
      <c r="O1638" t="s">
        <v>225</v>
      </c>
      <c r="P1638" t="s">
        <v>2195</v>
      </c>
      <c r="Q1638">
        <v>31</v>
      </c>
      <c r="R1638" t="s">
        <v>4404</v>
      </c>
      <c r="S1638" t="s">
        <v>4883</v>
      </c>
      <c r="T1638" t="s">
        <v>834</v>
      </c>
      <c r="U1638" t="s">
        <v>835</v>
      </c>
      <c r="W1638">
        <v>300</v>
      </c>
      <c r="X1638">
        <v>320</v>
      </c>
      <c r="Y1638" t="s">
        <v>836</v>
      </c>
      <c r="Z1638" t="s">
        <v>792</v>
      </c>
      <c r="AB1638" t="s">
        <v>793</v>
      </c>
      <c r="AD1638" t="s">
        <v>794</v>
      </c>
      <c r="AE1638" t="s">
        <v>795</v>
      </c>
      <c r="AF1638" t="s">
        <v>840</v>
      </c>
      <c r="AG1638" t="s">
        <v>797</v>
      </c>
      <c r="AH1638">
        <v>15000</v>
      </c>
      <c r="AI1638">
        <v>15000</v>
      </c>
      <c r="AJ1638">
        <v>1</v>
      </c>
    </row>
    <row r="1639" spans="1:36" x14ac:dyDescent="0.3">
      <c r="A1639">
        <f>COUNTIF($D$2:D1639,D1639)</f>
        <v>9</v>
      </c>
      <c r="B1639" t="str">
        <f t="shared" si="101"/>
        <v>9Oldham</v>
      </c>
      <c r="C1639" t="s">
        <v>4884</v>
      </c>
      <c r="D1639" t="s">
        <v>249</v>
      </c>
      <c r="E1639">
        <v>32</v>
      </c>
      <c r="F1639" t="s">
        <v>1008</v>
      </c>
      <c r="G1639" t="s">
        <v>842</v>
      </c>
      <c r="H1639" t="s">
        <v>856</v>
      </c>
      <c r="I1639" t="s">
        <v>844</v>
      </c>
      <c r="J1639">
        <f t="shared" ca="1" si="102"/>
        <v>244778</v>
      </c>
      <c r="K1639">
        <f t="shared" ca="1" si="103"/>
        <v>672</v>
      </c>
      <c r="N1639" t="str">
        <f t="shared" si="100"/>
        <v>Newcastle upon Tyne32C2 - MARSDFG Related SchemesAdaptations, including statutory DFG grants</v>
      </c>
      <c r="O1639" t="s">
        <v>225</v>
      </c>
      <c r="P1639" t="s">
        <v>2195</v>
      </c>
      <c r="Q1639">
        <v>32</v>
      </c>
      <c r="R1639" t="s">
        <v>4407</v>
      </c>
      <c r="S1639" t="s">
        <v>4885</v>
      </c>
      <c r="T1639" t="s">
        <v>834</v>
      </c>
      <c r="U1639" t="s">
        <v>835</v>
      </c>
      <c r="W1639">
        <v>1780</v>
      </c>
      <c r="X1639">
        <v>1800</v>
      </c>
      <c r="Y1639" t="s">
        <v>836</v>
      </c>
      <c r="Z1639" t="s">
        <v>792</v>
      </c>
      <c r="AB1639" t="s">
        <v>793</v>
      </c>
      <c r="AD1639" t="s">
        <v>794</v>
      </c>
      <c r="AE1639" t="s">
        <v>795</v>
      </c>
      <c r="AF1639" t="s">
        <v>840</v>
      </c>
      <c r="AG1639" t="s">
        <v>797</v>
      </c>
      <c r="AH1639">
        <v>150000</v>
      </c>
      <c r="AI1639">
        <v>150000</v>
      </c>
      <c r="AJ1639">
        <v>1</v>
      </c>
    </row>
    <row r="1640" spans="1:36" x14ac:dyDescent="0.3">
      <c r="A1640">
        <f>COUNTIF($D$2:D1640,D1640)</f>
        <v>10</v>
      </c>
      <c r="B1640" t="str">
        <f t="shared" si="101"/>
        <v>10Oldham</v>
      </c>
      <c r="C1640" t="s">
        <v>4886</v>
      </c>
      <c r="D1640" t="s">
        <v>249</v>
      </c>
      <c r="E1640">
        <v>35</v>
      </c>
      <c r="F1640" t="s">
        <v>4887</v>
      </c>
      <c r="G1640" t="s">
        <v>834</v>
      </c>
      <c r="H1640" t="s">
        <v>835</v>
      </c>
      <c r="I1640" t="s">
        <v>836</v>
      </c>
      <c r="J1640">
        <f t="shared" ca="1" si="102"/>
        <v>2343287</v>
      </c>
      <c r="K1640">
        <f t="shared" ca="1" si="103"/>
        <v>350</v>
      </c>
      <c r="N1640" t="str">
        <f t="shared" si="100"/>
        <v>Newcastle upon Tyne33C3 - Adaptation Loan SchemeDFG Related SchemesAdaptations, including statutory DFG grants</v>
      </c>
      <c r="O1640" t="s">
        <v>225</v>
      </c>
      <c r="P1640" t="s">
        <v>2195</v>
      </c>
      <c r="Q1640">
        <v>33</v>
      </c>
      <c r="R1640" t="s">
        <v>4411</v>
      </c>
      <c r="S1640" t="s">
        <v>4888</v>
      </c>
      <c r="T1640" t="s">
        <v>834</v>
      </c>
      <c r="U1640" t="s">
        <v>835</v>
      </c>
      <c r="W1640">
        <v>125</v>
      </c>
      <c r="X1640">
        <v>100</v>
      </c>
      <c r="Y1640" t="s">
        <v>836</v>
      </c>
      <c r="Z1640" t="s">
        <v>792</v>
      </c>
      <c r="AB1640" t="s">
        <v>793</v>
      </c>
      <c r="AD1640" t="s">
        <v>794</v>
      </c>
      <c r="AE1640" t="s">
        <v>795</v>
      </c>
      <c r="AF1640" t="s">
        <v>840</v>
      </c>
      <c r="AG1640" t="s">
        <v>797</v>
      </c>
      <c r="AH1640">
        <v>900000</v>
      </c>
      <c r="AI1640">
        <v>900000</v>
      </c>
      <c r="AJ1640">
        <v>1</v>
      </c>
    </row>
    <row r="1641" spans="1:36" x14ac:dyDescent="0.3">
      <c r="A1641">
        <f>COUNTIF($D$2:D1641,D1641)</f>
        <v>11</v>
      </c>
      <c r="B1641" t="str">
        <f t="shared" si="101"/>
        <v>11Oldham</v>
      </c>
      <c r="C1641" t="s">
        <v>4889</v>
      </c>
      <c r="D1641" t="s">
        <v>249</v>
      </c>
      <c r="E1641">
        <v>37</v>
      </c>
      <c r="F1641" t="s">
        <v>4890</v>
      </c>
      <c r="G1641" t="s">
        <v>842</v>
      </c>
      <c r="H1641" t="s">
        <v>843</v>
      </c>
      <c r="I1641" t="s">
        <v>844</v>
      </c>
      <c r="J1641">
        <f t="shared" ca="1" si="102"/>
        <v>2796905</v>
      </c>
      <c r="K1641">
        <f t="shared" ca="1" si="103"/>
        <v>31200</v>
      </c>
      <c r="N1641" t="str">
        <f t="shared" si="100"/>
        <v>Newcastle upon Tyne34C4 - Accessible Homes GrantDFG Related SchemesAdaptations, including statutory DFG grants</v>
      </c>
      <c r="O1641" t="s">
        <v>225</v>
      </c>
      <c r="P1641" t="s">
        <v>2195</v>
      </c>
      <c r="Q1641">
        <v>34</v>
      </c>
      <c r="R1641" t="s">
        <v>4414</v>
      </c>
      <c r="S1641" t="s">
        <v>4891</v>
      </c>
      <c r="T1641" t="s">
        <v>834</v>
      </c>
      <c r="U1641" t="s">
        <v>835</v>
      </c>
      <c r="W1641">
        <v>250</v>
      </c>
      <c r="X1641">
        <v>260</v>
      </c>
      <c r="Y1641" t="s">
        <v>836</v>
      </c>
      <c r="Z1641" t="s">
        <v>792</v>
      </c>
      <c r="AB1641" t="s">
        <v>793</v>
      </c>
      <c r="AD1641" t="s">
        <v>794</v>
      </c>
      <c r="AE1641" t="s">
        <v>795</v>
      </c>
      <c r="AF1641" t="s">
        <v>840</v>
      </c>
      <c r="AG1641" t="s">
        <v>861</v>
      </c>
      <c r="AH1641">
        <v>42478</v>
      </c>
      <c r="AI1641">
        <v>42478</v>
      </c>
      <c r="AJ1641">
        <v>1</v>
      </c>
    </row>
    <row r="1642" spans="1:36" x14ac:dyDescent="0.3">
      <c r="A1642">
        <f>COUNTIF($D$2:D1642,D1642)</f>
        <v>12</v>
      </c>
      <c r="B1642" t="str">
        <f t="shared" si="101"/>
        <v>12Oldham</v>
      </c>
      <c r="C1642" t="s">
        <v>4892</v>
      </c>
      <c r="D1642" t="s">
        <v>249</v>
      </c>
      <c r="E1642">
        <v>38</v>
      </c>
      <c r="F1642" t="s">
        <v>4890</v>
      </c>
      <c r="G1642" t="s">
        <v>787</v>
      </c>
      <c r="H1642" t="s">
        <v>930</v>
      </c>
      <c r="I1642" t="s">
        <v>789</v>
      </c>
      <c r="J1642">
        <f t="shared" ca="1" si="102"/>
        <v>2796905</v>
      </c>
      <c r="K1642">
        <f t="shared" ca="1" si="103"/>
        <v>368</v>
      </c>
      <c r="N1642" t="str">
        <f t="shared" si="100"/>
        <v>Newcastle upon Tyne35C5 - Accessible Homes SupportDFG Related SchemesAdaptations, including statutory DFG grants</v>
      </c>
      <c r="O1642" t="s">
        <v>225</v>
      </c>
      <c r="P1642" t="s">
        <v>2195</v>
      </c>
      <c r="Q1642">
        <v>35</v>
      </c>
      <c r="R1642" t="s">
        <v>4417</v>
      </c>
      <c r="S1642" t="s">
        <v>4893</v>
      </c>
      <c r="T1642" t="s">
        <v>834</v>
      </c>
      <c r="U1642" t="s">
        <v>835</v>
      </c>
      <c r="W1642">
        <v>50</v>
      </c>
      <c r="X1642">
        <v>60</v>
      </c>
      <c r="Y1642" t="s">
        <v>836</v>
      </c>
      <c r="Z1642" t="s">
        <v>792</v>
      </c>
      <c r="AB1642" t="s">
        <v>793</v>
      </c>
      <c r="AD1642" t="s">
        <v>794</v>
      </c>
      <c r="AE1642" t="s">
        <v>795</v>
      </c>
      <c r="AF1642" t="s">
        <v>840</v>
      </c>
      <c r="AG1642" t="s">
        <v>797</v>
      </c>
      <c r="AH1642">
        <v>1400000</v>
      </c>
      <c r="AI1642">
        <v>1400000</v>
      </c>
      <c r="AJ1642">
        <v>1</v>
      </c>
    </row>
    <row r="1643" spans="1:36" x14ac:dyDescent="0.3">
      <c r="A1643">
        <f>COUNTIF($D$2:D1643,D1643)</f>
        <v>13</v>
      </c>
      <c r="B1643" t="str">
        <f t="shared" si="101"/>
        <v>13Oldham</v>
      </c>
      <c r="C1643" t="s">
        <v>4894</v>
      </c>
      <c r="D1643" t="s">
        <v>249</v>
      </c>
      <c r="E1643">
        <v>39</v>
      </c>
      <c r="F1643" t="s">
        <v>4890</v>
      </c>
      <c r="G1643" t="s">
        <v>806</v>
      </c>
      <c r="H1643" t="s">
        <v>955</v>
      </c>
      <c r="I1643" t="s">
        <v>808</v>
      </c>
      <c r="J1643">
        <f t="shared" ca="1" si="102"/>
        <v>2796905</v>
      </c>
      <c r="K1643">
        <f t="shared" ca="1" si="103"/>
        <v>1820</v>
      </c>
      <c r="N1643" t="str">
        <f t="shared" si="100"/>
        <v>Newcastle upon Tyne36C6 - Home Repair LoanDFG Related SchemesDiscretionary use of DFG</v>
      </c>
      <c r="O1643" t="s">
        <v>225</v>
      </c>
      <c r="P1643" t="s">
        <v>2195</v>
      </c>
      <c r="Q1643">
        <v>36</v>
      </c>
      <c r="R1643" t="s">
        <v>4420</v>
      </c>
      <c r="S1643" t="s">
        <v>4895</v>
      </c>
      <c r="T1643" t="s">
        <v>834</v>
      </c>
      <c r="U1643" t="s">
        <v>1293</v>
      </c>
      <c r="W1643">
        <v>4</v>
      </c>
      <c r="X1643">
        <v>4</v>
      </c>
      <c r="Y1643" t="s">
        <v>836</v>
      </c>
      <c r="Z1643" t="s">
        <v>792</v>
      </c>
      <c r="AB1643" t="s">
        <v>793</v>
      </c>
      <c r="AD1643" t="s">
        <v>794</v>
      </c>
      <c r="AE1643" t="s">
        <v>795</v>
      </c>
      <c r="AF1643" t="s">
        <v>840</v>
      </c>
      <c r="AG1643" t="s">
        <v>797</v>
      </c>
      <c r="AH1643">
        <v>150000</v>
      </c>
      <c r="AI1643">
        <v>150000</v>
      </c>
      <c r="AJ1643">
        <v>1</v>
      </c>
    </row>
    <row r="1644" spans="1:36" x14ac:dyDescent="0.3">
      <c r="A1644">
        <f>COUNTIF($D$2:D1644,D1644)</f>
        <v>14</v>
      </c>
      <c r="B1644" t="str">
        <f t="shared" si="101"/>
        <v>14Oldham</v>
      </c>
      <c r="C1644" t="s">
        <v>4896</v>
      </c>
      <c r="D1644" t="s">
        <v>249</v>
      </c>
      <c r="E1644">
        <v>40</v>
      </c>
      <c r="F1644" t="s">
        <v>864</v>
      </c>
      <c r="G1644" t="s">
        <v>800</v>
      </c>
      <c r="H1644" t="s">
        <v>903</v>
      </c>
      <c r="I1644" t="s">
        <v>802</v>
      </c>
      <c r="J1644">
        <f t="shared" ca="1" si="102"/>
        <v>300000</v>
      </c>
      <c r="K1644">
        <f t="shared" ca="1" si="103"/>
        <v>1000</v>
      </c>
      <c r="N1644" t="str">
        <f t="shared" si="100"/>
        <v>Newcastle upon Tyne37C7 - Warm and Well GrantDFG Related SchemesDiscretionary use of DFG</v>
      </c>
      <c r="O1644" t="s">
        <v>225</v>
      </c>
      <c r="P1644" t="s">
        <v>2195</v>
      </c>
      <c r="Q1644">
        <v>37</v>
      </c>
      <c r="R1644" t="s">
        <v>4422</v>
      </c>
      <c r="S1644" t="s">
        <v>4897</v>
      </c>
      <c r="T1644" t="s">
        <v>834</v>
      </c>
      <c r="U1644" t="s">
        <v>1293</v>
      </c>
      <c r="W1644">
        <v>50</v>
      </c>
      <c r="X1644">
        <v>50</v>
      </c>
      <c r="Y1644" t="s">
        <v>836</v>
      </c>
      <c r="Z1644" t="s">
        <v>792</v>
      </c>
      <c r="AB1644" t="s">
        <v>793</v>
      </c>
      <c r="AD1644" t="s">
        <v>794</v>
      </c>
      <c r="AE1644" t="s">
        <v>795</v>
      </c>
      <c r="AF1644" t="s">
        <v>840</v>
      </c>
      <c r="AG1644" t="s">
        <v>797</v>
      </c>
      <c r="AH1644">
        <v>25000</v>
      </c>
      <c r="AI1644">
        <v>25000</v>
      </c>
      <c r="AJ1644">
        <v>1</v>
      </c>
    </row>
    <row r="1645" spans="1:36" x14ac:dyDescent="0.3">
      <c r="A1645">
        <f>COUNTIF($D$2:D1645,D1645)</f>
        <v>15</v>
      </c>
      <c r="B1645" t="str">
        <f t="shared" si="101"/>
        <v>15Oldham</v>
      </c>
      <c r="C1645" t="s">
        <v>4898</v>
      </c>
      <c r="D1645" t="s">
        <v>249</v>
      </c>
      <c r="E1645">
        <v>41</v>
      </c>
      <c r="F1645" t="s">
        <v>864</v>
      </c>
      <c r="G1645" t="s">
        <v>842</v>
      </c>
      <c r="H1645" t="s">
        <v>856</v>
      </c>
      <c r="I1645" t="s">
        <v>844</v>
      </c>
      <c r="J1645">
        <f t="shared" ca="1" si="102"/>
        <v>100000</v>
      </c>
      <c r="K1645">
        <f t="shared" ca="1" si="103"/>
        <v>2000</v>
      </c>
      <c r="N1645" t="str">
        <f t="shared" si="100"/>
        <v>Newcastle upon Tyne38C8 - New Beginnings GrantDFG Related SchemesDiscretionary use of DFG</v>
      </c>
      <c r="O1645" t="s">
        <v>225</v>
      </c>
      <c r="P1645" t="s">
        <v>2195</v>
      </c>
      <c r="Q1645">
        <v>38</v>
      </c>
      <c r="R1645" t="s">
        <v>4425</v>
      </c>
      <c r="S1645" t="s">
        <v>4899</v>
      </c>
      <c r="T1645" t="s">
        <v>834</v>
      </c>
      <c r="U1645" t="s">
        <v>1293</v>
      </c>
      <c r="W1645">
        <v>80</v>
      </c>
      <c r="X1645">
        <v>80</v>
      </c>
      <c r="Y1645" t="s">
        <v>836</v>
      </c>
      <c r="Z1645" t="s">
        <v>792</v>
      </c>
      <c r="AB1645" t="s">
        <v>793</v>
      </c>
      <c r="AD1645" t="s">
        <v>794</v>
      </c>
      <c r="AE1645" t="s">
        <v>795</v>
      </c>
      <c r="AF1645" t="s">
        <v>840</v>
      </c>
      <c r="AG1645" t="s">
        <v>861</v>
      </c>
      <c r="AH1645">
        <v>40000</v>
      </c>
      <c r="AI1645">
        <v>40000</v>
      </c>
      <c r="AJ1645">
        <v>1</v>
      </c>
    </row>
    <row r="1646" spans="1:36" x14ac:dyDescent="0.3">
      <c r="A1646">
        <f>COUNTIF($D$2:D1646,D1646)</f>
        <v>16</v>
      </c>
      <c r="B1646" t="str">
        <f t="shared" si="101"/>
        <v>16Oldham</v>
      </c>
      <c r="C1646" t="s">
        <v>4900</v>
      </c>
      <c r="D1646" t="s">
        <v>249</v>
      </c>
      <c r="E1646">
        <v>44</v>
      </c>
      <c r="F1646" t="s">
        <v>864</v>
      </c>
      <c r="G1646" t="s">
        <v>842</v>
      </c>
      <c r="H1646" t="s">
        <v>1594</v>
      </c>
      <c r="I1646" t="s">
        <v>844</v>
      </c>
      <c r="J1646">
        <f t="shared" ca="1" si="102"/>
        <v>250000</v>
      </c>
      <c r="K1646">
        <f t="shared" ca="1" si="103"/>
        <v>5700</v>
      </c>
      <c r="N1646" t="str">
        <f t="shared" si="100"/>
        <v>Newcastle upon Tyne41Digital ReablementAssistive Technologies and EquipmentAssistive technologies including telecare</v>
      </c>
      <c r="O1646" t="s">
        <v>225</v>
      </c>
      <c r="P1646" t="s">
        <v>2195</v>
      </c>
      <c r="Q1646">
        <v>41</v>
      </c>
      <c r="R1646" t="s">
        <v>4428</v>
      </c>
      <c r="S1646" t="s">
        <v>4901</v>
      </c>
      <c r="T1646" t="s">
        <v>800</v>
      </c>
      <c r="U1646" t="s">
        <v>850</v>
      </c>
      <c r="W1646">
        <v>200</v>
      </c>
      <c r="X1646">
        <v>400</v>
      </c>
      <c r="Y1646" t="s">
        <v>802</v>
      </c>
      <c r="Z1646" t="s">
        <v>792</v>
      </c>
      <c r="AB1646" t="s">
        <v>793</v>
      </c>
      <c r="AD1646" t="s">
        <v>794</v>
      </c>
      <c r="AE1646" t="s">
        <v>795</v>
      </c>
      <c r="AF1646" t="s">
        <v>845</v>
      </c>
      <c r="AG1646" t="s">
        <v>797</v>
      </c>
      <c r="AH1646">
        <v>100000</v>
      </c>
      <c r="AI1646">
        <v>100000</v>
      </c>
      <c r="AJ1646">
        <v>7.7997644471136954E-2</v>
      </c>
    </row>
    <row r="1647" spans="1:36" x14ac:dyDescent="0.3">
      <c r="A1647">
        <f>COUNTIF($D$2:D1647,D1647)</f>
        <v>17</v>
      </c>
      <c r="B1647" t="str">
        <f t="shared" si="101"/>
        <v>17Oldham</v>
      </c>
      <c r="C1647" t="s">
        <v>4902</v>
      </c>
      <c r="D1647" t="s">
        <v>249</v>
      </c>
      <c r="E1647">
        <v>45</v>
      </c>
      <c r="F1647" t="s">
        <v>864</v>
      </c>
      <c r="G1647" t="s">
        <v>806</v>
      </c>
      <c r="H1647" t="s">
        <v>812</v>
      </c>
      <c r="I1647" t="s">
        <v>808</v>
      </c>
      <c r="J1647">
        <f t="shared" ca="1" si="102"/>
        <v>251117</v>
      </c>
      <c r="K1647">
        <f t="shared" ca="1" si="103"/>
        <v>28</v>
      </c>
      <c r="N1647" t="str">
        <f t="shared" si="100"/>
        <v>Newcastle upon Tyne52Interim packages of care - residential careResidential PlacementsOther</v>
      </c>
      <c r="O1647" t="s">
        <v>225</v>
      </c>
      <c r="P1647" t="s">
        <v>2195</v>
      </c>
      <c r="Q1647">
        <v>52</v>
      </c>
      <c r="R1647" t="s">
        <v>4431</v>
      </c>
      <c r="S1647" t="s">
        <v>4903</v>
      </c>
      <c r="T1647" t="s">
        <v>806</v>
      </c>
      <c r="U1647" t="s">
        <v>812</v>
      </c>
      <c r="V1647" t="s">
        <v>4904</v>
      </c>
      <c r="W1647">
        <v>255</v>
      </c>
      <c r="X1647">
        <v>127</v>
      </c>
      <c r="Y1647" t="s">
        <v>808</v>
      </c>
      <c r="Z1647" t="s">
        <v>823</v>
      </c>
      <c r="AB1647" t="s">
        <v>793</v>
      </c>
      <c r="AD1647" t="s">
        <v>794</v>
      </c>
      <c r="AE1647" t="s">
        <v>804</v>
      </c>
      <c r="AF1647" t="s">
        <v>864</v>
      </c>
      <c r="AG1647" t="s">
        <v>797</v>
      </c>
      <c r="AH1647">
        <v>868589.01055999997</v>
      </c>
      <c r="AI1647">
        <v>401716.88620000007</v>
      </c>
      <c r="AJ1647">
        <v>8.1757773649429547E-3</v>
      </c>
    </row>
    <row r="1648" spans="1:36" x14ac:dyDescent="0.3">
      <c r="A1648">
        <f>COUNTIF($D$2:D1648,D1648)</f>
        <v>18</v>
      </c>
      <c r="B1648" t="str">
        <f t="shared" si="101"/>
        <v>18Oldham</v>
      </c>
      <c r="C1648" t="s">
        <v>4905</v>
      </c>
      <c r="D1648" t="s">
        <v>249</v>
      </c>
      <c r="E1648">
        <v>48</v>
      </c>
      <c r="F1648" t="s">
        <v>860</v>
      </c>
      <c r="G1648" t="s">
        <v>877</v>
      </c>
      <c r="H1648" t="s">
        <v>968</v>
      </c>
      <c r="I1648" t="s">
        <v>879</v>
      </c>
      <c r="J1648">
        <f t="shared" ca="1" si="102"/>
        <v>72790</v>
      </c>
      <c r="K1648">
        <f t="shared" ca="1" si="103"/>
        <v>12</v>
      </c>
      <c r="N1648" t="str">
        <f t="shared" si="100"/>
        <v>Newcastle upon Tyne52Interim packages of care - residential careResidential PlacementsOther</v>
      </c>
      <c r="O1648" t="s">
        <v>225</v>
      </c>
      <c r="P1648" t="s">
        <v>2195</v>
      </c>
      <c r="Q1648">
        <v>52</v>
      </c>
      <c r="R1648" t="s">
        <v>4431</v>
      </c>
      <c r="S1648" t="s">
        <v>4903</v>
      </c>
      <c r="T1648" t="s">
        <v>806</v>
      </c>
      <c r="U1648" t="s">
        <v>812</v>
      </c>
      <c r="V1648" t="s">
        <v>4904</v>
      </c>
      <c r="W1648">
        <v>164</v>
      </c>
      <c r="X1648">
        <v>82</v>
      </c>
      <c r="Y1648" t="s">
        <v>808</v>
      </c>
      <c r="Z1648" t="s">
        <v>823</v>
      </c>
      <c r="AB1648" t="s">
        <v>793</v>
      </c>
      <c r="AD1648" t="s">
        <v>794</v>
      </c>
      <c r="AE1648" t="s">
        <v>804</v>
      </c>
      <c r="AF1648" t="s">
        <v>860</v>
      </c>
      <c r="AG1648" t="s">
        <v>797</v>
      </c>
      <c r="AH1648">
        <v>558638.58944000001</v>
      </c>
      <c r="AI1648">
        <v>258414.11380000005</v>
      </c>
      <c r="AJ1648">
        <v>5.2739933243627244E-3</v>
      </c>
    </row>
    <row r="1649" spans="1:36" x14ac:dyDescent="0.3">
      <c r="A1649">
        <f>COUNTIF($D$2:D1649,D1649)</f>
        <v>19</v>
      </c>
      <c r="B1649" t="str">
        <f t="shared" si="101"/>
        <v>19Oldham</v>
      </c>
      <c r="C1649" t="s">
        <v>4906</v>
      </c>
      <c r="D1649" t="s">
        <v>249</v>
      </c>
      <c r="E1649">
        <v>49</v>
      </c>
      <c r="F1649" t="s">
        <v>860</v>
      </c>
      <c r="G1649" t="s">
        <v>877</v>
      </c>
      <c r="H1649" t="s">
        <v>1015</v>
      </c>
      <c r="I1649" t="s">
        <v>879</v>
      </c>
      <c r="J1649">
        <f t="shared" ca="1" si="102"/>
        <v>43700</v>
      </c>
      <c r="K1649">
        <f t="shared" ca="1" si="103"/>
        <v>7</v>
      </c>
      <c r="N1649" t="str">
        <f t="shared" si="100"/>
        <v>Newcastle upon Tyne53Interim packages of care - domiciliary careHome Care or Domiciliary CareDomiciliary care to support hospital discharge (Discharge to Assess pathway 1)</v>
      </c>
      <c r="O1649" t="s">
        <v>225</v>
      </c>
      <c r="P1649" t="s">
        <v>2195</v>
      </c>
      <c r="Q1649">
        <v>53</v>
      </c>
      <c r="R1649" t="s">
        <v>4434</v>
      </c>
      <c r="S1649" t="s">
        <v>4907</v>
      </c>
      <c r="T1649" t="s">
        <v>842</v>
      </c>
      <c r="U1649" t="s">
        <v>856</v>
      </c>
      <c r="W1649">
        <v>11168</v>
      </c>
      <c r="X1649">
        <v>8378</v>
      </c>
      <c r="Y1649" t="s">
        <v>844</v>
      </c>
      <c r="Z1649" t="s">
        <v>792</v>
      </c>
      <c r="AB1649" t="s">
        <v>793</v>
      </c>
      <c r="AD1649" t="s">
        <v>794</v>
      </c>
      <c r="AE1649" t="s">
        <v>804</v>
      </c>
      <c r="AF1649" t="s">
        <v>864</v>
      </c>
      <c r="AG1649" t="s">
        <v>797</v>
      </c>
      <c r="AH1649">
        <v>220905.00263999999</v>
      </c>
      <c r="AI1649">
        <v>165721.17140000002</v>
      </c>
      <c r="AJ1649">
        <v>3.1857470975577705E-3</v>
      </c>
    </row>
    <row r="1650" spans="1:36" x14ac:dyDescent="0.3">
      <c r="A1650">
        <f>COUNTIF($D$2:D1650,D1650)</f>
        <v>20</v>
      </c>
      <c r="B1650" t="str">
        <f t="shared" si="101"/>
        <v>20Oldham</v>
      </c>
      <c r="C1650" t="s">
        <v>4908</v>
      </c>
      <c r="D1650" t="s">
        <v>249</v>
      </c>
      <c r="E1650">
        <v>51</v>
      </c>
      <c r="F1650" t="s">
        <v>860</v>
      </c>
      <c r="G1650" t="s">
        <v>806</v>
      </c>
      <c r="H1650" t="s">
        <v>873</v>
      </c>
      <c r="I1650" t="s">
        <v>808</v>
      </c>
      <c r="J1650">
        <f t="shared" ca="1" si="102"/>
        <v>25000</v>
      </c>
      <c r="K1650">
        <f t="shared" ca="1" si="103"/>
        <v>2</v>
      </c>
      <c r="N1650" t="str">
        <f t="shared" si="100"/>
        <v>Newcastle upon Tyne53Interim packages of care - domiciliary careHome Care or Domiciliary CareDomiciliary care to support hospital discharge (Discharge to Assess pathway 1)</v>
      </c>
      <c r="O1650" t="s">
        <v>225</v>
      </c>
      <c r="P1650" t="s">
        <v>2195</v>
      </c>
      <c r="Q1650">
        <v>53</v>
      </c>
      <c r="R1650" t="s">
        <v>4434</v>
      </c>
      <c r="S1650" t="s">
        <v>4907</v>
      </c>
      <c r="T1650" t="s">
        <v>842</v>
      </c>
      <c r="U1650" t="s">
        <v>856</v>
      </c>
      <c r="W1650">
        <v>7179</v>
      </c>
      <c r="X1650">
        <v>5386</v>
      </c>
      <c r="Y1650" t="s">
        <v>844</v>
      </c>
      <c r="Z1650" t="s">
        <v>792</v>
      </c>
      <c r="AB1650" t="s">
        <v>793</v>
      </c>
      <c r="AD1650" t="s">
        <v>794</v>
      </c>
      <c r="AE1650" t="s">
        <v>804</v>
      </c>
      <c r="AF1650" t="s">
        <v>860</v>
      </c>
      <c r="AG1650" t="s">
        <v>797</v>
      </c>
      <c r="AH1650">
        <v>142067.39736</v>
      </c>
      <c r="AI1650">
        <v>106550.43060000001</v>
      </c>
      <c r="AJ1650">
        <v>2.0509093259084943E-3</v>
      </c>
    </row>
    <row r="1651" spans="1:36" x14ac:dyDescent="0.3">
      <c r="A1651">
        <f>COUNTIF($D$2:D1651,D1651)</f>
        <v>1</v>
      </c>
      <c r="B1651" t="str">
        <f t="shared" si="101"/>
        <v>1Oxfordshire</v>
      </c>
      <c r="C1651" t="s">
        <v>4909</v>
      </c>
      <c r="D1651" t="s">
        <v>251</v>
      </c>
      <c r="E1651">
        <v>1</v>
      </c>
      <c r="F1651" t="s">
        <v>891</v>
      </c>
      <c r="G1651" t="s">
        <v>834</v>
      </c>
      <c r="H1651" t="s">
        <v>835</v>
      </c>
      <c r="I1651" t="s">
        <v>836</v>
      </c>
      <c r="J1651">
        <f t="shared" ca="1" si="102"/>
        <v>6658545</v>
      </c>
      <c r="K1651">
        <f t="shared" ca="1" si="103"/>
        <v>950</v>
      </c>
      <c r="N1651" t="str">
        <f t="shared" si="100"/>
        <v>Newcastle upon Tyne54End of Life support for interim bedsResidential PlacementsNursing home</v>
      </c>
      <c r="O1651" t="s">
        <v>225</v>
      </c>
      <c r="P1651" t="s">
        <v>2195</v>
      </c>
      <c r="Q1651">
        <v>54</v>
      </c>
      <c r="R1651" t="s">
        <v>4436</v>
      </c>
      <c r="S1651" t="s">
        <v>4910</v>
      </c>
      <c r="T1651" t="s">
        <v>806</v>
      </c>
      <c r="U1651" t="s">
        <v>917</v>
      </c>
      <c r="W1651">
        <v>2</v>
      </c>
      <c r="X1651">
        <v>2</v>
      </c>
      <c r="Y1651" t="s">
        <v>808</v>
      </c>
      <c r="Z1651" t="s">
        <v>1061</v>
      </c>
      <c r="AB1651" t="s">
        <v>824</v>
      </c>
      <c r="AD1651" t="s">
        <v>794</v>
      </c>
      <c r="AE1651" t="s">
        <v>804</v>
      </c>
      <c r="AF1651" t="s">
        <v>864</v>
      </c>
      <c r="AG1651" t="s">
        <v>797</v>
      </c>
      <c r="AH1651">
        <v>149787.4148</v>
      </c>
      <c r="AI1651">
        <v>149787.4148</v>
      </c>
      <c r="AJ1651">
        <v>1.9402063140473583E-3</v>
      </c>
    </row>
    <row r="1652" spans="1:36" x14ac:dyDescent="0.3">
      <c r="A1652">
        <f>COUNTIF($D$2:D1652,D1652)</f>
        <v>2</v>
      </c>
      <c r="B1652" t="str">
        <f t="shared" si="101"/>
        <v>2Oxfordshire</v>
      </c>
      <c r="C1652" t="s">
        <v>4911</v>
      </c>
      <c r="D1652" t="s">
        <v>251</v>
      </c>
      <c r="E1652">
        <v>3</v>
      </c>
      <c r="F1652" t="s">
        <v>4912</v>
      </c>
      <c r="G1652" t="s">
        <v>800</v>
      </c>
      <c r="H1652" t="s">
        <v>903</v>
      </c>
      <c r="I1652" t="s">
        <v>802</v>
      </c>
      <c r="J1652">
        <f t="shared" ca="1" si="102"/>
        <v>6195298</v>
      </c>
      <c r="K1652">
        <f t="shared" ca="1" si="103"/>
        <v>21000</v>
      </c>
      <c r="N1652" t="str">
        <f t="shared" si="100"/>
        <v>Newcastle upon Tyne54End of Life support for interim bedsResidential PlacementsNursing home</v>
      </c>
      <c r="O1652" t="s">
        <v>225</v>
      </c>
      <c r="P1652" t="s">
        <v>2195</v>
      </c>
      <c r="Q1652">
        <v>54</v>
      </c>
      <c r="R1652" t="s">
        <v>4436</v>
      </c>
      <c r="S1652" t="s">
        <v>4910</v>
      </c>
      <c r="T1652" t="s">
        <v>806</v>
      </c>
      <c r="U1652" t="s">
        <v>917</v>
      </c>
      <c r="W1652">
        <v>2</v>
      </c>
      <c r="X1652">
        <v>2</v>
      </c>
      <c r="Y1652" t="s">
        <v>808</v>
      </c>
      <c r="Z1652" t="s">
        <v>1061</v>
      </c>
      <c r="AB1652" t="s">
        <v>824</v>
      </c>
      <c r="AD1652" t="s">
        <v>794</v>
      </c>
      <c r="AE1652" t="s">
        <v>804</v>
      </c>
      <c r="AF1652" t="s">
        <v>860</v>
      </c>
      <c r="AG1652" t="s">
        <v>797</v>
      </c>
      <c r="AH1652">
        <v>96330.585200000001</v>
      </c>
      <c r="AI1652">
        <v>96330.585200000001</v>
      </c>
      <c r="AJ1652">
        <v>1.2486410526693803E-3</v>
      </c>
    </row>
    <row r="1653" spans="1:36" x14ac:dyDescent="0.3">
      <c r="A1653">
        <f>COUNTIF($D$2:D1653,D1653)</f>
        <v>3</v>
      </c>
      <c r="B1653" t="str">
        <f t="shared" si="101"/>
        <v>3Oxfordshire</v>
      </c>
      <c r="C1653" t="s">
        <v>4913</v>
      </c>
      <c r="D1653" t="s">
        <v>251</v>
      </c>
      <c r="E1653">
        <v>4</v>
      </c>
      <c r="F1653" t="s">
        <v>2108</v>
      </c>
      <c r="G1653" t="s">
        <v>800</v>
      </c>
      <c r="H1653" t="s">
        <v>850</v>
      </c>
      <c r="I1653" t="s">
        <v>802</v>
      </c>
      <c r="J1653">
        <f t="shared" ca="1" si="102"/>
        <v>1062000</v>
      </c>
      <c r="K1653">
        <f t="shared" ca="1" si="103"/>
        <v>4500</v>
      </c>
      <c r="N1653" t="str">
        <f t="shared" si="100"/>
        <v xml:space="preserve">Newcastle upon Tyne60Expanded reablement team capacityHome-based intermediate care servicesReablement at home (to support discharge) </v>
      </c>
      <c r="O1653" t="s">
        <v>225</v>
      </c>
      <c r="P1653" t="s">
        <v>2195</v>
      </c>
      <c r="Q1653">
        <v>60</v>
      </c>
      <c r="R1653" t="s">
        <v>4439</v>
      </c>
      <c r="S1653" t="s">
        <v>4914</v>
      </c>
      <c r="T1653" t="s">
        <v>787</v>
      </c>
      <c r="U1653" t="s">
        <v>788</v>
      </c>
      <c r="W1653">
        <v>215</v>
      </c>
      <c r="X1653">
        <v>860</v>
      </c>
      <c r="Y1653" t="s">
        <v>789</v>
      </c>
      <c r="Z1653" t="s">
        <v>792</v>
      </c>
      <c r="AB1653" t="s">
        <v>793</v>
      </c>
      <c r="AD1653" t="s">
        <v>794</v>
      </c>
      <c r="AE1653" t="s">
        <v>795</v>
      </c>
      <c r="AF1653" t="s">
        <v>864</v>
      </c>
      <c r="AG1653" t="s">
        <v>861</v>
      </c>
      <c r="AH1653">
        <v>311400.53619999997</v>
      </c>
      <c r="AI1653">
        <v>934201</v>
      </c>
      <c r="AJ1653">
        <v>0.2255951732605308</v>
      </c>
    </row>
    <row r="1654" spans="1:36" x14ac:dyDescent="0.3">
      <c r="A1654">
        <f>COUNTIF($D$2:D1654,D1654)</f>
        <v>4</v>
      </c>
      <c r="B1654" t="str">
        <f t="shared" si="101"/>
        <v>4Oxfordshire</v>
      </c>
      <c r="C1654" t="s">
        <v>4915</v>
      </c>
      <c r="D1654" t="s">
        <v>251</v>
      </c>
      <c r="E1654">
        <v>5</v>
      </c>
      <c r="F1654" t="s">
        <v>4916</v>
      </c>
      <c r="G1654" t="s">
        <v>806</v>
      </c>
      <c r="H1654" t="s">
        <v>917</v>
      </c>
      <c r="I1654" t="s">
        <v>808</v>
      </c>
      <c r="J1654">
        <f t="shared" ca="1" si="102"/>
        <v>11822015</v>
      </c>
      <c r="K1654">
        <f t="shared" ca="1" si="103"/>
        <v>214</v>
      </c>
      <c r="N1654" t="str">
        <f t="shared" si="100"/>
        <v xml:space="preserve">Newcastle upon Tyne60Expanded reablement team capacityHome-based intermediate care servicesReablement at home (to support discharge) </v>
      </c>
      <c r="O1654" t="s">
        <v>225</v>
      </c>
      <c r="P1654" t="s">
        <v>2195</v>
      </c>
      <c r="Q1654">
        <v>60</v>
      </c>
      <c r="R1654" t="s">
        <v>4439</v>
      </c>
      <c r="S1654" t="s">
        <v>4914</v>
      </c>
      <c r="T1654" t="s">
        <v>787</v>
      </c>
      <c r="U1654" t="s">
        <v>788</v>
      </c>
      <c r="W1654">
        <v>215</v>
      </c>
      <c r="X1654">
        <v>860</v>
      </c>
      <c r="Y1654" t="s">
        <v>789</v>
      </c>
      <c r="Z1654" t="s">
        <v>792</v>
      </c>
      <c r="AB1654" t="s">
        <v>793</v>
      </c>
      <c r="AD1654" t="s">
        <v>794</v>
      </c>
      <c r="AE1654" t="s">
        <v>795</v>
      </c>
      <c r="AF1654" t="s">
        <v>860</v>
      </c>
      <c r="AG1654" t="s">
        <v>861</v>
      </c>
      <c r="AH1654">
        <v>200266.4638</v>
      </c>
      <c r="AI1654">
        <v>600799</v>
      </c>
      <c r="AJ1654">
        <v>0.15778741223534568</v>
      </c>
    </row>
    <row r="1655" spans="1:36" x14ac:dyDescent="0.3">
      <c r="A1655">
        <f>COUNTIF($D$2:D1655,D1655)</f>
        <v>5</v>
      </c>
      <c r="B1655" t="str">
        <f t="shared" si="101"/>
        <v>5Oxfordshire</v>
      </c>
      <c r="C1655" t="s">
        <v>4917</v>
      </c>
      <c r="D1655" t="s">
        <v>251</v>
      </c>
      <c r="E1655">
        <v>6</v>
      </c>
      <c r="F1655" t="s">
        <v>1386</v>
      </c>
      <c r="G1655" t="s">
        <v>842</v>
      </c>
      <c r="H1655" t="s">
        <v>843</v>
      </c>
      <c r="I1655" t="s">
        <v>844</v>
      </c>
      <c r="J1655">
        <f t="shared" ca="1" si="102"/>
        <v>7675307</v>
      </c>
      <c r="K1655">
        <f t="shared" ca="1" si="103"/>
        <v>279406</v>
      </c>
      <c r="N1655" t="str">
        <f t="shared" si="100"/>
        <v>Newcastle upon Tyne66Additional bed capacity (block booked)Residential PlacementsShort term residential care (without rehabilitation or reablement input)</v>
      </c>
      <c r="O1655" t="s">
        <v>225</v>
      </c>
      <c r="P1655" t="s">
        <v>2195</v>
      </c>
      <c r="Q1655">
        <v>66</v>
      </c>
      <c r="R1655" t="s">
        <v>4441</v>
      </c>
      <c r="S1655" t="s">
        <v>4903</v>
      </c>
      <c r="T1655" t="s">
        <v>806</v>
      </c>
      <c r="U1655" t="s">
        <v>955</v>
      </c>
      <c r="W1655">
        <v>7</v>
      </c>
      <c r="X1655">
        <v>4</v>
      </c>
      <c r="Y1655" t="s">
        <v>808</v>
      </c>
      <c r="Z1655" t="s">
        <v>823</v>
      </c>
      <c r="AB1655" t="s">
        <v>824</v>
      </c>
      <c r="AD1655" t="s">
        <v>794</v>
      </c>
      <c r="AE1655" t="s">
        <v>804</v>
      </c>
      <c r="AF1655" t="s">
        <v>864</v>
      </c>
      <c r="AG1655" t="s">
        <v>797</v>
      </c>
      <c r="AH1655">
        <v>323795.28379999998</v>
      </c>
      <c r="AI1655">
        <v>161897.94620000001</v>
      </c>
      <c r="AJ1655">
        <v>3.141821146128793E-3</v>
      </c>
    </row>
    <row r="1656" spans="1:36" x14ac:dyDescent="0.3">
      <c r="A1656">
        <f>COUNTIF($D$2:D1656,D1656)</f>
        <v>6</v>
      </c>
      <c r="B1656" t="str">
        <f t="shared" si="101"/>
        <v>6Oxfordshire</v>
      </c>
      <c r="C1656" t="s">
        <v>4918</v>
      </c>
      <c r="D1656" t="s">
        <v>251</v>
      </c>
      <c r="E1656">
        <v>14</v>
      </c>
      <c r="F1656" t="s">
        <v>4919</v>
      </c>
      <c r="G1656" t="s">
        <v>811</v>
      </c>
      <c r="H1656" t="s">
        <v>895</v>
      </c>
      <c r="I1656" t="s">
        <v>813</v>
      </c>
      <c r="J1656">
        <f t="shared" ca="1" si="102"/>
        <v>897800</v>
      </c>
      <c r="K1656">
        <f t="shared" ca="1" si="103"/>
        <v>38500</v>
      </c>
      <c r="N1656" t="str">
        <f t="shared" si="100"/>
        <v>Newcastle upon Tyne66Additional bed capacity (block booked)Residential PlacementsShort term residential care (without rehabilitation or reablement input)</v>
      </c>
      <c r="O1656" t="s">
        <v>225</v>
      </c>
      <c r="P1656" t="s">
        <v>2195</v>
      </c>
      <c r="Q1656">
        <v>66</v>
      </c>
      <c r="R1656" t="s">
        <v>4441</v>
      </c>
      <c r="S1656" t="s">
        <v>4903</v>
      </c>
      <c r="T1656" t="s">
        <v>806</v>
      </c>
      <c r="U1656" t="s">
        <v>955</v>
      </c>
      <c r="W1656">
        <v>5</v>
      </c>
      <c r="X1656">
        <v>2</v>
      </c>
      <c r="Y1656" t="s">
        <v>808</v>
      </c>
      <c r="Z1656" t="s">
        <v>823</v>
      </c>
      <c r="AB1656" t="s">
        <v>824</v>
      </c>
      <c r="AD1656" t="s">
        <v>794</v>
      </c>
      <c r="AE1656" t="s">
        <v>804</v>
      </c>
      <c r="AF1656" t="s">
        <v>860</v>
      </c>
      <c r="AG1656" t="s">
        <v>797</v>
      </c>
      <c r="AH1656">
        <v>208237.7162</v>
      </c>
      <c r="AI1656">
        <v>104119.05379999999</v>
      </c>
      <c r="AJ1656">
        <v>2.0228215201892022E-3</v>
      </c>
    </row>
    <row r="1657" spans="1:36" x14ac:dyDescent="0.3">
      <c r="A1657">
        <f>COUNTIF($D$2:D1657,D1657)</f>
        <v>7</v>
      </c>
      <c r="B1657" t="str">
        <f t="shared" si="101"/>
        <v>7Oxfordshire</v>
      </c>
      <c r="C1657" t="s">
        <v>4920</v>
      </c>
      <c r="D1657" t="s">
        <v>251</v>
      </c>
      <c r="E1657">
        <v>21</v>
      </c>
      <c r="F1657" t="s">
        <v>434</v>
      </c>
      <c r="G1657" t="s">
        <v>787</v>
      </c>
      <c r="H1657" t="s">
        <v>788</v>
      </c>
      <c r="I1657" t="s">
        <v>789</v>
      </c>
      <c r="J1657">
        <f t="shared" ca="1" si="102"/>
        <v>3372100</v>
      </c>
      <c r="K1657">
        <f t="shared" ca="1" si="103"/>
        <v>2544</v>
      </c>
      <c r="N1657" t="str">
        <f t="shared" si="100"/>
        <v>Newham5BCF005c NHS Funded Nursing CareResidential PlacementsNursing home</v>
      </c>
      <c r="O1657" t="s">
        <v>227</v>
      </c>
      <c r="P1657" t="s">
        <v>790</v>
      </c>
      <c r="Q1657">
        <v>5</v>
      </c>
      <c r="R1657" t="s">
        <v>4444</v>
      </c>
      <c r="S1657" t="s">
        <v>806</v>
      </c>
      <c r="T1657" t="s">
        <v>806</v>
      </c>
      <c r="U1657" t="s">
        <v>917</v>
      </c>
      <c r="W1657">
        <v>564</v>
      </c>
      <c r="X1657">
        <v>580.91999999999996</v>
      </c>
      <c r="Y1657" t="s">
        <v>808</v>
      </c>
      <c r="Z1657" t="s">
        <v>823</v>
      </c>
      <c r="AB1657" t="s">
        <v>824</v>
      </c>
      <c r="AD1657" t="s">
        <v>794</v>
      </c>
      <c r="AE1657" t="s">
        <v>824</v>
      </c>
      <c r="AF1657" t="s">
        <v>796</v>
      </c>
      <c r="AG1657" t="s">
        <v>797</v>
      </c>
      <c r="AH1657">
        <v>842000</v>
      </c>
      <c r="AI1657">
        <v>842000</v>
      </c>
      <c r="AJ1657">
        <v>0.34</v>
      </c>
    </row>
    <row r="1658" spans="1:36" x14ac:dyDescent="0.3">
      <c r="A1658">
        <f>COUNTIF($D$2:D1658,D1658)</f>
        <v>8</v>
      </c>
      <c r="B1658" t="str">
        <f t="shared" si="101"/>
        <v>8Oxfordshire</v>
      </c>
      <c r="C1658" t="s">
        <v>4921</v>
      </c>
      <c r="D1658" t="s">
        <v>251</v>
      </c>
      <c r="E1658">
        <v>24</v>
      </c>
      <c r="F1658" t="s">
        <v>4922</v>
      </c>
      <c r="G1658" t="s">
        <v>877</v>
      </c>
      <c r="H1658" t="s">
        <v>878</v>
      </c>
      <c r="I1658" t="s">
        <v>879</v>
      </c>
      <c r="J1658">
        <f t="shared" ca="1" si="102"/>
        <v>3909165</v>
      </c>
      <c r="K1658">
        <f t="shared" ca="1" si="103"/>
        <v>1185</v>
      </c>
      <c r="N1658" t="str">
        <f t="shared" si="100"/>
        <v>Newham6BCF005d DFG/CapitalDFG Related SchemesAdaptations, including statutory DFG grants</v>
      </c>
      <c r="O1658" t="s">
        <v>227</v>
      </c>
      <c r="P1658" t="s">
        <v>790</v>
      </c>
      <c r="Q1658">
        <v>6</v>
      </c>
      <c r="R1658" t="s">
        <v>4447</v>
      </c>
      <c r="S1658" t="s">
        <v>834</v>
      </c>
      <c r="T1658" t="s">
        <v>834</v>
      </c>
      <c r="U1658" t="s">
        <v>835</v>
      </c>
      <c r="W1658">
        <v>276</v>
      </c>
      <c r="X1658">
        <v>276</v>
      </c>
      <c r="Y1658" t="s">
        <v>836</v>
      </c>
      <c r="Z1658" t="s">
        <v>792</v>
      </c>
      <c r="AB1658" t="s">
        <v>793</v>
      </c>
      <c r="AD1658" t="s">
        <v>794</v>
      </c>
      <c r="AE1658" t="s">
        <v>795</v>
      </c>
      <c r="AF1658" t="s">
        <v>840</v>
      </c>
      <c r="AG1658" t="s">
        <v>797</v>
      </c>
      <c r="AH1658">
        <v>1848068</v>
      </c>
      <c r="AI1658">
        <v>1848068</v>
      </c>
      <c r="AJ1658">
        <v>1</v>
      </c>
    </row>
    <row r="1659" spans="1:36" x14ac:dyDescent="0.3">
      <c r="A1659">
        <f>COUNTIF($D$2:D1659,D1659)</f>
        <v>9</v>
      </c>
      <c r="B1659" t="str">
        <f t="shared" si="101"/>
        <v>9Oxfordshire</v>
      </c>
      <c r="C1659" t="s">
        <v>4923</v>
      </c>
      <c r="D1659" t="s">
        <v>251</v>
      </c>
      <c r="E1659">
        <v>26</v>
      </c>
      <c r="F1659" t="s">
        <v>4924</v>
      </c>
      <c r="G1659" t="s">
        <v>877</v>
      </c>
      <c r="H1659" t="s">
        <v>968</v>
      </c>
      <c r="I1659" t="s">
        <v>879</v>
      </c>
      <c r="J1659">
        <f t="shared" ca="1" si="102"/>
        <v>4038503</v>
      </c>
      <c r="K1659">
        <f t="shared" ca="1" si="103"/>
        <v>1244</v>
      </c>
      <c r="N1659" t="str">
        <f t="shared" si="100"/>
        <v>Newham7BCF005d DFG/CapitalDFG Related SchemesAdaptations, including statutory DFG grants</v>
      </c>
      <c r="O1659" t="s">
        <v>227</v>
      </c>
      <c r="P1659" t="s">
        <v>790</v>
      </c>
      <c r="Q1659">
        <v>7</v>
      </c>
      <c r="R1659" t="s">
        <v>4447</v>
      </c>
      <c r="S1659" t="s">
        <v>834</v>
      </c>
      <c r="T1659" t="s">
        <v>834</v>
      </c>
      <c r="U1659" t="s">
        <v>835</v>
      </c>
      <c r="W1659">
        <v>276</v>
      </c>
      <c r="X1659">
        <v>276</v>
      </c>
      <c r="Y1659" t="s">
        <v>836</v>
      </c>
      <c r="Z1659" t="s">
        <v>792</v>
      </c>
      <c r="AB1659" t="s">
        <v>793</v>
      </c>
      <c r="AD1659" t="s">
        <v>794</v>
      </c>
      <c r="AE1659" t="s">
        <v>795</v>
      </c>
      <c r="AF1659" t="s">
        <v>840</v>
      </c>
      <c r="AG1659" t="s">
        <v>797</v>
      </c>
      <c r="AH1659">
        <v>1000000</v>
      </c>
      <c r="AI1659">
        <v>1000000</v>
      </c>
      <c r="AJ1659">
        <v>1</v>
      </c>
    </row>
    <row r="1660" spans="1:36" x14ac:dyDescent="0.3">
      <c r="A1660">
        <f>COUNTIF($D$2:D1660,D1660)</f>
        <v>10</v>
      </c>
      <c r="B1660" t="str">
        <f t="shared" si="101"/>
        <v>10Oxfordshire</v>
      </c>
      <c r="C1660" t="s">
        <v>4925</v>
      </c>
      <c r="D1660" t="s">
        <v>251</v>
      </c>
      <c r="E1660">
        <v>32</v>
      </c>
      <c r="F1660" t="s">
        <v>4926</v>
      </c>
      <c r="G1660" t="s">
        <v>877</v>
      </c>
      <c r="H1660" t="s">
        <v>878</v>
      </c>
      <c r="I1660" t="s">
        <v>879</v>
      </c>
      <c r="J1660">
        <f t="shared" ca="1" si="102"/>
        <v>480000</v>
      </c>
      <c r="K1660">
        <f t="shared" ca="1" si="103"/>
        <v>100</v>
      </c>
      <c r="N1660" t="str">
        <f t="shared" si="100"/>
        <v>Newham17BCF012 Care Packages/PlacementsHome Care or Domiciliary CareDomiciliary care packages</v>
      </c>
      <c r="O1660" t="s">
        <v>227</v>
      </c>
      <c r="P1660" t="s">
        <v>790</v>
      </c>
      <c r="Q1660">
        <v>17</v>
      </c>
      <c r="R1660" t="s">
        <v>4452</v>
      </c>
      <c r="S1660" t="s">
        <v>842</v>
      </c>
      <c r="T1660" t="s">
        <v>842</v>
      </c>
      <c r="U1660" t="s">
        <v>843</v>
      </c>
      <c r="W1660">
        <v>3200000</v>
      </c>
      <c r="X1660">
        <v>3300000</v>
      </c>
      <c r="Y1660" t="s">
        <v>844</v>
      </c>
      <c r="Z1660" t="s">
        <v>792</v>
      </c>
      <c r="AB1660" t="s">
        <v>793</v>
      </c>
      <c r="AD1660" t="s">
        <v>794</v>
      </c>
      <c r="AE1660" t="s">
        <v>795</v>
      </c>
      <c r="AF1660" t="s">
        <v>1029</v>
      </c>
      <c r="AG1660" t="s">
        <v>797</v>
      </c>
      <c r="AH1660">
        <v>30301150</v>
      </c>
      <c r="AI1660">
        <v>30301150</v>
      </c>
      <c r="AJ1660">
        <v>0.33</v>
      </c>
    </row>
    <row r="1661" spans="1:36" x14ac:dyDescent="0.3">
      <c r="A1661">
        <f>COUNTIF($D$2:D1661,D1661)</f>
        <v>11</v>
      </c>
      <c r="B1661" t="str">
        <f t="shared" si="101"/>
        <v>11Oxfordshire</v>
      </c>
      <c r="C1661" t="s">
        <v>4927</v>
      </c>
      <c r="D1661" t="s">
        <v>251</v>
      </c>
      <c r="E1661">
        <v>33</v>
      </c>
      <c r="F1661" t="s">
        <v>4928</v>
      </c>
      <c r="G1661" t="s">
        <v>877</v>
      </c>
      <c r="H1661" t="s">
        <v>878</v>
      </c>
      <c r="I1661" t="s">
        <v>879</v>
      </c>
      <c r="J1661">
        <f t="shared" ca="1" si="102"/>
        <v>280000</v>
      </c>
      <c r="K1661">
        <f t="shared" ca="1" si="103"/>
        <v>36</v>
      </c>
      <c r="N1661" t="str">
        <f t="shared" si="100"/>
        <v>Newham20BCF015 Market Sustainability and Growth (ASC)Residential PlacementsCare home</v>
      </c>
      <c r="O1661" t="s">
        <v>227</v>
      </c>
      <c r="P1661" t="s">
        <v>790</v>
      </c>
      <c r="Q1661">
        <v>20</v>
      </c>
      <c r="R1661" t="s">
        <v>4456</v>
      </c>
      <c r="S1661" t="s">
        <v>4929</v>
      </c>
      <c r="T1661" t="s">
        <v>806</v>
      </c>
      <c r="U1661" t="s">
        <v>807</v>
      </c>
      <c r="W1661">
        <v>121.15</v>
      </c>
      <c r="X1661">
        <v>124.78</v>
      </c>
      <c r="Y1661" t="s">
        <v>808</v>
      </c>
      <c r="Z1661" t="s">
        <v>792</v>
      </c>
      <c r="AB1661" t="s">
        <v>793</v>
      </c>
      <c r="AD1661" t="s">
        <v>794</v>
      </c>
      <c r="AE1661" t="s">
        <v>795</v>
      </c>
      <c r="AF1661" t="s">
        <v>845</v>
      </c>
      <c r="AG1661" t="s">
        <v>797</v>
      </c>
      <c r="AH1661">
        <v>6656407.1100000003</v>
      </c>
      <c r="AI1661">
        <v>6656407.1100000003</v>
      </c>
      <c r="AJ1661">
        <v>0.5</v>
      </c>
    </row>
    <row r="1662" spans="1:36" x14ac:dyDescent="0.3">
      <c r="A1662">
        <f>COUNTIF($D$2:D1662,D1662)</f>
        <v>12</v>
      </c>
      <c r="B1662" t="str">
        <f t="shared" si="101"/>
        <v>12Oxfordshire</v>
      </c>
      <c r="C1662" t="s">
        <v>4930</v>
      </c>
      <c r="D1662" t="s">
        <v>251</v>
      </c>
      <c r="E1662">
        <v>34</v>
      </c>
      <c r="F1662" t="s">
        <v>4931</v>
      </c>
      <c r="G1662" t="s">
        <v>877</v>
      </c>
      <c r="H1662" t="s">
        <v>878</v>
      </c>
      <c r="I1662" t="s">
        <v>879</v>
      </c>
      <c r="J1662">
        <f t="shared" ca="1" si="102"/>
        <v>1213038</v>
      </c>
      <c r="K1662">
        <f t="shared" ca="1" si="103"/>
        <v>140</v>
      </c>
      <c r="N1662" t="str">
        <f t="shared" si="100"/>
        <v>Newham21BCF015 Market Sustainability and Growth (ASC)Home Care or Domiciliary CareDomiciliary care packages</v>
      </c>
      <c r="O1662" t="s">
        <v>227</v>
      </c>
      <c r="P1662" t="s">
        <v>790</v>
      </c>
      <c r="Q1662">
        <v>21</v>
      </c>
      <c r="R1662" t="s">
        <v>4456</v>
      </c>
      <c r="S1662" t="s">
        <v>4929</v>
      </c>
      <c r="T1662" t="s">
        <v>842</v>
      </c>
      <c r="U1662" t="s">
        <v>843</v>
      </c>
      <c r="W1662">
        <v>3200000</v>
      </c>
      <c r="X1662">
        <v>3300000</v>
      </c>
      <c r="Y1662" t="s">
        <v>844</v>
      </c>
      <c r="Z1662" t="s">
        <v>792</v>
      </c>
      <c r="AB1662" t="s">
        <v>793</v>
      </c>
      <c r="AD1662" t="s">
        <v>794</v>
      </c>
      <c r="AE1662" t="s">
        <v>795</v>
      </c>
      <c r="AF1662" t="s">
        <v>845</v>
      </c>
      <c r="AG1662" t="s">
        <v>797</v>
      </c>
      <c r="AH1662">
        <v>772725.89</v>
      </c>
      <c r="AI1662">
        <v>772725.89</v>
      </c>
      <c r="AJ1662">
        <v>0.05</v>
      </c>
    </row>
    <row r="1663" spans="1:36" x14ac:dyDescent="0.3">
      <c r="A1663">
        <f>COUNTIF($D$2:D1663,D1663)</f>
        <v>13</v>
      </c>
      <c r="B1663" t="str">
        <f t="shared" si="101"/>
        <v>13Oxfordshire</v>
      </c>
      <c r="C1663" t="s">
        <v>4932</v>
      </c>
      <c r="D1663" t="s">
        <v>251</v>
      </c>
      <c r="E1663">
        <v>7</v>
      </c>
      <c r="F1663" t="s">
        <v>4933</v>
      </c>
      <c r="G1663" t="s">
        <v>842</v>
      </c>
      <c r="H1663" t="s">
        <v>843</v>
      </c>
      <c r="I1663" t="s">
        <v>844</v>
      </c>
      <c r="J1663">
        <f t="shared" ca="1" si="102"/>
        <v>2610000</v>
      </c>
      <c r="K1663">
        <f t="shared" ca="1" si="103"/>
        <v>95012</v>
      </c>
      <c r="N1663" t="str">
        <f t="shared" si="100"/>
        <v>Newham24BCF017 Wheelchair serviceAssistive Technologies and EquipmentCommunity based equipment</v>
      </c>
      <c r="O1663" t="s">
        <v>227</v>
      </c>
      <c r="P1663" t="s">
        <v>790</v>
      </c>
      <c r="Q1663">
        <v>24</v>
      </c>
      <c r="R1663" t="s">
        <v>4461</v>
      </c>
      <c r="S1663" t="s">
        <v>800</v>
      </c>
      <c r="T1663" t="s">
        <v>800</v>
      </c>
      <c r="U1663" t="s">
        <v>903</v>
      </c>
      <c r="W1663">
        <v>916</v>
      </c>
      <c r="X1663">
        <v>916</v>
      </c>
      <c r="Y1663" t="s">
        <v>802</v>
      </c>
      <c r="Z1663" t="s">
        <v>812</v>
      </c>
      <c r="AA1663" t="s">
        <v>4934</v>
      </c>
      <c r="AB1663" t="s">
        <v>793</v>
      </c>
      <c r="AD1663" t="s">
        <v>794</v>
      </c>
      <c r="AE1663" t="s">
        <v>795</v>
      </c>
      <c r="AF1663" t="s">
        <v>796</v>
      </c>
      <c r="AG1663" t="s">
        <v>797</v>
      </c>
      <c r="AH1663">
        <v>1031560.6209999998</v>
      </c>
      <c r="AI1663">
        <v>1031560.6209999998</v>
      </c>
      <c r="AJ1663">
        <v>0.33</v>
      </c>
    </row>
    <row r="1664" spans="1:36" x14ac:dyDescent="0.3">
      <c r="A1664">
        <f>COUNTIF($D$2:D1664,D1664)</f>
        <v>1</v>
      </c>
      <c r="B1664" t="str">
        <f t="shared" si="101"/>
        <v>1Peterborough</v>
      </c>
      <c r="C1664" t="s">
        <v>4935</v>
      </c>
      <c r="D1664" t="s">
        <v>253</v>
      </c>
      <c r="E1664">
        <v>2</v>
      </c>
      <c r="F1664" t="s">
        <v>1781</v>
      </c>
      <c r="G1664" t="s">
        <v>811</v>
      </c>
      <c r="H1664" t="s">
        <v>812</v>
      </c>
      <c r="I1664" t="s">
        <v>813</v>
      </c>
      <c r="J1664">
        <f t="shared" ca="1" si="102"/>
        <v>65581</v>
      </c>
      <c r="K1664">
        <f t="shared" ca="1" si="103"/>
        <v>96</v>
      </c>
      <c r="N1664" t="str">
        <f t="shared" si="100"/>
        <v>Newham25BCF012 Care Packages/PlacementsResidential PlacementsCare home</v>
      </c>
      <c r="O1664" t="s">
        <v>227</v>
      </c>
      <c r="P1664" t="s">
        <v>790</v>
      </c>
      <c r="Q1664">
        <v>25</v>
      </c>
      <c r="R1664" t="s">
        <v>4452</v>
      </c>
      <c r="S1664" t="s">
        <v>806</v>
      </c>
      <c r="T1664" t="s">
        <v>806</v>
      </c>
      <c r="U1664" t="s">
        <v>807</v>
      </c>
      <c r="W1664">
        <v>442.85</v>
      </c>
      <c r="X1664">
        <v>456.13</v>
      </c>
      <c r="Y1664" t="s">
        <v>808</v>
      </c>
      <c r="Z1664" t="s">
        <v>792</v>
      </c>
      <c r="AB1664" t="s">
        <v>793</v>
      </c>
      <c r="AD1664" t="s">
        <v>794</v>
      </c>
      <c r="AE1664" t="s">
        <v>795</v>
      </c>
      <c r="AF1664" t="s">
        <v>1029</v>
      </c>
      <c r="AG1664" t="s">
        <v>797</v>
      </c>
      <c r="AH1664">
        <v>30987850</v>
      </c>
      <c r="AI1664">
        <v>30987850</v>
      </c>
      <c r="AJ1664">
        <v>0.33</v>
      </c>
    </row>
    <row r="1665" spans="1:36" x14ac:dyDescent="0.3">
      <c r="A1665">
        <f>COUNTIF($D$2:D1665,D1665)</f>
        <v>2</v>
      </c>
      <c r="B1665" t="str">
        <f t="shared" si="101"/>
        <v>2Peterborough</v>
      </c>
      <c r="C1665" t="s">
        <v>4936</v>
      </c>
      <c r="D1665" t="s">
        <v>253</v>
      </c>
      <c r="E1665">
        <v>4</v>
      </c>
      <c r="F1665" t="s">
        <v>1051</v>
      </c>
      <c r="G1665" t="s">
        <v>800</v>
      </c>
      <c r="H1665" t="s">
        <v>903</v>
      </c>
      <c r="I1665" t="s">
        <v>802</v>
      </c>
      <c r="J1665">
        <f t="shared" ca="1" si="102"/>
        <v>439249</v>
      </c>
      <c r="K1665">
        <f t="shared" ca="1" si="103"/>
        <v>4550</v>
      </c>
      <c r="N1665" t="str">
        <f t="shared" si="100"/>
        <v>Newham30BCF005 ReablementBed based intermediate Care Services (Reablement, rehabilitation, wider short-term services supporting recovery)Bed-based intermediate care with rehabilitation (to support discharge)</v>
      </c>
      <c r="O1665" t="s">
        <v>227</v>
      </c>
      <c r="P1665" t="s">
        <v>790</v>
      </c>
      <c r="Q1665">
        <v>30</v>
      </c>
      <c r="R1665" t="s">
        <v>4465</v>
      </c>
      <c r="S1665" t="s">
        <v>434</v>
      </c>
      <c r="T1665" t="s">
        <v>877</v>
      </c>
      <c r="U1665" t="s">
        <v>968</v>
      </c>
      <c r="W1665">
        <v>35000</v>
      </c>
      <c r="X1665">
        <v>35000</v>
      </c>
      <c r="Y1665" t="s">
        <v>879</v>
      </c>
      <c r="Z1665" t="s">
        <v>792</v>
      </c>
      <c r="AB1665" t="s">
        <v>824</v>
      </c>
      <c r="AD1665" t="s">
        <v>794</v>
      </c>
      <c r="AE1665" t="s">
        <v>824</v>
      </c>
      <c r="AF1665" t="s">
        <v>796</v>
      </c>
      <c r="AG1665" t="s">
        <v>797</v>
      </c>
      <c r="AH1665">
        <v>1059000</v>
      </c>
      <c r="AI1665">
        <v>1059000</v>
      </c>
      <c r="AJ1665">
        <v>0.1</v>
      </c>
    </row>
    <row r="1666" spans="1:36" x14ac:dyDescent="0.3">
      <c r="A1666">
        <f>COUNTIF($D$2:D1666,D1666)</f>
        <v>3</v>
      </c>
      <c r="B1666" t="str">
        <f t="shared" si="101"/>
        <v>3Peterborough</v>
      </c>
      <c r="C1666" t="s">
        <v>4937</v>
      </c>
      <c r="D1666" t="s">
        <v>253</v>
      </c>
      <c r="E1666">
        <v>5</v>
      </c>
      <c r="F1666" t="s">
        <v>1051</v>
      </c>
      <c r="G1666" t="s">
        <v>800</v>
      </c>
      <c r="H1666" t="s">
        <v>903</v>
      </c>
      <c r="I1666" t="s">
        <v>802</v>
      </c>
      <c r="J1666">
        <f t="shared" ca="1" si="102"/>
        <v>327287</v>
      </c>
      <c r="K1666">
        <f t="shared" ca="1" si="103"/>
        <v>3430</v>
      </c>
      <c r="N1666" t="str">
        <f t="shared" ref="N1666:N1729" si="104">O1666&amp;Q1666&amp;R1666&amp;T1666&amp;U1666</f>
        <v>Newham32BCF005 Carers ServicesCarers ServicesRespite services</v>
      </c>
      <c r="O1666" t="s">
        <v>227</v>
      </c>
      <c r="P1666" t="s">
        <v>790</v>
      </c>
      <c r="Q1666">
        <v>32</v>
      </c>
      <c r="R1666" t="s">
        <v>4468</v>
      </c>
      <c r="S1666" t="s">
        <v>811</v>
      </c>
      <c r="T1666" t="s">
        <v>811</v>
      </c>
      <c r="U1666" t="s">
        <v>830</v>
      </c>
      <c r="W1666">
        <v>1116</v>
      </c>
      <c r="X1666">
        <v>1150</v>
      </c>
      <c r="Y1666" t="s">
        <v>813</v>
      </c>
      <c r="Z1666" t="s">
        <v>792</v>
      </c>
      <c r="AB1666" t="s">
        <v>824</v>
      </c>
      <c r="AD1666" t="s">
        <v>794</v>
      </c>
      <c r="AE1666" t="s">
        <v>824</v>
      </c>
      <c r="AF1666" t="s">
        <v>796</v>
      </c>
      <c r="AG1666" t="s">
        <v>797</v>
      </c>
      <c r="AH1666">
        <v>536000</v>
      </c>
      <c r="AI1666">
        <v>536000</v>
      </c>
      <c r="AJ1666">
        <v>0.05</v>
      </c>
    </row>
    <row r="1667" spans="1:36" x14ac:dyDescent="0.3">
      <c r="A1667">
        <f>COUNTIF($D$2:D1667,D1667)</f>
        <v>4</v>
      </c>
      <c r="B1667" t="str">
        <f t="shared" ref="B1667:B1730" si="105">A1667&amp;D1667</f>
        <v>4Peterborough</v>
      </c>
      <c r="C1667" t="s">
        <v>4938</v>
      </c>
      <c r="D1667" t="s">
        <v>253</v>
      </c>
      <c r="E1667">
        <v>8</v>
      </c>
      <c r="F1667" t="s">
        <v>4939</v>
      </c>
      <c r="G1667" t="s">
        <v>842</v>
      </c>
      <c r="H1667" t="s">
        <v>843</v>
      </c>
      <c r="I1667" t="s">
        <v>844</v>
      </c>
      <c r="J1667">
        <f t="shared" ref="J1667:J1730" ca="1" si="106">SUMIF($N:$AI,C1667,AH:AH)</f>
        <v>4223453</v>
      </c>
      <c r="K1667">
        <f t="shared" ref="K1667:K1730" ca="1" si="107">SUMIF($N:$AI,C1667,W:W)</f>
        <v>235079</v>
      </c>
      <c r="N1667" t="str">
        <f t="shared" si="104"/>
        <v>Newham31BCF022 Local Authority Discharge FundingHome Care or Domiciliary CareDomiciliary care to support hospital discharge (Discharge to Assess pathway 1)</v>
      </c>
      <c r="O1667" t="s">
        <v>227</v>
      </c>
      <c r="P1667" t="s">
        <v>790</v>
      </c>
      <c r="Q1667">
        <v>31</v>
      </c>
      <c r="R1667" t="s">
        <v>4471</v>
      </c>
      <c r="S1667" t="s">
        <v>4940</v>
      </c>
      <c r="T1667" t="s">
        <v>842</v>
      </c>
      <c r="U1667" t="s">
        <v>856</v>
      </c>
      <c r="W1667">
        <v>35000</v>
      </c>
      <c r="X1667">
        <v>35000</v>
      </c>
      <c r="Y1667" t="s">
        <v>844</v>
      </c>
      <c r="Z1667" t="s">
        <v>792</v>
      </c>
      <c r="AB1667" t="s">
        <v>824</v>
      </c>
      <c r="AD1667" t="s">
        <v>794</v>
      </c>
      <c r="AE1667" t="s">
        <v>795</v>
      </c>
      <c r="AF1667" t="s">
        <v>864</v>
      </c>
      <c r="AG1667" t="s">
        <v>861</v>
      </c>
      <c r="AH1667">
        <v>2410372</v>
      </c>
      <c r="AI1667">
        <v>4001217.52</v>
      </c>
      <c r="AJ1667">
        <v>0.67</v>
      </c>
    </row>
    <row r="1668" spans="1:36" x14ac:dyDescent="0.3">
      <c r="A1668">
        <f>COUNTIF($D$2:D1668,D1668)</f>
        <v>5</v>
      </c>
      <c r="B1668" t="str">
        <f t="shared" si="105"/>
        <v>5Peterborough</v>
      </c>
      <c r="C1668" t="s">
        <v>4941</v>
      </c>
      <c r="D1668" t="s">
        <v>253</v>
      </c>
      <c r="E1668">
        <v>10</v>
      </c>
      <c r="F1668" t="s">
        <v>4942</v>
      </c>
      <c r="G1668" t="s">
        <v>787</v>
      </c>
      <c r="H1668" t="s">
        <v>930</v>
      </c>
      <c r="I1668" t="s">
        <v>789</v>
      </c>
      <c r="J1668">
        <f t="shared" ca="1" si="106"/>
        <v>250000</v>
      </c>
      <c r="K1668">
        <f t="shared" ca="1" si="107"/>
        <v>138</v>
      </c>
      <c r="N1668" t="str">
        <f t="shared" si="104"/>
        <v xml:space="preserve">Newham32BCF022 Local Authority Discharge FundingHome-based intermediate care servicesReablement at home (to support discharge) </v>
      </c>
      <c r="O1668" t="s">
        <v>227</v>
      </c>
      <c r="P1668" t="s">
        <v>790</v>
      </c>
      <c r="Q1668">
        <v>32</v>
      </c>
      <c r="R1668" t="s">
        <v>4471</v>
      </c>
      <c r="S1668" t="s">
        <v>4943</v>
      </c>
      <c r="T1668" t="s">
        <v>787</v>
      </c>
      <c r="U1668" t="s">
        <v>788</v>
      </c>
      <c r="W1668">
        <v>35000</v>
      </c>
      <c r="X1668">
        <v>35000</v>
      </c>
      <c r="Y1668" t="s">
        <v>789</v>
      </c>
      <c r="Z1668" t="s">
        <v>792</v>
      </c>
      <c r="AB1668" t="s">
        <v>824</v>
      </c>
      <c r="AD1668" t="s">
        <v>794</v>
      </c>
      <c r="AE1668" t="s">
        <v>824</v>
      </c>
      <c r="AF1668" t="s">
        <v>860</v>
      </c>
      <c r="AG1668" t="s">
        <v>861</v>
      </c>
      <c r="AH1668">
        <v>1171877</v>
      </c>
      <c r="AI1668">
        <v>2484987.7400000002</v>
      </c>
      <c r="AJ1668">
        <v>0.33</v>
      </c>
    </row>
    <row r="1669" spans="1:36" x14ac:dyDescent="0.3">
      <c r="A1669">
        <f>COUNTIF($D$2:D1669,D1669)</f>
        <v>6</v>
      </c>
      <c r="B1669" t="str">
        <f t="shared" si="105"/>
        <v>6Peterborough</v>
      </c>
      <c r="C1669" t="s">
        <v>4944</v>
      </c>
      <c r="D1669" t="s">
        <v>253</v>
      </c>
      <c r="E1669">
        <v>11</v>
      </c>
      <c r="F1669" t="s">
        <v>4945</v>
      </c>
      <c r="G1669" t="s">
        <v>800</v>
      </c>
      <c r="H1669" t="s">
        <v>850</v>
      </c>
      <c r="I1669" t="s">
        <v>802</v>
      </c>
      <c r="J1669">
        <f t="shared" ca="1" si="106"/>
        <v>100000</v>
      </c>
      <c r="K1669">
        <f t="shared" ca="1" si="107"/>
        <v>238</v>
      </c>
      <c r="N1669" t="str">
        <f t="shared" si="104"/>
        <v>Norfolk2A Social Impact Bond for CarersCarers ServicesCarer advice and support related to Care Act duties</v>
      </c>
      <c r="O1669" t="s">
        <v>229</v>
      </c>
      <c r="P1669" t="s">
        <v>1056</v>
      </c>
      <c r="Q1669">
        <v>2</v>
      </c>
      <c r="R1669" t="s">
        <v>4474</v>
      </c>
      <c r="S1669" t="s">
        <v>4946</v>
      </c>
      <c r="T1669" t="s">
        <v>811</v>
      </c>
      <c r="U1669" t="s">
        <v>895</v>
      </c>
      <c r="W1669">
        <v>2244</v>
      </c>
      <c r="X1669">
        <v>2244</v>
      </c>
      <c r="Y1669" t="s">
        <v>813</v>
      </c>
      <c r="Z1669" t="s">
        <v>792</v>
      </c>
      <c r="AB1669" t="s">
        <v>1739</v>
      </c>
      <c r="AC1669">
        <v>0.12</v>
      </c>
      <c r="AD1669">
        <v>0.88</v>
      </c>
      <c r="AE1669" t="s">
        <v>804</v>
      </c>
      <c r="AF1669" t="s">
        <v>796</v>
      </c>
      <c r="AG1669" t="s">
        <v>797</v>
      </c>
      <c r="AH1669">
        <v>1416720</v>
      </c>
      <c r="AI1669">
        <v>1496906</v>
      </c>
      <c r="AJ1669">
        <v>0</v>
      </c>
    </row>
    <row r="1670" spans="1:36" x14ac:dyDescent="0.3">
      <c r="A1670">
        <f>COUNTIF($D$2:D1670,D1670)</f>
        <v>7</v>
      </c>
      <c r="B1670" t="str">
        <f t="shared" si="105"/>
        <v>7Peterborough</v>
      </c>
      <c r="C1670" t="s">
        <v>4947</v>
      </c>
      <c r="D1670" t="s">
        <v>253</v>
      </c>
      <c r="E1670">
        <v>13</v>
      </c>
      <c r="F1670" t="s">
        <v>4948</v>
      </c>
      <c r="G1670" t="s">
        <v>811</v>
      </c>
      <c r="H1670" t="s">
        <v>895</v>
      </c>
      <c r="I1670" t="s">
        <v>813</v>
      </c>
      <c r="J1670">
        <f t="shared" ca="1" si="106"/>
        <v>407000</v>
      </c>
      <c r="K1670">
        <f t="shared" ca="1" si="107"/>
        <v>1365</v>
      </c>
      <c r="N1670" t="str">
        <f t="shared" si="104"/>
        <v>Norfolk9ICES (Integrated Community Equipment Service)Assistive Technologies and EquipmentCommunity based equipment</v>
      </c>
      <c r="O1670" t="s">
        <v>229</v>
      </c>
      <c r="P1670" t="s">
        <v>1056</v>
      </c>
      <c r="Q1670">
        <v>9</v>
      </c>
      <c r="R1670" t="s">
        <v>4476</v>
      </c>
      <c r="S1670" t="s">
        <v>4949</v>
      </c>
      <c r="T1670" t="s">
        <v>800</v>
      </c>
      <c r="U1670" t="s">
        <v>903</v>
      </c>
      <c r="W1670">
        <v>37450</v>
      </c>
      <c r="X1670">
        <v>39322</v>
      </c>
      <c r="Y1670" t="s">
        <v>802</v>
      </c>
      <c r="Z1670" t="s">
        <v>792</v>
      </c>
      <c r="AB1670" t="s">
        <v>1739</v>
      </c>
      <c r="AC1670">
        <v>0.92</v>
      </c>
      <c r="AD1670">
        <v>7.999999999999996E-2</v>
      </c>
      <c r="AE1670" t="s">
        <v>804</v>
      </c>
      <c r="AF1670" t="s">
        <v>796</v>
      </c>
      <c r="AG1670" t="s">
        <v>797</v>
      </c>
      <c r="AH1670">
        <v>7172953</v>
      </c>
      <c r="AI1670">
        <v>7578941</v>
      </c>
      <c r="AJ1670">
        <v>0</v>
      </c>
    </row>
    <row r="1671" spans="1:36" x14ac:dyDescent="0.3">
      <c r="A1671">
        <f>COUNTIF($D$2:D1671,D1671)</f>
        <v>8</v>
      </c>
      <c r="B1671" t="str">
        <f t="shared" si="105"/>
        <v>8Peterborough</v>
      </c>
      <c r="C1671" t="s">
        <v>4950</v>
      </c>
      <c r="D1671" t="s">
        <v>253</v>
      </c>
      <c r="E1671">
        <v>14</v>
      </c>
      <c r="F1671" t="s">
        <v>1781</v>
      </c>
      <c r="G1671" t="s">
        <v>811</v>
      </c>
      <c r="H1671" t="s">
        <v>895</v>
      </c>
      <c r="I1671" t="s">
        <v>813</v>
      </c>
      <c r="J1671">
        <f t="shared" ca="1" si="106"/>
        <v>75000</v>
      </c>
      <c r="K1671">
        <f t="shared" ca="1" si="107"/>
        <v>241</v>
      </c>
      <c r="N1671" t="str">
        <f t="shared" si="104"/>
        <v>Norfolk20Norfolk First ResponseHome-based intermediate care servicesReablement at home (accepting step up and step down users)</v>
      </c>
      <c r="O1671" t="s">
        <v>229</v>
      </c>
      <c r="P1671" t="s">
        <v>1056</v>
      </c>
      <c r="Q1671">
        <v>20</v>
      </c>
      <c r="R1671" t="s">
        <v>4478</v>
      </c>
      <c r="S1671" t="s">
        <v>4951</v>
      </c>
      <c r="T1671" t="s">
        <v>787</v>
      </c>
      <c r="U1671" t="s">
        <v>930</v>
      </c>
      <c r="W1671">
        <v>6827</v>
      </c>
      <c r="X1671">
        <v>6827</v>
      </c>
      <c r="Y1671" t="s">
        <v>789</v>
      </c>
      <c r="Z1671" t="s">
        <v>792</v>
      </c>
      <c r="AB1671" t="s">
        <v>1739</v>
      </c>
      <c r="AC1671">
        <v>0.122</v>
      </c>
      <c r="AD1671">
        <v>0.878</v>
      </c>
      <c r="AE1671" t="s">
        <v>795</v>
      </c>
      <c r="AF1671" t="s">
        <v>796</v>
      </c>
      <c r="AG1671" t="s">
        <v>797</v>
      </c>
      <c r="AH1671">
        <v>10242162</v>
      </c>
      <c r="AI1671">
        <v>10821868</v>
      </c>
      <c r="AJ1671">
        <v>0</v>
      </c>
    </row>
    <row r="1672" spans="1:36" x14ac:dyDescent="0.3">
      <c r="A1672">
        <f>COUNTIF($D$2:D1672,D1672)</f>
        <v>9</v>
      </c>
      <c r="B1672" t="str">
        <f t="shared" si="105"/>
        <v>9Peterborough</v>
      </c>
      <c r="C1672" t="s">
        <v>4952</v>
      </c>
      <c r="D1672" t="s">
        <v>253</v>
      </c>
      <c r="E1672">
        <v>17</v>
      </c>
      <c r="F1672" t="s">
        <v>891</v>
      </c>
      <c r="G1672" t="s">
        <v>834</v>
      </c>
      <c r="H1672" t="s">
        <v>835</v>
      </c>
      <c r="I1672" t="s">
        <v>836</v>
      </c>
      <c r="J1672">
        <f t="shared" ca="1" si="106"/>
        <v>2236384</v>
      </c>
      <c r="K1672">
        <f t="shared" ca="1" si="107"/>
        <v>197</v>
      </c>
      <c r="N1672" t="str">
        <f t="shared" si="104"/>
        <v>Norfolk51Caring for Better OutcomesHome Care or Domiciliary CareShort term domiciliary care (without reablement input)</v>
      </c>
      <c r="O1672" t="s">
        <v>229</v>
      </c>
      <c r="P1672" t="s">
        <v>1056</v>
      </c>
      <c r="Q1672">
        <v>51</v>
      </c>
      <c r="R1672" t="s">
        <v>4480</v>
      </c>
      <c r="S1672" t="s">
        <v>4953</v>
      </c>
      <c r="T1672" t="s">
        <v>842</v>
      </c>
      <c r="U1672" t="s">
        <v>1102</v>
      </c>
      <c r="W1672">
        <v>380</v>
      </c>
      <c r="X1672">
        <v>380</v>
      </c>
      <c r="Y1672" t="s">
        <v>789</v>
      </c>
      <c r="Z1672" t="s">
        <v>792</v>
      </c>
      <c r="AB1672" t="s">
        <v>793</v>
      </c>
      <c r="AD1672" t="s">
        <v>794</v>
      </c>
      <c r="AE1672" t="s">
        <v>804</v>
      </c>
      <c r="AF1672" t="s">
        <v>796</v>
      </c>
      <c r="AG1672" t="s">
        <v>797</v>
      </c>
      <c r="AH1672">
        <v>1224000</v>
      </c>
      <c r="AI1672">
        <v>1293278</v>
      </c>
      <c r="AJ1672">
        <v>0</v>
      </c>
    </row>
    <row r="1673" spans="1:36" x14ac:dyDescent="0.3">
      <c r="A1673">
        <f>COUNTIF($D$2:D1673,D1673)</f>
        <v>10</v>
      </c>
      <c r="B1673" t="str">
        <f t="shared" si="105"/>
        <v>10Peterborough</v>
      </c>
      <c r="C1673" t="s">
        <v>4954</v>
      </c>
      <c r="D1673" t="s">
        <v>253</v>
      </c>
      <c r="E1673">
        <v>18</v>
      </c>
      <c r="F1673" t="s">
        <v>4955</v>
      </c>
      <c r="G1673" t="s">
        <v>806</v>
      </c>
      <c r="H1673" t="s">
        <v>807</v>
      </c>
      <c r="I1673" t="s">
        <v>808</v>
      </c>
      <c r="J1673">
        <f t="shared" ca="1" si="106"/>
        <v>306276</v>
      </c>
      <c r="K1673">
        <f t="shared" ca="1" si="107"/>
        <v>6</v>
      </c>
      <c r="N1673" t="str">
        <f t="shared" si="104"/>
        <v>Norfolk64LD, MH and Autism Packages of CareHome Care or Domiciliary CareDomiciliary care packages</v>
      </c>
      <c r="O1673" t="s">
        <v>229</v>
      </c>
      <c r="P1673" t="s">
        <v>1056</v>
      </c>
      <c r="Q1673">
        <v>64</v>
      </c>
      <c r="R1673" t="s">
        <v>4482</v>
      </c>
      <c r="S1673" t="s">
        <v>4956</v>
      </c>
      <c r="T1673" t="s">
        <v>842</v>
      </c>
      <c r="U1673" t="s">
        <v>843</v>
      </c>
      <c r="W1673">
        <v>138610</v>
      </c>
      <c r="X1673">
        <v>138610</v>
      </c>
      <c r="Y1673" t="s">
        <v>844</v>
      </c>
      <c r="Z1673" t="s">
        <v>792</v>
      </c>
      <c r="AB1673" t="s">
        <v>793</v>
      </c>
      <c r="AD1673" t="s">
        <v>794</v>
      </c>
      <c r="AE1673" t="s">
        <v>795</v>
      </c>
      <c r="AF1673" t="s">
        <v>796</v>
      </c>
      <c r="AG1673" t="s">
        <v>797</v>
      </c>
      <c r="AH1673">
        <v>3343270</v>
      </c>
      <c r="AI1673">
        <v>3532499</v>
      </c>
      <c r="AJ1673">
        <v>0</v>
      </c>
    </row>
    <row r="1674" spans="1:36" x14ac:dyDescent="0.3">
      <c r="A1674">
        <f>COUNTIF($D$2:D1674,D1674)</f>
        <v>11</v>
      </c>
      <c r="B1674" t="str">
        <f t="shared" si="105"/>
        <v>11Peterborough</v>
      </c>
      <c r="C1674" t="s">
        <v>4957</v>
      </c>
      <c r="D1674" t="s">
        <v>253</v>
      </c>
      <c r="E1674">
        <v>21</v>
      </c>
      <c r="F1674" t="s">
        <v>4958</v>
      </c>
      <c r="G1674" t="s">
        <v>806</v>
      </c>
      <c r="H1674" t="s">
        <v>807</v>
      </c>
      <c r="I1674" t="s">
        <v>808</v>
      </c>
      <c r="J1674">
        <f t="shared" ca="1" si="106"/>
        <v>5483734</v>
      </c>
      <c r="K1674">
        <f t="shared" ca="1" si="107"/>
        <v>108</v>
      </c>
      <c r="N1674" t="str">
        <f t="shared" si="104"/>
        <v>Norfolk67Disabled Facilities GrantDFG Related SchemesAdaptations, including statutory DFG grants</v>
      </c>
      <c r="O1674" t="s">
        <v>229</v>
      </c>
      <c r="P1674" t="s">
        <v>1056</v>
      </c>
      <c r="Q1674">
        <v>67</v>
      </c>
      <c r="R1674" t="s">
        <v>891</v>
      </c>
      <c r="S1674" t="s">
        <v>4959</v>
      </c>
      <c r="T1674" t="s">
        <v>834</v>
      </c>
      <c r="U1674" t="s">
        <v>835</v>
      </c>
      <c r="W1674">
        <v>1400</v>
      </c>
      <c r="X1674">
        <v>1400</v>
      </c>
      <c r="Y1674" t="s">
        <v>836</v>
      </c>
      <c r="Z1674" t="s">
        <v>792</v>
      </c>
      <c r="AB1674" t="s">
        <v>793</v>
      </c>
      <c r="AD1674" t="s">
        <v>794</v>
      </c>
      <c r="AE1674" t="s">
        <v>795</v>
      </c>
      <c r="AF1674" t="s">
        <v>840</v>
      </c>
      <c r="AG1674" t="s">
        <v>797</v>
      </c>
      <c r="AH1674">
        <v>9157782</v>
      </c>
      <c r="AI1674">
        <v>9157782</v>
      </c>
      <c r="AJ1674">
        <v>0</v>
      </c>
    </row>
    <row r="1675" spans="1:36" x14ac:dyDescent="0.3">
      <c r="A1675">
        <f>COUNTIF($D$2:D1675,D1675)</f>
        <v>12</v>
      </c>
      <c r="B1675" t="str">
        <f t="shared" si="105"/>
        <v>12Peterborough</v>
      </c>
      <c r="C1675" t="s">
        <v>4960</v>
      </c>
      <c r="D1675" t="s">
        <v>253</v>
      </c>
      <c r="E1675">
        <v>22</v>
      </c>
      <c r="F1675" t="s">
        <v>4961</v>
      </c>
      <c r="G1675" t="s">
        <v>806</v>
      </c>
      <c r="H1675" t="s">
        <v>917</v>
      </c>
      <c r="I1675" t="s">
        <v>808</v>
      </c>
      <c r="J1675">
        <f t="shared" ca="1" si="106"/>
        <v>793661</v>
      </c>
      <c r="K1675">
        <f t="shared" ca="1" si="107"/>
        <v>18</v>
      </c>
      <c r="N1675" t="str">
        <f t="shared" si="104"/>
        <v>Norfolk70ASC Core Care Services (underlying spend since 2017/18)Residential PlacementsOther</v>
      </c>
      <c r="O1675" t="s">
        <v>229</v>
      </c>
      <c r="P1675" t="s">
        <v>1056</v>
      </c>
      <c r="Q1675">
        <v>70</v>
      </c>
      <c r="R1675" t="s">
        <v>4485</v>
      </c>
      <c r="S1675" t="s">
        <v>4962</v>
      </c>
      <c r="T1675" t="s">
        <v>806</v>
      </c>
      <c r="U1675" t="s">
        <v>812</v>
      </c>
      <c r="V1675" t="s">
        <v>4963</v>
      </c>
      <c r="W1675">
        <v>245</v>
      </c>
      <c r="X1675">
        <v>245</v>
      </c>
      <c r="Y1675" t="s">
        <v>808</v>
      </c>
      <c r="Z1675" t="s">
        <v>792</v>
      </c>
      <c r="AB1675" t="s">
        <v>793</v>
      </c>
      <c r="AD1675" t="s">
        <v>794</v>
      </c>
      <c r="AE1675" t="s">
        <v>804</v>
      </c>
      <c r="AF1675" t="s">
        <v>845</v>
      </c>
      <c r="AG1675" t="s">
        <v>797</v>
      </c>
      <c r="AH1675">
        <v>21586564</v>
      </c>
      <c r="AI1675">
        <v>21586564</v>
      </c>
      <c r="AJ1675">
        <v>0</v>
      </c>
    </row>
    <row r="1676" spans="1:36" x14ac:dyDescent="0.3">
      <c r="A1676">
        <f>COUNTIF($D$2:D1676,D1676)</f>
        <v>13</v>
      </c>
      <c r="B1676" t="str">
        <f t="shared" si="105"/>
        <v>13Peterborough</v>
      </c>
      <c r="C1676" t="s">
        <v>4964</v>
      </c>
      <c r="D1676" t="s">
        <v>253</v>
      </c>
      <c r="E1676">
        <v>31</v>
      </c>
      <c r="F1676" t="s">
        <v>4965</v>
      </c>
      <c r="G1676" t="s">
        <v>787</v>
      </c>
      <c r="H1676" t="s">
        <v>788</v>
      </c>
      <c r="I1676" t="s">
        <v>789</v>
      </c>
      <c r="J1676">
        <f t="shared" ca="1" si="106"/>
        <v>376365</v>
      </c>
      <c r="K1676">
        <f t="shared" ca="1" si="107"/>
        <v>204</v>
      </c>
      <c r="N1676" t="str">
        <f t="shared" si="104"/>
        <v>Norfolk70ASC Core Care Services (underlying spend since 2017/18)Home Care or Domiciliary CareDomiciliary care packages</v>
      </c>
      <c r="O1676" t="s">
        <v>229</v>
      </c>
      <c r="P1676" t="s">
        <v>1056</v>
      </c>
      <c r="Q1676">
        <v>70</v>
      </c>
      <c r="R1676" t="s">
        <v>4485</v>
      </c>
      <c r="S1676" t="s">
        <v>4962</v>
      </c>
      <c r="T1676" t="s">
        <v>842</v>
      </c>
      <c r="U1676" t="s">
        <v>843</v>
      </c>
      <c r="W1676">
        <v>657789</v>
      </c>
      <c r="X1676">
        <v>602155</v>
      </c>
      <c r="Y1676" t="s">
        <v>844</v>
      </c>
      <c r="Z1676" t="s">
        <v>792</v>
      </c>
      <c r="AB1676" t="s">
        <v>793</v>
      </c>
      <c r="AD1676" t="s">
        <v>794</v>
      </c>
      <c r="AE1676" t="s">
        <v>804</v>
      </c>
      <c r="AF1676" t="s">
        <v>845</v>
      </c>
      <c r="AG1676" t="s">
        <v>797</v>
      </c>
      <c r="AH1676">
        <v>14524000</v>
      </c>
      <c r="AI1676">
        <v>14524000</v>
      </c>
      <c r="AJ1676">
        <v>0</v>
      </c>
    </row>
    <row r="1677" spans="1:36" x14ac:dyDescent="0.3">
      <c r="A1677">
        <f>COUNTIF($D$2:D1677,D1677)</f>
        <v>1</v>
      </c>
      <c r="B1677" t="str">
        <f t="shared" si="105"/>
        <v>1Plymouth</v>
      </c>
      <c r="C1677" t="s">
        <v>4966</v>
      </c>
      <c r="D1677" t="s">
        <v>255</v>
      </c>
      <c r="E1677">
        <v>1</v>
      </c>
      <c r="F1677" t="s">
        <v>891</v>
      </c>
      <c r="G1677" t="s">
        <v>834</v>
      </c>
      <c r="H1677" t="s">
        <v>835</v>
      </c>
      <c r="I1677" t="s">
        <v>836</v>
      </c>
      <c r="J1677">
        <f t="shared" ca="1" si="106"/>
        <v>2813781</v>
      </c>
      <c r="K1677">
        <f t="shared" ca="1" si="107"/>
        <v>234</v>
      </c>
      <c r="N1677" t="str">
        <f t="shared" si="104"/>
        <v>Norfolk40West Norfolk Carers ProjectCarers ServicesOther</v>
      </c>
      <c r="O1677" t="s">
        <v>229</v>
      </c>
      <c r="P1677" t="s">
        <v>1056</v>
      </c>
      <c r="Q1677">
        <v>40</v>
      </c>
      <c r="R1677" t="s">
        <v>4488</v>
      </c>
      <c r="S1677" t="s">
        <v>4967</v>
      </c>
      <c r="T1677" t="s">
        <v>811</v>
      </c>
      <c r="U1677" t="s">
        <v>812</v>
      </c>
      <c r="V1677" t="s">
        <v>4968</v>
      </c>
      <c r="W1677">
        <v>164</v>
      </c>
      <c r="X1677">
        <v>164</v>
      </c>
      <c r="Y1677" t="s">
        <v>813</v>
      </c>
      <c r="Z1677" t="s">
        <v>792</v>
      </c>
      <c r="AB1677" t="s">
        <v>824</v>
      </c>
      <c r="AD1677" t="s">
        <v>794</v>
      </c>
      <c r="AE1677" t="s">
        <v>825</v>
      </c>
      <c r="AF1677" t="s">
        <v>796</v>
      </c>
      <c r="AG1677" t="s">
        <v>797</v>
      </c>
      <c r="AH1677">
        <v>19244.578500000018</v>
      </c>
      <c r="AI1677">
        <v>20333.821643100015</v>
      </c>
      <c r="AJ1677">
        <v>1.843126387554723E-4</v>
      </c>
    </row>
    <row r="1678" spans="1:36" x14ac:dyDescent="0.3">
      <c r="A1678">
        <f>COUNTIF($D$2:D1678,D1678)</f>
        <v>2</v>
      </c>
      <c r="B1678" t="str">
        <f t="shared" si="105"/>
        <v>2Plymouth</v>
      </c>
      <c r="C1678" t="s">
        <v>4969</v>
      </c>
      <c r="D1678" t="s">
        <v>255</v>
      </c>
      <c r="E1678">
        <v>2</v>
      </c>
      <c r="F1678" t="s">
        <v>1881</v>
      </c>
      <c r="G1678" t="s">
        <v>800</v>
      </c>
      <c r="H1678" t="s">
        <v>903</v>
      </c>
      <c r="I1678" t="s">
        <v>802</v>
      </c>
      <c r="J1678">
        <f t="shared" ca="1" si="106"/>
        <v>1240000</v>
      </c>
      <c r="K1678">
        <f t="shared" ca="1" si="107"/>
        <v>9410</v>
      </c>
      <c r="N1678" t="str">
        <f t="shared" si="104"/>
        <v>Norfolk82Home Support Enhanced Discharge Incentive SchemeHome Care or Domiciliary CareShort term domiciliary care (without reablement input)</v>
      </c>
      <c r="O1678" t="s">
        <v>229</v>
      </c>
      <c r="P1678" t="s">
        <v>1056</v>
      </c>
      <c r="Q1678">
        <v>82</v>
      </c>
      <c r="R1678" t="s">
        <v>4490</v>
      </c>
      <c r="S1678" t="s">
        <v>4970</v>
      </c>
      <c r="T1678" t="s">
        <v>842</v>
      </c>
      <c r="U1678" t="s">
        <v>1102</v>
      </c>
      <c r="W1678">
        <v>380</v>
      </c>
      <c r="X1678">
        <v>380</v>
      </c>
      <c r="Y1678" t="s">
        <v>789</v>
      </c>
      <c r="Z1678" t="s">
        <v>792</v>
      </c>
      <c r="AB1678" t="s">
        <v>793</v>
      </c>
      <c r="AD1678" t="s">
        <v>794</v>
      </c>
      <c r="AE1678" t="s">
        <v>804</v>
      </c>
      <c r="AF1678" t="s">
        <v>864</v>
      </c>
      <c r="AG1678" t="s">
        <v>797</v>
      </c>
      <c r="AH1678">
        <v>1114000</v>
      </c>
      <c r="AI1678">
        <v>1114000</v>
      </c>
      <c r="AJ1678">
        <v>0</v>
      </c>
    </row>
    <row r="1679" spans="1:36" x14ac:dyDescent="0.3">
      <c r="A1679">
        <f>COUNTIF($D$2:D1679,D1679)</f>
        <v>3</v>
      </c>
      <c r="B1679" t="str">
        <f t="shared" si="105"/>
        <v>3Plymouth</v>
      </c>
      <c r="C1679" t="s">
        <v>4971</v>
      </c>
      <c r="D1679" t="s">
        <v>255</v>
      </c>
      <c r="E1679">
        <v>4</v>
      </c>
      <c r="F1679" t="s">
        <v>3304</v>
      </c>
      <c r="G1679" t="s">
        <v>811</v>
      </c>
      <c r="H1679" t="s">
        <v>812</v>
      </c>
      <c r="I1679" t="s">
        <v>813</v>
      </c>
      <c r="J1679">
        <f t="shared" ca="1" si="106"/>
        <v>297000</v>
      </c>
      <c r="K1679">
        <f t="shared" ca="1" si="107"/>
        <v>1067</v>
      </c>
      <c r="N1679" t="str">
        <f t="shared" si="104"/>
        <v>Norfolk84Provider: CAB and Carers Matters Norfolk:  Carers hardship supportCarers ServicesCarer advice and support related to Care Act duties</v>
      </c>
      <c r="O1679" t="s">
        <v>229</v>
      </c>
      <c r="P1679" t="s">
        <v>1056</v>
      </c>
      <c r="Q1679">
        <v>84</v>
      </c>
      <c r="R1679" t="s">
        <v>4493</v>
      </c>
      <c r="S1679" t="s">
        <v>4972</v>
      </c>
      <c r="T1679" t="s">
        <v>811</v>
      </c>
      <c r="U1679" t="s">
        <v>895</v>
      </c>
      <c r="W1679">
        <v>520</v>
      </c>
      <c r="X1679">
        <v>520</v>
      </c>
      <c r="Y1679" t="s">
        <v>813</v>
      </c>
      <c r="Z1679" t="s">
        <v>792</v>
      </c>
      <c r="AB1679" t="s">
        <v>793</v>
      </c>
      <c r="AD1679" t="s">
        <v>794</v>
      </c>
      <c r="AE1679" t="s">
        <v>825</v>
      </c>
      <c r="AF1679" t="s">
        <v>864</v>
      </c>
      <c r="AG1679" t="s">
        <v>797</v>
      </c>
      <c r="AH1679">
        <v>35000</v>
      </c>
      <c r="AI1679">
        <v>35000</v>
      </c>
      <c r="AJ1679">
        <v>0</v>
      </c>
    </row>
    <row r="1680" spans="1:36" x14ac:dyDescent="0.3">
      <c r="A1680">
        <f>COUNTIF($D$2:D1680,D1680)</f>
        <v>4</v>
      </c>
      <c r="B1680" t="str">
        <f t="shared" si="105"/>
        <v>4Plymouth</v>
      </c>
      <c r="C1680" t="s">
        <v>4973</v>
      </c>
      <c r="D1680" t="s">
        <v>255</v>
      </c>
      <c r="E1680">
        <v>6</v>
      </c>
      <c r="F1680" t="s">
        <v>4974</v>
      </c>
      <c r="G1680" t="s">
        <v>842</v>
      </c>
      <c r="H1680" t="s">
        <v>856</v>
      </c>
      <c r="I1680" t="s">
        <v>844</v>
      </c>
      <c r="J1680">
        <f t="shared" ca="1" si="106"/>
        <v>500000</v>
      </c>
      <c r="K1680">
        <f t="shared" ca="1" si="107"/>
        <v>22675</v>
      </c>
      <c r="N1680" t="str">
        <f t="shared" si="104"/>
        <v>Norfolk7HomeWard (Norwich)Home-based intermediate care servicesRehabilitation at home (accepting step up and step down users)</v>
      </c>
      <c r="O1680" t="s">
        <v>229</v>
      </c>
      <c r="P1680" t="s">
        <v>1056</v>
      </c>
      <c r="Q1680">
        <v>7</v>
      </c>
      <c r="R1680" t="s">
        <v>4496</v>
      </c>
      <c r="S1680" t="s">
        <v>4975</v>
      </c>
      <c r="T1680" t="s">
        <v>787</v>
      </c>
      <c r="U1680" t="s">
        <v>1688</v>
      </c>
      <c r="W1680">
        <v>24</v>
      </c>
      <c r="X1680">
        <v>24</v>
      </c>
      <c r="Y1680" t="s">
        <v>789</v>
      </c>
      <c r="Z1680" t="s">
        <v>823</v>
      </c>
      <c r="AB1680" t="s">
        <v>824</v>
      </c>
      <c r="AD1680" t="s">
        <v>794</v>
      </c>
      <c r="AE1680" t="s">
        <v>832</v>
      </c>
      <c r="AF1680" t="s">
        <v>796</v>
      </c>
      <c r="AG1680" t="s">
        <v>797</v>
      </c>
      <c r="AH1680">
        <v>1589802.9283328</v>
      </c>
      <c r="AI1680">
        <v>1679785.7740764366</v>
      </c>
      <c r="AJ1680">
        <v>1.5226146564976478E-2</v>
      </c>
    </row>
    <row r="1681" spans="1:36" x14ac:dyDescent="0.3">
      <c r="A1681">
        <f>COUNTIF($D$2:D1681,D1681)</f>
        <v>5</v>
      </c>
      <c r="B1681" t="str">
        <f t="shared" si="105"/>
        <v>5Plymouth</v>
      </c>
      <c r="C1681" t="s">
        <v>4976</v>
      </c>
      <c r="D1681" t="s">
        <v>255</v>
      </c>
      <c r="E1681">
        <v>9</v>
      </c>
      <c r="F1681" t="s">
        <v>4977</v>
      </c>
      <c r="G1681" t="s">
        <v>787</v>
      </c>
      <c r="H1681" t="s">
        <v>788</v>
      </c>
      <c r="I1681" t="s">
        <v>789</v>
      </c>
      <c r="J1681">
        <f t="shared" ca="1" si="106"/>
        <v>1182000</v>
      </c>
      <c r="K1681">
        <f t="shared" ca="1" si="107"/>
        <v>1304</v>
      </c>
      <c r="N1681" t="str">
        <f t="shared" si="104"/>
        <v>Norfolk8Rapid Assessment Team (RATS) &amp; Virtual Ward (West Norfolk)Home-based intermediate care servicesRehabilitation at home (accepting step up and step down users)</v>
      </c>
      <c r="O1681" t="s">
        <v>229</v>
      </c>
      <c r="P1681" t="s">
        <v>1056</v>
      </c>
      <c r="Q1681">
        <v>8</v>
      </c>
      <c r="R1681" t="s">
        <v>4499</v>
      </c>
      <c r="S1681" t="s">
        <v>4978</v>
      </c>
      <c r="T1681" t="s">
        <v>787</v>
      </c>
      <c r="U1681" t="s">
        <v>1688</v>
      </c>
      <c r="W1681">
        <v>30</v>
      </c>
      <c r="X1681">
        <v>30</v>
      </c>
      <c r="Y1681" t="s">
        <v>789</v>
      </c>
      <c r="Z1681" t="s">
        <v>823</v>
      </c>
      <c r="AB1681" t="s">
        <v>824</v>
      </c>
      <c r="AD1681" t="s">
        <v>794</v>
      </c>
      <c r="AE1681" t="s">
        <v>832</v>
      </c>
      <c r="AF1681" t="s">
        <v>796</v>
      </c>
      <c r="AG1681" t="s">
        <v>797</v>
      </c>
      <c r="AH1681">
        <v>2019334.8854272</v>
      </c>
      <c r="AI1681">
        <v>2133629.2399423793</v>
      </c>
      <c r="AJ1681">
        <v>1.9339937284886043E-2</v>
      </c>
    </row>
    <row r="1682" spans="1:36" x14ac:dyDescent="0.3">
      <c r="A1682">
        <f>COUNTIF($D$2:D1682,D1682)</f>
        <v>6</v>
      </c>
      <c r="B1682" t="str">
        <f t="shared" si="105"/>
        <v>6Plymouth</v>
      </c>
      <c r="C1682" t="s">
        <v>4979</v>
      </c>
      <c r="D1682" t="s">
        <v>255</v>
      </c>
      <c r="E1682">
        <v>11</v>
      </c>
      <c r="F1682" t="s">
        <v>4980</v>
      </c>
      <c r="G1682" t="s">
        <v>842</v>
      </c>
      <c r="H1682" t="s">
        <v>843</v>
      </c>
      <c r="I1682" t="s">
        <v>844</v>
      </c>
      <c r="J1682">
        <f t="shared" ca="1" si="106"/>
        <v>1500000</v>
      </c>
      <c r="K1682">
        <f t="shared" ca="1" si="107"/>
        <v>68000</v>
      </c>
      <c r="N1682" t="str">
        <f t="shared" si="104"/>
        <v>Norfolk11Intermediate Spot Purchase BedsBed based intermediate Care Services (Reablement, rehabilitation, wider short-term services supporting recovery)Bed-based intermediate care with rehabilitation (to support discharge)</v>
      </c>
      <c r="O1682" t="s">
        <v>229</v>
      </c>
      <c r="P1682" t="s">
        <v>1056</v>
      </c>
      <c r="Q1682">
        <v>11</v>
      </c>
      <c r="R1682" t="s">
        <v>4502</v>
      </c>
      <c r="S1682" t="s">
        <v>4981</v>
      </c>
      <c r="T1682" t="s">
        <v>877</v>
      </c>
      <c r="U1682" t="s">
        <v>968</v>
      </c>
      <c r="W1682">
        <v>306</v>
      </c>
      <c r="X1682">
        <v>306</v>
      </c>
      <c r="Y1682" t="s">
        <v>879</v>
      </c>
      <c r="Z1682" t="s">
        <v>823</v>
      </c>
      <c r="AB1682" t="s">
        <v>824</v>
      </c>
      <c r="AD1682" t="s">
        <v>794</v>
      </c>
      <c r="AE1682" t="s">
        <v>804</v>
      </c>
      <c r="AF1682" t="s">
        <v>796</v>
      </c>
      <c r="AG1682" t="s">
        <v>797</v>
      </c>
      <c r="AH1682">
        <v>1836863.5419000001</v>
      </c>
      <c r="AI1682">
        <v>1940830.0183715399</v>
      </c>
      <c r="AJ1682">
        <v>1.7592339912319298E-2</v>
      </c>
    </row>
    <row r="1683" spans="1:36" x14ac:dyDescent="0.3">
      <c r="A1683">
        <f>COUNTIF($D$2:D1683,D1683)</f>
        <v>7</v>
      </c>
      <c r="B1683" t="str">
        <f t="shared" si="105"/>
        <v>7Plymouth</v>
      </c>
      <c r="C1683" t="s">
        <v>4982</v>
      </c>
      <c r="D1683" t="s">
        <v>255</v>
      </c>
      <c r="E1683">
        <v>13</v>
      </c>
      <c r="F1683" t="s">
        <v>4983</v>
      </c>
      <c r="G1683" t="s">
        <v>877</v>
      </c>
      <c r="H1683" t="s">
        <v>968</v>
      </c>
      <c r="I1683" t="s">
        <v>879</v>
      </c>
      <c r="J1683">
        <f t="shared" ca="1" si="106"/>
        <v>9900000</v>
      </c>
      <c r="K1683">
        <f t="shared" ca="1" si="107"/>
        <v>1708</v>
      </c>
      <c r="N1683" t="str">
        <f t="shared" si="104"/>
        <v>Norfolk14Medical Loans Service Assistive Technologies and EquipmentCommunity based equipment</v>
      </c>
      <c r="O1683" t="s">
        <v>229</v>
      </c>
      <c r="P1683" t="s">
        <v>1056</v>
      </c>
      <c r="Q1683">
        <v>14</v>
      </c>
      <c r="R1683" t="s">
        <v>4504</v>
      </c>
      <c r="S1683" t="s">
        <v>4984</v>
      </c>
      <c r="T1683" t="s">
        <v>800</v>
      </c>
      <c r="U1683" t="s">
        <v>903</v>
      </c>
      <c r="W1683">
        <v>4861</v>
      </c>
      <c r="X1683">
        <v>4861</v>
      </c>
      <c r="Y1683" t="s">
        <v>802</v>
      </c>
      <c r="Z1683" t="s">
        <v>823</v>
      </c>
      <c r="AB1683" t="s">
        <v>824</v>
      </c>
      <c r="AD1683" t="s">
        <v>794</v>
      </c>
      <c r="AE1683" t="s">
        <v>825</v>
      </c>
      <c r="AF1683" t="s">
        <v>796</v>
      </c>
      <c r="AG1683" t="s">
        <v>797</v>
      </c>
      <c r="AH1683">
        <v>192375</v>
      </c>
      <c r="AI1683">
        <v>203263</v>
      </c>
      <c r="AJ1683">
        <v>1.8424464735381776E-3</v>
      </c>
    </row>
    <row r="1684" spans="1:36" x14ac:dyDescent="0.3">
      <c r="A1684">
        <f>COUNTIF($D$2:D1684,D1684)</f>
        <v>8</v>
      </c>
      <c r="B1684" t="str">
        <f t="shared" si="105"/>
        <v>8Plymouth</v>
      </c>
      <c r="C1684" t="s">
        <v>4985</v>
      </c>
      <c r="D1684" t="s">
        <v>255</v>
      </c>
      <c r="E1684">
        <v>15</v>
      </c>
      <c r="F1684" t="s">
        <v>4986</v>
      </c>
      <c r="G1684" t="s">
        <v>842</v>
      </c>
      <c r="H1684" t="s">
        <v>843</v>
      </c>
      <c r="I1684" t="s">
        <v>844</v>
      </c>
      <c r="J1684">
        <f t="shared" ca="1" si="106"/>
        <v>222000</v>
      </c>
      <c r="K1684">
        <f t="shared" ca="1" si="107"/>
        <v>10000</v>
      </c>
      <c r="N1684" t="str">
        <f t="shared" si="104"/>
        <v>Norfolk19Palliative Beds &amp; Hospice (West Norfolk)Residential PlacementsNursing home</v>
      </c>
      <c r="O1684" t="s">
        <v>229</v>
      </c>
      <c r="P1684" t="s">
        <v>1056</v>
      </c>
      <c r="Q1684">
        <v>19</v>
      </c>
      <c r="R1684" t="s">
        <v>4506</v>
      </c>
      <c r="S1684" t="s">
        <v>4987</v>
      </c>
      <c r="T1684" t="s">
        <v>806</v>
      </c>
      <c r="U1684" t="s">
        <v>917</v>
      </c>
      <c r="W1684">
        <v>225</v>
      </c>
      <c r="X1684">
        <v>225</v>
      </c>
      <c r="Y1684" t="s">
        <v>808</v>
      </c>
      <c r="Z1684" t="s">
        <v>823</v>
      </c>
      <c r="AB1684" t="s">
        <v>824</v>
      </c>
      <c r="AD1684" t="s">
        <v>794</v>
      </c>
      <c r="AE1684" t="s">
        <v>832</v>
      </c>
      <c r="AF1684" t="s">
        <v>796</v>
      </c>
      <c r="AG1684" t="s">
        <v>797</v>
      </c>
      <c r="AH1684">
        <v>883923.67350000003</v>
      </c>
      <c r="AI1684">
        <v>933953.7534201002</v>
      </c>
      <c r="AJ1684">
        <v>8.4656727982488911E-3</v>
      </c>
    </row>
    <row r="1685" spans="1:36" x14ac:dyDescent="0.3">
      <c r="A1685">
        <f>COUNTIF($D$2:D1685,D1685)</f>
        <v>9</v>
      </c>
      <c r="B1685" t="str">
        <f t="shared" si="105"/>
        <v>9Plymouth</v>
      </c>
      <c r="C1685" t="s">
        <v>4988</v>
      </c>
      <c r="D1685" t="s">
        <v>255</v>
      </c>
      <c r="E1685">
        <v>20</v>
      </c>
      <c r="F1685" t="s">
        <v>4989</v>
      </c>
      <c r="G1685" t="s">
        <v>842</v>
      </c>
      <c r="H1685" t="s">
        <v>856</v>
      </c>
      <c r="I1685" t="s">
        <v>844</v>
      </c>
      <c r="J1685">
        <f t="shared" ca="1" si="106"/>
        <v>165167</v>
      </c>
      <c r="K1685">
        <f t="shared" ca="1" si="107"/>
        <v>7490</v>
      </c>
      <c r="N1685" t="str">
        <f t="shared" si="104"/>
        <v>North East Lincolnshire6Intermediate tierBed based intermediate Care Services (Reablement, rehabilitation, wider short-term services supporting recovery)Bed-based intermediate care with reablement accepting step up and step down users</v>
      </c>
      <c r="O1685" t="s">
        <v>231</v>
      </c>
      <c r="P1685" t="s">
        <v>922</v>
      </c>
      <c r="Q1685">
        <v>6</v>
      </c>
      <c r="R1685" t="s">
        <v>4509</v>
      </c>
      <c r="S1685" t="s">
        <v>4509</v>
      </c>
      <c r="T1685" t="s">
        <v>877</v>
      </c>
      <c r="U1685" t="s">
        <v>1259</v>
      </c>
      <c r="W1685">
        <v>350</v>
      </c>
      <c r="X1685">
        <v>350</v>
      </c>
      <c r="Y1685" t="s">
        <v>879</v>
      </c>
      <c r="Z1685" t="s">
        <v>823</v>
      </c>
      <c r="AB1685" t="s">
        <v>824</v>
      </c>
      <c r="AD1685" t="s">
        <v>794</v>
      </c>
      <c r="AE1685" t="s">
        <v>804</v>
      </c>
      <c r="AF1685" t="s">
        <v>796</v>
      </c>
      <c r="AG1685" t="s">
        <v>797</v>
      </c>
      <c r="AH1685">
        <v>2099625</v>
      </c>
      <c r="AI1685">
        <v>2384350</v>
      </c>
      <c r="AJ1685">
        <v>0.65</v>
      </c>
    </row>
    <row r="1686" spans="1:36" x14ac:dyDescent="0.3">
      <c r="A1686">
        <f>COUNTIF($D$2:D1686,D1686)</f>
        <v>10</v>
      </c>
      <c r="B1686" t="str">
        <f t="shared" si="105"/>
        <v>10Plymouth</v>
      </c>
      <c r="C1686" t="s">
        <v>4990</v>
      </c>
      <c r="D1686" t="s">
        <v>255</v>
      </c>
      <c r="E1686">
        <v>27</v>
      </c>
      <c r="F1686" t="s">
        <v>4991</v>
      </c>
      <c r="G1686" t="s">
        <v>877</v>
      </c>
      <c r="H1686" t="s">
        <v>995</v>
      </c>
      <c r="I1686" t="s">
        <v>879</v>
      </c>
      <c r="J1686">
        <f t="shared" ca="1" si="106"/>
        <v>117000</v>
      </c>
      <c r="K1686">
        <f t="shared" ca="1" si="107"/>
        <v>20</v>
      </c>
      <c r="N1686" t="str">
        <f t="shared" si="104"/>
        <v>North East Lincolnshire7Intermediate tierBed based intermediate Care Services (Reablement, rehabilitation, wider short-term services supporting recovery)Bed-based intermediate care with reablement accepting step up and step down users</v>
      </c>
      <c r="O1686" t="s">
        <v>231</v>
      </c>
      <c r="P1686" t="s">
        <v>922</v>
      </c>
      <c r="Q1686">
        <v>7</v>
      </c>
      <c r="R1686" t="s">
        <v>4509</v>
      </c>
      <c r="S1686" t="s">
        <v>4509</v>
      </c>
      <c r="T1686" t="s">
        <v>877</v>
      </c>
      <c r="U1686" t="s">
        <v>1259</v>
      </c>
      <c r="W1686">
        <v>142</v>
      </c>
      <c r="X1686">
        <v>142</v>
      </c>
      <c r="Y1686" t="s">
        <v>879</v>
      </c>
      <c r="Z1686" t="s">
        <v>792</v>
      </c>
      <c r="AB1686" t="s">
        <v>793</v>
      </c>
      <c r="AD1686" t="s">
        <v>794</v>
      </c>
      <c r="AE1686" t="s">
        <v>804</v>
      </c>
      <c r="AF1686" t="s">
        <v>796</v>
      </c>
      <c r="AG1686" t="s">
        <v>797</v>
      </c>
      <c r="AH1686">
        <v>857757</v>
      </c>
      <c r="AI1686">
        <v>885770</v>
      </c>
      <c r="AJ1686">
        <v>0.32</v>
      </c>
    </row>
    <row r="1687" spans="1:36" x14ac:dyDescent="0.3">
      <c r="A1687">
        <f>COUNTIF($D$2:D1687,D1687)</f>
        <v>11</v>
      </c>
      <c r="B1687" t="str">
        <f t="shared" si="105"/>
        <v>11Plymouth</v>
      </c>
      <c r="C1687" t="s">
        <v>4992</v>
      </c>
      <c r="D1687" t="s">
        <v>255</v>
      </c>
      <c r="E1687">
        <v>28</v>
      </c>
      <c r="F1687" t="s">
        <v>4993</v>
      </c>
      <c r="G1687" t="s">
        <v>842</v>
      </c>
      <c r="H1687" t="s">
        <v>843</v>
      </c>
      <c r="I1687" t="s">
        <v>844</v>
      </c>
      <c r="J1687">
        <f t="shared" ca="1" si="106"/>
        <v>427500</v>
      </c>
      <c r="K1687">
        <f t="shared" ca="1" si="107"/>
        <v>19387</v>
      </c>
      <c r="N1687" t="str">
        <f t="shared" si="104"/>
        <v>North East Lincolnshire10Community EquipmentAssistive Technologies and EquipmentCommunity based equipment</v>
      </c>
      <c r="O1687" t="s">
        <v>231</v>
      </c>
      <c r="P1687" t="s">
        <v>922</v>
      </c>
      <c r="Q1687">
        <v>10</v>
      </c>
      <c r="R1687" t="s">
        <v>1051</v>
      </c>
      <c r="S1687" t="s">
        <v>1051</v>
      </c>
      <c r="T1687" t="s">
        <v>800</v>
      </c>
      <c r="U1687" t="s">
        <v>903</v>
      </c>
      <c r="W1687">
        <v>5200</v>
      </c>
      <c r="X1687">
        <v>5400</v>
      </c>
      <c r="Y1687" t="s">
        <v>802</v>
      </c>
      <c r="Z1687" t="s">
        <v>823</v>
      </c>
      <c r="AB1687" t="s">
        <v>824</v>
      </c>
      <c r="AD1687" t="s">
        <v>794</v>
      </c>
      <c r="AE1687" t="s">
        <v>1119</v>
      </c>
      <c r="AF1687" t="s">
        <v>796</v>
      </c>
      <c r="AG1687" t="s">
        <v>797</v>
      </c>
      <c r="AH1687">
        <v>757688</v>
      </c>
      <c r="AI1687">
        <v>783450</v>
      </c>
      <c r="AJ1687">
        <v>1</v>
      </c>
    </row>
    <row r="1688" spans="1:36" x14ac:dyDescent="0.3">
      <c r="A1688">
        <f>COUNTIF($D$2:D1688,D1688)</f>
        <v>12</v>
      </c>
      <c r="B1688" t="str">
        <f t="shared" si="105"/>
        <v>12Plymouth</v>
      </c>
      <c r="C1688" t="s">
        <v>4994</v>
      </c>
      <c r="D1688" t="s">
        <v>255</v>
      </c>
      <c r="E1688">
        <v>29</v>
      </c>
      <c r="F1688" t="s">
        <v>4995</v>
      </c>
      <c r="G1688" t="s">
        <v>800</v>
      </c>
      <c r="H1688" t="s">
        <v>850</v>
      </c>
      <c r="I1688" t="s">
        <v>802</v>
      </c>
      <c r="J1688">
        <f t="shared" ca="1" si="106"/>
        <v>275000</v>
      </c>
      <c r="K1688">
        <f t="shared" ca="1" si="107"/>
        <v>2086</v>
      </c>
      <c r="N1688" t="str">
        <f t="shared" si="104"/>
        <v>North East Lincolnshire12Community equipmentAssistive Technologies and EquipmentCommunity based equipment</v>
      </c>
      <c r="O1688" t="s">
        <v>231</v>
      </c>
      <c r="P1688" t="s">
        <v>922</v>
      </c>
      <c r="Q1688">
        <v>12</v>
      </c>
      <c r="R1688" t="s">
        <v>1816</v>
      </c>
      <c r="S1688" t="s">
        <v>1816</v>
      </c>
      <c r="T1688" t="s">
        <v>800</v>
      </c>
      <c r="U1688" t="s">
        <v>903</v>
      </c>
      <c r="W1688">
        <v>1296</v>
      </c>
      <c r="X1688">
        <v>1296</v>
      </c>
      <c r="Y1688" t="s">
        <v>802</v>
      </c>
      <c r="Z1688" t="s">
        <v>792</v>
      </c>
      <c r="AB1688" t="s">
        <v>793</v>
      </c>
      <c r="AD1688" t="s">
        <v>794</v>
      </c>
      <c r="AE1688" t="s">
        <v>1119</v>
      </c>
      <c r="AF1688" t="s">
        <v>796</v>
      </c>
      <c r="AG1688" t="s">
        <v>797</v>
      </c>
      <c r="AH1688">
        <v>362000</v>
      </c>
      <c r="AI1688">
        <v>398200</v>
      </c>
      <c r="AJ1688">
        <v>1</v>
      </c>
    </row>
    <row r="1689" spans="1:36" x14ac:dyDescent="0.3">
      <c r="A1689">
        <f>COUNTIF($D$2:D1689,D1689)</f>
        <v>13</v>
      </c>
      <c r="B1689" t="str">
        <f t="shared" si="105"/>
        <v>13Plymouth</v>
      </c>
      <c r="C1689" t="s">
        <v>4996</v>
      </c>
      <c r="D1689" t="s">
        <v>255</v>
      </c>
      <c r="E1689">
        <v>34</v>
      </c>
      <c r="F1689" t="s">
        <v>4983</v>
      </c>
      <c r="G1689" t="s">
        <v>877</v>
      </c>
      <c r="H1689" t="s">
        <v>968</v>
      </c>
      <c r="I1689" t="s">
        <v>879</v>
      </c>
      <c r="J1689">
        <f t="shared" ca="1" si="106"/>
        <v>1254647</v>
      </c>
      <c r="K1689">
        <f t="shared" ca="1" si="107"/>
        <v>217</v>
      </c>
      <c r="N1689" t="str">
        <f t="shared" si="104"/>
        <v>North East Lincolnshire14Care Act DutiesCarers ServicesOther</v>
      </c>
      <c r="O1689" t="s">
        <v>231</v>
      </c>
      <c r="P1689" t="s">
        <v>922</v>
      </c>
      <c r="Q1689">
        <v>14</v>
      </c>
      <c r="R1689" t="s">
        <v>1155</v>
      </c>
      <c r="S1689" t="s">
        <v>1155</v>
      </c>
      <c r="T1689" t="s">
        <v>811</v>
      </c>
      <c r="U1689" t="s">
        <v>812</v>
      </c>
      <c r="V1689" t="s">
        <v>2548</v>
      </c>
      <c r="W1689">
        <v>2251</v>
      </c>
      <c r="X1689">
        <v>2400</v>
      </c>
      <c r="Y1689" t="s">
        <v>813</v>
      </c>
      <c r="Z1689" t="s">
        <v>792</v>
      </c>
      <c r="AB1689" t="s">
        <v>793</v>
      </c>
      <c r="AD1689" t="s">
        <v>794</v>
      </c>
      <c r="AE1689" t="s">
        <v>804</v>
      </c>
      <c r="AF1689" t="s">
        <v>796</v>
      </c>
      <c r="AG1689" t="s">
        <v>797</v>
      </c>
      <c r="AH1689">
        <v>357338</v>
      </c>
      <c r="AI1689">
        <v>369487</v>
      </c>
      <c r="AJ1689">
        <v>0.86</v>
      </c>
    </row>
    <row r="1690" spans="1:36" x14ac:dyDescent="0.3">
      <c r="A1690">
        <f>COUNTIF($D$2:D1690,D1690)</f>
        <v>14</v>
      </c>
      <c r="B1690" t="str">
        <f t="shared" si="105"/>
        <v>14Plymouth</v>
      </c>
      <c r="C1690" t="s">
        <v>4997</v>
      </c>
      <c r="D1690" t="s">
        <v>255</v>
      </c>
      <c r="E1690">
        <v>36</v>
      </c>
      <c r="F1690" t="s">
        <v>4998</v>
      </c>
      <c r="G1690" t="s">
        <v>811</v>
      </c>
      <c r="H1690" t="s">
        <v>812</v>
      </c>
      <c r="I1690" t="s">
        <v>813</v>
      </c>
      <c r="J1690">
        <f t="shared" ca="1" si="106"/>
        <v>1750000</v>
      </c>
      <c r="K1690">
        <f t="shared" ca="1" si="107"/>
        <v>6289</v>
      </c>
      <c r="N1690" t="str">
        <f t="shared" si="104"/>
        <v>North East Lincolnshire15Care at homeHome Care or Domiciliary CareDomiciliary care packages</v>
      </c>
      <c r="O1690" t="s">
        <v>231</v>
      </c>
      <c r="P1690" t="s">
        <v>922</v>
      </c>
      <c r="Q1690">
        <v>15</v>
      </c>
      <c r="R1690" t="s">
        <v>4519</v>
      </c>
      <c r="S1690" t="s">
        <v>4519</v>
      </c>
      <c r="T1690" t="s">
        <v>842</v>
      </c>
      <c r="U1690" t="s">
        <v>843</v>
      </c>
      <c r="W1690">
        <v>4956</v>
      </c>
      <c r="X1690">
        <v>4956</v>
      </c>
      <c r="Y1690" t="s">
        <v>844</v>
      </c>
      <c r="Z1690" t="s">
        <v>792</v>
      </c>
      <c r="AB1690" t="s">
        <v>793</v>
      </c>
      <c r="AD1690" t="s">
        <v>794</v>
      </c>
      <c r="AE1690" t="s">
        <v>804</v>
      </c>
      <c r="AF1690" t="s">
        <v>796</v>
      </c>
      <c r="AG1690" t="s">
        <v>797</v>
      </c>
      <c r="AH1690">
        <v>90803</v>
      </c>
      <c r="AI1690">
        <v>98975</v>
      </c>
      <c r="AJ1690">
        <v>1</v>
      </c>
    </row>
    <row r="1691" spans="1:36" x14ac:dyDescent="0.3">
      <c r="A1691">
        <f>COUNTIF($D$2:D1691,D1691)</f>
        <v>15</v>
      </c>
      <c r="B1691" t="str">
        <f t="shared" si="105"/>
        <v>15Plymouth</v>
      </c>
      <c r="C1691" t="s">
        <v>4999</v>
      </c>
      <c r="D1691" t="s">
        <v>255</v>
      </c>
      <c r="E1691">
        <v>40</v>
      </c>
      <c r="F1691" t="s">
        <v>5000</v>
      </c>
      <c r="G1691" t="s">
        <v>787</v>
      </c>
      <c r="H1691" t="s">
        <v>1195</v>
      </c>
      <c r="I1691" t="s">
        <v>789</v>
      </c>
      <c r="J1691">
        <f t="shared" ca="1" si="106"/>
        <v>1028000</v>
      </c>
      <c r="K1691">
        <f t="shared" ca="1" si="107"/>
        <v>40</v>
      </c>
      <c r="N1691" t="str">
        <f t="shared" si="104"/>
        <v>North East Lincolnshire23Intermediate tierBed based intermediate Care Services (Reablement, rehabilitation, wider short-term services supporting recovery)Bed-based intermediate care with reablement accepting step up and step down users</v>
      </c>
      <c r="O1691" t="s">
        <v>231</v>
      </c>
      <c r="P1691" t="s">
        <v>922</v>
      </c>
      <c r="Q1691">
        <v>23</v>
      </c>
      <c r="R1691" t="s">
        <v>4509</v>
      </c>
      <c r="S1691" t="s">
        <v>4509</v>
      </c>
      <c r="T1691" t="s">
        <v>877</v>
      </c>
      <c r="U1691" t="s">
        <v>1259</v>
      </c>
      <c r="W1691">
        <v>132</v>
      </c>
      <c r="X1691">
        <v>132</v>
      </c>
      <c r="Y1691" t="s">
        <v>879</v>
      </c>
      <c r="Z1691" t="s">
        <v>823</v>
      </c>
      <c r="AB1691" t="s">
        <v>824</v>
      </c>
      <c r="AD1691" t="s">
        <v>794</v>
      </c>
      <c r="AE1691" t="s">
        <v>804</v>
      </c>
      <c r="AF1691" t="s">
        <v>860</v>
      </c>
      <c r="AG1691" t="s">
        <v>797</v>
      </c>
      <c r="AH1691">
        <v>362586</v>
      </c>
      <c r="AI1691">
        <v>362586</v>
      </c>
      <c r="AJ1691">
        <v>1</v>
      </c>
    </row>
    <row r="1692" spans="1:36" x14ac:dyDescent="0.3">
      <c r="A1692">
        <f>COUNTIF($D$2:D1692,D1692)</f>
        <v>16</v>
      </c>
      <c r="B1692" t="str">
        <f t="shared" si="105"/>
        <v>16Plymouth</v>
      </c>
      <c r="C1692" t="s">
        <v>5001</v>
      </c>
      <c r="D1692" t="s">
        <v>255</v>
      </c>
      <c r="E1692">
        <v>41</v>
      </c>
      <c r="F1692" t="s">
        <v>5002</v>
      </c>
      <c r="G1692" t="s">
        <v>877</v>
      </c>
      <c r="H1692" t="s">
        <v>878</v>
      </c>
      <c r="I1692" t="s">
        <v>879</v>
      </c>
      <c r="J1692">
        <f t="shared" ca="1" si="106"/>
        <v>500000</v>
      </c>
      <c r="K1692">
        <f t="shared" ca="1" si="107"/>
        <v>64</v>
      </c>
      <c r="N1692" t="str">
        <f t="shared" si="104"/>
        <v>North East Lincolnshire24Intermediate tierHome-based intermediate care servicesReablement at home (accepting step up and step down users)</v>
      </c>
      <c r="O1692" t="s">
        <v>231</v>
      </c>
      <c r="P1692" t="s">
        <v>922</v>
      </c>
      <c r="Q1692">
        <v>24</v>
      </c>
      <c r="R1692" t="s">
        <v>4509</v>
      </c>
      <c r="S1692" t="s">
        <v>4509</v>
      </c>
      <c r="T1692" t="s">
        <v>787</v>
      </c>
      <c r="U1692" t="s">
        <v>930</v>
      </c>
      <c r="W1692">
        <v>456</v>
      </c>
      <c r="X1692">
        <v>456</v>
      </c>
      <c r="Y1692" t="s">
        <v>789</v>
      </c>
      <c r="Z1692" t="s">
        <v>823</v>
      </c>
      <c r="AB1692" t="s">
        <v>824</v>
      </c>
      <c r="AD1692" t="s">
        <v>794</v>
      </c>
      <c r="AE1692" t="s">
        <v>804</v>
      </c>
      <c r="AF1692" t="s">
        <v>796</v>
      </c>
      <c r="AG1692" t="s">
        <v>797</v>
      </c>
      <c r="AH1692">
        <v>3251636</v>
      </c>
      <c r="AI1692">
        <v>3362188</v>
      </c>
      <c r="AJ1692">
        <v>0.75</v>
      </c>
    </row>
    <row r="1693" spans="1:36" x14ac:dyDescent="0.3">
      <c r="A1693">
        <f>COUNTIF($D$2:D1693,D1693)</f>
        <v>17</v>
      </c>
      <c r="B1693" t="str">
        <f t="shared" si="105"/>
        <v>17Plymouth</v>
      </c>
      <c r="C1693" t="s">
        <v>5003</v>
      </c>
      <c r="D1693" t="s">
        <v>255</v>
      </c>
      <c r="E1693">
        <v>42</v>
      </c>
      <c r="F1693" t="s">
        <v>5004</v>
      </c>
      <c r="G1693" t="s">
        <v>787</v>
      </c>
      <c r="H1693" t="s">
        <v>788</v>
      </c>
      <c r="I1693" t="s">
        <v>789</v>
      </c>
      <c r="J1693">
        <f t="shared" ca="1" si="106"/>
        <v>1813195</v>
      </c>
      <c r="K1693">
        <f t="shared" ca="1" si="107"/>
        <v>312</v>
      </c>
      <c r="N1693" t="str">
        <f t="shared" si="104"/>
        <v>North East Lincolnshire25Intermediate tierHome-based intermediate care servicesReablement at home (accepting step up and step down users)</v>
      </c>
      <c r="O1693" t="s">
        <v>231</v>
      </c>
      <c r="P1693" t="s">
        <v>922</v>
      </c>
      <c r="Q1693">
        <v>25</v>
      </c>
      <c r="R1693" t="s">
        <v>4509</v>
      </c>
      <c r="S1693" t="s">
        <v>4509</v>
      </c>
      <c r="T1693" t="s">
        <v>787</v>
      </c>
      <c r="U1693" t="s">
        <v>930</v>
      </c>
      <c r="W1693">
        <v>168</v>
      </c>
      <c r="X1693">
        <v>168</v>
      </c>
      <c r="Y1693" t="s">
        <v>789</v>
      </c>
      <c r="Z1693" t="s">
        <v>792</v>
      </c>
      <c r="AB1693" t="s">
        <v>793</v>
      </c>
      <c r="AD1693" t="s">
        <v>794</v>
      </c>
      <c r="AE1693" t="s">
        <v>804</v>
      </c>
      <c r="AF1693" t="s">
        <v>796</v>
      </c>
      <c r="AG1693" t="s">
        <v>797</v>
      </c>
      <c r="AH1693">
        <v>1180792</v>
      </c>
      <c r="AI1693">
        <v>1230822</v>
      </c>
      <c r="AJ1693">
        <v>0.25</v>
      </c>
    </row>
    <row r="1694" spans="1:36" x14ac:dyDescent="0.3">
      <c r="A1694">
        <f>COUNTIF($D$2:D1694,D1694)</f>
        <v>1</v>
      </c>
      <c r="B1694" t="str">
        <f t="shared" si="105"/>
        <v>1Portsmouth</v>
      </c>
      <c r="C1694" t="s">
        <v>5005</v>
      </c>
      <c r="D1694" t="s">
        <v>257</v>
      </c>
      <c r="E1694">
        <v>1</v>
      </c>
      <c r="F1694" t="s">
        <v>1250</v>
      </c>
      <c r="G1694" t="s">
        <v>811</v>
      </c>
      <c r="H1694" t="s">
        <v>812</v>
      </c>
      <c r="I1694" t="s">
        <v>813</v>
      </c>
      <c r="J1694">
        <f t="shared" ca="1" si="106"/>
        <v>1064500</v>
      </c>
      <c r="K1694">
        <f t="shared" ca="1" si="107"/>
        <v>553</v>
      </c>
      <c r="N1694" t="str">
        <f t="shared" si="104"/>
        <v>North East Lincolnshire5Ensuring the local social care market is supported.Residential PlacementsCare home</v>
      </c>
      <c r="O1694" t="s">
        <v>231</v>
      </c>
      <c r="P1694" t="s">
        <v>922</v>
      </c>
      <c r="Q1694">
        <v>5</v>
      </c>
      <c r="R1694" t="s">
        <v>4526</v>
      </c>
      <c r="S1694" t="s">
        <v>4526</v>
      </c>
      <c r="T1694" t="s">
        <v>806</v>
      </c>
      <c r="U1694" t="s">
        <v>807</v>
      </c>
      <c r="W1694">
        <v>32</v>
      </c>
      <c r="X1694">
        <v>32</v>
      </c>
      <c r="Y1694" t="s">
        <v>808</v>
      </c>
      <c r="Z1694" t="s">
        <v>792</v>
      </c>
      <c r="AB1694" t="s">
        <v>793</v>
      </c>
      <c r="AD1694" t="s">
        <v>794</v>
      </c>
      <c r="AE1694" t="s">
        <v>804</v>
      </c>
      <c r="AF1694" t="s">
        <v>845</v>
      </c>
      <c r="AG1694" t="s">
        <v>797</v>
      </c>
      <c r="AH1694">
        <v>1030293</v>
      </c>
      <c r="AI1694">
        <v>1030293</v>
      </c>
      <c r="AJ1694">
        <v>0.06</v>
      </c>
    </row>
    <row r="1695" spans="1:36" x14ac:dyDescent="0.3">
      <c r="A1695">
        <f>COUNTIF($D$2:D1695,D1695)</f>
        <v>2</v>
      </c>
      <c r="B1695" t="str">
        <f t="shared" si="105"/>
        <v>2Portsmouth</v>
      </c>
      <c r="C1695" t="s">
        <v>5006</v>
      </c>
      <c r="D1695" t="s">
        <v>257</v>
      </c>
      <c r="E1695">
        <v>10</v>
      </c>
      <c r="F1695" t="s">
        <v>5007</v>
      </c>
      <c r="G1695" t="s">
        <v>834</v>
      </c>
      <c r="H1695" t="s">
        <v>812</v>
      </c>
      <c r="I1695" t="s">
        <v>836</v>
      </c>
      <c r="J1695">
        <f t="shared" ca="1" si="106"/>
        <v>2059000</v>
      </c>
      <c r="K1695">
        <f t="shared" ca="1" si="107"/>
        <v>191</v>
      </c>
      <c r="N1695" t="str">
        <f t="shared" si="104"/>
        <v>North East Lincolnshire20DFGDFG Related SchemesAdaptations, including statutory DFG grants</v>
      </c>
      <c r="O1695" t="s">
        <v>231</v>
      </c>
      <c r="P1695" t="s">
        <v>922</v>
      </c>
      <c r="Q1695">
        <v>20</v>
      </c>
      <c r="R1695" t="s">
        <v>840</v>
      </c>
      <c r="S1695" t="s">
        <v>840</v>
      </c>
      <c r="T1695" t="s">
        <v>834</v>
      </c>
      <c r="U1695" t="s">
        <v>835</v>
      </c>
      <c r="W1695">
        <v>230</v>
      </c>
      <c r="X1695">
        <v>230</v>
      </c>
      <c r="Y1695" t="s">
        <v>836</v>
      </c>
      <c r="Z1695" t="s">
        <v>792</v>
      </c>
      <c r="AB1695" t="s">
        <v>793</v>
      </c>
      <c r="AD1695" t="s">
        <v>794</v>
      </c>
      <c r="AE1695" t="s">
        <v>804</v>
      </c>
      <c r="AF1695" t="s">
        <v>840</v>
      </c>
      <c r="AG1695" t="s">
        <v>797</v>
      </c>
      <c r="AH1695">
        <v>3220832</v>
      </c>
      <c r="AI1695">
        <v>3220832</v>
      </c>
      <c r="AJ1695">
        <v>1</v>
      </c>
    </row>
    <row r="1696" spans="1:36" x14ac:dyDescent="0.3">
      <c r="A1696">
        <f>COUNTIF($D$2:D1696,D1696)</f>
        <v>3</v>
      </c>
      <c r="B1696" t="str">
        <f t="shared" si="105"/>
        <v>3Portsmouth</v>
      </c>
      <c r="C1696" t="s">
        <v>5008</v>
      </c>
      <c r="D1696" t="s">
        <v>257</v>
      </c>
      <c r="E1696">
        <v>14</v>
      </c>
      <c r="F1696" t="s">
        <v>5009</v>
      </c>
      <c r="G1696" t="s">
        <v>877</v>
      </c>
      <c r="H1696" t="s">
        <v>812</v>
      </c>
      <c r="I1696" t="s">
        <v>879</v>
      </c>
      <c r="J1696">
        <f t="shared" ca="1" si="106"/>
        <v>4461007</v>
      </c>
      <c r="K1696">
        <f t="shared" ca="1" si="107"/>
        <v>540</v>
      </c>
      <c r="N1696" t="str">
        <f t="shared" si="104"/>
        <v>North East Lincolnshire30Enhanced recovery bedsResidential PlacementsCare home</v>
      </c>
      <c r="O1696" t="s">
        <v>231</v>
      </c>
      <c r="P1696" t="s">
        <v>922</v>
      </c>
      <c r="Q1696">
        <v>30</v>
      </c>
      <c r="R1696" t="s">
        <v>4529</v>
      </c>
      <c r="S1696" t="s">
        <v>806</v>
      </c>
      <c r="T1696" t="s">
        <v>806</v>
      </c>
      <c r="U1696" t="s">
        <v>807</v>
      </c>
      <c r="W1696">
        <v>26</v>
      </c>
      <c r="X1696">
        <v>26</v>
      </c>
      <c r="Y1696" t="s">
        <v>808</v>
      </c>
      <c r="Z1696" t="s">
        <v>823</v>
      </c>
      <c r="AB1696" t="s">
        <v>824</v>
      </c>
      <c r="AD1696" t="s">
        <v>794</v>
      </c>
      <c r="AE1696" t="s">
        <v>804</v>
      </c>
      <c r="AF1696" t="s">
        <v>860</v>
      </c>
      <c r="AG1696" t="s">
        <v>797</v>
      </c>
      <c r="AH1696">
        <v>145034</v>
      </c>
      <c r="AI1696">
        <v>145034</v>
      </c>
      <c r="AJ1696">
        <v>1</v>
      </c>
    </row>
    <row r="1697" spans="1:36" x14ac:dyDescent="0.3">
      <c r="A1697">
        <f>COUNTIF($D$2:D1697,D1697)</f>
        <v>4</v>
      </c>
      <c r="B1697" t="str">
        <f t="shared" si="105"/>
        <v>4Portsmouth</v>
      </c>
      <c r="C1697" t="s">
        <v>5010</v>
      </c>
      <c r="D1697" t="s">
        <v>257</v>
      </c>
      <c r="E1697">
        <v>15</v>
      </c>
      <c r="F1697" t="s">
        <v>5011</v>
      </c>
      <c r="G1697" t="s">
        <v>877</v>
      </c>
      <c r="H1697" t="s">
        <v>968</v>
      </c>
      <c r="I1697" t="s">
        <v>879</v>
      </c>
      <c r="J1697">
        <f t="shared" ca="1" si="106"/>
        <v>3092000</v>
      </c>
      <c r="K1697">
        <f t="shared" ca="1" si="107"/>
        <v>288</v>
      </c>
      <c r="N1697" t="str">
        <f t="shared" si="104"/>
        <v>North East Lincolnshire32Assistive Technologies and EquipmentAssistive Technologies and EquipmentCommunity based equipment</v>
      </c>
      <c r="O1697" t="s">
        <v>231</v>
      </c>
      <c r="P1697" t="s">
        <v>922</v>
      </c>
      <c r="Q1697">
        <v>32</v>
      </c>
      <c r="R1697" t="s">
        <v>800</v>
      </c>
      <c r="S1697" t="s">
        <v>903</v>
      </c>
      <c r="T1697" t="s">
        <v>800</v>
      </c>
      <c r="U1697" t="s">
        <v>903</v>
      </c>
      <c r="W1697">
        <v>100</v>
      </c>
      <c r="X1697">
        <v>100</v>
      </c>
      <c r="Y1697" t="s">
        <v>802</v>
      </c>
      <c r="Z1697" t="s">
        <v>792</v>
      </c>
      <c r="AB1697" t="s">
        <v>793</v>
      </c>
      <c r="AD1697" t="s">
        <v>794</v>
      </c>
      <c r="AE1697" t="s">
        <v>804</v>
      </c>
      <c r="AF1697" t="s">
        <v>864</v>
      </c>
      <c r="AG1697" t="s">
        <v>861</v>
      </c>
      <c r="AH1697">
        <v>50000</v>
      </c>
      <c r="AI1697">
        <v>51700</v>
      </c>
      <c r="AJ1697">
        <v>0.12</v>
      </c>
    </row>
    <row r="1698" spans="1:36" x14ac:dyDescent="0.3">
      <c r="A1698">
        <f>COUNTIF($D$2:D1698,D1698)</f>
        <v>5</v>
      </c>
      <c r="B1698" t="str">
        <f t="shared" si="105"/>
        <v>5Portsmouth</v>
      </c>
      <c r="C1698" t="s">
        <v>5012</v>
      </c>
      <c r="D1698" t="s">
        <v>257</v>
      </c>
      <c r="E1698">
        <v>16</v>
      </c>
      <c r="F1698" t="s">
        <v>5013</v>
      </c>
      <c r="G1698" t="s">
        <v>787</v>
      </c>
      <c r="H1698" t="s">
        <v>1195</v>
      </c>
      <c r="I1698" t="s">
        <v>789</v>
      </c>
      <c r="J1698">
        <f t="shared" ca="1" si="106"/>
        <v>756715</v>
      </c>
      <c r="K1698">
        <f t="shared" ca="1" si="107"/>
        <v>258</v>
      </c>
      <c r="N1698" t="str">
        <f t="shared" si="104"/>
        <v>North East Lincolnshire33Intermediate tierBed based intermediate Care Services (Reablement, rehabilitation, wider short-term services supporting recovery)Bed-based intermediate care with reablement accepting step up and step down users</v>
      </c>
      <c r="O1698" t="s">
        <v>231</v>
      </c>
      <c r="P1698" t="s">
        <v>922</v>
      </c>
      <c r="Q1698">
        <v>33</v>
      </c>
      <c r="R1698" t="s">
        <v>4509</v>
      </c>
      <c r="S1698" t="s">
        <v>4509</v>
      </c>
      <c r="T1698" t="s">
        <v>877</v>
      </c>
      <c r="U1698" t="s">
        <v>1259</v>
      </c>
      <c r="W1698">
        <v>67</v>
      </c>
      <c r="X1698">
        <v>67</v>
      </c>
      <c r="Y1698" t="s">
        <v>879</v>
      </c>
      <c r="Z1698" t="s">
        <v>792</v>
      </c>
      <c r="AB1698" t="s">
        <v>793</v>
      </c>
      <c r="AD1698" t="s">
        <v>794</v>
      </c>
      <c r="AE1698" t="s">
        <v>804</v>
      </c>
      <c r="AF1698" t="s">
        <v>864</v>
      </c>
      <c r="AG1698" t="s">
        <v>861</v>
      </c>
      <c r="AH1698">
        <v>400000</v>
      </c>
      <c r="AI1698">
        <v>400000</v>
      </c>
      <c r="AJ1698">
        <v>1</v>
      </c>
    </row>
    <row r="1699" spans="1:36" x14ac:dyDescent="0.3">
      <c r="A1699">
        <f>COUNTIF($D$2:D1699,D1699)</f>
        <v>6</v>
      </c>
      <c r="B1699" t="str">
        <f t="shared" si="105"/>
        <v>6Portsmouth</v>
      </c>
      <c r="C1699" t="s">
        <v>5014</v>
      </c>
      <c r="D1699" t="s">
        <v>257</v>
      </c>
      <c r="E1699">
        <v>17</v>
      </c>
      <c r="F1699" t="s">
        <v>5015</v>
      </c>
      <c r="G1699" t="s">
        <v>877</v>
      </c>
      <c r="H1699" t="s">
        <v>968</v>
      </c>
      <c r="I1699" t="s">
        <v>879</v>
      </c>
      <c r="J1699">
        <f t="shared" ca="1" si="106"/>
        <v>613993</v>
      </c>
      <c r="K1699">
        <f t="shared" ca="1" si="107"/>
        <v>180</v>
      </c>
      <c r="N1699" t="str">
        <f t="shared" si="104"/>
        <v>North East Lincolnshire34Carers supportCarers ServicesCarer advice and support related to Care Act duties</v>
      </c>
      <c r="O1699" t="s">
        <v>231</v>
      </c>
      <c r="P1699" t="s">
        <v>922</v>
      </c>
      <c r="Q1699">
        <v>34</v>
      </c>
      <c r="R1699" t="s">
        <v>1399</v>
      </c>
      <c r="S1699" t="s">
        <v>811</v>
      </c>
      <c r="T1699" t="s">
        <v>811</v>
      </c>
      <c r="U1699" t="s">
        <v>895</v>
      </c>
      <c r="W1699">
        <v>350</v>
      </c>
      <c r="X1699">
        <v>350</v>
      </c>
      <c r="Y1699" t="s">
        <v>813</v>
      </c>
      <c r="Z1699" t="s">
        <v>792</v>
      </c>
      <c r="AB1699" t="s">
        <v>793</v>
      </c>
      <c r="AD1699" t="s">
        <v>794</v>
      </c>
      <c r="AE1699" t="s">
        <v>804</v>
      </c>
      <c r="AF1699" t="s">
        <v>864</v>
      </c>
      <c r="AG1699" t="s">
        <v>861</v>
      </c>
      <c r="AH1699">
        <v>58270</v>
      </c>
      <c r="AI1699">
        <v>60251</v>
      </c>
      <c r="AJ1699">
        <v>0.14000000000000001</v>
      </c>
    </row>
    <row r="1700" spans="1:36" x14ac:dyDescent="0.3">
      <c r="A1700">
        <f>COUNTIF($D$2:D1700,D1700)</f>
        <v>7</v>
      </c>
      <c r="B1700" t="str">
        <f t="shared" si="105"/>
        <v>7Portsmouth</v>
      </c>
      <c r="C1700" t="s">
        <v>5016</v>
      </c>
      <c r="D1700" t="s">
        <v>257</v>
      </c>
      <c r="E1700">
        <v>23</v>
      </c>
      <c r="F1700" t="s">
        <v>5013</v>
      </c>
      <c r="G1700" t="s">
        <v>787</v>
      </c>
      <c r="H1700" t="s">
        <v>1195</v>
      </c>
      <c r="I1700" t="s">
        <v>789</v>
      </c>
      <c r="J1700">
        <f t="shared" ca="1" si="106"/>
        <v>1711318</v>
      </c>
      <c r="K1700">
        <f t="shared" ca="1" si="107"/>
        <v>584</v>
      </c>
      <c r="N1700" t="str">
        <f t="shared" si="104"/>
        <v>North East Lincolnshire37Care at homeHome Care or Domiciliary CareDomiciliary care to support hospital discharge (Discharge to Assess pathway 1)</v>
      </c>
      <c r="O1700" t="s">
        <v>231</v>
      </c>
      <c r="P1700" t="s">
        <v>922</v>
      </c>
      <c r="Q1700">
        <v>37</v>
      </c>
      <c r="R1700" t="s">
        <v>4519</v>
      </c>
      <c r="S1700" t="s">
        <v>4519</v>
      </c>
      <c r="T1700" t="s">
        <v>842</v>
      </c>
      <c r="U1700" t="s">
        <v>856</v>
      </c>
      <c r="W1700">
        <v>14873</v>
      </c>
      <c r="X1700">
        <v>14873</v>
      </c>
      <c r="Y1700" t="s">
        <v>844</v>
      </c>
      <c r="Z1700" t="s">
        <v>792</v>
      </c>
      <c r="AB1700" t="s">
        <v>793</v>
      </c>
      <c r="AD1700" t="s">
        <v>794</v>
      </c>
      <c r="AE1700" t="s">
        <v>804</v>
      </c>
      <c r="AF1700" t="s">
        <v>864</v>
      </c>
      <c r="AG1700" t="s">
        <v>797</v>
      </c>
      <c r="AH1700">
        <v>272480</v>
      </c>
      <c r="AI1700">
        <v>297003</v>
      </c>
      <c r="AJ1700">
        <v>0.5</v>
      </c>
    </row>
    <row r="1701" spans="1:36" x14ac:dyDescent="0.3">
      <c r="A1701">
        <f>COUNTIF($D$2:D1701,D1701)</f>
        <v>1</v>
      </c>
      <c r="B1701" t="str">
        <f t="shared" si="105"/>
        <v>1Reading</v>
      </c>
      <c r="C1701" t="s">
        <v>5017</v>
      </c>
      <c r="D1701" t="s">
        <v>259</v>
      </c>
      <c r="E1701">
        <v>2</v>
      </c>
      <c r="F1701" t="s">
        <v>434</v>
      </c>
      <c r="G1701" t="s">
        <v>787</v>
      </c>
      <c r="H1701" t="s">
        <v>788</v>
      </c>
      <c r="I1701" t="s">
        <v>789</v>
      </c>
      <c r="J1701">
        <f t="shared" ca="1" si="106"/>
        <v>1969996</v>
      </c>
      <c r="K1701">
        <f t="shared" ca="1" si="107"/>
        <v>784</v>
      </c>
      <c r="N1701" t="str">
        <f t="shared" si="104"/>
        <v>North Lincolnshire1Intermediate CareBed based intermediate Care Services (Reablement, rehabilitation, wider short-term services supporting recovery)Bed-based intermediate care with rehabilitation accepting step up and step down users</v>
      </c>
      <c r="O1701" t="s">
        <v>233</v>
      </c>
      <c r="P1701" t="s">
        <v>922</v>
      </c>
      <c r="Q1701">
        <v>1</v>
      </c>
      <c r="R1701" t="s">
        <v>964</v>
      </c>
      <c r="S1701" t="s">
        <v>5018</v>
      </c>
      <c r="T1701" t="s">
        <v>877</v>
      </c>
      <c r="U1701" t="s">
        <v>1015</v>
      </c>
      <c r="W1701">
        <v>342</v>
      </c>
      <c r="X1701">
        <v>342</v>
      </c>
      <c r="Y1701" t="s">
        <v>879</v>
      </c>
      <c r="Z1701" t="s">
        <v>792</v>
      </c>
      <c r="AB1701" t="s">
        <v>793</v>
      </c>
      <c r="AD1701" t="s">
        <v>794</v>
      </c>
      <c r="AE1701" t="s">
        <v>795</v>
      </c>
      <c r="AF1701" t="s">
        <v>796</v>
      </c>
      <c r="AG1701" t="s">
        <v>797</v>
      </c>
      <c r="AH1701">
        <v>1961000</v>
      </c>
      <c r="AI1701">
        <v>2071992</v>
      </c>
      <c r="AJ1701">
        <v>0.55000000000000004</v>
      </c>
    </row>
    <row r="1702" spans="1:36" x14ac:dyDescent="0.3">
      <c r="A1702">
        <f>COUNTIF($D$2:D1702,D1702)</f>
        <v>2</v>
      </c>
      <c r="B1702" t="str">
        <f t="shared" si="105"/>
        <v>2Reading</v>
      </c>
      <c r="C1702" t="s">
        <v>5019</v>
      </c>
      <c r="D1702" t="s">
        <v>259</v>
      </c>
      <c r="E1702">
        <v>3</v>
      </c>
      <c r="F1702" t="s">
        <v>5020</v>
      </c>
      <c r="G1702" t="s">
        <v>877</v>
      </c>
      <c r="H1702" t="s">
        <v>968</v>
      </c>
      <c r="I1702" t="s">
        <v>879</v>
      </c>
      <c r="J1702">
        <f t="shared" ca="1" si="106"/>
        <v>322691</v>
      </c>
      <c r="K1702">
        <f t="shared" ca="1" si="107"/>
        <v>18</v>
      </c>
      <c r="N1702" t="str">
        <f t="shared" si="104"/>
        <v>North Lincolnshire2GP Input into residential rehab provisionBed based intermediate Care Services (Reablement, rehabilitation, wider short-term services supporting recovery)Bed-based intermediate care with rehabilitation accepting step up and step down users</v>
      </c>
      <c r="O1702" t="s">
        <v>233</v>
      </c>
      <c r="P1702" t="s">
        <v>922</v>
      </c>
      <c r="Q1702">
        <v>2</v>
      </c>
      <c r="R1702" t="s">
        <v>4538</v>
      </c>
      <c r="S1702" t="s">
        <v>5021</v>
      </c>
      <c r="T1702" t="s">
        <v>877</v>
      </c>
      <c r="U1702" t="s">
        <v>1015</v>
      </c>
      <c r="W1702">
        <v>46</v>
      </c>
      <c r="X1702">
        <v>46</v>
      </c>
      <c r="Y1702" t="s">
        <v>879</v>
      </c>
      <c r="Z1702" t="s">
        <v>3118</v>
      </c>
      <c r="AB1702" t="s">
        <v>824</v>
      </c>
      <c r="AD1702" t="s">
        <v>794</v>
      </c>
      <c r="AE1702" t="s">
        <v>824</v>
      </c>
      <c r="AF1702" t="s">
        <v>796</v>
      </c>
      <c r="AG1702" t="s">
        <v>797</v>
      </c>
      <c r="AH1702">
        <v>86490</v>
      </c>
      <c r="AI1702">
        <v>91385</v>
      </c>
      <c r="AJ1702">
        <v>0.02</v>
      </c>
    </row>
    <row r="1703" spans="1:36" x14ac:dyDescent="0.3">
      <c r="A1703">
        <f>COUNTIF($D$2:D1703,D1703)</f>
        <v>3</v>
      </c>
      <c r="B1703" t="str">
        <f t="shared" si="105"/>
        <v>3Reading</v>
      </c>
      <c r="C1703" t="s">
        <v>5022</v>
      </c>
      <c r="D1703" t="s">
        <v>259</v>
      </c>
      <c r="E1703">
        <v>4</v>
      </c>
      <c r="F1703" t="s">
        <v>5023</v>
      </c>
      <c r="G1703" t="s">
        <v>877</v>
      </c>
      <c r="H1703" t="s">
        <v>968</v>
      </c>
      <c r="I1703" t="s">
        <v>879</v>
      </c>
      <c r="J1703">
        <f t="shared" ca="1" si="106"/>
        <v>82744.23</v>
      </c>
      <c r="K1703">
        <f t="shared" ca="1" si="107"/>
        <v>18</v>
      </c>
      <c r="N1703" t="str">
        <f t="shared" si="104"/>
        <v>North Lincolnshire3Intermediate CareHome-based intermediate care servicesReablement at home (accepting step up and step down users)</v>
      </c>
      <c r="O1703" t="s">
        <v>233</v>
      </c>
      <c r="P1703" t="s">
        <v>922</v>
      </c>
      <c r="Q1703">
        <v>3</v>
      </c>
      <c r="R1703" t="s">
        <v>964</v>
      </c>
      <c r="S1703" t="s">
        <v>5024</v>
      </c>
      <c r="T1703" t="s">
        <v>787</v>
      </c>
      <c r="U1703" t="s">
        <v>930</v>
      </c>
      <c r="W1703">
        <v>2771</v>
      </c>
      <c r="X1703">
        <v>2771</v>
      </c>
      <c r="Y1703" t="s">
        <v>789</v>
      </c>
      <c r="Z1703" t="s">
        <v>792</v>
      </c>
      <c r="AB1703" t="s">
        <v>793</v>
      </c>
      <c r="AD1703" t="s">
        <v>794</v>
      </c>
      <c r="AE1703" t="s">
        <v>795</v>
      </c>
      <c r="AF1703" t="s">
        <v>796</v>
      </c>
      <c r="AG1703" t="s">
        <v>797</v>
      </c>
      <c r="AH1703">
        <v>3434000</v>
      </c>
      <c r="AI1703">
        <v>3628364</v>
      </c>
      <c r="AJ1703">
        <v>0.7</v>
      </c>
    </row>
    <row r="1704" spans="1:36" x14ac:dyDescent="0.3">
      <c r="A1704">
        <f>COUNTIF($D$2:D1704,D1704)</f>
        <v>4</v>
      </c>
      <c r="B1704" t="str">
        <f t="shared" si="105"/>
        <v>4Reading</v>
      </c>
      <c r="C1704" t="s">
        <v>5025</v>
      </c>
      <c r="D1704" t="s">
        <v>259</v>
      </c>
      <c r="E1704">
        <v>8</v>
      </c>
      <c r="F1704" t="s">
        <v>5026</v>
      </c>
      <c r="G1704" t="s">
        <v>800</v>
      </c>
      <c r="H1704" t="s">
        <v>850</v>
      </c>
      <c r="I1704" t="s">
        <v>802</v>
      </c>
      <c r="J1704">
        <f t="shared" ca="1" si="106"/>
        <v>204500</v>
      </c>
      <c r="K1704">
        <f t="shared" ca="1" si="107"/>
        <v>670</v>
      </c>
      <c r="N1704" t="str">
        <f t="shared" si="104"/>
        <v>North Lincolnshire9Carer Support ServiceCarers ServicesRespite services</v>
      </c>
      <c r="O1704" t="s">
        <v>233</v>
      </c>
      <c r="P1704" t="s">
        <v>922</v>
      </c>
      <c r="Q1704">
        <v>9</v>
      </c>
      <c r="R1704" t="s">
        <v>4542</v>
      </c>
      <c r="S1704" t="s">
        <v>5027</v>
      </c>
      <c r="T1704" t="s">
        <v>811</v>
      </c>
      <c r="U1704" t="s">
        <v>830</v>
      </c>
      <c r="W1704">
        <v>2359</v>
      </c>
      <c r="X1704">
        <v>2359</v>
      </c>
      <c r="Y1704" t="s">
        <v>813</v>
      </c>
      <c r="Z1704" t="s">
        <v>792</v>
      </c>
      <c r="AB1704" t="s">
        <v>793</v>
      </c>
      <c r="AD1704" t="s">
        <v>794</v>
      </c>
      <c r="AE1704" t="s">
        <v>804</v>
      </c>
      <c r="AF1704" t="s">
        <v>796</v>
      </c>
      <c r="AG1704" t="s">
        <v>797</v>
      </c>
      <c r="AH1704">
        <v>979000</v>
      </c>
      <c r="AI1704">
        <v>1034411</v>
      </c>
      <c r="AJ1704">
        <v>0.38</v>
      </c>
    </row>
    <row r="1705" spans="1:36" x14ac:dyDescent="0.3">
      <c r="A1705">
        <f>COUNTIF($D$2:D1705,D1705)</f>
        <v>5</v>
      </c>
      <c r="B1705" t="str">
        <f t="shared" si="105"/>
        <v>5Reading</v>
      </c>
      <c r="C1705" t="s">
        <v>5028</v>
      </c>
      <c r="D1705" t="s">
        <v>259</v>
      </c>
      <c r="E1705">
        <v>9</v>
      </c>
      <c r="F1705" t="s">
        <v>5029</v>
      </c>
      <c r="G1705" t="s">
        <v>811</v>
      </c>
      <c r="H1705" t="s">
        <v>830</v>
      </c>
      <c r="I1705" t="s">
        <v>813</v>
      </c>
      <c r="J1705">
        <f t="shared" ca="1" si="106"/>
        <v>146000</v>
      </c>
      <c r="K1705">
        <f t="shared" ca="1" si="107"/>
        <v>50</v>
      </c>
      <c r="N1705" t="str">
        <f t="shared" si="104"/>
        <v>North Lincolnshire10Carer AssessmentsCarers ServicesCarer advice and support related to Care Act duties</v>
      </c>
      <c r="O1705" t="s">
        <v>233</v>
      </c>
      <c r="P1705" t="s">
        <v>922</v>
      </c>
      <c r="Q1705">
        <v>10</v>
      </c>
      <c r="R1705" t="s">
        <v>4545</v>
      </c>
      <c r="S1705" t="s">
        <v>5030</v>
      </c>
      <c r="T1705" t="s">
        <v>811</v>
      </c>
      <c r="U1705" t="s">
        <v>895</v>
      </c>
      <c r="W1705">
        <v>263</v>
      </c>
      <c r="X1705">
        <v>281</v>
      </c>
      <c r="Y1705" t="s">
        <v>813</v>
      </c>
      <c r="Z1705" t="s">
        <v>792</v>
      </c>
      <c r="AB1705" t="s">
        <v>793</v>
      </c>
      <c r="AD1705" t="s">
        <v>794</v>
      </c>
      <c r="AE1705" t="s">
        <v>795</v>
      </c>
      <c r="AF1705" t="s">
        <v>796</v>
      </c>
      <c r="AG1705" t="s">
        <v>797</v>
      </c>
      <c r="AH1705">
        <v>176000</v>
      </c>
      <c r="AI1705">
        <v>185962</v>
      </c>
      <c r="AJ1705">
        <v>7.0000000000000007E-2</v>
      </c>
    </row>
    <row r="1706" spans="1:36" x14ac:dyDescent="0.3">
      <c r="A1706">
        <f>COUNTIF($D$2:D1706,D1706)</f>
        <v>6</v>
      </c>
      <c r="B1706" t="str">
        <f t="shared" si="105"/>
        <v>6Reading</v>
      </c>
      <c r="C1706" t="s">
        <v>5031</v>
      </c>
      <c r="D1706" t="s">
        <v>259</v>
      </c>
      <c r="E1706">
        <v>10</v>
      </c>
      <c r="F1706" t="s">
        <v>5029</v>
      </c>
      <c r="G1706" t="s">
        <v>811</v>
      </c>
      <c r="H1706" t="s">
        <v>830</v>
      </c>
      <c r="I1706" t="s">
        <v>813</v>
      </c>
      <c r="J1706">
        <f t="shared" ca="1" si="106"/>
        <v>305000</v>
      </c>
      <c r="K1706">
        <f t="shared" ca="1" si="107"/>
        <v>180</v>
      </c>
      <c r="N1706" t="str">
        <f t="shared" si="104"/>
        <v>North Lincolnshire12Aids and AdaptationsDFG Related SchemesAdaptations, including statutory DFG grants</v>
      </c>
      <c r="O1706" t="s">
        <v>233</v>
      </c>
      <c r="P1706" t="s">
        <v>922</v>
      </c>
      <c r="Q1706">
        <v>12</v>
      </c>
      <c r="R1706" t="s">
        <v>4547</v>
      </c>
      <c r="S1706" t="s">
        <v>834</v>
      </c>
      <c r="T1706" t="s">
        <v>834</v>
      </c>
      <c r="U1706" t="s">
        <v>835</v>
      </c>
      <c r="W1706">
        <v>100</v>
      </c>
      <c r="X1706">
        <v>100</v>
      </c>
      <c r="Y1706" t="s">
        <v>836</v>
      </c>
      <c r="Z1706" t="s">
        <v>792</v>
      </c>
      <c r="AB1706" t="s">
        <v>793</v>
      </c>
      <c r="AD1706" t="s">
        <v>794</v>
      </c>
      <c r="AE1706" t="s">
        <v>795</v>
      </c>
      <c r="AF1706" t="s">
        <v>840</v>
      </c>
      <c r="AG1706" t="s">
        <v>797</v>
      </c>
      <c r="AH1706">
        <v>1812067</v>
      </c>
      <c r="AI1706">
        <v>1812067</v>
      </c>
      <c r="AJ1706">
        <v>6.7835000000000006E-2</v>
      </c>
    </row>
    <row r="1707" spans="1:36" x14ac:dyDescent="0.3">
      <c r="A1707">
        <f>COUNTIF($D$2:D1707,D1707)</f>
        <v>7</v>
      </c>
      <c r="B1707" t="str">
        <f t="shared" si="105"/>
        <v>7Reading</v>
      </c>
      <c r="C1707" t="s">
        <v>5032</v>
      </c>
      <c r="D1707" t="s">
        <v>259</v>
      </c>
      <c r="E1707">
        <v>15</v>
      </c>
      <c r="F1707" t="s">
        <v>5033</v>
      </c>
      <c r="G1707" t="s">
        <v>2648</v>
      </c>
      <c r="H1707" t="s">
        <v>5034</v>
      </c>
      <c r="I1707" t="s">
        <v>794</v>
      </c>
      <c r="J1707">
        <f t="shared" ca="1" si="106"/>
        <v>10000</v>
      </c>
      <c r="K1707">
        <f t="shared" ca="1" si="107"/>
        <v>64</v>
      </c>
      <c r="N1707" t="str">
        <f t="shared" si="104"/>
        <v>North Lincolnshire13Handyperson ServiceDFG Related SchemesHandyperson services</v>
      </c>
      <c r="O1707" t="s">
        <v>233</v>
      </c>
      <c r="P1707" t="s">
        <v>922</v>
      </c>
      <c r="Q1707">
        <v>13</v>
      </c>
      <c r="R1707" t="s">
        <v>4550</v>
      </c>
      <c r="S1707" t="s">
        <v>834</v>
      </c>
      <c r="T1707" t="s">
        <v>834</v>
      </c>
      <c r="U1707" t="s">
        <v>1732</v>
      </c>
      <c r="W1707">
        <v>1460</v>
      </c>
      <c r="X1707">
        <v>1460</v>
      </c>
      <c r="Y1707" t="s">
        <v>836</v>
      </c>
      <c r="Z1707" t="s">
        <v>792</v>
      </c>
      <c r="AB1707" t="s">
        <v>793</v>
      </c>
      <c r="AD1707" t="s">
        <v>794</v>
      </c>
      <c r="AE1707" t="s">
        <v>795</v>
      </c>
      <c r="AF1707" t="s">
        <v>840</v>
      </c>
      <c r="AG1707" t="s">
        <v>797</v>
      </c>
      <c r="AH1707">
        <v>60000</v>
      </c>
      <c r="AI1707">
        <v>60000</v>
      </c>
      <c r="AJ1707">
        <v>0.02</v>
      </c>
    </row>
    <row r="1708" spans="1:36" x14ac:dyDescent="0.3">
      <c r="A1708">
        <f>COUNTIF($D$2:D1708,D1708)</f>
        <v>8</v>
      </c>
      <c r="B1708" t="str">
        <f t="shared" si="105"/>
        <v>8Reading</v>
      </c>
      <c r="C1708" t="s">
        <v>5035</v>
      </c>
      <c r="D1708" t="s">
        <v>259</v>
      </c>
      <c r="E1708">
        <v>19</v>
      </c>
      <c r="F1708" t="s">
        <v>5036</v>
      </c>
      <c r="G1708" t="s">
        <v>877</v>
      </c>
      <c r="H1708" t="s">
        <v>878</v>
      </c>
      <c r="I1708" t="s">
        <v>879</v>
      </c>
      <c r="J1708">
        <f t="shared" ca="1" si="106"/>
        <v>124369.44</v>
      </c>
      <c r="K1708">
        <f t="shared" ca="1" si="107"/>
        <v>1036</v>
      </c>
      <c r="N1708" t="str">
        <f t="shared" si="104"/>
        <v>North Lincolnshire14DFG Discretionary SupportDFG Related SchemesDiscretionary use of DFG</v>
      </c>
      <c r="O1708" t="s">
        <v>233</v>
      </c>
      <c r="P1708" t="s">
        <v>922</v>
      </c>
      <c r="Q1708">
        <v>14</v>
      </c>
      <c r="R1708" t="s">
        <v>4552</v>
      </c>
      <c r="S1708" t="s">
        <v>834</v>
      </c>
      <c r="T1708" t="s">
        <v>834</v>
      </c>
      <c r="U1708" t="s">
        <v>1293</v>
      </c>
      <c r="W1708">
        <v>50</v>
      </c>
      <c r="X1708">
        <v>50</v>
      </c>
      <c r="Y1708" t="s">
        <v>836</v>
      </c>
      <c r="Z1708" t="s">
        <v>792</v>
      </c>
      <c r="AB1708" t="s">
        <v>793</v>
      </c>
      <c r="AD1708" t="s">
        <v>794</v>
      </c>
      <c r="AE1708" t="s">
        <v>795</v>
      </c>
      <c r="AF1708" t="s">
        <v>840</v>
      </c>
      <c r="AG1708" t="s">
        <v>861</v>
      </c>
      <c r="AH1708">
        <v>715000</v>
      </c>
      <c r="AI1708">
        <v>715000</v>
      </c>
      <c r="AJ1708">
        <v>0.25</v>
      </c>
    </row>
    <row r="1709" spans="1:36" x14ac:dyDescent="0.3">
      <c r="A1709">
        <f>COUNTIF($D$2:D1709,D1709)</f>
        <v>9</v>
      </c>
      <c r="B1709" t="str">
        <f t="shared" si="105"/>
        <v>9Reading</v>
      </c>
      <c r="C1709" t="s">
        <v>5037</v>
      </c>
      <c r="D1709" t="s">
        <v>259</v>
      </c>
      <c r="E1709">
        <v>20</v>
      </c>
      <c r="F1709" t="s">
        <v>5038</v>
      </c>
      <c r="G1709" t="s">
        <v>877</v>
      </c>
      <c r="H1709" t="s">
        <v>1015</v>
      </c>
      <c r="I1709" t="s">
        <v>879</v>
      </c>
      <c r="J1709" t="e">
        <f t="shared" si="106"/>
        <v>#VALUE!</v>
      </c>
      <c r="K1709" t="e">
        <f t="shared" si="107"/>
        <v>#VALUE!</v>
      </c>
      <c r="N1709" t="str">
        <f t="shared" si="104"/>
        <v>North Lincolnshire18Residential placementResidential PlacementsLearning disability</v>
      </c>
      <c r="O1709" t="s">
        <v>233</v>
      </c>
      <c r="P1709" t="s">
        <v>922</v>
      </c>
      <c r="Q1709">
        <v>18</v>
      </c>
      <c r="R1709" t="s">
        <v>4556</v>
      </c>
      <c r="S1709" t="s">
        <v>5039</v>
      </c>
      <c r="T1709" t="s">
        <v>806</v>
      </c>
      <c r="U1709" t="s">
        <v>854</v>
      </c>
      <c r="W1709">
        <v>8</v>
      </c>
      <c r="X1709">
        <v>6</v>
      </c>
      <c r="Y1709" t="s">
        <v>808</v>
      </c>
      <c r="Z1709" t="s">
        <v>792</v>
      </c>
      <c r="AB1709" t="s">
        <v>793</v>
      </c>
      <c r="AD1709" t="s">
        <v>794</v>
      </c>
      <c r="AE1709" t="s">
        <v>804</v>
      </c>
      <c r="AF1709" t="s">
        <v>845</v>
      </c>
      <c r="AG1709" t="s">
        <v>797</v>
      </c>
      <c r="AH1709">
        <v>137500</v>
      </c>
      <c r="AI1709">
        <v>137500</v>
      </c>
      <c r="AJ1709">
        <v>0</v>
      </c>
    </row>
    <row r="1710" spans="1:36" x14ac:dyDescent="0.3">
      <c r="A1710">
        <f>COUNTIF($D$2:D1710,D1710)</f>
        <v>10</v>
      </c>
      <c r="B1710" t="str">
        <f t="shared" si="105"/>
        <v>10Reading</v>
      </c>
      <c r="C1710" t="s">
        <v>5040</v>
      </c>
      <c r="D1710" t="s">
        <v>259</v>
      </c>
      <c r="E1710">
        <v>22</v>
      </c>
      <c r="F1710" t="s">
        <v>5041</v>
      </c>
      <c r="G1710" t="s">
        <v>877</v>
      </c>
      <c r="H1710" t="s">
        <v>878</v>
      </c>
      <c r="I1710" t="s">
        <v>879</v>
      </c>
      <c r="J1710" t="e">
        <f t="shared" si="106"/>
        <v>#VALUE!</v>
      </c>
      <c r="K1710" t="e">
        <f t="shared" si="107"/>
        <v>#VALUE!</v>
      </c>
      <c r="N1710" t="str">
        <f t="shared" si="104"/>
        <v>North Lincolnshire19Residential placementResidential PlacementsShort term residential care (without rehabilitation or reablement input)</v>
      </c>
      <c r="O1710" t="s">
        <v>233</v>
      </c>
      <c r="P1710" t="s">
        <v>922</v>
      </c>
      <c r="Q1710">
        <v>19</v>
      </c>
      <c r="R1710" t="s">
        <v>4556</v>
      </c>
      <c r="S1710" t="s">
        <v>5042</v>
      </c>
      <c r="T1710" t="s">
        <v>806</v>
      </c>
      <c r="U1710" t="s">
        <v>955</v>
      </c>
      <c r="W1710">
        <v>773</v>
      </c>
      <c r="X1710">
        <v>773</v>
      </c>
      <c r="Y1710" t="s">
        <v>808</v>
      </c>
      <c r="Z1710" t="s">
        <v>792</v>
      </c>
      <c r="AB1710" t="s">
        <v>793</v>
      </c>
      <c r="AD1710" t="s">
        <v>794</v>
      </c>
      <c r="AE1710" t="s">
        <v>804</v>
      </c>
      <c r="AF1710" t="s">
        <v>796</v>
      </c>
      <c r="AG1710" t="s">
        <v>797</v>
      </c>
      <c r="AH1710">
        <v>741532</v>
      </c>
      <c r="AI1710">
        <v>783503</v>
      </c>
      <c r="AJ1710">
        <v>0.02</v>
      </c>
    </row>
    <row r="1711" spans="1:36" x14ac:dyDescent="0.3">
      <c r="A1711">
        <f>COUNTIF($D$2:D1711,D1711)</f>
        <v>11</v>
      </c>
      <c r="B1711" t="str">
        <f t="shared" si="105"/>
        <v>11Reading</v>
      </c>
      <c r="C1711" t="s">
        <v>5043</v>
      </c>
      <c r="D1711" t="s">
        <v>259</v>
      </c>
      <c r="E1711">
        <v>24</v>
      </c>
      <c r="F1711" t="s">
        <v>5044</v>
      </c>
      <c r="G1711" t="s">
        <v>811</v>
      </c>
      <c r="H1711" t="s">
        <v>812</v>
      </c>
      <c r="I1711" t="s">
        <v>813</v>
      </c>
      <c r="J1711">
        <f t="shared" ca="1" si="106"/>
        <v>113023</v>
      </c>
      <c r="K1711">
        <f t="shared" ca="1" si="107"/>
        <v>72</v>
      </c>
      <c r="N1711" t="str">
        <f t="shared" si="104"/>
        <v>North Lincolnshire20Residential placementResidential PlacementsCare home</v>
      </c>
      <c r="O1711" t="s">
        <v>233</v>
      </c>
      <c r="P1711" t="s">
        <v>922</v>
      </c>
      <c r="Q1711">
        <v>20</v>
      </c>
      <c r="R1711" t="s">
        <v>4556</v>
      </c>
      <c r="S1711" t="s">
        <v>2262</v>
      </c>
      <c r="T1711" t="s">
        <v>806</v>
      </c>
      <c r="U1711" t="s">
        <v>807</v>
      </c>
      <c r="W1711">
        <v>61</v>
      </c>
      <c r="X1711">
        <v>61</v>
      </c>
      <c r="Y1711" t="s">
        <v>808</v>
      </c>
      <c r="Z1711" t="s">
        <v>792</v>
      </c>
      <c r="AB1711" t="s">
        <v>793</v>
      </c>
      <c r="AD1711" t="s">
        <v>794</v>
      </c>
      <c r="AE1711" t="s">
        <v>795</v>
      </c>
      <c r="AF1711" t="s">
        <v>845</v>
      </c>
      <c r="AG1711" t="s">
        <v>797</v>
      </c>
      <c r="AH1711">
        <v>1925000</v>
      </c>
      <c r="AI1711">
        <v>1925000</v>
      </c>
      <c r="AJ1711">
        <v>0.04</v>
      </c>
    </row>
    <row r="1712" spans="1:36" x14ac:dyDescent="0.3">
      <c r="A1712">
        <f>COUNTIF($D$2:D1712,D1712)</f>
        <v>12</v>
      </c>
      <c r="B1712" t="str">
        <f t="shared" si="105"/>
        <v>12Reading</v>
      </c>
      <c r="C1712" t="s">
        <v>5045</v>
      </c>
      <c r="D1712" t="s">
        <v>259</v>
      </c>
      <c r="E1712">
        <v>27</v>
      </c>
      <c r="F1712" t="s">
        <v>5046</v>
      </c>
      <c r="G1712" t="s">
        <v>787</v>
      </c>
      <c r="H1712" t="s">
        <v>1688</v>
      </c>
      <c r="I1712" t="s">
        <v>789</v>
      </c>
      <c r="J1712">
        <f t="shared" ca="1" si="106"/>
        <v>620562</v>
      </c>
      <c r="K1712">
        <f t="shared" ca="1" si="107"/>
        <v>1712</v>
      </c>
      <c r="N1712" t="str">
        <f t="shared" si="104"/>
        <v>North Lincolnshire21Occupational TherapyBed based intermediate Care Services (Reablement, rehabilitation, wider short-term services supporting recovery)Bed-based intermediate care with rehabilitation (to support discharge)</v>
      </c>
      <c r="O1712" t="s">
        <v>233</v>
      </c>
      <c r="P1712" t="s">
        <v>922</v>
      </c>
      <c r="Q1712">
        <v>21</v>
      </c>
      <c r="R1712" t="s">
        <v>4562</v>
      </c>
      <c r="S1712" t="s">
        <v>5047</v>
      </c>
      <c r="T1712" t="s">
        <v>877</v>
      </c>
      <c r="U1712" t="s">
        <v>968</v>
      </c>
      <c r="W1712">
        <v>30</v>
      </c>
      <c r="X1712">
        <v>30</v>
      </c>
      <c r="Y1712" t="s">
        <v>879</v>
      </c>
      <c r="Z1712" t="s">
        <v>823</v>
      </c>
      <c r="AB1712" t="s">
        <v>824</v>
      </c>
      <c r="AD1712" t="s">
        <v>794</v>
      </c>
      <c r="AE1712" t="s">
        <v>832</v>
      </c>
      <c r="AF1712" t="s">
        <v>796</v>
      </c>
      <c r="AG1712" t="s">
        <v>797</v>
      </c>
      <c r="AH1712">
        <v>109000</v>
      </c>
      <c r="AI1712">
        <v>115169</v>
      </c>
      <c r="AJ1712">
        <v>0.03</v>
      </c>
    </row>
    <row r="1713" spans="1:36" x14ac:dyDescent="0.3">
      <c r="A1713">
        <f>COUNTIF($D$2:D1713,D1713)</f>
        <v>13</v>
      </c>
      <c r="B1713" t="str">
        <f t="shared" si="105"/>
        <v>13Reading</v>
      </c>
      <c r="C1713" t="s">
        <v>5048</v>
      </c>
      <c r="D1713" t="s">
        <v>259</v>
      </c>
      <c r="E1713">
        <v>28</v>
      </c>
      <c r="F1713" t="s">
        <v>1646</v>
      </c>
      <c r="G1713" t="s">
        <v>877</v>
      </c>
      <c r="H1713" t="s">
        <v>968</v>
      </c>
      <c r="I1713" t="s">
        <v>879</v>
      </c>
      <c r="J1713">
        <f t="shared" ca="1" si="106"/>
        <v>270400</v>
      </c>
      <c r="K1713">
        <f t="shared" ca="1" si="107"/>
        <v>18</v>
      </c>
      <c r="N1713" t="str">
        <f t="shared" si="104"/>
        <v>North Lincolnshire28Community Equipment ServiceAssistive Technologies and EquipmentCommunity based equipment</v>
      </c>
      <c r="O1713" t="s">
        <v>233</v>
      </c>
      <c r="P1713" t="s">
        <v>922</v>
      </c>
      <c r="Q1713">
        <v>28</v>
      </c>
      <c r="R1713" t="s">
        <v>1881</v>
      </c>
      <c r="S1713" t="s">
        <v>5049</v>
      </c>
      <c r="T1713" t="s">
        <v>800</v>
      </c>
      <c r="U1713" t="s">
        <v>903</v>
      </c>
      <c r="W1713">
        <v>3500</v>
      </c>
      <c r="X1713">
        <v>3500</v>
      </c>
      <c r="Y1713" t="s">
        <v>802</v>
      </c>
      <c r="Z1713" t="s">
        <v>823</v>
      </c>
      <c r="AB1713" t="s">
        <v>824</v>
      </c>
      <c r="AD1713" t="s">
        <v>794</v>
      </c>
      <c r="AE1713" t="s">
        <v>832</v>
      </c>
      <c r="AF1713" t="s">
        <v>796</v>
      </c>
      <c r="AG1713" t="s">
        <v>797</v>
      </c>
      <c r="AH1713">
        <v>613049</v>
      </c>
      <c r="AI1713">
        <v>647748</v>
      </c>
      <c r="AJ1713">
        <v>0.63</v>
      </c>
    </row>
    <row r="1714" spans="1:36" x14ac:dyDescent="0.3">
      <c r="A1714">
        <f>COUNTIF($D$2:D1714,D1714)</f>
        <v>14</v>
      </c>
      <c r="B1714" t="str">
        <f t="shared" si="105"/>
        <v>14Reading</v>
      </c>
      <c r="C1714" t="s">
        <v>5050</v>
      </c>
      <c r="D1714" t="s">
        <v>259</v>
      </c>
      <c r="E1714">
        <v>29</v>
      </c>
      <c r="F1714" t="s">
        <v>5051</v>
      </c>
      <c r="G1714" t="s">
        <v>4160</v>
      </c>
      <c r="H1714" t="s">
        <v>5052</v>
      </c>
      <c r="I1714" t="s">
        <v>794</v>
      </c>
      <c r="J1714">
        <f t="shared" ca="1" si="106"/>
        <v>37982</v>
      </c>
      <c r="K1714">
        <f t="shared" ca="1" si="107"/>
        <v>240</v>
      </c>
      <c r="N1714" t="str">
        <f t="shared" si="104"/>
        <v>North Lincolnshire29Wheelchair ServiceAssistive Technologies and EquipmentCommunity based equipment</v>
      </c>
      <c r="O1714" t="s">
        <v>233</v>
      </c>
      <c r="P1714" t="s">
        <v>922</v>
      </c>
      <c r="Q1714">
        <v>29</v>
      </c>
      <c r="R1714" t="s">
        <v>1094</v>
      </c>
      <c r="S1714" t="s">
        <v>5053</v>
      </c>
      <c r="T1714" t="s">
        <v>800</v>
      </c>
      <c r="U1714" t="s">
        <v>903</v>
      </c>
      <c r="W1714">
        <v>280</v>
      </c>
      <c r="X1714">
        <v>280</v>
      </c>
      <c r="Y1714" t="s">
        <v>802</v>
      </c>
      <c r="Z1714" t="s">
        <v>823</v>
      </c>
      <c r="AB1714" t="s">
        <v>824</v>
      </c>
      <c r="AD1714" t="s">
        <v>794</v>
      </c>
      <c r="AE1714" t="s">
        <v>832</v>
      </c>
      <c r="AF1714" t="s">
        <v>796</v>
      </c>
      <c r="AG1714" t="s">
        <v>797</v>
      </c>
      <c r="AH1714">
        <v>280807</v>
      </c>
      <c r="AI1714">
        <v>296701</v>
      </c>
      <c r="AJ1714">
        <v>0.28999999999999998</v>
      </c>
    </row>
    <row r="1715" spans="1:36" x14ac:dyDescent="0.3">
      <c r="A1715">
        <f>COUNTIF($D$2:D1715,D1715)</f>
        <v>15</v>
      </c>
      <c r="B1715" t="str">
        <f t="shared" si="105"/>
        <v>15Reading</v>
      </c>
      <c r="C1715" t="s">
        <v>5054</v>
      </c>
      <c r="D1715" t="s">
        <v>259</v>
      </c>
      <c r="E1715">
        <v>30</v>
      </c>
      <c r="F1715" t="s">
        <v>5055</v>
      </c>
      <c r="G1715" t="s">
        <v>800</v>
      </c>
      <c r="H1715" t="s">
        <v>850</v>
      </c>
      <c r="I1715" t="s">
        <v>802</v>
      </c>
      <c r="J1715">
        <f t="shared" ca="1" si="106"/>
        <v>100000</v>
      </c>
      <c r="K1715">
        <f t="shared" ca="1" si="107"/>
        <v>700</v>
      </c>
      <c r="N1715" t="str">
        <f t="shared" si="104"/>
        <v>North Lincolnshire33Virtual homecare/monitoringAssistive Technologies and EquipmentAssistive technologies including telecare</v>
      </c>
      <c r="O1715" t="s">
        <v>233</v>
      </c>
      <c r="P1715" t="s">
        <v>922</v>
      </c>
      <c r="Q1715">
        <v>33</v>
      </c>
      <c r="R1715" t="s">
        <v>4566</v>
      </c>
      <c r="S1715" t="s">
        <v>5056</v>
      </c>
      <c r="T1715" t="s">
        <v>800</v>
      </c>
      <c r="U1715" t="s">
        <v>850</v>
      </c>
      <c r="W1715">
        <v>460</v>
      </c>
      <c r="X1715">
        <v>460</v>
      </c>
      <c r="Y1715" t="s">
        <v>802</v>
      </c>
      <c r="Z1715" t="s">
        <v>792</v>
      </c>
      <c r="AB1715" t="s">
        <v>793</v>
      </c>
      <c r="AD1715" t="s">
        <v>794</v>
      </c>
      <c r="AE1715" t="s">
        <v>804</v>
      </c>
      <c r="AF1715" t="s">
        <v>864</v>
      </c>
      <c r="AG1715" t="s">
        <v>797</v>
      </c>
      <c r="AH1715">
        <v>85000</v>
      </c>
      <c r="AI1715">
        <v>85000</v>
      </c>
      <c r="AJ1715">
        <v>0.09</v>
      </c>
    </row>
    <row r="1716" spans="1:36" x14ac:dyDescent="0.3">
      <c r="A1716">
        <f>COUNTIF($D$2:D1716,D1716)</f>
        <v>16</v>
      </c>
      <c r="B1716" t="str">
        <f t="shared" si="105"/>
        <v>16Reading</v>
      </c>
      <c r="C1716" t="s">
        <v>5057</v>
      </c>
      <c r="D1716" t="s">
        <v>259</v>
      </c>
      <c r="E1716">
        <v>31</v>
      </c>
      <c r="F1716" t="s">
        <v>5058</v>
      </c>
      <c r="G1716" t="s">
        <v>842</v>
      </c>
      <c r="H1716" t="s">
        <v>856</v>
      </c>
      <c r="I1716" t="s">
        <v>844</v>
      </c>
      <c r="J1716">
        <f t="shared" ca="1" si="106"/>
        <v>150000</v>
      </c>
      <c r="K1716">
        <f t="shared" ca="1" si="107"/>
        <v>14768</v>
      </c>
      <c r="N1716" t="str">
        <f t="shared" si="104"/>
        <v>North Lincolnshire38New Domiciliary Care Packages 4 Week FundingHome Care or Domiciliary CareDomiciliary care to support hospital discharge (Discharge to Assess pathway 1)</v>
      </c>
      <c r="O1716" t="s">
        <v>233</v>
      </c>
      <c r="P1716" t="s">
        <v>922</v>
      </c>
      <c r="Q1716">
        <v>38</v>
      </c>
      <c r="R1716" t="s">
        <v>4569</v>
      </c>
      <c r="S1716" t="s">
        <v>5059</v>
      </c>
      <c r="T1716" t="s">
        <v>842</v>
      </c>
      <c r="U1716" t="s">
        <v>856</v>
      </c>
      <c r="W1716">
        <v>2935</v>
      </c>
      <c r="X1716">
        <v>2935</v>
      </c>
      <c r="Y1716" t="s">
        <v>844</v>
      </c>
      <c r="Z1716" t="s">
        <v>792</v>
      </c>
      <c r="AB1716" t="s">
        <v>793</v>
      </c>
      <c r="AD1716" t="s">
        <v>794</v>
      </c>
      <c r="AE1716" t="s">
        <v>804</v>
      </c>
      <c r="AF1716" t="s">
        <v>864</v>
      </c>
      <c r="AG1716" t="s">
        <v>797</v>
      </c>
      <c r="AH1716">
        <v>58000</v>
      </c>
      <c r="AI1716">
        <v>58000</v>
      </c>
      <c r="AJ1716">
        <v>2.1710000000000002E-3</v>
      </c>
    </row>
    <row r="1717" spans="1:36" x14ac:dyDescent="0.3">
      <c r="A1717">
        <f>COUNTIF($D$2:D1717,D1717)</f>
        <v>17</v>
      </c>
      <c r="B1717" t="str">
        <f t="shared" si="105"/>
        <v>17Reading</v>
      </c>
      <c r="C1717" t="s">
        <v>5060</v>
      </c>
      <c r="D1717" t="s">
        <v>259</v>
      </c>
      <c r="E1717">
        <v>35</v>
      </c>
      <c r="F1717" t="s">
        <v>5061</v>
      </c>
      <c r="G1717" t="s">
        <v>787</v>
      </c>
      <c r="H1717" t="s">
        <v>1195</v>
      </c>
      <c r="I1717" t="s">
        <v>789</v>
      </c>
      <c r="J1717">
        <f t="shared" ca="1" si="106"/>
        <v>40000</v>
      </c>
      <c r="K1717">
        <f t="shared" ca="1" si="107"/>
        <v>100</v>
      </c>
      <c r="N1717" t="str">
        <f t="shared" si="104"/>
        <v>North Lincolnshire39Additional Step down residential care placements, spot purchased 4 week fundingResidential PlacementsShort term residential care (without rehabilitation or reablement input)</v>
      </c>
      <c r="O1717" t="s">
        <v>233</v>
      </c>
      <c r="P1717" t="s">
        <v>922</v>
      </c>
      <c r="Q1717">
        <v>39</v>
      </c>
      <c r="R1717" t="s">
        <v>4572</v>
      </c>
      <c r="S1717" t="s">
        <v>5062</v>
      </c>
      <c r="T1717" t="s">
        <v>806</v>
      </c>
      <c r="U1717" t="s">
        <v>955</v>
      </c>
      <c r="W1717">
        <v>17</v>
      </c>
      <c r="X1717">
        <v>17</v>
      </c>
      <c r="Y1717" t="s">
        <v>808</v>
      </c>
      <c r="Z1717" t="s">
        <v>792</v>
      </c>
      <c r="AB1717" t="s">
        <v>1739</v>
      </c>
      <c r="AC1717">
        <v>0.7</v>
      </c>
      <c r="AD1717">
        <v>0.30000000000000004</v>
      </c>
      <c r="AE1717" t="s">
        <v>804</v>
      </c>
      <c r="AF1717" t="s">
        <v>860</v>
      </c>
      <c r="AG1717" t="s">
        <v>797</v>
      </c>
      <c r="AH1717">
        <v>830000</v>
      </c>
      <c r="AI1717">
        <v>830000</v>
      </c>
      <c r="AJ1717">
        <v>0.02</v>
      </c>
    </row>
    <row r="1718" spans="1:36" x14ac:dyDescent="0.3">
      <c r="A1718">
        <f>COUNTIF($D$2:D1718,D1718)</f>
        <v>18</v>
      </c>
      <c r="B1718" t="str">
        <f t="shared" si="105"/>
        <v>18Reading</v>
      </c>
      <c r="C1718" t="s">
        <v>5063</v>
      </c>
      <c r="D1718" t="s">
        <v>259</v>
      </c>
      <c r="E1718">
        <v>36</v>
      </c>
      <c r="F1718" t="s">
        <v>5064</v>
      </c>
      <c r="G1718" t="s">
        <v>806</v>
      </c>
      <c r="H1718" t="s">
        <v>807</v>
      </c>
      <c r="I1718" t="s">
        <v>808</v>
      </c>
      <c r="J1718">
        <f t="shared" ca="1" si="106"/>
        <v>249925</v>
      </c>
      <c r="K1718">
        <f t="shared" ca="1" si="107"/>
        <v>20</v>
      </c>
      <c r="N1718" t="str">
        <f t="shared" si="104"/>
        <v>North Lincolnshire41Increased NLAG Homefirst CapacityHome-based intermediate care servicesRehabilitation at home (to support discharge)</v>
      </c>
      <c r="O1718" t="s">
        <v>233</v>
      </c>
      <c r="P1718" t="s">
        <v>922</v>
      </c>
      <c r="Q1718">
        <v>41</v>
      </c>
      <c r="R1718" t="s">
        <v>4575</v>
      </c>
      <c r="S1718" t="s">
        <v>5065</v>
      </c>
      <c r="T1718" t="s">
        <v>787</v>
      </c>
      <c r="U1718" t="s">
        <v>1195</v>
      </c>
      <c r="W1718">
        <v>19</v>
      </c>
      <c r="X1718">
        <v>19</v>
      </c>
      <c r="Y1718" t="s">
        <v>789</v>
      </c>
      <c r="Z1718" t="s">
        <v>823</v>
      </c>
      <c r="AB1718" t="s">
        <v>824</v>
      </c>
      <c r="AD1718" t="s">
        <v>794</v>
      </c>
      <c r="AE1718" t="s">
        <v>832</v>
      </c>
      <c r="AF1718" t="s">
        <v>860</v>
      </c>
      <c r="AG1718" t="s">
        <v>861</v>
      </c>
      <c r="AH1718">
        <v>39000</v>
      </c>
      <c r="AI1718">
        <v>39000</v>
      </c>
      <c r="AJ1718">
        <v>0.01</v>
      </c>
    </row>
    <row r="1719" spans="1:36" x14ac:dyDescent="0.3">
      <c r="A1719">
        <f>COUNTIF($D$2:D1719,D1719)</f>
        <v>19</v>
      </c>
      <c r="B1719" t="str">
        <f t="shared" si="105"/>
        <v>19Reading</v>
      </c>
      <c r="C1719" t="s">
        <v>5066</v>
      </c>
      <c r="D1719" t="s">
        <v>259</v>
      </c>
      <c r="E1719">
        <v>41</v>
      </c>
      <c r="F1719" t="s">
        <v>845</v>
      </c>
      <c r="G1719" t="s">
        <v>787</v>
      </c>
      <c r="H1719" t="s">
        <v>788</v>
      </c>
      <c r="I1719" t="s">
        <v>789</v>
      </c>
      <c r="J1719">
        <f t="shared" ca="1" si="106"/>
        <v>2692624</v>
      </c>
      <c r="K1719">
        <f t="shared" ca="1" si="107"/>
        <v>800</v>
      </c>
      <c r="N1719" t="str">
        <f t="shared" si="104"/>
        <v>North Lincolnshire43Additional step down residential care placementsResidential PlacementsShort term residential care (without rehabilitation or reablement input)</v>
      </c>
      <c r="O1719" t="s">
        <v>233</v>
      </c>
      <c r="P1719" t="s">
        <v>922</v>
      </c>
      <c r="Q1719">
        <v>43</v>
      </c>
      <c r="R1719" t="s">
        <v>4577</v>
      </c>
      <c r="S1719" t="s">
        <v>5067</v>
      </c>
      <c r="T1719" t="s">
        <v>806</v>
      </c>
      <c r="U1719" t="s">
        <v>955</v>
      </c>
      <c r="W1719">
        <v>7</v>
      </c>
      <c r="X1719">
        <v>7</v>
      </c>
      <c r="Y1719" t="s">
        <v>808</v>
      </c>
      <c r="Z1719" t="s">
        <v>792</v>
      </c>
      <c r="AB1719" t="s">
        <v>1739</v>
      </c>
      <c r="AC1719">
        <v>0.7</v>
      </c>
      <c r="AD1719">
        <v>0.30000000000000004</v>
      </c>
      <c r="AE1719" t="s">
        <v>804</v>
      </c>
      <c r="AF1719" t="s">
        <v>864</v>
      </c>
      <c r="AG1719" t="s">
        <v>797</v>
      </c>
      <c r="AH1719">
        <v>355715</v>
      </c>
      <c r="AI1719">
        <v>355715</v>
      </c>
      <c r="AJ1719">
        <v>1.3316E-2</v>
      </c>
    </row>
    <row r="1720" spans="1:36" x14ac:dyDescent="0.3">
      <c r="A1720">
        <f>COUNTIF($D$2:D1720,D1720)</f>
        <v>20</v>
      </c>
      <c r="B1720" t="str">
        <f t="shared" si="105"/>
        <v>20Reading</v>
      </c>
      <c r="C1720" t="s">
        <v>5068</v>
      </c>
      <c r="D1720" t="s">
        <v>259</v>
      </c>
      <c r="E1720">
        <v>42</v>
      </c>
      <c r="F1720" t="s">
        <v>840</v>
      </c>
      <c r="G1720" t="s">
        <v>834</v>
      </c>
      <c r="H1720" t="s">
        <v>835</v>
      </c>
      <c r="I1720" t="s">
        <v>836</v>
      </c>
      <c r="J1720">
        <f t="shared" ca="1" si="106"/>
        <v>1197341</v>
      </c>
      <c r="K1720">
        <f t="shared" ca="1" si="107"/>
        <v>48</v>
      </c>
      <c r="N1720" t="str">
        <f t="shared" si="104"/>
        <v>North Northamptonshire1Carers Support Services (CCG Contract)Carers ServicesRespite services</v>
      </c>
      <c r="O1720" t="s">
        <v>235</v>
      </c>
      <c r="P1720" t="s">
        <v>2478</v>
      </c>
      <c r="Q1720">
        <v>1</v>
      </c>
      <c r="R1720" t="s">
        <v>4580</v>
      </c>
      <c r="S1720" t="s">
        <v>5069</v>
      </c>
      <c r="T1720" t="s">
        <v>811</v>
      </c>
      <c r="U1720" t="s">
        <v>830</v>
      </c>
      <c r="W1720">
        <v>786</v>
      </c>
      <c r="X1720">
        <v>955</v>
      </c>
      <c r="Y1720" t="s">
        <v>813</v>
      </c>
      <c r="Z1720" t="s">
        <v>812</v>
      </c>
      <c r="AA1720" t="s">
        <v>5070</v>
      </c>
      <c r="AB1720" t="s">
        <v>824</v>
      </c>
      <c r="AD1720" t="s">
        <v>794</v>
      </c>
      <c r="AE1720" t="s">
        <v>804</v>
      </c>
      <c r="AF1720" t="s">
        <v>796</v>
      </c>
      <c r="AG1720" t="s">
        <v>797</v>
      </c>
      <c r="AH1720">
        <v>327629</v>
      </c>
      <c r="AI1720">
        <v>346172.8014</v>
      </c>
    </row>
    <row r="1721" spans="1:36" x14ac:dyDescent="0.3">
      <c r="A1721">
        <f>COUNTIF($D$2:D1721,D1721)</f>
        <v>21</v>
      </c>
      <c r="B1721" t="str">
        <f t="shared" si="105"/>
        <v>21Reading</v>
      </c>
      <c r="C1721" t="s">
        <v>5071</v>
      </c>
      <c r="D1721" t="s">
        <v>259</v>
      </c>
      <c r="E1721">
        <v>44</v>
      </c>
      <c r="F1721" t="s">
        <v>5072</v>
      </c>
      <c r="G1721" t="s">
        <v>787</v>
      </c>
      <c r="H1721" t="s">
        <v>1551</v>
      </c>
      <c r="I1721" t="s">
        <v>789</v>
      </c>
      <c r="J1721">
        <f t="shared" ca="1" si="106"/>
        <v>1055212</v>
      </c>
      <c r="K1721">
        <f t="shared" ca="1" si="107"/>
        <v>1712</v>
      </c>
      <c r="N1721" t="str">
        <f t="shared" si="104"/>
        <v>North Northamptonshire2Carers Support Services NNC ContractCarers ServicesOther</v>
      </c>
      <c r="O1721" t="s">
        <v>235</v>
      </c>
      <c r="P1721" t="s">
        <v>2478</v>
      </c>
      <c r="Q1721">
        <v>2</v>
      </c>
      <c r="R1721" t="s">
        <v>4583</v>
      </c>
      <c r="S1721" t="s">
        <v>5073</v>
      </c>
      <c r="T1721" t="s">
        <v>811</v>
      </c>
      <c r="U1721" t="s">
        <v>812</v>
      </c>
      <c r="V1721" t="s">
        <v>5074</v>
      </c>
      <c r="W1721">
        <v>1625</v>
      </c>
      <c r="X1721">
        <v>1950</v>
      </c>
      <c r="Y1721" t="s">
        <v>813</v>
      </c>
      <c r="Z1721" t="s">
        <v>812</v>
      </c>
      <c r="AA1721" t="s">
        <v>5070</v>
      </c>
      <c r="AB1721" t="s">
        <v>793</v>
      </c>
      <c r="AD1721" t="s">
        <v>794</v>
      </c>
      <c r="AE1721" t="s">
        <v>804</v>
      </c>
      <c r="AF1721" t="s">
        <v>796</v>
      </c>
      <c r="AG1721" t="s">
        <v>797</v>
      </c>
      <c r="AH1721">
        <v>436080</v>
      </c>
      <c r="AI1721">
        <v>460762</v>
      </c>
    </row>
    <row r="1722" spans="1:36" x14ac:dyDescent="0.3">
      <c r="A1722">
        <f>COUNTIF($D$2:D1722,D1722)</f>
        <v>1</v>
      </c>
      <c r="B1722" t="str">
        <f t="shared" si="105"/>
        <v>1Redbridge</v>
      </c>
      <c r="C1722" t="s">
        <v>5075</v>
      </c>
      <c r="D1722" t="s">
        <v>261</v>
      </c>
      <c r="E1722">
        <v>3</v>
      </c>
      <c r="F1722" t="s">
        <v>5076</v>
      </c>
      <c r="G1722" t="s">
        <v>787</v>
      </c>
      <c r="H1722" t="s">
        <v>930</v>
      </c>
      <c r="I1722" t="s">
        <v>789</v>
      </c>
      <c r="J1722">
        <f t="shared" ca="1" si="106"/>
        <v>1269086</v>
      </c>
      <c r="K1722">
        <f t="shared" ca="1" si="107"/>
        <v>866</v>
      </c>
      <c r="N1722" t="str">
        <f t="shared" si="104"/>
        <v>North Northamptonshire7Telecare and Assistive technologyAssistive Technologies and EquipmentCommunity based equipment</v>
      </c>
      <c r="O1722" t="s">
        <v>235</v>
      </c>
      <c r="P1722" t="s">
        <v>2478</v>
      </c>
      <c r="Q1722">
        <v>7</v>
      </c>
      <c r="R1722" t="s">
        <v>4586</v>
      </c>
      <c r="S1722" t="s">
        <v>5077</v>
      </c>
      <c r="T1722" t="s">
        <v>800</v>
      </c>
      <c r="U1722" t="s">
        <v>903</v>
      </c>
      <c r="W1722">
        <v>2000</v>
      </c>
      <c r="X1722">
        <v>2000</v>
      </c>
      <c r="Y1722" t="s">
        <v>802</v>
      </c>
      <c r="Z1722" t="s">
        <v>792</v>
      </c>
      <c r="AB1722" t="s">
        <v>793</v>
      </c>
      <c r="AD1722" t="s">
        <v>794</v>
      </c>
      <c r="AE1722" t="s">
        <v>795</v>
      </c>
      <c r="AF1722" t="s">
        <v>845</v>
      </c>
      <c r="AG1722" t="s">
        <v>797</v>
      </c>
      <c r="AH1722">
        <v>200000</v>
      </c>
      <c r="AI1722">
        <v>200000</v>
      </c>
    </row>
    <row r="1723" spans="1:36" x14ac:dyDescent="0.3">
      <c r="A1723">
        <f>COUNTIF($D$2:D1723,D1723)</f>
        <v>2</v>
      </c>
      <c r="B1723" t="str">
        <f t="shared" si="105"/>
        <v>2Redbridge</v>
      </c>
      <c r="C1723" t="s">
        <v>5078</v>
      </c>
      <c r="D1723" t="s">
        <v>261</v>
      </c>
      <c r="E1723">
        <v>3</v>
      </c>
      <c r="F1723" t="s">
        <v>5076</v>
      </c>
      <c r="G1723" t="s">
        <v>800</v>
      </c>
      <c r="H1723" t="s">
        <v>903</v>
      </c>
      <c r="I1723" t="s">
        <v>802</v>
      </c>
      <c r="J1723">
        <f t="shared" ca="1" si="106"/>
        <v>669807</v>
      </c>
      <c r="K1723">
        <f t="shared" ca="1" si="107"/>
        <v>5196</v>
      </c>
      <c r="N1723" t="str">
        <f t="shared" si="104"/>
        <v xml:space="preserve">North Northamptonshire8Intermediate Care Teams (ICT)Home-based intermediate care servicesReablement at home (to support discharge) </v>
      </c>
      <c r="O1723" t="s">
        <v>235</v>
      </c>
      <c r="P1723" t="s">
        <v>2478</v>
      </c>
      <c r="Q1723">
        <v>8</v>
      </c>
      <c r="R1723" t="s">
        <v>4588</v>
      </c>
      <c r="S1723" t="s">
        <v>4588</v>
      </c>
      <c r="T1723" t="s">
        <v>787</v>
      </c>
      <c r="U1723" t="s">
        <v>788</v>
      </c>
      <c r="W1723">
        <v>1326</v>
      </c>
      <c r="X1723">
        <v>1326</v>
      </c>
      <c r="Y1723" t="s">
        <v>789</v>
      </c>
      <c r="Z1723" t="s">
        <v>823</v>
      </c>
      <c r="AB1723" t="s">
        <v>824</v>
      </c>
      <c r="AD1723" t="s">
        <v>794</v>
      </c>
      <c r="AE1723" t="s">
        <v>832</v>
      </c>
      <c r="AF1723" t="s">
        <v>796</v>
      </c>
      <c r="AG1723" t="s">
        <v>797</v>
      </c>
      <c r="AH1723">
        <v>4379334</v>
      </c>
      <c r="AI1723">
        <v>4627204.3043999998</v>
      </c>
    </row>
    <row r="1724" spans="1:36" x14ac:dyDescent="0.3">
      <c r="A1724">
        <f>COUNTIF($D$2:D1724,D1724)</f>
        <v>3</v>
      </c>
      <c r="B1724" t="str">
        <f t="shared" si="105"/>
        <v>3Redbridge</v>
      </c>
      <c r="C1724" t="s">
        <v>5079</v>
      </c>
      <c r="D1724" t="s">
        <v>261</v>
      </c>
      <c r="E1724">
        <v>3</v>
      </c>
      <c r="F1724" t="s">
        <v>5076</v>
      </c>
      <c r="G1724" t="s">
        <v>834</v>
      </c>
      <c r="H1724" t="s">
        <v>835</v>
      </c>
      <c r="I1724" t="s">
        <v>836</v>
      </c>
      <c r="J1724">
        <f t="shared" ca="1" si="106"/>
        <v>2013195</v>
      </c>
      <c r="K1724">
        <f t="shared" ca="1" si="107"/>
        <v>90</v>
      </c>
      <c r="N1724" t="str">
        <f t="shared" si="104"/>
        <v>North Northamptonshire9Community Equipment (Health)Assistive Technologies and EquipmentCommunity based equipment</v>
      </c>
      <c r="O1724" t="s">
        <v>235</v>
      </c>
      <c r="P1724" t="s">
        <v>2478</v>
      </c>
      <c r="Q1724">
        <v>9</v>
      </c>
      <c r="R1724" t="s">
        <v>4591</v>
      </c>
      <c r="S1724" t="s">
        <v>5080</v>
      </c>
      <c r="T1724" t="s">
        <v>800</v>
      </c>
      <c r="U1724" t="s">
        <v>903</v>
      </c>
      <c r="W1724">
        <v>650</v>
      </c>
      <c r="X1724">
        <v>650</v>
      </c>
      <c r="Y1724" t="s">
        <v>802</v>
      </c>
      <c r="Z1724" t="s">
        <v>792</v>
      </c>
      <c r="AB1724" t="s">
        <v>793</v>
      </c>
      <c r="AD1724" t="s">
        <v>794</v>
      </c>
      <c r="AE1724" t="s">
        <v>804</v>
      </c>
      <c r="AF1724" t="s">
        <v>796</v>
      </c>
      <c r="AG1724" t="s">
        <v>797</v>
      </c>
      <c r="AH1724">
        <v>901019</v>
      </c>
      <c r="AI1724">
        <v>952016.67539999995</v>
      </c>
    </row>
    <row r="1725" spans="1:36" x14ac:dyDescent="0.3">
      <c r="A1725">
        <f>COUNTIF($D$2:D1725,D1725)</f>
        <v>4</v>
      </c>
      <c r="B1725" t="str">
        <f t="shared" si="105"/>
        <v>4Redbridge</v>
      </c>
      <c r="C1725" t="s">
        <v>5081</v>
      </c>
      <c r="D1725" t="s">
        <v>261</v>
      </c>
      <c r="E1725">
        <v>3</v>
      </c>
      <c r="F1725" t="s">
        <v>5076</v>
      </c>
      <c r="G1725" t="s">
        <v>834</v>
      </c>
      <c r="H1725" t="s">
        <v>812</v>
      </c>
      <c r="I1725" t="s">
        <v>836</v>
      </c>
      <c r="J1725">
        <f t="shared" ca="1" si="106"/>
        <v>416000</v>
      </c>
      <c r="K1725">
        <f t="shared" ca="1" si="107"/>
        <v>1068</v>
      </c>
      <c r="N1725" t="str">
        <f t="shared" si="104"/>
        <v xml:space="preserve">North Northamptonshire10Community Reablement Team Home-based intermediate care servicesJoint reablement and rehabilitation service (to support discharge) </v>
      </c>
      <c r="O1725" t="s">
        <v>235</v>
      </c>
      <c r="P1725" t="s">
        <v>2478</v>
      </c>
      <c r="Q1725">
        <v>10</v>
      </c>
      <c r="R1725" t="s">
        <v>4594</v>
      </c>
      <c r="S1725" t="s">
        <v>5082</v>
      </c>
      <c r="T1725" t="s">
        <v>787</v>
      </c>
      <c r="U1725" t="s">
        <v>1551</v>
      </c>
      <c r="W1725">
        <v>1775</v>
      </c>
      <c r="X1725">
        <v>1775</v>
      </c>
      <c r="Y1725" t="s">
        <v>789</v>
      </c>
      <c r="Z1725" t="s">
        <v>792</v>
      </c>
      <c r="AB1725" t="s">
        <v>793</v>
      </c>
      <c r="AD1725" t="s">
        <v>794</v>
      </c>
      <c r="AE1725" t="s">
        <v>795</v>
      </c>
      <c r="AF1725" t="s">
        <v>796</v>
      </c>
      <c r="AG1725" t="s">
        <v>797</v>
      </c>
      <c r="AH1725">
        <v>4691441</v>
      </c>
      <c r="AI1725">
        <v>4956977</v>
      </c>
    </row>
    <row r="1726" spans="1:36" x14ac:dyDescent="0.3">
      <c r="A1726">
        <f>COUNTIF($D$2:D1726,D1726)</f>
        <v>1</v>
      </c>
      <c r="B1726" t="str">
        <f t="shared" si="105"/>
        <v>1Redcar and Cleveland</v>
      </c>
      <c r="C1726" t="s">
        <v>5083</v>
      </c>
      <c r="D1726" t="s">
        <v>263</v>
      </c>
      <c r="E1726">
        <v>1</v>
      </c>
      <c r="F1726" t="s">
        <v>5084</v>
      </c>
      <c r="G1726" t="s">
        <v>787</v>
      </c>
      <c r="H1726" t="s">
        <v>930</v>
      </c>
      <c r="I1726" t="s">
        <v>789</v>
      </c>
      <c r="J1726">
        <f t="shared" ca="1" si="106"/>
        <v>1062100</v>
      </c>
      <c r="K1726">
        <f t="shared" ca="1" si="107"/>
        <v>1612</v>
      </c>
      <c r="N1726" t="str">
        <f t="shared" si="104"/>
        <v>North Northamptonshire11Community Occupational TherapyHome-based intermediate care servicesJoint reablement and rehabilitation service (to prevent admission to hospital or residential care)</v>
      </c>
      <c r="O1726" t="s">
        <v>235</v>
      </c>
      <c r="P1726" t="s">
        <v>2478</v>
      </c>
      <c r="Q1726">
        <v>11</v>
      </c>
      <c r="R1726" t="s">
        <v>4597</v>
      </c>
      <c r="S1726" t="s">
        <v>5085</v>
      </c>
      <c r="T1726" t="s">
        <v>787</v>
      </c>
      <c r="U1726" t="s">
        <v>899</v>
      </c>
      <c r="W1726">
        <v>3350</v>
      </c>
      <c r="X1726">
        <v>3450</v>
      </c>
      <c r="Y1726" t="s">
        <v>789</v>
      </c>
      <c r="Z1726" t="s">
        <v>792</v>
      </c>
      <c r="AB1726" t="s">
        <v>793</v>
      </c>
      <c r="AD1726" t="s">
        <v>794</v>
      </c>
      <c r="AE1726" t="s">
        <v>795</v>
      </c>
      <c r="AF1726" t="s">
        <v>796</v>
      </c>
      <c r="AG1726" t="s">
        <v>797</v>
      </c>
      <c r="AH1726">
        <v>1714588</v>
      </c>
      <c r="AI1726">
        <v>1847317</v>
      </c>
    </row>
    <row r="1727" spans="1:36" x14ac:dyDescent="0.3">
      <c r="A1727">
        <f>COUNTIF($D$2:D1727,D1727)</f>
        <v>2</v>
      </c>
      <c r="B1727" t="str">
        <f t="shared" si="105"/>
        <v>2Redcar and Cleveland</v>
      </c>
      <c r="C1727" t="s">
        <v>5086</v>
      </c>
      <c r="D1727" t="s">
        <v>263</v>
      </c>
      <c r="E1727">
        <v>1</v>
      </c>
      <c r="F1727" t="s">
        <v>5087</v>
      </c>
      <c r="G1727" t="s">
        <v>787</v>
      </c>
      <c r="H1727" t="s">
        <v>930</v>
      </c>
      <c r="I1727" t="s">
        <v>789</v>
      </c>
      <c r="J1727">
        <f t="shared" ca="1" si="106"/>
        <v>106550</v>
      </c>
      <c r="K1727">
        <f t="shared" ca="1" si="107"/>
        <v>162</v>
      </c>
      <c r="N1727" t="str">
        <f t="shared" si="104"/>
        <v xml:space="preserve">North Northamptonshire17Additional Reablement Capacity Tuvida  Home-based intermediate care servicesReablement at home (to support discharge) </v>
      </c>
      <c r="O1727" t="s">
        <v>235</v>
      </c>
      <c r="P1727" t="s">
        <v>2478</v>
      </c>
      <c r="Q1727">
        <v>17</v>
      </c>
      <c r="R1727" t="s">
        <v>4599</v>
      </c>
      <c r="S1727" t="s">
        <v>5088</v>
      </c>
      <c r="T1727" t="s">
        <v>787</v>
      </c>
      <c r="U1727" t="s">
        <v>788</v>
      </c>
      <c r="W1727">
        <v>396</v>
      </c>
      <c r="X1727">
        <v>475</v>
      </c>
      <c r="Y1727" t="s">
        <v>789</v>
      </c>
      <c r="Z1727" t="s">
        <v>792</v>
      </c>
      <c r="AD1727" t="s">
        <v>794</v>
      </c>
      <c r="AE1727" t="s">
        <v>795</v>
      </c>
      <c r="AF1727" t="s">
        <v>864</v>
      </c>
      <c r="AG1727" t="s">
        <v>861</v>
      </c>
      <c r="AH1727">
        <v>1615567</v>
      </c>
      <c r="AI1727">
        <v>1615567</v>
      </c>
    </row>
    <row r="1728" spans="1:36" x14ac:dyDescent="0.3">
      <c r="A1728">
        <f>COUNTIF($D$2:D1728,D1728)</f>
        <v>3</v>
      </c>
      <c r="B1728" t="str">
        <f t="shared" si="105"/>
        <v>3Redcar and Cleveland</v>
      </c>
      <c r="C1728" t="s">
        <v>5089</v>
      </c>
      <c r="D1728" t="s">
        <v>263</v>
      </c>
      <c r="E1728">
        <v>1</v>
      </c>
      <c r="F1728" t="s">
        <v>5090</v>
      </c>
      <c r="G1728" t="s">
        <v>787</v>
      </c>
      <c r="H1728" t="s">
        <v>930</v>
      </c>
      <c r="I1728" t="s">
        <v>789</v>
      </c>
      <c r="J1728">
        <f t="shared" ca="1" si="106"/>
        <v>578600</v>
      </c>
      <c r="K1728">
        <f t="shared" ca="1" si="107"/>
        <v>878</v>
      </c>
      <c r="N1728" t="str">
        <f t="shared" si="104"/>
        <v>North Northamptonshire19Digital CampanionAssistive Technologies and EquipmentDigital participation services</v>
      </c>
      <c r="O1728" t="s">
        <v>235</v>
      </c>
      <c r="P1728" t="s">
        <v>2478</v>
      </c>
      <c r="Q1728">
        <v>19</v>
      </c>
      <c r="R1728" t="s">
        <v>4601</v>
      </c>
      <c r="S1728" t="s">
        <v>5091</v>
      </c>
      <c r="T1728" t="s">
        <v>800</v>
      </c>
      <c r="U1728" t="s">
        <v>907</v>
      </c>
      <c r="W1728">
        <v>40</v>
      </c>
      <c r="X1728">
        <v>40</v>
      </c>
      <c r="Y1728" t="s">
        <v>802</v>
      </c>
      <c r="Z1728" t="s">
        <v>792</v>
      </c>
      <c r="AD1728" t="s">
        <v>794</v>
      </c>
      <c r="AE1728" t="s">
        <v>795</v>
      </c>
      <c r="AF1728" t="s">
        <v>796</v>
      </c>
      <c r="AG1728" t="s">
        <v>861</v>
      </c>
      <c r="AH1728">
        <v>100000</v>
      </c>
      <c r="AI1728">
        <v>105660</v>
      </c>
    </row>
    <row r="1729" spans="1:36" x14ac:dyDescent="0.3">
      <c r="A1729">
        <f>COUNTIF($D$2:D1729,D1729)</f>
        <v>4</v>
      </c>
      <c r="B1729" t="str">
        <f t="shared" si="105"/>
        <v>4Redcar and Cleveland</v>
      </c>
      <c r="C1729" t="s">
        <v>5092</v>
      </c>
      <c r="D1729" t="s">
        <v>263</v>
      </c>
      <c r="E1729">
        <v>3</v>
      </c>
      <c r="F1729" t="s">
        <v>5093</v>
      </c>
      <c r="G1729" t="s">
        <v>877</v>
      </c>
      <c r="H1729" t="s">
        <v>1259</v>
      </c>
      <c r="I1729" t="s">
        <v>879</v>
      </c>
      <c r="J1729">
        <f t="shared" ca="1" si="106"/>
        <v>1678650</v>
      </c>
      <c r="K1729">
        <f t="shared" ca="1" si="107"/>
        <v>348</v>
      </c>
      <c r="N1729" t="str">
        <f t="shared" si="104"/>
        <v>North Northamptonshire20Thackley Green Bed based intermediate Care Services (Reablement, rehabilitation, wider short-term services supporting recovery)Bed-based intermediate care with reablement (to support discharge)</v>
      </c>
      <c r="O1729" t="s">
        <v>235</v>
      </c>
      <c r="P1729" t="s">
        <v>2478</v>
      </c>
      <c r="Q1729">
        <v>20</v>
      </c>
      <c r="R1729" t="s">
        <v>4603</v>
      </c>
      <c r="S1729" t="s">
        <v>4603</v>
      </c>
      <c r="T1729" t="s">
        <v>877</v>
      </c>
      <c r="U1729" t="s">
        <v>878</v>
      </c>
      <c r="W1729">
        <v>432</v>
      </c>
      <c r="X1729">
        <v>432</v>
      </c>
      <c r="Y1729" t="s">
        <v>879</v>
      </c>
      <c r="Z1729" t="s">
        <v>792</v>
      </c>
      <c r="AD1729" t="s">
        <v>794</v>
      </c>
      <c r="AE1729" t="s">
        <v>795</v>
      </c>
      <c r="AF1729" t="s">
        <v>860</v>
      </c>
      <c r="AG1729" t="s">
        <v>861</v>
      </c>
      <c r="AH1729">
        <v>1760789</v>
      </c>
      <c r="AI1729">
        <v>1760789</v>
      </c>
    </row>
    <row r="1730" spans="1:36" x14ac:dyDescent="0.3">
      <c r="A1730">
        <f>COUNTIF($D$2:D1730,D1730)</f>
        <v>5</v>
      </c>
      <c r="B1730" t="str">
        <f t="shared" si="105"/>
        <v>5Redcar and Cleveland</v>
      </c>
      <c r="C1730" t="s">
        <v>5094</v>
      </c>
      <c r="D1730" t="s">
        <v>263</v>
      </c>
      <c r="E1730">
        <v>3</v>
      </c>
      <c r="F1730" t="s">
        <v>5095</v>
      </c>
      <c r="G1730" t="s">
        <v>877</v>
      </c>
      <c r="H1730" t="s">
        <v>1259</v>
      </c>
      <c r="I1730" t="s">
        <v>879</v>
      </c>
      <c r="J1730">
        <f t="shared" ca="1" si="106"/>
        <v>315450</v>
      </c>
      <c r="K1730">
        <f t="shared" ca="1" si="107"/>
        <v>348</v>
      </c>
      <c r="N1730" t="str">
        <f t="shared" ref="N1730:N1793" si="108">O1730&amp;Q1730&amp;R1730&amp;T1730&amp;U1730</f>
        <v>North Somerset11Assistive technology co-ordinator postAssistive Technologies and EquipmentAssistive technologies including telecare</v>
      </c>
      <c r="O1730" t="s">
        <v>237</v>
      </c>
      <c r="P1730" t="s">
        <v>976</v>
      </c>
      <c r="Q1730">
        <v>11</v>
      </c>
      <c r="R1730" t="s">
        <v>4605</v>
      </c>
      <c r="S1730" t="s">
        <v>800</v>
      </c>
      <c r="T1730" t="s">
        <v>800</v>
      </c>
      <c r="U1730" t="s">
        <v>850</v>
      </c>
      <c r="W1730">
        <v>10</v>
      </c>
      <c r="X1730">
        <v>10</v>
      </c>
      <c r="Y1730" t="s">
        <v>802</v>
      </c>
      <c r="Z1730" t="s">
        <v>792</v>
      </c>
      <c r="AB1730" t="s">
        <v>793</v>
      </c>
      <c r="AD1730" t="s">
        <v>794</v>
      </c>
      <c r="AE1730" t="s">
        <v>795</v>
      </c>
      <c r="AF1730" t="s">
        <v>796</v>
      </c>
      <c r="AG1730" t="s">
        <v>797</v>
      </c>
      <c r="AH1730">
        <v>40706</v>
      </c>
      <c r="AI1730">
        <v>43009.959600000002</v>
      </c>
      <c r="AJ1730">
        <v>1.0905046237412121E-3</v>
      </c>
    </row>
    <row r="1731" spans="1:36" x14ac:dyDescent="0.3">
      <c r="A1731">
        <f>COUNTIF($D$2:D1731,D1731)</f>
        <v>6</v>
      </c>
      <c r="B1731" t="str">
        <f t="shared" ref="B1731:B1794" si="109">A1731&amp;D1731</f>
        <v>6Redcar and Cleveland</v>
      </c>
      <c r="C1731" t="s">
        <v>5096</v>
      </c>
      <c r="D1731" t="s">
        <v>263</v>
      </c>
      <c r="E1731">
        <v>3</v>
      </c>
      <c r="F1731" t="s">
        <v>5097</v>
      </c>
      <c r="G1731" t="s">
        <v>877</v>
      </c>
      <c r="H1731" t="s">
        <v>1259</v>
      </c>
      <c r="I1731" t="s">
        <v>879</v>
      </c>
      <c r="J1731">
        <f t="shared" ref="J1731:J1794" ca="1" si="110">SUMIF($N:$AI,C1731,AH:AH)</f>
        <v>5200</v>
      </c>
      <c r="K1731">
        <f t="shared" ref="K1731:K1794" ca="1" si="111">SUMIF($N:$AI,C1731,W:W)</f>
        <v>348</v>
      </c>
      <c r="N1731" t="str">
        <f t="shared" si="108"/>
        <v>North Somerset12Care Home Assistive TechnologyAssistive Technologies and EquipmentCommunity based equipment</v>
      </c>
      <c r="O1731" t="s">
        <v>237</v>
      </c>
      <c r="P1731" t="s">
        <v>976</v>
      </c>
      <c r="Q1731">
        <v>12</v>
      </c>
      <c r="R1731" t="s">
        <v>4607</v>
      </c>
      <c r="S1731" t="s">
        <v>800</v>
      </c>
      <c r="T1731" t="s">
        <v>800</v>
      </c>
      <c r="U1731" t="s">
        <v>903</v>
      </c>
      <c r="W1731">
        <v>5</v>
      </c>
      <c r="X1731">
        <v>5</v>
      </c>
      <c r="Y1731" t="s">
        <v>802</v>
      </c>
      <c r="Z1731" t="s">
        <v>823</v>
      </c>
      <c r="AB1731" t="s">
        <v>793</v>
      </c>
      <c r="AD1731" t="s">
        <v>794</v>
      </c>
      <c r="AE1731" t="s">
        <v>795</v>
      </c>
      <c r="AF1731" t="s">
        <v>796</v>
      </c>
      <c r="AG1731" t="s">
        <v>797</v>
      </c>
      <c r="AH1731">
        <v>69781</v>
      </c>
      <c r="AI1731">
        <v>73730.604600000006</v>
      </c>
      <c r="AJ1731">
        <v>1.869417362287759E-3</v>
      </c>
    </row>
    <row r="1732" spans="1:36" x14ac:dyDescent="0.3">
      <c r="A1732">
        <f>COUNTIF($D$2:D1732,D1732)</f>
        <v>7</v>
      </c>
      <c r="B1732" t="str">
        <f t="shared" si="109"/>
        <v>7Redcar and Cleveland</v>
      </c>
      <c r="C1732" t="s">
        <v>5098</v>
      </c>
      <c r="D1732" t="s">
        <v>263</v>
      </c>
      <c r="E1732">
        <v>4</v>
      </c>
      <c r="F1732" t="s">
        <v>5099</v>
      </c>
      <c r="G1732" t="s">
        <v>811</v>
      </c>
      <c r="H1732" t="s">
        <v>895</v>
      </c>
      <c r="I1732" t="s">
        <v>813</v>
      </c>
      <c r="J1732">
        <f t="shared" ca="1" si="110"/>
        <v>237550</v>
      </c>
      <c r="K1732">
        <f t="shared" ca="1" si="111"/>
        <v>1539</v>
      </c>
      <c r="N1732" t="str">
        <f t="shared" si="108"/>
        <v>North Somerset22Carers Breaks ContributionCarers ServicesRespite services</v>
      </c>
      <c r="O1732" t="s">
        <v>237</v>
      </c>
      <c r="P1732" t="s">
        <v>976</v>
      </c>
      <c r="Q1732">
        <v>22</v>
      </c>
      <c r="R1732" t="s">
        <v>4610</v>
      </c>
      <c r="S1732" t="s">
        <v>811</v>
      </c>
      <c r="T1732" t="s">
        <v>811</v>
      </c>
      <c r="U1732" t="s">
        <v>830</v>
      </c>
      <c r="W1732">
        <v>50</v>
      </c>
      <c r="X1732">
        <v>50</v>
      </c>
      <c r="Y1732" t="s">
        <v>813</v>
      </c>
      <c r="Z1732" t="s">
        <v>792</v>
      </c>
      <c r="AB1732" t="s">
        <v>793</v>
      </c>
      <c r="AD1732" t="s">
        <v>794</v>
      </c>
      <c r="AE1732" t="s">
        <v>795</v>
      </c>
      <c r="AF1732" t="s">
        <v>796</v>
      </c>
      <c r="AG1732" t="s">
        <v>797</v>
      </c>
      <c r="AH1732">
        <v>738514</v>
      </c>
      <c r="AI1732">
        <v>780313.89240000001</v>
      </c>
      <c r="AJ1732">
        <v>1.9784624667066708E-2</v>
      </c>
    </row>
    <row r="1733" spans="1:36" x14ac:dyDescent="0.3">
      <c r="A1733">
        <f>COUNTIF($D$2:D1733,D1733)</f>
        <v>8</v>
      </c>
      <c r="B1733" t="str">
        <f t="shared" si="109"/>
        <v>8Redcar and Cleveland</v>
      </c>
      <c r="C1733" t="s">
        <v>5100</v>
      </c>
      <c r="D1733" t="s">
        <v>263</v>
      </c>
      <c r="E1733">
        <v>5</v>
      </c>
      <c r="F1733" t="s">
        <v>5101</v>
      </c>
      <c r="G1733" t="s">
        <v>811</v>
      </c>
      <c r="H1733" t="s">
        <v>895</v>
      </c>
      <c r="I1733" t="s">
        <v>813</v>
      </c>
      <c r="J1733">
        <f t="shared" ca="1" si="110"/>
        <v>59050</v>
      </c>
      <c r="K1733">
        <f t="shared" ca="1" si="111"/>
        <v>2575</v>
      </c>
      <c r="N1733" t="str">
        <f t="shared" si="108"/>
        <v>North Somerset23Proud to Care retention bonus for domiciliary care strategic providersHome Care or Domiciliary CareDomiciliary care workforce development</v>
      </c>
      <c r="O1733" t="s">
        <v>237</v>
      </c>
      <c r="P1733" t="s">
        <v>976</v>
      </c>
      <c r="Q1733">
        <v>23</v>
      </c>
      <c r="R1733" t="s">
        <v>4613</v>
      </c>
      <c r="S1733" t="s">
        <v>842</v>
      </c>
      <c r="T1733" t="s">
        <v>842</v>
      </c>
      <c r="U1733" t="s">
        <v>1594</v>
      </c>
      <c r="W1733">
        <v>100</v>
      </c>
      <c r="X1733">
        <v>100</v>
      </c>
      <c r="Y1733" t="s">
        <v>844</v>
      </c>
      <c r="Z1733" t="s">
        <v>792</v>
      </c>
      <c r="AB1733" t="s">
        <v>793</v>
      </c>
      <c r="AD1733" t="s">
        <v>794</v>
      </c>
      <c r="AE1733" t="s">
        <v>795</v>
      </c>
      <c r="AF1733" t="s">
        <v>796</v>
      </c>
      <c r="AG1733" t="s">
        <v>797</v>
      </c>
      <c r="AH1733">
        <v>232603</v>
      </c>
      <c r="AI1733">
        <v>245768.32980000001</v>
      </c>
      <c r="AJ1733">
        <v>6.2313822777005142E-3</v>
      </c>
    </row>
    <row r="1734" spans="1:36" x14ac:dyDescent="0.3">
      <c r="A1734">
        <f>COUNTIF($D$2:D1734,D1734)</f>
        <v>9</v>
      </c>
      <c r="B1734" t="str">
        <f t="shared" si="109"/>
        <v>9Redcar and Cleveland</v>
      </c>
      <c r="C1734" t="s">
        <v>5102</v>
      </c>
      <c r="D1734" t="s">
        <v>263</v>
      </c>
      <c r="E1734">
        <v>6</v>
      </c>
      <c r="F1734" t="s">
        <v>5103</v>
      </c>
      <c r="G1734" t="s">
        <v>811</v>
      </c>
      <c r="H1734" t="s">
        <v>895</v>
      </c>
      <c r="I1734" t="s">
        <v>813</v>
      </c>
      <c r="J1734">
        <f t="shared" ca="1" si="110"/>
        <v>39250</v>
      </c>
      <c r="K1734">
        <f t="shared" ca="1" si="111"/>
        <v>183</v>
      </c>
      <c r="N1734" t="str">
        <f t="shared" si="108"/>
        <v>North Somerset24Carers support - Mental Health (AWP)Carers ServicesRespite services</v>
      </c>
      <c r="O1734" t="s">
        <v>237</v>
      </c>
      <c r="P1734" t="s">
        <v>976</v>
      </c>
      <c r="Q1734">
        <v>24</v>
      </c>
      <c r="R1734" t="s">
        <v>4616</v>
      </c>
      <c r="S1734" t="s">
        <v>811</v>
      </c>
      <c r="T1734" t="s">
        <v>811</v>
      </c>
      <c r="U1734" t="s">
        <v>830</v>
      </c>
      <c r="W1734">
        <v>100</v>
      </c>
      <c r="X1734">
        <v>100</v>
      </c>
      <c r="Y1734" t="s">
        <v>813</v>
      </c>
      <c r="Z1734" t="s">
        <v>1006</v>
      </c>
      <c r="AB1734" t="s">
        <v>824</v>
      </c>
      <c r="AD1734" t="s">
        <v>794</v>
      </c>
      <c r="AE1734" t="s">
        <v>1107</v>
      </c>
      <c r="AF1734" t="s">
        <v>796</v>
      </c>
      <c r="AG1734" t="s">
        <v>797</v>
      </c>
      <c r="AH1734">
        <v>154588</v>
      </c>
      <c r="AI1734">
        <v>163337.6808</v>
      </c>
      <c r="AJ1734">
        <v>4.1413778994474158E-3</v>
      </c>
    </row>
    <row r="1735" spans="1:36" x14ac:dyDescent="0.3">
      <c r="A1735">
        <f>COUNTIF($D$2:D1735,D1735)</f>
        <v>10</v>
      </c>
      <c r="B1735" t="str">
        <f t="shared" si="109"/>
        <v>10Redcar and Cleveland</v>
      </c>
      <c r="C1735" t="s">
        <v>5104</v>
      </c>
      <c r="D1735" t="s">
        <v>263</v>
      </c>
      <c r="E1735">
        <v>7</v>
      </c>
      <c r="F1735" t="s">
        <v>5105</v>
      </c>
      <c r="G1735" t="s">
        <v>800</v>
      </c>
      <c r="H1735" t="s">
        <v>907</v>
      </c>
      <c r="I1735" t="s">
        <v>802</v>
      </c>
      <c r="J1735">
        <f t="shared" ca="1" si="110"/>
        <v>30000</v>
      </c>
      <c r="K1735">
        <f t="shared" ca="1" si="111"/>
        <v>184</v>
      </c>
      <c r="N1735" t="str">
        <f t="shared" si="108"/>
        <v>North Somerset29Disabled Facilitaties Grant (DFG)DFG Related SchemesAdaptations, including statutory DFG grants</v>
      </c>
      <c r="O1735" t="s">
        <v>237</v>
      </c>
      <c r="P1735" t="s">
        <v>976</v>
      </c>
      <c r="Q1735">
        <v>29</v>
      </c>
      <c r="R1735" t="s">
        <v>4620</v>
      </c>
      <c r="S1735" t="s">
        <v>834</v>
      </c>
      <c r="T1735" t="s">
        <v>834</v>
      </c>
      <c r="U1735" t="s">
        <v>835</v>
      </c>
      <c r="W1735">
        <v>250</v>
      </c>
      <c r="X1735">
        <v>250</v>
      </c>
      <c r="Y1735" t="s">
        <v>836</v>
      </c>
      <c r="Z1735" t="s">
        <v>792</v>
      </c>
      <c r="AB1735" t="s">
        <v>793</v>
      </c>
      <c r="AD1735" t="s">
        <v>794</v>
      </c>
      <c r="AE1735" t="s">
        <v>795</v>
      </c>
      <c r="AF1735" t="s">
        <v>840</v>
      </c>
      <c r="AG1735" t="s">
        <v>797</v>
      </c>
      <c r="AH1735">
        <v>2361483</v>
      </c>
      <c r="AI1735">
        <v>2361483</v>
      </c>
      <c r="AJ1735">
        <v>6.3263600707175072E-2</v>
      </c>
    </row>
    <row r="1736" spans="1:36" x14ac:dyDescent="0.3">
      <c r="A1736">
        <f>COUNTIF($D$2:D1736,D1736)</f>
        <v>11</v>
      </c>
      <c r="B1736" t="str">
        <f t="shared" si="109"/>
        <v>11Redcar and Cleveland</v>
      </c>
      <c r="C1736" t="s">
        <v>5106</v>
      </c>
      <c r="D1736" t="s">
        <v>263</v>
      </c>
      <c r="E1736">
        <v>11</v>
      </c>
      <c r="F1736" t="s">
        <v>5107</v>
      </c>
      <c r="G1736" t="s">
        <v>842</v>
      </c>
      <c r="H1736" t="s">
        <v>843</v>
      </c>
      <c r="I1736" t="s">
        <v>844</v>
      </c>
      <c r="J1736">
        <f t="shared" ca="1" si="110"/>
        <v>267800</v>
      </c>
      <c r="K1736">
        <f t="shared" ca="1" si="111"/>
        <v>12000</v>
      </c>
      <c r="N1736" t="str">
        <f t="shared" si="108"/>
        <v>North Somerset43Residential and nursing beds at Sycamore home, WraxallResidential PlacementsCare home</v>
      </c>
      <c r="O1736" t="s">
        <v>237</v>
      </c>
      <c r="P1736" t="s">
        <v>976</v>
      </c>
      <c r="Q1736">
        <v>43</v>
      </c>
      <c r="R1736" t="s">
        <v>4623</v>
      </c>
      <c r="S1736" t="s">
        <v>806</v>
      </c>
      <c r="T1736" t="s">
        <v>806</v>
      </c>
      <c r="U1736" t="s">
        <v>807</v>
      </c>
      <c r="W1736">
        <v>10</v>
      </c>
      <c r="X1736">
        <v>15</v>
      </c>
      <c r="Y1736" t="s">
        <v>808</v>
      </c>
      <c r="Z1736" t="s">
        <v>792</v>
      </c>
      <c r="AB1736" t="s">
        <v>793</v>
      </c>
      <c r="AD1736" t="s">
        <v>794</v>
      </c>
      <c r="AE1736" t="s">
        <v>795</v>
      </c>
      <c r="AF1736" t="s">
        <v>796</v>
      </c>
      <c r="AG1736" t="s">
        <v>797</v>
      </c>
      <c r="AH1736">
        <v>306454</v>
      </c>
      <c r="AI1736">
        <v>323799.29639999999</v>
      </c>
      <c r="AJ1736">
        <v>8.2098340284967666E-3</v>
      </c>
    </row>
    <row r="1737" spans="1:36" x14ac:dyDescent="0.3">
      <c r="A1737">
        <f>COUNTIF($D$2:D1737,D1737)</f>
        <v>12</v>
      </c>
      <c r="B1737" t="str">
        <f t="shared" si="109"/>
        <v>12Redcar and Cleveland</v>
      </c>
      <c r="C1737" t="s">
        <v>5108</v>
      </c>
      <c r="D1737" t="s">
        <v>263</v>
      </c>
      <c r="E1737">
        <v>17</v>
      </c>
      <c r="F1737" t="s">
        <v>1341</v>
      </c>
      <c r="G1737" t="s">
        <v>834</v>
      </c>
      <c r="H1737" t="s">
        <v>835</v>
      </c>
      <c r="I1737" t="s">
        <v>836</v>
      </c>
      <c r="J1737">
        <f t="shared" ca="1" si="110"/>
        <v>1790234</v>
      </c>
      <c r="K1737">
        <f t="shared" ca="1" si="111"/>
        <v>216</v>
      </c>
      <c r="N1737" t="str">
        <f t="shared" si="108"/>
        <v>North Somerset47Proud to Care Retention Payment Home Care or Domiciliary CareDomiciliary care workforce development</v>
      </c>
      <c r="O1737" t="s">
        <v>237</v>
      </c>
      <c r="P1737" t="s">
        <v>976</v>
      </c>
      <c r="Q1737">
        <v>47</v>
      </c>
      <c r="R1737" t="s">
        <v>4625</v>
      </c>
      <c r="S1737" t="s">
        <v>842</v>
      </c>
      <c r="T1737" t="s">
        <v>842</v>
      </c>
      <c r="U1737" t="s">
        <v>1594</v>
      </c>
      <c r="W1737">
        <v>100</v>
      </c>
      <c r="X1737">
        <v>100</v>
      </c>
      <c r="Y1737" t="s">
        <v>844</v>
      </c>
      <c r="Z1737" t="s">
        <v>792</v>
      </c>
      <c r="AB1737" t="s">
        <v>793</v>
      </c>
      <c r="AD1737" t="s">
        <v>794</v>
      </c>
      <c r="AE1737" t="s">
        <v>795</v>
      </c>
      <c r="AF1737" t="s">
        <v>845</v>
      </c>
      <c r="AG1737" t="s">
        <v>797</v>
      </c>
      <c r="AH1737">
        <v>200000</v>
      </c>
      <c r="AI1737">
        <v>200000</v>
      </c>
      <c r="AJ1737">
        <v>5.3579552092625762E-3</v>
      </c>
    </row>
    <row r="1738" spans="1:36" x14ac:dyDescent="0.3">
      <c r="A1738">
        <f>COUNTIF($D$2:D1738,D1738)</f>
        <v>13</v>
      </c>
      <c r="B1738" t="str">
        <f t="shared" si="109"/>
        <v>13Redcar and Cleveland</v>
      </c>
      <c r="C1738" t="s">
        <v>5109</v>
      </c>
      <c r="D1738" t="s">
        <v>263</v>
      </c>
      <c r="E1738">
        <v>17</v>
      </c>
      <c r="F1738" t="s">
        <v>1341</v>
      </c>
      <c r="G1738" t="s">
        <v>834</v>
      </c>
      <c r="H1738" t="s">
        <v>1732</v>
      </c>
      <c r="I1738" t="s">
        <v>836</v>
      </c>
      <c r="J1738">
        <f t="shared" ca="1" si="110"/>
        <v>198450</v>
      </c>
      <c r="K1738">
        <f t="shared" ca="1" si="111"/>
        <v>2377</v>
      </c>
      <c r="N1738" t="str">
        <f t="shared" si="108"/>
        <v>North Somerset48Domiciliary Care Strategic Providers Capacity Building  Home Care or Domiciliary CareDomiciliary care workforce development</v>
      </c>
      <c r="O1738" t="s">
        <v>237</v>
      </c>
      <c r="P1738" t="s">
        <v>976</v>
      </c>
      <c r="Q1738">
        <v>48</v>
      </c>
      <c r="R1738" t="s">
        <v>4628</v>
      </c>
      <c r="S1738" t="s">
        <v>842</v>
      </c>
      <c r="T1738" t="s">
        <v>842</v>
      </c>
      <c r="U1738" t="s">
        <v>1594</v>
      </c>
      <c r="W1738">
        <v>100</v>
      </c>
      <c r="X1738">
        <v>100</v>
      </c>
      <c r="Y1738" t="s">
        <v>844</v>
      </c>
      <c r="Z1738" t="s">
        <v>792</v>
      </c>
      <c r="AB1738" t="s">
        <v>793</v>
      </c>
      <c r="AD1738" t="s">
        <v>794</v>
      </c>
      <c r="AE1738" t="s">
        <v>795</v>
      </c>
      <c r="AF1738" t="s">
        <v>845</v>
      </c>
      <c r="AG1738" t="s">
        <v>797</v>
      </c>
      <c r="AH1738">
        <v>200000</v>
      </c>
      <c r="AI1738">
        <v>200000</v>
      </c>
      <c r="AJ1738">
        <v>5.3579552092625762E-3</v>
      </c>
    </row>
    <row r="1739" spans="1:36" x14ac:dyDescent="0.3">
      <c r="A1739">
        <f>COUNTIF($D$2:D1739,D1739)</f>
        <v>14</v>
      </c>
      <c r="B1739" t="str">
        <f t="shared" si="109"/>
        <v>14Redcar and Cleveland</v>
      </c>
      <c r="C1739" t="s">
        <v>5110</v>
      </c>
      <c r="D1739" t="s">
        <v>263</v>
      </c>
      <c r="E1739">
        <v>19</v>
      </c>
      <c r="F1739" t="s">
        <v>2262</v>
      </c>
      <c r="G1739" t="s">
        <v>806</v>
      </c>
      <c r="H1739" t="s">
        <v>807</v>
      </c>
      <c r="I1739" t="s">
        <v>808</v>
      </c>
      <c r="J1739">
        <f t="shared" ca="1" si="110"/>
        <v>3504621</v>
      </c>
      <c r="K1739">
        <f t="shared" ca="1" si="111"/>
        <v>87</v>
      </c>
      <c r="N1739" t="str">
        <f t="shared" si="108"/>
        <v>North Somerset49Care Home BCF Innovation Grant - top up existing fund to total sum of one off funding to be awarded. Care Homes to bid for one off funding.   Assistive Technologies and EquipmentCommunity based equipment</v>
      </c>
      <c r="O1739" t="s">
        <v>237</v>
      </c>
      <c r="P1739" t="s">
        <v>976</v>
      </c>
      <c r="Q1739">
        <v>49</v>
      </c>
      <c r="R1739" t="s">
        <v>4630</v>
      </c>
      <c r="S1739" t="s">
        <v>800</v>
      </c>
      <c r="T1739" t="s">
        <v>800</v>
      </c>
      <c r="U1739" t="s">
        <v>903</v>
      </c>
      <c r="W1739">
        <v>10</v>
      </c>
      <c r="X1739">
        <v>10</v>
      </c>
      <c r="Y1739" t="s">
        <v>802</v>
      </c>
      <c r="Z1739" t="s">
        <v>792</v>
      </c>
      <c r="AB1739" t="s">
        <v>793</v>
      </c>
      <c r="AD1739" t="s">
        <v>794</v>
      </c>
      <c r="AE1739" t="s">
        <v>795</v>
      </c>
      <c r="AF1739" t="s">
        <v>845</v>
      </c>
      <c r="AG1739" t="s">
        <v>797</v>
      </c>
      <c r="AH1739">
        <v>100000</v>
      </c>
      <c r="AI1739">
        <v>100000</v>
      </c>
      <c r="AJ1739">
        <v>2.6789776046312881E-3</v>
      </c>
    </row>
    <row r="1740" spans="1:36" x14ac:dyDescent="0.3">
      <c r="A1740">
        <f>COUNTIF($D$2:D1740,D1740)</f>
        <v>15</v>
      </c>
      <c r="B1740" t="str">
        <f t="shared" si="109"/>
        <v>15Redcar and Cleveland</v>
      </c>
      <c r="C1740" t="s">
        <v>5111</v>
      </c>
      <c r="D1740" t="s">
        <v>263</v>
      </c>
      <c r="E1740">
        <v>20</v>
      </c>
      <c r="F1740" t="s">
        <v>1447</v>
      </c>
      <c r="G1740" t="s">
        <v>842</v>
      </c>
      <c r="H1740" t="s">
        <v>843</v>
      </c>
      <c r="I1740" t="s">
        <v>844</v>
      </c>
      <c r="J1740">
        <f t="shared" ca="1" si="110"/>
        <v>5036046</v>
      </c>
      <c r="K1740">
        <f t="shared" ca="1" si="111"/>
        <v>247000</v>
      </c>
      <c r="N1740" t="str">
        <f t="shared" si="108"/>
        <v>North Somerset52TEC - TO Support Care SectorAssistive Technologies and EquipmentAssistive technologies including telecare</v>
      </c>
      <c r="O1740" t="s">
        <v>237</v>
      </c>
      <c r="P1740" t="s">
        <v>976</v>
      </c>
      <c r="Q1740">
        <v>52</v>
      </c>
      <c r="R1740" t="s">
        <v>4632</v>
      </c>
      <c r="S1740" t="s">
        <v>800</v>
      </c>
      <c r="T1740" t="s">
        <v>800</v>
      </c>
      <c r="U1740" t="s">
        <v>850</v>
      </c>
      <c r="W1740">
        <v>5</v>
      </c>
      <c r="X1740">
        <v>5</v>
      </c>
      <c r="Y1740" t="s">
        <v>802</v>
      </c>
      <c r="Z1740" t="s">
        <v>792</v>
      </c>
      <c r="AB1740" t="s">
        <v>793</v>
      </c>
      <c r="AD1740" t="s">
        <v>794</v>
      </c>
      <c r="AE1740" t="s">
        <v>795</v>
      </c>
      <c r="AF1740" t="s">
        <v>845</v>
      </c>
      <c r="AG1740" t="s">
        <v>797</v>
      </c>
      <c r="AH1740">
        <v>20000</v>
      </c>
      <c r="AI1740">
        <v>20000</v>
      </c>
      <c r="AJ1740">
        <v>5.3579552092625758E-4</v>
      </c>
    </row>
    <row r="1741" spans="1:36" x14ac:dyDescent="0.3">
      <c r="A1741">
        <f>COUNTIF($D$2:D1741,D1741)</f>
        <v>16</v>
      </c>
      <c r="B1741" t="str">
        <f t="shared" si="109"/>
        <v>16Redcar and Cleveland</v>
      </c>
      <c r="C1741" t="s">
        <v>5112</v>
      </c>
      <c r="D1741" t="s">
        <v>263</v>
      </c>
      <c r="E1741">
        <v>43</v>
      </c>
      <c r="F1741" t="s">
        <v>5113</v>
      </c>
      <c r="G1741" t="s">
        <v>877</v>
      </c>
      <c r="H1741" t="s">
        <v>1259</v>
      </c>
      <c r="I1741" t="s">
        <v>879</v>
      </c>
      <c r="J1741">
        <f t="shared" ca="1" si="110"/>
        <v>971294</v>
      </c>
      <c r="K1741">
        <f t="shared" ca="1" si="111"/>
        <v>105</v>
      </c>
      <c r="N1741" t="str">
        <f t="shared" si="108"/>
        <v>North Somerset57Premium payments to Care Home sector to incentivise faster /weekend assessments  Residential PlacementsCare home</v>
      </c>
      <c r="O1741" t="s">
        <v>237</v>
      </c>
      <c r="P1741" t="s">
        <v>976</v>
      </c>
      <c r="Q1741">
        <v>57</v>
      </c>
      <c r="R1741" t="s">
        <v>4635</v>
      </c>
      <c r="S1741" t="s">
        <v>806</v>
      </c>
      <c r="T1741" t="s">
        <v>806</v>
      </c>
      <c r="U1741" t="s">
        <v>807</v>
      </c>
      <c r="W1741">
        <v>20</v>
      </c>
      <c r="X1741">
        <v>20</v>
      </c>
      <c r="Y1741" t="s">
        <v>808</v>
      </c>
      <c r="Z1741" t="s">
        <v>792</v>
      </c>
      <c r="AB1741" t="s">
        <v>793</v>
      </c>
      <c r="AD1741" t="s">
        <v>794</v>
      </c>
      <c r="AE1741" t="s">
        <v>795</v>
      </c>
      <c r="AF1741" t="s">
        <v>845</v>
      </c>
      <c r="AG1741" t="s">
        <v>797</v>
      </c>
      <c r="AH1741">
        <v>50000</v>
      </c>
      <c r="AI1741">
        <v>50000</v>
      </c>
      <c r="AJ1741">
        <v>1.3394888023156441E-3</v>
      </c>
    </row>
    <row r="1742" spans="1:36" x14ac:dyDescent="0.3">
      <c r="A1742">
        <f>COUNTIF($D$2:D1742,D1742)</f>
        <v>17</v>
      </c>
      <c r="B1742" t="str">
        <f t="shared" si="109"/>
        <v>17Redcar and Cleveland</v>
      </c>
      <c r="C1742" t="s">
        <v>5114</v>
      </c>
      <c r="D1742" t="s">
        <v>263</v>
      </c>
      <c r="E1742">
        <v>44</v>
      </c>
      <c r="F1742" t="s">
        <v>5115</v>
      </c>
      <c r="G1742" t="s">
        <v>834</v>
      </c>
      <c r="H1742" t="s">
        <v>835</v>
      </c>
      <c r="I1742" t="s">
        <v>836</v>
      </c>
      <c r="J1742">
        <f t="shared" ca="1" si="110"/>
        <v>1360697</v>
      </c>
      <c r="K1742">
        <f t="shared" ca="1" si="111"/>
        <v>164</v>
      </c>
      <c r="N1742" t="str">
        <f t="shared" si="108"/>
        <v>North Somerset60Proud to CareHome Care or Domiciliary CareDomiciliary care workforce development</v>
      </c>
      <c r="O1742" t="s">
        <v>237</v>
      </c>
      <c r="P1742" t="s">
        <v>976</v>
      </c>
      <c r="Q1742">
        <v>60</v>
      </c>
      <c r="R1742" t="s">
        <v>4637</v>
      </c>
      <c r="S1742" t="s">
        <v>842</v>
      </c>
      <c r="T1742" t="s">
        <v>842</v>
      </c>
      <c r="U1742" t="s">
        <v>1594</v>
      </c>
      <c r="W1742">
        <v>100</v>
      </c>
      <c r="X1742">
        <v>100</v>
      </c>
      <c r="Y1742" t="s">
        <v>844</v>
      </c>
      <c r="Z1742" t="s">
        <v>792</v>
      </c>
      <c r="AB1742" t="s">
        <v>793</v>
      </c>
      <c r="AD1742" t="s">
        <v>794</v>
      </c>
      <c r="AE1742" t="s">
        <v>795</v>
      </c>
      <c r="AF1742" t="s">
        <v>845</v>
      </c>
      <c r="AG1742" t="s">
        <v>797</v>
      </c>
      <c r="AH1742">
        <v>50000</v>
      </c>
      <c r="AI1742">
        <v>50000</v>
      </c>
      <c r="AJ1742">
        <v>1.3394888023156441E-3</v>
      </c>
    </row>
    <row r="1743" spans="1:36" x14ac:dyDescent="0.3">
      <c r="A1743">
        <f>COUNTIF($D$2:D1743,D1743)</f>
        <v>18</v>
      </c>
      <c r="B1743" t="str">
        <f t="shared" si="109"/>
        <v>18Redcar and Cleveland</v>
      </c>
      <c r="C1743" t="s">
        <v>5116</v>
      </c>
      <c r="D1743" t="s">
        <v>263</v>
      </c>
      <c r="E1743">
        <v>49</v>
      </c>
      <c r="F1743" t="s">
        <v>5117</v>
      </c>
      <c r="G1743" t="s">
        <v>787</v>
      </c>
      <c r="H1743" t="s">
        <v>930</v>
      </c>
      <c r="I1743" t="s">
        <v>789</v>
      </c>
      <c r="J1743">
        <f t="shared" ca="1" si="110"/>
        <v>332856</v>
      </c>
      <c r="K1743">
        <f t="shared" ca="1" si="111"/>
        <v>505</v>
      </c>
      <c r="N1743" t="str">
        <f t="shared" si="108"/>
        <v>North Somerset61Contribution to Care Home Fee Residential PlacementsCare home</v>
      </c>
      <c r="O1743" t="s">
        <v>237</v>
      </c>
      <c r="P1743" t="s">
        <v>976</v>
      </c>
      <c r="Q1743">
        <v>61</v>
      </c>
      <c r="R1743" t="s">
        <v>4639</v>
      </c>
      <c r="S1743" t="s">
        <v>806</v>
      </c>
      <c r="T1743" t="s">
        <v>806</v>
      </c>
      <c r="U1743" t="s">
        <v>807</v>
      </c>
      <c r="W1743">
        <v>100</v>
      </c>
      <c r="X1743">
        <v>100</v>
      </c>
      <c r="Y1743" t="s">
        <v>808</v>
      </c>
      <c r="Z1743" t="s">
        <v>792</v>
      </c>
      <c r="AB1743" t="s">
        <v>793</v>
      </c>
      <c r="AD1743" t="s">
        <v>794</v>
      </c>
      <c r="AE1743" t="s">
        <v>795</v>
      </c>
      <c r="AF1743" t="s">
        <v>845</v>
      </c>
      <c r="AG1743" t="s">
        <v>797</v>
      </c>
      <c r="AH1743">
        <v>856962</v>
      </c>
      <c r="AI1743">
        <v>856962</v>
      </c>
      <c r="AJ1743">
        <v>2.2957820060200376E-2</v>
      </c>
    </row>
    <row r="1744" spans="1:36" x14ac:dyDescent="0.3">
      <c r="A1744">
        <f>COUNTIF($D$2:D1744,D1744)</f>
        <v>19</v>
      </c>
      <c r="B1744" t="str">
        <f t="shared" si="109"/>
        <v>19Redcar and Cleveland</v>
      </c>
      <c r="C1744" t="s">
        <v>5118</v>
      </c>
      <c r="D1744" t="s">
        <v>263</v>
      </c>
      <c r="E1744">
        <v>51</v>
      </c>
      <c r="F1744" t="s">
        <v>5119</v>
      </c>
      <c r="G1744" t="s">
        <v>877</v>
      </c>
      <c r="H1744" t="s">
        <v>1259</v>
      </c>
      <c r="I1744" t="s">
        <v>879</v>
      </c>
      <c r="J1744" t="e">
        <f t="shared" si="110"/>
        <v>#VALUE!</v>
      </c>
      <c r="K1744" t="e">
        <f t="shared" si="111"/>
        <v>#VALUE!</v>
      </c>
      <c r="N1744" t="str">
        <f t="shared" si="108"/>
        <v>North Somerset62Block purchase of capacity to support dischargeResidential PlacementsCare home</v>
      </c>
      <c r="O1744" t="s">
        <v>237</v>
      </c>
      <c r="P1744" t="s">
        <v>976</v>
      </c>
      <c r="Q1744">
        <v>62</v>
      </c>
      <c r="R1744" t="s">
        <v>4642</v>
      </c>
      <c r="S1744" t="s">
        <v>806</v>
      </c>
      <c r="T1744" t="s">
        <v>806</v>
      </c>
      <c r="U1744" t="s">
        <v>807</v>
      </c>
      <c r="W1744">
        <v>15</v>
      </c>
      <c r="X1744">
        <v>15</v>
      </c>
      <c r="Y1744" t="s">
        <v>808</v>
      </c>
      <c r="Z1744" t="s">
        <v>792</v>
      </c>
      <c r="AB1744" t="s">
        <v>793</v>
      </c>
      <c r="AD1744" t="s">
        <v>794</v>
      </c>
      <c r="AE1744" t="s">
        <v>795</v>
      </c>
      <c r="AF1744" t="s">
        <v>845</v>
      </c>
      <c r="AG1744" t="s">
        <v>797</v>
      </c>
      <c r="AH1744">
        <v>350000</v>
      </c>
      <c r="AI1744">
        <v>350000</v>
      </c>
      <c r="AJ1744">
        <v>9.3764216162095081E-3</v>
      </c>
    </row>
    <row r="1745" spans="1:36" x14ac:dyDescent="0.3">
      <c r="A1745">
        <f>COUNTIF($D$2:D1745,D1745)</f>
        <v>20</v>
      </c>
      <c r="B1745" t="str">
        <f t="shared" si="109"/>
        <v>20Redcar and Cleveland</v>
      </c>
      <c r="C1745" t="s">
        <v>5120</v>
      </c>
      <c r="D1745" t="s">
        <v>263</v>
      </c>
      <c r="E1745">
        <v>53</v>
      </c>
      <c r="F1745" t="s">
        <v>5113</v>
      </c>
      <c r="G1745" t="s">
        <v>877</v>
      </c>
      <c r="H1745" t="s">
        <v>1259</v>
      </c>
      <c r="I1745" t="s">
        <v>879</v>
      </c>
      <c r="J1745">
        <f t="shared" ca="1" si="110"/>
        <v>267906</v>
      </c>
      <c r="K1745">
        <f t="shared" ca="1" si="111"/>
        <v>36</v>
      </c>
      <c r="N1745" t="str">
        <f t="shared" si="108"/>
        <v>North Somerset70Increase take up of assistive technologyAssistive Technologies and EquipmentAssistive technologies including telecare</v>
      </c>
      <c r="O1745" t="s">
        <v>237</v>
      </c>
      <c r="P1745" t="s">
        <v>976</v>
      </c>
      <c r="Q1745">
        <v>70</v>
      </c>
      <c r="R1745" t="s">
        <v>4646</v>
      </c>
      <c r="S1745" t="s">
        <v>800</v>
      </c>
      <c r="T1745" t="s">
        <v>800</v>
      </c>
      <c r="U1745" t="s">
        <v>850</v>
      </c>
      <c r="W1745">
        <v>20</v>
      </c>
      <c r="X1745">
        <v>20</v>
      </c>
      <c r="Y1745" t="s">
        <v>802</v>
      </c>
      <c r="Z1745" t="s">
        <v>792</v>
      </c>
      <c r="AB1745" t="s">
        <v>793</v>
      </c>
      <c r="AD1745" t="s">
        <v>794</v>
      </c>
      <c r="AE1745" t="s">
        <v>795</v>
      </c>
      <c r="AF1745" t="s">
        <v>845</v>
      </c>
      <c r="AG1745" t="s">
        <v>797</v>
      </c>
      <c r="AH1745">
        <v>100000</v>
      </c>
      <c r="AI1745">
        <v>100000</v>
      </c>
      <c r="AJ1745">
        <v>2.6789776046312881E-3</v>
      </c>
    </row>
    <row r="1746" spans="1:36" x14ac:dyDescent="0.3">
      <c r="A1746">
        <f>COUNTIF($D$2:D1746,D1746)</f>
        <v>21</v>
      </c>
      <c r="B1746" t="str">
        <f t="shared" si="109"/>
        <v>21Redcar and Cleveland</v>
      </c>
      <c r="C1746" t="s">
        <v>5121</v>
      </c>
      <c r="D1746" t="s">
        <v>263</v>
      </c>
      <c r="E1746">
        <v>54</v>
      </c>
      <c r="F1746" t="s">
        <v>5122</v>
      </c>
      <c r="G1746" t="s">
        <v>787</v>
      </c>
      <c r="H1746" t="s">
        <v>930</v>
      </c>
      <c r="I1746" t="s">
        <v>789</v>
      </c>
      <c r="J1746">
        <f t="shared" ca="1" si="110"/>
        <v>14700</v>
      </c>
      <c r="K1746">
        <f t="shared" ca="1" si="111"/>
        <v>22</v>
      </c>
      <c r="N1746" t="str">
        <f t="shared" si="108"/>
        <v>North Somerset73Stabilising the marketResidential PlacementsCare home</v>
      </c>
      <c r="O1746" t="s">
        <v>237</v>
      </c>
      <c r="P1746" t="s">
        <v>976</v>
      </c>
      <c r="Q1746">
        <v>73</v>
      </c>
      <c r="R1746" t="s">
        <v>4648</v>
      </c>
      <c r="S1746" t="s">
        <v>806</v>
      </c>
      <c r="T1746" t="s">
        <v>806</v>
      </c>
      <c r="U1746" t="s">
        <v>807</v>
      </c>
      <c r="W1746">
        <v>100</v>
      </c>
      <c r="X1746">
        <v>100</v>
      </c>
      <c r="Y1746" t="s">
        <v>808</v>
      </c>
      <c r="Z1746" t="s">
        <v>792</v>
      </c>
      <c r="AB1746" t="s">
        <v>793</v>
      </c>
      <c r="AD1746" t="s">
        <v>794</v>
      </c>
      <c r="AE1746" t="s">
        <v>795</v>
      </c>
      <c r="AF1746" t="s">
        <v>845</v>
      </c>
      <c r="AG1746" t="s">
        <v>797</v>
      </c>
      <c r="AH1746">
        <v>1500000</v>
      </c>
      <c r="AI1746">
        <v>1500000</v>
      </c>
      <c r="AJ1746">
        <v>4.0184664069469321E-2</v>
      </c>
    </row>
    <row r="1747" spans="1:36" x14ac:dyDescent="0.3">
      <c r="A1747">
        <f>COUNTIF($D$2:D1747,D1747)</f>
        <v>22</v>
      </c>
      <c r="B1747" t="str">
        <f t="shared" si="109"/>
        <v>22Redcar and Cleveland</v>
      </c>
      <c r="C1747" t="s">
        <v>5123</v>
      </c>
      <c r="D1747" t="s">
        <v>263</v>
      </c>
      <c r="E1747">
        <v>57</v>
      </c>
      <c r="F1747" t="s">
        <v>5124</v>
      </c>
      <c r="G1747" t="s">
        <v>811</v>
      </c>
      <c r="H1747" t="s">
        <v>830</v>
      </c>
      <c r="I1747" t="s">
        <v>813</v>
      </c>
      <c r="J1747">
        <f t="shared" ca="1" si="110"/>
        <v>50000</v>
      </c>
      <c r="K1747">
        <f t="shared" ca="1" si="111"/>
        <v>200</v>
      </c>
      <c r="N1747" t="str">
        <f t="shared" si="108"/>
        <v>North Somerset80Dementia Support at HomeHome Care or Domiciliary CareDomiciliary care to support hospital discharge (Discharge to Assess pathway 1)</v>
      </c>
      <c r="O1747" t="s">
        <v>237</v>
      </c>
      <c r="P1747" t="s">
        <v>976</v>
      </c>
      <c r="Q1747">
        <v>80</v>
      </c>
      <c r="R1747" t="s">
        <v>4651</v>
      </c>
      <c r="S1747" t="s">
        <v>2648</v>
      </c>
      <c r="T1747" t="s">
        <v>842</v>
      </c>
      <c r="U1747" t="s">
        <v>856</v>
      </c>
      <c r="W1747">
        <v>20</v>
      </c>
      <c r="X1747">
        <v>20</v>
      </c>
      <c r="Y1747" t="s">
        <v>844</v>
      </c>
      <c r="Z1747" t="s">
        <v>792</v>
      </c>
      <c r="AB1747" t="s">
        <v>793</v>
      </c>
      <c r="AD1747" t="s">
        <v>794</v>
      </c>
      <c r="AE1747" t="s">
        <v>795</v>
      </c>
      <c r="AF1747" t="s">
        <v>864</v>
      </c>
      <c r="AG1747" t="s">
        <v>861</v>
      </c>
      <c r="AH1747">
        <v>110000</v>
      </c>
      <c r="AI1747">
        <v>110000</v>
      </c>
      <c r="AJ1747">
        <v>2.9468753650944168E-3</v>
      </c>
    </row>
    <row r="1748" spans="1:36" x14ac:dyDescent="0.3">
      <c r="A1748">
        <f>COUNTIF($D$2:D1748,D1748)</f>
        <v>23</v>
      </c>
      <c r="B1748" t="str">
        <f t="shared" si="109"/>
        <v>23Redcar and Cleveland</v>
      </c>
      <c r="C1748" t="s">
        <v>5125</v>
      </c>
      <c r="D1748" t="s">
        <v>263</v>
      </c>
      <c r="E1748">
        <v>58</v>
      </c>
      <c r="F1748" t="s">
        <v>5126</v>
      </c>
      <c r="G1748" t="s">
        <v>800</v>
      </c>
      <c r="H1748" t="s">
        <v>903</v>
      </c>
      <c r="I1748" t="s">
        <v>802</v>
      </c>
      <c r="J1748">
        <f t="shared" ca="1" si="110"/>
        <v>76404</v>
      </c>
      <c r="K1748">
        <f t="shared" ca="1" si="111"/>
        <v>160</v>
      </c>
      <c r="N1748" t="str">
        <f t="shared" si="108"/>
        <v>North Somerset81Reablement in-reachBed based intermediate Care Services (Reablement, rehabilitation, wider short-term services supporting recovery)Bed-based intermediate care with reablement (to support discharge)</v>
      </c>
      <c r="O1748" t="s">
        <v>237</v>
      </c>
      <c r="P1748" t="s">
        <v>976</v>
      </c>
      <c r="Q1748">
        <v>81</v>
      </c>
      <c r="R1748" t="s">
        <v>4654</v>
      </c>
      <c r="S1748" t="s">
        <v>5127</v>
      </c>
      <c r="T1748" t="s">
        <v>877</v>
      </c>
      <c r="U1748" t="s">
        <v>878</v>
      </c>
      <c r="W1748">
        <v>25</v>
      </c>
      <c r="X1748">
        <v>25</v>
      </c>
      <c r="Y1748" t="s">
        <v>879</v>
      </c>
      <c r="Z1748" t="s">
        <v>792</v>
      </c>
      <c r="AB1748" t="s">
        <v>793</v>
      </c>
      <c r="AD1748" t="s">
        <v>794</v>
      </c>
      <c r="AE1748" t="s">
        <v>795</v>
      </c>
      <c r="AF1748" t="s">
        <v>864</v>
      </c>
      <c r="AG1748" t="s">
        <v>861</v>
      </c>
      <c r="AH1748">
        <v>609406</v>
      </c>
      <c r="AI1748">
        <v>609406</v>
      </c>
      <c r="AJ1748">
        <v>1.6325850261279345E-2</v>
      </c>
    </row>
    <row r="1749" spans="1:36" x14ac:dyDescent="0.3">
      <c r="A1749">
        <f>COUNTIF($D$2:D1749,D1749)</f>
        <v>24</v>
      </c>
      <c r="B1749" t="str">
        <f t="shared" si="109"/>
        <v>24Redcar and Cleveland</v>
      </c>
      <c r="C1749" t="s">
        <v>5128</v>
      </c>
      <c r="D1749" t="s">
        <v>263</v>
      </c>
      <c r="E1749">
        <v>62</v>
      </c>
      <c r="F1749" t="s">
        <v>5117</v>
      </c>
      <c r="G1749" t="s">
        <v>787</v>
      </c>
      <c r="H1749" t="s">
        <v>930</v>
      </c>
      <c r="I1749" t="s">
        <v>789</v>
      </c>
      <c r="J1749">
        <f t="shared" ca="1" si="110"/>
        <v>0</v>
      </c>
      <c r="K1749">
        <f t="shared" ca="1" si="111"/>
        <v>520</v>
      </c>
      <c r="N1749" t="str">
        <f t="shared" si="108"/>
        <v>North Somerset82Falls Pathway/Rapid ResponseHome Care or Domiciliary CareShort term domiciliary care (without reablement input)</v>
      </c>
      <c r="O1749" t="s">
        <v>237</v>
      </c>
      <c r="P1749" t="s">
        <v>976</v>
      </c>
      <c r="Q1749">
        <v>82</v>
      </c>
      <c r="R1749" t="s">
        <v>4656</v>
      </c>
      <c r="S1749" t="s">
        <v>2648</v>
      </c>
      <c r="T1749" t="s">
        <v>842</v>
      </c>
      <c r="U1749" t="s">
        <v>1102</v>
      </c>
      <c r="W1749">
        <v>50</v>
      </c>
      <c r="X1749">
        <v>50</v>
      </c>
      <c r="Y1749" t="s">
        <v>789</v>
      </c>
      <c r="Z1749" t="s">
        <v>823</v>
      </c>
      <c r="AB1749" t="s">
        <v>793</v>
      </c>
      <c r="AD1749" t="s">
        <v>794</v>
      </c>
      <c r="AE1749" t="s">
        <v>795</v>
      </c>
      <c r="AF1749" t="s">
        <v>864</v>
      </c>
      <c r="AG1749" t="s">
        <v>861</v>
      </c>
      <c r="AH1749">
        <v>0</v>
      </c>
      <c r="AI1749">
        <v>400000</v>
      </c>
      <c r="AJ1749">
        <v>0</v>
      </c>
    </row>
    <row r="1750" spans="1:36" x14ac:dyDescent="0.3">
      <c r="A1750">
        <f>COUNTIF($D$2:D1750,D1750)</f>
        <v>25</v>
      </c>
      <c r="B1750" t="str">
        <f t="shared" si="109"/>
        <v>25Redcar and Cleveland</v>
      </c>
      <c r="C1750" t="s">
        <v>5129</v>
      </c>
      <c r="D1750" t="s">
        <v>263</v>
      </c>
      <c r="E1750">
        <v>68</v>
      </c>
      <c r="F1750" t="s">
        <v>5119</v>
      </c>
      <c r="G1750" t="s">
        <v>877</v>
      </c>
      <c r="H1750" t="s">
        <v>1259</v>
      </c>
      <c r="I1750" t="s">
        <v>879</v>
      </c>
      <c r="J1750" t="e">
        <f t="shared" si="110"/>
        <v>#VALUE!</v>
      </c>
      <c r="K1750" t="e">
        <f t="shared" si="111"/>
        <v>#VALUE!</v>
      </c>
      <c r="N1750" t="str">
        <f t="shared" si="108"/>
        <v>North Somerset86Discharge Bed Capacity - ReablementBed based intermediate Care Services (Reablement, rehabilitation, wider short-term services supporting recovery)Bed-based intermediate care with reablement (to support admissions avoidance)</v>
      </c>
      <c r="O1750" t="s">
        <v>237</v>
      </c>
      <c r="P1750" t="s">
        <v>976</v>
      </c>
      <c r="Q1750">
        <v>86</v>
      </c>
      <c r="R1750" t="s">
        <v>1607</v>
      </c>
      <c r="S1750" t="s">
        <v>1726</v>
      </c>
      <c r="T1750" t="s">
        <v>877</v>
      </c>
      <c r="U1750" t="s">
        <v>995</v>
      </c>
      <c r="W1750">
        <v>59</v>
      </c>
      <c r="X1750">
        <v>59</v>
      </c>
      <c r="Y1750" t="s">
        <v>879</v>
      </c>
      <c r="Z1750" t="s">
        <v>823</v>
      </c>
      <c r="AB1750" t="s">
        <v>824</v>
      </c>
      <c r="AD1750" t="s">
        <v>794</v>
      </c>
      <c r="AE1750" t="s">
        <v>804</v>
      </c>
      <c r="AF1750" t="s">
        <v>860</v>
      </c>
      <c r="AG1750" t="s">
        <v>861</v>
      </c>
      <c r="AH1750">
        <v>372000</v>
      </c>
      <c r="AI1750">
        <v>372000</v>
      </c>
      <c r="AJ1750">
        <v>9.9657966892283904E-3</v>
      </c>
    </row>
    <row r="1751" spans="1:36" x14ac:dyDescent="0.3">
      <c r="A1751">
        <f>COUNTIF($D$2:D1751,D1751)</f>
        <v>26</v>
      </c>
      <c r="B1751" t="str">
        <f t="shared" si="109"/>
        <v>26Redcar and Cleveland</v>
      </c>
      <c r="C1751" t="s">
        <v>5130</v>
      </c>
      <c r="D1751" t="s">
        <v>263</v>
      </c>
      <c r="E1751">
        <v>69</v>
      </c>
      <c r="F1751" t="s">
        <v>5117</v>
      </c>
      <c r="G1751" t="s">
        <v>787</v>
      </c>
      <c r="H1751" t="s">
        <v>1688</v>
      </c>
      <c r="I1751" t="s">
        <v>789</v>
      </c>
      <c r="J1751">
        <f t="shared" ca="1" si="110"/>
        <v>0</v>
      </c>
      <c r="K1751">
        <f t="shared" ca="1" si="111"/>
        <v>207</v>
      </c>
      <c r="N1751" t="str">
        <f t="shared" si="108"/>
        <v>North Somerset87Therapy Bed supportBed based intermediate Care Services (Reablement, rehabilitation, wider short-term services supporting recovery)Bed-based intermediate care with reablement (to support discharge)</v>
      </c>
      <c r="O1751" t="s">
        <v>237</v>
      </c>
      <c r="P1751" t="s">
        <v>976</v>
      </c>
      <c r="Q1751">
        <v>87</v>
      </c>
      <c r="R1751" t="s">
        <v>1610</v>
      </c>
      <c r="S1751" t="s">
        <v>1729</v>
      </c>
      <c r="T1751" t="s">
        <v>877</v>
      </c>
      <c r="U1751" t="s">
        <v>878</v>
      </c>
      <c r="W1751">
        <v>25</v>
      </c>
      <c r="X1751">
        <v>25</v>
      </c>
      <c r="Y1751" t="s">
        <v>879</v>
      </c>
      <c r="Z1751" t="s">
        <v>823</v>
      </c>
      <c r="AB1751" t="s">
        <v>824</v>
      </c>
      <c r="AD1751" t="s">
        <v>794</v>
      </c>
      <c r="AE1751" t="s">
        <v>832</v>
      </c>
      <c r="AF1751" t="s">
        <v>860</v>
      </c>
      <c r="AG1751" t="s">
        <v>861</v>
      </c>
      <c r="AH1751">
        <v>156000</v>
      </c>
      <c r="AI1751">
        <v>156000</v>
      </c>
      <c r="AJ1751">
        <v>4.1792050632248091E-3</v>
      </c>
    </row>
    <row r="1752" spans="1:36" x14ac:dyDescent="0.3">
      <c r="A1752">
        <f>COUNTIF($D$2:D1752,D1752)</f>
        <v>1</v>
      </c>
      <c r="B1752" t="str">
        <f t="shared" si="109"/>
        <v>1Richmond upon Thames</v>
      </c>
      <c r="C1752" t="s">
        <v>5131</v>
      </c>
      <c r="D1752" t="s">
        <v>265</v>
      </c>
      <c r="E1752">
        <v>22</v>
      </c>
      <c r="F1752" t="s">
        <v>5132</v>
      </c>
      <c r="G1752" t="s">
        <v>787</v>
      </c>
      <c r="H1752" t="s">
        <v>930</v>
      </c>
      <c r="I1752" t="s">
        <v>789</v>
      </c>
      <c r="J1752">
        <f t="shared" ca="1" si="110"/>
        <v>1539374.1800000002</v>
      </c>
      <c r="K1752">
        <f t="shared" ca="1" si="111"/>
        <v>1490</v>
      </c>
      <c r="N1752" t="str">
        <f t="shared" si="108"/>
        <v>North Tyneside6Intermediate Care - commmunity basedHome-based intermediate care servicesRehabilitation at home (to support discharge)</v>
      </c>
      <c r="O1752" t="s">
        <v>239</v>
      </c>
      <c r="P1752" t="s">
        <v>2195</v>
      </c>
      <c r="Q1752">
        <v>6</v>
      </c>
      <c r="R1752" t="s">
        <v>4660</v>
      </c>
      <c r="S1752" t="s">
        <v>5133</v>
      </c>
      <c r="T1752" t="s">
        <v>787</v>
      </c>
      <c r="U1752" t="s">
        <v>1195</v>
      </c>
      <c r="W1752">
        <v>400</v>
      </c>
      <c r="X1752">
        <v>400</v>
      </c>
      <c r="Y1752" t="s">
        <v>789</v>
      </c>
      <c r="Z1752" t="s">
        <v>792</v>
      </c>
      <c r="AB1752" t="s">
        <v>793</v>
      </c>
      <c r="AD1752" t="s">
        <v>794</v>
      </c>
      <c r="AE1752" t="s">
        <v>795</v>
      </c>
      <c r="AF1752" t="s">
        <v>796</v>
      </c>
      <c r="AG1752" t="s">
        <v>797</v>
      </c>
      <c r="AH1752">
        <v>963456</v>
      </c>
      <c r="AI1752">
        <v>1017988</v>
      </c>
      <c r="AJ1752">
        <v>1</v>
      </c>
    </row>
    <row r="1753" spans="1:36" x14ac:dyDescent="0.3">
      <c r="A1753">
        <f>COUNTIF($D$2:D1753,D1753)</f>
        <v>2</v>
      </c>
      <c r="B1753" t="str">
        <f t="shared" si="109"/>
        <v>2Richmond upon Thames</v>
      </c>
      <c r="C1753" t="s">
        <v>5134</v>
      </c>
      <c r="D1753" t="s">
        <v>265</v>
      </c>
      <c r="E1753">
        <v>33</v>
      </c>
      <c r="F1753" t="s">
        <v>5135</v>
      </c>
      <c r="G1753" t="s">
        <v>842</v>
      </c>
      <c r="H1753" t="s">
        <v>1102</v>
      </c>
      <c r="I1753" t="s">
        <v>789</v>
      </c>
      <c r="J1753">
        <f t="shared" ca="1" si="110"/>
        <v>228342.54</v>
      </c>
      <c r="K1753">
        <f t="shared" ca="1" si="111"/>
        <v>100</v>
      </c>
      <c r="N1753" t="str">
        <f t="shared" si="108"/>
        <v>North Tyneside9Carers SupportCarers ServicesCarer advice and support related to Care Act duties</v>
      </c>
      <c r="O1753" t="s">
        <v>239</v>
      </c>
      <c r="P1753" t="s">
        <v>2195</v>
      </c>
      <c r="Q1753">
        <v>9</v>
      </c>
      <c r="R1753" t="s">
        <v>1781</v>
      </c>
      <c r="S1753" t="s">
        <v>1781</v>
      </c>
      <c r="T1753" t="s">
        <v>811</v>
      </c>
      <c r="U1753" t="s">
        <v>895</v>
      </c>
      <c r="W1753">
        <v>5000</v>
      </c>
      <c r="X1753">
        <v>5000</v>
      </c>
      <c r="Y1753" t="s">
        <v>813</v>
      </c>
      <c r="Z1753" t="s">
        <v>792</v>
      </c>
      <c r="AB1753" t="s">
        <v>793</v>
      </c>
      <c r="AD1753" t="s">
        <v>794</v>
      </c>
      <c r="AE1753" t="s">
        <v>825</v>
      </c>
      <c r="AF1753" t="s">
        <v>796</v>
      </c>
      <c r="AG1753" t="s">
        <v>797</v>
      </c>
      <c r="AH1753">
        <v>749107</v>
      </c>
      <c r="AI1753">
        <v>791507</v>
      </c>
      <c r="AJ1753">
        <v>0.2</v>
      </c>
    </row>
    <row r="1754" spans="1:36" x14ac:dyDescent="0.3">
      <c r="A1754">
        <f>COUNTIF($D$2:D1754,D1754)</f>
        <v>3</v>
      </c>
      <c r="B1754" t="str">
        <f t="shared" si="109"/>
        <v>3Richmond upon Thames</v>
      </c>
      <c r="C1754" t="s">
        <v>5136</v>
      </c>
      <c r="D1754" t="s">
        <v>265</v>
      </c>
      <c r="E1754">
        <v>33</v>
      </c>
      <c r="F1754" t="s">
        <v>5137</v>
      </c>
      <c r="G1754" t="s">
        <v>842</v>
      </c>
      <c r="H1754" t="s">
        <v>1102</v>
      </c>
      <c r="I1754" t="s">
        <v>789</v>
      </c>
      <c r="J1754">
        <f t="shared" ca="1" si="110"/>
        <v>62167</v>
      </c>
      <c r="K1754">
        <f t="shared" ca="1" si="111"/>
        <v>34</v>
      </c>
      <c r="N1754" t="str">
        <f t="shared" si="108"/>
        <v>North Tyneside12Intermediate Care bedsBed based intermediate Care Services (Reablement, rehabilitation, wider short-term services supporting recovery)Bed-based intermediate care with rehabilitation (to support discharge)</v>
      </c>
      <c r="O1754" t="s">
        <v>239</v>
      </c>
      <c r="P1754" t="s">
        <v>2195</v>
      </c>
      <c r="Q1754">
        <v>12</v>
      </c>
      <c r="R1754" t="s">
        <v>2423</v>
      </c>
      <c r="S1754" t="s">
        <v>5138</v>
      </c>
      <c r="T1754" t="s">
        <v>877</v>
      </c>
      <c r="U1754" t="s">
        <v>968</v>
      </c>
      <c r="W1754">
        <v>40</v>
      </c>
      <c r="X1754">
        <v>40</v>
      </c>
      <c r="Y1754" t="s">
        <v>879</v>
      </c>
      <c r="Z1754" t="s">
        <v>823</v>
      </c>
      <c r="AB1754" t="s">
        <v>824</v>
      </c>
      <c r="AD1754" t="s">
        <v>794</v>
      </c>
      <c r="AE1754" t="s">
        <v>832</v>
      </c>
      <c r="AF1754" t="s">
        <v>796</v>
      </c>
      <c r="AG1754" t="s">
        <v>797</v>
      </c>
      <c r="AH1754">
        <v>3616877</v>
      </c>
      <c r="AI1754">
        <v>3821592</v>
      </c>
      <c r="AJ1754">
        <v>1</v>
      </c>
    </row>
    <row r="1755" spans="1:36" x14ac:dyDescent="0.3">
      <c r="A1755">
        <f>COUNTIF($D$2:D1755,D1755)</f>
        <v>4</v>
      </c>
      <c r="B1755" t="str">
        <f t="shared" si="109"/>
        <v>4Richmond upon Thames</v>
      </c>
      <c r="C1755" t="s">
        <v>5139</v>
      </c>
      <c r="D1755" t="s">
        <v>265</v>
      </c>
      <c r="E1755">
        <v>34</v>
      </c>
      <c r="F1755" t="s">
        <v>5140</v>
      </c>
      <c r="G1755" t="s">
        <v>800</v>
      </c>
      <c r="H1755" t="s">
        <v>903</v>
      </c>
      <c r="I1755" t="s">
        <v>802</v>
      </c>
      <c r="J1755">
        <f t="shared" ca="1" si="110"/>
        <v>808469.11</v>
      </c>
      <c r="K1755">
        <f t="shared" ca="1" si="111"/>
        <v>661</v>
      </c>
      <c r="N1755" t="str">
        <f t="shared" si="108"/>
        <v>North Tyneside15Step down beds - residentialResidential PlacementsCare home</v>
      </c>
      <c r="O1755" t="s">
        <v>239</v>
      </c>
      <c r="P1755" t="s">
        <v>2195</v>
      </c>
      <c r="Q1755">
        <v>15</v>
      </c>
      <c r="R1755" t="s">
        <v>4666</v>
      </c>
      <c r="S1755" t="s">
        <v>4666</v>
      </c>
      <c r="T1755" t="s">
        <v>806</v>
      </c>
      <c r="U1755" t="s">
        <v>807</v>
      </c>
      <c r="W1755">
        <v>10</v>
      </c>
      <c r="X1755">
        <v>10</v>
      </c>
      <c r="Y1755" t="s">
        <v>808</v>
      </c>
      <c r="Z1755" t="s">
        <v>792</v>
      </c>
      <c r="AB1755" t="s">
        <v>793</v>
      </c>
      <c r="AD1755" t="s">
        <v>794</v>
      </c>
      <c r="AE1755" t="s">
        <v>804</v>
      </c>
      <c r="AF1755" t="s">
        <v>864</v>
      </c>
      <c r="AG1755" t="s">
        <v>797</v>
      </c>
      <c r="AH1755">
        <v>557409</v>
      </c>
      <c r="AI1755">
        <v>573573</v>
      </c>
      <c r="AJ1755">
        <v>0.5</v>
      </c>
    </row>
    <row r="1756" spans="1:36" x14ac:dyDescent="0.3">
      <c r="A1756">
        <f>COUNTIF($D$2:D1756,D1756)</f>
        <v>5</v>
      </c>
      <c r="B1756" t="str">
        <f t="shared" si="109"/>
        <v>5Richmond upon Thames</v>
      </c>
      <c r="C1756" t="s">
        <v>5141</v>
      </c>
      <c r="D1756" t="s">
        <v>265</v>
      </c>
      <c r="E1756">
        <v>41</v>
      </c>
      <c r="F1756" t="s">
        <v>1802</v>
      </c>
      <c r="G1756" t="s">
        <v>842</v>
      </c>
      <c r="H1756" t="s">
        <v>856</v>
      </c>
      <c r="I1756" t="s">
        <v>844</v>
      </c>
      <c r="J1756">
        <f t="shared" ca="1" si="110"/>
        <v>1732493.28</v>
      </c>
      <c r="K1756">
        <f t="shared" ca="1" si="111"/>
        <v>92300</v>
      </c>
      <c r="N1756" t="str">
        <f t="shared" si="108"/>
        <v>North Tyneside16Step down - extra careHome Care or Domiciliary CareDomiciliary care packages</v>
      </c>
      <c r="O1756" t="s">
        <v>239</v>
      </c>
      <c r="P1756" t="s">
        <v>2195</v>
      </c>
      <c r="Q1756">
        <v>16</v>
      </c>
      <c r="R1756" t="s">
        <v>4669</v>
      </c>
      <c r="S1756" t="s">
        <v>5142</v>
      </c>
      <c r="T1756" t="s">
        <v>842</v>
      </c>
      <c r="U1756" t="s">
        <v>843</v>
      </c>
      <c r="W1756">
        <v>7800</v>
      </c>
      <c r="X1756">
        <v>10920</v>
      </c>
      <c r="Y1756" t="s">
        <v>844</v>
      </c>
      <c r="Z1756" t="s">
        <v>792</v>
      </c>
      <c r="AB1756" t="s">
        <v>793</v>
      </c>
      <c r="AD1756" t="s">
        <v>794</v>
      </c>
      <c r="AE1756" t="s">
        <v>825</v>
      </c>
      <c r="AF1756" t="s">
        <v>864</v>
      </c>
      <c r="AG1756" t="s">
        <v>797</v>
      </c>
      <c r="AH1756">
        <v>504775</v>
      </c>
      <c r="AI1756">
        <v>750761</v>
      </c>
      <c r="AJ1756">
        <v>0.74</v>
      </c>
    </row>
    <row r="1757" spans="1:36" x14ac:dyDescent="0.3">
      <c r="A1757">
        <f>COUNTIF($D$2:D1757,D1757)</f>
        <v>6</v>
      </c>
      <c r="B1757" t="str">
        <f t="shared" si="109"/>
        <v>6Richmond upon Thames</v>
      </c>
      <c r="C1757" t="s">
        <v>5143</v>
      </c>
      <c r="D1757" t="s">
        <v>265</v>
      </c>
      <c r="E1757">
        <v>43</v>
      </c>
      <c r="F1757" t="s">
        <v>5144</v>
      </c>
      <c r="G1757" t="s">
        <v>806</v>
      </c>
      <c r="H1757" t="s">
        <v>807</v>
      </c>
      <c r="I1757" t="s">
        <v>808</v>
      </c>
      <c r="J1757">
        <f t="shared" ca="1" si="110"/>
        <v>1599506.44</v>
      </c>
      <c r="K1757">
        <f t="shared" ca="1" si="111"/>
        <v>25</v>
      </c>
      <c r="N1757" t="str">
        <f t="shared" si="108"/>
        <v>North Tyneside17Homecare capacityHome Care or Domiciliary CareDomiciliary care packages</v>
      </c>
      <c r="O1757" t="s">
        <v>239</v>
      </c>
      <c r="P1757" t="s">
        <v>2195</v>
      </c>
      <c r="Q1757">
        <v>17</v>
      </c>
      <c r="R1757" t="s">
        <v>4671</v>
      </c>
      <c r="S1757" t="s">
        <v>5145</v>
      </c>
      <c r="T1757" t="s">
        <v>842</v>
      </c>
      <c r="U1757" t="s">
        <v>843</v>
      </c>
      <c r="W1757">
        <v>9360</v>
      </c>
      <c r="X1757">
        <v>18720</v>
      </c>
      <c r="Y1757" t="s">
        <v>844</v>
      </c>
      <c r="Z1757" t="s">
        <v>792</v>
      </c>
      <c r="AB1757" t="s">
        <v>793</v>
      </c>
      <c r="AD1757" t="s">
        <v>794</v>
      </c>
      <c r="AE1757" t="s">
        <v>795</v>
      </c>
      <c r="AF1757" t="s">
        <v>864</v>
      </c>
      <c r="AG1757" t="s">
        <v>861</v>
      </c>
      <c r="AH1757">
        <v>209855</v>
      </c>
      <c r="AI1757">
        <v>485000</v>
      </c>
      <c r="AJ1757">
        <v>0.03</v>
      </c>
    </row>
    <row r="1758" spans="1:36" x14ac:dyDescent="0.3">
      <c r="A1758">
        <f>COUNTIF($D$2:D1758,D1758)</f>
        <v>7</v>
      </c>
      <c r="B1758" t="str">
        <f t="shared" si="109"/>
        <v>7Richmond upon Thames</v>
      </c>
      <c r="C1758" t="s">
        <v>5146</v>
      </c>
      <c r="D1758" t="s">
        <v>265</v>
      </c>
      <c r="E1758">
        <v>51</v>
      </c>
      <c r="F1758" t="s">
        <v>1399</v>
      </c>
      <c r="G1758" t="s">
        <v>811</v>
      </c>
      <c r="H1758" t="s">
        <v>830</v>
      </c>
      <c r="I1758" t="s">
        <v>813</v>
      </c>
      <c r="J1758">
        <f t="shared" ca="1" si="110"/>
        <v>501046.06</v>
      </c>
      <c r="K1758">
        <f t="shared" ca="1" si="111"/>
        <v>6120</v>
      </c>
      <c r="N1758" t="str">
        <f t="shared" si="108"/>
        <v>North Tyneside21Step down beds - nursingResidential PlacementsNursing home</v>
      </c>
      <c r="O1758" t="s">
        <v>239</v>
      </c>
      <c r="P1758" t="s">
        <v>2195</v>
      </c>
      <c r="Q1758">
        <v>21</v>
      </c>
      <c r="R1758" t="s">
        <v>4673</v>
      </c>
      <c r="S1758" t="s">
        <v>4673</v>
      </c>
      <c r="T1758" t="s">
        <v>806</v>
      </c>
      <c r="U1758" t="s">
        <v>917</v>
      </c>
      <c r="W1758">
        <v>10</v>
      </c>
      <c r="X1758">
        <v>10</v>
      </c>
      <c r="Y1758" t="s">
        <v>808</v>
      </c>
      <c r="Z1758" t="s">
        <v>792</v>
      </c>
      <c r="AB1758" t="s">
        <v>793</v>
      </c>
      <c r="AD1758" t="s">
        <v>794</v>
      </c>
      <c r="AE1758" t="s">
        <v>804</v>
      </c>
      <c r="AF1758" t="s">
        <v>860</v>
      </c>
      <c r="AG1758" t="s">
        <v>797</v>
      </c>
      <c r="AH1758">
        <v>557409</v>
      </c>
      <c r="AI1758">
        <v>573573</v>
      </c>
      <c r="AJ1758">
        <v>0.5</v>
      </c>
    </row>
    <row r="1759" spans="1:36" x14ac:dyDescent="0.3">
      <c r="A1759">
        <f>COUNTIF($D$2:D1759,D1759)</f>
        <v>8</v>
      </c>
      <c r="B1759" t="str">
        <f t="shared" si="109"/>
        <v>8Richmond upon Thames</v>
      </c>
      <c r="C1759" t="s">
        <v>5147</v>
      </c>
      <c r="D1759" t="s">
        <v>265</v>
      </c>
      <c r="E1759">
        <v>52</v>
      </c>
      <c r="F1759" t="s">
        <v>5148</v>
      </c>
      <c r="G1759" t="s">
        <v>811</v>
      </c>
      <c r="H1759" t="s">
        <v>895</v>
      </c>
      <c r="I1759" t="s">
        <v>813</v>
      </c>
      <c r="J1759">
        <f t="shared" ca="1" si="110"/>
        <v>108854</v>
      </c>
      <c r="K1759">
        <f t="shared" ca="1" si="111"/>
        <v>2298</v>
      </c>
      <c r="N1759" t="str">
        <f t="shared" si="108"/>
        <v>North Tyneside23Low level voluntary sector supportCommunity Based SchemesLow level support for simple hospital discharges (Discharge to Assess pathway 0)</v>
      </c>
      <c r="O1759" t="s">
        <v>239</v>
      </c>
      <c r="P1759" t="s">
        <v>2195</v>
      </c>
      <c r="Q1759">
        <v>23</v>
      </c>
      <c r="R1759" t="s">
        <v>4676</v>
      </c>
      <c r="S1759" t="s">
        <v>5149</v>
      </c>
      <c r="T1759" t="s">
        <v>1453</v>
      </c>
      <c r="U1759" t="s">
        <v>4677</v>
      </c>
      <c r="W1759">
        <v>300</v>
      </c>
      <c r="X1759">
        <v>1000</v>
      </c>
      <c r="Y1759" t="s">
        <v>794</v>
      </c>
      <c r="Z1759" t="s">
        <v>792</v>
      </c>
      <c r="AB1759" t="s">
        <v>793</v>
      </c>
      <c r="AD1759" t="s">
        <v>794</v>
      </c>
      <c r="AE1759" t="s">
        <v>825</v>
      </c>
      <c r="AF1759" t="s">
        <v>860</v>
      </c>
      <c r="AG1759" t="s">
        <v>861</v>
      </c>
      <c r="AH1759">
        <v>35000</v>
      </c>
      <c r="AI1759">
        <v>100000</v>
      </c>
      <c r="AJ1759">
        <v>0.33</v>
      </c>
    </row>
    <row r="1760" spans="1:36" x14ac:dyDescent="0.3">
      <c r="A1760">
        <f>COUNTIF($D$2:D1760,D1760)</f>
        <v>9</v>
      </c>
      <c r="B1760" t="str">
        <f t="shared" si="109"/>
        <v>9Richmond upon Thames</v>
      </c>
      <c r="C1760" t="s">
        <v>5150</v>
      </c>
      <c r="D1760" t="s">
        <v>265</v>
      </c>
      <c r="E1760">
        <v>61</v>
      </c>
      <c r="F1760" t="s">
        <v>5151</v>
      </c>
      <c r="G1760" t="s">
        <v>834</v>
      </c>
      <c r="H1760" t="s">
        <v>835</v>
      </c>
      <c r="I1760" t="s">
        <v>836</v>
      </c>
      <c r="J1760">
        <f t="shared" ca="1" si="110"/>
        <v>1925738</v>
      </c>
      <c r="K1760">
        <f t="shared" ca="1" si="111"/>
        <v>184</v>
      </c>
      <c r="N1760" t="str">
        <f t="shared" si="108"/>
        <v>North Tyneside29Disabled Facilities GrantDFG Related SchemesAdaptations, including statutory DFG grants</v>
      </c>
      <c r="O1760" t="s">
        <v>239</v>
      </c>
      <c r="P1760" t="s">
        <v>2195</v>
      </c>
      <c r="Q1760">
        <v>29</v>
      </c>
      <c r="R1760" t="s">
        <v>891</v>
      </c>
      <c r="S1760" t="s">
        <v>891</v>
      </c>
      <c r="T1760" t="s">
        <v>834</v>
      </c>
      <c r="U1760" t="s">
        <v>835</v>
      </c>
      <c r="W1760">
        <v>55</v>
      </c>
      <c r="X1760">
        <v>55</v>
      </c>
      <c r="Y1760" t="s">
        <v>836</v>
      </c>
      <c r="Z1760" t="s">
        <v>792</v>
      </c>
      <c r="AB1760" t="s">
        <v>793</v>
      </c>
      <c r="AD1760" t="s">
        <v>794</v>
      </c>
      <c r="AE1760" t="s">
        <v>795</v>
      </c>
      <c r="AF1760" t="s">
        <v>840</v>
      </c>
      <c r="AG1760" t="s">
        <v>797</v>
      </c>
      <c r="AH1760">
        <v>1869024</v>
      </c>
      <c r="AI1760">
        <v>1869024</v>
      </c>
      <c r="AJ1760">
        <v>0.6</v>
      </c>
    </row>
    <row r="1761" spans="1:36" x14ac:dyDescent="0.3">
      <c r="A1761">
        <f>COUNTIF($D$2:D1761,D1761)</f>
        <v>1</v>
      </c>
      <c r="B1761" t="str">
        <f t="shared" si="109"/>
        <v>1Rochdale</v>
      </c>
      <c r="C1761" t="s">
        <v>5152</v>
      </c>
      <c r="D1761" t="s">
        <v>267</v>
      </c>
      <c r="E1761">
        <v>3</v>
      </c>
      <c r="F1761" t="s">
        <v>5153</v>
      </c>
      <c r="G1761" t="s">
        <v>811</v>
      </c>
      <c r="H1761" t="s">
        <v>895</v>
      </c>
      <c r="I1761" t="s">
        <v>813</v>
      </c>
      <c r="J1761">
        <f t="shared" ca="1" si="110"/>
        <v>399684</v>
      </c>
      <c r="K1761">
        <f t="shared" ca="1" si="111"/>
        <v>712</v>
      </c>
      <c r="N1761" t="str">
        <f t="shared" si="108"/>
        <v>North Yorkshire7iBCF - Care &amp; Support Phase 2Carers ServicesCarer advice and support related to Care Act duties</v>
      </c>
      <c r="O1761" t="s">
        <v>241</v>
      </c>
      <c r="P1761" t="s">
        <v>922</v>
      </c>
      <c r="Q1761">
        <v>7</v>
      </c>
      <c r="R1761" t="s">
        <v>4682</v>
      </c>
      <c r="S1761" t="s">
        <v>5154</v>
      </c>
      <c r="T1761" t="s">
        <v>811</v>
      </c>
      <c r="U1761" t="s">
        <v>895</v>
      </c>
      <c r="W1761">
        <v>25</v>
      </c>
      <c r="X1761">
        <v>25</v>
      </c>
      <c r="Y1761" t="s">
        <v>813</v>
      </c>
      <c r="Z1761" t="s">
        <v>792</v>
      </c>
      <c r="AB1761" t="s">
        <v>793</v>
      </c>
      <c r="AD1761" t="s">
        <v>794</v>
      </c>
      <c r="AE1761" t="s">
        <v>795</v>
      </c>
      <c r="AF1761" t="s">
        <v>845</v>
      </c>
      <c r="AG1761" t="s">
        <v>861</v>
      </c>
      <c r="AH1761">
        <v>990000</v>
      </c>
      <c r="AI1761">
        <v>990000</v>
      </c>
      <c r="AJ1761">
        <v>0</v>
      </c>
    </row>
    <row r="1762" spans="1:36" x14ac:dyDescent="0.3">
      <c r="A1762">
        <f>COUNTIF($D$2:D1762,D1762)</f>
        <v>2</v>
      </c>
      <c r="B1762" t="str">
        <f t="shared" si="109"/>
        <v>2Rochdale</v>
      </c>
      <c r="C1762" t="s">
        <v>5155</v>
      </c>
      <c r="D1762" t="s">
        <v>267</v>
      </c>
      <c r="E1762">
        <v>3</v>
      </c>
      <c r="F1762" t="s">
        <v>5156</v>
      </c>
      <c r="G1762" t="s">
        <v>811</v>
      </c>
      <c r="H1762" t="s">
        <v>812</v>
      </c>
      <c r="I1762" t="s">
        <v>813</v>
      </c>
      <c r="J1762">
        <f t="shared" ca="1" si="110"/>
        <v>84315</v>
      </c>
      <c r="K1762">
        <f t="shared" ca="1" si="111"/>
        <v>60</v>
      </c>
      <c r="N1762" t="str">
        <f t="shared" si="108"/>
        <v>North Yorkshire8DFG schemesDFG Related SchemesAdaptations, including statutory DFG grants</v>
      </c>
      <c r="O1762" t="s">
        <v>241</v>
      </c>
      <c r="P1762" t="s">
        <v>922</v>
      </c>
      <c r="Q1762">
        <v>8</v>
      </c>
      <c r="R1762" t="s">
        <v>4684</v>
      </c>
      <c r="S1762" t="s">
        <v>5157</v>
      </c>
      <c r="T1762" t="s">
        <v>834</v>
      </c>
      <c r="U1762" t="s">
        <v>835</v>
      </c>
      <c r="W1762">
        <v>726</v>
      </c>
      <c r="X1762">
        <v>798</v>
      </c>
      <c r="Y1762" t="s">
        <v>836</v>
      </c>
      <c r="Z1762" t="s">
        <v>792</v>
      </c>
      <c r="AB1762" t="s">
        <v>793</v>
      </c>
      <c r="AD1762" t="s">
        <v>794</v>
      </c>
      <c r="AE1762" t="s">
        <v>795</v>
      </c>
      <c r="AF1762" t="s">
        <v>840</v>
      </c>
      <c r="AG1762" t="s">
        <v>797</v>
      </c>
      <c r="AH1762">
        <v>5114924</v>
      </c>
      <c r="AI1762">
        <v>5114924</v>
      </c>
      <c r="AJ1762">
        <v>1</v>
      </c>
    </row>
    <row r="1763" spans="1:36" x14ac:dyDescent="0.3">
      <c r="A1763">
        <f>COUNTIF($D$2:D1763,D1763)</f>
        <v>3</v>
      </c>
      <c r="B1763" t="str">
        <f t="shared" si="109"/>
        <v>3Rochdale</v>
      </c>
      <c r="C1763" t="s">
        <v>5158</v>
      </c>
      <c r="D1763" t="s">
        <v>267</v>
      </c>
      <c r="E1763">
        <v>12</v>
      </c>
      <c r="F1763" t="s">
        <v>5159</v>
      </c>
      <c r="G1763" t="s">
        <v>800</v>
      </c>
      <c r="H1763" t="s">
        <v>903</v>
      </c>
      <c r="I1763" t="s">
        <v>802</v>
      </c>
      <c r="J1763">
        <f t="shared" ca="1" si="110"/>
        <v>1034620</v>
      </c>
      <c r="K1763">
        <f t="shared" ca="1" si="111"/>
        <v>8027</v>
      </c>
      <c r="N1763" t="str">
        <f t="shared" si="108"/>
        <v>North Yorkshire12Bed-based intermediate careBed based intermediate Care Services (Reablement, rehabilitation, wider short-term services supporting recovery)Bed-based intermediate care with reablement (to support discharge)</v>
      </c>
      <c r="O1763" t="s">
        <v>241</v>
      </c>
      <c r="P1763" t="s">
        <v>922</v>
      </c>
      <c r="Q1763">
        <v>12</v>
      </c>
      <c r="R1763" t="s">
        <v>4687</v>
      </c>
      <c r="S1763" t="s">
        <v>5160</v>
      </c>
      <c r="T1763" t="s">
        <v>877</v>
      </c>
      <c r="U1763" t="s">
        <v>878</v>
      </c>
      <c r="W1763">
        <v>22</v>
      </c>
      <c r="X1763">
        <v>22</v>
      </c>
      <c r="Y1763" t="s">
        <v>879</v>
      </c>
      <c r="Z1763" t="s">
        <v>792</v>
      </c>
      <c r="AB1763" t="s">
        <v>793</v>
      </c>
      <c r="AD1763" t="s">
        <v>794</v>
      </c>
      <c r="AE1763" t="s">
        <v>795</v>
      </c>
      <c r="AF1763" t="s">
        <v>864</v>
      </c>
      <c r="AG1763" t="s">
        <v>797</v>
      </c>
      <c r="AH1763">
        <v>1016143</v>
      </c>
      <c r="AI1763">
        <v>1016143</v>
      </c>
      <c r="AJ1763">
        <v>0.41</v>
      </c>
    </row>
    <row r="1764" spans="1:36" x14ac:dyDescent="0.3">
      <c r="A1764">
        <f>COUNTIF($D$2:D1764,D1764)</f>
        <v>4</v>
      </c>
      <c r="B1764" t="str">
        <f t="shared" si="109"/>
        <v>4Rochdale</v>
      </c>
      <c r="C1764" t="s">
        <v>5161</v>
      </c>
      <c r="D1764" t="s">
        <v>267</v>
      </c>
      <c r="E1764">
        <v>12</v>
      </c>
      <c r="F1764" t="s">
        <v>5162</v>
      </c>
      <c r="G1764" t="s">
        <v>842</v>
      </c>
      <c r="H1764" t="s">
        <v>856</v>
      </c>
      <c r="I1764" t="s">
        <v>844</v>
      </c>
      <c r="J1764">
        <f t="shared" ca="1" si="110"/>
        <v>202910</v>
      </c>
      <c r="K1764">
        <f t="shared" ca="1" si="111"/>
        <v>9400</v>
      </c>
      <c r="N1764" t="str">
        <f t="shared" si="108"/>
        <v>North Yorkshire13Flexible Domiciliary CareHome Care or Domiciliary CareDomiciliary care to support hospital discharge (Discharge to Assess pathway 1)</v>
      </c>
      <c r="O1764" t="s">
        <v>241</v>
      </c>
      <c r="P1764" t="s">
        <v>922</v>
      </c>
      <c r="Q1764">
        <v>13</v>
      </c>
      <c r="R1764" t="s">
        <v>4690</v>
      </c>
      <c r="S1764" t="s">
        <v>5163</v>
      </c>
      <c r="T1764" t="s">
        <v>842</v>
      </c>
      <c r="U1764" t="s">
        <v>856</v>
      </c>
      <c r="W1764">
        <v>10333</v>
      </c>
      <c r="X1764">
        <v>10333</v>
      </c>
      <c r="Y1764" t="s">
        <v>844</v>
      </c>
      <c r="Z1764" t="s">
        <v>792</v>
      </c>
      <c r="AB1764" t="s">
        <v>793</v>
      </c>
      <c r="AD1764" t="s">
        <v>794</v>
      </c>
      <c r="AE1764" t="s">
        <v>795</v>
      </c>
      <c r="AF1764" t="s">
        <v>864</v>
      </c>
      <c r="AG1764" t="s">
        <v>861</v>
      </c>
      <c r="AH1764">
        <v>275000</v>
      </c>
      <c r="AI1764">
        <v>275000</v>
      </c>
      <c r="AJ1764">
        <v>0</v>
      </c>
    </row>
    <row r="1765" spans="1:36" x14ac:dyDescent="0.3">
      <c r="A1765">
        <f>COUNTIF($D$2:D1765,D1765)</f>
        <v>5</v>
      </c>
      <c r="B1765" t="str">
        <f t="shared" si="109"/>
        <v>5Rochdale</v>
      </c>
      <c r="C1765" t="s">
        <v>5164</v>
      </c>
      <c r="D1765" t="s">
        <v>267</v>
      </c>
      <c r="E1765">
        <v>11</v>
      </c>
      <c r="F1765" t="s">
        <v>5165</v>
      </c>
      <c r="G1765" t="s">
        <v>877</v>
      </c>
      <c r="H1765" t="s">
        <v>878</v>
      </c>
      <c r="I1765" t="s">
        <v>879</v>
      </c>
      <c r="J1765">
        <f t="shared" ca="1" si="110"/>
        <v>6263680</v>
      </c>
      <c r="K1765">
        <f t="shared" ca="1" si="111"/>
        <v>356</v>
      </c>
      <c r="N1765" t="str">
        <f t="shared" si="108"/>
        <v>North Yorkshire15VOY - Hospice at Home (extended hours)Home Care or Domiciliary CareDomiciliary care to support hospital discharge (Discharge to Assess pathway 1)</v>
      </c>
      <c r="O1765" t="s">
        <v>241</v>
      </c>
      <c r="P1765" t="s">
        <v>922</v>
      </c>
      <c r="Q1765">
        <v>15</v>
      </c>
      <c r="R1765" t="s">
        <v>4693</v>
      </c>
      <c r="S1765" t="s">
        <v>5166</v>
      </c>
      <c r="T1765" t="s">
        <v>842</v>
      </c>
      <c r="U1765" t="s">
        <v>856</v>
      </c>
      <c r="W1765">
        <v>6328</v>
      </c>
      <c r="X1765">
        <v>6442</v>
      </c>
      <c r="Y1765" t="s">
        <v>844</v>
      </c>
      <c r="Z1765" t="s">
        <v>823</v>
      </c>
      <c r="AB1765" t="s">
        <v>824</v>
      </c>
      <c r="AD1765" t="s">
        <v>794</v>
      </c>
      <c r="AE1765" t="s">
        <v>825</v>
      </c>
      <c r="AF1765" t="s">
        <v>796</v>
      </c>
      <c r="AG1765" t="s">
        <v>797</v>
      </c>
      <c r="AH1765">
        <v>189857</v>
      </c>
      <c r="AI1765">
        <v>193274</v>
      </c>
      <c r="AJ1765">
        <v>0</v>
      </c>
    </row>
    <row r="1766" spans="1:36" x14ac:dyDescent="0.3">
      <c r="A1766">
        <f>COUNTIF($D$2:D1766,D1766)</f>
        <v>6</v>
      </c>
      <c r="B1766" t="str">
        <f t="shared" si="109"/>
        <v>6Rochdale</v>
      </c>
      <c r="C1766" t="s">
        <v>5167</v>
      </c>
      <c r="D1766" t="s">
        <v>267</v>
      </c>
      <c r="E1766">
        <v>11</v>
      </c>
      <c r="F1766" t="s">
        <v>5168</v>
      </c>
      <c r="G1766" t="s">
        <v>877</v>
      </c>
      <c r="H1766" t="s">
        <v>878</v>
      </c>
      <c r="I1766" t="s">
        <v>879</v>
      </c>
      <c r="J1766">
        <f t="shared" ca="1" si="110"/>
        <v>78295</v>
      </c>
      <c r="K1766">
        <f t="shared" ca="1" si="111"/>
        <v>4</v>
      </c>
      <c r="N1766" t="str">
        <f t="shared" si="108"/>
        <v>North Yorkshire19VOY - s256 care home supportHome Care or Domiciliary CareDomiciliary care to support hospital discharge (Discharge to Assess pathway 1)</v>
      </c>
      <c r="O1766" t="s">
        <v>241</v>
      </c>
      <c r="P1766" t="s">
        <v>922</v>
      </c>
      <c r="Q1766">
        <v>19</v>
      </c>
      <c r="R1766" t="s">
        <v>4696</v>
      </c>
      <c r="S1766" t="s">
        <v>5166</v>
      </c>
      <c r="T1766" t="s">
        <v>842</v>
      </c>
      <c r="U1766" t="s">
        <v>856</v>
      </c>
      <c r="W1766">
        <v>914</v>
      </c>
      <c r="X1766">
        <v>1015</v>
      </c>
      <c r="Y1766" t="s">
        <v>844</v>
      </c>
      <c r="Z1766" t="s">
        <v>792</v>
      </c>
      <c r="AB1766" t="s">
        <v>793</v>
      </c>
      <c r="AD1766" t="s">
        <v>794</v>
      </c>
      <c r="AE1766" t="s">
        <v>804</v>
      </c>
      <c r="AF1766" t="s">
        <v>796</v>
      </c>
      <c r="AG1766" t="s">
        <v>797</v>
      </c>
      <c r="AH1766">
        <v>27430</v>
      </c>
      <c r="AI1766">
        <v>30452</v>
      </c>
      <c r="AJ1766">
        <v>0</v>
      </c>
    </row>
    <row r="1767" spans="1:36" x14ac:dyDescent="0.3">
      <c r="A1767">
        <f>COUNTIF($D$2:D1767,D1767)</f>
        <v>7</v>
      </c>
      <c r="B1767" t="str">
        <f t="shared" si="109"/>
        <v>7Rochdale</v>
      </c>
      <c r="C1767" t="s">
        <v>5169</v>
      </c>
      <c r="D1767" t="s">
        <v>267</v>
      </c>
      <c r="E1767">
        <v>5</v>
      </c>
      <c r="F1767" t="s">
        <v>840</v>
      </c>
      <c r="G1767" t="s">
        <v>834</v>
      </c>
      <c r="H1767" t="s">
        <v>835</v>
      </c>
      <c r="I1767" t="s">
        <v>836</v>
      </c>
      <c r="J1767">
        <f t="shared" ca="1" si="110"/>
        <v>2987389</v>
      </c>
      <c r="K1767">
        <f t="shared" ca="1" si="111"/>
        <v>350</v>
      </c>
      <c r="N1767" t="str">
        <f t="shared" si="108"/>
        <v>North Yorkshire20VOY - s256 carers supportCarers ServicesRespite services</v>
      </c>
      <c r="O1767" t="s">
        <v>241</v>
      </c>
      <c r="P1767" t="s">
        <v>922</v>
      </c>
      <c r="Q1767">
        <v>20</v>
      </c>
      <c r="R1767" t="s">
        <v>4699</v>
      </c>
      <c r="S1767" t="s">
        <v>1399</v>
      </c>
      <c r="T1767" t="s">
        <v>811</v>
      </c>
      <c r="U1767" t="s">
        <v>830</v>
      </c>
      <c r="W1767">
        <v>2</v>
      </c>
      <c r="X1767">
        <v>2</v>
      </c>
      <c r="Y1767" t="s">
        <v>813</v>
      </c>
      <c r="Z1767" t="s">
        <v>792</v>
      </c>
      <c r="AB1767" t="s">
        <v>793</v>
      </c>
      <c r="AD1767" t="s">
        <v>794</v>
      </c>
      <c r="AE1767" t="s">
        <v>825</v>
      </c>
      <c r="AF1767" t="s">
        <v>796</v>
      </c>
      <c r="AG1767" t="s">
        <v>797</v>
      </c>
      <c r="AH1767">
        <v>38058</v>
      </c>
      <c r="AI1767">
        <v>38743</v>
      </c>
      <c r="AJ1767">
        <v>0.1</v>
      </c>
    </row>
    <row r="1768" spans="1:36" x14ac:dyDescent="0.3">
      <c r="A1768">
        <f>COUNTIF($D$2:D1768,D1768)</f>
        <v>8</v>
      </c>
      <c r="B1768" t="str">
        <f t="shared" si="109"/>
        <v>8Rochdale</v>
      </c>
      <c r="C1768" t="s">
        <v>5170</v>
      </c>
      <c r="D1768" t="s">
        <v>267</v>
      </c>
      <c r="E1768">
        <v>8</v>
      </c>
      <c r="F1768" t="s">
        <v>5171</v>
      </c>
      <c r="G1768" t="s">
        <v>842</v>
      </c>
      <c r="H1768" t="s">
        <v>843</v>
      </c>
      <c r="I1768" t="s">
        <v>844</v>
      </c>
      <c r="J1768">
        <f t="shared" ca="1" si="110"/>
        <v>2178888</v>
      </c>
      <c r="K1768">
        <f t="shared" ca="1" si="111"/>
        <v>103740</v>
      </c>
      <c r="N1768" t="str">
        <f t="shared" si="108"/>
        <v>North Yorkshire22VOY - NYC  Social care protectionHome Care or Domiciliary CareDomiciliary care packages</v>
      </c>
      <c r="O1768" t="s">
        <v>241</v>
      </c>
      <c r="P1768" t="s">
        <v>922</v>
      </c>
      <c r="Q1768">
        <v>22</v>
      </c>
      <c r="R1768" t="s">
        <v>4702</v>
      </c>
      <c r="S1768" t="s">
        <v>5172</v>
      </c>
      <c r="T1768" t="s">
        <v>842</v>
      </c>
      <c r="U1768" t="s">
        <v>843</v>
      </c>
      <c r="W1768">
        <v>124733</v>
      </c>
      <c r="X1768">
        <v>131793</v>
      </c>
      <c r="Y1768" t="s">
        <v>844</v>
      </c>
      <c r="Z1768" t="s">
        <v>792</v>
      </c>
      <c r="AB1768" t="s">
        <v>793</v>
      </c>
      <c r="AD1768" t="s">
        <v>794</v>
      </c>
      <c r="AE1768" t="s">
        <v>795</v>
      </c>
      <c r="AF1768" t="s">
        <v>796</v>
      </c>
      <c r="AG1768" t="s">
        <v>797</v>
      </c>
      <c r="AH1768">
        <v>3742002</v>
      </c>
      <c r="AI1768">
        <v>3953799</v>
      </c>
      <c r="AJ1768">
        <v>0.01</v>
      </c>
    </row>
    <row r="1769" spans="1:36" x14ac:dyDescent="0.3">
      <c r="A1769">
        <f>COUNTIF($D$2:D1769,D1769)</f>
        <v>9</v>
      </c>
      <c r="B1769" t="str">
        <f t="shared" si="109"/>
        <v>9Rochdale</v>
      </c>
      <c r="C1769" t="s">
        <v>5173</v>
      </c>
      <c r="D1769" t="s">
        <v>267</v>
      </c>
      <c r="E1769">
        <v>17</v>
      </c>
      <c r="F1769" t="s">
        <v>5171</v>
      </c>
      <c r="G1769" t="s">
        <v>806</v>
      </c>
      <c r="H1769" t="s">
        <v>873</v>
      </c>
      <c r="I1769" t="s">
        <v>808</v>
      </c>
      <c r="J1769">
        <f t="shared" ca="1" si="110"/>
        <v>378843</v>
      </c>
      <c r="K1769">
        <f t="shared" ca="1" si="111"/>
        <v>210</v>
      </c>
      <c r="N1769" t="str">
        <f t="shared" si="108"/>
        <v>North Yorkshire29NY carers s256Carers ServicesOther</v>
      </c>
      <c r="O1769" t="s">
        <v>241</v>
      </c>
      <c r="P1769" t="s">
        <v>922</v>
      </c>
      <c r="Q1769">
        <v>29</v>
      </c>
      <c r="R1769" t="s">
        <v>4704</v>
      </c>
      <c r="S1769" t="s">
        <v>5174</v>
      </c>
      <c r="T1769" t="s">
        <v>811</v>
      </c>
      <c r="U1769" t="s">
        <v>812</v>
      </c>
      <c r="V1769" t="s">
        <v>5175</v>
      </c>
      <c r="W1769">
        <v>8</v>
      </c>
      <c r="X1769">
        <v>8</v>
      </c>
      <c r="Y1769" t="s">
        <v>813</v>
      </c>
      <c r="Z1769" t="s">
        <v>823</v>
      </c>
      <c r="AB1769" t="s">
        <v>793</v>
      </c>
      <c r="AD1769" t="s">
        <v>794</v>
      </c>
      <c r="AE1769" t="s">
        <v>825</v>
      </c>
      <c r="AF1769" t="s">
        <v>796</v>
      </c>
      <c r="AG1769" t="s">
        <v>797</v>
      </c>
      <c r="AH1769">
        <v>224993</v>
      </c>
      <c r="AI1769">
        <v>229043</v>
      </c>
      <c r="AJ1769">
        <v>0.59</v>
      </c>
    </row>
    <row r="1770" spans="1:36" x14ac:dyDescent="0.3">
      <c r="A1770">
        <f>COUNTIF($D$2:D1770,D1770)</f>
        <v>10</v>
      </c>
      <c r="B1770" t="str">
        <f t="shared" si="109"/>
        <v>10Rochdale</v>
      </c>
      <c r="C1770" t="s">
        <v>5176</v>
      </c>
      <c r="D1770" t="s">
        <v>267</v>
      </c>
      <c r="E1770">
        <v>17</v>
      </c>
      <c r="F1770" t="s">
        <v>5177</v>
      </c>
      <c r="G1770" t="s">
        <v>806</v>
      </c>
      <c r="H1770" t="s">
        <v>873</v>
      </c>
      <c r="I1770" t="s">
        <v>808</v>
      </c>
      <c r="J1770">
        <f t="shared" ca="1" si="110"/>
        <v>336455</v>
      </c>
      <c r="K1770">
        <f t="shared" ca="1" si="111"/>
        <v>200</v>
      </c>
      <c r="N1770" t="str">
        <f t="shared" si="108"/>
        <v>North Yorkshire31NY step up / downBed based intermediate Care Services (Reablement, rehabilitation, wider short-term services supporting recovery)Bed-based intermediate care with reablement accepting step up and step down users</v>
      </c>
      <c r="O1770" t="s">
        <v>241</v>
      </c>
      <c r="P1770" t="s">
        <v>922</v>
      </c>
      <c r="Q1770">
        <v>31</v>
      </c>
      <c r="R1770" t="s">
        <v>4707</v>
      </c>
      <c r="S1770" t="s">
        <v>4707</v>
      </c>
      <c r="T1770" t="s">
        <v>877</v>
      </c>
      <c r="U1770" t="s">
        <v>1259</v>
      </c>
      <c r="W1770">
        <v>62</v>
      </c>
      <c r="X1770">
        <v>62</v>
      </c>
      <c r="Y1770" t="s">
        <v>879</v>
      </c>
      <c r="Z1770" t="s">
        <v>823</v>
      </c>
      <c r="AB1770" t="s">
        <v>824</v>
      </c>
      <c r="AD1770" t="s">
        <v>794</v>
      </c>
      <c r="AE1770" t="s">
        <v>804</v>
      </c>
      <c r="AF1770" t="s">
        <v>796</v>
      </c>
      <c r="AG1770" t="s">
        <v>797</v>
      </c>
      <c r="AH1770">
        <v>318933</v>
      </c>
      <c r="AI1770">
        <v>324674</v>
      </c>
      <c r="AJ1770">
        <v>0.13</v>
      </c>
    </row>
    <row r="1771" spans="1:36" x14ac:dyDescent="0.3">
      <c r="A1771">
        <f>COUNTIF($D$2:D1771,D1771)</f>
        <v>11</v>
      </c>
      <c r="B1771" t="str">
        <f t="shared" si="109"/>
        <v>11Rochdale</v>
      </c>
      <c r="C1771" t="s">
        <v>5178</v>
      </c>
      <c r="D1771" t="s">
        <v>267</v>
      </c>
      <c r="E1771">
        <v>17</v>
      </c>
      <c r="F1771" t="s">
        <v>5171</v>
      </c>
      <c r="G1771" t="s">
        <v>806</v>
      </c>
      <c r="H1771" t="s">
        <v>807</v>
      </c>
      <c r="I1771" t="s">
        <v>808</v>
      </c>
      <c r="J1771">
        <f t="shared" ca="1" si="110"/>
        <v>4265658</v>
      </c>
      <c r="K1771">
        <f t="shared" ca="1" si="111"/>
        <v>382</v>
      </c>
      <c r="N1771" t="str">
        <f t="shared" si="108"/>
        <v>North Yorkshire32NY wheelchairsAssistive Technologies and EquipmentCommunity based equipment</v>
      </c>
      <c r="O1771" t="s">
        <v>241</v>
      </c>
      <c r="P1771" t="s">
        <v>922</v>
      </c>
      <c r="Q1771">
        <v>32</v>
      </c>
      <c r="R1771" t="s">
        <v>4709</v>
      </c>
      <c r="S1771" t="s">
        <v>5179</v>
      </c>
      <c r="T1771" t="s">
        <v>800</v>
      </c>
      <c r="U1771" t="s">
        <v>903</v>
      </c>
      <c r="W1771">
        <v>2468</v>
      </c>
      <c r="X1771">
        <v>2468</v>
      </c>
      <c r="Y1771" t="s">
        <v>802</v>
      </c>
      <c r="Z1771" t="s">
        <v>823</v>
      </c>
      <c r="AB1771" t="s">
        <v>824</v>
      </c>
      <c r="AD1771" t="s">
        <v>794</v>
      </c>
      <c r="AE1771" t="s">
        <v>804</v>
      </c>
      <c r="AF1771" t="s">
        <v>796</v>
      </c>
      <c r="AG1771" t="s">
        <v>797</v>
      </c>
      <c r="AH1771">
        <v>1523862</v>
      </c>
      <c r="AI1771">
        <v>1551292</v>
      </c>
      <c r="AJ1771">
        <v>0.24</v>
      </c>
    </row>
    <row r="1772" spans="1:36" x14ac:dyDescent="0.3">
      <c r="A1772">
        <f>COUNTIF($D$2:D1772,D1772)</f>
        <v>12</v>
      </c>
      <c r="B1772" t="str">
        <f t="shared" si="109"/>
        <v>12Rochdale</v>
      </c>
      <c r="C1772" t="s">
        <v>5180</v>
      </c>
      <c r="D1772" t="s">
        <v>267</v>
      </c>
      <c r="E1772">
        <v>17</v>
      </c>
      <c r="F1772" t="s">
        <v>5177</v>
      </c>
      <c r="G1772" t="s">
        <v>806</v>
      </c>
      <c r="H1772" t="s">
        <v>807</v>
      </c>
      <c r="I1772" t="s">
        <v>808</v>
      </c>
      <c r="J1772">
        <f t="shared" ca="1" si="110"/>
        <v>3788382</v>
      </c>
      <c r="K1772">
        <f t="shared" ca="1" si="111"/>
        <v>338</v>
      </c>
      <c r="N1772" t="str">
        <f t="shared" si="108"/>
        <v>North Yorkshire33NY EquipmentAssistive Technologies and EquipmentCommunity based equipment</v>
      </c>
      <c r="O1772" t="s">
        <v>241</v>
      </c>
      <c r="P1772" t="s">
        <v>922</v>
      </c>
      <c r="Q1772">
        <v>33</v>
      </c>
      <c r="R1772" t="s">
        <v>4712</v>
      </c>
      <c r="S1772" t="s">
        <v>1051</v>
      </c>
      <c r="T1772" t="s">
        <v>800</v>
      </c>
      <c r="U1772" t="s">
        <v>903</v>
      </c>
      <c r="W1772">
        <v>26904</v>
      </c>
      <c r="X1772">
        <v>26904</v>
      </c>
      <c r="Y1772" t="s">
        <v>802</v>
      </c>
      <c r="Z1772" t="s">
        <v>823</v>
      </c>
      <c r="AB1772" t="s">
        <v>793</v>
      </c>
      <c r="AD1772" t="s">
        <v>794</v>
      </c>
      <c r="AE1772" t="s">
        <v>804</v>
      </c>
      <c r="AF1772" t="s">
        <v>796</v>
      </c>
      <c r="AG1772" t="s">
        <v>797</v>
      </c>
      <c r="AH1772">
        <v>2565930</v>
      </c>
      <c r="AI1772">
        <v>2612117</v>
      </c>
      <c r="AJ1772">
        <v>0.4</v>
      </c>
    </row>
    <row r="1773" spans="1:36" x14ac:dyDescent="0.3">
      <c r="A1773">
        <f>COUNTIF($D$2:D1773,D1773)</f>
        <v>13</v>
      </c>
      <c r="B1773" t="str">
        <f t="shared" si="109"/>
        <v>13Rochdale</v>
      </c>
      <c r="C1773" t="s">
        <v>5181</v>
      </c>
      <c r="D1773" t="s">
        <v>267</v>
      </c>
      <c r="E1773">
        <v>17</v>
      </c>
      <c r="F1773" t="s">
        <v>5171</v>
      </c>
      <c r="G1773" t="s">
        <v>806</v>
      </c>
      <c r="H1773" t="s">
        <v>917</v>
      </c>
      <c r="I1773" t="s">
        <v>808</v>
      </c>
      <c r="J1773">
        <f t="shared" ca="1" si="110"/>
        <v>844180</v>
      </c>
      <c r="K1773">
        <f t="shared" ca="1" si="111"/>
        <v>69</v>
      </c>
      <c r="N1773" t="str">
        <f t="shared" si="108"/>
        <v>North Yorkshire40NY protection of social careHome Care or Domiciliary CareDomiciliary care packages</v>
      </c>
      <c r="O1773" t="s">
        <v>241</v>
      </c>
      <c r="P1773" t="s">
        <v>922</v>
      </c>
      <c r="Q1773">
        <v>40</v>
      </c>
      <c r="R1773" t="s">
        <v>4714</v>
      </c>
      <c r="S1773" t="s">
        <v>4714</v>
      </c>
      <c r="T1773" t="s">
        <v>842</v>
      </c>
      <c r="U1773" t="s">
        <v>843</v>
      </c>
      <c r="W1773">
        <v>423221</v>
      </c>
      <c r="X1773">
        <v>438904</v>
      </c>
      <c r="Y1773" t="s">
        <v>844</v>
      </c>
      <c r="Z1773" t="s">
        <v>792</v>
      </c>
      <c r="AB1773" t="s">
        <v>793</v>
      </c>
      <c r="AD1773" t="s">
        <v>794</v>
      </c>
      <c r="AE1773" t="s">
        <v>795</v>
      </c>
      <c r="AF1773" t="s">
        <v>796</v>
      </c>
      <c r="AG1773" t="s">
        <v>797</v>
      </c>
      <c r="AH1773">
        <v>12696635</v>
      </c>
      <c r="AI1773">
        <v>13167127</v>
      </c>
      <c r="AJ1773">
        <v>0.04</v>
      </c>
    </row>
    <row r="1774" spans="1:36" x14ac:dyDescent="0.3">
      <c r="A1774">
        <f>COUNTIF($D$2:D1774,D1774)</f>
        <v>14</v>
      </c>
      <c r="B1774" t="str">
        <f t="shared" si="109"/>
        <v>14Rochdale</v>
      </c>
      <c r="C1774" t="s">
        <v>5182</v>
      </c>
      <c r="D1774" t="s">
        <v>267</v>
      </c>
      <c r="E1774">
        <v>17</v>
      </c>
      <c r="F1774" t="s">
        <v>5177</v>
      </c>
      <c r="G1774" t="s">
        <v>806</v>
      </c>
      <c r="H1774" t="s">
        <v>917</v>
      </c>
      <c r="I1774" t="s">
        <v>808</v>
      </c>
      <c r="J1774">
        <f t="shared" ca="1" si="110"/>
        <v>749725</v>
      </c>
      <c r="K1774">
        <f t="shared" ca="1" si="111"/>
        <v>61</v>
      </c>
      <c r="N1774" t="str">
        <f t="shared" si="108"/>
        <v>North Yorkshire45NY Time to think bedsBed based intermediate Care Services (Reablement, rehabilitation, wider short-term services supporting recovery)Bed-based intermediate care with rehabilitation (to support discharge)</v>
      </c>
      <c r="O1774" t="s">
        <v>241</v>
      </c>
      <c r="P1774" t="s">
        <v>922</v>
      </c>
      <c r="Q1774">
        <v>45</v>
      </c>
      <c r="R1774" t="s">
        <v>4717</v>
      </c>
      <c r="S1774" t="s">
        <v>5183</v>
      </c>
      <c r="T1774" t="s">
        <v>877</v>
      </c>
      <c r="U1774" t="s">
        <v>968</v>
      </c>
      <c r="W1774">
        <v>88</v>
      </c>
      <c r="X1774">
        <v>88</v>
      </c>
      <c r="Y1774" t="s">
        <v>879</v>
      </c>
      <c r="Z1774" t="s">
        <v>823</v>
      </c>
      <c r="AB1774" t="s">
        <v>793</v>
      </c>
      <c r="AD1774" t="s">
        <v>794</v>
      </c>
      <c r="AE1774" t="s">
        <v>804</v>
      </c>
      <c r="AF1774" t="s">
        <v>860</v>
      </c>
      <c r="AG1774" t="s">
        <v>797</v>
      </c>
      <c r="AH1774">
        <v>400000</v>
      </c>
      <c r="AI1774">
        <v>400000</v>
      </c>
      <c r="AJ1774">
        <v>0.16</v>
      </c>
    </row>
    <row r="1775" spans="1:36" x14ac:dyDescent="0.3">
      <c r="A1775">
        <f>COUNTIF($D$2:D1775,D1775)</f>
        <v>15</v>
      </c>
      <c r="B1775" t="str">
        <f t="shared" si="109"/>
        <v>15Rochdale</v>
      </c>
      <c r="C1775" t="s">
        <v>5184</v>
      </c>
      <c r="D1775" t="s">
        <v>267</v>
      </c>
      <c r="E1775">
        <v>17</v>
      </c>
      <c r="F1775" t="s">
        <v>5171</v>
      </c>
      <c r="G1775" t="s">
        <v>806</v>
      </c>
      <c r="H1775" t="s">
        <v>955</v>
      </c>
      <c r="I1775" t="s">
        <v>808</v>
      </c>
      <c r="J1775">
        <f t="shared" ca="1" si="110"/>
        <v>182308</v>
      </c>
      <c r="K1775">
        <f t="shared" ca="1" si="111"/>
        <v>201</v>
      </c>
      <c r="N1775" t="str">
        <f t="shared" si="108"/>
        <v>North Yorkshire46NY Fast Track packagesHome Care or Domiciliary CareOther</v>
      </c>
      <c r="O1775" t="s">
        <v>241</v>
      </c>
      <c r="P1775" t="s">
        <v>922</v>
      </c>
      <c r="Q1775">
        <v>46</v>
      </c>
      <c r="R1775" t="s">
        <v>4719</v>
      </c>
      <c r="S1775" t="s">
        <v>5185</v>
      </c>
      <c r="T1775" t="s">
        <v>842</v>
      </c>
      <c r="U1775" t="s">
        <v>812</v>
      </c>
      <c r="V1775" t="s">
        <v>5186</v>
      </c>
      <c r="W1775">
        <v>7444</v>
      </c>
      <c r="X1775">
        <v>7444</v>
      </c>
      <c r="Y1775" t="s">
        <v>844</v>
      </c>
      <c r="Z1775" t="s">
        <v>823</v>
      </c>
      <c r="AB1775" t="s">
        <v>793</v>
      </c>
      <c r="AD1775" t="s">
        <v>794</v>
      </c>
      <c r="AE1775" t="s">
        <v>804</v>
      </c>
      <c r="AF1775" t="s">
        <v>860</v>
      </c>
      <c r="AG1775" t="s">
        <v>797</v>
      </c>
      <c r="AH1775">
        <v>1000000</v>
      </c>
      <c r="AI1775">
        <v>1000000</v>
      </c>
      <c r="AJ1775">
        <v>0</v>
      </c>
    </row>
    <row r="1776" spans="1:36" x14ac:dyDescent="0.3">
      <c r="A1776">
        <f>COUNTIF($D$2:D1776,D1776)</f>
        <v>16</v>
      </c>
      <c r="B1776" t="str">
        <f t="shared" si="109"/>
        <v>16Rochdale</v>
      </c>
      <c r="C1776" t="s">
        <v>5187</v>
      </c>
      <c r="D1776" t="s">
        <v>267</v>
      </c>
      <c r="E1776">
        <v>17</v>
      </c>
      <c r="F1776" t="s">
        <v>5177</v>
      </c>
      <c r="G1776" t="s">
        <v>806</v>
      </c>
      <c r="H1776" t="s">
        <v>955</v>
      </c>
      <c r="I1776" t="s">
        <v>808</v>
      </c>
      <c r="J1776">
        <f t="shared" ca="1" si="110"/>
        <v>161911</v>
      </c>
      <c r="K1776">
        <f t="shared" ca="1" si="111"/>
        <v>179</v>
      </c>
      <c r="N1776" t="str">
        <f t="shared" si="108"/>
        <v>North Yorkshire47NY Additional community domiciliary care EOLHome Care or Domiciliary CareDomiciliary care packages</v>
      </c>
      <c r="O1776" t="s">
        <v>241</v>
      </c>
      <c r="P1776" t="s">
        <v>922</v>
      </c>
      <c r="Q1776">
        <v>47</v>
      </c>
      <c r="R1776" t="s">
        <v>4721</v>
      </c>
      <c r="S1776" t="s">
        <v>5188</v>
      </c>
      <c r="T1776" t="s">
        <v>842</v>
      </c>
      <c r="U1776" t="s">
        <v>843</v>
      </c>
      <c r="V1776" t="s">
        <v>5185</v>
      </c>
      <c r="W1776">
        <v>470</v>
      </c>
      <c r="X1776">
        <v>470</v>
      </c>
      <c r="Y1776" t="s">
        <v>844</v>
      </c>
      <c r="Z1776" t="s">
        <v>823</v>
      </c>
      <c r="AB1776" t="s">
        <v>793</v>
      </c>
      <c r="AD1776" t="s">
        <v>794</v>
      </c>
      <c r="AE1776" t="s">
        <v>804</v>
      </c>
      <c r="AF1776" t="s">
        <v>860</v>
      </c>
      <c r="AG1776" t="s">
        <v>861</v>
      </c>
      <c r="AH1776">
        <v>100000</v>
      </c>
      <c r="AI1776">
        <v>100000</v>
      </c>
      <c r="AJ1776">
        <v>0</v>
      </c>
    </row>
    <row r="1777" spans="1:36" x14ac:dyDescent="0.3">
      <c r="A1777">
        <f>COUNTIF($D$2:D1777,D1777)</f>
        <v>17</v>
      </c>
      <c r="B1777" t="str">
        <f t="shared" si="109"/>
        <v>17Rochdale</v>
      </c>
      <c r="C1777" t="s">
        <v>5189</v>
      </c>
      <c r="D1777" t="s">
        <v>267</v>
      </c>
      <c r="E1777">
        <v>8</v>
      </c>
      <c r="F1777" t="s">
        <v>5190</v>
      </c>
      <c r="G1777" t="s">
        <v>842</v>
      </c>
      <c r="H1777" t="s">
        <v>1594</v>
      </c>
      <c r="I1777" t="s">
        <v>844</v>
      </c>
      <c r="J1777">
        <f t="shared" ca="1" si="110"/>
        <v>30000</v>
      </c>
      <c r="K1777">
        <f t="shared" ca="1" si="111"/>
        <v>936</v>
      </c>
      <c r="N1777" t="str">
        <f t="shared" si="108"/>
        <v>North Yorkshire48NY Equipment managementAssistive Technologies and EquipmentCommunity based equipment</v>
      </c>
      <c r="O1777" t="s">
        <v>241</v>
      </c>
      <c r="P1777" t="s">
        <v>922</v>
      </c>
      <c r="Q1777">
        <v>48</v>
      </c>
      <c r="R1777" t="s">
        <v>4724</v>
      </c>
      <c r="S1777" t="s">
        <v>5191</v>
      </c>
      <c r="T1777" t="s">
        <v>800</v>
      </c>
      <c r="U1777" t="s">
        <v>903</v>
      </c>
      <c r="W1777">
        <v>115</v>
      </c>
      <c r="X1777">
        <v>115</v>
      </c>
      <c r="Y1777" t="s">
        <v>802</v>
      </c>
      <c r="Z1777" t="s">
        <v>823</v>
      </c>
      <c r="AB1777" t="s">
        <v>824</v>
      </c>
      <c r="AD1777" t="s">
        <v>794</v>
      </c>
      <c r="AE1777" t="s">
        <v>804</v>
      </c>
      <c r="AF1777" t="s">
        <v>860</v>
      </c>
      <c r="AG1777" t="s">
        <v>797</v>
      </c>
      <c r="AH1777">
        <v>109000</v>
      </c>
      <c r="AI1777">
        <v>109000</v>
      </c>
      <c r="AJ1777">
        <v>0.02</v>
      </c>
    </row>
    <row r="1778" spans="1:36" x14ac:dyDescent="0.3">
      <c r="A1778">
        <f>COUNTIF($D$2:D1778,D1778)</f>
        <v>18</v>
      </c>
      <c r="B1778" t="str">
        <f t="shared" si="109"/>
        <v>18Rochdale</v>
      </c>
      <c r="C1778" t="s">
        <v>5192</v>
      </c>
      <c r="D1778" t="s">
        <v>267</v>
      </c>
      <c r="E1778">
        <v>1</v>
      </c>
      <c r="F1778" t="s">
        <v>1160</v>
      </c>
      <c r="G1778" t="s">
        <v>800</v>
      </c>
      <c r="H1778" t="s">
        <v>850</v>
      </c>
      <c r="I1778" t="s">
        <v>802</v>
      </c>
      <c r="J1778">
        <f t="shared" ca="1" si="110"/>
        <v>100000</v>
      </c>
      <c r="K1778">
        <f t="shared" ca="1" si="111"/>
        <v>15</v>
      </c>
      <c r="N1778" t="str">
        <f t="shared" si="108"/>
        <v>North Yorkshire54NY Home from hospital capacityHome Care or Domiciliary CareDomiciliary care to support hospital discharge (Discharge to Assess pathway 1)</v>
      </c>
      <c r="O1778" t="s">
        <v>241</v>
      </c>
      <c r="P1778" t="s">
        <v>922</v>
      </c>
      <c r="Q1778">
        <v>54</v>
      </c>
      <c r="R1778" t="s">
        <v>4727</v>
      </c>
      <c r="S1778" t="s">
        <v>5193</v>
      </c>
      <c r="T1778" t="s">
        <v>842</v>
      </c>
      <c r="U1778" t="s">
        <v>856</v>
      </c>
      <c r="W1778">
        <v>5067</v>
      </c>
      <c r="X1778">
        <v>5067</v>
      </c>
      <c r="Y1778" t="s">
        <v>844</v>
      </c>
      <c r="Z1778" t="s">
        <v>823</v>
      </c>
      <c r="AB1778" t="s">
        <v>793</v>
      </c>
      <c r="AD1778" t="s">
        <v>794</v>
      </c>
      <c r="AE1778" t="s">
        <v>825</v>
      </c>
      <c r="AF1778" t="s">
        <v>860</v>
      </c>
      <c r="AG1778" t="s">
        <v>797</v>
      </c>
      <c r="AH1778">
        <v>152000</v>
      </c>
      <c r="AI1778">
        <v>152000</v>
      </c>
      <c r="AJ1778">
        <v>0</v>
      </c>
    </row>
    <row r="1779" spans="1:36" x14ac:dyDescent="0.3">
      <c r="A1779">
        <f>COUNTIF($D$2:D1779,D1779)</f>
        <v>19</v>
      </c>
      <c r="B1779" t="str">
        <f t="shared" si="109"/>
        <v>19Rochdale</v>
      </c>
      <c r="C1779" t="s">
        <v>5194</v>
      </c>
      <c r="D1779" t="s">
        <v>267</v>
      </c>
      <c r="E1779">
        <v>11</v>
      </c>
      <c r="F1779" t="s">
        <v>5195</v>
      </c>
      <c r="G1779" t="s">
        <v>877</v>
      </c>
      <c r="H1779" t="s">
        <v>1259</v>
      </c>
      <c r="I1779" t="s">
        <v>879</v>
      </c>
      <c r="J1779">
        <f t="shared" ca="1" si="110"/>
        <v>100000</v>
      </c>
      <c r="K1779">
        <f t="shared" ca="1" si="111"/>
        <v>120</v>
      </c>
      <c r="N1779" t="str">
        <f t="shared" si="108"/>
        <v>North Yorkshire55NY Increased complex care capacityBed based intermediate Care Services (Reablement, rehabilitation, wider short-term services supporting recovery)Bed-based intermediate care with reablement accepting step up and step down users</v>
      </c>
      <c r="O1779" t="s">
        <v>241</v>
      </c>
      <c r="P1779" t="s">
        <v>922</v>
      </c>
      <c r="Q1779">
        <v>55</v>
      </c>
      <c r="R1779" t="s">
        <v>4730</v>
      </c>
      <c r="S1779" t="s">
        <v>5196</v>
      </c>
      <c r="T1779" t="s">
        <v>877</v>
      </c>
      <c r="U1779" t="s">
        <v>1259</v>
      </c>
      <c r="W1779">
        <v>26</v>
      </c>
      <c r="X1779">
        <v>26</v>
      </c>
      <c r="Y1779" t="s">
        <v>879</v>
      </c>
      <c r="Z1779" t="s">
        <v>823</v>
      </c>
      <c r="AB1779" t="s">
        <v>793</v>
      </c>
      <c r="AD1779" t="s">
        <v>794</v>
      </c>
      <c r="AE1779" t="s">
        <v>832</v>
      </c>
      <c r="AF1779" t="s">
        <v>860</v>
      </c>
      <c r="AG1779" t="s">
        <v>797</v>
      </c>
      <c r="AH1779">
        <v>229000</v>
      </c>
      <c r="AI1779">
        <v>229000</v>
      </c>
      <c r="AJ1779">
        <v>0.09</v>
      </c>
    </row>
    <row r="1780" spans="1:36" x14ac:dyDescent="0.3">
      <c r="A1780">
        <f>COUNTIF($D$2:D1780,D1780)</f>
        <v>20</v>
      </c>
      <c r="B1780" t="str">
        <f t="shared" si="109"/>
        <v>20Rochdale</v>
      </c>
      <c r="C1780" t="s">
        <v>5197</v>
      </c>
      <c r="D1780" t="s">
        <v>267</v>
      </c>
      <c r="E1780">
        <v>12</v>
      </c>
      <c r="F1780" t="s">
        <v>5198</v>
      </c>
      <c r="G1780" t="s">
        <v>787</v>
      </c>
      <c r="H1780" t="s">
        <v>930</v>
      </c>
      <c r="I1780" t="s">
        <v>789</v>
      </c>
      <c r="J1780">
        <f t="shared" ca="1" si="110"/>
        <v>444000</v>
      </c>
      <c r="K1780">
        <f t="shared" ca="1" si="111"/>
        <v>1080</v>
      </c>
      <c r="N1780" t="str">
        <f t="shared" si="108"/>
        <v>North Yorkshire57NY Additional block booked bedsBed based intermediate Care Services (Reablement, rehabilitation, wider short-term services supporting recovery)Bed-based intermediate care with rehabilitation (to support discharge)</v>
      </c>
      <c r="O1780" t="s">
        <v>241</v>
      </c>
      <c r="P1780" t="s">
        <v>922</v>
      </c>
      <c r="Q1780">
        <v>57</v>
      </c>
      <c r="R1780" t="s">
        <v>4733</v>
      </c>
      <c r="S1780" t="s">
        <v>5199</v>
      </c>
      <c r="T1780" t="s">
        <v>877</v>
      </c>
      <c r="U1780" t="s">
        <v>968</v>
      </c>
      <c r="W1780">
        <v>26</v>
      </c>
      <c r="X1780">
        <v>26</v>
      </c>
      <c r="Y1780" t="s">
        <v>879</v>
      </c>
      <c r="Z1780" t="s">
        <v>823</v>
      </c>
      <c r="AB1780" t="s">
        <v>824</v>
      </c>
      <c r="AD1780" t="s">
        <v>794</v>
      </c>
      <c r="AE1780" t="s">
        <v>804</v>
      </c>
      <c r="AF1780" t="s">
        <v>860</v>
      </c>
      <c r="AG1780" t="s">
        <v>797</v>
      </c>
      <c r="AH1780">
        <v>189000</v>
      </c>
      <c r="AI1780">
        <v>189000</v>
      </c>
      <c r="AJ1780">
        <v>0.08</v>
      </c>
    </row>
    <row r="1781" spans="1:36" x14ac:dyDescent="0.3">
      <c r="A1781">
        <f>COUNTIF($D$2:D1781,D1781)</f>
        <v>21</v>
      </c>
      <c r="B1781" t="str">
        <f t="shared" si="109"/>
        <v>21Rochdale</v>
      </c>
      <c r="C1781" t="s">
        <v>5200</v>
      </c>
      <c r="D1781" t="s">
        <v>267</v>
      </c>
      <c r="E1781">
        <v>8</v>
      </c>
      <c r="F1781" t="s">
        <v>5201</v>
      </c>
      <c r="G1781" t="s">
        <v>842</v>
      </c>
      <c r="H1781" t="s">
        <v>843</v>
      </c>
      <c r="I1781" t="s">
        <v>844</v>
      </c>
      <c r="J1781">
        <f t="shared" ca="1" si="110"/>
        <v>175000</v>
      </c>
      <c r="K1781">
        <f t="shared" ca="1" si="111"/>
        <v>9320</v>
      </c>
      <c r="N1781" t="str">
        <f t="shared" si="108"/>
        <v>North Yorkshire58L&amp;SC protection of social careHome Care or Domiciliary CareDomiciliary care packages</v>
      </c>
      <c r="O1781" t="s">
        <v>241</v>
      </c>
      <c r="P1781" t="s">
        <v>922</v>
      </c>
      <c r="Q1781">
        <v>58</v>
      </c>
      <c r="R1781" t="s">
        <v>4736</v>
      </c>
      <c r="S1781" t="s">
        <v>4714</v>
      </c>
      <c r="T1781" t="s">
        <v>842</v>
      </c>
      <c r="U1781" t="s">
        <v>843</v>
      </c>
      <c r="W1781">
        <v>5915</v>
      </c>
      <c r="X1781">
        <v>6260</v>
      </c>
      <c r="Y1781" t="s">
        <v>844</v>
      </c>
      <c r="Z1781" t="s">
        <v>792</v>
      </c>
      <c r="AB1781" t="s">
        <v>793</v>
      </c>
      <c r="AD1781" t="s">
        <v>794</v>
      </c>
      <c r="AE1781" t="s">
        <v>795</v>
      </c>
      <c r="AF1781" t="s">
        <v>796</v>
      </c>
      <c r="AG1781" t="s">
        <v>797</v>
      </c>
      <c r="AH1781">
        <v>177444</v>
      </c>
      <c r="AI1781">
        <v>187489</v>
      </c>
      <c r="AJ1781">
        <v>0</v>
      </c>
    </row>
    <row r="1782" spans="1:36" x14ac:dyDescent="0.3">
      <c r="A1782">
        <f>COUNTIF($D$2:D1782,D1782)</f>
        <v>22</v>
      </c>
      <c r="B1782" t="str">
        <f t="shared" si="109"/>
        <v>22Rochdale</v>
      </c>
      <c r="C1782" t="s">
        <v>5202</v>
      </c>
      <c r="D1782" t="s">
        <v>267</v>
      </c>
      <c r="E1782">
        <v>11</v>
      </c>
      <c r="F1782" t="s">
        <v>5203</v>
      </c>
      <c r="G1782" t="s">
        <v>877</v>
      </c>
      <c r="H1782" t="s">
        <v>1259</v>
      </c>
      <c r="I1782" t="s">
        <v>879</v>
      </c>
      <c r="J1782">
        <f t="shared" ca="1" si="110"/>
        <v>76163</v>
      </c>
      <c r="K1782">
        <f t="shared" ca="1" si="111"/>
        <v>5</v>
      </c>
      <c r="N1782" t="str">
        <f t="shared" si="108"/>
        <v>North Yorkshire59L&amp;SC Additional community domiciliary care EOLHome Care or Domiciliary CareDomiciliary care packages</v>
      </c>
      <c r="O1782" t="s">
        <v>241</v>
      </c>
      <c r="P1782" t="s">
        <v>922</v>
      </c>
      <c r="Q1782">
        <v>59</v>
      </c>
      <c r="R1782" t="s">
        <v>4739</v>
      </c>
      <c r="S1782" t="s">
        <v>5188</v>
      </c>
      <c r="T1782" t="s">
        <v>842</v>
      </c>
      <c r="U1782" t="s">
        <v>843</v>
      </c>
      <c r="V1782" t="s">
        <v>5185</v>
      </c>
      <c r="W1782">
        <v>9945</v>
      </c>
      <c r="X1782">
        <v>10508</v>
      </c>
      <c r="Y1782" t="s">
        <v>844</v>
      </c>
      <c r="Z1782" t="s">
        <v>823</v>
      </c>
      <c r="AB1782" t="s">
        <v>824</v>
      </c>
      <c r="AD1782" t="s">
        <v>794</v>
      </c>
      <c r="AE1782" t="s">
        <v>804</v>
      </c>
      <c r="AF1782" t="s">
        <v>796</v>
      </c>
      <c r="AG1782" t="s">
        <v>797</v>
      </c>
      <c r="AH1782">
        <v>298359</v>
      </c>
      <c r="AI1782">
        <v>315245</v>
      </c>
      <c r="AJ1782">
        <v>0</v>
      </c>
    </row>
    <row r="1783" spans="1:36" x14ac:dyDescent="0.3">
      <c r="A1783">
        <f>COUNTIF($D$2:D1783,D1783)</f>
        <v>23</v>
      </c>
      <c r="B1783" t="str">
        <f t="shared" si="109"/>
        <v>23Rochdale</v>
      </c>
      <c r="C1783" t="s">
        <v>5204</v>
      </c>
      <c r="D1783" t="s">
        <v>267</v>
      </c>
      <c r="E1783">
        <v>3</v>
      </c>
      <c r="F1783" t="s">
        <v>5205</v>
      </c>
      <c r="G1783" t="s">
        <v>811</v>
      </c>
      <c r="H1783" t="s">
        <v>895</v>
      </c>
      <c r="I1783" t="s">
        <v>813</v>
      </c>
      <c r="J1783">
        <f t="shared" ca="1" si="110"/>
        <v>41800</v>
      </c>
      <c r="K1783">
        <f t="shared" ca="1" si="111"/>
        <v>10</v>
      </c>
      <c r="N1783" t="str">
        <f t="shared" si="108"/>
        <v>North Yorkshire60WY Community EquipmentAssistive Technologies and EquipmentCommunity based equipment</v>
      </c>
      <c r="O1783" t="s">
        <v>241</v>
      </c>
      <c r="P1783" t="s">
        <v>922</v>
      </c>
      <c r="Q1783">
        <v>60</v>
      </c>
      <c r="R1783" t="s">
        <v>4742</v>
      </c>
      <c r="S1783" t="s">
        <v>5206</v>
      </c>
      <c r="T1783" t="s">
        <v>800</v>
      </c>
      <c r="U1783" t="s">
        <v>903</v>
      </c>
      <c r="W1783">
        <v>305</v>
      </c>
      <c r="X1783">
        <v>305</v>
      </c>
      <c r="Y1783" t="s">
        <v>802</v>
      </c>
      <c r="Z1783" t="s">
        <v>1090</v>
      </c>
      <c r="AB1783" t="s">
        <v>793</v>
      </c>
      <c r="AD1783" t="s">
        <v>794</v>
      </c>
      <c r="AE1783" t="s">
        <v>795</v>
      </c>
      <c r="AF1783" t="s">
        <v>796</v>
      </c>
      <c r="AG1783" t="s">
        <v>797</v>
      </c>
      <c r="AH1783">
        <v>290570</v>
      </c>
      <c r="AI1783">
        <v>307016</v>
      </c>
      <c r="AJ1783">
        <v>0.05</v>
      </c>
    </row>
    <row r="1784" spans="1:36" x14ac:dyDescent="0.3">
      <c r="A1784">
        <f>COUNTIF($D$2:D1784,D1784)</f>
        <v>24</v>
      </c>
      <c r="B1784" t="str">
        <f t="shared" si="109"/>
        <v>24Rochdale</v>
      </c>
      <c r="C1784" t="s">
        <v>5207</v>
      </c>
      <c r="D1784" t="s">
        <v>267</v>
      </c>
      <c r="E1784">
        <v>1</v>
      </c>
      <c r="F1784" t="s">
        <v>5208</v>
      </c>
      <c r="G1784" t="s">
        <v>800</v>
      </c>
      <c r="H1784" t="s">
        <v>903</v>
      </c>
      <c r="I1784" t="s">
        <v>802</v>
      </c>
      <c r="J1784">
        <f t="shared" ca="1" si="110"/>
        <v>25000</v>
      </c>
      <c r="K1784">
        <f t="shared" ca="1" si="111"/>
        <v>423</v>
      </c>
      <c r="N1784" t="str">
        <f t="shared" si="108"/>
        <v>North Yorkshire63WY Intermediate Care BedsBed based intermediate Care Services (Reablement, rehabilitation, wider short-term services supporting recovery)Bed-based intermediate care with reablement (to support discharge)</v>
      </c>
      <c r="O1784" t="s">
        <v>241</v>
      </c>
      <c r="P1784" t="s">
        <v>922</v>
      </c>
      <c r="Q1784">
        <v>63</v>
      </c>
      <c r="R1784" t="s">
        <v>4745</v>
      </c>
      <c r="S1784" t="s">
        <v>1488</v>
      </c>
      <c r="T1784" t="s">
        <v>877</v>
      </c>
      <c r="U1784" t="s">
        <v>878</v>
      </c>
      <c r="W1784">
        <v>56</v>
      </c>
      <c r="X1784">
        <v>38</v>
      </c>
      <c r="Y1784" t="s">
        <v>879</v>
      </c>
      <c r="Z1784" t="s">
        <v>1090</v>
      </c>
      <c r="AB1784" t="s">
        <v>824</v>
      </c>
      <c r="AD1784" t="s">
        <v>794</v>
      </c>
      <c r="AE1784" t="s">
        <v>832</v>
      </c>
      <c r="AF1784" t="s">
        <v>796</v>
      </c>
      <c r="AG1784" t="s">
        <v>797</v>
      </c>
      <c r="AH1784">
        <v>406861</v>
      </c>
      <c r="AI1784">
        <v>281085</v>
      </c>
      <c r="AJ1784">
        <v>0.17</v>
      </c>
    </row>
    <row r="1785" spans="1:36" x14ac:dyDescent="0.3">
      <c r="A1785">
        <f>COUNTIF($D$2:D1785,D1785)</f>
        <v>1</v>
      </c>
      <c r="B1785" t="str">
        <f t="shared" si="109"/>
        <v>1Rotherham</v>
      </c>
      <c r="C1785" t="s">
        <v>5209</v>
      </c>
      <c r="D1785" t="s">
        <v>269</v>
      </c>
      <c r="E1785">
        <v>3</v>
      </c>
      <c r="F1785" t="s">
        <v>434</v>
      </c>
      <c r="G1785" t="s">
        <v>787</v>
      </c>
      <c r="H1785" t="s">
        <v>886</v>
      </c>
      <c r="I1785" t="s">
        <v>789</v>
      </c>
      <c r="J1785">
        <f t="shared" ca="1" si="110"/>
        <v>1087000</v>
      </c>
      <c r="K1785">
        <f t="shared" ca="1" si="111"/>
        <v>838</v>
      </c>
      <c r="N1785" t="str">
        <f t="shared" si="108"/>
        <v>North Yorkshire64WY Carers SupportCarers ServicesOther</v>
      </c>
      <c r="O1785" t="s">
        <v>241</v>
      </c>
      <c r="P1785" t="s">
        <v>922</v>
      </c>
      <c r="Q1785">
        <v>64</v>
      </c>
      <c r="R1785" t="s">
        <v>4748</v>
      </c>
      <c r="S1785" t="s">
        <v>5210</v>
      </c>
      <c r="T1785" t="s">
        <v>811</v>
      </c>
      <c r="U1785" t="s">
        <v>812</v>
      </c>
      <c r="V1785" t="s">
        <v>5175</v>
      </c>
      <c r="W1785">
        <v>2</v>
      </c>
      <c r="X1785">
        <v>2</v>
      </c>
      <c r="Y1785" t="s">
        <v>813</v>
      </c>
      <c r="Z1785" t="s">
        <v>1090</v>
      </c>
      <c r="AB1785" t="s">
        <v>824</v>
      </c>
      <c r="AD1785" t="s">
        <v>794</v>
      </c>
      <c r="AE1785" t="s">
        <v>825</v>
      </c>
      <c r="AF1785" t="s">
        <v>796</v>
      </c>
      <c r="AG1785" t="s">
        <v>797</v>
      </c>
      <c r="AH1785">
        <v>48558</v>
      </c>
      <c r="AI1785">
        <v>51306</v>
      </c>
      <c r="AJ1785">
        <v>0.13</v>
      </c>
    </row>
    <row r="1786" spans="1:36" x14ac:dyDescent="0.3">
      <c r="A1786">
        <f>COUNTIF($D$2:D1786,D1786)</f>
        <v>2</v>
      </c>
      <c r="B1786" t="str">
        <f t="shared" si="109"/>
        <v>2Rotherham</v>
      </c>
      <c r="C1786" t="s">
        <v>5211</v>
      </c>
      <c r="D1786" t="s">
        <v>269</v>
      </c>
      <c r="E1786">
        <v>3</v>
      </c>
      <c r="F1786" t="s">
        <v>1806</v>
      </c>
      <c r="G1786" t="s">
        <v>842</v>
      </c>
      <c r="H1786" t="s">
        <v>843</v>
      </c>
      <c r="I1786" t="s">
        <v>844</v>
      </c>
      <c r="J1786">
        <f t="shared" ca="1" si="110"/>
        <v>758000</v>
      </c>
      <c r="K1786">
        <f t="shared" ca="1" si="111"/>
        <v>34022</v>
      </c>
      <c r="N1786" t="str">
        <f t="shared" si="108"/>
        <v>North Yorkshire65WY Carers SupportCarers ServicesOther</v>
      </c>
      <c r="O1786" t="s">
        <v>241</v>
      </c>
      <c r="P1786" t="s">
        <v>922</v>
      </c>
      <c r="Q1786">
        <v>65</v>
      </c>
      <c r="R1786" t="s">
        <v>4748</v>
      </c>
      <c r="S1786" t="s">
        <v>5210</v>
      </c>
      <c r="T1786" t="s">
        <v>811</v>
      </c>
      <c r="U1786" t="s">
        <v>812</v>
      </c>
      <c r="V1786" t="s">
        <v>5175</v>
      </c>
      <c r="W1786">
        <v>2</v>
      </c>
      <c r="X1786">
        <v>2</v>
      </c>
      <c r="Y1786" t="s">
        <v>813</v>
      </c>
      <c r="Z1786" t="s">
        <v>1090</v>
      </c>
      <c r="AB1786" t="s">
        <v>793</v>
      </c>
      <c r="AD1786" t="s">
        <v>794</v>
      </c>
      <c r="AE1786" t="s">
        <v>795</v>
      </c>
      <c r="AF1786" t="s">
        <v>796</v>
      </c>
      <c r="AG1786" t="s">
        <v>797</v>
      </c>
      <c r="AH1786">
        <v>20618</v>
      </c>
      <c r="AI1786">
        <v>21785</v>
      </c>
      <c r="AJ1786">
        <v>0.05</v>
      </c>
    </row>
    <row r="1787" spans="1:36" x14ac:dyDescent="0.3">
      <c r="A1787">
        <f>COUNTIF($D$2:D1787,D1787)</f>
        <v>3</v>
      </c>
      <c r="B1787" t="str">
        <f t="shared" si="109"/>
        <v>3Rotherham</v>
      </c>
      <c r="C1787" t="s">
        <v>5212</v>
      </c>
      <c r="D1787" t="s">
        <v>269</v>
      </c>
      <c r="E1787">
        <v>10</v>
      </c>
      <c r="F1787" t="s">
        <v>891</v>
      </c>
      <c r="G1787" t="s">
        <v>834</v>
      </c>
      <c r="H1787" t="s">
        <v>835</v>
      </c>
      <c r="I1787" t="s">
        <v>836</v>
      </c>
      <c r="J1787">
        <f t="shared" ca="1" si="110"/>
        <v>2193735</v>
      </c>
      <c r="K1787">
        <f t="shared" ca="1" si="111"/>
        <v>201</v>
      </c>
      <c r="N1787" t="str">
        <f t="shared" si="108"/>
        <v>North Yorkshire66WY  Intermediate Care BedsBed based intermediate Care Services (Reablement, rehabilitation, wider short-term services supporting recovery)Bed-based intermediate care with reablement (to support discharge)</v>
      </c>
      <c r="O1787" t="s">
        <v>241</v>
      </c>
      <c r="P1787" t="s">
        <v>922</v>
      </c>
      <c r="Q1787">
        <v>66</v>
      </c>
      <c r="R1787" t="s">
        <v>4752</v>
      </c>
      <c r="S1787" t="s">
        <v>1488</v>
      </c>
      <c r="T1787" t="s">
        <v>877</v>
      </c>
      <c r="U1787" t="s">
        <v>878</v>
      </c>
      <c r="W1787">
        <v>15</v>
      </c>
      <c r="X1787">
        <v>16</v>
      </c>
      <c r="Y1787" t="s">
        <v>879</v>
      </c>
      <c r="Z1787" t="s">
        <v>1090</v>
      </c>
      <c r="AB1787" t="s">
        <v>824</v>
      </c>
      <c r="AD1787" t="s">
        <v>794</v>
      </c>
      <c r="AE1787" t="s">
        <v>804</v>
      </c>
      <c r="AF1787" t="s">
        <v>796</v>
      </c>
      <c r="AG1787" t="s">
        <v>797</v>
      </c>
      <c r="AH1787">
        <v>113302</v>
      </c>
      <c r="AI1787">
        <v>119714</v>
      </c>
      <c r="AJ1787">
        <v>0.05</v>
      </c>
    </row>
    <row r="1788" spans="1:36" x14ac:dyDescent="0.3">
      <c r="A1788">
        <f>COUNTIF($D$2:D1788,D1788)</f>
        <v>4</v>
      </c>
      <c r="B1788" t="str">
        <f t="shared" si="109"/>
        <v>4Rotherham</v>
      </c>
      <c r="C1788" t="s">
        <v>5213</v>
      </c>
      <c r="D1788" t="s">
        <v>269</v>
      </c>
      <c r="E1788">
        <v>10</v>
      </c>
      <c r="F1788" t="s">
        <v>891</v>
      </c>
      <c r="G1788" t="s">
        <v>800</v>
      </c>
      <c r="H1788" t="s">
        <v>903</v>
      </c>
      <c r="I1788" t="s">
        <v>802</v>
      </c>
      <c r="J1788">
        <f t="shared" ca="1" si="110"/>
        <v>870000</v>
      </c>
      <c r="K1788">
        <f t="shared" ca="1" si="111"/>
        <v>2134</v>
      </c>
      <c r="N1788" t="str">
        <f t="shared" si="108"/>
        <v>North Yorkshire71WY  Protection of Social CareHome Care or Domiciliary CareDomiciliary care packages</v>
      </c>
      <c r="O1788" t="s">
        <v>241</v>
      </c>
      <c r="P1788" t="s">
        <v>922</v>
      </c>
      <c r="Q1788">
        <v>71</v>
      </c>
      <c r="R1788" t="s">
        <v>4755</v>
      </c>
      <c r="S1788" t="s">
        <v>1500</v>
      </c>
      <c r="T1788" t="s">
        <v>842</v>
      </c>
      <c r="U1788" t="s">
        <v>843</v>
      </c>
      <c r="W1788">
        <v>49320</v>
      </c>
      <c r="X1788">
        <v>60383</v>
      </c>
      <c r="Y1788" t="s">
        <v>844</v>
      </c>
      <c r="Z1788" t="s">
        <v>792</v>
      </c>
      <c r="AB1788" t="s">
        <v>793</v>
      </c>
      <c r="AD1788" t="s">
        <v>794</v>
      </c>
      <c r="AE1788" t="s">
        <v>795</v>
      </c>
      <c r="AF1788" t="s">
        <v>796</v>
      </c>
      <c r="AG1788" t="s">
        <v>797</v>
      </c>
      <c r="AH1788">
        <v>1479618</v>
      </c>
      <c r="AI1788">
        <v>1811500</v>
      </c>
      <c r="AJ1788">
        <v>0.6</v>
      </c>
    </row>
    <row r="1789" spans="1:36" x14ac:dyDescent="0.3">
      <c r="A1789">
        <f>COUNTIF($D$2:D1789,D1789)</f>
        <v>5</v>
      </c>
      <c r="B1789" t="str">
        <f t="shared" si="109"/>
        <v>5Rotherham</v>
      </c>
      <c r="C1789" t="s">
        <v>5214</v>
      </c>
      <c r="D1789" t="s">
        <v>269</v>
      </c>
      <c r="E1789">
        <v>10</v>
      </c>
      <c r="F1789" t="s">
        <v>5215</v>
      </c>
      <c r="G1789" t="s">
        <v>834</v>
      </c>
      <c r="H1789" t="s">
        <v>812</v>
      </c>
      <c r="I1789" t="s">
        <v>836</v>
      </c>
      <c r="J1789">
        <f t="shared" ca="1" si="110"/>
        <v>1496000</v>
      </c>
      <c r="K1789">
        <f t="shared" ca="1" si="111"/>
        <v>201</v>
      </c>
      <c r="N1789" t="str">
        <f t="shared" si="108"/>
        <v>North Yorkshire72WY Other Equipment and technologiesAssistive Technologies and EquipmentCommunity based equipment</v>
      </c>
      <c r="O1789" t="s">
        <v>241</v>
      </c>
      <c r="P1789" t="s">
        <v>922</v>
      </c>
      <c r="Q1789">
        <v>72</v>
      </c>
      <c r="R1789" t="s">
        <v>4757</v>
      </c>
      <c r="S1789" t="s">
        <v>5206</v>
      </c>
      <c r="T1789" t="s">
        <v>800</v>
      </c>
      <c r="U1789" t="s">
        <v>903</v>
      </c>
      <c r="W1789">
        <v>24</v>
      </c>
      <c r="X1789">
        <v>24</v>
      </c>
      <c r="Y1789" t="s">
        <v>802</v>
      </c>
      <c r="Z1789" t="s">
        <v>792</v>
      </c>
      <c r="AB1789" t="s">
        <v>793</v>
      </c>
      <c r="AD1789" t="s">
        <v>794</v>
      </c>
      <c r="AE1789" t="s">
        <v>795</v>
      </c>
      <c r="AF1789" t="s">
        <v>796</v>
      </c>
      <c r="AG1789" t="s">
        <v>797</v>
      </c>
      <c r="AH1789">
        <v>22968</v>
      </c>
      <c r="AI1789">
        <v>24268</v>
      </c>
      <c r="AJ1789">
        <v>0</v>
      </c>
    </row>
    <row r="1790" spans="1:36" x14ac:dyDescent="0.3">
      <c r="A1790">
        <f>COUNTIF($D$2:D1790,D1790)</f>
        <v>6</v>
      </c>
      <c r="B1790" t="str">
        <f t="shared" si="109"/>
        <v>6Rotherham</v>
      </c>
      <c r="C1790" t="s">
        <v>5216</v>
      </c>
      <c r="D1790" t="s">
        <v>269</v>
      </c>
      <c r="E1790">
        <v>13</v>
      </c>
      <c r="F1790" t="s">
        <v>1550</v>
      </c>
      <c r="G1790" t="s">
        <v>877</v>
      </c>
      <c r="H1790" t="s">
        <v>968</v>
      </c>
      <c r="I1790" t="s">
        <v>879</v>
      </c>
      <c r="J1790">
        <f t="shared" ca="1" si="110"/>
        <v>4285038</v>
      </c>
      <c r="K1790">
        <f t="shared" ca="1" si="111"/>
        <v>1192</v>
      </c>
      <c r="N1790" t="str">
        <f t="shared" si="108"/>
        <v xml:space="preserve">North Yorkshire73WY Reablement ServicesHome-based intermediate care servicesReablement at home (to support discharge) </v>
      </c>
      <c r="O1790" t="s">
        <v>241</v>
      </c>
      <c r="P1790" t="s">
        <v>922</v>
      </c>
      <c r="Q1790">
        <v>73</v>
      </c>
      <c r="R1790" t="s">
        <v>4759</v>
      </c>
      <c r="S1790" t="s">
        <v>1529</v>
      </c>
      <c r="T1790" t="s">
        <v>787</v>
      </c>
      <c r="U1790" t="s">
        <v>788</v>
      </c>
      <c r="W1790">
        <v>4</v>
      </c>
      <c r="X1790">
        <v>4</v>
      </c>
      <c r="Y1790" t="s">
        <v>789</v>
      </c>
      <c r="Z1790" t="s">
        <v>792</v>
      </c>
      <c r="AB1790" t="s">
        <v>793</v>
      </c>
      <c r="AD1790" t="s">
        <v>794</v>
      </c>
      <c r="AE1790" t="s">
        <v>795</v>
      </c>
      <c r="AF1790" t="s">
        <v>860</v>
      </c>
      <c r="AG1790" t="s">
        <v>797</v>
      </c>
      <c r="AH1790">
        <v>124000</v>
      </c>
      <c r="AI1790">
        <v>131018</v>
      </c>
      <c r="AJ1790">
        <v>0.01</v>
      </c>
    </row>
    <row r="1791" spans="1:36" x14ac:dyDescent="0.3">
      <c r="A1791">
        <f>COUNTIF($D$2:D1791,D1791)</f>
        <v>7</v>
      </c>
      <c r="B1791" t="str">
        <f t="shared" si="109"/>
        <v>7Rotherham</v>
      </c>
      <c r="C1791" t="s">
        <v>5217</v>
      </c>
      <c r="D1791" t="s">
        <v>269</v>
      </c>
      <c r="E1791">
        <v>13</v>
      </c>
      <c r="F1791" t="s">
        <v>5218</v>
      </c>
      <c r="G1791" t="s">
        <v>787</v>
      </c>
      <c r="H1791" t="s">
        <v>788</v>
      </c>
      <c r="I1791" t="s">
        <v>789</v>
      </c>
      <c r="J1791">
        <f t="shared" ca="1" si="110"/>
        <v>862000</v>
      </c>
      <c r="K1791">
        <f t="shared" ca="1" si="111"/>
        <v>374</v>
      </c>
      <c r="N1791" t="str">
        <f t="shared" si="108"/>
        <v xml:space="preserve">North Yorkshire74L&amp;SC Reablement ServicesHome-based intermediate care servicesReablement at home (to support discharge) </v>
      </c>
      <c r="O1791" t="s">
        <v>241</v>
      </c>
      <c r="P1791" t="s">
        <v>922</v>
      </c>
      <c r="Q1791">
        <v>74</v>
      </c>
      <c r="R1791" t="s">
        <v>4761</v>
      </c>
      <c r="S1791" t="s">
        <v>1529</v>
      </c>
      <c r="T1791" t="s">
        <v>787</v>
      </c>
      <c r="U1791" t="s">
        <v>788</v>
      </c>
      <c r="W1791">
        <v>2</v>
      </c>
      <c r="X1791">
        <v>2</v>
      </c>
      <c r="Y1791" t="s">
        <v>789</v>
      </c>
      <c r="Z1791" t="s">
        <v>792</v>
      </c>
      <c r="AB1791" t="s">
        <v>793</v>
      </c>
      <c r="AD1791" t="s">
        <v>794</v>
      </c>
      <c r="AE1791" t="s">
        <v>795</v>
      </c>
      <c r="AF1791" t="s">
        <v>860</v>
      </c>
      <c r="AG1791" t="s">
        <v>797</v>
      </c>
      <c r="AH1791">
        <v>45496</v>
      </c>
      <c r="AI1791">
        <v>58561</v>
      </c>
      <c r="AJ1791">
        <v>0.01</v>
      </c>
    </row>
    <row r="1792" spans="1:36" x14ac:dyDescent="0.3">
      <c r="A1792">
        <f>COUNTIF($D$2:D1792,D1792)</f>
        <v>8</v>
      </c>
      <c r="B1792" t="str">
        <f t="shared" si="109"/>
        <v>8Rotherham</v>
      </c>
      <c r="C1792" t="s">
        <v>5219</v>
      </c>
      <c r="D1792" t="s">
        <v>269</v>
      </c>
      <c r="E1792">
        <v>13</v>
      </c>
      <c r="F1792" t="s">
        <v>5220</v>
      </c>
      <c r="G1792" t="s">
        <v>877</v>
      </c>
      <c r="H1792" t="s">
        <v>812</v>
      </c>
      <c r="I1792" t="s">
        <v>879</v>
      </c>
      <c r="J1792">
        <f t="shared" ca="1" si="110"/>
        <v>625000</v>
      </c>
      <c r="K1792">
        <f t="shared" ca="1" si="111"/>
        <v>748</v>
      </c>
      <c r="N1792" t="str">
        <f t="shared" si="108"/>
        <v>Northumberland1Rehabilitation and Community hospital bedsBed based intermediate Care Services (Reablement, rehabilitation, wider short-term services supporting recovery)Bed-based intermediate care with rehabilitation (to support discharge)</v>
      </c>
      <c r="O1792" t="s">
        <v>243</v>
      </c>
      <c r="P1792" t="s">
        <v>2195</v>
      </c>
      <c r="Q1792">
        <v>1</v>
      </c>
      <c r="R1792" t="s">
        <v>4764</v>
      </c>
      <c r="S1792" t="s">
        <v>5221</v>
      </c>
      <c r="T1792" t="s">
        <v>877</v>
      </c>
      <c r="U1792" t="s">
        <v>968</v>
      </c>
      <c r="V1792" t="s">
        <v>5222</v>
      </c>
      <c r="W1792">
        <v>22</v>
      </c>
      <c r="X1792">
        <v>22</v>
      </c>
      <c r="Y1792" t="s">
        <v>879</v>
      </c>
      <c r="Z1792" t="s">
        <v>823</v>
      </c>
      <c r="AB1792" t="s">
        <v>824</v>
      </c>
      <c r="AD1792" t="s">
        <v>794</v>
      </c>
      <c r="AE1792" t="s">
        <v>1119</v>
      </c>
      <c r="AF1792" t="s">
        <v>796</v>
      </c>
      <c r="AG1792" t="s">
        <v>797</v>
      </c>
      <c r="AH1792">
        <v>2697041.0164153278</v>
      </c>
      <c r="AI1792">
        <v>2849693.4583269139</v>
      </c>
      <c r="AJ1792">
        <v>0.26400000000000001</v>
      </c>
    </row>
    <row r="1793" spans="1:36" x14ac:dyDescent="0.3">
      <c r="A1793">
        <f>COUNTIF($D$2:D1793,D1793)</f>
        <v>9</v>
      </c>
      <c r="B1793" t="str">
        <f t="shared" si="109"/>
        <v>9Rotherham</v>
      </c>
      <c r="C1793" t="s">
        <v>5223</v>
      </c>
      <c r="D1793" t="s">
        <v>269</v>
      </c>
      <c r="E1793">
        <v>13</v>
      </c>
      <c r="F1793" t="s">
        <v>5224</v>
      </c>
      <c r="G1793" t="s">
        <v>877</v>
      </c>
      <c r="H1793" t="s">
        <v>812</v>
      </c>
      <c r="I1793" t="s">
        <v>879</v>
      </c>
      <c r="J1793">
        <f t="shared" ca="1" si="110"/>
        <v>36000</v>
      </c>
      <c r="K1793">
        <f t="shared" ca="1" si="111"/>
        <v>374</v>
      </c>
      <c r="N1793" t="str">
        <f t="shared" si="108"/>
        <v>Northumberland7CarersCarers ServicesRespite services</v>
      </c>
      <c r="O1793" t="s">
        <v>243</v>
      </c>
      <c r="P1793" t="s">
        <v>2195</v>
      </c>
      <c r="Q1793">
        <v>7</v>
      </c>
      <c r="R1793" t="s">
        <v>1250</v>
      </c>
      <c r="S1793" t="s">
        <v>811</v>
      </c>
      <c r="T1793" t="s">
        <v>811</v>
      </c>
      <c r="U1793" t="s">
        <v>830</v>
      </c>
      <c r="W1793">
        <v>270</v>
      </c>
      <c r="X1793">
        <v>270</v>
      </c>
      <c r="Y1793" t="s">
        <v>813</v>
      </c>
      <c r="Z1793" t="s">
        <v>1061</v>
      </c>
      <c r="AB1793" t="s">
        <v>793</v>
      </c>
      <c r="AD1793" t="s">
        <v>794</v>
      </c>
      <c r="AE1793" t="s">
        <v>795</v>
      </c>
      <c r="AF1793" t="s">
        <v>796</v>
      </c>
      <c r="AG1793" t="s">
        <v>797</v>
      </c>
      <c r="AH1793">
        <v>907306.39999999979</v>
      </c>
      <c r="AI1793">
        <v>958659.91545602214</v>
      </c>
      <c r="AJ1793">
        <v>1</v>
      </c>
    </row>
    <row r="1794" spans="1:36" x14ac:dyDescent="0.3">
      <c r="A1794">
        <f>COUNTIF($D$2:D1794,D1794)</f>
        <v>10</v>
      </c>
      <c r="B1794" t="str">
        <f t="shared" si="109"/>
        <v>10Rotherham</v>
      </c>
      <c r="C1794" t="s">
        <v>5225</v>
      </c>
      <c r="D1794" t="s">
        <v>269</v>
      </c>
      <c r="E1794">
        <v>13</v>
      </c>
      <c r="F1794" t="s">
        <v>1550</v>
      </c>
      <c r="G1794" t="s">
        <v>787</v>
      </c>
      <c r="H1794" t="s">
        <v>788</v>
      </c>
      <c r="I1794" t="s">
        <v>789</v>
      </c>
      <c r="J1794">
        <f t="shared" ca="1" si="110"/>
        <v>367000</v>
      </c>
      <c r="K1794">
        <f t="shared" ca="1" si="111"/>
        <v>374</v>
      </c>
      <c r="N1794" t="str">
        <f t="shared" ref="N1794:N1857" si="112">O1794&amp;Q1794&amp;R1794&amp;T1794&amp;U1794</f>
        <v>Northumberland10Short-term support service (reablement)Home-based intermediate care servicesRehabilitation at home (accepting step up and step down users)</v>
      </c>
      <c r="O1794" t="s">
        <v>243</v>
      </c>
      <c r="P1794" t="s">
        <v>2195</v>
      </c>
      <c r="Q1794">
        <v>10</v>
      </c>
      <c r="R1794" t="s">
        <v>4767</v>
      </c>
      <c r="S1794" t="s">
        <v>5226</v>
      </c>
      <c r="T1794" t="s">
        <v>787</v>
      </c>
      <c r="U1794" t="s">
        <v>1688</v>
      </c>
      <c r="W1794">
        <v>1027.7968188164175</v>
      </c>
      <c r="X1794">
        <v>1027.7968188164175</v>
      </c>
      <c r="Y1794" t="s">
        <v>789</v>
      </c>
      <c r="Z1794" t="s">
        <v>792</v>
      </c>
      <c r="AB1794" t="s">
        <v>793</v>
      </c>
      <c r="AD1794" t="s">
        <v>794</v>
      </c>
      <c r="AE1794" t="s">
        <v>795</v>
      </c>
      <c r="AF1794" t="s">
        <v>796</v>
      </c>
      <c r="AG1794" t="s">
        <v>797</v>
      </c>
      <c r="AH1794">
        <v>3000000</v>
      </c>
      <c r="AI1794">
        <v>3169800</v>
      </c>
      <c r="AJ1794">
        <v>0.66053780129589834</v>
      </c>
    </row>
    <row r="1795" spans="1:36" x14ac:dyDescent="0.3">
      <c r="A1795">
        <f>COUNTIF($D$2:D1795,D1795)</f>
        <v>11</v>
      </c>
      <c r="B1795" t="str">
        <f t="shared" ref="B1795:B1858" si="113">A1795&amp;D1795</f>
        <v>11Rotherham</v>
      </c>
      <c r="C1795" t="s">
        <v>5227</v>
      </c>
      <c r="D1795" t="s">
        <v>269</v>
      </c>
      <c r="E1795">
        <v>14</v>
      </c>
      <c r="F1795" t="s">
        <v>872</v>
      </c>
      <c r="G1795" t="s">
        <v>806</v>
      </c>
      <c r="H1795" t="s">
        <v>873</v>
      </c>
      <c r="I1795" t="s">
        <v>808</v>
      </c>
      <c r="J1795">
        <f t="shared" ref="J1795:J1858" ca="1" si="114">SUMIF($N:$AI,C1795,AH:AH)</f>
        <v>410000</v>
      </c>
      <c r="K1795">
        <f t="shared" ref="K1795:K1858" ca="1" si="115">SUMIF($N:$AI,C1795,W:W)</f>
        <v>8</v>
      </c>
      <c r="N1795" t="str">
        <f t="shared" si="112"/>
        <v>Northumberland11Short-term support service (therapy)Home-based intermediate care servicesRehabilitation at home (accepting step up and step down users)</v>
      </c>
      <c r="O1795" t="s">
        <v>243</v>
      </c>
      <c r="P1795" t="s">
        <v>2195</v>
      </c>
      <c r="Q1795">
        <v>11</v>
      </c>
      <c r="R1795" t="s">
        <v>4769</v>
      </c>
      <c r="S1795" t="s">
        <v>5228</v>
      </c>
      <c r="T1795" t="s">
        <v>787</v>
      </c>
      <c r="U1795" t="s">
        <v>1688</v>
      </c>
      <c r="W1795">
        <v>2991.4748959719545</v>
      </c>
      <c r="X1795">
        <v>2991.4748959719545</v>
      </c>
      <c r="Y1795" t="s">
        <v>789</v>
      </c>
      <c r="Z1795" t="s">
        <v>792</v>
      </c>
      <c r="AB1795" t="s">
        <v>793</v>
      </c>
      <c r="AD1795" t="s">
        <v>794</v>
      </c>
      <c r="AE1795" t="s">
        <v>795</v>
      </c>
      <c r="AF1795" t="s">
        <v>796</v>
      </c>
      <c r="AG1795" t="s">
        <v>797</v>
      </c>
      <c r="AH1795">
        <v>427157.90284176311</v>
      </c>
      <c r="AI1795">
        <v>451335.04014260689</v>
      </c>
      <c r="AJ1795">
        <v>0.3982791766704773</v>
      </c>
    </row>
    <row r="1796" spans="1:36" x14ac:dyDescent="0.3">
      <c r="A1796">
        <f>COUNTIF($D$2:D1796,D1796)</f>
        <v>12</v>
      </c>
      <c r="B1796" t="str">
        <f t="shared" si="113"/>
        <v>12Rotherham</v>
      </c>
      <c r="C1796" t="s">
        <v>5229</v>
      </c>
      <c r="D1796" t="s">
        <v>269</v>
      </c>
      <c r="E1796">
        <v>16</v>
      </c>
      <c r="F1796" t="s">
        <v>5230</v>
      </c>
      <c r="G1796" t="s">
        <v>806</v>
      </c>
      <c r="H1796" t="s">
        <v>807</v>
      </c>
      <c r="I1796" t="s">
        <v>808</v>
      </c>
      <c r="J1796">
        <f t="shared" ca="1" si="114"/>
        <v>209000</v>
      </c>
      <c r="K1796">
        <f t="shared" ca="1" si="115"/>
        <v>3</v>
      </c>
      <c r="N1796" t="str">
        <f t="shared" si="112"/>
        <v>Northumberland12Long-term home care (independent sector)Home Care or Domiciliary CareDomiciliary care packages</v>
      </c>
      <c r="O1796" t="s">
        <v>243</v>
      </c>
      <c r="P1796" t="s">
        <v>2195</v>
      </c>
      <c r="Q1796">
        <v>12</v>
      </c>
      <c r="R1796" t="s">
        <v>4771</v>
      </c>
      <c r="S1796" t="s">
        <v>5231</v>
      </c>
      <c r="T1796" t="s">
        <v>842</v>
      </c>
      <c r="U1796" t="s">
        <v>843</v>
      </c>
      <c r="W1796">
        <v>347350.02732494107</v>
      </c>
      <c r="X1796">
        <v>338258.10034242651</v>
      </c>
      <c r="Y1796" t="s">
        <v>844</v>
      </c>
      <c r="Z1796" t="s">
        <v>792</v>
      </c>
      <c r="AB1796" t="s">
        <v>793</v>
      </c>
      <c r="AD1796" t="s">
        <v>794</v>
      </c>
      <c r="AE1796" t="s">
        <v>804</v>
      </c>
      <c r="AF1796" t="s">
        <v>796</v>
      </c>
      <c r="AG1796" t="s">
        <v>797</v>
      </c>
      <c r="AH1796">
        <v>8728906.1866757683</v>
      </c>
      <c r="AI1796">
        <v>9222962.2768416163</v>
      </c>
      <c r="AJ1796">
        <v>0.27547093268025202</v>
      </c>
    </row>
    <row r="1797" spans="1:36" x14ac:dyDescent="0.3">
      <c r="A1797">
        <f>COUNTIF($D$2:D1797,D1797)</f>
        <v>13</v>
      </c>
      <c r="B1797" t="str">
        <f t="shared" si="113"/>
        <v>13Rotherham</v>
      </c>
      <c r="C1797" t="s">
        <v>5232</v>
      </c>
      <c r="D1797" t="s">
        <v>269</v>
      </c>
      <c r="E1797">
        <v>17</v>
      </c>
      <c r="F1797" t="s">
        <v>5233</v>
      </c>
      <c r="G1797" t="s">
        <v>806</v>
      </c>
      <c r="H1797" t="s">
        <v>854</v>
      </c>
      <c r="I1797" t="s">
        <v>808</v>
      </c>
      <c r="J1797">
        <f t="shared" ca="1" si="114"/>
        <v>984000</v>
      </c>
      <c r="K1797">
        <f t="shared" ca="1" si="115"/>
        <v>11</v>
      </c>
      <c r="N1797" t="str">
        <f t="shared" si="112"/>
        <v>Northumberland13Long-term home care (independent sector)Home Care or Domiciliary CareDomiciliary care packages</v>
      </c>
      <c r="O1797" t="s">
        <v>243</v>
      </c>
      <c r="P1797" t="s">
        <v>2195</v>
      </c>
      <c r="Q1797">
        <v>13</v>
      </c>
      <c r="R1797" t="s">
        <v>4771</v>
      </c>
      <c r="S1797" t="s">
        <v>5234</v>
      </c>
      <c r="T1797" t="s">
        <v>842</v>
      </c>
      <c r="U1797" t="s">
        <v>843</v>
      </c>
      <c r="W1797">
        <v>298448.07003581378</v>
      </c>
      <c r="X1797">
        <v>275067.34565512795</v>
      </c>
      <c r="Y1797" t="s">
        <v>844</v>
      </c>
      <c r="Z1797" t="s">
        <v>792</v>
      </c>
      <c r="AB1797" t="s">
        <v>793</v>
      </c>
      <c r="AD1797" t="s">
        <v>794</v>
      </c>
      <c r="AE1797" t="s">
        <v>804</v>
      </c>
      <c r="AF1797" t="s">
        <v>845</v>
      </c>
      <c r="AG1797" t="s">
        <v>797</v>
      </c>
      <c r="AH1797">
        <v>7500000</v>
      </c>
      <c r="AI1797">
        <v>7500000</v>
      </c>
      <c r="AJ1797">
        <v>0.23017459149732253</v>
      </c>
    </row>
    <row r="1798" spans="1:36" x14ac:dyDescent="0.3">
      <c r="A1798">
        <f>COUNTIF($D$2:D1798,D1798)</f>
        <v>14</v>
      </c>
      <c r="B1798" t="str">
        <f t="shared" si="113"/>
        <v>14Rotherham</v>
      </c>
      <c r="C1798" t="s">
        <v>5235</v>
      </c>
      <c r="D1798" t="s">
        <v>269</v>
      </c>
      <c r="E1798">
        <v>17</v>
      </c>
      <c r="F1798" t="s">
        <v>5236</v>
      </c>
      <c r="G1798" t="s">
        <v>842</v>
      </c>
      <c r="H1798" t="s">
        <v>843</v>
      </c>
      <c r="I1798" t="s">
        <v>844</v>
      </c>
      <c r="J1798">
        <f t="shared" ca="1" si="114"/>
        <v>37000</v>
      </c>
      <c r="K1798">
        <f t="shared" ca="1" si="115"/>
        <v>1661</v>
      </c>
      <c r="N1798" t="str">
        <f t="shared" si="112"/>
        <v>Northumberland14Dementia care in care homesResidential PlacementsCare home</v>
      </c>
      <c r="O1798" t="s">
        <v>243</v>
      </c>
      <c r="P1798" t="s">
        <v>2195</v>
      </c>
      <c r="Q1798">
        <v>14</v>
      </c>
      <c r="R1798" t="s">
        <v>4775</v>
      </c>
      <c r="S1798" t="s">
        <v>5237</v>
      </c>
      <c r="T1798" t="s">
        <v>806</v>
      </c>
      <c r="U1798" t="s">
        <v>807</v>
      </c>
      <c r="W1798">
        <v>128.17139887386799</v>
      </c>
      <c r="X1798">
        <v>124.8164977420543</v>
      </c>
      <c r="Y1798" t="s">
        <v>808</v>
      </c>
      <c r="Z1798" t="s">
        <v>792</v>
      </c>
      <c r="AB1798" t="s">
        <v>793</v>
      </c>
      <c r="AD1798" t="s">
        <v>794</v>
      </c>
      <c r="AE1798" t="s">
        <v>804</v>
      </c>
      <c r="AF1798" t="s">
        <v>796</v>
      </c>
      <c r="AG1798" t="s">
        <v>797</v>
      </c>
      <c r="AH1798">
        <v>5266812.5344172474</v>
      </c>
      <c r="AI1798">
        <v>5564914.1238652635</v>
      </c>
      <c r="AJ1798">
        <v>0.15652305800176242</v>
      </c>
    </row>
    <row r="1799" spans="1:36" x14ac:dyDescent="0.3">
      <c r="A1799">
        <f>COUNTIF($D$2:D1799,D1799)</f>
        <v>15</v>
      </c>
      <c r="B1799" t="str">
        <f t="shared" si="113"/>
        <v>15Rotherham</v>
      </c>
      <c r="C1799" t="s">
        <v>5238</v>
      </c>
      <c r="D1799" t="s">
        <v>269</v>
      </c>
      <c r="E1799">
        <v>18</v>
      </c>
      <c r="F1799" t="s">
        <v>5239</v>
      </c>
      <c r="G1799" t="s">
        <v>806</v>
      </c>
      <c r="H1799" t="s">
        <v>917</v>
      </c>
      <c r="I1799" t="s">
        <v>808</v>
      </c>
      <c r="J1799">
        <f t="shared" ca="1" si="114"/>
        <v>520000</v>
      </c>
      <c r="K1799">
        <f t="shared" ca="1" si="115"/>
        <v>98</v>
      </c>
      <c r="N1799" t="str">
        <f t="shared" si="112"/>
        <v>Northumberland15Other care home placementsResidential PlacementsCare home</v>
      </c>
      <c r="O1799" t="s">
        <v>243</v>
      </c>
      <c r="P1799" t="s">
        <v>2195</v>
      </c>
      <c r="Q1799">
        <v>15</v>
      </c>
      <c r="R1799" t="s">
        <v>4777</v>
      </c>
      <c r="S1799" t="s">
        <v>5240</v>
      </c>
      <c r="T1799" t="s">
        <v>806</v>
      </c>
      <c r="U1799" t="s">
        <v>807</v>
      </c>
      <c r="W1799">
        <v>131.34435388837133</v>
      </c>
      <c r="X1799">
        <v>121.05470404458188</v>
      </c>
      <c r="Y1799" t="s">
        <v>808</v>
      </c>
      <c r="Z1799" t="s">
        <v>792</v>
      </c>
      <c r="AB1799" t="s">
        <v>793</v>
      </c>
      <c r="AD1799" t="s">
        <v>794</v>
      </c>
      <c r="AE1799" t="s">
        <v>804</v>
      </c>
      <c r="AF1799" t="s">
        <v>845</v>
      </c>
      <c r="AG1799" t="s">
        <v>797</v>
      </c>
      <c r="AH1799">
        <v>4995752</v>
      </c>
      <c r="AI1799">
        <v>4995752</v>
      </c>
      <c r="AJ1799">
        <v>8.2244147364297193E-2</v>
      </c>
    </row>
    <row r="1800" spans="1:36" x14ac:dyDescent="0.3">
      <c r="A1800">
        <f>COUNTIF($D$2:D1800,D1800)</f>
        <v>16</v>
      </c>
      <c r="B1800" t="str">
        <f t="shared" si="113"/>
        <v>16Rotherham</v>
      </c>
      <c r="C1800" t="s">
        <v>5241</v>
      </c>
      <c r="D1800" t="s">
        <v>269</v>
      </c>
      <c r="E1800">
        <v>25</v>
      </c>
      <c r="F1800" t="s">
        <v>3674</v>
      </c>
      <c r="G1800" t="s">
        <v>811</v>
      </c>
      <c r="H1800" t="s">
        <v>895</v>
      </c>
      <c r="I1800" t="s">
        <v>813</v>
      </c>
      <c r="J1800">
        <f t="shared" ca="1" si="114"/>
        <v>260000</v>
      </c>
      <c r="K1800">
        <f t="shared" ca="1" si="115"/>
        <v>30030</v>
      </c>
      <c r="N1800" t="str">
        <f t="shared" si="112"/>
        <v>Northumberland17DFG GrantDFG Related SchemesOther</v>
      </c>
      <c r="O1800" t="s">
        <v>243</v>
      </c>
      <c r="P1800" t="s">
        <v>2195</v>
      </c>
      <c r="Q1800">
        <v>17</v>
      </c>
      <c r="R1800" t="s">
        <v>4779</v>
      </c>
      <c r="S1800" t="s">
        <v>5242</v>
      </c>
      <c r="T1800" t="s">
        <v>834</v>
      </c>
      <c r="U1800" t="s">
        <v>812</v>
      </c>
      <c r="V1800" t="s">
        <v>5243</v>
      </c>
      <c r="W1800">
        <v>200</v>
      </c>
      <c r="X1800">
        <v>200</v>
      </c>
      <c r="Y1800" t="s">
        <v>836</v>
      </c>
      <c r="Z1800" t="s">
        <v>792</v>
      </c>
      <c r="AB1800" t="s">
        <v>793</v>
      </c>
      <c r="AD1800" t="s">
        <v>794</v>
      </c>
      <c r="AE1800" t="s">
        <v>795</v>
      </c>
      <c r="AF1800" t="s">
        <v>840</v>
      </c>
      <c r="AG1800" t="s">
        <v>797</v>
      </c>
      <c r="AH1800">
        <v>3328942</v>
      </c>
      <c r="AI1800">
        <v>3328942</v>
      </c>
      <c r="AJ1800">
        <v>1</v>
      </c>
    </row>
    <row r="1801" spans="1:36" x14ac:dyDescent="0.3">
      <c r="A1801">
        <f>COUNTIF($D$2:D1801,D1801)</f>
        <v>17</v>
      </c>
      <c r="B1801" t="str">
        <f t="shared" si="113"/>
        <v>17Rotherham</v>
      </c>
      <c r="C1801" t="s">
        <v>5244</v>
      </c>
      <c r="D1801" t="s">
        <v>269</v>
      </c>
      <c r="E1801">
        <v>25</v>
      </c>
      <c r="F1801" t="s">
        <v>3674</v>
      </c>
      <c r="G1801" t="s">
        <v>811</v>
      </c>
      <c r="H1801" t="s">
        <v>830</v>
      </c>
      <c r="I1801" t="s">
        <v>813</v>
      </c>
      <c r="J1801">
        <f t="shared" ca="1" si="114"/>
        <v>301000</v>
      </c>
      <c r="K1801">
        <f t="shared" ca="1" si="115"/>
        <v>50</v>
      </c>
      <c r="N1801" t="str">
        <f t="shared" si="112"/>
        <v>Northumberland18Winter Intermediate Care Community SupportResidential PlacementsNursing home</v>
      </c>
      <c r="O1801" t="s">
        <v>243</v>
      </c>
      <c r="P1801" t="s">
        <v>2195</v>
      </c>
      <c r="Q1801">
        <v>18</v>
      </c>
      <c r="R1801" t="s">
        <v>4782</v>
      </c>
      <c r="S1801" t="s">
        <v>5245</v>
      </c>
      <c r="T1801" t="s">
        <v>806</v>
      </c>
      <c r="U1801" t="s">
        <v>917</v>
      </c>
      <c r="W1801">
        <v>20</v>
      </c>
      <c r="X1801">
        <v>20</v>
      </c>
      <c r="Y1801" t="s">
        <v>808</v>
      </c>
      <c r="Z1801" t="s">
        <v>1118</v>
      </c>
      <c r="AB1801" t="s">
        <v>824</v>
      </c>
      <c r="AD1801" t="s">
        <v>794</v>
      </c>
      <c r="AE1801" t="s">
        <v>804</v>
      </c>
      <c r="AF1801" t="s">
        <v>860</v>
      </c>
      <c r="AG1801" t="s">
        <v>861</v>
      </c>
      <c r="AH1801">
        <v>340391</v>
      </c>
      <c r="AI1801">
        <v>340391</v>
      </c>
      <c r="AJ1801">
        <v>1</v>
      </c>
    </row>
    <row r="1802" spans="1:36" x14ac:dyDescent="0.3">
      <c r="A1802">
        <f>COUNTIF($D$2:D1802,D1802)</f>
        <v>18</v>
      </c>
      <c r="B1802" t="str">
        <f t="shared" si="113"/>
        <v>18Rotherham</v>
      </c>
      <c r="C1802" t="s">
        <v>5246</v>
      </c>
      <c r="D1802" t="s">
        <v>269</v>
      </c>
      <c r="E1802">
        <v>33</v>
      </c>
      <c r="F1802" t="s">
        <v>5247</v>
      </c>
      <c r="G1802" t="s">
        <v>806</v>
      </c>
      <c r="H1802" t="s">
        <v>807</v>
      </c>
      <c r="I1802" t="s">
        <v>808</v>
      </c>
      <c r="J1802">
        <f t="shared" ca="1" si="114"/>
        <v>2779000</v>
      </c>
      <c r="K1802">
        <f t="shared" ca="1" si="115"/>
        <v>79</v>
      </c>
      <c r="N1802" t="str">
        <f t="shared" si="112"/>
        <v>Northumberland23Challenging behaviour dementia serviceResidential PlacementsNursing home</v>
      </c>
      <c r="O1802" t="s">
        <v>243</v>
      </c>
      <c r="P1802" t="s">
        <v>2195</v>
      </c>
      <c r="Q1802">
        <v>23</v>
      </c>
      <c r="R1802" t="s">
        <v>4785</v>
      </c>
      <c r="S1802" t="s">
        <v>5248</v>
      </c>
      <c r="T1802" t="s">
        <v>806</v>
      </c>
      <c r="U1802" t="s">
        <v>917</v>
      </c>
      <c r="W1802">
        <v>12</v>
      </c>
      <c r="X1802">
        <v>12</v>
      </c>
      <c r="Y1802" t="s">
        <v>808</v>
      </c>
      <c r="Z1802" t="s">
        <v>792</v>
      </c>
      <c r="AB1802" t="s">
        <v>1739</v>
      </c>
      <c r="AC1802">
        <v>0.6</v>
      </c>
      <c r="AD1802">
        <v>0.4</v>
      </c>
      <c r="AE1802" t="s">
        <v>825</v>
      </c>
      <c r="AF1802" t="s">
        <v>864</v>
      </c>
      <c r="AG1802" t="s">
        <v>861</v>
      </c>
      <c r="AH1802">
        <v>308877</v>
      </c>
      <c r="AI1802">
        <v>449180</v>
      </c>
      <c r="AJ1802">
        <v>0.4</v>
      </c>
    </row>
    <row r="1803" spans="1:36" x14ac:dyDescent="0.3">
      <c r="A1803">
        <f>COUNTIF($D$2:D1803,D1803)</f>
        <v>19</v>
      </c>
      <c r="B1803" t="str">
        <f t="shared" si="113"/>
        <v>19Rotherham</v>
      </c>
      <c r="C1803" t="s">
        <v>5249</v>
      </c>
      <c r="D1803" t="s">
        <v>269</v>
      </c>
      <c r="E1803">
        <v>33</v>
      </c>
      <c r="F1803" t="s">
        <v>5247</v>
      </c>
      <c r="G1803" t="s">
        <v>842</v>
      </c>
      <c r="H1803" t="s">
        <v>843</v>
      </c>
      <c r="I1803" t="s">
        <v>844</v>
      </c>
      <c r="J1803">
        <f t="shared" ca="1" si="114"/>
        <v>1527000</v>
      </c>
      <c r="K1803">
        <f t="shared" ca="1" si="115"/>
        <v>68537</v>
      </c>
      <c r="N1803" t="str">
        <f t="shared" si="112"/>
        <v>Northumberland22aHome care (pathway 1)Home Care or Domiciliary CareDomiciliary care packages</v>
      </c>
      <c r="O1803" t="s">
        <v>243</v>
      </c>
      <c r="P1803" t="s">
        <v>2195</v>
      </c>
      <c r="Q1803" t="s">
        <v>4788</v>
      </c>
      <c r="R1803" t="s">
        <v>4789</v>
      </c>
      <c r="S1803" t="s">
        <v>5250</v>
      </c>
      <c r="T1803" t="s">
        <v>842</v>
      </c>
      <c r="U1803" t="s">
        <v>843</v>
      </c>
      <c r="W1803">
        <v>25865.499403103862</v>
      </c>
      <c r="X1803">
        <v>44010.775304820469</v>
      </c>
      <c r="Y1803" t="s">
        <v>844</v>
      </c>
      <c r="Z1803" t="s">
        <v>792</v>
      </c>
      <c r="AB1803" t="s">
        <v>793</v>
      </c>
      <c r="AD1803" t="s">
        <v>794</v>
      </c>
      <c r="AE1803" t="s">
        <v>804</v>
      </c>
      <c r="AF1803" t="s">
        <v>864</v>
      </c>
      <c r="AG1803" t="s">
        <v>861</v>
      </c>
      <c r="AH1803">
        <v>650000</v>
      </c>
      <c r="AI1803">
        <v>1200000</v>
      </c>
      <c r="AJ1803">
        <v>1</v>
      </c>
    </row>
    <row r="1804" spans="1:36" x14ac:dyDescent="0.3">
      <c r="A1804">
        <f>COUNTIF($D$2:D1804,D1804)</f>
        <v>20</v>
      </c>
      <c r="B1804" t="str">
        <f t="shared" si="113"/>
        <v>20Rotherham</v>
      </c>
      <c r="C1804" t="s">
        <v>5251</v>
      </c>
      <c r="D1804" t="s">
        <v>269</v>
      </c>
      <c r="E1804">
        <v>33</v>
      </c>
      <c r="F1804" t="s">
        <v>5247</v>
      </c>
      <c r="G1804" t="s">
        <v>806</v>
      </c>
      <c r="H1804" t="s">
        <v>854</v>
      </c>
      <c r="I1804" t="s">
        <v>808</v>
      </c>
      <c r="J1804">
        <f t="shared" ca="1" si="114"/>
        <v>2238000</v>
      </c>
      <c r="K1804">
        <f t="shared" ca="1" si="115"/>
        <v>25</v>
      </c>
      <c r="N1804" t="str">
        <f t="shared" si="112"/>
        <v>Northumberland22bShort-term care home placements (pathway 2)Residential PlacementsCare home</v>
      </c>
      <c r="O1804" t="s">
        <v>243</v>
      </c>
      <c r="P1804" t="s">
        <v>2195</v>
      </c>
      <c r="Q1804" t="s">
        <v>4791</v>
      </c>
      <c r="R1804" t="s">
        <v>4792</v>
      </c>
      <c r="S1804" t="s">
        <v>5252</v>
      </c>
      <c r="T1804" t="s">
        <v>806</v>
      </c>
      <c r="U1804" t="s">
        <v>807</v>
      </c>
      <c r="W1804">
        <v>11.831043504514856</v>
      </c>
      <c r="X1804">
        <v>11.817691932633672</v>
      </c>
      <c r="Y1804" t="s">
        <v>808</v>
      </c>
      <c r="Z1804" t="s">
        <v>792</v>
      </c>
      <c r="AB1804" t="s">
        <v>793</v>
      </c>
      <c r="AD1804" t="s">
        <v>794</v>
      </c>
      <c r="AE1804" t="s">
        <v>804</v>
      </c>
      <c r="AF1804" t="s">
        <v>864</v>
      </c>
      <c r="AG1804" t="s">
        <v>861</v>
      </c>
      <c r="AH1804">
        <v>450000</v>
      </c>
      <c r="AI1804">
        <v>487699</v>
      </c>
      <c r="AJ1804">
        <v>1</v>
      </c>
    </row>
    <row r="1805" spans="1:36" x14ac:dyDescent="0.3">
      <c r="A1805">
        <f>COUNTIF($D$2:D1805,D1805)</f>
        <v>21</v>
      </c>
      <c r="B1805" t="str">
        <f t="shared" si="113"/>
        <v>21Rotherham</v>
      </c>
      <c r="C1805" t="s">
        <v>5253</v>
      </c>
      <c r="D1805" t="s">
        <v>269</v>
      </c>
      <c r="E1805">
        <v>34</v>
      </c>
      <c r="F1805" t="s">
        <v>5254</v>
      </c>
      <c r="G1805" t="s">
        <v>806</v>
      </c>
      <c r="H1805" t="s">
        <v>812</v>
      </c>
      <c r="I1805" t="s">
        <v>808</v>
      </c>
      <c r="J1805">
        <f t="shared" ca="1" si="114"/>
        <v>4225543</v>
      </c>
      <c r="K1805">
        <f t="shared" ca="1" si="115"/>
        <v>889</v>
      </c>
      <c r="N1805" t="str">
        <f t="shared" si="112"/>
        <v>Northumberland22cLong-term care home placements (pathway 3)Residential PlacementsCare home</v>
      </c>
      <c r="O1805" t="s">
        <v>243</v>
      </c>
      <c r="P1805" t="s">
        <v>2195</v>
      </c>
      <c r="Q1805" t="s">
        <v>4795</v>
      </c>
      <c r="R1805" t="s">
        <v>4796</v>
      </c>
      <c r="S1805" t="s">
        <v>5255</v>
      </c>
      <c r="T1805" t="s">
        <v>806</v>
      </c>
      <c r="U1805" t="s">
        <v>807</v>
      </c>
      <c r="W1805">
        <v>6.5728019469526977</v>
      </c>
      <c r="X1805">
        <v>6.5728019469526977</v>
      </c>
      <c r="Y1805" t="s">
        <v>808</v>
      </c>
      <c r="Z1805" t="s">
        <v>792</v>
      </c>
      <c r="AB1805" t="s">
        <v>793</v>
      </c>
      <c r="AD1805" t="s">
        <v>794</v>
      </c>
      <c r="AE1805" t="s">
        <v>804</v>
      </c>
      <c r="AF1805" t="s">
        <v>864</v>
      </c>
      <c r="AG1805" t="s">
        <v>861</v>
      </c>
      <c r="AH1805">
        <v>250000</v>
      </c>
      <c r="AI1805">
        <v>271250</v>
      </c>
      <c r="AJ1805">
        <v>1</v>
      </c>
    </row>
    <row r="1806" spans="1:36" x14ac:dyDescent="0.3">
      <c r="A1806">
        <f>COUNTIF($D$2:D1806,D1806)</f>
        <v>22</v>
      </c>
      <c r="B1806" t="str">
        <f t="shared" si="113"/>
        <v>22Rotherham</v>
      </c>
      <c r="C1806" t="s">
        <v>5256</v>
      </c>
      <c r="D1806" t="s">
        <v>269</v>
      </c>
      <c r="E1806">
        <v>35</v>
      </c>
      <c r="F1806" t="s">
        <v>5254</v>
      </c>
      <c r="G1806" t="s">
        <v>806</v>
      </c>
      <c r="H1806" t="s">
        <v>873</v>
      </c>
      <c r="I1806" t="s">
        <v>808</v>
      </c>
      <c r="J1806">
        <f t="shared" ca="1" si="114"/>
        <v>753000</v>
      </c>
      <c r="K1806">
        <f t="shared" ca="1" si="115"/>
        <v>13</v>
      </c>
      <c r="N1806" t="str">
        <f t="shared" si="112"/>
        <v>Northumberland20aWinter packages of care support  (P1)Home Care or Domiciliary CareDomiciliary care packages</v>
      </c>
      <c r="O1806" t="s">
        <v>243</v>
      </c>
      <c r="P1806" t="s">
        <v>2195</v>
      </c>
      <c r="Q1806" t="s">
        <v>4799</v>
      </c>
      <c r="R1806" t="s">
        <v>4800</v>
      </c>
      <c r="S1806" t="s">
        <v>5257</v>
      </c>
      <c r="T1806" t="s">
        <v>842</v>
      </c>
      <c r="U1806" t="s">
        <v>843</v>
      </c>
      <c r="W1806">
        <v>7406</v>
      </c>
      <c r="X1806">
        <v>17533</v>
      </c>
      <c r="Y1806" t="s">
        <v>844</v>
      </c>
      <c r="Z1806" t="s">
        <v>1061</v>
      </c>
      <c r="AB1806" t="s">
        <v>824</v>
      </c>
      <c r="AD1806" t="s">
        <v>794</v>
      </c>
      <c r="AE1806" t="s">
        <v>804</v>
      </c>
      <c r="AF1806" t="s">
        <v>860</v>
      </c>
      <c r="AG1806" t="s">
        <v>861</v>
      </c>
      <c r="AH1806">
        <v>173296</v>
      </c>
      <c r="AI1806">
        <v>410280.10265557974</v>
      </c>
      <c r="AJ1806">
        <v>1</v>
      </c>
    </row>
    <row r="1807" spans="1:36" x14ac:dyDescent="0.3">
      <c r="A1807">
        <f>COUNTIF($D$2:D1807,D1807)</f>
        <v>23</v>
      </c>
      <c r="B1807" t="str">
        <f t="shared" si="113"/>
        <v>23Rotherham</v>
      </c>
      <c r="C1807" t="s">
        <v>5258</v>
      </c>
      <c r="D1807" t="s">
        <v>269</v>
      </c>
      <c r="E1807">
        <v>40</v>
      </c>
      <c r="F1807" t="s">
        <v>5259</v>
      </c>
      <c r="G1807" t="s">
        <v>877</v>
      </c>
      <c r="H1807" t="s">
        <v>878</v>
      </c>
      <c r="I1807" t="s">
        <v>879</v>
      </c>
      <c r="J1807">
        <f t="shared" ca="1" si="114"/>
        <v>107000</v>
      </c>
      <c r="K1807">
        <f t="shared" ca="1" si="115"/>
        <v>150</v>
      </c>
      <c r="N1807" t="str">
        <f t="shared" si="112"/>
        <v>Northumberland20bWinter packages of care support (P2)Residential PlacementsCare home</v>
      </c>
      <c r="O1807" t="s">
        <v>243</v>
      </c>
      <c r="P1807" t="s">
        <v>2195</v>
      </c>
      <c r="Q1807" t="s">
        <v>4803</v>
      </c>
      <c r="R1807" t="s">
        <v>4804</v>
      </c>
      <c r="S1807" t="s">
        <v>5257</v>
      </c>
      <c r="T1807" t="s">
        <v>806</v>
      </c>
      <c r="U1807" t="s">
        <v>807</v>
      </c>
      <c r="W1807">
        <v>6</v>
      </c>
      <c r="X1807">
        <v>11</v>
      </c>
      <c r="Y1807" t="s">
        <v>808</v>
      </c>
      <c r="Z1807" t="s">
        <v>1061</v>
      </c>
      <c r="AB1807" t="s">
        <v>824</v>
      </c>
      <c r="AD1807" t="s">
        <v>794</v>
      </c>
      <c r="AE1807" t="s">
        <v>804</v>
      </c>
      <c r="AF1807" t="s">
        <v>860</v>
      </c>
      <c r="AG1807" t="s">
        <v>861</v>
      </c>
      <c r="AH1807">
        <v>231292</v>
      </c>
      <c r="AI1807">
        <v>547585.2111692602</v>
      </c>
      <c r="AJ1807">
        <v>1</v>
      </c>
    </row>
    <row r="1808" spans="1:36" x14ac:dyDescent="0.3">
      <c r="A1808">
        <f>COUNTIF($D$2:D1808,D1808)</f>
        <v>24</v>
      </c>
      <c r="B1808" t="str">
        <f t="shared" si="113"/>
        <v>24Rotherham</v>
      </c>
      <c r="C1808" t="s">
        <v>5260</v>
      </c>
      <c r="D1808" t="s">
        <v>269</v>
      </c>
      <c r="E1808">
        <v>48</v>
      </c>
      <c r="F1808" t="s">
        <v>5261</v>
      </c>
      <c r="G1808" t="s">
        <v>800</v>
      </c>
      <c r="H1808" t="s">
        <v>907</v>
      </c>
      <c r="I1808" t="s">
        <v>802</v>
      </c>
      <c r="J1808">
        <f t="shared" ca="1" si="114"/>
        <v>78000</v>
      </c>
      <c r="K1808">
        <f t="shared" ca="1" si="115"/>
        <v>5000</v>
      </c>
      <c r="N1808" t="str">
        <f t="shared" si="112"/>
        <v>Northumberland20cWinter packages of care support (P3)Residential PlacementsCare home</v>
      </c>
      <c r="O1808" t="s">
        <v>243</v>
      </c>
      <c r="P1808" t="s">
        <v>2195</v>
      </c>
      <c r="Q1808" t="s">
        <v>4807</v>
      </c>
      <c r="R1808" t="s">
        <v>4808</v>
      </c>
      <c r="S1808" t="s">
        <v>5257</v>
      </c>
      <c r="T1808" t="s">
        <v>806</v>
      </c>
      <c r="U1808" t="s">
        <v>807</v>
      </c>
      <c r="W1808">
        <v>3</v>
      </c>
      <c r="X1808">
        <v>6</v>
      </c>
      <c r="Y1808" t="s">
        <v>808</v>
      </c>
      <c r="Z1808" t="s">
        <v>1061</v>
      </c>
      <c r="AB1808" t="s">
        <v>824</v>
      </c>
      <c r="AD1808" t="s">
        <v>794</v>
      </c>
      <c r="AE1808" t="s">
        <v>804</v>
      </c>
      <c r="AF1808" t="s">
        <v>860</v>
      </c>
      <c r="AG1808" t="s">
        <v>861</v>
      </c>
      <c r="AH1808">
        <v>139188.51</v>
      </c>
      <c r="AI1808">
        <v>329528.68617515999</v>
      </c>
      <c r="AJ1808">
        <v>1</v>
      </c>
    </row>
    <row r="1809" spans="1:36" x14ac:dyDescent="0.3">
      <c r="A1809">
        <f>COUNTIF($D$2:D1809,D1809)</f>
        <v>25</v>
      </c>
      <c r="B1809" t="str">
        <f t="shared" si="113"/>
        <v>25Rotherham</v>
      </c>
      <c r="C1809" t="s">
        <v>5262</v>
      </c>
      <c r="D1809" t="s">
        <v>269</v>
      </c>
      <c r="E1809">
        <v>60</v>
      </c>
      <c r="F1809" t="s">
        <v>3674</v>
      </c>
      <c r="G1809" t="s">
        <v>811</v>
      </c>
      <c r="H1809" t="s">
        <v>812</v>
      </c>
      <c r="I1809" t="s">
        <v>813</v>
      </c>
      <c r="J1809">
        <f t="shared" ca="1" si="114"/>
        <v>230000</v>
      </c>
      <c r="K1809">
        <f t="shared" ca="1" si="115"/>
        <v>30000</v>
      </c>
      <c r="N1809" t="str">
        <f t="shared" si="112"/>
        <v>Nottingham4Integrated CareHome Care or Domiciliary CareDomiciliary care packages</v>
      </c>
      <c r="O1809" t="s">
        <v>245</v>
      </c>
      <c r="P1809" t="s">
        <v>2478</v>
      </c>
      <c r="Q1809">
        <v>4</v>
      </c>
      <c r="R1809" t="s">
        <v>4812</v>
      </c>
      <c r="S1809" t="s">
        <v>5263</v>
      </c>
      <c r="T1809" t="s">
        <v>842</v>
      </c>
      <c r="U1809" t="s">
        <v>843</v>
      </c>
      <c r="W1809">
        <v>137876.20000000001</v>
      </c>
      <c r="X1809">
        <v>137876.20000000001</v>
      </c>
      <c r="Y1809" t="s">
        <v>844</v>
      </c>
      <c r="Z1809" t="s">
        <v>792</v>
      </c>
      <c r="AB1809" t="s">
        <v>793</v>
      </c>
      <c r="AD1809" t="s">
        <v>794</v>
      </c>
      <c r="AE1809" t="s">
        <v>795</v>
      </c>
      <c r="AF1809" t="s">
        <v>796</v>
      </c>
      <c r="AG1809" t="s">
        <v>797</v>
      </c>
      <c r="AH1809">
        <v>2357727</v>
      </c>
      <c r="AI1809">
        <v>2524125</v>
      </c>
      <c r="AJ1809">
        <v>0.1</v>
      </c>
    </row>
    <row r="1810" spans="1:36" x14ac:dyDescent="0.3">
      <c r="A1810">
        <f>COUNTIF($D$2:D1810,D1810)</f>
        <v>26</v>
      </c>
      <c r="B1810" t="str">
        <f t="shared" si="113"/>
        <v>26Rotherham</v>
      </c>
      <c r="C1810" t="s">
        <v>5264</v>
      </c>
      <c r="D1810" t="s">
        <v>269</v>
      </c>
      <c r="E1810">
        <v>61</v>
      </c>
      <c r="F1810" t="s">
        <v>5265</v>
      </c>
      <c r="G1810" t="s">
        <v>2245</v>
      </c>
      <c r="H1810" t="s">
        <v>5266</v>
      </c>
      <c r="I1810" t="s">
        <v>5267</v>
      </c>
      <c r="J1810">
        <f t="shared" ca="1" si="114"/>
        <v>1011600</v>
      </c>
      <c r="K1810">
        <f t="shared" ca="1" si="115"/>
        <v>1313</v>
      </c>
      <c r="N1810" t="str">
        <f t="shared" si="112"/>
        <v>Nottingham11Assistive TechnologyAssistive Technologies and EquipmentAssistive technologies including telecare</v>
      </c>
      <c r="O1810" t="s">
        <v>245</v>
      </c>
      <c r="P1810" t="s">
        <v>2478</v>
      </c>
      <c r="Q1810">
        <v>11</v>
      </c>
      <c r="R1810" t="s">
        <v>1578</v>
      </c>
      <c r="S1810" t="s">
        <v>5268</v>
      </c>
      <c r="T1810" t="s">
        <v>800</v>
      </c>
      <c r="U1810" t="s">
        <v>850</v>
      </c>
      <c r="W1810">
        <v>7100</v>
      </c>
      <c r="X1810">
        <v>7100</v>
      </c>
      <c r="Y1810" t="s">
        <v>802</v>
      </c>
      <c r="Z1810" t="s">
        <v>823</v>
      </c>
      <c r="AB1810" t="s">
        <v>1739</v>
      </c>
      <c r="AC1810">
        <v>0.46</v>
      </c>
      <c r="AD1810">
        <v>0.54</v>
      </c>
      <c r="AE1810" t="s">
        <v>795</v>
      </c>
      <c r="AF1810" t="s">
        <v>796</v>
      </c>
      <c r="AG1810" t="s">
        <v>797</v>
      </c>
      <c r="AH1810">
        <v>334400</v>
      </c>
      <c r="AI1810">
        <v>334400</v>
      </c>
      <c r="AJ1810">
        <v>0.56000000000000005</v>
      </c>
    </row>
    <row r="1811" spans="1:36" x14ac:dyDescent="0.3">
      <c r="A1811">
        <f>COUNTIF($D$2:D1811,D1811)</f>
        <v>27</v>
      </c>
      <c r="B1811" t="str">
        <f t="shared" si="113"/>
        <v>27Rotherham</v>
      </c>
      <c r="C1811" t="s">
        <v>5269</v>
      </c>
      <c r="D1811" t="s">
        <v>269</v>
      </c>
      <c r="E1811">
        <v>63</v>
      </c>
      <c r="F1811" t="s">
        <v>3417</v>
      </c>
      <c r="G1811" t="s">
        <v>800</v>
      </c>
      <c r="H1811" t="s">
        <v>903</v>
      </c>
      <c r="I1811" t="s">
        <v>802</v>
      </c>
      <c r="J1811">
        <f t="shared" ca="1" si="114"/>
        <v>150000</v>
      </c>
      <c r="K1811">
        <f t="shared" ca="1" si="115"/>
        <v>173</v>
      </c>
      <c r="N1811" t="str">
        <f t="shared" si="112"/>
        <v>Nottingham12Assistive TechnologyAssistive Technologies and EquipmentCommunity based equipment</v>
      </c>
      <c r="O1811" t="s">
        <v>245</v>
      </c>
      <c r="P1811" t="s">
        <v>2478</v>
      </c>
      <c r="Q1811">
        <v>12</v>
      </c>
      <c r="R1811" t="s">
        <v>1578</v>
      </c>
      <c r="S1811" t="s">
        <v>5270</v>
      </c>
      <c r="T1811" t="s">
        <v>800</v>
      </c>
      <c r="U1811" t="s">
        <v>903</v>
      </c>
      <c r="W1811">
        <v>300</v>
      </c>
      <c r="X1811">
        <v>300</v>
      </c>
      <c r="Y1811" t="s">
        <v>802</v>
      </c>
      <c r="Z1811" t="s">
        <v>823</v>
      </c>
      <c r="AB1811" t="s">
        <v>1739</v>
      </c>
      <c r="AC1811">
        <v>0.46</v>
      </c>
      <c r="AD1811">
        <v>0.54</v>
      </c>
      <c r="AE1811" t="s">
        <v>795</v>
      </c>
      <c r="AF1811" t="s">
        <v>796</v>
      </c>
      <c r="AG1811" t="s">
        <v>797</v>
      </c>
      <c r="AH1811">
        <v>115900</v>
      </c>
      <c r="AI1811">
        <v>115900</v>
      </c>
      <c r="AJ1811">
        <v>0.15</v>
      </c>
    </row>
    <row r="1812" spans="1:36" x14ac:dyDescent="0.3">
      <c r="A1812">
        <f>COUNTIF($D$2:D1812,D1812)</f>
        <v>28</v>
      </c>
      <c r="B1812" t="str">
        <f t="shared" si="113"/>
        <v>28Rotherham</v>
      </c>
      <c r="C1812" t="s">
        <v>5271</v>
      </c>
      <c r="D1812" t="s">
        <v>269</v>
      </c>
      <c r="E1812">
        <v>64</v>
      </c>
      <c r="F1812" t="s">
        <v>5272</v>
      </c>
      <c r="G1812" t="s">
        <v>877</v>
      </c>
      <c r="H1812" t="s">
        <v>812</v>
      </c>
      <c r="I1812" t="s">
        <v>879</v>
      </c>
      <c r="J1812">
        <f t="shared" ca="1" si="114"/>
        <v>150000</v>
      </c>
      <c r="K1812">
        <f t="shared" ca="1" si="115"/>
        <v>2</v>
      </c>
      <c r="N1812" t="str">
        <f t="shared" si="112"/>
        <v>Nottingham13Assistive TechnologyAssistive Technologies and EquipmentCommunity based equipment</v>
      </c>
      <c r="O1812" t="s">
        <v>245</v>
      </c>
      <c r="P1812" t="s">
        <v>2478</v>
      </c>
      <c r="Q1812">
        <v>13</v>
      </c>
      <c r="R1812" t="s">
        <v>1578</v>
      </c>
      <c r="S1812" t="s">
        <v>5273</v>
      </c>
      <c r="T1812" t="s">
        <v>800</v>
      </c>
      <c r="U1812" t="s">
        <v>903</v>
      </c>
      <c r="W1812">
        <v>7000</v>
      </c>
      <c r="X1812">
        <v>7000</v>
      </c>
      <c r="Y1812" t="s">
        <v>802</v>
      </c>
      <c r="Z1812" t="s">
        <v>823</v>
      </c>
      <c r="AB1812" t="s">
        <v>824</v>
      </c>
      <c r="AD1812" t="s">
        <v>794</v>
      </c>
      <c r="AE1812" t="s">
        <v>804</v>
      </c>
      <c r="AF1812" t="s">
        <v>796</v>
      </c>
      <c r="AG1812" t="s">
        <v>797</v>
      </c>
      <c r="AH1812">
        <v>21077.60737570671</v>
      </c>
      <c r="AI1812">
        <v>22271</v>
      </c>
      <c r="AJ1812">
        <v>0.24</v>
      </c>
    </row>
    <row r="1813" spans="1:36" x14ac:dyDescent="0.3">
      <c r="A1813">
        <f>COUNTIF($D$2:D1813,D1813)</f>
        <v>29</v>
      </c>
      <c r="B1813" t="str">
        <f t="shared" si="113"/>
        <v>29Rotherham</v>
      </c>
      <c r="C1813" t="s">
        <v>5274</v>
      </c>
      <c r="D1813" t="s">
        <v>269</v>
      </c>
      <c r="E1813">
        <v>69</v>
      </c>
      <c r="F1813" t="s">
        <v>5275</v>
      </c>
      <c r="G1813" t="s">
        <v>787</v>
      </c>
      <c r="H1813" t="s">
        <v>788</v>
      </c>
      <c r="I1813" t="s">
        <v>789</v>
      </c>
      <c r="J1813">
        <f t="shared" ca="1" si="114"/>
        <v>200000</v>
      </c>
      <c r="K1813">
        <f t="shared" ca="1" si="115"/>
        <v>84</v>
      </c>
      <c r="N1813" t="str">
        <f t="shared" si="112"/>
        <v>Nottingham14CarersCarers ServicesRespite services</v>
      </c>
      <c r="O1813" t="s">
        <v>245</v>
      </c>
      <c r="P1813" t="s">
        <v>2478</v>
      </c>
      <c r="Q1813">
        <v>14</v>
      </c>
      <c r="R1813" t="s">
        <v>1250</v>
      </c>
      <c r="S1813" t="s">
        <v>5276</v>
      </c>
      <c r="T1813" t="s">
        <v>811</v>
      </c>
      <c r="U1813" t="s">
        <v>830</v>
      </c>
      <c r="W1813">
        <v>2545</v>
      </c>
      <c r="X1813">
        <v>2545</v>
      </c>
      <c r="Y1813" t="s">
        <v>813</v>
      </c>
      <c r="Z1813" t="s">
        <v>823</v>
      </c>
      <c r="AB1813" t="s">
        <v>1739</v>
      </c>
      <c r="AC1813">
        <v>1</v>
      </c>
      <c r="AD1813">
        <v>0</v>
      </c>
      <c r="AE1813" t="s">
        <v>825</v>
      </c>
      <c r="AF1813" t="s">
        <v>796</v>
      </c>
      <c r="AG1813" t="s">
        <v>797</v>
      </c>
      <c r="AH1813">
        <v>714040</v>
      </c>
      <c r="AI1813">
        <v>714040</v>
      </c>
      <c r="AJ1813">
        <v>0.45</v>
      </c>
    </row>
    <row r="1814" spans="1:36" x14ac:dyDescent="0.3">
      <c r="A1814">
        <f>COUNTIF($D$2:D1814,D1814)</f>
        <v>30</v>
      </c>
      <c r="B1814" t="str">
        <f t="shared" si="113"/>
        <v>30Rotherham</v>
      </c>
      <c r="C1814" t="s">
        <v>5277</v>
      </c>
      <c r="D1814" t="s">
        <v>269</v>
      </c>
      <c r="E1814">
        <v>70</v>
      </c>
      <c r="F1814" t="s">
        <v>5278</v>
      </c>
      <c r="G1814" t="s">
        <v>877</v>
      </c>
      <c r="H1814" t="s">
        <v>968</v>
      </c>
      <c r="I1814" t="s">
        <v>879</v>
      </c>
      <c r="J1814">
        <f t="shared" ca="1" si="114"/>
        <v>500000</v>
      </c>
      <c r="K1814">
        <f t="shared" ca="1" si="115"/>
        <v>190</v>
      </c>
      <c r="N1814" t="str">
        <f t="shared" si="112"/>
        <v>Nottingham16Disabled Facilities GrantDFG Related SchemesAdaptations, including statutory DFG grants</v>
      </c>
      <c r="O1814" t="s">
        <v>245</v>
      </c>
      <c r="P1814" t="s">
        <v>2478</v>
      </c>
      <c r="Q1814">
        <v>16</v>
      </c>
      <c r="R1814" t="s">
        <v>891</v>
      </c>
      <c r="S1814" t="s">
        <v>5279</v>
      </c>
      <c r="T1814" t="s">
        <v>834</v>
      </c>
      <c r="U1814" t="s">
        <v>835</v>
      </c>
      <c r="W1814">
        <v>210</v>
      </c>
      <c r="X1814">
        <v>225</v>
      </c>
      <c r="Y1814" t="s">
        <v>836</v>
      </c>
      <c r="Z1814" t="s">
        <v>792</v>
      </c>
      <c r="AB1814" t="s">
        <v>793</v>
      </c>
      <c r="AD1814" t="s">
        <v>794</v>
      </c>
      <c r="AE1814" t="s">
        <v>795</v>
      </c>
      <c r="AF1814" t="s">
        <v>840</v>
      </c>
      <c r="AG1814" t="s">
        <v>797</v>
      </c>
      <c r="AH1814">
        <v>2768450</v>
      </c>
      <c r="AI1814">
        <v>2768450</v>
      </c>
      <c r="AJ1814">
        <v>1</v>
      </c>
    </row>
    <row r="1815" spans="1:36" x14ac:dyDescent="0.3">
      <c r="A1815">
        <f>COUNTIF($D$2:D1815,D1815)</f>
        <v>31</v>
      </c>
      <c r="B1815" t="str">
        <f t="shared" si="113"/>
        <v>31Rotherham</v>
      </c>
      <c r="C1815" t="s">
        <v>5280</v>
      </c>
      <c r="D1815" t="s">
        <v>269</v>
      </c>
      <c r="E1815">
        <v>75</v>
      </c>
      <c r="F1815" t="s">
        <v>1550</v>
      </c>
      <c r="G1815" t="s">
        <v>877</v>
      </c>
      <c r="H1815" t="s">
        <v>968</v>
      </c>
      <c r="I1815" t="s">
        <v>879</v>
      </c>
      <c r="J1815">
        <f t="shared" ca="1" si="114"/>
        <v>93000</v>
      </c>
      <c r="K1815">
        <f t="shared" ca="1" si="115"/>
        <v>288</v>
      </c>
      <c r="N1815" t="str">
        <f t="shared" si="112"/>
        <v>Nottingham18Improved Better Care FundHome-based intermediate care servicesRehabilitation at home (to prevent admission to hospital or residential care)</v>
      </c>
      <c r="O1815" t="s">
        <v>245</v>
      </c>
      <c r="P1815" t="s">
        <v>2478</v>
      </c>
      <c r="Q1815">
        <v>18</v>
      </c>
      <c r="R1815" t="s">
        <v>1464</v>
      </c>
      <c r="S1815" t="s">
        <v>5281</v>
      </c>
      <c r="T1815" t="s">
        <v>787</v>
      </c>
      <c r="U1815" t="s">
        <v>1011</v>
      </c>
      <c r="W1815">
        <v>1659</v>
      </c>
      <c r="X1815">
        <v>1659</v>
      </c>
      <c r="Y1815" t="s">
        <v>789</v>
      </c>
      <c r="Z1815" t="s">
        <v>792</v>
      </c>
      <c r="AB1815" t="s">
        <v>793</v>
      </c>
      <c r="AD1815" t="s">
        <v>794</v>
      </c>
      <c r="AE1815" t="s">
        <v>795</v>
      </c>
      <c r="AF1815" t="s">
        <v>845</v>
      </c>
      <c r="AG1815" t="s">
        <v>797</v>
      </c>
      <c r="AH1815">
        <v>1269521</v>
      </c>
      <c r="AI1815">
        <v>1269521</v>
      </c>
      <c r="AJ1815">
        <v>0.04</v>
      </c>
    </row>
    <row r="1816" spans="1:36" x14ac:dyDescent="0.3">
      <c r="A1816">
        <f>COUNTIF($D$2:D1816,D1816)</f>
        <v>32</v>
      </c>
      <c r="B1816" t="str">
        <f t="shared" si="113"/>
        <v>32Rotherham</v>
      </c>
      <c r="C1816" t="s">
        <v>5282</v>
      </c>
      <c r="D1816" t="s">
        <v>269</v>
      </c>
      <c r="E1816">
        <v>76</v>
      </c>
      <c r="F1816" t="s">
        <v>5283</v>
      </c>
      <c r="G1816" t="s">
        <v>877</v>
      </c>
      <c r="H1816" t="s">
        <v>968</v>
      </c>
      <c r="I1816" t="s">
        <v>879</v>
      </c>
      <c r="J1816">
        <f t="shared" ca="1" si="114"/>
        <v>138000</v>
      </c>
      <c r="K1816">
        <f t="shared" ca="1" si="115"/>
        <v>56</v>
      </c>
      <c r="N1816" t="str">
        <f t="shared" si="112"/>
        <v>Nottingham19Improved Better Care FundHome Care or Domiciliary CareDomiciliary care packages</v>
      </c>
      <c r="O1816" t="s">
        <v>245</v>
      </c>
      <c r="P1816" t="s">
        <v>2478</v>
      </c>
      <c r="Q1816">
        <v>19</v>
      </c>
      <c r="R1816" t="s">
        <v>1464</v>
      </c>
      <c r="S1816" t="s">
        <v>5284</v>
      </c>
      <c r="T1816" t="s">
        <v>842</v>
      </c>
      <c r="U1816" t="s">
        <v>843</v>
      </c>
      <c r="W1816">
        <v>18500</v>
      </c>
      <c r="X1816">
        <v>18500</v>
      </c>
      <c r="Y1816" t="s">
        <v>844</v>
      </c>
      <c r="Z1816" t="s">
        <v>792</v>
      </c>
      <c r="AB1816" t="s">
        <v>793</v>
      </c>
      <c r="AD1816" t="s">
        <v>794</v>
      </c>
      <c r="AE1816" t="s">
        <v>795</v>
      </c>
      <c r="AF1816" t="s">
        <v>845</v>
      </c>
      <c r="AG1816" t="s">
        <v>797</v>
      </c>
      <c r="AH1816">
        <v>1172561</v>
      </c>
      <c r="AI1816">
        <v>1172561</v>
      </c>
      <c r="AJ1816">
        <v>0.03</v>
      </c>
    </row>
    <row r="1817" spans="1:36" x14ac:dyDescent="0.3">
      <c r="A1817">
        <f>COUNTIF($D$2:D1817,D1817)</f>
        <v>33</v>
      </c>
      <c r="B1817" t="str">
        <f t="shared" si="113"/>
        <v>33Rotherham</v>
      </c>
      <c r="C1817" t="s">
        <v>5285</v>
      </c>
      <c r="D1817" t="s">
        <v>269</v>
      </c>
      <c r="E1817">
        <v>80</v>
      </c>
      <c r="F1817" t="s">
        <v>1447</v>
      </c>
      <c r="G1817" t="s">
        <v>842</v>
      </c>
      <c r="H1817" t="s">
        <v>1102</v>
      </c>
      <c r="I1817" t="s">
        <v>789</v>
      </c>
      <c r="J1817">
        <f t="shared" ca="1" si="114"/>
        <v>379150</v>
      </c>
      <c r="K1817">
        <f t="shared" ca="1" si="115"/>
        <v>49</v>
      </c>
      <c r="N1817" t="str">
        <f t="shared" si="112"/>
        <v xml:space="preserve">Nottingham27P1 Discharge ProgrammeHome-based intermediate care servicesReablement at home (to support discharge) </v>
      </c>
      <c r="O1817" t="s">
        <v>245</v>
      </c>
      <c r="P1817" t="s">
        <v>2478</v>
      </c>
      <c r="Q1817">
        <v>27</v>
      </c>
      <c r="R1817" t="s">
        <v>4829</v>
      </c>
      <c r="S1817" t="s">
        <v>4829</v>
      </c>
      <c r="T1817" t="s">
        <v>787</v>
      </c>
      <c r="U1817" t="s">
        <v>788</v>
      </c>
      <c r="W1817">
        <v>5200</v>
      </c>
      <c r="X1817">
        <v>5200</v>
      </c>
      <c r="Y1817" t="s">
        <v>789</v>
      </c>
      <c r="Z1817" t="s">
        <v>823</v>
      </c>
      <c r="AB1817" t="s">
        <v>824</v>
      </c>
      <c r="AD1817" t="s">
        <v>794</v>
      </c>
      <c r="AE1817" t="s">
        <v>832</v>
      </c>
      <c r="AF1817" t="s">
        <v>860</v>
      </c>
      <c r="AG1817" t="s">
        <v>797</v>
      </c>
      <c r="AH1817">
        <v>1851950</v>
      </c>
      <c r="AI1817">
        <v>1851950</v>
      </c>
      <c r="AJ1817">
        <v>0.21</v>
      </c>
    </row>
    <row r="1818" spans="1:36" x14ac:dyDescent="0.3">
      <c r="A1818">
        <f>COUNTIF($D$2:D1818,D1818)</f>
        <v>1</v>
      </c>
      <c r="B1818" t="str">
        <f t="shared" si="113"/>
        <v>1Rutland</v>
      </c>
      <c r="C1818" t="s">
        <v>5286</v>
      </c>
      <c r="D1818" t="s">
        <v>271</v>
      </c>
      <c r="E1818">
        <v>221</v>
      </c>
      <c r="F1818" t="s">
        <v>5287</v>
      </c>
      <c r="G1818" t="s">
        <v>811</v>
      </c>
      <c r="H1818" t="s">
        <v>895</v>
      </c>
      <c r="I1818" t="s">
        <v>813</v>
      </c>
      <c r="J1818">
        <f t="shared" ca="1" si="114"/>
        <v>115290</v>
      </c>
      <c r="K1818">
        <f t="shared" ca="1" si="115"/>
        <v>178</v>
      </c>
      <c r="N1818" t="str">
        <f t="shared" si="112"/>
        <v>Nottingham29P1 Discharge ProgrammeHome-based intermediate care servicesRehabilitation at home (to support discharge)</v>
      </c>
      <c r="O1818" t="s">
        <v>245</v>
      </c>
      <c r="P1818" t="s">
        <v>2478</v>
      </c>
      <c r="Q1818">
        <v>29</v>
      </c>
      <c r="R1818" t="s">
        <v>4829</v>
      </c>
      <c r="S1818" t="s">
        <v>5288</v>
      </c>
      <c r="T1818" t="s">
        <v>787</v>
      </c>
      <c r="U1818" t="s">
        <v>1195</v>
      </c>
      <c r="V1818" t="s">
        <v>5289</v>
      </c>
      <c r="W1818">
        <v>1430</v>
      </c>
      <c r="X1818">
        <v>1430</v>
      </c>
      <c r="Y1818" t="s">
        <v>789</v>
      </c>
      <c r="Z1818" t="s">
        <v>792</v>
      </c>
      <c r="AB1818" t="s">
        <v>793</v>
      </c>
      <c r="AD1818" t="s">
        <v>794</v>
      </c>
      <c r="AE1818" t="s">
        <v>795</v>
      </c>
      <c r="AF1818" t="s">
        <v>864</v>
      </c>
      <c r="AG1818" t="s">
        <v>797</v>
      </c>
      <c r="AH1818">
        <v>2327687.7762848497</v>
      </c>
      <c r="AI1818">
        <v>2327687.7762848497</v>
      </c>
      <c r="AJ1818">
        <v>4.9799999999999997E-2</v>
      </c>
    </row>
    <row r="1819" spans="1:36" x14ac:dyDescent="0.3">
      <c r="A1819">
        <f>COUNTIF($D$2:D1819,D1819)</f>
        <v>2</v>
      </c>
      <c r="B1819" t="str">
        <f t="shared" si="113"/>
        <v>2Rutland</v>
      </c>
      <c r="C1819" t="s">
        <v>5290</v>
      </c>
      <c r="D1819" t="s">
        <v>271</v>
      </c>
      <c r="E1819">
        <v>222</v>
      </c>
      <c r="F1819" t="s">
        <v>5287</v>
      </c>
      <c r="G1819" t="s">
        <v>811</v>
      </c>
      <c r="H1819" t="s">
        <v>895</v>
      </c>
      <c r="I1819" t="s">
        <v>813</v>
      </c>
      <c r="J1819">
        <f t="shared" ca="1" si="114"/>
        <v>30830</v>
      </c>
      <c r="K1819">
        <f t="shared" ca="1" si="115"/>
        <v>89</v>
      </c>
      <c r="N1819" t="str">
        <f t="shared" si="112"/>
        <v>Nottingham25Improved Better Care FundAssistive Technologies and EquipmentAssistive technologies including telecare</v>
      </c>
      <c r="O1819" t="s">
        <v>245</v>
      </c>
      <c r="P1819" t="s">
        <v>2478</v>
      </c>
      <c r="Q1819">
        <v>25</v>
      </c>
      <c r="R1819" t="s">
        <v>1464</v>
      </c>
      <c r="S1819" t="s">
        <v>5291</v>
      </c>
      <c r="T1819" t="s">
        <v>800</v>
      </c>
      <c r="U1819" t="s">
        <v>850</v>
      </c>
      <c r="W1819">
        <v>191</v>
      </c>
      <c r="X1819">
        <v>191</v>
      </c>
      <c r="Y1819" t="s">
        <v>802</v>
      </c>
      <c r="Z1819" t="s">
        <v>792</v>
      </c>
      <c r="AB1819" t="s">
        <v>793</v>
      </c>
      <c r="AD1819" t="s">
        <v>794</v>
      </c>
      <c r="AE1819" t="s">
        <v>795</v>
      </c>
      <c r="AF1819" t="s">
        <v>845</v>
      </c>
      <c r="AG1819" t="s">
        <v>797</v>
      </c>
      <c r="AH1819">
        <v>54000</v>
      </c>
      <c r="AI1819">
        <v>54000</v>
      </c>
      <c r="AJ1819">
        <v>7.0000000000000007E-2</v>
      </c>
    </row>
    <row r="1820" spans="1:36" x14ac:dyDescent="0.3">
      <c r="A1820">
        <f>COUNTIF($D$2:D1820,D1820)</f>
        <v>3</v>
      </c>
      <c r="B1820" t="str">
        <f t="shared" si="113"/>
        <v>3Rutland</v>
      </c>
      <c r="C1820" t="s">
        <v>5292</v>
      </c>
      <c r="D1820" t="s">
        <v>271</v>
      </c>
      <c r="E1820">
        <v>223</v>
      </c>
      <c r="F1820" t="s">
        <v>5287</v>
      </c>
      <c r="G1820" t="s">
        <v>811</v>
      </c>
      <c r="H1820" t="s">
        <v>895</v>
      </c>
      <c r="I1820" t="s">
        <v>813</v>
      </c>
      <c r="J1820">
        <f t="shared" ca="1" si="114"/>
        <v>81480</v>
      </c>
      <c r="K1820">
        <f t="shared" ca="1" si="115"/>
        <v>144</v>
      </c>
      <c r="N1820" t="str">
        <f t="shared" si="112"/>
        <v>Nottinghamshire2Community Beds (was ID 2 'Delayed transfers of Care'Bed based intermediate Care Services (Reablement, rehabilitation, wider short-term services supporting recovery)Bed-based intermediate care with rehabilitation (to support discharge)</v>
      </c>
      <c r="O1820" t="s">
        <v>247</v>
      </c>
      <c r="P1820" t="s">
        <v>2478</v>
      </c>
      <c r="Q1820">
        <v>2</v>
      </c>
      <c r="R1820" t="s">
        <v>4836</v>
      </c>
      <c r="S1820" t="s">
        <v>5293</v>
      </c>
      <c r="T1820" t="s">
        <v>877</v>
      </c>
      <c r="U1820" t="s">
        <v>968</v>
      </c>
      <c r="W1820">
        <v>1008</v>
      </c>
      <c r="X1820">
        <v>1008</v>
      </c>
      <c r="Y1820" t="s">
        <v>879</v>
      </c>
      <c r="Z1820" t="s">
        <v>823</v>
      </c>
      <c r="AB1820" t="s">
        <v>824</v>
      </c>
      <c r="AD1820" t="s">
        <v>794</v>
      </c>
      <c r="AE1820" t="s">
        <v>832</v>
      </c>
      <c r="AF1820" t="s">
        <v>796</v>
      </c>
      <c r="AG1820" t="s">
        <v>797</v>
      </c>
      <c r="AH1820">
        <v>7815816</v>
      </c>
      <c r="AI1820">
        <v>8258191</v>
      </c>
      <c r="AJ1820">
        <v>0.43</v>
      </c>
    </row>
    <row r="1821" spans="1:36" x14ac:dyDescent="0.3">
      <c r="A1821">
        <f>COUNTIF($D$2:D1821,D1821)</f>
        <v>4</v>
      </c>
      <c r="B1821" t="str">
        <f t="shared" si="113"/>
        <v>4Rutland</v>
      </c>
      <c r="C1821" t="s">
        <v>5294</v>
      </c>
      <c r="D1821" t="s">
        <v>271</v>
      </c>
      <c r="E1821">
        <v>232</v>
      </c>
      <c r="F1821" t="s">
        <v>5295</v>
      </c>
      <c r="G1821" t="s">
        <v>800</v>
      </c>
      <c r="H1821" t="s">
        <v>850</v>
      </c>
      <c r="I1821" t="s">
        <v>802</v>
      </c>
      <c r="J1821">
        <f t="shared" ca="1" si="114"/>
        <v>31980</v>
      </c>
      <c r="K1821">
        <f t="shared" ca="1" si="115"/>
        <v>374</v>
      </c>
      <c r="N1821" t="str">
        <f t="shared" si="112"/>
        <v>Nottinghamshire12Carers Short Breaks (was sheme ID 4 CarersCarers ServicesRespite services</v>
      </c>
      <c r="O1821" t="s">
        <v>247</v>
      </c>
      <c r="P1821" t="s">
        <v>2478</v>
      </c>
      <c r="Q1821">
        <v>12</v>
      </c>
      <c r="R1821" t="s">
        <v>4839</v>
      </c>
      <c r="S1821" t="s">
        <v>5296</v>
      </c>
      <c r="T1821" t="s">
        <v>811</v>
      </c>
      <c r="U1821" t="s">
        <v>830</v>
      </c>
      <c r="W1821">
        <v>403</v>
      </c>
      <c r="X1821">
        <v>403</v>
      </c>
      <c r="Y1821" t="s">
        <v>813</v>
      </c>
      <c r="Z1821" t="s">
        <v>812</v>
      </c>
      <c r="AA1821" t="s">
        <v>1250</v>
      </c>
      <c r="AB1821" t="s">
        <v>824</v>
      </c>
      <c r="AD1821" t="s">
        <v>794</v>
      </c>
      <c r="AE1821" t="s">
        <v>824</v>
      </c>
      <c r="AF1821" t="s">
        <v>796</v>
      </c>
      <c r="AG1821" t="s">
        <v>797</v>
      </c>
      <c r="AH1821">
        <v>352808</v>
      </c>
      <c r="AI1821">
        <v>372777</v>
      </c>
      <c r="AJ1821">
        <v>0.06</v>
      </c>
    </row>
    <row r="1822" spans="1:36" x14ac:dyDescent="0.3">
      <c r="A1822">
        <f>COUNTIF($D$2:D1822,D1822)</f>
        <v>5</v>
      </c>
      <c r="B1822" t="str">
        <f t="shared" si="113"/>
        <v>5Rutland</v>
      </c>
      <c r="C1822" t="s">
        <v>5297</v>
      </c>
      <c r="D1822" t="s">
        <v>271</v>
      </c>
      <c r="E1822">
        <v>241</v>
      </c>
      <c r="F1822" t="s">
        <v>5298</v>
      </c>
      <c r="G1822" t="s">
        <v>834</v>
      </c>
      <c r="H1822" t="s">
        <v>835</v>
      </c>
      <c r="I1822" t="s">
        <v>836</v>
      </c>
      <c r="J1822">
        <f t="shared" ca="1" si="114"/>
        <v>270255</v>
      </c>
      <c r="K1822">
        <f t="shared" ca="1" si="115"/>
        <v>47</v>
      </c>
      <c r="N1822" t="str">
        <f t="shared" si="112"/>
        <v>Nottinghamshire21O. Support for carersCarers ServicesCarer advice and support related to Care Act duties</v>
      </c>
      <c r="O1822" t="s">
        <v>247</v>
      </c>
      <c r="P1822" t="s">
        <v>2478</v>
      </c>
      <c r="Q1822">
        <v>21</v>
      </c>
      <c r="R1822" t="s">
        <v>4842</v>
      </c>
      <c r="S1822" t="s">
        <v>822</v>
      </c>
      <c r="T1822" t="s">
        <v>811</v>
      </c>
      <c r="U1822" t="s">
        <v>895</v>
      </c>
      <c r="W1822">
        <v>5855</v>
      </c>
      <c r="X1822">
        <v>7449</v>
      </c>
      <c r="Y1822" t="s">
        <v>813</v>
      </c>
      <c r="Z1822" t="s">
        <v>792</v>
      </c>
      <c r="AB1822" t="s">
        <v>793</v>
      </c>
      <c r="AD1822" t="s">
        <v>794</v>
      </c>
      <c r="AE1822" t="s">
        <v>795</v>
      </c>
      <c r="AF1822" t="s">
        <v>796</v>
      </c>
      <c r="AG1822" t="s">
        <v>797</v>
      </c>
      <c r="AH1822">
        <v>1655075</v>
      </c>
      <c r="AI1822">
        <v>1748752</v>
      </c>
      <c r="AJ1822">
        <v>0.01</v>
      </c>
    </row>
    <row r="1823" spans="1:36" x14ac:dyDescent="0.3">
      <c r="A1823">
        <f>COUNTIF($D$2:D1823,D1823)</f>
        <v>6</v>
      </c>
      <c r="B1823" t="str">
        <f t="shared" si="113"/>
        <v>6Rutland</v>
      </c>
      <c r="C1823" t="s">
        <v>5299</v>
      </c>
      <c r="D1823" t="s">
        <v>271</v>
      </c>
      <c r="E1823">
        <v>251</v>
      </c>
      <c r="F1823" t="s">
        <v>5300</v>
      </c>
      <c r="G1823" t="s">
        <v>811</v>
      </c>
      <c r="H1823" t="s">
        <v>830</v>
      </c>
      <c r="I1823" t="s">
        <v>813</v>
      </c>
      <c r="J1823">
        <f t="shared" ca="1" si="114"/>
        <v>20000</v>
      </c>
      <c r="K1823">
        <f t="shared" ca="1" si="115"/>
        <v>30</v>
      </c>
      <c r="N1823" t="str">
        <f t="shared" si="112"/>
        <v>Nottinghamshire23P. Protecting social careResidential PlacementsNursing home</v>
      </c>
      <c r="O1823" t="s">
        <v>247</v>
      </c>
      <c r="P1823" t="s">
        <v>2478</v>
      </c>
      <c r="Q1823">
        <v>23</v>
      </c>
      <c r="R1823" t="s">
        <v>4844</v>
      </c>
      <c r="S1823" t="s">
        <v>5301</v>
      </c>
      <c r="T1823" t="s">
        <v>806</v>
      </c>
      <c r="U1823" t="s">
        <v>917</v>
      </c>
      <c r="W1823">
        <v>80</v>
      </c>
      <c r="X1823">
        <v>80</v>
      </c>
      <c r="Y1823" t="s">
        <v>808</v>
      </c>
      <c r="Z1823" t="s">
        <v>792</v>
      </c>
      <c r="AB1823" t="s">
        <v>793</v>
      </c>
      <c r="AD1823" t="s">
        <v>794</v>
      </c>
      <c r="AE1823" t="s">
        <v>795</v>
      </c>
      <c r="AF1823" t="s">
        <v>796</v>
      </c>
      <c r="AG1823" t="s">
        <v>797</v>
      </c>
      <c r="AH1823">
        <v>2762810</v>
      </c>
      <c r="AI1823">
        <v>2919185</v>
      </c>
      <c r="AJ1823">
        <v>0.06</v>
      </c>
    </row>
    <row r="1824" spans="1:36" x14ac:dyDescent="0.3">
      <c r="A1824">
        <f>COUNTIF($D$2:D1824,D1824)</f>
        <v>7</v>
      </c>
      <c r="B1824" t="str">
        <f t="shared" si="113"/>
        <v>7Rutland</v>
      </c>
      <c r="C1824" t="s">
        <v>5302</v>
      </c>
      <c r="D1824" t="s">
        <v>271</v>
      </c>
      <c r="E1824">
        <v>321</v>
      </c>
      <c r="F1824" t="s">
        <v>5303</v>
      </c>
      <c r="G1824" t="s">
        <v>787</v>
      </c>
      <c r="H1824" t="s">
        <v>788</v>
      </c>
      <c r="I1824" t="s">
        <v>789</v>
      </c>
      <c r="J1824">
        <f t="shared" ca="1" si="114"/>
        <v>676534</v>
      </c>
      <c r="K1824">
        <f t="shared" ca="1" si="115"/>
        <v>2937</v>
      </c>
      <c r="N1824" t="str">
        <f t="shared" si="112"/>
        <v>Nottinghamshire24P. Protecting social careResidential PlacementsSupported housing</v>
      </c>
      <c r="O1824" t="s">
        <v>247</v>
      </c>
      <c r="P1824" t="s">
        <v>2478</v>
      </c>
      <c r="Q1824">
        <v>24</v>
      </c>
      <c r="R1824" t="s">
        <v>4844</v>
      </c>
      <c r="S1824" t="s">
        <v>5304</v>
      </c>
      <c r="T1824" t="s">
        <v>806</v>
      </c>
      <c r="U1824" t="s">
        <v>873</v>
      </c>
      <c r="W1824">
        <v>160</v>
      </c>
      <c r="X1824">
        <v>160</v>
      </c>
      <c r="Y1824" t="s">
        <v>808</v>
      </c>
      <c r="Z1824" t="s">
        <v>792</v>
      </c>
      <c r="AB1824" t="s">
        <v>793</v>
      </c>
      <c r="AD1824" t="s">
        <v>794</v>
      </c>
      <c r="AE1824" t="s">
        <v>795</v>
      </c>
      <c r="AF1824" t="s">
        <v>796</v>
      </c>
      <c r="AG1824" t="s">
        <v>797</v>
      </c>
      <c r="AH1824">
        <v>3414268</v>
      </c>
      <c r="AI1824">
        <v>3607515</v>
      </c>
      <c r="AJ1824">
        <v>0.05</v>
      </c>
    </row>
    <row r="1825" spans="1:36" x14ac:dyDescent="0.3">
      <c r="A1825">
        <f>COUNTIF($D$2:D1825,D1825)</f>
        <v>8</v>
      </c>
      <c r="B1825" t="str">
        <f t="shared" si="113"/>
        <v>8Rutland</v>
      </c>
      <c r="C1825" t="s">
        <v>5305</v>
      </c>
      <c r="D1825" t="s">
        <v>271</v>
      </c>
      <c r="E1825">
        <v>511</v>
      </c>
      <c r="F1825" t="s">
        <v>5306</v>
      </c>
      <c r="G1825" t="s">
        <v>877</v>
      </c>
      <c r="H1825" t="s">
        <v>878</v>
      </c>
      <c r="I1825" t="s">
        <v>879</v>
      </c>
      <c r="J1825">
        <f t="shared" ca="1" si="114"/>
        <v>3241.38</v>
      </c>
      <c r="K1825">
        <f t="shared" ca="1" si="115"/>
        <v>6</v>
      </c>
      <c r="N1825" t="str">
        <f t="shared" si="112"/>
        <v>Nottinghamshire27Q. Disabled Facilities GrantDFG Related SchemesOther</v>
      </c>
      <c r="O1825" t="s">
        <v>247</v>
      </c>
      <c r="P1825" t="s">
        <v>2478</v>
      </c>
      <c r="Q1825">
        <v>27</v>
      </c>
      <c r="R1825" t="s">
        <v>4850</v>
      </c>
      <c r="S1825" t="s">
        <v>4640</v>
      </c>
      <c r="T1825" t="s">
        <v>834</v>
      </c>
      <c r="U1825" t="s">
        <v>812</v>
      </c>
      <c r="V1825" t="s">
        <v>4640</v>
      </c>
      <c r="W1825">
        <v>520</v>
      </c>
      <c r="X1825">
        <v>520</v>
      </c>
      <c r="Y1825" t="s">
        <v>836</v>
      </c>
      <c r="Z1825" t="s">
        <v>812</v>
      </c>
      <c r="AA1825" t="s">
        <v>4640</v>
      </c>
      <c r="AB1825" t="s">
        <v>793</v>
      </c>
      <c r="AD1825" t="s">
        <v>794</v>
      </c>
      <c r="AE1825" t="s">
        <v>795</v>
      </c>
      <c r="AF1825" t="s">
        <v>840</v>
      </c>
      <c r="AG1825" t="s">
        <v>797</v>
      </c>
      <c r="AH1825">
        <v>7886632</v>
      </c>
      <c r="AI1825">
        <v>7886632</v>
      </c>
      <c r="AJ1825">
        <v>1</v>
      </c>
    </row>
    <row r="1826" spans="1:36" x14ac:dyDescent="0.3">
      <c r="A1826">
        <f>COUNTIF($D$2:D1826,D1826)</f>
        <v>9</v>
      </c>
      <c r="B1826" t="str">
        <f t="shared" si="113"/>
        <v>9Rutland</v>
      </c>
      <c r="C1826" t="s">
        <v>5307</v>
      </c>
      <c r="D1826" t="s">
        <v>271</v>
      </c>
      <c r="E1826">
        <v>513</v>
      </c>
      <c r="F1826" t="s">
        <v>5306</v>
      </c>
      <c r="G1826" t="s">
        <v>877</v>
      </c>
      <c r="H1826" t="s">
        <v>878</v>
      </c>
      <c r="I1826" t="s">
        <v>879</v>
      </c>
      <c r="J1826">
        <f t="shared" ca="1" si="114"/>
        <v>25991.99</v>
      </c>
      <c r="K1826">
        <f t="shared" ca="1" si="115"/>
        <v>30</v>
      </c>
      <c r="N1826" t="str">
        <f t="shared" si="112"/>
        <v xml:space="preserve">Nottinghamshire34P1 Discharge ProgrammeHome-based intermediate care servicesReablement at home (to support discharge) </v>
      </c>
      <c r="O1826" t="s">
        <v>247</v>
      </c>
      <c r="P1826" t="s">
        <v>2478</v>
      </c>
      <c r="Q1826">
        <v>34</v>
      </c>
      <c r="R1826" t="s">
        <v>4829</v>
      </c>
      <c r="S1826" t="s">
        <v>4829</v>
      </c>
      <c r="T1826" t="s">
        <v>787</v>
      </c>
      <c r="U1826" t="s">
        <v>788</v>
      </c>
      <c r="W1826">
        <v>10400</v>
      </c>
      <c r="X1826">
        <v>10400</v>
      </c>
      <c r="Y1826" t="s">
        <v>789</v>
      </c>
      <c r="Z1826" t="s">
        <v>823</v>
      </c>
      <c r="AB1826" t="s">
        <v>824</v>
      </c>
      <c r="AD1826" t="s">
        <v>794</v>
      </c>
      <c r="AE1826" t="s">
        <v>832</v>
      </c>
      <c r="AF1826" t="s">
        <v>860</v>
      </c>
      <c r="AG1826" t="s">
        <v>797</v>
      </c>
      <c r="AH1826">
        <v>3518050</v>
      </c>
      <c r="AI1826">
        <v>3518050</v>
      </c>
      <c r="AJ1826">
        <v>0.41</v>
      </c>
    </row>
    <row r="1827" spans="1:36" x14ac:dyDescent="0.3">
      <c r="A1827">
        <f>COUNTIF($D$2:D1827,D1827)</f>
        <v>10</v>
      </c>
      <c r="B1827" t="str">
        <f t="shared" si="113"/>
        <v>10Rutland</v>
      </c>
      <c r="C1827" t="s">
        <v>5308</v>
      </c>
      <c r="D1827" t="s">
        <v>271</v>
      </c>
      <c r="E1827">
        <v>514</v>
      </c>
      <c r="F1827" t="s">
        <v>5306</v>
      </c>
      <c r="G1827" t="s">
        <v>877</v>
      </c>
      <c r="H1827" t="s">
        <v>878</v>
      </c>
      <c r="I1827" t="s">
        <v>879</v>
      </c>
      <c r="J1827">
        <f t="shared" ca="1" si="114"/>
        <v>28678</v>
      </c>
      <c r="K1827">
        <f t="shared" ca="1" si="115"/>
        <v>30</v>
      </c>
      <c r="N1827" t="str">
        <f t="shared" si="112"/>
        <v>Nottinghamshire38Learning from the evaluation of the impact of previous schemes funded using discharge funds Residential PlacementsSupported housing</v>
      </c>
      <c r="O1827" t="s">
        <v>247</v>
      </c>
      <c r="P1827" t="s">
        <v>2478</v>
      </c>
      <c r="Q1827">
        <v>38</v>
      </c>
      <c r="R1827" t="s">
        <v>4855</v>
      </c>
      <c r="S1827" t="s">
        <v>5309</v>
      </c>
      <c r="T1827" t="s">
        <v>806</v>
      </c>
      <c r="U1827" t="s">
        <v>873</v>
      </c>
      <c r="W1827">
        <v>52</v>
      </c>
      <c r="X1827">
        <v>24</v>
      </c>
      <c r="Y1827" t="s">
        <v>808</v>
      </c>
      <c r="Z1827" t="s">
        <v>792</v>
      </c>
      <c r="AB1827" t="s">
        <v>793</v>
      </c>
      <c r="AD1827" t="s">
        <v>794</v>
      </c>
      <c r="AE1827" t="s">
        <v>795</v>
      </c>
      <c r="AF1827" t="s">
        <v>864</v>
      </c>
      <c r="AH1827">
        <v>253000</v>
      </c>
      <c r="AI1827">
        <v>253000</v>
      </c>
      <c r="AJ1827">
        <v>4.0000000000000001E-3</v>
      </c>
    </row>
    <row r="1828" spans="1:36" x14ac:dyDescent="0.3">
      <c r="A1828">
        <f>COUNTIF($D$2:D1828,D1828)</f>
        <v>1</v>
      </c>
      <c r="B1828" t="str">
        <f t="shared" si="113"/>
        <v>1Salford</v>
      </c>
      <c r="C1828" t="s">
        <v>5310</v>
      </c>
      <c r="D1828" t="s">
        <v>273</v>
      </c>
      <c r="E1828">
        <v>1</v>
      </c>
      <c r="F1828" t="s">
        <v>1328</v>
      </c>
      <c r="G1828" t="s">
        <v>787</v>
      </c>
      <c r="H1828" t="s">
        <v>788</v>
      </c>
      <c r="I1828" t="s">
        <v>789</v>
      </c>
      <c r="J1828">
        <f t="shared" ca="1" si="114"/>
        <v>713827</v>
      </c>
      <c r="K1828">
        <f t="shared" ca="1" si="115"/>
        <v>655</v>
      </c>
      <c r="N1828" t="str">
        <f t="shared" si="112"/>
        <v>Nottinghamshire38Learning from the evaluation of the impact of previous schemes funded using discharge funds Home Care or Domiciliary CareDomiciliary care to support hospital discharge (Discharge to Assess pathway 1)</v>
      </c>
      <c r="O1828" t="s">
        <v>247</v>
      </c>
      <c r="P1828" t="s">
        <v>2478</v>
      </c>
      <c r="Q1828">
        <v>38</v>
      </c>
      <c r="R1828" t="s">
        <v>4855</v>
      </c>
      <c r="S1828" t="s">
        <v>5311</v>
      </c>
      <c r="T1828" t="s">
        <v>842</v>
      </c>
      <c r="U1828" t="s">
        <v>856</v>
      </c>
      <c r="W1828">
        <v>23729</v>
      </c>
      <c r="X1828">
        <v>9759</v>
      </c>
      <c r="Y1828" t="s">
        <v>844</v>
      </c>
      <c r="Z1828" t="s">
        <v>792</v>
      </c>
      <c r="AB1828" t="s">
        <v>793</v>
      </c>
      <c r="AD1828" t="s">
        <v>794</v>
      </c>
      <c r="AE1828" t="s">
        <v>795</v>
      </c>
      <c r="AF1828" t="s">
        <v>864</v>
      </c>
      <c r="AG1828" t="s">
        <v>797</v>
      </c>
      <c r="AH1828">
        <v>700000</v>
      </c>
      <c r="AI1828">
        <v>287882</v>
      </c>
      <c r="AJ1828">
        <v>0.01</v>
      </c>
    </row>
    <row r="1829" spans="1:36" x14ac:dyDescent="0.3">
      <c r="A1829">
        <f>COUNTIF($D$2:D1829,D1829)</f>
        <v>2</v>
      </c>
      <c r="B1829" t="str">
        <f t="shared" si="113"/>
        <v>2Salford</v>
      </c>
      <c r="C1829" t="s">
        <v>5312</v>
      </c>
      <c r="D1829" t="s">
        <v>273</v>
      </c>
      <c r="E1829">
        <v>1</v>
      </c>
      <c r="F1829" t="s">
        <v>1328</v>
      </c>
      <c r="G1829" t="s">
        <v>811</v>
      </c>
      <c r="H1829" t="s">
        <v>895</v>
      </c>
      <c r="I1829" t="s">
        <v>813</v>
      </c>
      <c r="J1829">
        <f t="shared" ca="1" si="114"/>
        <v>140000</v>
      </c>
      <c r="K1829">
        <f t="shared" ca="1" si="115"/>
        <v>203</v>
      </c>
      <c r="N1829" t="str">
        <f t="shared" si="112"/>
        <v>Oldham1Reablement - Butler Green - NCABed based intermediate Care Services (Reablement, rehabilitation, wider short-term services supporting recovery)Bed-based intermediate care with reablement accepting step up and step down users</v>
      </c>
      <c r="O1829" t="s">
        <v>249</v>
      </c>
      <c r="P1829" t="s">
        <v>1201</v>
      </c>
      <c r="Q1829">
        <v>1</v>
      </c>
      <c r="R1829" t="s">
        <v>4860</v>
      </c>
      <c r="S1829" t="s">
        <v>4860</v>
      </c>
      <c r="T1829" t="s">
        <v>877</v>
      </c>
      <c r="U1829" t="s">
        <v>1259</v>
      </c>
      <c r="W1829">
        <v>483</v>
      </c>
      <c r="X1829">
        <v>483</v>
      </c>
      <c r="Y1829" t="s">
        <v>879</v>
      </c>
      <c r="Z1829" t="s">
        <v>823</v>
      </c>
      <c r="AB1829" t="s">
        <v>824</v>
      </c>
      <c r="AD1829" t="s">
        <v>794</v>
      </c>
      <c r="AE1829" t="s">
        <v>832</v>
      </c>
      <c r="AF1829" t="s">
        <v>796</v>
      </c>
      <c r="AG1829" t="s">
        <v>797</v>
      </c>
      <c r="AH1829">
        <v>2537619</v>
      </c>
      <c r="AI1829">
        <v>2583297</v>
      </c>
      <c r="AJ1829">
        <v>1</v>
      </c>
    </row>
    <row r="1830" spans="1:36" x14ac:dyDescent="0.3">
      <c r="A1830">
        <f>COUNTIF($D$2:D1830,D1830)</f>
        <v>3</v>
      </c>
      <c r="B1830" t="str">
        <f t="shared" si="113"/>
        <v>3Salford</v>
      </c>
      <c r="C1830" t="s">
        <v>5313</v>
      </c>
      <c r="D1830" t="s">
        <v>273</v>
      </c>
      <c r="E1830">
        <v>1</v>
      </c>
      <c r="F1830" t="s">
        <v>1328</v>
      </c>
      <c r="G1830" t="s">
        <v>811</v>
      </c>
      <c r="H1830" t="s">
        <v>812</v>
      </c>
      <c r="I1830" t="s">
        <v>813</v>
      </c>
      <c r="J1830">
        <f t="shared" ca="1" si="114"/>
        <v>327116</v>
      </c>
      <c r="K1830">
        <f t="shared" ca="1" si="115"/>
        <v>473</v>
      </c>
      <c r="N1830" t="str">
        <f t="shared" si="112"/>
        <v>Oldham11Wheelchair Service Assistive Technologies and EquipmentCommunity based equipment</v>
      </c>
      <c r="O1830" t="s">
        <v>249</v>
      </c>
      <c r="P1830" t="s">
        <v>1201</v>
      </c>
      <c r="Q1830">
        <v>11</v>
      </c>
      <c r="R1830" t="s">
        <v>4862</v>
      </c>
      <c r="S1830" t="s">
        <v>4862</v>
      </c>
      <c r="T1830" t="s">
        <v>800</v>
      </c>
      <c r="U1830" t="s">
        <v>903</v>
      </c>
      <c r="W1830">
        <v>1980</v>
      </c>
      <c r="X1830">
        <v>2000</v>
      </c>
      <c r="Y1830" t="s">
        <v>802</v>
      </c>
      <c r="Z1830" t="s">
        <v>823</v>
      </c>
      <c r="AB1830" t="s">
        <v>824</v>
      </c>
      <c r="AD1830" t="s">
        <v>794</v>
      </c>
      <c r="AE1830" t="s">
        <v>804</v>
      </c>
      <c r="AF1830" t="s">
        <v>796</v>
      </c>
      <c r="AG1830" t="s">
        <v>797</v>
      </c>
      <c r="AH1830">
        <v>619644.35819980805</v>
      </c>
      <c r="AI1830">
        <v>630797.95664740459</v>
      </c>
      <c r="AJ1830">
        <v>1</v>
      </c>
    </row>
    <row r="1831" spans="1:36" x14ac:dyDescent="0.3">
      <c r="A1831">
        <f>COUNTIF($D$2:D1831,D1831)</f>
        <v>4</v>
      </c>
      <c r="B1831" t="str">
        <f t="shared" si="113"/>
        <v>4Salford</v>
      </c>
      <c r="C1831" t="s">
        <v>5314</v>
      </c>
      <c r="D1831" t="s">
        <v>273</v>
      </c>
      <c r="E1831">
        <v>2</v>
      </c>
      <c r="F1831" t="s">
        <v>5315</v>
      </c>
      <c r="G1831" t="s">
        <v>877</v>
      </c>
      <c r="H1831" t="s">
        <v>1259</v>
      </c>
      <c r="I1831" t="s">
        <v>879</v>
      </c>
      <c r="J1831">
        <f t="shared" ca="1" si="114"/>
        <v>2950541</v>
      </c>
      <c r="K1831">
        <f t="shared" ca="1" si="115"/>
        <v>59</v>
      </c>
      <c r="N1831" t="str">
        <f t="shared" si="112"/>
        <v>Oldham12Community Equipment (through OMBC)Assistive Technologies and EquipmentCommunity based equipment</v>
      </c>
      <c r="O1831" t="s">
        <v>249</v>
      </c>
      <c r="P1831" t="s">
        <v>1201</v>
      </c>
      <c r="Q1831">
        <v>12</v>
      </c>
      <c r="R1831" t="s">
        <v>4865</v>
      </c>
      <c r="S1831" t="s">
        <v>4865</v>
      </c>
      <c r="T1831" t="s">
        <v>800</v>
      </c>
      <c r="U1831" t="s">
        <v>903</v>
      </c>
      <c r="W1831">
        <v>3800</v>
      </c>
      <c r="X1831">
        <v>4000</v>
      </c>
      <c r="Y1831" t="s">
        <v>802</v>
      </c>
      <c r="Z1831" t="s">
        <v>823</v>
      </c>
      <c r="AB1831" t="s">
        <v>824</v>
      </c>
      <c r="AD1831" t="s">
        <v>794</v>
      </c>
      <c r="AE1831" t="s">
        <v>804</v>
      </c>
      <c r="AF1831" t="s">
        <v>796</v>
      </c>
      <c r="AG1831" t="s">
        <v>797</v>
      </c>
      <c r="AH1831">
        <v>950940</v>
      </c>
      <c r="AI1831">
        <v>1004763.204</v>
      </c>
      <c r="AJ1831">
        <v>0.5</v>
      </c>
    </row>
    <row r="1832" spans="1:36" x14ac:dyDescent="0.3">
      <c r="A1832">
        <f>COUNTIF($D$2:D1832,D1832)</f>
        <v>5</v>
      </c>
      <c r="B1832" t="str">
        <f t="shared" si="113"/>
        <v>5Salford</v>
      </c>
      <c r="C1832" t="s">
        <v>5316</v>
      </c>
      <c r="D1832" t="s">
        <v>273</v>
      </c>
      <c r="E1832">
        <v>8</v>
      </c>
      <c r="F1832" t="s">
        <v>5317</v>
      </c>
      <c r="G1832" t="s">
        <v>800</v>
      </c>
      <c r="H1832" t="s">
        <v>801</v>
      </c>
      <c r="I1832" t="s">
        <v>802</v>
      </c>
      <c r="J1832">
        <f t="shared" ca="1" si="114"/>
        <v>2741068</v>
      </c>
      <c r="K1832">
        <f t="shared" ca="1" si="115"/>
        <v>14786</v>
      </c>
      <c r="N1832" t="str">
        <f t="shared" si="112"/>
        <v>Oldham14Carers - OMBCCarers ServicesCarer advice and support related to Care Act duties</v>
      </c>
      <c r="O1832" t="s">
        <v>249</v>
      </c>
      <c r="P1832" t="s">
        <v>1201</v>
      </c>
      <c r="Q1832">
        <v>14</v>
      </c>
      <c r="R1832" t="s">
        <v>4869</v>
      </c>
      <c r="S1832" t="s">
        <v>4869</v>
      </c>
      <c r="T1832" t="s">
        <v>811</v>
      </c>
      <c r="U1832" t="s">
        <v>895</v>
      </c>
      <c r="W1832">
        <v>2000</v>
      </c>
      <c r="X1832">
        <v>2000</v>
      </c>
      <c r="Y1832" t="s">
        <v>813</v>
      </c>
      <c r="Z1832" t="s">
        <v>792</v>
      </c>
      <c r="AB1832" t="s">
        <v>824</v>
      </c>
      <c r="AD1832" t="s">
        <v>794</v>
      </c>
      <c r="AE1832" t="s">
        <v>795</v>
      </c>
      <c r="AF1832" t="s">
        <v>796</v>
      </c>
      <c r="AG1832" t="s">
        <v>797</v>
      </c>
      <c r="AH1832">
        <v>508214.03399999999</v>
      </c>
      <c r="AI1832">
        <v>536978.9483244</v>
      </c>
      <c r="AJ1832">
        <v>0.5</v>
      </c>
    </row>
    <row r="1833" spans="1:36" x14ac:dyDescent="0.3">
      <c r="A1833">
        <f>COUNTIF($D$2:D1833,D1833)</f>
        <v>6</v>
      </c>
      <c r="B1833" t="str">
        <f t="shared" si="113"/>
        <v>6Salford</v>
      </c>
      <c r="C1833" t="s">
        <v>5318</v>
      </c>
      <c r="D1833" t="s">
        <v>273</v>
      </c>
      <c r="E1833">
        <v>11</v>
      </c>
      <c r="F1833" t="s">
        <v>840</v>
      </c>
      <c r="G1833" t="s">
        <v>834</v>
      </c>
      <c r="H1833" t="s">
        <v>835</v>
      </c>
      <c r="I1833" t="s">
        <v>836</v>
      </c>
      <c r="J1833">
        <f t="shared" ca="1" si="114"/>
        <v>3499990</v>
      </c>
      <c r="K1833">
        <f t="shared" ca="1" si="115"/>
        <v>256</v>
      </c>
      <c r="N1833" t="str">
        <f t="shared" si="112"/>
        <v>Oldham15Carers - OMBC - short breaksCarers ServicesRespite services</v>
      </c>
      <c r="O1833" t="s">
        <v>249</v>
      </c>
      <c r="P1833" t="s">
        <v>1201</v>
      </c>
      <c r="Q1833">
        <v>15</v>
      </c>
      <c r="R1833" t="s">
        <v>4873</v>
      </c>
      <c r="S1833" t="s">
        <v>4873</v>
      </c>
      <c r="T1833" t="s">
        <v>811</v>
      </c>
      <c r="U1833" t="s">
        <v>830</v>
      </c>
      <c r="W1833">
        <v>400</v>
      </c>
      <c r="X1833">
        <v>400</v>
      </c>
      <c r="Y1833" t="s">
        <v>813</v>
      </c>
      <c r="Z1833" t="s">
        <v>792</v>
      </c>
      <c r="AB1833" t="s">
        <v>824</v>
      </c>
      <c r="AD1833" t="s">
        <v>794</v>
      </c>
      <c r="AE1833" t="s">
        <v>795</v>
      </c>
      <c r="AF1833" t="s">
        <v>796</v>
      </c>
      <c r="AG1833" t="s">
        <v>861</v>
      </c>
      <c r="AH1833">
        <v>100000</v>
      </c>
      <c r="AI1833">
        <v>101800</v>
      </c>
      <c r="AJ1833">
        <v>0.5</v>
      </c>
    </row>
    <row r="1834" spans="1:36" x14ac:dyDescent="0.3">
      <c r="A1834">
        <f>COUNTIF($D$2:D1834,D1834)</f>
        <v>7</v>
      </c>
      <c r="B1834" t="str">
        <f t="shared" si="113"/>
        <v>7Salford</v>
      </c>
      <c r="C1834" t="s">
        <v>5319</v>
      </c>
      <c r="D1834" t="s">
        <v>273</v>
      </c>
      <c r="E1834">
        <v>15</v>
      </c>
      <c r="F1834" t="s">
        <v>5320</v>
      </c>
      <c r="G1834" t="s">
        <v>806</v>
      </c>
      <c r="H1834" t="s">
        <v>854</v>
      </c>
      <c r="I1834" t="s">
        <v>808</v>
      </c>
      <c r="J1834">
        <f t="shared" ca="1" si="114"/>
        <v>1057000</v>
      </c>
      <c r="K1834">
        <f t="shared" ca="1" si="115"/>
        <v>2</v>
      </c>
      <c r="N1834" t="str">
        <f t="shared" si="112"/>
        <v>Oldham23Community Equipment - OCAS staffing costsAssistive Technologies and EquipmentCommunity based equipment</v>
      </c>
      <c r="O1834" t="s">
        <v>249</v>
      </c>
      <c r="P1834" t="s">
        <v>1201</v>
      </c>
      <c r="Q1834">
        <v>23</v>
      </c>
      <c r="R1834" t="s">
        <v>4876</v>
      </c>
      <c r="S1834" t="s">
        <v>4876</v>
      </c>
      <c r="T1834" t="s">
        <v>800</v>
      </c>
      <c r="U1834" t="s">
        <v>903</v>
      </c>
      <c r="W1834">
        <v>3800</v>
      </c>
      <c r="X1834">
        <v>4000</v>
      </c>
      <c r="Y1834" t="s">
        <v>802</v>
      </c>
      <c r="Z1834" t="s">
        <v>792</v>
      </c>
      <c r="AB1834" t="s">
        <v>793</v>
      </c>
      <c r="AD1834" t="s">
        <v>794</v>
      </c>
      <c r="AE1834" t="s">
        <v>795</v>
      </c>
      <c r="AF1834" t="s">
        <v>796</v>
      </c>
      <c r="AG1834" t="s">
        <v>797</v>
      </c>
      <c r="AH1834">
        <v>412050</v>
      </c>
      <c r="AI1834">
        <v>435372.03</v>
      </c>
      <c r="AJ1834">
        <v>1</v>
      </c>
    </row>
    <row r="1835" spans="1:36" x14ac:dyDescent="0.3">
      <c r="A1835">
        <f>COUNTIF($D$2:D1835,D1835)</f>
        <v>8</v>
      </c>
      <c r="B1835" t="str">
        <f t="shared" si="113"/>
        <v>8Salford</v>
      </c>
      <c r="C1835" t="s">
        <v>5321</v>
      </c>
      <c r="D1835" t="s">
        <v>273</v>
      </c>
      <c r="E1835">
        <v>23</v>
      </c>
      <c r="F1835" t="s">
        <v>2262</v>
      </c>
      <c r="G1835" t="s">
        <v>806</v>
      </c>
      <c r="H1835" t="s">
        <v>5322</v>
      </c>
      <c r="I1835" t="s">
        <v>808</v>
      </c>
      <c r="J1835">
        <f t="shared" ca="1" si="114"/>
        <v>3891488</v>
      </c>
      <c r="K1835">
        <f t="shared" ca="1" si="115"/>
        <v>44</v>
      </c>
      <c r="N1835" t="str">
        <f t="shared" si="112"/>
        <v>Oldham25Reablement services (OCS)Home-based intermediate care servicesJoint reablement and rehabilitation service (accepting step up and step down users)</v>
      </c>
      <c r="O1835" t="s">
        <v>249</v>
      </c>
      <c r="P1835" t="s">
        <v>1201</v>
      </c>
      <c r="Q1835">
        <v>25</v>
      </c>
      <c r="R1835" t="s">
        <v>4879</v>
      </c>
      <c r="S1835" t="s">
        <v>4879</v>
      </c>
      <c r="T1835" t="s">
        <v>787</v>
      </c>
      <c r="U1835" t="s">
        <v>2374</v>
      </c>
      <c r="W1835">
        <v>194</v>
      </c>
      <c r="X1835">
        <v>224</v>
      </c>
      <c r="Y1835" t="s">
        <v>789</v>
      </c>
      <c r="Z1835" t="s">
        <v>792</v>
      </c>
      <c r="AB1835" t="s">
        <v>793</v>
      </c>
      <c r="AD1835" t="s">
        <v>794</v>
      </c>
      <c r="AE1835" t="s">
        <v>795</v>
      </c>
      <c r="AF1835" t="s">
        <v>796</v>
      </c>
      <c r="AG1835" t="s">
        <v>797</v>
      </c>
      <c r="AH1835">
        <v>2511660</v>
      </c>
      <c r="AI1835">
        <v>2653819.9559999998</v>
      </c>
      <c r="AJ1835">
        <v>1</v>
      </c>
    </row>
    <row r="1836" spans="1:36" x14ac:dyDescent="0.3">
      <c r="A1836">
        <f>COUNTIF($D$2:D1836,D1836)</f>
        <v>9</v>
      </c>
      <c r="B1836" t="str">
        <f t="shared" si="113"/>
        <v>9Salford</v>
      </c>
      <c r="C1836" t="s">
        <v>5323</v>
      </c>
      <c r="D1836" t="s">
        <v>273</v>
      </c>
      <c r="E1836">
        <v>23</v>
      </c>
      <c r="F1836" t="s">
        <v>2262</v>
      </c>
      <c r="G1836" t="s">
        <v>806</v>
      </c>
      <c r="H1836" t="s">
        <v>807</v>
      </c>
      <c r="I1836" t="s">
        <v>808</v>
      </c>
      <c r="J1836">
        <f t="shared" ca="1" si="114"/>
        <v>5872969</v>
      </c>
      <c r="K1836">
        <f t="shared" ca="1" si="115"/>
        <v>1527</v>
      </c>
      <c r="N1836" t="str">
        <f t="shared" si="112"/>
        <v>Oldham28Medlock court -Reablement residentialBed based intermediate Care Services (Reablement, rehabilitation, wider short-term services supporting recovery)Bed-based intermediate care with reablement accepting step up and step down users</v>
      </c>
      <c r="O1836" t="s">
        <v>249</v>
      </c>
      <c r="P1836" t="s">
        <v>1201</v>
      </c>
      <c r="Q1836">
        <v>28</v>
      </c>
      <c r="R1836" t="s">
        <v>4882</v>
      </c>
      <c r="S1836" t="s">
        <v>4882</v>
      </c>
      <c r="T1836" t="s">
        <v>877</v>
      </c>
      <c r="U1836" t="s">
        <v>1259</v>
      </c>
      <c r="W1836">
        <v>336</v>
      </c>
      <c r="X1836">
        <v>336</v>
      </c>
      <c r="Y1836" t="s">
        <v>879</v>
      </c>
      <c r="Z1836" t="s">
        <v>792</v>
      </c>
      <c r="AB1836" t="s">
        <v>793</v>
      </c>
      <c r="AD1836" t="s">
        <v>794</v>
      </c>
      <c r="AE1836" t="s">
        <v>795</v>
      </c>
      <c r="AF1836" t="s">
        <v>796</v>
      </c>
      <c r="AG1836" t="s">
        <v>797</v>
      </c>
      <c r="AH1836">
        <v>1702140</v>
      </c>
      <c r="AI1836">
        <v>1798481.1240000001</v>
      </c>
      <c r="AJ1836">
        <v>1</v>
      </c>
    </row>
    <row r="1837" spans="1:36" x14ac:dyDescent="0.3">
      <c r="A1837">
        <f>COUNTIF($D$2:D1837,D1837)</f>
        <v>10</v>
      </c>
      <c r="B1837" t="str">
        <f t="shared" si="113"/>
        <v>10Salford</v>
      </c>
      <c r="C1837" t="s">
        <v>5324</v>
      </c>
      <c r="D1837" t="s">
        <v>273</v>
      </c>
      <c r="E1837">
        <v>23</v>
      </c>
      <c r="F1837" t="s">
        <v>2262</v>
      </c>
      <c r="G1837" t="s">
        <v>806</v>
      </c>
      <c r="H1837" t="s">
        <v>873</v>
      </c>
      <c r="I1837" t="s">
        <v>808</v>
      </c>
      <c r="J1837">
        <f t="shared" ca="1" si="114"/>
        <v>10247065</v>
      </c>
      <c r="K1837">
        <f t="shared" ca="1" si="115"/>
        <v>357</v>
      </c>
      <c r="N1837" t="str">
        <f t="shared" si="112"/>
        <v>Oldham32Home from HospitalHome Care or Domiciliary CareDomiciliary care to support hospital discharge (Discharge to Assess pathway 1)</v>
      </c>
      <c r="O1837" t="s">
        <v>249</v>
      </c>
      <c r="P1837" t="s">
        <v>1201</v>
      </c>
      <c r="Q1837">
        <v>32</v>
      </c>
      <c r="R1837" t="s">
        <v>1008</v>
      </c>
      <c r="S1837" t="s">
        <v>1008</v>
      </c>
      <c r="T1837" t="s">
        <v>842</v>
      </c>
      <c r="U1837" t="s">
        <v>856</v>
      </c>
      <c r="W1837">
        <v>672</v>
      </c>
      <c r="X1837">
        <v>672</v>
      </c>
      <c r="Y1837" t="s">
        <v>844</v>
      </c>
      <c r="Z1837" t="s">
        <v>792</v>
      </c>
      <c r="AB1837" t="s">
        <v>793</v>
      </c>
      <c r="AD1837" t="s">
        <v>794</v>
      </c>
      <c r="AE1837" t="s">
        <v>804</v>
      </c>
      <c r="AF1837" t="s">
        <v>796</v>
      </c>
      <c r="AG1837" t="s">
        <v>797</v>
      </c>
      <c r="AH1837">
        <v>244778</v>
      </c>
      <c r="AI1837">
        <v>258632.43479999999</v>
      </c>
      <c r="AJ1837">
        <v>1</v>
      </c>
    </row>
    <row r="1838" spans="1:36" x14ac:dyDescent="0.3">
      <c r="A1838">
        <f>COUNTIF($D$2:D1838,D1838)</f>
        <v>11</v>
      </c>
      <c r="B1838" t="str">
        <f t="shared" si="113"/>
        <v>11Salford</v>
      </c>
      <c r="C1838" t="s">
        <v>5325</v>
      </c>
      <c r="D1838" t="s">
        <v>273</v>
      </c>
      <c r="E1838">
        <v>23</v>
      </c>
      <c r="F1838" t="s">
        <v>2262</v>
      </c>
      <c r="G1838" t="s">
        <v>806</v>
      </c>
      <c r="H1838" t="s">
        <v>812</v>
      </c>
      <c r="I1838" t="s">
        <v>808</v>
      </c>
      <c r="J1838">
        <f t="shared" ca="1" si="114"/>
        <v>4859656</v>
      </c>
      <c r="K1838">
        <f t="shared" ca="1" si="115"/>
        <v>77</v>
      </c>
      <c r="N1838" t="str">
        <f t="shared" si="112"/>
        <v>Oldham35OMBC Disabled Facilities Grant (Capital Expenditure)DFG Related SchemesAdaptations, including statutory DFG grants</v>
      </c>
      <c r="O1838" t="s">
        <v>249</v>
      </c>
      <c r="P1838" t="s">
        <v>1201</v>
      </c>
      <c r="Q1838">
        <v>35</v>
      </c>
      <c r="R1838" t="s">
        <v>4887</v>
      </c>
      <c r="S1838" t="s">
        <v>834</v>
      </c>
      <c r="T1838" t="s">
        <v>834</v>
      </c>
      <c r="U1838" t="s">
        <v>835</v>
      </c>
      <c r="W1838">
        <v>350</v>
      </c>
      <c r="X1838">
        <v>420</v>
      </c>
      <c r="Y1838" t="s">
        <v>836</v>
      </c>
      <c r="Z1838" t="s">
        <v>792</v>
      </c>
      <c r="AB1838" t="s">
        <v>793</v>
      </c>
      <c r="AD1838" t="s">
        <v>794</v>
      </c>
      <c r="AE1838" t="s">
        <v>795</v>
      </c>
      <c r="AF1838" t="s">
        <v>840</v>
      </c>
      <c r="AG1838" t="s">
        <v>797</v>
      </c>
      <c r="AH1838">
        <v>2343287</v>
      </c>
      <c r="AI1838">
        <v>2343287</v>
      </c>
      <c r="AJ1838">
        <v>1</v>
      </c>
    </row>
    <row r="1839" spans="1:36" x14ac:dyDescent="0.3">
      <c r="A1839">
        <f>COUNTIF($D$2:D1839,D1839)</f>
        <v>12</v>
      </c>
      <c r="B1839" t="str">
        <f t="shared" si="113"/>
        <v>12Salford</v>
      </c>
      <c r="C1839" t="s">
        <v>5326</v>
      </c>
      <c r="D1839" t="s">
        <v>273</v>
      </c>
      <c r="E1839">
        <v>28</v>
      </c>
      <c r="F1839" t="s">
        <v>5327</v>
      </c>
      <c r="G1839" t="s">
        <v>811</v>
      </c>
      <c r="H1839" t="s">
        <v>895</v>
      </c>
      <c r="I1839" t="s">
        <v>813</v>
      </c>
      <c r="J1839">
        <f t="shared" ca="1" si="114"/>
        <v>448056</v>
      </c>
      <c r="K1839">
        <f t="shared" ca="1" si="115"/>
        <v>600</v>
      </c>
      <c r="N1839" t="str">
        <f t="shared" si="112"/>
        <v>Oldham37Improved Better Care Fund Home Care or Domiciliary CareDomiciliary care packages</v>
      </c>
      <c r="O1839" t="s">
        <v>249</v>
      </c>
      <c r="P1839" t="s">
        <v>1201</v>
      </c>
      <c r="Q1839">
        <v>37</v>
      </c>
      <c r="R1839" t="s">
        <v>4890</v>
      </c>
      <c r="S1839" t="s">
        <v>842</v>
      </c>
      <c r="T1839" t="s">
        <v>842</v>
      </c>
      <c r="U1839" t="s">
        <v>843</v>
      </c>
      <c r="W1839">
        <v>31200</v>
      </c>
      <c r="X1839">
        <v>32000</v>
      </c>
      <c r="Y1839" t="s">
        <v>844</v>
      </c>
      <c r="Z1839" t="s">
        <v>792</v>
      </c>
      <c r="AB1839" t="s">
        <v>793</v>
      </c>
      <c r="AD1839" t="s">
        <v>794</v>
      </c>
      <c r="AE1839" t="s">
        <v>795</v>
      </c>
      <c r="AF1839" t="s">
        <v>845</v>
      </c>
      <c r="AG1839" t="s">
        <v>797</v>
      </c>
      <c r="AH1839">
        <v>2796905</v>
      </c>
      <c r="AI1839">
        <v>2796905</v>
      </c>
      <c r="AJ1839">
        <v>0.05</v>
      </c>
    </row>
    <row r="1840" spans="1:36" x14ac:dyDescent="0.3">
      <c r="A1840">
        <f>COUNTIF($D$2:D1840,D1840)</f>
        <v>13</v>
      </c>
      <c r="B1840" t="str">
        <f t="shared" si="113"/>
        <v>13Salford</v>
      </c>
      <c r="C1840" t="s">
        <v>5328</v>
      </c>
      <c r="D1840" t="s">
        <v>273</v>
      </c>
      <c r="E1840">
        <v>12</v>
      </c>
      <c r="F1840" t="s">
        <v>1143</v>
      </c>
      <c r="G1840" t="s">
        <v>842</v>
      </c>
      <c r="H1840" t="s">
        <v>1594</v>
      </c>
      <c r="I1840" t="s">
        <v>844</v>
      </c>
      <c r="J1840">
        <f t="shared" ca="1" si="114"/>
        <v>260000</v>
      </c>
      <c r="K1840">
        <f t="shared" ca="1" si="115"/>
        <v>200</v>
      </c>
      <c r="N1840" t="str">
        <f t="shared" si="112"/>
        <v>Oldham38Improved Better Care Fund Home-based intermediate care servicesReablement at home (accepting step up and step down users)</v>
      </c>
      <c r="O1840" t="s">
        <v>249</v>
      </c>
      <c r="P1840" t="s">
        <v>1201</v>
      </c>
      <c r="Q1840">
        <v>38</v>
      </c>
      <c r="R1840" t="s">
        <v>4890</v>
      </c>
      <c r="S1840" t="s">
        <v>5329</v>
      </c>
      <c r="T1840" t="s">
        <v>787</v>
      </c>
      <c r="U1840" t="s">
        <v>930</v>
      </c>
      <c r="W1840">
        <v>368</v>
      </c>
      <c r="X1840">
        <v>400</v>
      </c>
      <c r="Y1840" t="s">
        <v>789</v>
      </c>
      <c r="Z1840" t="s">
        <v>792</v>
      </c>
      <c r="AB1840" t="s">
        <v>793</v>
      </c>
      <c r="AD1840" t="s">
        <v>794</v>
      </c>
      <c r="AE1840" t="s">
        <v>795</v>
      </c>
      <c r="AF1840" t="s">
        <v>845</v>
      </c>
      <c r="AG1840" t="s">
        <v>797</v>
      </c>
      <c r="AH1840">
        <v>2796905</v>
      </c>
      <c r="AI1840">
        <v>2796905</v>
      </c>
      <c r="AJ1840">
        <v>1</v>
      </c>
    </row>
    <row r="1841" spans="1:36" x14ac:dyDescent="0.3">
      <c r="A1841">
        <f>COUNTIF($D$2:D1841,D1841)</f>
        <v>14</v>
      </c>
      <c r="B1841" t="str">
        <f t="shared" si="113"/>
        <v>14Salford</v>
      </c>
      <c r="C1841" t="s">
        <v>5330</v>
      </c>
      <c r="D1841" t="s">
        <v>273</v>
      </c>
      <c r="E1841">
        <v>12</v>
      </c>
      <c r="F1841" t="s">
        <v>1143</v>
      </c>
      <c r="G1841" t="s">
        <v>842</v>
      </c>
      <c r="H1841" t="s">
        <v>856</v>
      </c>
      <c r="I1841" t="s">
        <v>844</v>
      </c>
      <c r="J1841">
        <f t="shared" ca="1" si="114"/>
        <v>1000000</v>
      </c>
      <c r="K1841">
        <f t="shared" ca="1" si="115"/>
        <v>770</v>
      </c>
      <c r="N1841" t="str">
        <f t="shared" si="112"/>
        <v>Oldham39Improved Better Care Fund Residential PlacementsShort term residential care (without rehabilitation or reablement input)</v>
      </c>
      <c r="O1841" t="s">
        <v>249</v>
      </c>
      <c r="P1841" t="s">
        <v>1201</v>
      </c>
      <c r="Q1841">
        <v>39</v>
      </c>
      <c r="R1841" t="s">
        <v>4890</v>
      </c>
      <c r="S1841" t="s">
        <v>806</v>
      </c>
      <c r="T1841" t="s">
        <v>806</v>
      </c>
      <c r="U1841" t="s">
        <v>955</v>
      </c>
      <c r="W1841">
        <v>1820</v>
      </c>
      <c r="X1841">
        <v>1750</v>
      </c>
      <c r="Y1841" t="s">
        <v>808</v>
      </c>
      <c r="Z1841" t="s">
        <v>792</v>
      </c>
      <c r="AB1841" t="s">
        <v>793</v>
      </c>
      <c r="AD1841" t="s">
        <v>794</v>
      </c>
      <c r="AE1841" t="s">
        <v>795</v>
      </c>
      <c r="AF1841" t="s">
        <v>845</v>
      </c>
      <c r="AG1841" t="s">
        <v>797</v>
      </c>
      <c r="AH1841">
        <v>2796905</v>
      </c>
      <c r="AI1841">
        <v>2796905</v>
      </c>
      <c r="AJ1841">
        <v>0.1</v>
      </c>
    </row>
    <row r="1842" spans="1:36" x14ac:dyDescent="0.3">
      <c r="A1842">
        <f>COUNTIF($D$2:D1842,D1842)</f>
        <v>15</v>
      </c>
      <c r="B1842" t="str">
        <f t="shared" si="113"/>
        <v>15Salford</v>
      </c>
      <c r="C1842" t="s">
        <v>5331</v>
      </c>
      <c r="D1842" t="s">
        <v>273</v>
      </c>
      <c r="E1842">
        <v>12</v>
      </c>
      <c r="F1842" t="s">
        <v>1143</v>
      </c>
      <c r="G1842" t="s">
        <v>877</v>
      </c>
      <c r="H1842" t="s">
        <v>968</v>
      </c>
      <c r="I1842" t="s">
        <v>879</v>
      </c>
      <c r="J1842">
        <f t="shared" ca="1" si="114"/>
        <v>88106</v>
      </c>
      <c r="K1842">
        <f t="shared" ca="1" si="115"/>
        <v>20</v>
      </c>
      <c r="N1842" t="str">
        <f t="shared" si="112"/>
        <v>Oldham40Local Authority Discharge FundingAssistive Technologies and EquipmentCommunity based equipment</v>
      </c>
      <c r="O1842" t="s">
        <v>249</v>
      </c>
      <c r="P1842" t="s">
        <v>1201</v>
      </c>
      <c r="Q1842">
        <v>40</v>
      </c>
      <c r="R1842" t="s">
        <v>864</v>
      </c>
      <c r="S1842" t="s">
        <v>5332</v>
      </c>
      <c r="T1842" t="s">
        <v>800</v>
      </c>
      <c r="U1842" t="s">
        <v>903</v>
      </c>
      <c r="W1842">
        <v>1000</v>
      </c>
      <c r="X1842">
        <v>1200</v>
      </c>
      <c r="Y1842" t="s">
        <v>802</v>
      </c>
      <c r="Z1842" t="s">
        <v>792</v>
      </c>
      <c r="AB1842" t="s">
        <v>793</v>
      </c>
      <c r="AD1842" t="s">
        <v>794</v>
      </c>
      <c r="AE1842" t="s">
        <v>795</v>
      </c>
      <c r="AF1842" t="s">
        <v>864</v>
      </c>
      <c r="AG1842" t="s">
        <v>861</v>
      </c>
      <c r="AH1842">
        <v>300000</v>
      </c>
      <c r="AI1842">
        <v>300000</v>
      </c>
      <c r="AJ1842">
        <v>1</v>
      </c>
    </row>
    <row r="1843" spans="1:36" x14ac:dyDescent="0.3">
      <c r="A1843">
        <f>COUNTIF($D$2:D1843,D1843)</f>
        <v>1</v>
      </c>
      <c r="B1843" t="str">
        <f t="shared" si="113"/>
        <v>1Sandwell</v>
      </c>
      <c r="C1843" t="s">
        <v>5333</v>
      </c>
      <c r="D1843" t="s">
        <v>275</v>
      </c>
      <c r="E1843">
        <v>2</v>
      </c>
      <c r="F1843" t="s">
        <v>5334</v>
      </c>
      <c r="G1843" t="s">
        <v>787</v>
      </c>
      <c r="H1843" t="s">
        <v>886</v>
      </c>
      <c r="I1843" t="s">
        <v>789</v>
      </c>
      <c r="J1843">
        <f t="shared" ca="1" si="114"/>
        <v>80000</v>
      </c>
      <c r="K1843">
        <f t="shared" ca="1" si="115"/>
        <v>300</v>
      </c>
      <c r="N1843" t="str">
        <f t="shared" si="112"/>
        <v>Oldham41Local Authority Discharge FundingHome Care or Domiciliary CareDomiciliary care to support hospital discharge (Discharge to Assess pathway 1)</v>
      </c>
      <c r="O1843" t="s">
        <v>249</v>
      </c>
      <c r="P1843" t="s">
        <v>1201</v>
      </c>
      <c r="Q1843">
        <v>41</v>
      </c>
      <c r="R1843" t="s">
        <v>864</v>
      </c>
      <c r="S1843" t="s">
        <v>5335</v>
      </c>
      <c r="T1843" t="s">
        <v>842</v>
      </c>
      <c r="U1843" t="s">
        <v>856</v>
      </c>
      <c r="W1843">
        <v>2000</v>
      </c>
      <c r="X1843">
        <v>2100</v>
      </c>
      <c r="Y1843" t="s">
        <v>844</v>
      </c>
      <c r="Z1843" t="s">
        <v>792</v>
      </c>
      <c r="AB1843" t="s">
        <v>793</v>
      </c>
      <c r="AD1843" t="s">
        <v>794</v>
      </c>
      <c r="AE1843" t="s">
        <v>795</v>
      </c>
      <c r="AF1843" t="s">
        <v>864</v>
      </c>
      <c r="AG1843" t="s">
        <v>861</v>
      </c>
      <c r="AH1843">
        <v>100000</v>
      </c>
      <c r="AI1843">
        <v>100000</v>
      </c>
      <c r="AJ1843">
        <v>1</v>
      </c>
    </row>
    <row r="1844" spans="1:36" x14ac:dyDescent="0.3">
      <c r="A1844">
        <f>COUNTIF($D$2:D1844,D1844)</f>
        <v>2</v>
      </c>
      <c r="B1844" t="str">
        <f t="shared" si="113"/>
        <v>2Sandwell</v>
      </c>
      <c r="C1844" t="s">
        <v>5336</v>
      </c>
      <c r="D1844" t="s">
        <v>275</v>
      </c>
      <c r="E1844">
        <v>3</v>
      </c>
      <c r="F1844" t="s">
        <v>5337</v>
      </c>
      <c r="G1844" t="s">
        <v>800</v>
      </c>
      <c r="H1844" t="s">
        <v>903</v>
      </c>
      <c r="I1844" t="s">
        <v>802</v>
      </c>
      <c r="J1844">
        <f t="shared" ca="1" si="114"/>
        <v>3218000</v>
      </c>
      <c r="K1844">
        <f t="shared" ca="1" si="115"/>
        <v>5500</v>
      </c>
      <c r="N1844" t="str">
        <f t="shared" si="112"/>
        <v>Oldham44Local Authority Discharge FundingHome Care or Domiciliary CareDomiciliary care workforce development</v>
      </c>
      <c r="O1844" t="s">
        <v>249</v>
      </c>
      <c r="P1844" t="s">
        <v>1201</v>
      </c>
      <c r="Q1844">
        <v>44</v>
      </c>
      <c r="R1844" t="s">
        <v>864</v>
      </c>
      <c r="S1844" t="s">
        <v>5338</v>
      </c>
      <c r="T1844" t="s">
        <v>842</v>
      </c>
      <c r="U1844" t="s">
        <v>1594</v>
      </c>
      <c r="W1844">
        <v>5700</v>
      </c>
      <c r="X1844">
        <v>5700</v>
      </c>
      <c r="Y1844" t="s">
        <v>844</v>
      </c>
      <c r="Z1844" t="s">
        <v>792</v>
      </c>
      <c r="AB1844" t="s">
        <v>793</v>
      </c>
      <c r="AD1844" t="s">
        <v>794</v>
      </c>
      <c r="AE1844" t="s">
        <v>795</v>
      </c>
      <c r="AF1844" t="s">
        <v>864</v>
      </c>
      <c r="AG1844" t="s">
        <v>861</v>
      </c>
      <c r="AH1844">
        <v>250000</v>
      </c>
      <c r="AI1844">
        <v>250000</v>
      </c>
      <c r="AJ1844">
        <v>1</v>
      </c>
    </row>
    <row r="1845" spans="1:36" x14ac:dyDescent="0.3">
      <c r="A1845">
        <f>COUNTIF($D$2:D1845,D1845)</f>
        <v>3</v>
      </c>
      <c r="B1845" t="str">
        <f t="shared" si="113"/>
        <v>3Sandwell</v>
      </c>
      <c r="C1845" t="s">
        <v>5339</v>
      </c>
      <c r="D1845" t="s">
        <v>275</v>
      </c>
      <c r="E1845">
        <v>6</v>
      </c>
      <c r="F1845" t="s">
        <v>5340</v>
      </c>
      <c r="G1845" t="s">
        <v>811</v>
      </c>
      <c r="H1845" t="s">
        <v>895</v>
      </c>
      <c r="I1845" t="s">
        <v>813</v>
      </c>
      <c r="J1845">
        <f t="shared" ca="1" si="114"/>
        <v>460000</v>
      </c>
      <c r="K1845">
        <f t="shared" ca="1" si="115"/>
        <v>772</v>
      </c>
      <c r="N1845" t="str">
        <f t="shared" si="112"/>
        <v>Oldham45Local Authority Discharge FundingResidential PlacementsOther</v>
      </c>
      <c r="O1845" t="s">
        <v>249</v>
      </c>
      <c r="P1845" t="s">
        <v>1201</v>
      </c>
      <c r="Q1845">
        <v>45</v>
      </c>
      <c r="R1845" t="s">
        <v>864</v>
      </c>
      <c r="S1845" t="s">
        <v>5341</v>
      </c>
      <c r="T1845" t="s">
        <v>806</v>
      </c>
      <c r="U1845" t="s">
        <v>812</v>
      </c>
      <c r="V1845" t="s">
        <v>5342</v>
      </c>
      <c r="W1845">
        <v>28</v>
      </c>
      <c r="X1845">
        <v>30</v>
      </c>
      <c r="Y1845" t="s">
        <v>808</v>
      </c>
      <c r="Z1845" t="s">
        <v>792</v>
      </c>
      <c r="AB1845" t="s">
        <v>793</v>
      </c>
      <c r="AD1845" t="s">
        <v>794</v>
      </c>
      <c r="AE1845" t="s">
        <v>795</v>
      </c>
      <c r="AF1845" t="s">
        <v>864</v>
      </c>
      <c r="AG1845" t="s">
        <v>861</v>
      </c>
      <c r="AH1845">
        <v>251117</v>
      </c>
      <c r="AI1845">
        <v>251117</v>
      </c>
      <c r="AJ1845">
        <v>1</v>
      </c>
    </row>
    <row r="1846" spans="1:36" x14ac:dyDescent="0.3">
      <c r="A1846">
        <f>COUNTIF($D$2:D1846,D1846)</f>
        <v>4</v>
      </c>
      <c r="B1846" t="str">
        <f t="shared" si="113"/>
        <v>4Sandwell</v>
      </c>
      <c r="C1846" t="s">
        <v>5343</v>
      </c>
      <c r="D1846" t="s">
        <v>275</v>
      </c>
      <c r="E1846">
        <v>9</v>
      </c>
      <c r="F1846" t="s">
        <v>5344</v>
      </c>
      <c r="G1846" t="s">
        <v>787</v>
      </c>
      <c r="H1846" t="s">
        <v>930</v>
      </c>
      <c r="I1846" t="s">
        <v>789</v>
      </c>
      <c r="J1846">
        <f t="shared" ca="1" si="114"/>
        <v>4536000</v>
      </c>
      <c r="K1846">
        <f t="shared" ca="1" si="115"/>
        <v>2900</v>
      </c>
      <c r="N1846" t="str">
        <f t="shared" si="112"/>
        <v>Oldham48ICB Discharge FundingBed based intermediate Care Services (Reablement, rehabilitation, wider short-term services supporting recovery)Bed-based intermediate care with rehabilitation (to support discharge)</v>
      </c>
      <c r="O1846" t="s">
        <v>249</v>
      </c>
      <c r="P1846" t="s">
        <v>1201</v>
      </c>
      <c r="Q1846">
        <v>48</v>
      </c>
      <c r="R1846" t="s">
        <v>860</v>
      </c>
      <c r="S1846" t="s">
        <v>5345</v>
      </c>
      <c r="T1846" t="s">
        <v>877</v>
      </c>
      <c r="U1846" t="s">
        <v>968</v>
      </c>
      <c r="W1846">
        <v>12</v>
      </c>
      <c r="X1846">
        <v>18</v>
      </c>
      <c r="Y1846" t="s">
        <v>879</v>
      </c>
      <c r="Z1846" t="s">
        <v>1006</v>
      </c>
      <c r="AB1846" t="s">
        <v>824</v>
      </c>
      <c r="AD1846" t="s">
        <v>794</v>
      </c>
      <c r="AE1846" t="s">
        <v>1107</v>
      </c>
      <c r="AF1846" t="s">
        <v>860</v>
      </c>
      <c r="AG1846" t="s">
        <v>861</v>
      </c>
      <c r="AH1846">
        <v>72790</v>
      </c>
      <c r="AI1846">
        <v>112096.6</v>
      </c>
      <c r="AJ1846">
        <v>1</v>
      </c>
    </row>
    <row r="1847" spans="1:36" x14ac:dyDescent="0.3">
      <c r="A1847">
        <f>COUNTIF($D$2:D1847,D1847)</f>
        <v>5</v>
      </c>
      <c r="B1847" t="str">
        <f t="shared" si="113"/>
        <v>5Sandwell</v>
      </c>
      <c r="C1847" t="s">
        <v>5346</v>
      </c>
      <c r="D1847" t="s">
        <v>275</v>
      </c>
      <c r="E1847">
        <v>11</v>
      </c>
      <c r="F1847" t="s">
        <v>5347</v>
      </c>
      <c r="G1847" t="s">
        <v>787</v>
      </c>
      <c r="H1847" t="s">
        <v>930</v>
      </c>
      <c r="I1847" t="s">
        <v>789</v>
      </c>
      <c r="J1847">
        <f t="shared" ca="1" si="114"/>
        <v>100000</v>
      </c>
      <c r="K1847">
        <f t="shared" ca="1" si="115"/>
        <v>35</v>
      </c>
      <c r="N1847" t="str">
        <f t="shared" si="112"/>
        <v>Oldham49ICB Discharge FundingBed based intermediate Care Services (Reablement, rehabilitation, wider short-term services supporting recovery)Bed-based intermediate care with rehabilitation accepting step up and step down users</v>
      </c>
      <c r="O1847" t="s">
        <v>249</v>
      </c>
      <c r="P1847" t="s">
        <v>1201</v>
      </c>
      <c r="Q1847">
        <v>49</v>
      </c>
      <c r="R1847" t="s">
        <v>860</v>
      </c>
      <c r="S1847" t="s">
        <v>5348</v>
      </c>
      <c r="T1847" t="s">
        <v>877</v>
      </c>
      <c r="U1847" t="s">
        <v>1015</v>
      </c>
      <c r="W1847">
        <v>7</v>
      </c>
      <c r="X1847">
        <v>10</v>
      </c>
      <c r="Y1847" t="s">
        <v>879</v>
      </c>
      <c r="Z1847" t="s">
        <v>1006</v>
      </c>
      <c r="AB1847" t="s">
        <v>824</v>
      </c>
      <c r="AD1847" t="s">
        <v>794</v>
      </c>
      <c r="AE1847" t="s">
        <v>1107</v>
      </c>
      <c r="AF1847" t="s">
        <v>860</v>
      </c>
      <c r="AG1847" t="s">
        <v>861</v>
      </c>
      <c r="AH1847">
        <v>43700</v>
      </c>
      <c r="AI1847">
        <v>67298</v>
      </c>
      <c r="AJ1847">
        <v>1</v>
      </c>
    </row>
    <row r="1848" spans="1:36" x14ac:dyDescent="0.3">
      <c r="A1848">
        <f>COUNTIF($D$2:D1848,D1848)</f>
        <v>6</v>
      </c>
      <c r="B1848" t="str">
        <f t="shared" si="113"/>
        <v>6Sandwell</v>
      </c>
      <c r="C1848" t="s">
        <v>5349</v>
      </c>
      <c r="D1848" t="s">
        <v>275</v>
      </c>
      <c r="E1848">
        <v>15</v>
      </c>
      <c r="F1848" t="s">
        <v>5350</v>
      </c>
      <c r="G1848" t="s">
        <v>806</v>
      </c>
      <c r="H1848" t="s">
        <v>807</v>
      </c>
      <c r="I1848" t="s">
        <v>808</v>
      </c>
      <c r="J1848">
        <f t="shared" ca="1" si="114"/>
        <v>216000</v>
      </c>
      <c r="K1848">
        <f t="shared" ca="1" si="115"/>
        <v>3</v>
      </c>
      <c r="N1848" t="str">
        <f t="shared" si="112"/>
        <v>Oldham51ICB Discharge FundingResidential PlacementsSupported housing</v>
      </c>
      <c r="O1848" t="s">
        <v>249</v>
      </c>
      <c r="P1848" t="s">
        <v>1201</v>
      </c>
      <c r="Q1848">
        <v>51</v>
      </c>
      <c r="R1848" t="s">
        <v>860</v>
      </c>
      <c r="S1848" t="s">
        <v>5351</v>
      </c>
      <c r="T1848" t="s">
        <v>806</v>
      </c>
      <c r="U1848" t="s">
        <v>873</v>
      </c>
      <c r="W1848">
        <v>2</v>
      </c>
      <c r="X1848">
        <v>2</v>
      </c>
      <c r="Y1848" t="s">
        <v>808</v>
      </c>
      <c r="Z1848" t="s">
        <v>1006</v>
      </c>
      <c r="AB1848" t="s">
        <v>824</v>
      </c>
      <c r="AD1848" t="s">
        <v>794</v>
      </c>
      <c r="AE1848" t="s">
        <v>1107</v>
      </c>
      <c r="AF1848" t="s">
        <v>860</v>
      </c>
      <c r="AG1848" t="s">
        <v>861</v>
      </c>
      <c r="AH1848">
        <v>25000</v>
      </c>
      <c r="AI1848">
        <v>38500</v>
      </c>
      <c r="AJ1848">
        <v>1</v>
      </c>
    </row>
    <row r="1849" spans="1:36" x14ac:dyDescent="0.3">
      <c r="A1849">
        <f>COUNTIF($D$2:D1849,D1849)</f>
        <v>7</v>
      </c>
      <c r="B1849" t="str">
        <f t="shared" si="113"/>
        <v>7Sandwell</v>
      </c>
      <c r="C1849" t="s">
        <v>5352</v>
      </c>
      <c r="D1849" t="s">
        <v>275</v>
      </c>
      <c r="E1849">
        <v>16</v>
      </c>
      <c r="F1849" t="s">
        <v>5353</v>
      </c>
      <c r="G1849" t="s">
        <v>806</v>
      </c>
      <c r="H1849" t="s">
        <v>807</v>
      </c>
      <c r="I1849" t="s">
        <v>808</v>
      </c>
      <c r="J1849">
        <f t="shared" ca="1" si="114"/>
        <v>381000</v>
      </c>
      <c r="K1849">
        <f t="shared" ca="1" si="115"/>
        <v>140</v>
      </c>
      <c r="N1849" t="str">
        <f t="shared" si="112"/>
        <v>Oxfordshire1Disabled Facilities GrantDFG Related SchemesAdaptations, including statutory DFG grants</v>
      </c>
      <c r="O1849" t="s">
        <v>251</v>
      </c>
      <c r="P1849" t="s">
        <v>1437</v>
      </c>
      <c r="Q1849">
        <v>1</v>
      </c>
      <c r="R1849" t="s">
        <v>891</v>
      </c>
      <c r="S1849" t="s">
        <v>5354</v>
      </c>
      <c r="T1849" t="s">
        <v>834</v>
      </c>
      <c r="U1849" t="s">
        <v>835</v>
      </c>
      <c r="W1849">
        <v>950</v>
      </c>
      <c r="X1849">
        <v>1050</v>
      </c>
      <c r="Y1849" t="s">
        <v>836</v>
      </c>
      <c r="Z1849" t="s">
        <v>812</v>
      </c>
      <c r="AA1849" t="s">
        <v>5355</v>
      </c>
      <c r="AB1849" t="s">
        <v>793</v>
      </c>
      <c r="AD1849" t="s">
        <v>794</v>
      </c>
      <c r="AE1849" t="s">
        <v>795</v>
      </c>
      <c r="AF1849" t="s">
        <v>840</v>
      </c>
      <c r="AG1849" t="s">
        <v>797</v>
      </c>
      <c r="AH1849">
        <v>6658545</v>
      </c>
      <c r="AI1849">
        <v>6658545</v>
      </c>
      <c r="AJ1849">
        <v>1</v>
      </c>
    </row>
    <row r="1850" spans="1:36" x14ac:dyDescent="0.3">
      <c r="A1850">
        <f>COUNTIF($D$2:D1850,D1850)</f>
        <v>8</v>
      </c>
      <c r="B1850" t="str">
        <f t="shared" si="113"/>
        <v>8Sandwell</v>
      </c>
      <c r="C1850" t="s">
        <v>5356</v>
      </c>
      <c r="D1850" t="s">
        <v>275</v>
      </c>
      <c r="E1850">
        <v>19</v>
      </c>
      <c r="F1850" t="s">
        <v>5357</v>
      </c>
      <c r="G1850" t="s">
        <v>842</v>
      </c>
      <c r="H1850" t="s">
        <v>843</v>
      </c>
      <c r="I1850" t="s">
        <v>844</v>
      </c>
      <c r="J1850">
        <f t="shared" ca="1" si="114"/>
        <v>584850</v>
      </c>
      <c r="K1850">
        <f t="shared" ca="1" si="115"/>
        <v>36393.901680149349</v>
      </c>
      <c r="N1850" t="str">
        <f t="shared" si="112"/>
        <v>Oxfordshire3Integrated Community EquipmnentAssistive Technologies and EquipmentCommunity based equipment</v>
      </c>
      <c r="O1850" t="s">
        <v>251</v>
      </c>
      <c r="P1850" t="s">
        <v>1437</v>
      </c>
      <c r="Q1850">
        <v>3</v>
      </c>
      <c r="R1850" t="s">
        <v>4912</v>
      </c>
      <c r="S1850" t="s">
        <v>5358</v>
      </c>
      <c r="T1850" t="s">
        <v>800</v>
      </c>
      <c r="U1850" t="s">
        <v>903</v>
      </c>
      <c r="W1850">
        <v>21000</v>
      </c>
      <c r="X1850">
        <v>21500</v>
      </c>
      <c r="Y1850" t="s">
        <v>802</v>
      </c>
      <c r="Z1850" t="s">
        <v>792</v>
      </c>
      <c r="AB1850" t="s">
        <v>1739</v>
      </c>
      <c r="AC1850">
        <v>0.4451</v>
      </c>
      <c r="AD1850">
        <v>0.55489999999999995</v>
      </c>
      <c r="AE1850" t="s">
        <v>804</v>
      </c>
      <c r="AF1850" t="s">
        <v>796</v>
      </c>
      <c r="AG1850" t="s">
        <v>797</v>
      </c>
      <c r="AH1850">
        <v>6195298</v>
      </c>
      <c r="AI1850">
        <v>6548429.9859999996</v>
      </c>
      <c r="AJ1850">
        <v>0.95</v>
      </c>
    </row>
    <row r="1851" spans="1:36" x14ac:dyDescent="0.3">
      <c r="A1851">
        <f>COUNTIF($D$2:D1851,D1851)</f>
        <v>9</v>
      </c>
      <c r="B1851" t="str">
        <f t="shared" si="113"/>
        <v>9Sandwell</v>
      </c>
      <c r="C1851" t="s">
        <v>5359</v>
      </c>
      <c r="D1851" t="s">
        <v>275</v>
      </c>
      <c r="E1851">
        <v>20</v>
      </c>
      <c r="F1851" t="s">
        <v>5360</v>
      </c>
      <c r="G1851" t="s">
        <v>806</v>
      </c>
      <c r="H1851" t="s">
        <v>807</v>
      </c>
      <c r="I1851" t="s">
        <v>808</v>
      </c>
      <c r="J1851">
        <f t="shared" ca="1" si="114"/>
        <v>1499400</v>
      </c>
      <c r="K1851">
        <f t="shared" ca="1" si="115"/>
        <v>36.036581672824177</v>
      </c>
      <c r="N1851" t="str">
        <f t="shared" si="112"/>
        <v>Oxfordshire4TelecareAssistive Technologies and EquipmentAssistive technologies including telecare</v>
      </c>
      <c r="O1851" t="s">
        <v>251</v>
      </c>
      <c r="P1851" t="s">
        <v>1437</v>
      </c>
      <c r="Q1851">
        <v>4</v>
      </c>
      <c r="R1851" t="s">
        <v>2108</v>
      </c>
      <c r="S1851" t="s">
        <v>5361</v>
      </c>
      <c r="T1851" t="s">
        <v>800</v>
      </c>
      <c r="U1851" t="s">
        <v>850</v>
      </c>
      <c r="W1851">
        <v>4500</v>
      </c>
      <c r="X1851">
        <v>4750</v>
      </c>
      <c r="Y1851" t="s">
        <v>802</v>
      </c>
      <c r="Z1851" t="s">
        <v>792</v>
      </c>
      <c r="AB1851" t="s">
        <v>793</v>
      </c>
      <c r="AD1851" t="s">
        <v>794</v>
      </c>
      <c r="AE1851" t="s">
        <v>804</v>
      </c>
      <c r="AF1851" t="s">
        <v>796</v>
      </c>
      <c r="AG1851" t="s">
        <v>797</v>
      </c>
      <c r="AH1851">
        <v>1062000</v>
      </c>
      <c r="AI1851">
        <v>1122534</v>
      </c>
      <c r="AJ1851">
        <v>1</v>
      </c>
    </row>
    <row r="1852" spans="1:36" x14ac:dyDescent="0.3">
      <c r="A1852">
        <f>COUNTIF($D$2:D1852,D1852)</f>
        <v>10</v>
      </c>
      <c r="B1852" t="str">
        <f t="shared" si="113"/>
        <v>10Sandwell</v>
      </c>
      <c r="C1852" t="s">
        <v>5362</v>
      </c>
      <c r="D1852" t="s">
        <v>275</v>
      </c>
      <c r="E1852">
        <v>22</v>
      </c>
      <c r="F1852" t="s">
        <v>5363</v>
      </c>
      <c r="G1852" t="s">
        <v>806</v>
      </c>
      <c r="H1852" t="s">
        <v>917</v>
      </c>
      <c r="I1852" t="s">
        <v>808</v>
      </c>
      <c r="J1852">
        <f t="shared" ca="1" si="114"/>
        <v>1257900</v>
      </c>
      <c r="K1852">
        <f t="shared" ca="1" si="115"/>
        <v>32.913276303540002</v>
      </c>
      <c r="N1852" t="str">
        <f t="shared" si="112"/>
        <v>Oxfordshire5Care homesResidential PlacementsNursing home</v>
      </c>
      <c r="O1852" t="s">
        <v>251</v>
      </c>
      <c r="P1852" t="s">
        <v>1437</v>
      </c>
      <c r="Q1852">
        <v>5</v>
      </c>
      <c r="R1852" t="s">
        <v>4916</v>
      </c>
      <c r="S1852" t="s">
        <v>5364</v>
      </c>
      <c r="T1852" t="s">
        <v>806</v>
      </c>
      <c r="U1852" t="s">
        <v>917</v>
      </c>
      <c r="W1852">
        <v>214</v>
      </c>
      <c r="X1852">
        <v>226</v>
      </c>
      <c r="Y1852" t="s">
        <v>808</v>
      </c>
      <c r="Z1852" t="s">
        <v>792</v>
      </c>
      <c r="AB1852" t="s">
        <v>793</v>
      </c>
      <c r="AD1852" t="s">
        <v>794</v>
      </c>
      <c r="AE1852" t="s">
        <v>804</v>
      </c>
      <c r="AF1852" t="s">
        <v>796</v>
      </c>
      <c r="AG1852" t="s">
        <v>797</v>
      </c>
      <c r="AH1852">
        <v>11822015</v>
      </c>
      <c r="AI1852">
        <v>12495869.855</v>
      </c>
      <c r="AJ1852">
        <v>0.1</v>
      </c>
    </row>
    <row r="1853" spans="1:36" x14ac:dyDescent="0.3">
      <c r="A1853">
        <f>COUNTIF($D$2:D1853,D1853)</f>
        <v>11</v>
      </c>
      <c r="B1853" t="str">
        <f t="shared" si="113"/>
        <v>11Sandwell</v>
      </c>
      <c r="C1853" t="s">
        <v>5365</v>
      </c>
      <c r="D1853" t="s">
        <v>275</v>
      </c>
      <c r="E1853">
        <v>23</v>
      </c>
      <c r="F1853" t="s">
        <v>5366</v>
      </c>
      <c r="G1853" t="s">
        <v>806</v>
      </c>
      <c r="H1853" t="s">
        <v>873</v>
      </c>
      <c r="I1853" t="s">
        <v>808</v>
      </c>
      <c r="J1853">
        <f t="shared" ca="1" si="114"/>
        <v>801150</v>
      </c>
      <c r="K1853">
        <f t="shared" ca="1" si="115"/>
        <v>12.04290358558174</v>
      </c>
      <c r="N1853" t="str">
        <f t="shared" si="112"/>
        <v>Oxfordshire6Home careHome Care or Domiciliary CareDomiciliary care packages</v>
      </c>
      <c r="O1853" t="s">
        <v>251</v>
      </c>
      <c r="P1853" t="s">
        <v>1437</v>
      </c>
      <c r="Q1853">
        <v>6</v>
      </c>
      <c r="R1853" t="s">
        <v>1386</v>
      </c>
      <c r="S1853" t="s">
        <v>5367</v>
      </c>
      <c r="T1853" t="s">
        <v>842</v>
      </c>
      <c r="U1853" t="s">
        <v>843</v>
      </c>
      <c r="W1853">
        <v>279406</v>
      </c>
      <c r="X1853">
        <v>295333</v>
      </c>
      <c r="Y1853" t="s">
        <v>844</v>
      </c>
      <c r="Z1853" t="s">
        <v>792</v>
      </c>
      <c r="AB1853" t="s">
        <v>793</v>
      </c>
      <c r="AD1853" t="s">
        <v>794</v>
      </c>
      <c r="AE1853" t="s">
        <v>804</v>
      </c>
      <c r="AF1853" t="s">
        <v>796</v>
      </c>
      <c r="AG1853" t="s">
        <v>797</v>
      </c>
      <c r="AH1853">
        <v>7675307</v>
      </c>
      <c r="AI1853">
        <v>8112799.4989999998</v>
      </c>
      <c r="AJ1853">
        <v>0.2</v>
      </c>
    </row>
    <row r="1854" spans="1:36" x14ac:dyDescent="0.3">
      <c r="A1854">
        <f>COUNTIF($D$2:D1854,D1854)</f>
        <v>12</v>
      </c>
      <c r="B1854" t="str">
        <f t="shared" si="113"/>
        <v>12Sandwell</v>
      </c>
      <c r="C1854" t="s">
        <v>5368</v>
      </c>
      <c r="D1854" t="s">
        <v>275</v>
      </c>
      <c r="E1854">
        <v>35</v>
      </c>
      <c r="F1854" t="s">
        <v>5357</v>
      </c>
      <c r="G1854" t="s">
        <v>842</v>
      </c>
      <c r="H1854" t="s">
        <v>843</v>
      </c>
      <c r="I1854" t="s">
        <v>844</v>
      </c>
      <c r="J1854">
        <f t="shared" ca="1" si="114"/>
        <v>557000</v>
      </c>
      <c r="K1854">
        <f t="shared" ca="1" si="115"/>
        <v>34660.858742999379</v>
      </c>
      <c r="N1854" t="str">
        <f t="shared" si="112"/>
        <v>Oxfordshire14Carer supportCarers ServicesCarer advice and support related to Care Act duties</v>
      </c>
      <c r="O1854" t="s">
        <v>251</v>
      </c>
      <c r="P1854" t="s">
        <v>1437</v>
      </c>
      <c r="Q1854">
        <v>14</v>
      </c>
      <c r="R1854" t="s">
        <v>4919</v>
      </c>
      <c r="S1854" t="s">
        <v>5369</v>
      </c>
      <c r="T1854" t="s">
        <v>811</v>
      </c>
      <c r="U1854" t="s">
        <v>895</v>
      </c>
      <c r="W1854">
        <v>38500</v>
      </c>
      <c r="X1854">
        <v>42350</v>
      </c>
      <c r="Y1854" t="s">
        <v>813</v>
      </c>
      <c r="Z1854" t="s">
        <v>792</v>
      </c>
      <c r="AB1854" t="s">
        <v>1739</v>
      </c>
      <c r="AC1854">
        <v>0.32500000000000001</v>
      </c>
      <c r="AD1854">
        <v>0.67500000000000004</v>
      </c>
      <c r="AE1854" t="s">
        <v>825</v>
      </c>
      <c r="AF1854" t="s">
        <v>796</v>
      </c>
      <c r="AG1854" t="s">
        <v>797</v>
      </c>
      <c r="AH1854">
        <v>897800</v>
      </c>
      <c r="AI1854">
        <v>948974.6</v>
      </c>
      <c r="AJ1854">
        <v>1</v>
      </c>
    </row>
    <row r="1855" spans="1:36" x14ac:dyDescent="0.3">
      <c r="A1855">
        <f>COUNTIF($D$2:D1855,D1855)</f>
        <v>13</v>
      </c>
      <c r="B1855" t="str">
        <f t="shared" si="113"/>
        <v>13Sandwell</v>
      </c>
      <c r="C1855" t="s">
        <v>5370</v>
      </c>
      <c r="D1855" t="s">
        <v>275</v>
      </c>
      <c r="E1855">
        <v>36</v>
      </c>
      <c r="F1855" t="s">
        <v>5360</v>
      </c>
      <c r="G1855" t="s">
        <v>806</v>
      </c>
      <c r="H1855" t="s">
        <v>807</v>
      </c>
      <c r="I1855" t="s">
        <v>808</v>
      </c>
      <c r="J1855">
        <f t="shared" ca="1" si="114"/>
        <v>1428000</v>
      </c>
      <c r="K1855">
        <f t="shared" ca="1" si="115"/>
        <v>34.320553974118262</v>
      </c>
      <c r="N1855" t="str">
        <f t="shared" si="112"/>
        <v xml:space="preserve">Oxfordshire21ReablementHome-based intermediate care servicesReablement at home (to support discharge) </v>
      </c>
      <c r="O1855" t="s">
        <v>251</v>
      </c>
      <c r="P1855" t="s">
        <v>1437</v>
      </c>
      <c r="Q1855">
        <v>21</v>
      </c>
      <c r="R1855" t="s">
        <v>434</v>
      </c>
      <c r="S1855" t="s">
        <v>5371</v>
      </c>
      <c r="T1855" t="s">
        <v>787</v>
      </c>
      <c r="U1855" t="s">
        <v>788</v>
      </c>
      <c r="W1855">
        <v>2544</v>
      </c>
      <c r="X1855">
        <v>3000</v>
      </c>
      <c r="Y1855" t="s">
        <v>789</v>
      </c>
      <c r="Z1855" t="s">
        <v>792</v>
      </c>
      <c r="AB1855" t="s">
        <v>1739</v>
      </c>
      <c r="AC1855">
        <v>0.4299</v>
      </c>
      <c r="AD1855">
        <v>0.57010000000000005</v>
      </c>
      <c r="AE1855" t="s">
        <v>804</v>
      </c>
      <c r="AF1855" t="s">
        <v>796</v>
      </c>
      <c r="AG1855" t="s">
        <v>797</v>
      </c>
      <c r="AH1855">
        <v>3372100</v>
      </c>
      <c r="AI1855">
        <v>3564309.6999999997</v>
      </c>
      <c r="AJ1855">
        <v>1</v>
      </c>
    </row>
    <row r="1856" spans="1:36" x14ac:dyDescent="0.3">
      <c r="A1856">
        <f>COUNTIF($D$2:D1856,D1856)</f>
        <v>14</v>
      </c>
      <c r="B1856" t="str">
        <f t="shared" si="113"/>
        <v>14Sandwell</v>
      </c>
      <c r="C1856" t="s">
        <v>5372</v>
      </c>
      <c r="D1856" t="s">
        <v>275</v>
      </c>
      <c r="E1856">
        <v>38</v>
      </c>
      <c r="F1856" t="s">
        <v>5363</v>
      </c>
      <c r="G1856" t="s">
        <v>806</v>
      </c>
      <c r="H1856" t="s">
        <v>917</v>
      </c>
      <c r="I1856" t="s">
        <v>808</v>
      </c>
      <c r="J1856">
        <f t="shared" ca="1" si="114"/>
        <v>1198000</v>
      </c>
      <c r="K1856">
        <f t="shared" ca="1" si="115"/>
        <v>31.345977431942856</v>
      </c>
      <c r="N1856" t="str">
        <f t="shared" si="112"/>
        <v>Oxfordshire24P2 Discharge to Assess bedsBed based intermediate Care Services (Reablement, rehabilitation, wider short-term services supporting recovery)Bed-based intermediate care with reablement (to support discharge)</v>
      </c>
      <c r="O1856" t="s">
        <v>251</v>
      </c>
      <c r="P1856" t="s">
        <v>1437</v>
      </c>
      <c r="Q1856">
        <v>24</v>
      </c>
      <c r="R1856" t="s">
        <v>4922</v>
      </c>
      <c r="S1856" t="s">
        <v>5373</v>
      </c>
      <c r="T1856" t="s">
        <v>877</v>
      </c>
      <c r="U1856" t="s">
        <v>878</v>
      </c>
      <c r="W1856">
        <v>1185</v>
      </c>
      <c r="X1856">
        <v>1300</v>
      </c>
      <c r="Y1856" t="s">
        <v>879</v>
      </c>
      <c r="Z1856" t="s">
        <v>823</v>
      </c>
      <c r="AB1856" t="s">
        <v>1739</v>
      </c>
      <c r="AC1856">
        <v>0.67900000000000005</v>
      </c>
      <c r="AD1856">
        <v>0.32099999999999995</v>
      </c>
      <c r="AE1856" t="s">
        <v>804</v>
      </c>
      <c r="AF1856" t="s">
        <v>796</v>
      </c>
      <c r="AG1856" t="s">
        <v>797</v>
      </c>
      <c r="AH1856">
        <v>3909165</v>
      </c>
      <c r="AI1856">
        <v>4131987.4049999998</v>
      </c>
      <c r="AJ1856">
        <v>1</v>
      </c>
    </row>
    <row r="1857" spans="1:36" x14ac:dyDescent="0.3">
      <c r="A1857">
        <f>COUNTIF($D$2:D1857,D1857)</f>
        <v>15</v>
      </c>
      <c r="B1857" t="str">
        <f t="shared" si="113"/>
        <v>15Sandwell</v>
      </c>
      <c r="C1857" t="s">
        <v>5374</v>
      </c>
      <c r="D1857" t="s">
        <v>275</v>
      </c>
      <c r="E1857">
        <v>39</v>
      </c>
      <c r="F1857" t="s">
        <v>5366</v>
      </c>
      <c r="G1857" t="s">
        <v>806</v>
      </c>
      <c r="H1857" t="s">
        <v>873</v>
      </c>
      <c r="I1857" t="s">
        <v>808</v>
      </c>
      <c r="J1857">
        <f t="shared" ca="1" si="114"/>
        <v>763000</v>
      </c>
      <c r="K1857">
        <f t="shared" ca="1" si="115"/>
        <v>11.459419387415185</v>
      </c>
      <c r="N1857" t="str">
        <f t="shared" si="112"/>
        <v>Oxfordshire26P2 Community Hospital bedsBed based intermediate Care Services (Reablement, rehabilitation, wider short-term services supporting recovery)Bed-based intermediate care with rehabilitation (to support discharge)</v>
      </c>
      <c r="O1857" t="s">
        <v>251</v>
      </c>
      <c r="P1857" t="s">
        <v>1437</v>
      </c>
      <c r="Q1857">
        <v>26</v>
      </c>
      <c r="R1857" t="s">
        <v>4924</v>
      </c>
      <c r="S1857" t="s">
        <v>5375</v>
      </c>
      <c r="T1857" t="s">
        <v>877</v>
      </c>
      <c r="U1857" t="s">
        <v>968</v>
      </c>
      <c r="W1857">
        <v>1244</v>
      </c>
      <c r="X1857">
        <v>1244</v>
      </c>
      <c r="Y1857" t="s">
        <v>879</v>
      </c>
      <c r="Z1857" t="s">
        <v>823</v>
      </c>
      <c r="AB1857" t="s">
        <v>824</v>
      </c>
      <c r="AD1857" t="s">
        <v>794</v>
      </c>
      <c r="AE1857" t="s">
        <v>832</v>
      </c>
      <c r="AF1857" t="s">
        <v>796</v>
      </c>
      <c r="AG1857" t="s">
        <v>797</v>
      </c>
      <c r="AH1857">
        <v>4038503</v>
      </c>
      <c r="AI1857">
        <v>4248962</v>
      </c>
      <c r="AJ1857">
        <v>0.21829745945945947</v>
      </c>
    </row>
    <row r="1858" spans="1:36" x14ac:dyDescent="0.3">
      <c r="A1858">
        <f>COUNTIF($D$2:D1858,D1858)</f>
        <v>16</v>
      </c>
      <c r="B1858" t="str">
        <f t="shared" si="113"/>
        <v>16Sandwell</v>
      </c>
      <c r="C1858" t="s">
        <v>5376</v>
      </c>
      <c r="D1858" t="s">
        <v>275</v>
      </c>
      <c r="E1858">
        <v>40</v>
      </c>
      <c r="F1858" t="s">
        <v>5377</v>
      </c>
      <c r="G1858" t="s">
        <v>842</v>
      </c>
      <c r="H1858" t="s">
        <v>856</v>
      </c>
      <c r="I1858" t="s">
        <v>844</v>
      </c>
      <c r="J1858">
        <f t="shared" ca="1" si="114"/>
        <v>1097000</v>
      </c>
      <c r="K1858">
        <f t="shared" ca="1" si="115"/>
        <v>65820</v>
      </c>
      <c r="N1858" t="str">
        <f t="shared" ref="N1858:N1921" si="116">O1858&amp;Q1858&amp;R1858&amp;T1858&amp;U1858</f>
        <v>Oxfordshire32Surge capacityBed based intermediate Care Services (Reablement, rehabilitation, wider short-term services supporting recovery)Bed-based intermediate care with reablement (to support discharge)</v>
      </c>
      <c r="O1858" t="s">
        <v>251</v>
      </c>
      <c r="P1858" t="s">
        <v>1437</v>
      </c>
      <c r="Q1858">
        <v>32</v>
      </c>
      <c r="R1858" t="s">
        <v>4926</v>
      </c>
      <c r="S1858" t="s">
        <v>5378</v>
      </c>
      <c r="T1858" t="s">
        <v>877</v>
      </c>
      <c r="U1858" t="s">
        <v>878</v>
      </c>
      <c r="W1858">
        <v>100</v>
      </c>
      <c r="X1858">
        <v>50</v>
      </c>
      <c r="Y1858" t="s">
        <v>879</v>
      </c>
      <c r="Z1858" t="s">
        <v>792</v>
      </c>
      <c r="AB1858" t="s">
        <v>793</v>
      </c>
      <c r="AD1858" t="s">
        <v>794</v>
      </c>
      <c r="AE1858" t="s">
        <v>804</v>
      </c>
      <c r="AF1858" t="s">
        <v>864</v>
      </c>
      <c r="AG1858" t="s">
        <v>861</v>
      </c>
      <c r="AH1858">
        <v>480000</v>
      </c>
      <c r="AI1858">
        <v>240000</v>
      </c>
      <c r="AJ1858">
        <v>1</v>
      </c>
    </row>
    <row r="1859" spans="1:36" x14ac:dyDescent="0.3">
      <c r="A1859">
        <f>COUNTIF($D$2:D1859,D1859)</f>
        <v>17</v>
      </c>
      <c r="B1859" t="str">
        <f t="shared" ref="B1859:B1922" si="117">A1859&amp;D1859</f>
        <v>17Sandwell</v>
      </c>
      <c r="C1859" t="s">
        <v>5379</v>
      </c>
      <c r="D1859" t="s">
        <v>275</v>
      </c>
      <c r="E1859">
        <v>43</v>
      </c>
      <c r="F1859" t="s">
        <v>5380</v>
      </c>
      <c r="G1859" t="s">
        <v>877</v>
      </c>
      <c r="H1859" t="s">
        <v>1259</v>
      </c>
      <c r="I1859" t="s">
        <v>879</v>
      </c>
      <c r="J1859">
        <f t="shared" ref="J1859:J1922" ca="1" si="118">SUMIF($N:$AI,C1859,AH:AH)</f>
        <v>331951.22400000005</v>
      </c>
      <c r="K1859">
        <f t="shared" ref="K1859:K1922" ca="1" si="119">SUMIF($N:$AI,C1859,W:W)</f>
        <v>80</v>
      </c>
      <c r="N1859" t="str">
        <f t="shared" si="116"/>
        <v>Oxfordshire33Delirium pathway bedsBed based intermediate Care Services (Reablement, rehabilitation, wider short-term services supporting recovery)Bed-based intermediate care with reablement (to support discharge)</v>
      </c>
      <c r="O1859" t="s">
        <v>251</v>
      </c>
      <c r="P1859" t="s">
        <v>1437</v>
      </c>
      <c r="Q1859">
        <v>33</v>
      </c>
      <c r="R1859" t="s">
        <v>4928</v>
      </c>
      <c r="S1859" t="s">
        <v>5381</v>
      </c>
      <c r="T1859" t="s">
        <v>877</v>
      </c>
      <c r="U1859" t="s">
        <v>878</v>
      </c>
      <c r="W1859">
        <v>36</v>
      </c>
      <c r="X1859">
        <v>72</v>
      </c>
      <c r="Y1859" t="s">
        <v>879</v>
      </c>
      <c r="Z1859" t="s">
        <v>792</v>
      </c>
      <c r="AB1859" t="s">
        <v>793</v>
      </c>
      <c r="AD1859" t="s">
        <v>794</v>
      </c>
      <c r="AE1859" t="s">
        <v>804</v>
      </c>
      <c r="AF1859" t="s">
        <v>864</v>
      </c>
      <c r="AG1859" t="s">
        <v>861</v>
      </c>
      <c r="AH1859">
        <v>280000</v>
      </c>
      <c r="AI1859">
        <v>560000</v>
      </c>
      <c r="AJ1859">
        <v>1</v>
      </c>
    </row>
    <row r="1860" spans="1:36" x14ac:dyDescent="0.3">
      <c r="A1860">
        <f>COUNTIF($D$2:D1860,D1860)</f>
        <v>18</v>
      </c>
      <c r="B1860" t="str">
        <f t="shared" si="117"/>
        <v>18Sandwell</v>
      </c>
      <c r="C1860" t="s">
        <v>5382</v>
      </c>
      <c r="D1860" t="s">
        <v>275</v>
      </c>
      <c r="E1860">
        <v>62</v>
      </c>
      <c r="F1860" t="s">
        <v>891</v>
      </c>
      <c r="G1860" t="s">
        <v>834</v>
      </c>
      <c r="H1860" t="s">
        <v>835</v>
      </c>
      <c r="I1860" t="s">
        <v>836</v>
      </c>
      <c r="J1860">
        <f t="shared" ca="1" si="118"/>
        <v>4728713</v>
      </c>
      <c r="K1860">
        <f t="shared" ca="1" si="119"/>
        <v>500</v>
      </c>
      <c r="N1860" t="str">
        <f t="shared" si="116"/>
        <v>Oxfordshire34MH step down pathwayBed based intermediate Care Services (Reablement, rehabilitation, wider short-term services supporting recovery)Bed-based intermediate care with reablement (to support discharge)</v>
      </c>
      <c r="O1860" t="s">
        <v>251</v>
      </c>
      <c r="P1860" t="s">
        <v>1437</v>
      </c>
      <c r="Q1860">
        <v>34</v>
      </c>
      <c r="R1860" t="s">
        <v>4931</v>
      </c>
      <c r="S1860" t="s">
        <v>5383</v>
      </c>
      <c r="T1860" t="s">
        <v>877</v>
      </c>
      <c r="U1860" t="s">
        <v>878</v>
      </c>
      <c r="W1860">
        <v>140</v>
      </c>
      <c r="X1860">
        <v>160</v>
      </c>
      <c r="Y1860" t="s">
        <v>879</v>
      </c>
      <c r="Z1860" t="s">
        <v>812</v>
      </c>
      <c r="AA1860" t="s">
        <v>5384</v>
      </c>
      <c r="AB1860" t="s">
        <v>824</v>
      </c>
      <c r="AD1860" t="s">
        <v>794</v>
      </c>
      <c r="AE1860" t="s">
        <v>825</v>
      </c>
      <c r="AF1860" t="s">
        <v>860</v>
      </c>
      <c r="AG1860" t="s">
        <v>861</v>
      </c>
      <c r="AH1860">
        <v>1213038</v>
      </c>
      <c r="AI1860">
        <v>1665366</v>
      </c>
      <c r="AJ1860">
        <v>1</v>
      </c>
    </row>
    <row r="1861" spans="1:36" x14ac:dyDescent="0.3">
      <c r="A1861">
        <f>COUNTIF($D$2:D1861,D1861)</f>
        <v>19</v>
      </c>
      <c r="B1861" t="str">
        <f t="shared" si="117"/>
        <v>19Sandwell</v>
      </c>
      <c r="C1861" t="s">
        <v>5385</v>
      </c>
      <c r="D1861" t="s">
        <v>275</v>
      </c>
      <c r="E1861">
        <v>67</v>
      </c>
      <c r="F1861" t="s">
        <v>5386</v>
      </c>
      <c r="G1861" t="s">
        <v>806</v>
      </c>
      <c r="H1861" t="s">
        <v>917</v>
      </c>
      <c r="I1861" t="s">
        <v>808</v>
      </c>
      <c r="J1861">
        <f t="shared" ca="1" si="118"/>
        <v>1700000</v>
      </c>
      <c r="K1861">
        <f t="shared" ca="1" si="119"/>
        <v>61</v>
      </c>
      <c r="N1861" t="str">
        <f t="shared" si="116"/>
        <v>Oxfordshire7Home care2Home Care or Domiciliary CareDomiciliary care packages</v>
      </c>
      <c r="O1861" t="s">
        <v>251</v>
      </c>
      <c r="P1861" t="s">
        <v>1437</v>
      </c>
      <c r="Q1861">
        <v>7</v>
      </c>
      <c r="R1861" t="s">
        <v>4933</v>
      </c>
      <c r="S1861" t="s">
        <v>5367</v>
      </c>
      <c r="T1861" t="s">
        <v>842</v>
      </c>
      <c r="U1861" t="s">
        <v>843</v>
      </c>
      <c r="W1861">
        <v>95012</v>
      </c>
      <c r="X1861">
        <v>95012</v>
      </c>
      <c r="Y1861" t="s">
        <v>844</v>
      </c>
      <c r="Z1861" t="s">
        <v>792</v>
      </c>
      <c r="AB1861" t="s">
        <v>793</v>
      </c>
      <c r="AD1861" t="s">
        <v>794</v>
      </c>
      <c r="AE1861" t="s">
        <v>804</v>
      </c>
      <c r="AF1861" t="s">
        <v>845</v>
      </c>
      <c r="AG1861" t="s">
        <v>797</v>
      </c>
      <c r="AH1861">
        <v>2610000</v>
      </c>
      <c r="AI1861">
        <v>2610000</v>
      </c>
      <c r="AJ1861">
        <v>0.05</v>
      </c>
    </row>
    <row r="1862" spans="1:36" x14ac:dyDescent="0.3">
      <c r="A1862">
        <f>COUNTIF($D$2:D1862,D1862)</f>
        <v>20</v>
      </c>
      <c r="B1862" t="str">
        <f t="shared" si="117"/>
        <v>20Sandwell</v>
      </c>
      <c r="C1862" t="s">
        <v>5387</v>
      </c>
      <c r="D1862" t="s">
        <v>275</v>
      </c>
      <c r="E1862">
        <v>73</v>
      </c>
      <c r="F1862" t="s">
        <v>5388</v>
      </c>
      <c r="G1862" t="s">
        <v>800</v>
      </c>
      <c r="H1862" t="s">
        <v>850</v>
      </c>
      <c r="I1862" t="s">
        <v>802</v>
      </c>
      <c r="J1862">
        <f t="shared" ca="1" si="118"/>
        <v>45000</v>
      </c>
      <c r="K1862">
        <f t="shared" ca="1" si="119"/>
        <v>100</v>
      </c>
      <c r="N1862" t="str">
        <f t="shared" si="116"/>
        <v>Peterborough2Carers SupportCarers ServicesOther</v>
      </c>
      <c r="O1862" t="s">
        <v>253</v>
      </c>
      <c r="P1862" t="s">
        <v>1056</v>
      </c>
      <c r="Q1862">
        <v>2</v>
      </c>
      <c r="R1862" t="s">
        <v>1781</v>
      </c>
      <c r="S1862" t="s">
        <v>5389</v>
      </c>
      <c r="T1862" t="s">
        <v>811</v>
      </c>
      <c r="U1862" t="s">
        <v>812</v>
      </c>
      <c r="V1862" t="s">
        <v>1399</v>
      </c>
      <c r="W1862">
        <v>96</v>
      </c>
      <c r="X1862">
        <v>96</v>
      </c>
      <c r="Y1862" t="s">
        <v>813</v>
      </c>
      <c r="Z1862" t="s">
        <v>823</v>
      </c>
      <c r="AB1862" t="s">
        <v>824</v>
      </c>
      <c r="AD1862" t="s">
        <v>794</v>
      </c>
      <c r="AE1862" t="s">
        <v>825</v>
      </c>
      <c r="AF1862" t="s">
        <v>796</v>
      </c>
      <c r="AG1862" t="s">
        <v>797</v>
      </c>
      <c r="AH1862">
        <v>65581</v>
      </c>
      <c r="AI1862">
        <v>65581</v>
      </c>
      <c r="AJ1862">
        <v>0.03</v>
      </c>
    </row>
    <row r="1863" spans="1:36" x14ac:dyDescent="0.3">
      <c r="A1863">
        <f>COUNTIF($D$2:D1863,D1863)</f>
        <v>21</v>
      </c>
      <c r="B1863" t="str">
        <f t="shared" si="117"/>
        <v>21Sandwell</v>
      </c>
      <c r="C1863" t="s">
        <v>5390</v>
      </c>
      <c r="D1863" t="s">
        <v>275</v>
      </c>
      <c r="E1863">
        <v>76</v>
      </c>
      <c r="F1863" t="s">
        <v>5350</v>
      </c>
      <c r="G1863" t="s">
        <v>806</v>
      </c>
      <c r="H1863" t="s">
        <v>917</v>
      </c>
      <c r="I1863" t="s">
        <v>808</v>
      </c>
      <c r="J1863">
        <f t="shared" ca="1" si="118"/>
        <v>216000</v>
      </c>
      <c r="K1863">
        <f t="shared" ca="1" si="119"/>
        <v>3</v>
      </c>
      <c r="N1863" t="str">
        <f t="shared" si="116"/>
        <v>Peterborough4Community EquipmentAssistive Technologies and EquipmentCommunity based equipment</v>
      </c>
      <c r="O1863" t="s">
        <v>253</v>
      </c>
      <c r="P1863" t="s">
        <v>1056</v>
      </c>
      <c r="Q1863">
        <v>4</v>
      </c>
      <c r="R1863" t="s">
        <v>1051</v>
      </c>
      <c r="S1863" t="s">
        <v>902</v>
      </c>
      <c r="T1863" t="s">
        <v>800</v>
      </c>
      <c r="U1863" t="s">
        <v>903</v>
      </c>
      <c r="W1863">
        <v>4550</v>
      </c>
      <c r="X1863">
        <v>4595</v>
      </c>
      <c r="Y1863" t="s">
        <v>802</v>
      </c>
      <c r="Z1863" t="s">
        <v>823</v>
      </c>
      <c r="AB1863" t="s">
        <v>1739</v>
      </c>
      <c r="AC1863">
        <v>0.65</v>
      </c>
      <c r="AD1863">
        <v>0.35</v>
      </c>
      <c r="AE1863" t="s">
        <v>804</v>
      </c>
      <c r="AF1863" t="s">
        <v>796</v>
      </c>
      <c r="AG1863" t="s">
        <v>797</v>
      </c>
      <c r="AH1863">
        <v>439249</v>
      </c>
      <c r="AI1863">
        <v>439249</v>
      </c>
      <c r="AJ1863">
        <v>0.12</v>
      </c>
    </row>
    <row r="1864" spans="1:36" x14ac:dyDescent="0.3">
      <c r="A1864">
        <f>COUNTIF($D$2:D1864,D1864)</f>
        <v>22</v>
      </c>
      <c r="B1864" t="str">
        <f t="shared" si="117"/>
        <v>22Sandwell</v>
      </c>
      <c r="C1864" t="s">
        <v>5391</v>
      </c>
      <c r="D1864" t="s">
        <v>275</v>
      </c>
      <c r="E1864">
        <v>77</v>
      </c>
      <c r="F1864" t="s">
        <v>5392</v>
      </c>
      <c r="G1864" t="s">
        <v>806</v>
      </c>
      <c r="H1864" t="s">
        <v>917</v>
      </c>
      <c r="I1864" t="s">
        <v>808</v>
      </c>
      <c r="J1864">
        <f t="shared" ca="1" si="118"/>
        <v>820965.6</v>
      </c>
      <c r="K1864">
        <f t="shared" ca="1" si="119"/>
        <v>936</v>
      </c>
      <c r="N1864" t="str">
        <f t="shared" si="116"/>
        <v>Peterborough5Community EquipmentAssistive Technologies and EquipmentCommunity based equipment</v>
      </c>
      <c r="O1864" t="s">
        <v>253</v>
      </c>
      <c r="P1864" t="s">
        <v>1056</v>
      </c>
      <c r="Q1864">
        <v>5</v>
      </c>
      <c r="R1864" t="s">
        <v>1051</v>
      </c>
      <c r="S1864" t="s">
        <v>902</v>
      </c>
      <c r="T1864" t="s">
        <v>800</v>
      </c>
      <c r="U1864" t="s">
        <v>903</v>
      </c>
      <c r="W1864">
        <v>3430</v>
      </c>
      <c r="X1864">
        <v>3465</v>
      </c>
      <c r="Y1864" t="s">
        <v>802</v>
      </c>
      <c r="Z1864" t="s">
        <v>823</v>
      </c>
      <c r="AB1864" t="s">
        <v>1739</v>
      </c>
      <c r="AC1864">
        <v>0.65</v>
      </c>
      <c r="AD1864">
        <v>0.35</v>
      </c>
      <c r="AE1864" t="s">
        <v>804</v>
      </c>
      <c r="AF1864" t="s">
        <v>1042</v>
      </c>
      <c r="AG1864" t="s">
        <v>797</v>
      </c>
      <c r="AH1864">
        <v>327287</v>
      </c>
      <c r="AI1864">
        <v>327287</v>
      </c>
      <c r="AJ1864">
        <v>0.09</v>
      </c>
    </row>
    <row r="1865" spans="1:36" x14ac:dyDescent="0.3">
      <c r="A1865">
        <f>COUNTIF($D$2:D1865,D1865)</f>
        <v>23</v>
      </c>
      <c r="B1865" t="str">
        <f t="shared" si="117"/>
        <v>23Sandwell</v>
      </c>
      <c r="C1865" t="s">
        <v>5393</v>
      </c>
      <c r="D1865" t="s">
        <v>275</v>
      </c>
      <c r="E1865">
        <v>78</v>
      </c>
      <c r="F1865" t="s">
        <v>5394</v>
      </c>
      <c r="G1865" t="s">
        <v>806</v>
      </c>
      <c r="H1865" t="s">
        <v>807</v>
      </c>
      <c r="I1865" t="s">
        <v>808</v>
      </c>
      <c r="J1865">
        <f t="shared" ca="1" si="118"/>
        <v>408000</v>
      </c>
      <c r="K1865">
        <f t="shared" ca="1" si="119"/>
        <v>624</v>
      </c>
      <c r="N1865" t="str">
        <f t="shared" si="116"/>
        <v>Peterborough8Section 256 agreement: Care Placement SpendHome Care or Domiciliary CareDomiciliary care packages</v>
      </c>
      <c r="O1865" t="s">
        <v>253</v>
      </c>
      <c r="P1865" t="s">
        <v>1056</v>
      </c>
      <c r="Q1865">
        <v>8</v>
      </c>
      <c r="R1865" t="s">
        <v>4939</v>
      </c>
      <c r="S1865" t="s">
        <v>5395</v>
      </c>
      <c r="T1865" t="s">
        <v>842</v>
      </c>
      <c r="U1865" t="s">
        <v>843</v>
      </c>
      <c r="W1865">
        <v>235079</v>
      </c>
      <c r="X1865">
        <v>264585</v>
      </c>
      <c r="Y1865" t="s">
        <v>844</v>
      </c>
      <c r="Z1865" t="s">
        <v>792</v>
      </c>
      <c r="AB1865" t="s">
        <v>793</v>
      </c>
      <c r="AD1865" t="s">
        <v>794</v>
      </c>
      <c r="AE1865" t="s">
        <v>804</v>
      </c>
      <c r="AF1865" t="s">
        <v>796</v>
      </c>
      <c r="AG1865" t="s">
        <v>797</v>
      </c>
      <c r="AH1865">
        <v>4223453</v>
      </c>
      <c r="AI1865">
        <v>4733425</v>
      </c>
      <c r="AJ1865">
        <v>0.05</v>
      </c>
    </row>
    <row r="1866" spans="1:36" x14ac:dyDescent="0.3">
      <c r="A1866">
        <f>COUNTIF($D$2:D1866,D1866)</f>
        <v>24</v>
      </c>
      <c r="B1866" t="str">
        <f t="shared" si="117"/>
        <v>24Sandwell</v>
      </c>
      <c r="C1866" t="s">
        <v>5396</v>
      </c>
      <c r="D1866" t="s">
        <v>275</v>
      </c>
      <c r="E1866">
        <v>79</v>
      </c>
      <c r="F1866" t="s">
        <v>5397</v>
      </c>
      <c r="G1866" t="s">
        <v>842</v>
      </c>
      <c r="H1866" t="s">
        <v>856</v>
      </c>
      <c r="I1866" t="s">
        <v>844</v>
      </c>
      <c r="J1866">
        <f t="shared" ca="1" si="118"/>
        <v>1230420</v>
      </c>
      <c r="K1866">
        <f t="shared" ca="1" si="119"/>
        <v>68640</v>
      </c>
      <c r="N1866" t="str">
        <f t="shared" si="116"/>
        <v>Peterborough10Reducing DTOCs/ 7 day sericesHome-based intermediate care servicesReablement at home (accepting step up and step down users)</v>
      </c>
      <c r="O1866" t="s">
        <v>253</v>
      </c>
      <c r="P1866" t="s">
        <v>1056</v>
      </c>
      <c r="Q1866">
        <v>10</v>
      </c>
      <c r="R1866" t="s">
        <v>4942</v>
      </c>
      <c r="S1866" t="s">
        <v>5398</v>
      </c>
      <c r="T1866" t="s">
        <v>787</v>
      </c>
      <c r="U1866" t="s">
        <v>930</v>
      </c>
      <c r="W1866">
        <v>138</v>
      </c>
      <c r="X1866">
        <v>138</v>
      </c>
      <c r="Y1866" t="s">
        <v>789</v>
      </c>
      <c r="Z1866" t="s">
        <v>792</v>
      </c>
      <c r="AB1866" t="s">
        <v>793</v>
      </c>
      <c r="AD1866" t="s">
        <v>794</v>
      </c>
      <c r="AE1866" t="s">
        <v>795</v>
      </c>
      <c r="AF1866" t="s">
        <v>796</v>
      </c>
      <c r="AG1866" t="s">
        <v>797</v>
      </c>
      <c r="AH1866">
        <v>250000</v>
      </c>
      <c r="AI1866">
        <v>250000</v>
      </c>
      <c r="AJ1866">
        <v>0.01</v>
      </c>
    </row>
    <row r="1867" spans="1:36" x14ac:dyDescent="0.3">
      <c r="A1867">
        <f>COUNTIF($D$2:D1867,D1867)</f>
        <v>1</v>
      </c>
      <c r="B1867" t="str">
        <f t="shared" si="117"/>
        <v>1Sefton</v>
      </c>
      <c r="C1867" t="s">
        <v>5399</v>
      </c>
      <c r="D1867" t="s">
        <v>277</v>
      </c>
      <c r="E1867">
        <v>20</v>
      </c>
      <c r="F1867" t="s">
        <v>5400</v>
      </c>
      <c r="G1867" t="s">
        <v>811</v>
      </c>
      <c r="H1867" t="s">
        <v>830</v>
      </c>
      <c r="I1867" t="s">
        <v>813</v>
      </c>
      <c r="J1867">
        <f t="shared" ca="1" si="118"/>
        <v>781817</v>
      </c>
      <c r="K1867">
        <f t="shared" ca="1" si="119"/>
        <v>560</v>
      </c>
      <c r="N1867" t="str">
        <f t="shared" si="116"/>
        <v>Peterborough11Person centred careAssistive Technologies and EquipmentAssistive technologies including telecare</v>
      </c>
      <c r="O1867" t="s">
        <v>253</v>
      </c>
      <c r="P1867" t="s">
        <v>1056</v>
      </c>
      <c r="Q1867">
        <v>11</v>
      </c>
      <c r="R1867" t="s">
        <v>4945</v>
      </c>
      <c r="S1867" t="s">
        <v>5401</v>
      </c>
      <c r="T1867" t="s">
        <v>800</v>
      </c>
      <c r="U1867" t="s">
        <v>850</v>
      </c>
      <c r="W1867">
        <v>238</v>
      </c>
      <c r="X1867">
        <v>238</v>
      </c>
      <c r="Y1867" t="s">
        <v>802</v>
      </c>
      <c r="Z1867" t="s">
        <v>792</v>
      </c>
      <c r="AB1867" t="s">
        <v>793</v>
      </c>
      <c r="AD1867" t="s">
        <v>794</v>
      </c>
      <c r="AE1867" t="s">
        <v>795</v>
      </c>
      <c r="AF1867" t="s">
        <v>796</v>
      </c>
      <c r="AG1867" t="s">
        <v>797</v>
      </c>
      <c r="AH1867">
        <v>100000</v>
      </c>
      <c r="AI1867">
        <v>100000</v>
      </c>
      <c r="AJ1867">
        <v>0.02</v>
      </c>
    </row>
    <row r="1868" spans="1:36" x14ac:dyDescent="0.3">
      <c r="A1868">
        <f>COUNTIF($D$2:D1868,D1868)</f>
        <v>2</v>
      </c>
      <c r="B1868" t="str">
        <f t="shared" si="117"/>
        <v>2Sefton</v>
      </c>
      <c r="C1868" t="s">
        <v>5402</v>
      </c>
      <c r="D1868" t="s">
        <v>277</v>
      </c>
      <c r="E1868">
        <v>21</v>
      </c>
      <c r="F1868" t="s">
        <v>5403</v>
      </c>
      <c r="G1868" t="s">
        <v>811</v>
      </c>
      <c r="H1868" t="s">
        <v>812</v>
      </c>
      <c r="I1868" t="s">
        <v>813</v>
      </c>
      <c r="J1868">
        <f t="shared" ca="1" si="118"/>
        <v>20000</v>
      </c>
      <c r="K1868">
        <f t="shared" ca="1" si="119"/>
        <v>560</v>
      </c>
      <c r="N1868" t="str">
        <f t="shared" si="116"/>
        <v>Peterborough13Care Act Implementation / Enhanced OfferCarers ServicesCarer advice and support related to Care Act duties</v>
      </c>
      <c r="O1868" t="s">
        <v>253</v>
      </c>
      <c r="P1868" t="s">
        <v>1056</v>
      </c>
      <c r="Q1868">
        <v>13</v>
      </c>
      <c r="R1868" t="s">
        <v>4948</v>
      </c>
      <c r="S1868" t="s">
        <v>5404</v>
      </c>
      <c r="T1868" t="s">
        <v>811</v>
      </c>
      <c r="U1868" t="s">
        <v>895</v>
      </c>
      <c r="W1868">
        <v>1365</v>
      </c>
      <c r="X1868">
        <v>1365</v>
      </c>
      <c r="Y1868" t="s">
        <v>813</v>
      </c>
      <c r="Z1868" t="s">
        <v>792</v>
      </c>
      <c r="AB1868" t="s">
        <v>793</v>
      </c>
      <c r="AD1868" t="s">
        <v>794</v>
      </c>
      <c r="AE1868" t="s">
        <v>795</v>
      </c>
      <c r="AF1868" t="s">
        <v>796</v>
      </c>
      <c r="AG1868" t="s">
        <v>797</v>
      </c>
      <c r="AH1868">
        <v>407000</v>
      </c>
      <c r="AI1868">
        <v>407000</v>
      </c>
      <c r="AJ1868">
        <v>0.16</v>
      </c>
    </row>
    <row r="1869" spans="1:36" x14ac:dyDescent="0.3">
      <c r="A1869">
        <f>COUNTIF($D$2:D1869,D1869)</f>
        <v>3</v>
      </c>
      <c r="B1869" t="str">
        <f t="shared" si="117"/>
        <v>3Sefton</v>
      </c>
      <c r="C1869" t="s">
        <v>5405</v>
      </c>
      <c r="D1869" t="s">
        <v>277</v>
      </c>
      <c r="E1869">
        <v>23</v>
      </c>
      <c r="F1869" t="s">
        <v>5406</v>
      </c>
      <c r="G1869" t="s">
        <v>877</v>
      </c>
      <c r="H1869" t="s">
        <v>968</v>
      </c>
      <c r="I1869" t="s">
        <v>879</v>
      </c>
      <c r="J1869">
        <f t="shared" ca="1" si="118"/>
        <v>1158080.5</v>
      </c>
      <c r="K1869">
        <f t="shared" ca="1" si="119"/>
        <v>30</v>
      </c>
      <c r="N1869" t="str">
        <f t="shared" si="116"/>
        <v>Peterborough14Carers SupportCarers ServicesCarer advice and support related to Care Act duties</v>
      </c>
      <c r="O1869" t="s">
        <v>253</v>
      </c>
      <c r="P1869" t="s">
        <v>1056</v>
      </c>
      <c r="Q1869">
        <v>14</v>
      </c>
      <c r="R1869" t="s">
        <v>1781</v>
      </c>
      <c r="S1869" t="s">
        <v>5407</v>
      </c>
      <c r="T1869" t="s">
        <v>811</v>
      </c>
      <c r="U1869" t="s">
        <v>895</v>
      </c>
      <c r="W1869">
        <v>241</v>
      </c>
      <c r="X1869">
        <v>241</v>
      </c>
      <c r="Y1869" t="s">
        <v>813</v>
      </c>
      <c r="Z1869" t="s">
        <v>792</v>
      </c>
      <c r="AB1869" t="s">
        <v>793</v>
      </c>
      <c r="AD1869" t="s">
        <v>794</v>
      </c>
      <c r="AE1869" t="s">
        <v>825</v>
      </c>
      <c r="AF1869" t="s">
        <v>796</v>
      </c>
      <c r="AG1869" t="s">
        <v>797</v>
      </c>
      <c r="AH1869">
        <v>75000</v>
      </c>
      <c r="AI1869">
        <v>75000</v>
      </c>
      <c r="AJ1869">
        <v>0.03</v>
      </c>
    </row>
    <row r="1870" spans="1:36" x14ac:dyDescent="0.3">
      <c r="A1870">
        <f>COUNTIF($D$2:D1870,D1870)</f>
        <v>4</v>
      </c>
      <c r="B1870" t="str">
        <f t="shared" si="117"/>
        <v>4Sefton</v>
      </c>
      <c r="C1870" t="s">
        <v>5408</v>
      </c>
      <c r="D1870" t="s">
        <v>277</v>
      </c>
      <c r="E1870">
        <v>25</v>
      </c>
      <c r="F1870" t="s">
        <v>2713</v>
      </c>
      <c r="G1870" t="s">
        <v>877</v>
      </c>
      <c r="H1870" t="s">
        <v>968</v>
      </c>
      <c r="I1870" t="s">
        <v>879</v>
      </c>
      <c r="J1870">
        <f t="shared" ca="1" si="118"/>
        <v>1309260</v>
      </c>
      <c r="K1870">
        <f t="shared" ca="1" si="119"/>
        <v>35</v>
      </c>
      <c r="N1870" t="str">
        <f t="shared" si="116"/>
        <v>Peterborough17Disabled Facilities GrantDFG Related SchemesAdaptations, including statutory DFG grants</v>
      </c>
      <c r="O1870" t="s">
        <v>253</v>
      </c>
      <c r="P1870" t="s">
        <v>1056</v>
      </c>
      <c r="Q1870">
        <v>17</v>
      </c>
      <c r="R1870" t="s">
        <v>891</v>
      </c>
      <c r="S1870" t="s">
        <v>5409</v>
      </c>
      <c r="T1870" t="s">
        <v>834</v>
      </c>
      <c r="U1870" t="s">
        <v>835</v>
      </c>
      <c r="W1870">
        <v>197</v>
      </c>
      <c r="X1870">
        <v>197</v>
      </c>
      <c r="Y1870" t="s">
        <v>836</v>
      </c>
      <c r="Z1870" t="s">
        <v>792</v>
      </c>
      <c r="AB1870" t="s">
        <v>793</v>
      </c>
      <c r="AD1870" t="s">
        <v>794</v>
      </c>
      <c r="AE1870" t="s">
        <v>795</v>
      </c>
      <c r="AF1870" t="s">
        <v>840</v>
      </c>
      <c r="AG1870" t="s">
        <v>797</v>
      </c>
      <c r="AH1870">
        <v>2236384</v>
      </c>
      <c r="AI1870">
        <v>2236384</v>
      </c>
      <c r="AJ1870">
        <v>1</v>
      </c>
    </row>
    <row r="1871" spans="1:36" x14ac:dyDescent="0.3">
      <c r="A1871">
        <f>COUNTIF($D$2:D1871,D1871)</f>
        <v>5</v>
      </c>
      <c r="B1871" t="str">
        <f t="shared" si="117"/>
        <v>5Sefton</v>
      </c>
      <c r="C1871" t="s">
        <v>5410</v>
      </c>
      <c r="D1871" t="s">
        <v>277</v>
      </c>
      <c r="E1871">
        <v>28</v>
      </c>
      <c r="F1871" t="s">
        <v>1051</v>
      </c>
      <c r="G1871" t="s">
        <v>800</v>
      </c>
      <c r="H1871" t="s">
        <v>903</v>
      </c>
      <c r="I1871" t="s">
        <v>802</v>
      </c>
      <c r="J1871">
        <f t="shared" ca="1" si="118"/>
        <v>913015</v>
      </c>
      <c r="K1871">
        <f t="shared" ca="1" si="119"/>
        <v>12500</v>
      </c>
      <c r="N1871" t="str">
        <f t="shared" si="116"/>
        <v>Peterborough18Investment in Adult Social Care and Social WorkResidential PlacementsCare home</v>
      </c>
      <c r="O1871" t="s">
        <v>253</v>
      </c>
      <c r="P1871" t="s">
        <v>1056</v>
      </c>
      <c r="Q1871">
        <v>18</v>
      </c>
      <c r="R1871" t="s">
        <v>4955</v>
      </c>
      <c r="S1871" t="s">
        <v>5411</v>
      </c>
      <c r="T1871" t="s">
        <v>806</v>
      </c>
      <c r="U1871" t="s">
        <v>807</v>
      </c>
      <c r="W1871">
        <v>6</v>
      </c>
      <c r="X1871">
        <v>6</v>
      </c>
      <c r="Y1871" t="s">
        <v>808</v>
      </c>
      <c r="Z1871" t="s">
        <v>792</v>
      </c>
      <c r="AB1871" t="s">
        <v>793</v>
      </c>
      <c r="AD1871" t="s">
        <v>794</v>
      </c>
      <c r="AE1871" t="s">
        <v>795</v>
      </c>
      <c r="AF1871" t="s">
        <v>845</v>
      </c>
      <c r="AG1871" t="s">
        <v>797</v>
      </c>
      <c r="AH1871">
        <v>306276</v>
      </c>
      <c r="AI1871">
        <v>306276</v>
      </c>
      <c r="AJ1871">
        <v>3.0000000000000001E-5</v>
      </c>
    </row>
    <row r="1872" spans="1:36" x14ac:dyDescent="0.3">
      <c r="A1872">
        <f>COUNTIF($D$2:D1872,D1872)</f>
        <v>6</v>
      </c>
      <c r="B1872" t="str">
        <f t="shared" si="117"/>
        <v>6Sefton</v>
      </c>
      <c r="C1872" t="s">
        <v>5412</v>
      </c>
      <c r="D1872" t="s">
        <v>277</v>
      </c>
      <c r="E1872">
        <v>29</v>
      </c>
      <c r="F1872" t="s">
        <v>5413</v>
      </c>
      <c r="G1872" t="s">
        <v>800</v>
      </c>
      <c r="H1872" t="s">
        <v>903</v>
      </c>
      <c r="I1872" t="s">
        <v>802</v>
      </c>
      <c r="J1872">
        <f t="shared" ca="1" si="118"/>
        <v>353794</v>
      </c>
      <c r="K1872">
        <f t="shared" ca="1" si="119"/>
        <v>12500</v>
      </c>
      <c r="N1872" t="str">
        <f t="shared" si="116"/>
        <v>Peterborough21Protection of adult social careResidential PlacementsCare home</v>
      </c>
      <c r="O1872" t="s">
        <v>253</v>
      </c>
      <c r="P1872" t="s">
        <v>1056</v>
      </c>
      <c r="Q1872">
        <v>21</v>
      </c>
      <c r="R1872" t="s">
        <v>4958</v>
      </c>
      <c r="S1872" t="s">
        <v>1937</v>
      </c>
      <c r="T1872" t="s">
        <v>806</v>
      </c>
      <c r="U1872" t="s">
        <v>807</v>
      </c>
      <c r="W1872">
        <v>108</v>
      </c>
      <c r="X1872">
        <v>108</v>
      </c>
      <c r="Y1872" t="s">
        <v>808</v>
      </c>
      <c r="Z1872" t="s">
        <v>792</v>
      </c>
      <c r="AB1872" t="s">
        <v>793</v>
      </c>
      <c r="AD1872" t="s">
        <v>794</v>
      </c>
      <c r="AE1872" t="s">
        <v>795</v>
      </c>
      <c r="AF1872" t="s">
        <v>845</v>
      </c>
      <c r="AG1872" t="s">
        <v>797</v>
      </c>
      <c r="AH1872">
        <v>5483734</v>
      </c>
      <c r="AI1872">
        <v>5483734</v>
      </c>
      <c r="AJ1872">
        <v>5.9999999999999995E-4</v>
      </c>
    </row>
    <row r="1873" spans="1:36" x14ac:dyDescent="0.3">
      <c r="A1873">
        <f>COUNTIF($D$2:D1873,D1873)</f>
        <v>7</v>
      </c>
      <c r="B1873" t="str">
        <f t="shared" si="117"/>
        <v>7Sefton</v>
      </c>
      <c r="C1873" t="s">
        <v>5414</v>
      </c>
      <c r="D1873" t="s">
        <v>277</v>
      </c>
      <c r="E1873">
        <v>30</v>
      </c>
      <c r="F1873" t="s">
        <v>1008</v>
      </c>
      <c r="G1873" t="s">
        <v>842</v>
      </c>
      <c r="H1873" t="s">
        <v>856</v>
      </c>
      <c r="I1873" t="s">
        <v>844</v>
      </c>
      <c r="J1873">
        <f t="shared" ca="1" si="118"/>
        <v>192321</v>
      </c>
      <c r="K1873">
        <f t="shared" ca="1" si="119"/>
        <v>8900</v>
      </c>
      <c r="N1873" t="str">
        <f t="shared" si="116"/>
        <v>Peterborough22Nursing home capacityResidential PlacementsNursing home</v>
      </c>
      <c r="O1873" t="s">
        <v>253</v>
      </c>
      <c r="P1873" t="s">
        <v>1056</v>
      </c>
      <c r="Q1873">
        <v>22</v>
      </c>
      <c r="R1873" t="s">
        <v>4961</v>
      </c>
      <c r="S1873" t="s">
        <v>5415</v>
      </c>
      <c r="T1873" t="s">
        <v>806</v>
      </c>
      <c r="U1873" t="s">
        <v>917</v>
      </c>
      <c r="W1873">
        <v>18</v>
      </c>
      <c r="X1873">
        <v>18</v>
      </c>
      <c r="Y1873" t="s">
        <v>808</v>
      </c>
      <c r="Z1873" t="s">
        <v>792</v>
      </c>
      <c r="AB1873" t="s">
        <v>793</v>
      </c>
      <c r="AD1873" t="s">
        <v>794</v>
      </c>
      <c r="AE1873" t="s">
        <v>795</v>
      </c>
      <c r="AF1873" t="s">
        <v>845</v>
      </c>
      <c r="AG1873" t="s">
        <v>797</v>
      </c>
      <c r="AH1873">
        <v>793661</v>
      </c>
      <c r="AI1873">
        <v>793661</v>
      </c>
      <c r="AJ1873">
        <v>9.0000000000000006E-5</v>
      </c>
    </row>
    <row r="1874" spans="1:36" x14ac:dyDescent="0.3">
      <c r="A1874">
        <f>COUNTIF($D$2:D1874,D1874)</f>
        <v>8</v>
      </c>
      <c r="B1874" t="str">
        <f t="shared" si="117"/>
        <v>8Sefton</v>
      </c>
      <c r="C1874" t="s">
        <v>5416</v>
      </c>
      <c r="D1874" t="s">
        <v>277</v>
      </c>
      <c r="E1874">
        <v>31</v>
      </c>
      <c r="F1874" t="s">
        <v>5417</v>
      </c>
      <c r="G1874" t="s">
        <v>842</v>
      </c>
      <c r="H1874" t="s">
        <v>856</v>
      </c>
      <c r="I1874" t="s">
        <v>844</v>
      </c>
      <c r="J1874">
        <f t="shared" ca="1" si="118"/>
        <v>241259</v>
      </c>
      <c r="K1874">
        <f t="shared" ca="1" si="119"/>
        <v>11100</v>
      </c>
      <c r="N1874" t="str">
        <f t="shared" si="116"/>
        <v xml:space="preserve">Peterborough31Additional Reablement CapacityHome-based intermediate care servicesReablement at home (to support discharge) </v>
      </c>
      <c r="O1874" t="s">
        <v>253</v>
      </c>
      <c r="P1874" t="s">
        <v>1056</v>
      </c>
      <c r="Q1874">
        <v>31</v>
      </c>
      <c r="R1874" t="s">
        <v>4965</v>
      </c>
      <c r="S1874" t="s">
        <v>5418</v>
      </c>
      <c r="T1874" t="s">
        <v>787</v>
      </c>
      <c r="U1874" t="s">
        <v>788</v>
      </c>
      <c r="W1874">
        <v>204</v>
      </c>
      <c r="X1874">
        <v>289</v>
      </c>
      <c r="Y1874" t="s">
        <v>789</v>
      </c>
      <c r="Z1874" t="s">
        <v>792</v>
      </c>
      <c r="AB1874" t="s">
        <v>793</v>
      </c>
      <c r="AD1874" t="s">
        <v>794</v>
      </c>
      <c r="AE1874" t="s">
        <v>795</v>
      </c>
      <c r="AF1874" t="s">
        <v>864</v>
      </c>
      <c r="AG1874" t="s">
        <v>797</v>
      </c>
      <c r="AH1874">
        <v>376365</v>
      </c>
      <c r="AI1874">
        <v>533307</v>
      </c>
      <c r="AJ1874">
        <v>0.02</v>
      </c>
    </row>
    <row r="1875" spans="1:36" x14ac:dyDescent="0.3">
      <c r="A1875">
        <f>COUNTIF($D$2:D1875,D1875)</f>
        <v>9</v>
      </c>
      <c r="B1875" t="str">
        <f t="shared" si="117"/>
        <v>9Sefton</v>
      </c>
      <c r="C1875" t="s">
        <v>5419</v>
      </c>
      <c r="D1875" t="s">
        <v>277</v>
      </c>
      <c r="E1875">
        <v>32</v>
      </c>
      <c r="F1875" t="s">
        <v>5420</v>
      </c>
      <c r="G1875" t="s">
        <v>877</v>
      </c>
      <c r="H1875" t="s">
        <v>812</v>
      </c>
      <c r="I1875" t="s">
        <v>879</v>
      </c>
      <c r="J1875">
        <f t="shared" ca="1" si="118"/>
        <v>242270</v>
      </c>
      <c r="K1875">
        <f t="shared" ca="1" si="119"/>
        <v>14</v>
      </c>
      <c r="N1875" t="str">
        <f t="shared" si="116"/>
        <v>Plymouth1Disabled Facilities GrantDFG Related SchemesAdaptations, including statutory DFG grants</v>
      </c>
      <c r="O1875" t="s">
        <v>255</v>
      </c>
      <c r="P1875" t="s">
        <v>976</v>
      </c>
      <c r="Q1875">
        <v>1</v>
      </c>
      <c r="R1875" t="s">
        <v>891</v>
      </c>
      <c r="S1875" t="s">
        <v>5421</v>
      </c>
      <c r="T1875" t="s">
        <v>834</v>
      </c>
      <c r="U1875" t="s">
        <v>835</v>
      </c>
      <c r="W1875">
        <v>234</v>
      </c>
      <c r="X1875">
        <v>234</v>
      </c>
      <c r="Y1875" t="s">
        <v>836</v>
      </c>
      <c r="Z1875" t="s">
        <v>812</v>
      </c>
      <c r="AA1875" t="s">
        <v>840</v>
      </c>
      <c r="AB1875" t="s">
        <v>793</v>
      </c>
      <c r="AD1875" t="s">
        <v>794</v>
      </c>
      <c r="AE1875" t="s">
        <v>795</v>
      </c>
      <c r="AF1875" t="s">
        <v>840</v>
      </c>
      <c r="AG1875" t="s">
        <v>797</v>
      </c>
      <c r="AH1875">
        <v>2813781</v>
      </c>
      <c r="AI1875">
        <v>2813781</v>
      </c>
      <c r="AJ1875">
        <v>6.3500000000000001E-2</v>
      </c>
    </row>
    <row r="1876" spans="1:36" x14ac:dyDescent="0.3">
      <c r="A1876">
        <f>COUNTIF($D$2:D1876,D1876)</f>
        <v>10</v>
      </c>
      <c r="B1876" t="str">
        <f t="shared" si="117"/>
        <v>10Sefton</v>
      </c>
      <c r="C1876" t="s">
        <v>5422</v>
      </c>
      <c r="D1876" t="s">
        <v>277</v>
      </c>
      <c r="E1876">
        <v>34</v>
      </c>
      <c r="F1876" t="s">
        <v>969</v>
      </c>
      <c r="G1876" t="s">
        <v>877</v>
      </c>
      <c r="H1876" t="s">
        <v>968</v>
      </c>
      <c r="I1876" t="s">
        <v>879</v>
      </c>
      <c r="J1876">
        <f t="shared" ca="1" si="118"/>
        <v>424680</v>
      </c>
      <c r="K1876">
        <f t="shared" ca="1" si="119"/>
        <v>11</v>
      </c>
      <c r="N1876" t="str">
        <f t="shared" si="116"/>
        <v>Plymouth2Community Equipment ServiceAssistive Technologies and EquipmentCommunity based equipment</v>
      </c>
      <c r="O1876" t="s">
        <v>255</v>
      </c>
      <c r="P1876" t="s">
        <v>976</v>
      </c>
      <c r="Q1876">
        <v>2</v>
      </c>
      <c r="R1876" t="s">
        <v>1881</v>
      </c>
      <c r="S1876" t="s">
        <v>5140</v>
      </c>
      <c r="T1876" t="s">
        <v>800</v>
      </c>
      <c r="U1876" t="s">
        <v>903</v>
      </c>
      <c r="W1876">
        <v>9410</v>
      </c>
      <c r="X1876">
        <v>9410</v>
      </c>
      <c r="Y1876" t="s">
        <v>802</v>
      </c>
      <c r="Z1876" t="s">
        <v>812</v>
      </c>
      <c r="AA1876" t="s">
        <v>1051</v>
      </c>
      <c r="AB1876" t="s">
        <v>1739</v>
      </c>
      <c r="AC1876">
        <v>0.5</v>
      </c>
      <c r="AD1876">
        <v>0.5</v>
      </c>
      <c r="AE1876" t="s">
        <v>804</v>
      </c>
      <c r="AF1876" t="s">
        <v>796</v>
      </c>
      <c r="AG1876" t="s">
        <v>797</v>
      </c>
      <c r="AH1876">
        <v>1240000</v>
      </c>
      <c r="AI1876">
        <v>1240000</v>
      </c>
      <c r="AJ1876">
        <v>2.8000000000000001E-2</v>
      </c>
    </row>
    <row r="1877" spans="1:36" x14ac:dyDescent="0.3">
      <c r="A1877">
        <f>COUNTIF($D$2:D1877,D1877)</f>
        <v>11</v>
      </c>
      <c r="B1877" t="str">
        <f t="shared" si="117"/>
        <v>11Sefton</v>
      </c>
      <c r="C1877" t="s">
        <v>5423</v>
      </c>
      <c r="D1877" t="s">
        <v>277</v>
      </c>
      <c r="E1877">
        <v>37</v>
      </c>
      <c r="F1877" t="s">
        <v>5424</v>
      </c>
      <c r="G1877" t="s">
        <v>800</v>
      </c>
      <c r="H1877" t="s">
        <v>903</v>
      </c>
      <c r="I1877" t="s">
        <v>802</v>
      </c>
      <c r="J1877">
        <f t="shared" ca="1" si="118"/>
        <v>391000</v>
      </c>
      <c r="K1877">
        <f t="shared" ca="1" si="119"/>
        <v>12500</v>
      </c>
      <c r="N1877" t="str">
        <f t="shared" si="116"/>
        <v>Plymouth4Carers servicesCarers ServicesOther</v>
      </c>
      <c r="O1877" t="s">
        <v>255</v>
      </c>
      <c r="P1877" t="s">
        <v>976</v>
      </c>
      <c r="Q1877">
        <v>4</v>
      </c>
      <c r="R1877" t="s">
        <v>3304</v>
      </c>
      <c r="S1877" t="s">
        <v>811</v>
      </c>
      <c r="T1877" t="s">
        <v>811</v>
      </c>
      <c r="U1877" t="s">
        <v>812</v>
      </c>
      <c r="V1877" t="s">
        <v>822</v>
      </c>
      <c r="W1877">
        <v>1067</v>
      </c>
      <c r="X1877">
        <v>1067</v>
      </c>
      <c r="Y1877" t="s">
        <v>813</v>
      </c>
      <c r="Z1877" t="s">
        <v>792</v>
      </c>
      <c r="AB1877" t="s">
        <v>793</v>
      </c>
      <c r="AD1877" t="s">
        <v>794</v>
      </c>
      <c r="AE1877" t="s">
        <v>795</v>
      </c>
      <c r="AF1877" t="s">
        <v>796</v>
      </c>
      <c r="AG1877" t="s">
        <v>797</v>
      </c>
      <c r="AH1877">
        <v>297000</v>
      </c>
      <c r="AI1877">
        <v>297000</v>
      </c>
      <c r="AJ1877">
        <v>6.7000000000000002E-3</v>
      </c>
    </row>
    <row r="1878" spans="1:36" x14ac:dyDescent="0.3">
      <c r="A1878">
        <f>COUNTIF($D$2:D1878,D1878)</f>
        <v>12</v>
      </c>
      <c r="B1878" t="str">
        <f t="shared" si="117"/>
        <v>12Sefton</v>
      </c>
      <c r="C1878" t="s">
        <v>5425</v>
      </c>
      <c r="D1878" t="s">
        <v>277</v>
      </c>
      <c r="E1878">
        <v>39</v>
      </c>
      <c r="F1878" t="s">
        <v>5426</v>
      </c>
      <c r="G1878" t="s">
        <v>800</v>
      </c>
      <c r="H1878" t="s">
        <v>850</v>
      </c>
      <c r="I1878" t="s">
        <v>802</v>
      </c>
      <c r="J1878">
        <f t="shared" ca="1" si="118"/>
        <v>150000</v>
      </c>
      <c r="K1878">
        <f t="shared" ca="1" si="119"/>
        <v>4000</v>
      </c>
      <c r="N1878" t="str">
        <f t="shared" si="116"/>
        <v>Plymouth6Intermediate Dom CareHome Care or Domiciliary CareDomiciliary care to support hospital discharge (Discharge to Assess pathway 1)</v>
      </c>
      <c r="O1878" t="s">
        <v>255</v>
      </c>
      <c r="P1878" t="s">
        <v>976</v>
      </c>
      <c r="Q1878">
        <v>6</v>
      </c>
      <c r="R1878" t="s">
        <v>4974</v>
      </c>
      <c r="S1878" t="s">
        <v>969</v>
      </c>
      <c r="T1878" t="s">
        <v>842</v>
      </c>
      <c r="U1878" t="s">
        <v>856</v>
      </c>
      <c r="W1878">
        <v>22675</v>
      </c>
      <c r="X1878">
        <v>22675</v>
      </c>
      <c r="Y1878" t="s">
        <v>844</v>
      </c>
      <c r="Z1878" t="s">
        <v>792</v>
      </c>
      <c r="AB1878" t="s">
        <v>793</v>
      </c>
      <c r="AD1878" t="s">
        <v>794</v>
      </c>
      <c r="AE1878" t="s">
        <v>804</v>
      </c>
      <c r="AF1878" t="s">
        <v>796</v>
      </c>
      <c r="AG1878" t="s">
        <v>797</v>
      </c>
      <c r="AH1878">
        <v>500000</v>
      </c>
      <c r="AI1878">
        <v>500000</v>
      </c>
      <c r="AJ1878">
        <v>1.1299999999999999E-2</v>
      </c>
    </row>
    <row r="1879" spans="1:36" x14ac:dyDescent="0.3">
      <c r="A1879">
        <f>COUNTIF($D$2:D1879,D1879)</f>
        <v>13</v>
      </c>
      <c r="B1879" t="str">
        <f t="shared" si="117"/>
        <v>13Sefton</v>
      </c>
      <c r="C1879" t="s">
        <v>5427</v>
      </c>
      <c r="D1879" t="s">
        <v>277</v>
      </c>
      <c r="E1879">
        <v>40</v>
      </c>
      <c r="F1879" t="s">
        <v>5428</v>
      </c>
      <c r="G1879" t="s">
        <v>800</v>
      </c>
      <c r="H1879" t="s">
        <v>903</v>
      </c>
      <c r="I1879" t="s">
        <v>802</v>
      </c>
      <c r="J1879">
        <f t="shared" ca="1" si="118"/>
        <v>73000</v>
      </c>
      <c r="K1879">
        <f t="shared" ca="1" si="119"/>
        <v>4000</v>
      </c>
      <c r="N1879" t="str">
        <f t="shared" si="116"/>
        <v xml:space="preserve">Plymouth9Reablement, Rehabilitation, RecoveryHome-based intermediate care servicesReablement at home (to support discharge) </v>
      </c>
      <c r="O1879" t="s">
        <v>255</v>
      </c>
      <c r="P1879" t="s">
        <v>976</v>
      </c>
      <c r="Q1879">
        <v>9</v>
      </c>
      <c r="R1879" t="s">
        <v>4977</v>
      </c>
      <c r="S1879" t="s">
        <v>969</v>
      </c>
      <c r="T1879" t="s">
        <v>787</v>
      </c>
      <c r="U1879" t="s">
        <v>788</v>
      </c>
      <c r="W1879">
        <v>1304</v>
      </c>
      <c r="X1879">
        <v>1304</v>
      </c>
      <c r="Y1879" t="s">
        <v>789</v>
      </c>
      <c r="Z1879" t="s">
        <v>792</v>
      </c>
      <c r="AB1879" t="s">
        <v>793</v>
      </c>
      <c r="AD1879" t="s">
        <v>794</v>
      </c>
      <c r="AE1879" t="s">
        <v>832</v>
      </c>
      <c r="AF1879" t="s">
        <v>796</v>
      </c>
      <c r="AG1879" t="s">
        <v>797</v>
      </c>
      <c r="AH1879">
        <v>1182000</v>
      </c>
      <c r="AI1879">
        <v>1182000</v>
      </c>
      <c r="AJ1879">
        <v>2.6700000000000002E-2</v>
      </c>
    </row>
    <row r="1880" spans="1:36" x14ac:dyDescent="0.3">
      <c r="A1880">
        <f>COUNTIF($D$2:D1880,D1880)</f>
        <v>14</v>
      </c>
      <c r="B1880" t="str">
        <f t="shared" si="117"/>
        <v>14Sefton</v>
      </c>
      <c r="C1880" t="s">
        <v>5429</v>
      </c>
      <c r="D1880" t="s">
        <v>277</v>
      </c>
      <c r="E1880">
        <v>41</v>
      </c>
      <c r="F1880" t="s">
        <v>840</v>
      </c>
      <c r="G1880" t="s">
        <v>834</v>
      </c>
      <c r="H1880" t="s">
        <v>835</v>
      </c>
      <c r="I1880" t="s">
        <v>836</v>
      </c>
      <c r="J1880">
        <f t="shared" ca="1" si="118"/>
        <v>4823370</v>
      </c>
      <c r="K1880">
        <f t="shared" ca="1" si="119"/>
        <v>623</v>
      </c>
      <c r="N1880" t="str">
        <f t="shared" si="116"/>
        <v>Plymouth11Dom Care HealthHome Care or Domiciliary CareDomiciliary care packages</v>
      </c>
      <c r="O1880" t="s">
        <v>255</v>
      </c>
      <c r="P1880" t="s">
        <v>976</v>
      </c>
      <c r="Q1880">
        <v>11</v>
      </c>
      <c r="R1880" t="s">
        <v>4980</v>
      </c>
      <c r="S1880" t="s">
        <v>5430</v>
      </c>
      <c r="T1880" t="s">
        <v>842</v>
      </c>
      <c r="U1880" t="s">
        <v>843</v>
      </c>
      <c r="W1880">
        <v>68000</v>
      </c>
      <c r="X1880">
        <v>68000</v>
      </c>
      <c r="Y1880" t="s">
        <v>844</v>
      </c>
      <c r="Z1880" t="s">
        <v>792</v>
      </c>
      <c r="AB1880" t="s">
        <v>793</v>
      </c>
      <c r="AD1880" t="s">
        <v>794</v>
      </c>
      <c r="AE1880" t="s">
        <v>804</v>
      </c>
      <c r="AF1880" t="s">
        <v>796</v>
      </c>
      <c r="AG1880" t="s">
        <v>797</v>
      </c>
      <c r="AH1880">
        <v>1500000</v>
      </c>
      <c r="AI1880">
        <v>1500000</v>
      </c>
      <c r="AJ1880">
        <v>3.3799999999999997E-2</v>
      </c>
    </row>
    <row r="1881" spans="1:36" x14ac:dyDescent="0.3">
      <c r="A1881">
        <f>COUNTIF($D$2:D1881,D1881)</f>
        <v>15</v>
      </c>
      <c r="B1881" t="str">
        <f t="shared" si="117"/>
        <v>15Sefton</v>
      </c>
      <c r="C1881" t="s">
        <v>5431</v>
      </c>
      <c r="D1881" t="s">
        <v>277</v>
      </c>
      <c r="E1881">
        <v>45</v>
      </c>
      <c r="F1881" t="s">
        <v>5432</v>
      </c>
      <c r="G1881" t="s">
        <v>806</v>
      </c>
      <c r="H1881" t="s">
        <v>873</v>
      </c>
      <c r="I1881" t="s">
        <v>808</v>
      </c>
      <c r="J1881">
        <f t="shared" ca="1" si="118"/>
        <v>927590</v>
      </c>
      <c r="K1881">
        <f t="shared" ca="1" si="119"/>
        <v>14</v>
      </c>
      <c r="N1881" t="str">
        <f t="shared" si="116"/>
        <v>Plymouth13DTA- Intermediate Care BedBed based intermediate Care Services (Reablement, rehabilitation, wider short-term services supporting recovery)Bed-based intermediate care with rehabilitation (to support discharge)</v>
      </c>
      <c r="O1881" t="s">
        <v>255</v>
      </c>
      <c r="P1881" t="s">
        <v>976</v>
      </c>
      <c r="Q1881">
        <v>13</v>
      </c>
      <c r="R1881" t="s">
        <v>4983</v>
      </c>
      <c r="S1881" t="s">
        <v>1183</v>
      </c>
      <c r="T1881" t="s">
        <v>877</v>
      </c>
      <c r="U1881" t="s">
        <v>968</v>
      </c>
      <c r="W1881">
        <v>1708</v>
      </c>
      <c r="X1881">
        <v>1722</v>
      </c>
      <c r="Y1881" t="s">
        <v>879</v>
      </c>
      <c r="Z1881" t="s">
        <v>792</v>
      </c>
      <c r="AB1881" t="s">
        <v>824</v>
      </c>
      <c r="AD1881" t="s">
        <v>794</v>
      </c>
      <c r="AE1881" t="s">
        <v>804</v>
      </c>
      <c r="AF1881" t="s">
        <v>796</v>
      </c>
      <c r="AG1881" t="s">
        <v>797</v>
      </c>
      <c r="AH1881">
        <v>9900000</v>
      </c>
      <c r="AI1881">
        <v>11154647</v>
      </c>
      <c r="AJ1881">
        <v>0.23749999999999999</v>
      </c>
    </row>
    <row r="1882" spans="1:36" x14ac:dyDescent="0.3">
      <c r="A1882">
        <f>COUNTIF($D$2:D1882,D1882)</f>
        <v>16</v>
      </c>
      <c r="B1882" t="str">
        <f t="shared" si="117"/>
        <v>16Sefton</v>
      </c>
      <c r="C1882" t="s">
        <v>5433</v>
      </c>
      <c r="D1882" t="s">
        <v>277</v>
      </c>
      <c r="E1882">
        <v>45</v>
      </c>
      <c r="F1882" t="s">
        <v>5432</v>
      </c>
      <c r="G1882" t="s">
        <v>806</v>
      </c>
      <c r="H1882" t="s">
        <v>854</v>
      </c>
      <c r="I1882" t="s">
        <v>808</v>
      </c>
      <c r="J1882">
        <f t="shared" ca="1" si="118"/>
        <v>3906340</v>
      </c>
      <c r="K1882">
        <f t="shared" ca="1" si="119"/>
        <v>115</v>
      </c>
      <c r="N1882" t="str">
        <f t="shared" si="116"/>
        <v>Plymouth15DTA 1 Increase packages of careHome Care or Domiciliary CareDomiciliary care packages</v>
      </c>
      <c r="O1882" t="s">
        <v>255</v>
      </c>
      <c r="P1882" t="s">
        <v>976</v>
      </c>
      <c r="Q1882">
        <v>15</v>
      </c>
      <c r="R1882" t="s">
        <v>4986</v>
      </c>
      <c r="S1882" t="s">
        <v>4160</v>
      </c>
      <c r="T1882" t="s">
        <v>842</v>
      </c>
      <c r="U1882" t="s">
        <v>843</v>
      </c>
      <c r="W1882">
        <v>10000</v>
      </c>
      <c r="X1882">
        <v>10000</v>
      </c>
      <c r="Y1882" t="s">
        <v>844</v>
      </c>
      <c r="Z1882" t="s">
        <v>823</v>
      </c>
      <c r="AB1882" t="s">
        <v>824</v>
      </c>
      <c r="AD1882" t="s">
        <v>794</v>
      </c>
      <c r="AE1882" t="s">
        <v>804</v>
      </c>
      <c r="AF1882" t="s">
        <v>796</v>
      </c>
      <c r="AG1882" t="s">
        <v>797</v>
      </c>
      <c r="AH1882">
        <v>222000</v>
      </c>
      <c r="AI1882">
        <v>222000</v>
      </c>
      <c r="AJ1882">
        <v>5.0000000000000001E-3</v>
      </c>
    </row>
    <row r="1883" spans="1:36" x14ac:dyDescent="0.3">
      <c r="A1883">
        <f>COUNTIF($D$2:D1883,D1883)</f>
        <v>17</v>
      </c>
      <c r="B1883" t="str">
        <f t="shared" si="117"/>
        <v>17Sefton</v>
      </c>
      <c r="C1883" t="s">
        <v>5434</v>
      </c>
      <c r="D1883" t="s">
        <v>277</v>
      </c>
      <c r="E1883">
        <v>45</v>
      </c>
      <c r="F1883" t="s">
        <v>5432</v>
      </c>
      <c r="G1883" t="s">
        <v>806</v>
      </c>
      <c r="H1883" t="s">
        <v>807</v>
      </c>
      <c r="I1883" t="s">
        <v>808</v>
      </c>
      <c r="J1883">
        <f t="shared" ca="1" si="118"/>
        <v>4003883</v>
      </c>
      <c r="K1883">
        <f t="shared" ca="1" si="119"/>
        <v>119</v>
      </c>
      <c r="N1883" t="str">
        <f t="shared" si="116"/>
        <v>Plymouth20Demand pressuresHome Care or Domiciliary CareDomiciliary care to support hospital discharge (Discharge to Assess pathway 1)</v>
      </c>
      <c r="O1883" t="s">
        <v>255</v>
      </c>
      <c r="P1883" t="s">
        <v>976</v>
      </c>
      <c r="Q1883">
        <v>20</v>
      </c>
      <c r="R1883" t="s">
        <v>4989</v>
      </c>
      <c r="S1883" t="s">
        <v>5430</v>
      </c>
      <c r="T1883" t="s">
        <v>842</v>
      </c>
      <c r="U1883" t="s">
        <v>856</v>
      </c>
      <c r="W1883">
        <v>7490</v>
      </c>
      <c r="X1883">
        <v>7490</v>
      </c>
      <c r="Y1883" t="s">
        <v>844</v>
      </c>
      <c r="Z1883" t="s">
        <v>792</v>
      </c>
      <c r="AB1883" t="s">
        <v>793</v>
      </c>
      <c r="AD1883" t="s">
        <v>794</v>
      </c>
      <c r="AE1883" t="s">
        <v>804</v>
      </c>
      <c r="AF1883" t="s">
        <v>845</v>
      </c>
      <c r="AG1883" t="s">
        <v>797</v>
      </c>
      <c r="AH1883">
        <v>165167</v>
      </c>
      <c r="AI1883">
        <v>165167</v>
      </c>
      <c r="AJ1883">
        <v>3.7000000000000002E-3</v>
      </c>
    </row>
    <row r="1884" spans="1:36" x14ac:dyDescent="0.3">
      <c r="A1884">
        <f>COUNTIF($D$2:D1884,D1884)</f>
        <v>18</v>
      </c>
      <c r="B1884" t="str">
        <f t="shared" si="117"/>
        <v>18Sefton</v>
      </c>
      <c r="C1884" t="s">
        <v>5435</v>
      </c>
      <c r="D1884" t="s">
        <v>277</v>
      </c>
      <c r="E1884">
        <v>45</v>
      </c>
      <c r="F1884" t="s">
        <v>5432</v>
      </c>
      <c r="G1884" t="s">
        <v>806</v>
      </c>
      <c r="H1884" t="s">
        <v>917</v>
      </c>
      <c r="I1884" t="s">
        <v>808</v>
      </c>
      <c r="J1884">
        <f t="shared" ca="1" si="118"/>
        <v>2280050</v>
      </c>
      <c r="K1884">
        <f t="shared" ca="1" si="119"/>
        <v>66</v>
      </c>
      <c r="N1884" t="str">
        <f t="shared" si="116"/>
        <v>Plymouth27Crisis Response Capacity in the CommunityBed based intermediate Care Services (Reablement, rehabilitation, wider short-term services supporting recovery)Bed-based intermediate care with reablement (to support admissions avoidance)</v>
      </c>
      <c r="O1884" t="s">
        <v>255</v>
      </c>
      <c r="P1884" t="s">
        <v>976</v>
      </c>
      <c r="Q1884">
        <v>27</v>
      </c>
      <c r="R1884" t="s">
        <v>4991</v>
      </c>
      <c r="S1884" t="s">
        <v>969</v>
      </c>
      <c r="T1884" t="s">
        <v>877</v>
      </c>
      <c r="U1884" t="s">
        <v>995</v>
      </c>
      <c r="W1884">
        <v>20</v>
      </c>
      <c r="X1884">
        <v>18</v>
      </c>
      <c r="Y1884" t="s">
        <v>879</v>
      </c>
      <c r="Z1884" t="s">
        <v>792</v>
      </c>
      <c r="AB1884" t="s">
        <v>793</v>
      </c>
      <c r="AD1884" t="s">
        <v>794</v>
      </c>
      <c r="AE1884" t="s">
        <v>804</v>
      </c>
      <c r="AF1884" t="s">
        <v>845</v>
      </c>
      <c r="AG1884" t="s">
        <v>797</v>
      </c>
      <c r="AH1884">
        <v>117000</v>
      </c>
      <c r="AI1884">
        <v>117000</v>
      </c>
      <c r="AJ1884">
        <v>2.5999999999999999E-3</v>
      </c>
    </row>
    <row r="1885" spans="1:36" x14ac:dyDescent="0.3">
      <c r="A1885">
        <f>COUNTIF($D$2:D1885,D1885)</f>
        <v>19</v>
      </c>
      <c r="B1885" t="str">
        <f t="shared" si="117"/>
        <v>19Sefton</v>
      </c>
      <c r="C1885" t="s">
        <v>5436</v>
      </c>
      <c r="D1885" t="s">
        <v>277</v>
      </c>
      <c r="E1885">
        <v>45</v>
      </c>
      <c r="F1885" t="s">
        <v>5432</v>
      </c>
      <c r="G1885" t="s">
        <v>842</v>
      </c>
      <c r="H1885" t="s">
        <v>843</v>
      </c>
      <c r="I1885" t="s">
        <v>844</v>
      </c>
      <c r="J1885">
        <f t="shared" ca="1" si="118"/>
        <v>2571250.2999999998</v>
      </c>
      <c r="K1885">
        <f t="shared" ca="1" si="119"/>
        <v>119200</v>
      </c>
      <c r="N1885" t="str">
        <f t="shared" si="116"/>
        <v>Plymouth28Additional Costs of Care and SupportHome Care or Domiciliary CareDomiciliary care packages</v>
      </c>
      <c r="O1885" t="s">
        <v>255</v>
      </c>
      <c r="P1885" t="s">
        <v>976</v>
      </c>
      <c r="Q1885">
        <v>28</v>
      </c>
      <c r="R1885" t="s">
        <v>4993</v>
      </c>
      <c r="S1885" t="s">
        <v>5430</v>
      </c>
      <c r="T1885" t="s">
        <v>842</v>
      </c>
      <c r="U1885" t="s">
        <v>843</v>
      </c>
      <c r="W1885">
        <v>19387</v>
      </c>
      <c r="X1885">
        <v>19387</v>
      </c>
      <c r="Y1885" t="s">
        <v>844</v>
      </c>
      <c r="Z1885" t="s">
        <v>792</v>
      </c>
      <c r="AB1885" t="s">
        <v>793</v>
      </c>
      <c r="AD1885" t="s">
        <v>794</v>
      </c>
      <c r="AE1885" t="s">
        <v>804</v>
      </c>
      <c r="AF1885" t="s">
        <v>845</v>
      </c>
      <c r="AG1885" t="s">
        <v>797</v>
      </c>
      <c r="AH1885">
        <v>427500</v>
      </c>
      <c r="AI1885">
        <v>427500</v>
      </c>
      <c r="AJ1885">
        <v>9.5999999999999992E-3</v>
      </c>
    </row>
    <row r="1886" spans="1:36" x14ac:dyDescent="0.3">
      <c r="A1886">
        <f>COUNTIF($D$2:D1886,D1886)</f>
        <v>20</v>
      </c>
      <c r="B1886" t="str">
        <f t="shared" si="117"/>
        <v>20Sefton</v>
      </c>
      <c r="C1886" t="s">
        <v>5437</v>
      </c>
      <c r="D1886" t="s">
        <v>277</v>
      </c>
      <c r="E1886">
        <v>46</v>
      </c>
      <c r="F1886" t="s">
        <v>5438</v>
      </c>
      <c r="G1886" t="s">
        <v>806</v>
      </c>
      <c r="H1886" t="s">
        <v>854</v>
      </c>
      <c r="I1886" t="s">
        <v>808</v>
      </c>
      <c r="J1886">
        <f t="shared" ca="1" si="118"/>
        <v>2246354</v>
      </c>
      <c r="K1886">
        <f t="shared" ca="1" si="119"/>
        <v>66</v>
      </c>
      <c r="N1886" t="str">
        <f t="shared" si="116"/>
        <v>Plymouth29Additional Reviewing Staff for the Community Equipment ServiceAssistive Technologies and EquipmentAssistive technologies including telecare</v>
      </c>
      <c r="O1886" t="s">
        <v>255</v>
      </c>
      <c r="P1886" t="s">
        <v>976</v>
      </c>
      <c r="Q1886">
        <v>29</v>
      </c>
      <c r="R1886" t="s">
        <v>4995</v>
      </c>
      <c r="S1886" t="s">
        <v>5439</v>
      </c>
      <c r="T1886" t="s">
        <v>800</v>
      </c>
      <c r="U1886" t="s">
        <v>850</v>
      </c>
      <c r="W1886">
        <v>2086</v>
      </c>
      <c r="X1886">
        <v>2086</v>
      </c>
      <c r="Y1886" t="s">
        <v>802</v>
      </c>
      <c r="Z1886" t="s">
        <v>792</v>
      </c>
      <c r="AB1886" t="s">
        <v>793</v>
      </c>
      <c r="AD1886" t="s">
        <v>794</v>
      </c>
      <c r="AE1886" t="s">
        <v>832</v>
      </c>
      <c r="AF1886" t="s">
        <v>845</v>
      </c>
      <c r="AG1886" t="s">
        <v>797</v>
      </c>
      <c r="AH1886">
        <v>275000</v>
      </c>
      <c r="AI1886">
        <v>275000</v>
      </c>
      <c r="AJ1886">
        <v>6.1999999999999998E-3</v>
      </c>
    </row>
    <row r="1887" spans="1:36" x14ac:dyDescent="0.3">
      <c r="A1887">
        <f>COUNTIF($D$2:D1887,D1887)</f>
        <v>21</v>
      </c>
      <c r="B1887" t="str">
        <f t="shared" si="117"/>
        <v>21Sefton</v>
      </c>
      <c r="C1887" t="s">
        <v>5440</v>
      </c>
      <c r="D1887" t="s">
        <v>277</v>
      </c>
      <c r="E1887">
        <v>46</v>
      </c>
      <c r="F1887" t="s">
        <v>5438</v>
      </c>
      <c r="G1887" t="s">
        <v>806</v>
      </c>
      <c r="H1887" t="s">
        <v>807</v>
      </c>
      <c r="I1887" t="s">
        <v>808</v>
      </c>
      <c r="J1887">
        <f t="shared" ca="1" si="118"/>
        <v>2302438</v>
      </c>
      <c r="K1887">
        <f t="shared" ca="1" si="119"/>
        <v>68</v>
      </c>
      <c r="N1887" t="str">
        <f t="shared" si="116"/>
        <v>Plymouth34DTA- Intermediate Care BedBed based intermediate Care Services (Reablement, rehabilitation, wider short-term services supporting recovery)Bed-based intermediate care with rehabilitation (to support discharge)</v>
      </c>
      <c r="O1887" t="s">
        <v>255</v>
      </c>
      <c r="P1887" t="s">
        <v>976</v>
      </c>
      <c r="Q1887">
        <v>34</v>
      </c>
      <c r="R1887" t="s">
        <v>4983</v>
      </c>
      <c r="S1887" t="s">
        <v>1183</v>
      </c>
      <c r="T1887" t="s">
        <v>877</v>
      </c>
      <c r="U1887" t="s">
        <v>968</v>
      </c>
      <c r="W1887">
        <v>217</v>
      </c>
      <c r="X1887">
        <v>217</v>
      </c>
      <c r="Y1887" t="s">
        <v>879</v>
      </c>
      <c r="Z1887" t="s">
        <v>792</v>
      </c>
      <c r="AB1887" t="s">
        <v>824</v>
      </c>
      <c r="AD1887" t="s">
        <v>794</v>
      </c>
      <c r="AE1887" t="s">
        <v>804</v>
      </c>
      <c r="AF1887" t="s">
        <v>796</v>
      </c>
      <c r="AG1887" t="s">
        <v>797</v>
      </c>
      <c r="AH1887">
        <v>1254647</v>
      </c>
      <c r="AI1887">
        <v>1324193</v>
      </c>
      <c r="AJ1887">
        <v>2.9100000000000001E-2</v>
      </c>
    </row>
    <row r="1888" spans="1:36" x14ac:dyDescent="0.3">
      <c r="A1888">
        <f>COUNTIF($D$2:D1888,D1888)</f>
        <v>22</v>
      </c>
      <c r="B1888" t="str">
        <f t="shared" si="117"/>
        <v>22Sefton</v>
      </c>
      <c r="C1888" t="s">
        <v>5441</v>
      </c>
      <c r="D1888" t="s">
        <v>277</v>
      </c>
      <c r="E1888">
        <v>46</v>
      </c>
      <c r="F1888" t="s">
        <v>5438</v>
      </c>
      <c r="G1888" t="s">
        <v>806</v>
      </c>
      <c r="H1888" t="s">
        <v>917</v>
      </c>
      <c r="I1888" t="s">
        <v>808</v>
      </c>
      <c r="J1888">
        <f t="shared" ca="1" si="118"/>
        <v>1311145</v>
      </c>
      <c r="K1888">
        <f t="shared" ca="1" si="119"/>
        <v>38</v>
      </c>
      <c r="N1888" t="str">
        <f t="shared" si="116"/>
        <v>Plymouth36iBCF- LA RSG CarersCarers ServicesOther</v>
      </c>
      <c r="O1888" t="s">
        <v>255</v>
      </c>
      <c r="P1888" t="s">
        <v>976</v>
      </c>
      <c r="Q1888">
        <v>36</v>
      </c>
      <c r="R1888" t="s">
        <v>4998</v>
      </c>
      <c r="S1888" t="s">
        <v>811</v>
      </c>
      <c r="T1888" t="s">
        <v>811</v>
      </c>
      <c r="U1888" t="s">
        <v>812</v>
      </c>
      <c r="V1888" t="s">
        <v>5442</v>
      </c>
      <c r="W1888">
        <v>6289</v>
      </c>
      <c r="X1888">
        <v>6289</v>
      </c>
      <c r="Y1888" t="s">
        <v>813</v>
      </c>
      <c r="Z1888" t="s">
        <v>792</v>
      </c>
      <c r="AB1888" t="s">
        <v>793</v>
      </c>
      <c r="AD1888" t="s">
        <v>794</v>
      </c>
      <c r="AE1888" t="s">
        <v>795</v>
      </c>
      <c r="AF1888" t="s">
        <v>845</v>
      </c>
      <c r="AG1888" t="s">
        <v>797</v>
      </c>
      <c r="AH1888">
        <v>1750000</v>
      </c>
      <c r="AI1888">
        <v>1750000</v>
      </c>
      <c r="AJ1888">
        <v>3.95E-2</v>
      </c>
    </row>
    <row r="1889" spans="1:36" x14ac:dyDescent="0.3">
      <c r="A1889">
        <f>COUNTIF($D$2:D1889,D1889)</f>
        <v>23</v>
      </c>
      <c r="B1889" t="str">
        <f t="shared" si="117"/>
        <v>23Sefton</v>
      </c>
      <c r="C1889" t="s">
        <v>5443</v>
      </c>
      <c r="D1889" t="s">
        <v>277</v>
      </c>
      <c r="E1889">
        <v>46</v>
      </c>
      <c r="F1889" t="s">
        <v>5438</v>
      </c>
      <c r="G1889" t="s">
        <v>842</v>
      </c>
      <c r="H1889" t="s">
        <v>843</v>
      </c>
      <c r="I1889" t="s">
        <v>844</v>
      </c>
      <c r="J1889">
        <f t="shared" ca="1" si="118"/>
        <v>1478615</v>
      </c>
      <c r="K1889">
        <f t="shared" ca="1" si="119"/>
        <v>68550</v>
      </c>
      <c r="N1889" t="str">
        <f t="shared" si="116"/>
        <v>Plymouth40Flexible Homefirst CapacityHome-based intermediate care servicesRehabilitation at home (to support discharge)</v>
      </c>
      <c r="O1889" t="s">
        <v>255</v>
      </c>
      <c r="P1889" t="s">
        <v>976</v>
      </c>
      <c r="Q1889">
        <v>40</v>
      </c>
      <c r="R1889" t="s">
        <v>5000</v>
      </c>
      <c r="S1889" t="s">
        <v>5221</v>
      </c>
      <c r="T1889" t="s">
        <v>787</v>
      </c>
      <c r="U1889" t="s">
        <v>1195</v>
      </c>
      <c r="W1889">
        <v>40</v>
      </c>
      <c r="X1889">
        <v>40</v>
      </c>
      <c r="Y1889" t="s">
        <v>789</v>
      </c>
      <c r="Z1889" t="s">
        <v>823</v>
      </c>
      <c r="AB1889" t="s">
        <v>824</v>
      </c>
      <c r="AD1889" t="s">
        <v>794</v>
      </c>
      <c r="AE1889" t="s">
        <v>832</v>
      </c>
      <c r="AF1889" t="s">
        <v>860</v>
      </c>
      <c r="AG1889" t="s">
        <v>861</v>
      </c>
      <c r="AH1889">
        <v>1028000</v>
      </c>
      <c r="AI1889">
        <v>2203000</v>
      </c>
      <c r="AJ1889">
        <v>0.03</v>
      </c>
    </row>
    <row r="1890" spans="1:36" x14ac:dyDescent="0.3">
      <c r="A1890">
        <f>COUNTIF($D$2:D1890,D1890)</f>
        <v>24</v>
      </c>
      <c r="B1890" t="str">
        <f t="shared" si="117"/>
        <v>24Sefton</v>
      </c>
      <c r="C1890" t="s">
        <v>5444</v>
      </c>
      <c r="D1890" t="s">
        <v>277</v>
      </c>
      <c r="E1890">
        <v>46</v>
      </c>
      <c r="F1890" t="s">
        <v>5438</v>
      </c>
      <c r="G1890" t="s">
        <v>806</v>
      </c>
      <c r="H1890" t="s">
        <v>873</v>
      </c>
      <c r="I1890" t="s">
        <v>808</v>
      </c>
      <c r="J1890">
        <f t="shared" ca="1" si="118"/>
        <v>533417</v>
      </c>
      <c r="K1890">
        <f t="shared" ca="1" si="119"/>
        <v>8</v>
      </c>
      <c r="N1890" t="str">
        <f t="shared" si="116"/>
        <v>Plymouth41Enhanced Rehab CapacityBed based intermediate Care Services (Reablement, rehabilitation, wider short-term services supporting recovery)Bed-based intermediate care with reablement (to support discharge)</v>
      </c>
      <c r="O1890" t="s">
        <v>255</v>
      </c>
      <c r="P1890" t="s">
        <v>976</v>
      </c>
      <c r="Q1890">
        <v>41</v>
      </c>
      <c r="R1890" t="s">
        <v>5002</v>
      </c>
      <c r="S1890" t="s">
        <v>5445</v>
      </c>
      <c r="T1890" t="s">
        <v>877</v>
      </c>
      <c r="U1890" t="s">
        <v>878</v>
      </c>
      <c r="W1890">
        <v>64</v>
      </c>
      <c r="X1890">
        <v>64</v>
      </c>
      <c r="Y1890" t="s">
        <v>879</v>
      </c>
      <c r="Z1890" t="s">
        <v>823</v>
      </c>
      <c r="AB1890" t="s">
        <v>824</v>
      </c>
      <c r="AD1890" t="s">
        <v>794</v>
      </c>
      <c r="AE1890" t="s">
        <v>824</v>
      </c>
      <c r="AF1890" t="s">
        <v>860</v>
      </c>
      <c r="AG1890" t="s">
        <v>861</v>
      </c>
      <c r="AH1890">
        <v>500000</v>
      </c>
      <c r="AI1890">
        <v>500000</v>
      </c>
      <c r="AJ1890">
        <v>1.4999999999999999E-2</v>
      </c>
    </row>
    <row r="1891" spans="1:36" x14ac:dyDescent="0.3">
      <c r="A1891">
        <f>COUNTIF($D$2:D1891,D1891)</f>
        <v>25</v>
      </c>
      <c r="B1891" t="str">
        <f t="shared" si="117"/>
        <v>25Sefton</v>
      </c>
      <c r="C1891" t="s">
        <v>5446</v>
      </c>
      <c r="D1891" t="s">
        <v>277</v>
      </c>
      <c r="E1891">
        <v>49</v>
      </c>
      <c r="F1891" t="s">
        <v>5447</v>
      </c>
      <c r="G1891" t="s">
        <v>842</v>
      </c>
      <c r="H1891" t="s">
        <v>812</v>
      </c>
      <c r="I1891" t="s">
        <v>844</v>
      </c>
      <c r="J1891">
        <f t="shared" ca="1" si="118"/>
        <v>1448000.0000000002</v>
      </c>
      <c r="K1891">
        <f t="shared" ca="1" si="119"/>
        <v>67150</v>
      </c>
      <c r="N1891" t="str">
        <f t="shared" si="116"/>
        <v xml:space="preserve">Plymouth42Discharge HomecareHome-based intermediate care servicesReablement at home (to support discharge) </v>
      </c>
      <c r="O1891" t="s">
        <v>255</v>
      </c>
      <c r="P1891" t="s">
        <v>976</v>
      </c>
      <c r="Q1891">
        <v>42</v>
      </c>
      <c r="R1891" t="s">
        <v>5004</v>
      </c>
      <c r="S1891" t="s">
        <v>5448</v>
      </c>
      <c r="T1891" t="s">
        <v>787</v>
      </c>
      <c r="U1891" t="s">
        <v>788</v>
      </c>
      <c r="W1891">
        <v>312</v>
      </c>
      <c r="X1891">
        <v>312</v>
      </c>
      <c r="Y1891" t="s">
        <v>789</v>
      </c>
      <c r="Z1891" t="s">
        <v>792</v>
      </c>
      <c r="AB1891" t="s">
        <v>793</v>
      </c>
      <c r="AD1891" t="s">
        <v>794</v>
      </c>
      <c r="AE1891" t="s">
        <v>804</v>
      </c>
      <c r="AF1891" t="s">
        <v>864</v>
      </c>
      <c r="AG1891" t="s">
        <v>861</v>
      </c>
      <c r="AH1891">
        <v>1813195</v>
      </c>
      <c r="AI1891">
        <v>3010000</v>
      </c>
      <c r="AJ1891">
        <v>0.05</v>
      </c>
    </row>
    <row r="1892" spans="1:36" x14ac:dyDescent="0.3">
      <c r="A1892">
        <f>COUNTIF($D$2:D1892,D1892)</f>
        <v>26</v>
      </c>
      <c r="B1892" t="str">
        <f t="shared" si="117"/>
        <v>26Sefton</v>
      </c>
      <c r="C1892" t="s">
        <v>5449</v>
      </c>
      <c r="D1892" t="s">
        <v>277</v>
      </c>
      <c r="E1892">
        <v>50</v>
      </c>
      <c r="F1892" t="s">
        <v>5450</v>
      </c>
      <c r="G1892" t="s">
        <v>877</v>
      </c>
      <c r="H1892" t="s">
        <v>878</v>
      </c>
      <c r="I1892" t="s">
        <v>879</v>
      </c>
      <c r="J1892">
        <f t="shared" ca="1" si="118"/>
        <v>1453225</v>
      </c>
      <c r="K1892">
        <f t="shared" ca="1" si="119"/>
        <v>138</v>
      </c>
      <c r="N1892" t="str">
        <f t="shared" si="116"/>
        <v>Portsmouth1CarersCarers ServicesOther</v>
      </c>
      <c r="O1892" t="s">
        <v>257</v>
      </c>
      <c r="P1892" t="s">
        <v>1437</v>
      </c>
      <c r="Q1892">
        <v>1</v>
      </c>
      <c r="R1892" t="s">
        <v>1250</v>
      </c>
      <c r="S1892" t="s">
        <v>1250</v>
      </c>
      <c r="T1892" t="s">
        <v>811</v>
      </c>
      <c r="U1892" t="s">
        <v>812</v>
      </c>
      <c r="V1892" t="s">
        <v>5451</v>
      </c>
      <c r="W1892">
        <v>553</v>
      </c>
      <c r="X1892">
        <v>553</v>
      </c>
      <c r="Y1892" t="s">
        <v>813</v>
      </c>
      <c r="Z1892" t="s">
        <v>792</v>
      </c>
      <c r="AB1892" t="s">
        <v>793</v>
      </c>
      <c r="AD1892" t="s">
        <v>794</v>
      </c>
      <c r="AE1892" t="s">
        <v>795</v>
      </c>
      <c r="AF1892" t="s">
        <v>1029</v>
      </c>
      <c r="AG1892" t="s">
        <v>797</v>
      </c>
      <c r="AH1892">
        <v>1064500</v>
      </c>
      <c r="AI1892">
        <v>1064500</v>
      </c>
      <c r="AJ1892">
        <v>1</v>
      </c>
    </row>
    <row r="1893" spans="1:36" x14ac:dyDescent="0.3">
      <c r="A1893">
        <f>COUNTIF($D$2:D1893,D1893)</f>
        <v>1</v>
      </c>
      <c r="B1893" t="str">
        <f t="shared" si="117"/>
        <v>1Sheffield</v>
      </c>
      <c r="C1893" t="s">
        <v>5452</v>
      </c>
      <c r="D1893" t="s">
        <v>279</v>
      </c>
      <c r="E1893">
        <v>1</v>
      </c>
      <c r="F1893" t="s">
        <v>5453</v>
      </c>
      <c r="G1893" t="s">
        <v>811</v>
      </c>
      <c r="H1893" t="s">
        <v>895</v>
      </c>
      <c r="I1893" t="s">
        <v>813</v>
      </c>
      <c r="J1893">
        <f t="shared" ca="1" si="118"/>
        <v>588200</v>
      </c>
      <c r="K1893">
        <f t="shared" ca="1" si="119"/>
        <v>13740</v>
      </c>
      <c r="N1893" t="str">
        <f t="shared" si="116"/>
        <v>Portsmouth10Disability Facilities GrantDFG Related SchemesOther</v>
      </c>
      <c r="O1893" t="s">
        <v>257</v>
      </c>
      <c r="P1893" t="s">
        <v>1437</v>
      </c>
      <c r="Q1893">
        <v>10</v>
      </c>
      <c r="R1893" t="s">
        <v>5007</v>
      </c>
      <c r="S1893" t="s">
        <v>5007</v>
      </c>
      <c r="T1893" t="s">
        <v>834</v>
      </c>
      <c r="U1893" t="s">
        <v>812</v>
      </c>
      <c r="V1893" t="s">
        <v>840</v>
      </c>
      <c r="W1893">
        <v>191</v>
      </c>
      <c r="X1893">
        <v>191</v>
      </c>
      <c r="Y1893" t="s">
        <v>836</v>
      </c>
      <c r="Z1893" t="s">
        <v>812</v>
      </c>
      <c r="AA1893" t="s">
        <v>840</v>
      </c>
      <c r="AB1893" t="s">
        <v>793</v>
      </c>
      <c r="AD1893" t="s">
        <v>794</v>
      </c>
      <c r="AE1893" t="s">
        <v>795</v>
      </c>
      <c r="AF1893" t="s">
        <v>840</v>
      </c>
      <c r="AG1893" t="s">
        <v>797</v>
      </c>
      <c r="AH1893">
        <v>2059000</v>
      </c>
      <c r="AI1893">
        <v>2059000</v>
      </c>
      <c r="AJ1893">
        <v>1</v>
      </c>
    </row>
    <row r="1894" spans="1:36" x14ac:dyDescent="0.3">
      <c r="A1894">
        <f>COUNTIF($D$2:D1894,D1894)</f>
        <v>2</v>
      </c>
      <c r="B1894" t="str">
        <f t="shared" si="117"/>
        <v>2Sheffield</v>
      </c>
      <c r="C1894" t="s">
        <v>5454</v>
      </c>
      <c r="D1894" t="s">
        <v>279</v>
      </c>
      <c r="E1894">
        <v>17</v>
      </c>
      <c r="F1894" t="s">
        <v>5455</v>
      </c>
      <c r="G1894" t="s">
        <v>877</v>
      </c>
      <c r="H1894" t="s">
        <v>968</v>
      </c>
      <c r="I1894" t="s">
        <v>879</v>
      </c>
      <c r="J1894">
        <f t="shared" ca="1" si="118"/>
        <v>25265625</v>
      </c>
      <c r="K1894">
        <f t="shared" ca="1" si="119"/>
        <v>1536</v>
      </c>
      <c r="N1894" t="str">
        <f t="shared" si="116"/>
        <v>Portsmouth14Jubilee UnitBed based intermediate Care Services (Reablement, rehabilitation, wider short-term services supporting recovery)Other</v>
      </c>
      <c r="O1894" t="s">
        <v>257</v>
      </c>
      <c r="P1894" t="s">
        <v>1437</v>
      </c>
      <c r="Q1894">
        <v>14</v>
      </c>
      <c r="R1894" t="s">
        <v>5009</v>
      </c>
      <c r="S1894" t="s">
        <v>5009</v>
      </c>
      <c r="T1894" t="s">
        <v>877</v>
      </c>
      <c r="U1894" t="s">
        <v>812</v>
      </c>
      <c r="V1894" t="s">
        <v>5456</v>
      </c>
      <c r="W1894">
        <v>540</v>
      </c>
      <c r="X1894">
        <v>540</v>
      </c>
      <c r="Y1894" t="s">
        <v>879</v>
      </c>
      <c r="Z1894" t="s">
        <v>823</v>
      </c>
      <c r="AB1894" t="s">
        <v>824</v>
      </c>
      <c r="AD1894" t="s">
        <v>794</v>
      </c>
      <c r="AE1894" t="s">
        <v>832</v>
      </c>
      <c r="AF1894" t="s">
        <v>1042</v>
      </c>
      <c r="AG1894" t="s">
        <v>797</v>
      </c>
      <c r="AH1894">
        <v>4461007</v>
      </c>
      <c r="AI1894">
        <v>3962836</v>
      </c>
      <c r="AJ1894">
        <v>1</v>
      </c>
    </row>
    <row r="1895" spans="1:36" x14ac:dyDescent="0.3">
      <c r="A1895">
        <f>COUNTIF($D$2:D1895,D1895)</f>
        <v>3</v>
      </c>
      <c r="B1895" t="str">
        <f t="shared" si="117"/>
        <v>3Sheffield</v>
      </c>
      <c r="C1895" t="s">
        <v>5457</v>
      </c>
      <c r="D1895" t="s">
        <v>279</v>
      </c>
      <c r="E1895">
        <v>20</v>
      </c>
      <c r="F1895" t="s">
        <v>5458</v>
      </c>
      <c r="G1895" t="s">
        <v>800</v>
      </c>
      <c r="H1895" t="s">
        <v>903</v>
      </c>
      <c r="I1895" t="s">
        <v>802</v>
      </c>
      <c r="J1895">
        <f t="shared" ca="1" si="118"/>
        <v>2902984</v>
      </c>
      <c r="K1895">
        <f t="shared" ca="1" si="119"/>
        <v>14783</v>
      </c>
      <c r="N1895" t="str">
        <f t="shared" si="116"/>
        <v>Portsmouth15SpinakerBed based intermediate Care Services (Reablement, rehabilitation, wider short-term services supporting recovery)Bed-based intermediate care with rehabilitation (to support discharge)</v>
      </c>
      <c r="O1895" t="s">
        <v>257</v>
      </c>
      <c r="P1895" t="s">
        <v>1437</v>
      </c>
      <c r="Q1895">
        <v>15</v>
      </c>
      <c r="R1895" t="s">
        <v>5011</v>
      </c>
      <c r="S1895" t="s">
        <v>5011</v>
      </c>
      <c r="T1895" t="s">
        <v>877</v>
      </c>
      <c r="U1895" t="s">
        <v>968</v>
      </c>
      <c r="W1895">
        <v>288</v>
      </c>
      <c r="X1895">
        <v>288</v>
      </c>
      <c r="Y1895" t="s">
        <v>879</v>
      </c>
      <c r="Z1895" t="s">
        <v>823</v>
      </c>
      <c r="AB1895" t="s">
        <v>824</v>
      </c>
      <c r="AD1895" t="s">
        <v>794</v>
      </c>
      <c r="AE1895" t="s">
        <v>832</v>
      </c>
      <c r="AF1895" t="s">
        <v>1042</v>
      </c>
      <c r="AG1895" t="s">
        <v>797</v>
      </c>
      <c r="AH1895">
        <v>3092000</v>
      </c>
      <c r="AI1895">
        <v>3092000</v>
      </c>
      <c r="AJ1895">
        <v>1</v>
      </c>
    </row>
    <row r="1896" spans="1:36" x14ac:dyDescent="0.3">
      <c r="A1896">
        <f>COUNTIF($D$2:D1896,D1896)</f>
        <v>4</v>
      </c>
      <c r="B1896" t="str">
        <f t="shared" si="117"/>
        <v>4Sheffield</v>
      </c>
      <c r="C1896" t="s">
        <v>5459</v>
      </c>
      <c r="D1896" t="s">
        <v>279</v>
      </c>
      <c r="E1896">
        <v>21</v>
      </c>
      <c r="F1896" t="s">
        <v>5458</v>
      </c>
      <c r="G1896" t="s">
        <v>800</v>
      </c>
      <c r="H1896" t="s">
        <v>903</v>
      </c>
      <c r="I1896" t="s">
        <v>802</v>
      </c>
      <c r="J1896">
        <f t="shared" ca="1" si="118"/>
        <v>1223400</v>
      </c>
      <c r="K1896">
        <f t="shared" ca="1" si="119"/>
        <v>7615</v>
      </c>
      <c r="N1896" t="str">
        <f t="shared" si="116"/>
        <v>Portsmouth16Portsmouth Rehab and Reablement ServiceHome-based intermediate care servicesRehabilitation at home (to support discharge)</v>
      </c>
      <c r="O1896" t="s">
        <v>257</v>
      </c>
      <c r="P1896" t="s">
        <v>1437</v>
      </c>
      <c r="Q1896">
        <v>16</v>
      </c>
      <c r="R1896" t="s">
        <v>5013</v>
      </c>
      <c r="S1896" t="s">
        <v>5013</v>
      </c>
      <c r="T1896" t="s">
        <v>787</v>
      </c>
      <c r="U1896" t="s">
        <v>1195</v>
      </c>
      <c r="W1896">
        <v>258</v>
      </c>
      <c r="X1896">
        <v>601</v>
      </c>
      <c r="Y1896" t="s">
        <v>789</v>
      </c>
      <c r="Z1896" t="s">
        <v>823</v>
      </c>
      <c r="AB1896" t="s">
        <v>824</v>
      </c>
      <c r="AD1896" t="s">
        <v>794</v>
      </c>
      <c r="AE1896" t="s">
        <v>832</v>
      </c>
      <c r="AF1896" t="s">
        <v>796</v>
      </c>
      <c r="AG1896" t="s">
        <v>797</v>
      </c>
      <c r="AH1896">
        <v>756715</v>
      </c>
      <c r="AI1896">
        <v>1762285</v>
      </c>
      <c r="AJ1896">
        <v>1</v>
      </c>
    </row>
    <row r="1897" spans="1:36" x14ac:dyDescent="0.3">
      <c r="A1897">
        <f>COUNTIF($D$2:D1897,D1897)</f>
        <v>5</v>
      </c>
      <c r="B1897" t="str">
        <f t="shared" si="117"/>
        <v>5Sheffield</v>
      </c>
      <c r="C1897" t="s">
        <v>5460</v>
      </c>
      <c r="D1897" t="s">
        <v>279</v>
      </c>
      <c r="E1897">
        <v>23</v>
      </c>
      <c r="F1897" t="s">
        <v>5461</v>
      </c>
      <c r="G1897" t="s">
        <v>800</v>
      </c>
      <c r="H1897" t="s">
        <v>903</v>
      </c>
      <c r="I1897" t="s">
        <v>802</v>
      </c>
      <c r="J1897">
        <f t="shared" ca="1" si="118"/>
        <v>55268</v>
      </c>
      <c r="K1897">
        <f t="shared" ca="1" si="119"/>
        <v>40</v>
      </c>
      <c r="N1897" t="str">
        <f t="shared" si="116"/>
        <v>Portsmouth17Jubilee Unit Surge bedsBed based intermediate Care Services (Reablement, rehabilitation, wider short-term services supporting recovery)Bed-based intermediate care with rehabilitation (to support discharge)</v>
      </c>
      <c r="O1897" t="s">
        <v>257</v>
      </c>
      <c r="P1897" t="s">
        <v>1437</v>
      </c>
      <c r="Q1897">
        <v>17</v>
      </c>
      <c r="R1897" t="s">
        <v>5015</v>
      </c>
      <c r="S1897" t="s">
        <v>5015</v>
      </c>
      <c r="T1897" t="s">
        <v>877</v>
      </c>
      <c r="U1897" t="s">
        <v>968</v>
      </c>
      <c r="W1897">
        <v>180</v>
      </c>
      <c r="X1897">
        <v>180</v>
      </c>
      <c r="Y1897" t="s">
        <v>879</v>
      </c>
      <c r="Z1897" t="s">
        <v>823</v>
      </c>
      <c r="AB1897" t="s">
        <v>824</v>
      </c>
      <c r="AD1897" t="s">
        <v>794</v>
      </c>
      <c r="AE1897" t="s">
        <v>832</v>
      </c>
      <c r="AF1897" t="s">
        <v>860</v>
      </c>
      <c r="AG1897" t="s">
        <v>861</v>
      </c>
      <c r="AH1897">
        <v>613993</v>
      </c>
      <c r="AI1897">
        <v>1112164</v>
      </c>
      <c r="AJ1897">
        <v>1</v>
      </c>
    </row>
    <row r="1898" spans="1:36" x14ac:dyDescent="0.3">
      <c r="A1898">
        <f>COUNTIF($D$2:D1898,D1898)</f>
        <v>6</v>
      </c>
      <c r="B1898" t="str">
        <f t="shared" si="117"/>
        <v>6Sheffield</v>
      </c>
      <c r="C1898" t="s">
        <v>5462</v>
      </c>
      <c r="D1898" t="s">
        <v>279</v>
      </c>
      <c r="E1898">
        <v>25</v>
      </c>
      <c r="F1898" t="s">
        <v>5463</v>
      </c>
      <c r="G1898" t="s">
        <v>806</v>
      </c>
      <c r="H1898" t="s">
        <v>807</v>
      </c>
      <c r="I1898" t="s">
        <v>808</v>
      </c>
      <c r="J1898">
        <f t="shared" ca="1" si="118"/>
        <v>12327793</v>
      </c>
      <c r="K1898">
        <f t="shared" ca="1" si="119"/>
        <v>1686</v>
      </c>
      <c r="N1898" t="str">
        <f t="shared" si="116"/>
        <v>Portsmouth23Portsmouth Rehab and Reablement ServiceHome-based intermediate care servicesRehabilitation at home (to support discharge)</v>
      </c>
      <c r="O1898" t="s">
        <v>257</v>
      </c>
      <c r="P1898" t="s">
        <v>1437</v>
      </c>
      <c r="Q1898">
        <v>23</v>
      </c>
      <c r="R1898" t="s">
        <v>5013</v>
      </c>
      <c r="S1898" t="s">
        <v>5013</v>
      </c>
      <c r="T1898" t="s">
        <v>787</v>
      </c>
      <c r="U1898" t="s">
        <v>1195</v>
      </c>
      <c r="W1898">
        <v>584</v>
      </c>
      <c r="X1898">
        <v>241</v>
      </c>
      <c r="Y1898" t="s">
        <v>789</v>
      </c>
      <c r="Z1898" t="s">
        <v>823</v>
      </c>
      <c r="AB1898" t="s">
        <v>824</v>
      </c>
      <c r="AD1898" t="s">
        <v>794</v>
      </c>
      <c r="AE1898" t="s">
        <v>832</v>
      </c>
      <c r="AF1898" t="s">
        <v>1042</v>
      </c>
      <c r="AG1898" t="s">
        <v>797</v>
      </c>
      <c r="AH1898">
        <v>1711318</v>
      </c>
      <c r="AI1898">
        <v>705748</v>
      </c>
      <c r="AJ1898">
        <v>1</v>
      </c>
    </row>
    <row r="1899" spans="1:36" x14ac:dyDescent="0.3">
      <c r="A1899">
        <f>COUNTIF($D$2:D1899,D1899)</f>
        <v>7</v>
      </c>
      <c r="B1899" t="str">
        <f t="shared" si="117"/>
        <v>7Sheffield</v>
      </c>
      <c r="C1899" t="s">
        <v>5464</v>
      </c>
      <c r="D1899" t="s">
        <v>279</v>
      </c>
      <c r="E1899">
        <v>26</v>
      </c>
      <c r="F1899" t="s">
        <v>5463</v>
      </c>
      <c r="G1899" t="s">
        <v>806</v>
      </c>
      <c r="H1899" t="s">
        <v>854</v>
      </c>
      <c r="I1899" t="s">
        <v>808</v>
      </c>
      <c r="J1899">
        <f t="shared" ca="1" si="118"/>
        <v>2194422</v>
      </c>
      <c r="K1899">
        <f t="shared" ca="1" si="119"/>
        <v>106</v>
      </c>
      <c r="N1899" t="str">
        <f t="shared" si="116"/>
        <v xml:space="preserve">Reading2ReablementHome-based intermediate care servicesReablement at home (to support discharge) </v>
      </c>
      <c r="O1899" t="s">
        <v>259</v>
      </c>
      <c r="P1899" t="s">
        <v>1437</v>
      </c>
      <c r="Q1899">
        <v>2</v>
      </c>
      <c r="R1899" t="s">
        <v>434</v>
      </c>
      <c r="S1899" t="s">
        <v>5465</v>
      </c>
      <c r="T1899" t="s">
        <v>787</v>
      </c>
      <c r="U1899" t="s">
        <v>788</v>
      </c>
      <c r="W1899">
        <v>784</v>
      </c>
      <c r="X1899">
        <v>800</v>
      </c>
      <c r="Y1899" t="s">
        <v>789</v>
      </c>
      <c r="Z1899" t="s">
        <v>792</v>
      </c>
      <c r="AB1899" t="s">
        <v>793</v>
      </c>
      <c r="AD1899" t="s">
        <v>794</v>
      </c>
      <c r="AE1899" t="s">
        <v>795</v>
      </c>
      <c r="AF1899" t="s">
        <v>796</v>
      </c>
      <c r="AG1899" t="s">
        <v>797</v>
      </c>
      <c r="AH1899">
        <v>1969996</v>
      </c>
      <c r="AI1899">
        <v>2060366.02</v>
      </c>
      <c r="AJ1899">
        <v>0.72</v>
      </c>
    </row>
    <row r="1900" spans="1:36" x14ac:dyDescent="0.3">
      <c r="A1900">
        <f>COUNTIF($D$2:D1900,D1900)</f>
        <v>8</v>
      </c>
      <c r="B1900" t="str">
        <f t="shared" si="117"/>
        <v>8Sheffield</v>
      </c>
      <c r="C1900" t="s">
        <v>5466</v>
      </c>
      <c r="D1900" t="s">
        <v>279</v>
      </c>
      <c r="E1900">
        <v>27</v>
      </c>
      <c r="F1900" t="s">
        <v>5463</v>
      </c>
      <c r="G1900" t="s">
        <v>806</v>
      </c>
      <c r="H1900" t="s">
        <v>854</v>
      </c>
      <c r="I1900" t="s">
        <v>808</v>
      </c>
      <c r="J1900">
        <f t="shared" ca="1" si="118"/>
        <v>14038939</v>
      </c>
      <c r="K1900">
        <f t="shared" ca="1" si="119"/>
        <v>675</v>
      </c>
      <c r="N1900" t="str">
        <f t="shared" si="116"/>
        <v>Reading3Step Down Beds - Discharge to AssessBed based intermediate Care Services (Reablement, rehabilitation, wider short-term services supporting recovery)Bed-based intermediate care with rehabilitation (to support discharge)</v>
      </c>
      <c r="O1900" t="s">
        <v>259</v>
      </c>
      <c r="P1900" t="s">
        <v>1437</v>
      </c>
      <c r="Q1900">
        <v>3</v>
      </c>
      <c r="R1900" t="s">
        <v>5020</v>
      </c>
      <c r="S1900" t="s">
        <v>5020</v>
      </c>
      <c r="T1900" t="s">
        <v>877</v>
      </c>
      <c r="U1900" t="s">
        <v>968</v>
      </c>
      <c r="W1900">
        <v>18</v>
      </c>
      <c r="X1900">
        <v>20</v>
      </c>
      <c r="Y1900" t="s">
        <v>879</v>
      </c>
      <c r="Z1900" t="s">
        <v>792</v>
      </c>
      <c r="AB1900" t="s">
        <v>793</v>
      </c>
      <c r="AD1900" t="s">
        <v>794</v>
      </c>
      <c r="AE1900" t="s">
        <v>795</v>
      </c>
      <c r="AF1900" t="s">
        <v>796</v>
      </c>
      <c r="AG1900" t="s">
        <v>797</v>
      </c>
      <c r="AH1900">
        <v>322691</v>
      </c>
      <c r="AI1900">
        <v>338842</v>
      </c>
      <c r="AJ1900">
        <v>0.5</v>
      </c>
    </row>
    <row r="1901" spans="1:36" x14ac:dyDescent="0.3">
      <c r="A1901">
        <f>COUNTIF($D$2:D1901,D1901)</f>
        <v>9</v>
      </c>
      <c r="B1901" t="str">
        <f t="shared" si="117"/>
        <v>9Sheffield</v>
      </c>
      <c r="C1901" t="s">
        <v>5467</v>
      </c>
      <c r="D1901" t="s">
        <v>279</v>
      </c>
      <c r="E1901">
        <v>28</v>
      </c>
      <c r="F1901" t="s">
        <v>5463</v>
      </c>
      <c r="G1901" t="s">
        <v>842</v>
      </c>
      <c r="H1901" t="s">
        <v>843</v>
      </c>
      <c r="I1901" t="s">
        <v>844</v>
      </c>
      <c r="J1901">
        <f t="shared" ca="1" si="118"/>
        <v>20370231</v>
      </c>
      <c r="K1901">
        <f t="shared" ca="1" si="119"/>
        <v>970000</v>
      </c>
      <c r="N1901" t="str">
        <f t="shared" si="116"/>
        <v>Reading4Step Down Beds - Discharge to Assess (Physiotherapy)Bed based intermediate Care Services (Reablement, rehabilitation, wider short-term services supporting recovery)Bed-based intermediate care with rehabilitation (to support discharge)</v>
      </c>
      <c r="O1901" t="s">
        <v>259</v>
      </c>
      <c r="P1901" t="s">
        <v>1437</v>
      </c>
      <c r="Q1901">
        <v>4</v>
      </c>
      <c r="R1901" t="s">
        <v>5023</v>
      </c>
      <c r="S1901" t="s">
        <v>5020</v>
      </c>
      <c r="T1901" t="s">
        <v>877</v>
      </c>
      <c r="U1901" t="s">
        <v>968</v>
      </c>
      <c r="W1901">
        <v>18</v>
      </c>
      <c r="X1901">
        <v>20</v>
      </c>
      <c r="Y1901" t="s">
        <v>879</v>
      </c>
      <c r="Z1901" t="s">
        <v>792</v>
      </c>
      <c r="AB1901" t="s">
        <v>793</v>
      </c>
      <c r="AD1901" t="s">
        <v>794</v>
      </c>
      <c r="AE1901" t="s">
        <v>795</v>
      </c>
      <c r="AF1901" t="s">
        <v>796</v>
      </c>
      <c r="AG1901" t="s">
        <v>797</v>
      </c>
      <c r="AH1901">
        <v>82744.23</v>
      </c>
      <c r="AI1901">
        <v>87427</v>
      </c>
      <c r="AJ1901">
        <v>0.51</v>
      </c>
    </row>
    <row r="1902" spans="1:36" x14ac:dyDescent="0.3">
      <c r="A1902">
        <f>COUNTIF($D$2:D1902,D1902)</f>
        <v>10</v>
      </c>
      <c r="B1902" t="str">
        <f t="shared" si="117"/>
        <v>10Sheffield</v>
      </c>
      <c r="C1902" t="s">
        <v>5468</v>
      </c>
      <c r="D1902" t="s">
        <v>279</v>
      </c>
      <c r="E1902">
        <v>30</v>
      </c>
      <c r="F1902" t="s">
        <v>5463</v>
      </c>
      <c r="G1902" t="s">
        <v>811</v>
      </c>
      <c r="H1902" t="s">
        <v>830</v>
      </c>
      <c r="I1902" t="s">
        <v>813</v>
      </c>
      <c r="J1902">
        <f t="shared" ca="1" si="118"/>
        <v>299624</v>
      </c>
      <c r="K1902">
        <f t="shared" ca="1" si="119"/>
        <v>359</v>
      </c>
      <c r="N1902" t="str">
        <f t="shared" si="116"/>
        <v>Reading8TEC EquipmentAssistive Technologies and EquipmentAssistive technologies including telecare</v>
      </c>
      <c r="O1902" t="s">
        <v>259</v>
      </c>
      <c r="P1902" t="s">
        <v>1437</v>
      </c>
      <c r="Q1902">
        <v>8</v>
      </c>
      <c r="R1902" t="s">
        <v>5026</v>
      </c>
      <c r="S1902" t="s">
        <v>5469</v>
      </c>
      <c r="T1902" t="s">
        <v>800</v>
      </c>
      <c r="U1902" t="s">
        <v>850</v>
      </c>
      <c r="W1902">
        <v>670</v>
      </c>
      <c r="X1902">
        <v>900</v>
      </c>
      <c r="Y1902" t="s">
        <v>802</v>
      </c>
      <c r="Z1902" t="s">
        <v>823</v>
      </c>
      <c r="AB1902" t="s">
        <v>793</v>
      </c>
      <c r="AD1902" t="s">
        <v>794</v>
      </c>
      <c r="AE1902" t="s">
        <v>804</v>
      </c>
      <c r="AF1902" t="s">
        <v>796</v>
      </c>
      <c r="AG1902" t="s">
        <v>797</v>
      </c>
      <c r="AH1902">
        <v>204500</v>
      </c>
      <c r="AI1902">
        <v>194943</v>
      </c>
      <c r="AJ1902">
        <v>0.26</v>
      </c>
    </row>
    <row r="1903" spans="1:36" x14ac:dyDescent="0.3">
      <c r="A1903">
        <f>COUNTIF($D$2:D1903,D1903)</f>
        <v>11</v>
      </c>
      <c r="B1903" t="str">
        <f t="shared" si="117"/>
        <v>11Sheffield</v>
      </c>
      <c r="C1903" t="s">
        <v>5470</v>
      </c>
      <c r="D1903" t="s">
        <v>279</v>
      </c>
      <c r="E1903">
        <v>31</v>
      </c>
      <c r="F1903" t="s">
        <v>5471</v>
      </c>
      <c r="G1903" t="s">
        <v>806</v>
      </c>
      <c r="H1903" t="s">
        <v>807</v>
      </c>
      <c r="I1903" t="s">
        <v>808</v>
      </c>
      <c r="J1903">
        <f t="shared" ca="1" si="118"/>
        <v>13857734</v>
      </c>
      <c r="K1903">
        <f t="shared" ca="1" si="119"/>
        <v>1221</v>
      </c>
      <c r="N1903" t="str">
        <f t="shared" si="116"/>
        <v>Reading9Carers Funding - Grants, VoluntaryCarers ServicesRespite services</v>
      </c>
      <c r="O1903" t="s">
        <v>259</v>
      </c>
      <c r="P1903" t="s">
        <v>1437</v>
      </c>
      <c r="Q1903">
        <v>9</v>
      </c>
      <c r="R1903" t="s">
        <v>5029</v>
      </c>
      <c r="S1903" t="s">
        <v>811</v>
      </c>
      <c r="T1903" t="s">
        <v>811</v>
      </c>
      <c r="U1903" t="s">
        <v>830</v>
      </c>
      <c r="W1903">
        <v>50</v>
      </c>
      <c r="X1903">
        <v>60</v>
      </c>
      <c r="Y1903" t="s">
        <v>813</v>
      </c>
      <c r="Z1903" t="s">
        <v>792</v>
      </c>
      <c r="AB1903" t="s">
        <v>793</v>
      </c>
      <c r="AD1903" t="s">
        <v>794</v>
      </c>
      <c r="AE1903" t="s">
        <v>825</v>
      </c>
      <c r="AF1903" t="s">
        <v>796</v>
      </c>
      <c r="AG1903" t="s">
        <v>797</v>
      </c>
      <c r="AH1903">
        <v>146000</v>
      </c>
      <c r="AI1903">
        <v>154264</v>
      </c>
      <c r="AJ1903">
        <v>0.59</v>
      </c>
    </row>
    <row r="1904" spans="1:36" x14ac:dyDescent="0.3">
      <c r="A1904">
        <f>COUNTIF($D$2:D1904,D1904)</f>
        <v>12</v>
      </c>
      <c r="B1904" t="str">
        <f t="shared" si="117"/>
        <v>12Sheffield</v>
      </c>
      <c r="C1904" t="s">
        <v>5472</v>
      </c>
      <c r="D1904" t="s">
        <v>279</v>
      </c>
      <c r="E1904">
        <v>32</v>
      </c>
      <c r="F1904" t="s">
        <v>5473</v>
      </c>
      <c r="G1904" t="s">
        <v>842</v>
      </c>
      <c r="H1904" t="s">
        <v>843</v>
      </c>
      <c r="I1904" t="s">
        <v>844</v>
      </c>
      <c r="J1904">
        <f t="shared" ca="1" si="118"/>
        <v>26963000</v>
      </c>
      <c r="K1904">
        <f t="shared" ca="1" si="119"/>
        <v>1985258</v>
      </c>
      <c r="N1904" t="str">
        <f t="shared" si="116"/>
        <v>Reading10Carers Funding - Grants, VoluntaryCarers ServicesRespite services</v>
      </c>
      <c r="O1904" t="s">
        <v>259</v>
      </c>
      <c r="P1904" t="s">
        <v>1437</v>
      </c>
      <c r="Q1904">
        <v>10</v>
      </c>
      <c r="R1904" t="s">
        <v>5029</v>
      </c>
      <c r="S1904" t="s">
        <v>811</v>
      </c>
      <c r="T1904" t="s">
        <v>811</v>
      </c>
      <c r="U1904" t="s">
        <v>830</v>
      </c>
      <c r="W1904">
        <v>180</v>
      </c>
      <c r="X1904">
        <v>200</v>
      </c>
      <c r="Y1904" t="s">
        <v>813</v>
      </c>
      <c r="Z1904" t="s">
        <v>792</v>
      </c>
      <c r="AB1904" t="s">
        <v>793</v>
      </c>
      <c r="AD1904" t="s">
        <v>794</v>
      </c>
      <c r="AE1904" t="s">
        <v>825</v>
      </c>
      <c r="AF1904" t="s">
        <v>1029</v>
      </c>
      <c r="AG1904" t="s">
        <v>797</v>
      </c>
      <c r="AH1904">
        <v>305000</v>
      </c>
      <c r="AI1904">
        <v>305000</v>
      </c>
      <c r="AJ1904">
        <v>0.21</v>
      </c>
    </row>
    <row r="1905" spans="1:36" x14ac:dyDescent="0.3">
      <c r="A1905">
        <f>COUNTIF($D$2:D1905,D1905)</f>
        <v>13</v>
      </c>
      <c r="B1905" t="str">
        <f t="shared" si="117"/>
        <v>13Sheffield</v>
      </c>
      <c r="C1905" t="s">
        <v>5474</v>
      </c>
      <c r="D1905" t="s">
        <v>279</v>
      </c>
      <c r="E1905">
        <v>33</v>
      </c>
      <c r="F1905" t="s">
        <v>5475</v>
      </c>
      <c r="G1905" t="s">
        <v>806</v>
      </c>
      <c r="H1905" t="s">
        <v>854</v>
      </c>
      <c r="I1905" t="s">
        <v>808</v>
      </c>
      <c r="J1905">
        <f t="shared" ca="1" si="118"/>
        <v>8395666</v>
      </c>
      <c r="K1905">
        <f t="shared" ca="1" si="119"/>
        <v>688</v>
      </c>
      <c r="N1905" t="str">
        <f t="shared" si="116"/>
        <v>Reading15Hospital to Home - Extended Settling In Services (Red Cross)Prevention / Early InterventionSocial Prescribing</v>
      </c>
      <c r="O1905" t="s">
        <v>259</v>
      </c>
      <c r="P1905" t="s">
        <v>1437</v>
      </c>
      <c r="Q1905">
        <v>15</v>
      </c>
      <c r="R1905" t="s">
        <v>5033</v>
      </c>
      <c r="S1905" t="s">
        <v>5476</v>
      </c>
      <c r="T1905" t="s">
        <v>2648</v>
      </c>
      <c r="U1905" t="s">
        <v>5034</v>
      </c>
      <c r="W1905">
        <v>64</v>
      </c>
      <c r="X1905">
        <v>70</v>
      </c>
      <c r="Y1905" t="s">
        <v>794</v>
      </c>
      <c r="Z1905" t="s">
        <v>792</v>
      </c>
      <c r="AB1905" t="s">
        <v>793</v>
      </c>
      <c r="AD1905" t="s">
        <v>794</v>
      </c>
      <c r="AE1905" t="s">
        <v>825</v>
      </c>
      <c r="AF1905" t="s">
        <v>796</v>
      </c>
      <c r="AG1905" t="s">
        <v>797</v>
      </c>
      <c r="AH1905">
        <v>10000</v>
      </c>
      <c r="AI1905">
        <v>10566</v>
      </c>
      <c r="AJ1905">
        <v>0.11</v>
      </c>
    </row>
    <row r="1906" spans="1:36" x14ac:dyDescent="0.3">
      <c r="A1906">
        <f>COUNTIF($D$2:D1906,D1906)</f>
        <v>14</v>
      </c>
      <c r="B1906" t="str">
        <f t="shared" si="117"/>
        <v>14Sheffield</v>
      </c>
      <c r="C1906" t="s">
        <v>5477</v>
      </c>
      <c r="D1906" t="s">
        <v>279</v>
      </c>
      <c r="E1906">
        <v>34</v>
      </c>
      <c r="F1906" t="s">
        <v>5475</v>
      </c>
      <c r="G1906" t="s">
        <v>806</v>
      </c>
      <c r="H1906" t="s">
        <v>854</v>
      </c>
      <c r="I1906" t="s">
        <v>808</v>
      </c>
      <c r="J1906">
        <f t="shared" ca="1" si="118"/>
        <v>4196300</v>
      </c>
      <c r="K1906">
        <f t="shared" ca="1" si="119"/>
        <v>228</v>
      </c>
      <c r="N1906" t="str">
        <f t="shared" si="116"/>
        <v>Reading19Out Of Hospital - Community Geriatrician Bed based intermediate Care Services (Reablement, rehabilitation, wider short-term services supporting recovery)Bed-based intermediate care with reablement (to support discharge)</v>
      </c>
      <c r="O1906" t="s">
        <v>259</v>
      </c>
      <c r="P1906" t="s">
        <v>1437</v>
      </c>
      <c r="Q1906">
        <v>19</v>
      </c>
      <c r="R1906" t="s">
        <v>5036</v>
      </c>
      <c r="S1906" t="s">
        <v>5478</v>
      </c>
      <c r="T1906" t="s">
        <v>877</v>
      </c>
      <c r="U1906" t="s">
        <v>878</v>
      </c>
      <c r="W1906">
        <v>1036</v>
      </c>
      <c r="X1906">
        <v>1300</v>
      </c>
      <c r="Y1906" t="s">
        <v>879</v>
      </c>
      <c r="Z1906" t="s">
        <v>823</v>
      </c>
      <c r="AB1906" t="s">
        <v>824</v>
      </c>
      <c r="AD1906" t="s">
        <v>794</v>
      </c>
      <c r="AE1906" t="s">
        <v>832</v>
      </c>
      <c r="AF1906" t="s">
        <v>796</v>
      </c>
      <c r="AG1906" t="s">
        <v>797</v>
      </c>
      <c r="AH1906">
        <v>124369.44</v>
      </c>
      <c r="AI1906">
        <v>131408</v>
      </c>
      <c r="AJ1906">
        <v>0.26</v>
      </c>
    </row>
    <row r="1907" spans="1:36" x14ac:dyDescent="0.3">
      <c r="A1907">
        <f>COUNTIF($D$2:D1907,D1907)</f>
        <v>15</v>
      </c>
      <c r="B1907" t="str">
        <f t="shared" si="117"/>
        <v>15Sheffield</v>
      </c>
      <c r="C1907" t="s">
        <v>5479</v>
      </c>
      <c r="D1907" t="s">
        <v>279</v>
      </c>
      <c r="E1907">
        <v>36</v>
      </c>
      <c r="F1907" t="s">
        <v>5463</v>
      </c>
      <c r="G1907" t="s">
        <v>806</v>
      </c>
      <c r="H1907" t="s">
        <v>807</v>
      </c>
      <c r="I1907" t="s">
        <v>808</v>
      </c>
      <c r="J1907">
        <f t="shared" ca="1" si="118"/>
        <v>51348796</v>
      </c>
      <c r="K1907">
        <f t="shared" ca="1" si="119"/>
        <v>4522</v>
      </c>
      <c r="N1907" t="str">
        <f t="shared" si="116"/>
        <v>Reading20Out Of Hospital - Intermediate Care (including integrated discharge, discharge to assess service)Bed based intermediate Care Services (Reablement, rehabilitation, wider short-term services supporting recovery)Bed-based intermediate care with rehabilitation accepting step up and step down users</v>
      </c>
      <c r="O1907" t="s">
        <v>259</v>
      </c>
      <c r="P1907" t="s">
        <v>1437</v>
      </c>
      <c r="Q1907">
        <v>20</v>
      </c>
      <c r="R1907" t="s">
        <v>5038</v>
      </c>
      <c r="S1907" t="s">
        <v>5480</v>
      </c>
      <c r="T1907" t="s">
        <v>877</v>
      </c>
      <c r="U1907" t="s">
        <v>1015</v>
      </c>
      <c r="W1907">
        <v>784</v>
      </c>
      <c r="X1907">
        <v>800</v>
      </c>
      <c r="Y1907" t="s">
        <v>879</v>
      </c>
      <c r="Z1907" t="s">
        <v>823</v>
      </c>
      <c r="AB1907" t="s">
        <v>824</v>
      </c>
      <c r="AD1907" t="s">
        <v>794</v>
      </c>
      <c r="AE1907" t="s">
        <v>832</v>
      </c>
      <c r="AF1907" t="s">
        <v>796</v>
      </c>
      <c r="AG1907" t="s">
        <v>797</v>
      </c>
      <c r="AH1907">
        <v>1003926.21</v>
      </c>
      <c r="AI1907">
        <v>1060748</v>
      </c>
      <c r="AJ1907">
        <v>0.43</v>
      </c>
    </row>
    <row r="1908" spans="1:36" x14ac:dyDescent="0.3">
      <c r="A1908">
        <f>COUNTIF($D$2:D1908,D1908)</f>
        <v>16</v>
      </c>
      <c r="B1908" t="str">
        <f t="shared" si="117"/>
        <v>16Sheffield</v>
      </c>
      <c r="C1908" t="s">
        <v>5481</v>
      </c>
      <c r="D1908" t="s">
        <v>279</v>
      </c>
      <c r="E1908">
        <v>37</v>
      </c>
      <c r="F1908" t="s">
        <v>5482</v>
      </c>
      <c r="G1908" t="s">
        <v>806</v>
      </c>
      <c r="H1908" t="s">
        <v>873</v>
      </c>
      <c r="I1908" t="s">
        <v>808</v>
      </c>
      <c r="J1908">
        <f t="shared" ca="1" si="118"/>
        <v>336400</v>
      </c>
      <c r="K1908">
        <f t="shared" ca="1" si="119"/>
        <v>89</v>
      </c>
      <c r="N1908" t="str">
        <f t="shared" si="116"/>
        <v>Reading22Out Of Hospital - Intermediate Care night sitting, rapid response, reablement and fallsBed based intermediate Care Services (Reablement, rehabilitation, wider short-term services supporting recovery)Bed-based intermediate care with reablement (to support discharge)</v>
      </c>
      <c r="O1908" t="s">
        <v>259</v>
      </c>
      <c r="P1908" t="s">
        <v>1437</v>
      </c>
      <c r="Q1908">
        <v>22</v>
      </c>
      <c r="R1908" t="s">
        <v>5041</v>
      </c>
      <c r="S1908" t="s">
        <v>5483</v>
      </c>
      <c r="T1908" t="s">
        <v>877</v>
      </c>
      <c r="U1908" t="s">
        <v>878</v>
      </c>
      <c r="W1908">
        <v>1656</v>
      </c>
      <c r="X1908">
        <v>1680</v>
      </c>
      <c r="Y1908" t="s">
        <v>879</v>
      </c>
      <c r="Z1908" t="s">
        <v>823</v>
      </c>
      <c r="AB1908" t="s">
        <v>824</v>
      </c>
      <c r="AD1908" t="s">
        <v>794</v>
      </c>
      <c r="AE1908" t="s">
        <v>832</v>
      </c>
      <c r="AF1908" t="s">
        <v>796</v>
      </c>
      <c r="AG1908" t="s">
        <v>797</v>
      </c>
      <c r="AH1908">
        <v>330795</v>
      </c>
      <c r="AI1908">
        <v>349518</v>
      </c>
      <c r="AJ1908">
        <v>0.21</v>
      </c>
    </row>
    <row r="1909" spans="1:36" x14ac:dyDescent="0.3">
      <c r="A1909">
        <f>COUNTIF($D$2:D1909,D1909)</f>
        <v>17</v>
      </c>
      <c r="B1909" t="str">
        <f t="shared" si="117"/>
        <v>17Sheffield</v>
      </c>
      <c r="C1909" t="s">
        <v>5484</v>
      </c>
      <c r="D1909" t="s">
        <v>279</v>
      </c>
      <c r="E1909">
        <v>38</v>
      </c>
      <c r="F1909" t="s">
        <v>5485</v>
      </c>
      <c r="G1909" t="s">
        <v>811</v>
      </c>
      <c r="H1909" t="s">
        <v>830</v>
      </c>
      <c r="I1909" t="s">
        <v>813</v>
      </c>
      <c r="J1909">
        <f t="shared" ca="1" si="118"/>
        <v>1323600</v>
      </c>
      <c r="K1909">
        <f t="shared" ca="1" si="119"/>
        <v>712</v>
      </c>
      <c r="N1909" t="str">
        <f t="shared" si="116"/>
        <v>Reading24Carers Funding ICBCarers ServicesOther</v>
      </c>
      <c r="O1909" t="s">
        <v>259</v>
      </c>
      <c r="P1909" t="s">
        <v>1437</v>
      </c>
      <c r="Q1909">
        <v>24</v>
      </c>
      <c r="R1909" t="s">
        <v>5044</v>
      </c>
      <c r="S1909" t="s">
        <v>5486</v>
      </c>
      <c r="T1909" t="s">
        <v>811</v>
      </c>
      <c r="U1909" t="s">
        <v>812</v>
      </c>
      <c r="V1909" t="s">
        <v>5487</v>
      </c>
      <c r="W1909">
        <v>72</v>
      </c>
      <c r="X1909">
        <v>80</v>
      </c>
      <c r="Y1909" t="s">
        <v>813</v>
      </c>
      <c r="Z1909" t="s">
        <v>823</v>
      </c>
      <c r="AB1909" t="s">
        <v>824</v>
      </c>
      <c r="AD1909" t="s">
        <v>794</v>
      </c>
      <c r="AE1909" t="s">
        <v>825</v>
      </c>
      <c r="AF1909" t="s">
        <v>796</v>
      </c>
      <c r="AG1909" t="s">
        <v>797</v>
      </c>
      <c r="AH1909">
        <v>113023</v>
      </c>
      <c r="AI1909">
        <v>119420</v>
      </c>
      <c r="AJ1909">
        <v>0.25</v>
      </c>
    </row>
    <row r="1910" spans="1:36" x14ac:dyDescent="0.3">
      <c r="A1910">
        <f>COUNTIF($D$2:D1910,D1910)</f>
        <v>18</v>
      </c>
      <c r="B1910" t="str">
        <f t="shared" si="117"/>
        <v>18Sheffield</v>
      </c>
      <c r="C1910" t="s">
        <v>5488</v>
      </c>
      <c r="D1910" t="s">
        <v>279</v>
      </c>
      <c r="E1910">
        <v>40</v>
      </c>
      <c r="F1910" t="s">
        <v>5489</v>
      </c>
      <c r="G1910" t="s">
        <v>806</v>
      </c>
      <c r="H1910" t="s">
        <v>807</v>
      </c>
      <c r="I1910" t="s">
        <v>808</v>
      </c>
      <c r="J1910">
        <f t="shared" ca="1" si="118"/>
        <v>23250697</v>
      </c>
      <c r="K1910">
        <f t="shared" ca="1" si="119"/>
        <v>1281</v>
      </c>
      <c r="N1910" t="str">
        <f t="shared" si="116"/>
        <v>Reading27Care Homes / RRaTHome-based intermediate care servicesRehabilitation at home (accepting step up and step down users)</v>
      </c>
      <c r="O1910" t="s">
        <v>259</v>
      </c>
      <c r="P1910" t="s">
        <v>1437</v>
      </c>
      <c r="Q1910">
        <v>27</v>
      </c>
      <c r="R1910" t="s">
        <v>5046</v>
      </c>
      <c r="S1910" t="s">
        <v>969</v>
      </c>
      <c r="T1910" t="s">
        <v>787</v>
      </c>
      <c r="U1910" t="s">
        <v>1688</v>
      </c>
      <c r="W1910">
        <v>1712</v>
      </c>
      <c r="X1910">
        <v>1730</v>
      </c>
      <c r="Y1910" t="s">
        <v>789</v>
      </c>
      <c r="Z1910" t="s">
        <v>823</v>
      </c>
      <c r="AB1910" t="s">
        <v>824</v>
      </c>
      <c r="AD1910" t="s">
        <v>794</v>
      </c>
      <c r="AE1910" t="s">
        <v>832</v>
      </c>
      <c r="AF1910" t="s">
        <v>796</v>
      </c>
      <c r="AG1910" t="s">
        <v>797</v>
      </c>
      <c r="AH1910">
        <v>620562</v>
      </c>
      <c r="AI1910">
        <v>655686</v>
      </c>
      <c r="AJ1910">
        <v>0.45</v>
      </c>
    </row>
    <row r="1911" spans="1:36" x14ac:dyDescent="0.3">
      <c r="A1911">
        <f>COUNTIF($D$2:D1911,D1911)</f>
        <v>19</v>
      </c>
      <c r="B1911" t="str">
        <f t="shared" si="117"/>
        <v>19Sheffield</v>
      </c>
      <c r="C1911" t="s">
        <v>5490</v>
      </c>
      <c r="D1911" t="s">
        <v>279</v>
      </c>
      <c r="E1911">
        <v>41</v>
      </c>
      <c r="F1911" t="s">
        <v>5489</v>
      </c>
      <c r="G1911" t="s">
        <v>842</v>
      </c>
      <c r="H1911" t="s">
        <v>843</v>
      </c>
      <c r="I1911" t="s">
        <v>844</v>
      </c>
      <c r="J1911">
        <f t="shared" ca="1" si="118"/>
        <v>3230882</v>
      </c>
      <c r="K1911">
        <f t="shared" ca="1" si="119"/>
        <v>153850</v>
      </c>
      <c r="N1911" t="str">
        <f t="shared" si="116"/>
        <v>Reading28Discharge to Assess BedsBed based intermediate Care Services (Reablement, rehabilitation, wider short-term services supporting recovery)Bed-based intermediate care with rehabilitation (to support discharge)</v>
      </c>
      <c r="O1911" t="s">
        <v>259</v>
      </c>
      <c r="P1911" t="s">
        <v>1437</v>
      </c>
      <c r="Q1911">
        <v>28</v>
      </c>
      <c r="R1911" t="s">
        <v>1646</v>
      </c>
      <c r="S1911" t="s">
        <v>677</v>
      </c>
      <c r="T1911" t="s">
        <v>877</v>
      </c>
      <c r="U1911" t="s">
        <v>968</v>
      </c>
      <c r="W1911">
        <v>18</v>
      </c>
      <c r="X1911">
        <v>20</v>
      </c>
      <c r="Y1911" t="s">
        <v>879</v>
      </c>
      <c r="Z1911" t="s">
        <v>792</v>
      </c>
      <c r="AB1911" t="s">
        <v>793</v>
      </c>
      <c r="AD1911" t="s">
        <v>794</v>
      </c>
      <c r="AE1911" t="s">
        <v>795</v>
      </c>
      <c r="AF1911" t="s">
        <v>864</v>
      </c>
      <c r="AG1911" t="s">
        <v>797</v>
      </c>
      <c r="AH1911">
        <v>270400</v>
      </c>
      <c r="AI1911">
        <v>448864.12</v>
      </c>
      <c r="AJ1911">
        <v>1</v>
      </c>
    </row>
    <row r="1912" spans="1:36" x14ac:dyDescent="0.3">
      <c r="A1912">
        <f>COUNTIF($D$2:D1912,D1912)</f>
        <v>20</v>
      </c>
      <c r="B1912" t="str">
        <f t="shared" si="117"/>
        <v>20Sheffield</v>
      </c>
      <c r="C1912" t="s">
        <v>5491</v>
      </c>
      <c r="D1912" t="s">
        <v>279</v>
      </c>
      <c r="E1912">
        <v>43</v>
      </c>
      <c r="F1912" t="s">
        <v>5492</v>
      </c>
      <c r="G1912" t="s">
        <v>811</v>
      </c>
      <c r="H1912" t="s">
        <v>895</v>
      </c>
      <c r="I1912" t="s">
        <v>813</v>
      </c>
      <c r="J1912">
        <f t="shared" ca="1" si="118"/>
        <v>174169</v>
      </c>
      <c r="K1912">
        <f t="shared" ca="1" si="119"/>
        <v>276</v>
      </c>
      <c r="N1912" t="str">
        <f t="shared" si="116"/>
        <v>Reading29Hospital to Home Service (Extended)Personalised Care at HomePhysical health/wellbeing</v>
      </c>
      <c r="O1912" t="s">
        <v>259</v>
      </c>
      <c r="P1912" t="s">
        <v>1437</v>
      </c>
      <c r="Q1912">
        <v>29</v>
      </c>
      <c r="R1912" t="s">
        <v>5051</v>
      </c>
      <c r="S1912" t="s">
        <v>5493</v>
      </c>
      <c r="T1912" t="s">
        <v>4160</v>
      </c>
      <c r="U1912" t="s">
        <v>5052</v>
      </c>
      <c r="W1912">
        <v>240</v>
      </c>
      <c r="X1912">
        <v>240</v>
      </c>
      <c r="Y1912" t="s">
        <v>794</v>
      </c>
      <c r="Z1912" t="s">
        <v>792</v>
      </c>
      <c r="AB1912" t="s">
        <v>793</v>
      </c>
      <c r="AD1912" t="s">
        <v>794</v>
      </c>
      <c r="AE1912" t="s">
        <v>825</v>
      </c>
      <c r="AF1912" t="s">
        <v>864</v>
      </c>
      <c r="AG1912" t="s">
        <v>797</v>
      </c>
      <c r="AH1912">
        <v>37982</v>
      </c>
      <c r="AI1912">
        <v>63050</v>
      </c>
      <c r="AJ1912">
        <v>1</v>
      </c>
    </row>
    <row r="1913" spans="1:36" x14ac:dyDescent="0.3">
      <c r="A1913">
        <f>COUNTIF($D$2:D1913,D1913)</f>
        <v>21</v>
      </c>
      <c r="B1913" t="str">
        <f t="shared" si="117"/>
        <v>21Sheffield</v>
      </c>
      <c r="C1913" t="s">
        <v>5494</v>
      </c>
      <c r="D1913" t="s">
        <v>279</v>
      </c>
      <c r="E1913">
        <v>45</v>
      </c>
      <c r="F1913" t="s">
        <v>5495</v>
      </c>
      <c r="G1913" t="s">
        <v>806</v>
      </c>
      <c r="H1913" t="s">
        <v>807</v>
      </c>
      <c r="I1913" t="s">
        <v>808</v>
      </c>
      <c r="J1913">
        <f t="shared" ca="1" si="118"/>
        <v>5309098</v>
      </c>
      <c r="K1913">
        <f t="shared" ca="1" si="119"/>
        <v>101</v>
      </c>
      <c r="N1913" t="str">
        <f t="shared" si="116"/>
        <v>Reading30TEC Hospital DischargeAssistive Technologies and EquipmentAssistive technologies including telecare</v>
      </c>
      <c r="O1913" t="s">
        <v>259</v>
      </c>
      <c r="P1913" t="s">
        <v>1437</v>
      </c>
      <c r="Q1913">
        <v>30</v>
      </c>
      <c r="R1913" t="s">
        <v>5055</v>
      </c>
      <c r="S1913" t="s">
        <v>5496</v>
      </c>
      <c r="T1913" t="s">
        <v>800</v>
      </c>
      <c r="U1913" t="s">
        <v>850</v>
      </c>
      <c r="W1913">
        <v>700</v>
      </c>
      <c r="X1913">
        <v>900</v>
      </c>
      <c r="Y1913" t="s">
        <v>802</v>
      </c>
      <c r="Z1913" t="s">
        <v>792</v>
      </c>
      <c r="AB1913" t="s">
        <v>793</v>
      </c>
      <c r="AD1913" t="s">
        <v>794</v>
      </c>
      <c r="AE1913" t="s">
        <v>795</v>
      </c>
      <c r="AF1913" t="s">
        <v>860</v>
      </c>
      <c r="AG1913" t="s">
        <v>797</v>
      </c>
      <c r="AH1913">
        <v>100000</v>
      </c>
      <c r="AI1913">
        <v>176708.71</v>
      </c>
      <c r="AJ1913">
        <v>1</v>
      </c>
    </row>
    <row r="1914" spans="1:36" x14ac:dyDescent="0.3">
      <c r="A1914">
        <f>COUNTIF($D$2:D1914,D1914)</f>
        <v>22</v>
      </c>
      <c r="B1914" t="str">
        <f t="shared" si="117"/>
        <v>22Sheffield</v>
      </c>
      <c r="C1914" t="s">
        <v>5497</v>
      </c>
      <c r="D1914" t="s">
        <v>279</v>
      </c>
      <c r="E1914">
        <v>47</v>
      </c>
      <c r="F1914" t="s">
        <v>5489</v>
      </c>
      <c r="G1914" t="s">
        <v>806</v>
      </c>
      <c r="H1914" t="s">
        <v>807</v>
      </c>
      <c r="I1914" t="s">
        <v>808</v>
      </c>
      <c r="J1914">
        <f t="shared" ca="1" si="118"/>
        <v>10739631</v>
      </c>
      <c r="K1914">
        <f t="shared" ca="1" si="119"/>
        <v>1148</v>
      </c>
      <c r="N1914" t="str">
        <f t="shared" si="116"/>
        <v>Reading31Home Care Hours to support DischargeHome Care or Domiciliary CareDomiciliary care to support hospital discharge (Discharge to Assess pathway 1)</v>
      </c>
      <c r="O1914" t="s">
        <v>259</v>
      </c>
      <c r="P1914" t="s">
        <v>1437</v>
      </c>
      <c r="Q1914">
        <v>31</v>
      </c>
      <c r="R1914" t="s">
        <v>5058</v>
      </c>
      <c r="S1914" t="s">
        <v>5058</v>
      </c>
      <c r="T1914" t="s">
        <v>842</v>
      </c>
      <c r="U1914" t="s">
        <v>856</v>
      </c>
      <c r="W1914">
        <v>14768</v>
      </c>
      <c r="X1914">
        <v>14768</v>
      </c>
      <c r="Y1914" t="s">
        <v>844</v>
      </c>
      <c r="Z1914" t="s">
        <v>792</v>
      </c>
      <c r="AB1914" t="s">
        <v>793</v>
      </c>
      <c r="AD1914" t="s">
        <v>794</v>
      </c>
      <c r="AE1914" t="s">
        <v>804</v>
      </c>
      <c r="AF1914" t="s">
        <v>860</v>
      </c>
      <c r="AG1914" t="s">
        <v>797</v>
      </c>
      <c r="AH1914">
        <v>150000</v>
      </c>
      <c r="AI1914">
        <v>265063.06</v>
      </c>
      <c r="AJ1914">
        <v>1</v>
      </c>
    </row>
    <row r="1915" spans="1:36" x14ac:dyDescent="0.3">
      <c r="A1915">
        <f>COUNTIF($D$2:D1915,D1915)</f>
        <v>23</v>
      </c>
      <c r="B1915" t="str">
        <f t="shared" si="117"/>
        <v>23Sheffield</v>
      </c>
      <c r="C1915" t="s">
        <v>5498</v>
      </c>
      <c r="D1915" t="s">
        <v>279</v>
      </c>
      <c r="E1915">
        <v>48</v>
      </c>
      <c r="F1915" t="s">
        <v>5492</v>
      </c>
      <c r="G1915" t="s">
        <v>811</v>
      </c>
      <c r="H1915" t="s">
        <v>895</v>
      </c>
      <c r="I1915" t="s">
        <v>813</v>
      </c>
      <c r="J1915">
        <f t="shared" ca="1" si="118"/>
        <v>174169</v>
      </c>
      <c r="K1915">
        <f t="shared" ca="1" si="119"/>
        <v>276</v>
      </c>
      <c r="N1915" t="str">
        <f t="shared" si="116"/>
        <v>Reading35Hospital / CRT Delivering extended hours / Bank holidaysHome-based intermediate care servicesRehabilitation at home (to support discharge)</v>
      </c>
      <c r="O1915" t="s">
        <v>259</v>
      </c>
      <c r="P1915" t="s">
        <v>1437</v>
      </c>
      <c r="Q1915">
        <v>35</v>
      </c>
      <c r="R1915" t="s">
        <v>5061</v>
      </c>
      <c r="S1915" t="s">
        <v>5061</v>
      </c>
      <c r="T1915" t="s">
        <v>787</v>
      </c>
      <c r="U1915" t="s">
        <v>1195</v>
      </c>
      <c r="W1915">
        <v>100</v>
      </c>
      <c r="X1915">
        <v>100</v>
      </c>
      <c r="Y1915" t="s">
        <v>789</v>
      </c>
      <c r="Z1915" t="s">
        <v>792</v>
      </c>
      <c r="AB1915" t="s">
        <v>793</v>
      </c>
      <c r="AD1915" t="s">
        <v>794</v>
      </c>
      <c r="AE1915" t="s">
        <v>795</v>
      </c>
      <c r="AF1915" t="s">
        <v>864</v>
      </c>
      <c r="AG1915" t="s">
        <v>797</v>
      </c>
      <c r="AH1915">
        <v>40000</v>
      </c>
      <c r="AI1915">
        <v>66400.490000000005</v>
      </c>
      <c r="AJ1915">
        <v>1</v>
      </c>
    </row>
    <row r="1916" spans="1:36" x14ac:dyDescent="0.3">
      <c r="A1916">
        <f>COUNTIF($D$2:D1916,D1916)</f>
        <v>24</v>
      </c>
      <c r="B1916" t="str">
        <f t="shared" si="117"/>
        <v>24Sheffield</v>
      </c>
      <c r="C1916" t="s">
        <v>5499</v>
      </c>
      <c r="D1916" t="s">
        <v>279</v>
      </c>
      <c r="E1916">
        <v>50</v>
      </c>
      <c r="F1916" t="s">
        <v>5500</v>
      </c>
      <c r="G1916" t="s">
        <v>834</v>
      </c>
      <c r="H1916" t="s">
        <v>835</v>
      </c>
      <c r="I1916" t="s">
        <v>836</v>
      </c>
      <c r="J1916">
        <f t="shared" ca="1" si="118"/>
        <v>3909476</v>
      </c>
      <c r="K1916">
        <f t="shared" ca="1" si="119"/>
        <v>390</v>
      </c>
      <c r="N1916" t="str">
        <f t="shared" si="116"/>
        <v>Reading36Complex cases - High Cost Placement (including MH)Residential PlacementsCare home</v>
      </c>
      <c r="O1916" t="s">
        <v>259</v>
      </c>
      <c r="P1916" t="s">
        <v>1437</v>
      </c>
      <c r="Q1916">
        <v>36</v>
      </c>
      <c r="R1916" t="s">
        <v>5064</v>
      </c>
      <c r="S1916" t="s">
        <v>5064</v>
      </c>
      <c r="T1916" t="s">
        <v>806</v>
      </c>
      <c r="U1916" t="s">
        <v>807</v>
      </c>
      <c r="W1916">
        <v>20</v>
      </c>
      <c r="X1916">
        <v>20</v>
      </c>
      <c r="Y1916" t="s">
        <v>808</v>
      </c>
      <c r="Z1916" t="s">
        <v>792</v>
      </c>
      <c r="AB1916" t="s">
        <v>793</v>
      </c>
      <c r="AD1916" t="s">
        <v>794</v>
      </c>
      <c r="AE1916" t="s">
        <v>795</v>
      </c>
      <c r="AF1916" t="s">
        <v>860</v>
      </c>
      <c r="AG1916" t="s">
        <v>797</v>
      </c>
      <c r="AH1916">
        <v>249925</v>
      </c>
      <c r="AI1916">
        <v>441639.24</v>
      </c>
      <c r="AJ1916">
        <v>1</v>
      </c>
    </row>
    <row r="1917" spans="1:36" x14ac:dyDescent="0.3">
      <c r="A1917">
        <f>COUNTIF($D$2:D1917,D1917)</f>
        <v>25</v>
      </c>
      <c r="B1917" t="str">
        <f t="shared" si="117"/>
        <v>25Sheffield</v>
      </c>
      <c r="C1917" t="s">
        <v>5501</v>
      </c>
      <c r="D1917" t="s">
        <v>279</v>
      </c>
      <c r="E1917">
        <v>51</v>
      </c>
      <c r="F1917" t="s">
        <v>5500</v>
      </c>
      <c r="G1917" t="s">
        <v>834</v>
      </c>
      <c r="H1917" t="s">
        <v>835</v>
      </c>
      <c r="I1917" t="s">
        <v>836</v>
      </c>
      <c r="J1917">
        <f t="shared" ca="1" si="118"/>
        <v>524449</v>
      </c>
      <c r="K1917">
        <f t="shared" ca="1" si="119"/>
        <v>8</v>
      </c>
      <c r="N1917" t="str">
        <f t="shared" si="116"/>
        <v xml:space="preserve">Reading41iBCFHome-based intermediate care servicesReablement at home (to support discharge) </v>
      </c>
      <c r="O1917" t="s">
        <v>259</v>
      </c>
      <c r="P1917" t="s">
        <v>1437</v>
      </c>
      <c r="Q1917">
        <v>41</v>
      </c>
      <c r="R1917" t="s">
        <v>845</v>
      </c>
      <c r="S1917" t="s">
        <v>5502</v>
      </c>
      <c r="T1917" t="s">
        <v>787</v>
      </c>
      <c r="U1917" t="s">
        <v>788</v>
      </c>
      <c r="W1917">
        <v>800</v>
      </c>
      <c r="X1917">
        <v>800</v>
      </c>
      <c r="Y1917" t="s">
        <v>789</v>
      </c>
      <c r="Z1917" t="s">
        <v>792</v>
      </c>
      <c r="AB1917" t="s">
        <v>793</v>
      </c>
      <c r="AD1917" t="s">
        <v>794</v>
      </c>
      <c r="AE1917" t="s">
        <v>804</v>
      </c>
      <c r="AF1917" t="s">
        <v>845</v>
      </c>
      <c r="AG1917" t="s">
        <v>797</v>
      </c>
      <c r="AH1917">
        <v>2692624</v>
      </c>
      <c r="AI1917">
        <v>2692624</v>
      </c>
      <c r="AJ1917">
        <v>1</v>
      </c>
    </row>
    <row r="1918" spans="1:36" x14ac:dyDescent="0.3">
      <c r="A1918">
        <f>COUNTIF($D$2:D1918,D1918)</f>
        <v>26</v>
      </c>
      <c r="B1918" t="str">
        <f t="shared" si="117"/>
        <v>26Sheffield</v>
      </c>
      <c r="C1918" t="s">
        <v>5503</v>
      </c>
      <c r="D1918" t="s">
        <v>279</v>
      </c>
      <c r="E1918">
        <v>52</v>
      </c>
      <c r="F1918" t="s">
        <v>5500</v>
      </c>
      <c r="G1918" t="s">
        <v>834</v>
      </c>
      <c r="H1918" t="s">
        <v>1293</v>
      </c>
      <c r="I1918" t="s">
        <v>836</v>
      </c>
      <c r="J1918">
        <f t="shared" ca="1" si="118"/>
        <v>674395</v>
      </c>
      <c r="K1918">
        <f t="shared" ca="1" si="119"/>
        <v>153</v>
      </c>
      <c r="N1918" t="str">
        <f t="shared" si="116"/>
        <v>Reading42DFGDFG Related SchemesAdaptations, including statutory DFG grants</v>
      </c>
      <c r="O1918" t="s">
        <v>259</v>
      </c>
      <c r="P1918" t="s">
        <v>1437</v>
      </c>
      <c r="Q1918">
        <v>42</v>
      </c>
      <c r="R1918" t="s">
        <v>840</v>
      </c>
      <c r="S1918" t="s">
        <v>5504</v>
      </c>
      <c r="T1918" t="s">
        <v>834</v>
      </c>
      <c r="U1918" t="s">
        <v>835</v>
      </c>
      <c r="W1918">
        <v>48</v>
      </c>
      <c r="X1918">
        <v>48</v>
      </c>
      <c r="Y1918" t="s">
        <v>836</v>
      </c>
      <c r="Z1918" t="s">
        <v>792</v>
      </c>
      <c r="AB1918" t="s">
        <v>793</v>
      </c>
      <c r="AD1918" t="s">
        <v>794</v>
      </c>
      <c r="AE1918" t="s">
        <v>804</v>
      </c>
      <c r="AF1918" t="s">
        <v>840</v>
      </c>
      <c r="AG1918" t="s">
        <v>797</v>
      </c>
      <c r="AH1918">
        <v>1197341</v>
      </c>
      <c r="AI1918">
        <v>1197341</v>
      </c>
      <c r="AJ1918">
        <v>1</v>
      </c>
    </row>
    <row r="1919" spans="1:36" x14ac:dyDescent="0.3">
      <c r="A1919">
        <f>COUNTIF($D$2:D1919,D1919)</f>
        <v>27</v>
      </c>
      <c r="B1919" t="str">
        <f t="shared" si="117"/>
        <v>27Sheffield</v>
      </c>
      <c r="C1919" t="s">
        <v>5505</v>
      </c>
      <c r="D1919" t="s">
        <v>279</v>
      </c>
      <c r="E1919">
        <v>53</v>
      </c>
      <c r="F1919" t="s">
        <v>5506</v>
      </c>
      <c r="G1919" t="s">
        <v>834</v>
      </c>
      <c r="H1919" t="s">
        <v>835</v>
      </c>
      <c r="I1919" t="s">
        <v>836</v>
      </c>
      <c r="J1919">
        <f t="shared" ca="1" si="118"/>
        <v>1091680</v>
      </c>
      <c r="K1919">
        <f t="shared" ca="1" si="119"/>
        <v>98</v>
      </c>
      <c r="N1919" t="str">
        <f t="shared" si="116"/>
        <v xml:space="preserve">Reading44BHFT Re-ablement ContractHome-based intermediate care servicesJoint reablement and rehabilitation service (to support discharge) </v>
      </c>
      <c r="O1919" t="s">
        <v>259</v>
      </c>
      <c r="P1919" t="s">
        <v>1437</v>
      </c>
      <c r="Q1919">
        <v>44</v>
      </c>
      <c r="R1919" t="s">
        <v>5072</v>
      </c>
      <c r="S1919" t="s">
        <v>5465</v>
      </c>
      <c r="T1919" t="s">
        <v>787</v>
      </c>
      <c r="U1919" t="s">
        <v>1551</v>
      </c>
      <c r="W1919">
        <v>1712</v>
      </c>
      <c r="X1919">
        <v>1809</v>
      </c>
      <c r="Y1919" t="s">
        <v>789</v>
      </c>
      <c r="Z1919" t="s">
        <v>823</v>
      </c>
      <c r="AB1919" t="s">
        <v>824</v>
      </c>
      <c r="AD1919" t="s">
        <v>794</v>
      </c>
      <c r="AE1919" t="s">
        <v>832</v>
      </c>
      <c r="AF1919" t="s">
        <v>796</v>
      </c>
      <c r="AG1919" t="s">
        <v>797</v>
      </c>
      <c r="AH1919">
        <v>1055212</v>
      </c>
      <c r="AI1919">
        <v>1114937</v>
      </c>
      <c r="AJ1919">
        <v>0.36</v>
      </c>
    </row>
    <row r="1920" spans="1:36" x14ac:dyDescent="0.3">
      <c r="A1920">
        <f>COUNTIF($D$2:D1920,D1920)</f>
        <v>28</v>
      </c>
      <c r="B1920" t="str">
        <f t="shared" si="117"/>
        <v>28Sheffield</v>
      </c>
      <c r="C1920" t="s">
        <v>5507</v>
      </c>
      <c r="D1920" t="s">
        <v>279</v>
      </c>
      <c r="E1920">
        <v>56</v>
      </c>
      <c r="F1920" t="s">
        <v>5508</v>
      </c>
      <c r="G1920" t="s">
        <v>800</v>
      </c>
      <c r="H1920" t="s">
        <v>850</v>
      </c>
      <c r="I1920" t="s">
        <v>802</v>
      </c>
      <c r="J1920">
        <f t="shared" ca="1" si="118"/>
        <v>300000</v>
      </c>
      <c r="K1920">
        <f t="shared" ca="1" si="119"/>
        <v>290</v>
      </c>
      <c r="N1920" t="str">
        <f t="shared" si="116"/>
        <v>Redbridge3Provide the right care in the right place at the right time.Home-based intermediate care servicesReablement at home (accepting step up and step down users)</v>
      </c>
      <c r="O1920" t="s">
        <v>261</v>
      </c>
      <c r="P1920" t="s">
        <v>790</v>
      </c>
      <c r="Q1920">
        <v>3</v>
      </c>
      <c r="R1920" t="s">
        <v>5076</v>
      </c>
      <c r="S1920" t="s">
        <v>5509</v>
      </c>
      <c r="T1920" t="s">
        <v>787</v>
      </c>
      <c r="U1920" t="s">
        <v>930</v>
      </c>
      <c r="W1920">
        <v>866</v>
      </c>
      <c r="X1920">
        <v>866</v>
      </c>
      <c r="Y1920" t="s">
        <v>789</v>
      </c>
      <c r="Z1920" t="s">
        <v>792</v>
      </c>
      <c r="AB1920" t="s">
        <v>793</v>
      </c>
      <c r="AD1920" t="s">
        <v>794</v>
      </c>
      <c r="AE1920" t="s">
        <v>832</v>
      </c>
      <c r="AF1920" t="s">
        <v>796</v>
      </c>
      <c r="AG1920" t="s">
        <v>797</v>
      </c>
      <c r="AH1920">
        <v>1269086</v>
      </c>
      <c r="AI1920">
        <v>1340954.3401800001</v>
      </c>
      <c r="AJ1920">
        <v>0.03</v>
      </c>
    </row>
    <row r="1921" spans="1:36" x14ac:dyDescent="0.3">
      <c r="A1921">
        <f>COUNTIF($D$2:D1921,D1921)</f>
        <v>29</v>
      </c>
      <c r="B1921" t="str">
        <f t="shared" si="117"/>
        <v>29Sheffield</v>
      </c>
      <c r="C1921" t="s">
        <v>5510</v>
      </c>
      <c r="D1921" t="s">
        <v>279</v>
      </c>
      <c r="E1921">
        <v>57</v>
      </c>
      <c r="F1921" t="s">
        <v>5508</v>
      </c>
      <c r="G1921" t="s">
        <v>800</v>
      </c>
      <c r="H1921" t="s">
        <v>850</v>
      </c>
      <c r="I1921" t="s">
        <v>802</v>
      </c>
      <c r="J1921">
        <f t="shared" ca="1" si="118"/>
        <v>100000</v>
      </c>
      <c r="K1921">
        <f t="shared" ca="1" si="119"/>
        <v>90</v>
      </c>
      <c r="N1921" t="str">
        <f t="shared" si="116"/>
        <v>Redbridge3Provide the right care in the right place at the right time.Assistive Technologies and EquipmentCommunity based equipment</v>
      </c>
      <c r="O1921" t="s">
        <v>261</v>
      </c>
      <c r="P1921" t="s">
        <v>790</v>
      </c>
      <c r="Q1921">
        <v>3</v>
      </c>
      <c r="R1921" t="s">
        <v>5076</v>
      </c>
      <c r="S1921" t="s">
        <v>903</v>
      </c>
      <c r="T1921" t="s">
        <v>800</v>
      </c>
      <c r="U1921" t="s">
        <v>903</v>
      </c>
      <c r="W1921">
        <v>5196</v>
      </c>
      <c r="X1921">
        <v>5196</v>
      </c>
      <c r="Y1921" t="s">
        <v>802</v>
      </c>
      <c r="Z1921" t="s">
        <v>792</v>
      </c>
      <c r="AB1921" t="s">
        <v>793</v>
      </c>
      <c r="AD1921" t="s">
        <v>794</v>
      </c>
      <c r="AE1921" t="s">
        <v>804</v>
      </c>
      <c r="AF1921" t="s">
        <v>796</v>
      </c>
      <c r="AG1921" t="s">
        <v>797</v>
      </c>
      <c r="AH1921">
        <v>669807</v>
      </c>
      <c r="AI1921">
        <v>632710.04399999999</v>
      </c>
      <c r="AJ1921">
        <v>0.04</v>
      </c>
    </row>
    <row r="1922" spans="1:36" x14ac:dyDescent="0.3">
      <c r="A1922">
        <f>COUNTIF($D$2:D1922,D1922)</f>
        <v>30</v>
      </c>
      <c r="B1922" t="str">
        <f t="shared" si="117"/>
        <v>30Sheffield</v>
      </c>
      <c r="C1922" t="s">
        <v>5511</v>
      </c>
      <c r="D1922" t="s">
        <v>279</v>
      </c>
      <c r="E1922">
        <v>58</v>
      </c>
      <c r="F1922" t="s">
        <v>5508</v>
      </c>
      <c r="G1922" t="s">
        <v>842</v>
      </c>
      <c r="H1922" t="s">
        <v>843</v>
      </c>
      <c r="I1922" t="s">
        <v>844</v>
      </c>
      <c r="J1922">
        <f t="shared" ca="1" si="118"/>
        <v>2429257</v>
      </c>
      <c r="K1922">
        <f t="shared" ca="1" si="119"/>
        <v>77500</v>
      </c>
      <c r="N1922" t="str">
        <f t="shared" ref="N1922:N1985" si="120">O1922&amp;Q1922&amp;R1922&amp;T1922&amp;U1922</f>
        <v>Redbridge3Provide the right care in the right place at the right time.DFG Related SchemesAdaptations, including statutory DFG grants</v>
      </c>
      <c r="O1922" t="s">
        <v>261</v>
      </c>
      <c r="P1922" t="s">
        <v>790</v>
      </c>
      <c r="Q1922">
        <v>3</v>
      </c>
      <c r="R1922" t="s">
        <v>5076</v>
      </c>
      <c r="S1922" t="s">
        <v>5354</v>
      </c>
      <c r="T1922" t="s">
        <v>834</v>
      </c>
      <c r="U1922" t="s">
        <v>835</v>
      </c>
      <c r="W1922">
        <v>90</v>
      </c>
      <c r="X1922">
        <v>90</v>
      </c>
      <c r="Y1922" t="s">
        <v>836</v>
      </c>
      <c r="Z1922" t="s">
        <v>792</v>
      </c>
      <c r="AB1922" t="s">
        <v>793</v>
      </c>
      <c r="AD1922" t="s">
        <v>794</v>
      </c>
      <c r="AE1922" t="s">
        <v>804</v>
      </c>
      <c r="AF1922" t="s">
        <v>840</v>
      </c>
      <c r="AG1922" t="s">
        <v>797</v>
      </c>
      <c r="AH1922">
        <v>2013195</v>
      </c>
      <c r="AI1922">
        <v>2013195</v>
      </c>
      <c r="AJ1922">
        <v>0.06</v>
      </c>
    </row>
    <row r="1923" spans="1:36" x14ac:dyDescent="0.3">
      <c r="A1923">
        <f>COUNTIF($D$2:D1923,D1923)</f>
        <v>31</v>
      </c>
      <c r="B1923" t="str">
        <f t="shared" ref="B1923:B1986" si="121">A1923&amp;D1923</f>
        <v>31Sheffield</v>
      </c>
      <c r="C1923" t="s">
        <v>5512</v>
      </c>
      <c r="D1923" t="s">
        <v>279</v>
      </c>
      <c r="E1923">
        <v>61</v>
      </c>
      <c r="F1923" t="s">
        <v>5508</v>
      </c>
      <c r="G1923" t="s">
        <v>877</v>
      </c>
      <c r="H1923" t="s">
        <v>878</v>
      </c>
      <c r="I1923" t="s">
        <v>879</v>
      </c>
      <c r="J1923">
        <f t="shared" ref="J1923:J1986" ca="1" si="122">SUMIF($N:$AI,C1923,AH:AH)</f>
        <v>974000</v>
      </c>
      <c r="K1923">
        <f t="shared" ref="K1923:K1986" ca="1" si="123">SUMIF($N:$AI,C1923,W:W)</f>
        <v>190</v>
      </c>
      <c r="N1923" t="str">
        <f t="shared" si="120"/>
        <v>Redbridge3Provide the right care in the right place at the right time.DFG Related SchemesOther</v>
      </c>
      <c r="O1923" t="s">
        <v>261</v>
      </c>
      <c r="P1923" t="s">
        <v>790</v>
      </c>
      <c r="Q1923">
        <v>3</v>
      </c>
      <c r="R1923" t="s">
        <v>5076</v>
      </c>
      <c r="S1923" t="s">
        <v>800</v>
      </c>
      <c r="T1923" t="s">
        <v>834</v>
      </c>
      <c r="U1923" t="s">
        <v>812</v>
      </c>
      <c r="V1923" t="s">
        <v>5513</v>
      </c>
      <c r="W1923">
        <v>1068</v>
      </c>
      <c r="X1923">
        <v>1068</v>
      </c>
      <c r="Y1923" t="s">
        <v>836</v>
      </c>
      <c r="Z1923" t="s">
        <v>792</v>
      </c>
      <c r="AB1923" t="s">
        <v>793</v>
      </c>
      <c r="AD1923" t="s">
        <v>794</v>
      </c>
      <c r="AE1923" t="s">
        <v>804</v>
      </c>
      <c r="AF1923" t="s">
        <v>840</v>
      </c>
      <c r="AG1923" t="s">
        <v>797</v>
      </c>
      <c r="AH1923">
        <v>416000</v>
      </c>
      <c r="AI1923">
        <v>416000</v>
      </c>
      <c r="AJ1923">
        <v>0.06</v>
      </c>
    </row>
    <row r="1924" spans="1:36" x14ac:dyDescent="0.3">
      <c r="A1924">
        <f>COUNTIF($D$2:D1924,D1924)</f>
        <v>32</v>
      </c>
      <c r="B1924" t="str">
        <f t="shared" si="121"/>
        <v>32Sheffield</v>
      </c>
      <c r="C1924" t="s">
        <v>5514</v>
      </c>
      <c r="D1924" t="s">
        <v>279</v>
      </c>
      <c r="E1924">
        <v>69</v>
      </c>
      <c r="F1924" t="s">
        <v>5508</v>
      </c>
      <c r="G1924" t="s">
        <v>800</v>
      </c>
      <c r="H1924" t="s">
        <v>903</v>
      </c>
      <c r="I1924" t="s">
        <v>802</v>
      </c>
      <c r="J1924">
        <f t="shared" ca="1" si="122"/>
        <v>340000</v>
      </c>
      <c r="K1924">
        <f t="shared" ca="1" si="123"/>
        <v>1500</v>
      </c>
      <c r="N1924" t="str">
        <f t="shared" si="120"/>
        <v>Redcar and Cleveland1Recovery and Reablement - Social Care CCG ElementHome-based intermediate care servicesReablement at home (accepting step up and step down users)</v>
      </c>
      <c r="O1924" t="s">
        <v>263</v>
      </c>
      <c r="P1924" t="s">
        <v>2195</v>
      </c>
      <c r="Q1924">
        <v>1</v>
      </c>
      <c r="R1924" t="s">
        <v>5084</v>
      </c>
      <c r="S1924" t="s">
        <v>5515</v>
      </c>
      <c r="T1924" t="s">
        <v>787</v>
      </c>
      <c r="U1924" t="s">
        <v>930</v>
      </c>
      <c r="W1924">
        <v>1612</v>
      </c>
      <c r="X1924">
        <v>1612</v>
      </c>
      <c r="Y1924" t="s">
        <v>789</v>
      </c>
      <c r="Z1924" t="s">
        <v>792</v>
      </c>
      <c r="AB1924" t="s">
        <v>824</v>
      </c>
      <c r="AD1924" t="s">
        <v>794</v>
      </c>
      <c r="AE1924" t="s">
        <v>795</v>
      </c>
      <c r="AF1924" t="s">
        <v>796</v>
      </c>
      <c r="AG1924" t="s">
        <v>797</v>
      </c>
      <c r="AH1924">
        <v>1062100</v>
      </c>
      <c r="AI1924">
        <v>1093963</v>
      </c>
      <c r="AJ1924">
        <v>4.1399999999999999E-2</v>
      </c>
    </row>
    <row r="1925" spans="1:36" x14ac:dyDescent="0.3">
      <c r="A1925">
        <f>COUNTIF($D$2:D1925,D1925)</f>
        <v>1</v>
      </c>
      <c r="B1925" t="str">
        <f t="shared" si="121"/>
        <v>1Shropshire</v>
      </c>
      <c r="C1925" t="s">
        <v>5516</v>
      </c>
      <c r="D1925" t="s">
        <v>281</v>
      </c>
      <c r="E1925">
        <v>1</v>
      </c>
      <c r="F1925" t="s">
        <v>5517</v>
      </c>
      <c r="G1925" t="s">
        <v>877</v>
      </c>
      <c r="H1925" t="s">
        <v>968</v>
      </c>
      <c r="I1925" t="s">
        <v>879</v>
      </c>
      <c r="J1925">
        <f t="shared" ca="1" si="122"/>
        <v>1256920</v>
      </c>
      <c r="K1925">
        <f t="shared" ca="1" si="123"/>
        <v>140</v>
      </c>
      <c r="N1925" t="str">
        <f t="shared" si="120"/>
        <v>Redcar and Cleveland1Recovery and Reablement - Community HealthHome-based intermediate care servicesReablement at home (accepting step up and step down users)</v>
      </c>
      <c r="O1925" t="s">
        <v>263</v>
      </c>
      <c r="P1925" t="s">
        <v>2195</v>
      </c>
      <c r="Q1925">
        <v>1</v>
      </c>
      <c r="R1925" t="s">
        <v>5087</v>
      </c>
      <c r="S1925" t="s">
        <v>5515</v>
      </c>
      <c r="T1925" t="s">
        <v>787</v>
      </c>
      <c r="U1925" t="s">
        <v>930</v>
      </c>
      <c r="W1925">
        <v>162</v>
      </c>
      <c r="X1925">
        <v>162</v>
      </c>
      <c r="Y1925" t="s">
        <v>789</v>
      </c>
      <c r="Z1925" t="s">
        <v>792</v>
      </c>
      <c r="AB1925" t="s">
        <v>824</v>
      </c>
      <c r="AD1925" t="s">
        <v>794</v>
      </c>
      <c r="AE1925" t="s">
        <v>795</v>
      </c>
      <c r="AF1925" t="s">
        <v>796</v>
      </c>
      <c r="AG1925" t="s">
        <v>797</v>
      </c>
      <c r="AH1925">
        <v>106550</v>
      </c>
      <c r="AI1925">
        <v>109747</v>
      </c>
      <c r="AJ1925">
        <v>0.01</v>
      </c>
    </row>
    <row r="1926" spans="1:36" x14ac:dyDescent="0.3">
      <c r="A1926">
        <f>COUNTIF($D$2:D1926,D1926)</f>
        <v>2</v>
      </c>
      <c r="B1926" t="str">
        <f t="shared" si="121"/>
        <v>2Shropshire</v>
      </c>
      <c r="C1926" t="s">
        <v>5518</v>
      </c>
      <c r="D1926" t="s">
        <v>281</v>
      </c>
      <c r="E1926">
        <v>2</v>
      </c>
      <c r="F1926" t="s">
        <v>5519</v>
      </c>
      <c r="G1926" t="s">
        <v>787</v>
      </c>
      <c r="H1926" t="s">
        <v>788</v>
      </c>
      <c r="I1926" t="s">
        <v>789</v>
      </c>
      <c r="J1926">
        <f t="shared" ca="1" si="122"/>
        <v>1891100</v>
      </c>
      <c r="K1926">
        <f t="shared" ca="1" si="123"/>
        <v>484</v>
      </c>
      <c r="N1926" t="str">
        <f t="shared" si="120"/>
        <v>Redcar and Cleveland1Recovery and ReablementHome-based intermediate care servicesReablement at home (accepting step up and step down users)</v>
      </c>
      <c r="O1926" t="s">
        <v>263</v>
      </c>
      <c r="P1926" t="s">
        <v>2195</v>
      </c>
      <c r="Q1926">
        <v>1</v>
      </c>
      <c r="R1926" t="s">
        <v>5090</v>
      </c>
      <c r="S1926" t="s">
        <v>5515</v>
      </c>
      <c r="T1926" t="s">
        <v>787</v>
      </c>
      <c r="U1926" t="s">
        <v>930</v>
      </c>
      <c r="W1926">
        <v>878</v>
      </c>
      <c r="X1926">
        <v>878</v>
      </c>
      <c r="Y1926" t="s">
        <v>789</v>
      </c>
      <c r="Z1926" t="s">
        <v>792</v>
      </c>
      <c r="AB1926" t="s">
        <v>824</v>
      </c>
      <c r="AD1926" t="s">
        <v>794</v>
      </c>
      <c r="AE1926" t="s">
        <v>795</v>
      </c>
      <c r="AF1926" t="s">
        <v>845</v>
      </c>
      <c r="AG1926" t="s">
        <v>797</v>
      </c>
      <c r="AH1926">
        <v>578600</v>
      </c>
      <c r="AI1926">
        <v>578600</v>
      </c>
      <c r="AJ1926">
        <v>0.03</v>
      </c>
    </row>
    <row r="1927" spans="1:36" x14ac:dyDescent="0.3">
      <c r="A1927">
        <f>COUNTIF($D$2:D1927,D1927)</f>
        <v>3</v>
      </c>
      <c r="B1927" t="str">
        <f t="shared" si="121"/>
        <v>3Shropshire</v>
      </c>
      <c r="C1927" t="s">
        <v>5520</v>
      </c>
      <c r="D1927" t="s">
        <v>281</v>
      </c>
      <c r="E1927">
        <v>4</v>
      </c>
      <c r="F1927" t="s">
        <v>1781</v>
      </c>
      <c r="G1927" t="s">
        <v>811</v>
      </c>
      <c r="H1927" t="s">
        <v>812</v>
      </c>
      <c r="I1927" t="s">
        <v>813</v>
      </c>
      <c r="J1927">
        <f t="shared" ca="1" si="122"/>
        <v>265910</v>
      </c>
      <c r="K1927">
        <f t="shared" ca="1" si="123"/>
        <v>740</v>
      </c>
      <c r="N1927" t="str">
        <f t="shared" si="120"/>
        <v>Redcar and Cleveland3Intermediate Care CentreBed based intermediate Care Services (Reablement, rehabilitation, wider short-term services supporting recovery)Bed-based intermediate care with reablement accepting step up and step down users</v>
      </c>
      <c r="O1927" t="s">
        <v>263</v>
      </c>
      <c r="P1927" t="s">
        <v>2195</v>
      </c>
      <c r="Q1927">
        <v>3</v>
      </c>
      <c r="R1927" t="s">
        <v>5093</v>
      </c>
      <c r="S1927" t="s">
        <v>5521</v>
      </c>
      <c r="T1927" t="s">
        <v>877</v>
      </c>
      <c r="U1927" t="s">
        <v>1259</v>
      </c>
      <c r="W1927">
        <v>348</v>
      </c>
      <c r="X1927">
        <v>348</v>
      </c>
      <c r="Y1927" t="s">
        <v>879</v>
      </c>
      <c r="Z1927" t="s">
        <v>792</v>
      </c>
      <c r="AB1927" t="s">
        <v>824</v>
      </c>
      <c r="AD1927" t="s">
        <v>794</v>
      </c>
      <c r="AE1927" t="s">
        <v>795</v>
      </c>
      <c r="AF1927" t="s">
        <v>796</v>
      </c>
      <c r="AG1927" t="s">
        <v>797</v>
      </c>
      <c r="AH1927">
        <v>1678650</v>
      </c>
      <c r="AI1927">
        <v>1729010</v>
      </c>
      <c r="AJ1927">
        <v>6.54E-2</v>
      </c>
    </row>
    <row r="1928" spans="1:36" x14ac:dyDescent="0.3">
      <c r="A1928">
        <f>COUNTIF($D$2:D1928,D1928)</f>
        <v>4</v>
      </c>
      <c r="B1928" t="str">
        <f t="shared" si="121"/>
        <v>4Shropshire</v>
      </c>
      <c r="C1928" t="s">
        <v>5522</v>
      </c>
      <c r="D1928" t="s">
        <v>281</v>
      </c>
      <c r="E1928">
        <v>21</v>
      </c>
      <c r="F1928" t="s">
        <v>1341</v>
      </c>
      <c r="G1928" t="s">
        <v>834</v>
      </c>
      <c r="H1928" t="s">
        <v>835</v>
      </c>
      <c r="I1928" t="s">
        <v>836</v>
      </c>
      <c r="J1928">
        <f t="shared" ca="1" si="122"/>
        <v>3641433</v>
      </c>
      <c r="K1928">
        <f t="shared" ca="1" si="123"/>
        <v>130</v>
      </c>
      <c r="N1928" t="str">
        <f t="shared" si="120"/>
        <v>Redcar and Cleveland3Intermediate Care Centre - TherapistsBed based intermediate Care Services (Reablement, rehabilitation, wider short-term services supporting recovery)Bed-based intermediate care with reablement accepting step up and step down users</v>
      </c>
      <c r="O1928" t="s">
        <v>263</v>
      </c>
      <c r="P1928" t="s">
        <v>2195</v>
      </c>
      <c r="Q1928">
        <v>3</v>
      </c>
      <c r="R1928" t="s">
        <v>5095</v>
      </c>
      <c r="S1928" t="s">
        <v>5523</v>
      </c>
      <c r="T1928" t="s">
        <v>877</v>
      </c>
      <c r="U1928" t="s">
        <v>1259</v>
      </c>
      <c r="W1928">
        <v>348</v>
      </c>
      <c r="X1928">
        <v>348</v>
      </c>
      <c r="Y1928" t="s">
        <v>879</v>
      </c>
      <c r="Z1928" t="s">
        <v>792</v>
      </c>
      <c r="AB1928" t="s">
        <v>824</v>
      </c>
      <c r="AD1928" t="s">
        <v>794</v>
      </c>
      <c r="AE1928" t="s">
        <v>1119</v>
      </c>
      <c r="AF1928" t="s">
        <v>796</v>
      </c>
      <c r="AG1928" t="s">
        <v>797</v>
      </c>
      <c r="AH1928">
        <v>315450</v>
      </c>
      <c r="AI1928">
        <v>333304</v>
      </c>
      <c r="AJ1928">
        <v>0.03</v>
      </c>
    </row>
    <row r="1929" spans="1:36" x14ac:dyDescent="0.3">
      <c r="A1929">
        <f>COUNTIF($D$2:D1929,D1929)</f>
        <v>5</v>
      </c>
      <c r="B1929" t="str">
        <f t="shared" si="121"/>
        <v>5Shropshire</v>
      </c>
      <c r="C1929" t="s">
        <v>5524</v>
      </c>
      <c r="D1929" t="s">
        <v>281</v>
      </c>
      <c r="E1929">
        <v>24</v>
      </c>
      <c r="F1929" t="s">
        <v>5525</v>
      </c>
      <c r="G1929" t="s">
        <v>787</v>
      </c>
      <c r="H1929" t="s">
        <v>788</v>
      </c>
      <c r="I1929" t="s">
        <v>789</v>
      </c>
      <c r="J1929">
        <f t="shared" ca="1" si="122"/>
        <v>362300</v>
      </c>
      <c r="K1929">
        <f t="shared" ca="1" si="123"/>
        <v>373</v>
      </c>
      <c r="N1929" t="str">
        <f t="shared" si="120"/>
        <v>Redcar and Cleveland3IC Medical CoverBed based intermediate Care Services (Reablement, rehabilitation, wider short-term services supporting recovery)Bed-based intermediate care with reablement accepting step up and step down users</v>
      </c>
      <c r="O1929" t="s">
        <v>263</v>
      </c>
      <c r="P1929" t="s">
        <v>2195</v>
      </c>
      <c r="Q1929">
        <v>3</v>
      </c>
      <c r="R1929" t="s">
        <v>5097</v>
      </c>
      <c r="S1929" t="s">
        <v>5526</v>
      </c>
      <c r="T1929" t="s">
        <v>877</v>
      </c>
      <c r="U1929" t="s">
        <v>1259</v>
      </c>
      <c r="W1929">
        <v>348</v>
      </c>
      <c r="X1929">
        <v>348</v>
      </c>
      <c r="Y1929" t="s">
        <v>879</v>
      </c>
      <c r="Z1929" t="s">
        <v>792</v>
      </c>
      <c r="AB1929" t="s">
        <v>824</v>
      </c>
      <c r="AD1929" t="s">
        <v>794</v>
      </c>
      <c r="AE1929" t="s">
        <v>832</v>
      </c>
      <c r="AF1929" t="s">
        <v>796</v>
      </c>
      <c r="AG1929" t="s">
        <v>797</v>
      </c>
      <c r="AH1929">
        <v>5200</v>
      </c>
      <c r="AI1929">
        <v>5494</v>
      </c>
      <c r="AJ1929">
        <v>2.0000000000000001E-4</v>
      </c>
    </row>
    <row r="1930" spans="1:36" x14ac:dyDescent="0.3">
      <c r="A1930">
        <f>COUNTIF($D$2:D1930,D1930)</f>
        <v>6</v>
      </c>
      <c r="B1930" t="str">
        <f t="shared" si="121"/>
        <v>6Shropshire</v>
      </c>
      <c r="C1930" t="s">
        <v>5527</v>
      </c>
      <c r="D1930" t="s">
        <v>281</v>
      </c>
      <c r="E1930">
        <v>32</v>
      </c>
      <c r="F1930" t="s">
        <v>5528</v>
      </c>
      <c r="G1930" t="s">
        <v>811</v>
      </c>
      <c r="H1930" t="s">
        <v>812</v>
      </c>
      <c r="I1930" t="s">
        <v>813</v>
      </c>
      <c r="J1930">
        <f t="shared" ca="1" si="122"/>
        <v>49810</v>
      </c>
      <c r="K1930">
        <f t="shared" ca="1" si="123"/>
        <v>432</v>
      </c>
      <c r="N1930" t="str">
        <f t="shared" si="120"/>
        <v>Redcar and Cleveland4Carers Support ServiceCarers ServicesCarer advice and support related to Care Act duties</v>
      </c>
      <c r="O1930" t="s">
        <v>263</v>
      </c>
      <c r="P1930" t="s">
        <v>2195</v>
      </c>
      <c r="Q1930">
        <v>4</v>
      </c>
      <c r="R1930" t="s">
        <v>5099</v>
      </c>
      <c r="S1930" t="s">
        <v>5529</v>
      </c>
      <c r="T1930" t="s">
        <v>811</v>
      </c>
      <c r="U1930" t="s">
        <v>895</v>
      </c>
      <c r="W1930">
        <v>1539</v>
      </c>
      <c r="X1930">
        <v>1539</v>
      </c>
      <c r="Y1930" t="s">
        <v>813</v>
      </c>
      <c r="Z1930" t="s">
        <v>792</v>
      </c>
      <c r="AB1930" t="s">
        <v>793</v>
      </c>
      <c r="AD1930" t="s">
        <v>794</v>
      </c>
      <c r="AE1930" t="s">
        <v>825</v>
      </c>
      <c r="AF1930" t="s">
        <v>796</v>
      </c>
      <c r="AG1930" t="s">
        <v>797</v>
      </c>
      <c r="AH1930">
        <v>237550</v>
      </c>
      <c r="AI1930">
        <v>250995</v>
      </c>
      <c r="AJ1930">
        <v>0.02</v>
      </c>
    </row>
    <row r="1931" spans="1:36" x14ac:dyDescent="0.3">
      <c r="A1931">
        <f>COUNTIF($D$2:D1931,D1931)</f>
        <v>7</v>
      </c>
      <c r="B1931" t="str">
        <f t="shared" si="121"/>
        <v>7Shropshire</v>
      </c>
      <c r="C1931" t="s">
        <v>5530</v>
      </c>
      <c r="D1931" t="s">
        <v>281</v>
      </c>
      <c r="E1931">
        <v>61</v>
      </c>
      <c r="F1931" t="s">
        <v>5517</v>
      </c>
      <c r="G1931" t="s">
        <v>877</v>
      </c>
      <c r="H1931" t="s">
        <v>968</v>
      </c>
      <c r="I1931" t="s">
        <v>879</v>
      </c>
      <c r="J1931">
        <f t="shared" ca="1" si="122"/>
        <v>1860600</v>
      </c>
      <c r="K1931">
        <f t="shared" ca="1" si="123"/>
        <v>206</v>
      </c>
      <c r="N1931" t="str">
        <f t="shared" si="120"/>
        <v>Redcar and Cleveland5Young Carer SupportCarers ServicesCarer advice and support related to Care Act duties</v>
      </c>
      <c r="O1931" t="s">
        <v>263</v>
      </c>
      <c r="P1931" t="s">
        <v>2195</v>
      </c>
      <c r="Q1931">
        <v>5</v>
      </c>
      <c r="R1931" t="s">
        <v>5101</v>
      </c>
      <c r="S1931" t="s">
        <v>5531</v>
      </c>
      <c r="T1931" t="s">
        <v>811</v>
      </c>
      <c r="U1931" t="s">
        <v>895</v>
      </c>
      <c r="W1931">
        <v>2575</v>
      </c>
      <c r="X1931">
        <v>2575</v>
      </c>
      <c r="Y1931" t="s">
        <v>813</v>
      </c>
      <c r="Z1931" t="s">
        <v>792</v>
      </c>
      <c r="AB1931" t="s">
        <v>793</v>
      </c>
      <c r="AD1931" t="s">
        <v>794</v>
      </c>
      <c r="AE1931" t="s">
        <v>825</v>
      </c>
      <c r="AF1931" t="s">
        <v>796</v>
      </c>
      <c r="AG1931" t="s">
        <v>797</v>
      </c>
      <c r="AH1931">
        <v>59050</v>
      </c>
      <c r="AI1931">
        <v>62392</v>
      </c>
      <c r="AJ1931">
        <v>0.01</v>
      </c>
    </row>
    <row r="1932" spans="1:36" x14ac:dyDescent="0.3">
      <c r="A1932">
        <f>COUNTIF($D$2:D1932,D1932)</f>
        <v>8</v>
      </c>
      <c r="B1932" t="str">
        <f t="shared" si="121"/>
        <v>8Shropshire</v>
      </c>
      <c r="C1932" t="s">
        <v>5532</v>
      </c>
      <c r="D1932" t="s">
        <v>281</v>
      </c>
      <c r="E1932">
        <v>62</v>
      </c>
      <c r="F1932" t="s">
        <v>5517</v>
      </c>
      <c r="G1932" t="s">
        <v>877</v>
      </c>
      <c r="H1932" t="s">
        <v>968</v>
      </c>
      <c r="I1932" t="s">
        <v>879</v>
      </c>
      <c r="J1932">
        <f t="shared" ca="1" si="122"/>
        <v>1663231</v>
      </c>
      <c r="K1932">
        <f t="shared" ca="1" si="123"/>
        <v>184</v>
      </c>
      <c r="N1932" t="str">
        <f t="shared" si="120"/>
        <v>Redcar and Cleveland6Hospital Based Carer SupportCarers ServicesCarer advice and support related to Care Act duties</v>
      </c>
      <c r="O1932" t="s">
        <v>263</v>
      </c>
      <c r="P1932" t="s">
        <v>2195</v>
      </c>
      <c r="Q1932">
        <v>6</v>
      </c>
      <c r="R1932" t="s">
        <v>5103</v>
      </c>
      <c r="S1932" t="s">
        <v>5533</v>
      </c>
      <c r="T1932" t="s">
        <v>811</v>
      </c>
      <c r="U1932" t="s">
        <v>895</v>
      </c>
      <c r="W1932">
        <v>183</v>
      </c>
      <c r="X1932">
        <v>183</v>
      </c>
      <c r="Y1932" t="s">
        <v>813</v>
      </c>
      <c r="Z1932" t="s">
        <v>792</v>
      </c>
      <c r="AB1932" t="s">
        <v>793</v>
      </c>
      <c r="AD1932" t="s">
        <v>794</v>
      </c>
      <c r="AE1932" t="s">
        <v>825</v>
      </c>
      <c r="AF1932" t="s">
        <v>796</v>
      </c>
      <c r="AG1932" t="s">
        <v>797</v>
      </c>
      <c r="AH1932">
        <v>39250</v>
      </c>
      <c r="AI1932">
        <v>41472</v>
      </c>
      <c r="AJ1932">
        <v>0.01</v>
      </c>
    </row>
    <row r="1933" spans="1:36" x14ac:dyDescent="0.3">
      <c r="A1933">
        <f>COUNTIF($D$2:D1933,D1933)</f>
        <v>1</v>
      </c>
      <c r="B1933" t="str">
        <f t="shared" si="121"/>
        <v>1Slough</v>
      </c>
      <c r="C1933" t="s">
        <v>5534</v>
      </c>
      <c r="D1933" t="s">
        <v>283</v>
      </c>
      <c r="E1933">
        <v>1</v>
      </c>
      <c r="F1933" t="s">
        <v>5535</v>
      </c>
      <c r="G1933" t="s">
        <v>787</v>
      </c>
      <c r="H1933" t="s">
        <v>930</v>
      </c>
      <c r="I1933" t="s">
        <v>789</v>
      </c>
      <c r="J1933">
        <f t="shared" ca="1" si="122"/>
        <v>2858239</v>
      </c>
      <c r="K1933">
        <f t="shared" ca="1" si="123"/>
        <v>438</v>
      </c>
      <c r="N1933" t="str">
        <f t="shared" si="120"/>
        <v>Redcar and Cleveland7Digital ExplorersAssistive Technologies and EquipmentDigital participation services</v>
      </c>
      <c r="O1933" t="s">
        <v>263</v>
      </c>
      <c r="P1933" t="s">
        <v>2195</v>
      </c>
      <c r="Q1933">
        <v>7</v>
      </c>
      <c r="R1933" t="s">
        <v>5105</v>
      </c>
      <c r="S1933" t="s">
        <v>5536</v>
      </c>
      <c r="T1933" t="s">
        <v>800</v>
      </c>
      <c r="U1933" t="s">
        <v>907</v>
      </c>
      <c r="W1933">
        <v>184</v>
      </c>
      <c r="X1933">
        <v>184</v>
      </c>
      <c r="Y1933" t="s">
        <v>802</v>
      </c>
      <c r="Z1933" t="s">
        <v>792</v>
      </c>
      <c r="AB1933" t="s">
        <v>793</v>
      </c>
      <c r="AD1933" t="s">
        <v>794</v>
      </c>
      <c r="AE1933" t="s">
        <v>825</v>
      </c>
      <c r="AF1933" t="s">
        <v>796</v>
      </c>
      <c r="AG1933" t="s">
        <v>797</v>
      </c>
      <c r="AH1933">
        <v>30000</v>
      </c>
      <c r="AI1933">
        <v>31698</v>
      </c>
      <c r="AJ1933">
        <v>0.01</v>
      </c>
    </row>
    <row r="1934" spans="1:36" x14ac:dyDescent="0.3">
      <c r="A1934">
        <f>COUNTIF($D$2:D1934,D1934)</f>
        <v>2</v>
      </c>
      <c r="B1934" t="str">
        <f t="shared" si="121"/>
        <v>2Slough</v>
      </c>
      <c r="C1934" t="s">
        <v>5537</v>
      </c>
      <c r="D1934" t="s">
        <v>283</v>
      </c>
      <c r="E1934">
        <v>3</v>
      </c>
      <c r="F1934" t="s">
        <v>5538</v>
      </c>
      <c r="G1934" t="s">
        <v>787</v>
      </c>
      <c r="H1934" t="s">
        <v>1688</v>
      </c>
      <c r="I1934" t="s">
        <v>789</v>
      </c>
      <c r="J1934">
        <f t="shared" ca="1" si="122"/>
        <v>82000</v>
      </c>
      <c r="K1934">
        <f t="shared" ca="1" si="123"/>
        <v>92</v>
      </c>
      <c r="N1934" t="str">
        <f t="shared" si="120"/>
        <v>Redcar and Cleveland11Overnight Planned Care ServiceHome Care or Domiciliary CareDomiciliary care packages</v>
      </c>
      <c r="O1934" t="s">
        <v>263</v>
      </c>
      <c r="P1934" t="s">
        <v>2195</v>
      </c>
      <c r="Q1934">
        <v>11</v>
      </c>
      <c r="R1934" t="s">
        <v>5107</v>
      </c>
      <c r="S1934" t="s">
        <v>5539</v>
      </c>
      <c r="T1934" t="s">
        <v>842</v>
      </c>
      <c r="U1934" t="s">
        <v>843</v>
      </c>
      <c r="W1934">
        <v>12000</v>
      </c>
      <c r="X1934">
        <v>12000</v>
      </c>
      <c r="Y1934" t="s">
        <v>844</v>
      </c>
      <c r="Z1934" t="s">
        <v>792</v>
      </c>
      <c r="AB1934" t="s">
        <v>793</v>
      </c>
      <c r="AD1934" t="s">
        <v>794</v>
      </c>
      <c r="AE1934" t="s">
        <v>804</v>
      </c>
      <c r="AF1934" t="s">
        <v>796</v>
      </c>
      <c r="AG1934" t="s">
        <v>797</v>
      </c>
      <c r="AH1934">
        <v>267800</v>
      </c>
      <c r="AI1934">
        <v>282957</v>
      </c>
      <c r="AJ1934">
        <v>0.02</v>
      </c>
    </row>
    <row r="1935" spans="1:36" x14ac:dyDescent="0.3">
      <c r="A1935">
        <f>COUNTIF($D$2:D1935,D1935)</f>
        <v>3</v>
      </c>
      <c r="B1935" t="str">
        <f t="shared" si="121"/>
        <v>3Slough</v>
      </c>
      <c r="C1935" t="s">
        <v>5540</v>
      </c>
      <c r="D1935" t="s">
        <v>283</v>
      </c>
      <c r="E1935">
        <v>4</v>
      </c>
      <c r="F1935" t="s">
        <v>5538</v>
      </c>
      <c r="G1935" t="s">
        <v>787</v>
      </c>
      <c r="H1935" t="s">
        <v>1688</v>
      </c>
      <c r="I1935" t="s">
        <v>789</v>
      </c>
      <c r="J1935">
        <f t="shared" ca="1" si="122"/>
        <v>211950</v>
      </c>
      <c r="K1935">
        <f t="shared" ca="1" si="123"/>
        <v>215</v>
      </c>
      <c r="N1935" t="str">
        <f t="shared" si="120"/>
        <v>Redcar and Cleveland17Disabled Facilities GrantsDFG Related SchemesAdaptations, including statutory DFG grants</v>
      </c>
      <c r="O1935" t="s">
        <v>263</v>
      </c>
      <c r="P1935" t="s">
        <v>2195</v>
      </c>
      <c r="Q1935">
        <v>17</v>
      </c>
      <c r="R1935" t="s">
        <v>1341</v>
      </c>
      <c r="S1935" t="s">
        <v>1479</v>
      </c>
      <c r="T1935" t="s">
        <v>834</v>
      </c>
      <c r="U1935" t="s">
        <v>835</v>
      </c>
      <c r="W1935">
        <v>216</v>
      </c>
      <c r="X1935">
        <v>216</v>
      </c>
      <c r="Y1935" t="s">
        <v>836</v>
      </c>
      <c r="Z1935" t="s">
        <v>792</v>
      </c>
      <c r="AB1935" t="s">
        <v>793</v>
      </c>
      <c r="AD1935" t="s">
        <v>794</v>
      </c>
      <c r="AE1935" t="s">
        <v>804</v>
      </c>
      <c r="AF1935" t="s">
        <v>840</v>
      </c>
      <c r="AG1935" t="s">
        <v>797</v>
      </c>
      <c r="AH1935">
        <v>1790234</v>
      </c>
      <c r="AI1935">
        <v>1790234</v>
      </c>
      <c r="AJ1935">
        <v>6.8699999999999997E-2</v>
      </c>
    </row>
    <row r="1936" spans="1:36" x14ac:dyDescent="0.3">
      <c r="A1936">
        <f>COUNTIF($D$2:D1936,D1936)</f>
        <v>4</v>
      </c>
      <c r="B1936" t="str">
        <f t="shared" si="121"/>
        <v>4Slough</v>
      </c>
      <c r="C1936" t="s">
        <v>5541</v>
      </c>
      <c r="D1936" t="s">
        <v>283</v>
      </c>
      <c r="E1936">
        <v>12</v>
      </c>
      <c r="F1936" t="s">
        <v>5542</v>
      </c>
      <c r="G1936" t="s">
        <v>800</v>
      </c>
      <c r="H1936" t="s">
        <v>903</v>
      </c>
      <c r="I1936" t="s">
        <v>802</v>
      </c>
      <c r="J1936">
        <f t="shared" ca="1" si="122"/>
        <v>163000</v>
      </c>
      <c r="K1936">
        <f t="shared" ca="1" si="123"/>
        <v>962</v>
      </c>
      <c r="N1936" t="str">
        <f t="shared" si="120"/>
        <v>Redcar and Cleveland17Disabled Facilities GrantsDFG Related SchemesHandyperson services</v>
      </c>
      <c r="O1936" t="s">
        <v>263</v>
      </c>
      <c r="P1936" t="s">
        <v>2195</v>
      </c>
      <c r="Q1936">
        <v>17</v>
      </c>
      <c r="R1936" t="s">
        <v>1341</v>
      </c>
      <c r="S1936" t="s">
        <v>1479</v>
      </c>
      <c r="T1936" t="s">
        <v>834</v>
      </c>
      <c r="U1936" t="s">
        <v>1732</v>
      </c>
      <c r="W1936">
        <v>2377</v>
      </c>
      <c r="X1936">
        <v>2377</v>
      </c>
      <c r="Y1936" t="s">
        <v>836</v>
      </c>
      <c r="Z1936" t="s">
        <v>792</v>
      </c>
      <c r="AB1936" t="s">
        <v>793</v>
      </c>
      <c r="AD1936" t="s">
        <v>794</v>
      </c>
      <c r="AE1936" t="s">
        <v>795</v>
      </c>
      <c r="AF1936" t="s">
        <v>845</v>
      </c>
      <c r="AG1936" t="s">
        <v>797</v>
      </c>
      <c r="AH1936">
        <v>198450</v>
      </c>
      <c r="AI1936">
        <v>198450</v>
      </c>
      <c r="AJ1936">
        <v>0.02</v>
      </c>
    </row>
    <row r="1937" spans="1:36" x14ac:dyDescent="0.3">
      <c r="A1937">
        <f>COUNTIF($D$2:D1937,D1937)</f>
        <v>5</v>
      </c>
      <c r="B1937" t="str">
        <f t="shared" si="121"/>
        <v>5Slough</v>
      </c>
      <c r="C1937" t="s">
        <v>5543</v>
      </c>
      <c r="D1937" t="s">
        <v>283</v>
      </c>
      <c r="E1937">
        <v>13</v>
      </c>
      <c r="F1937" t="s">
        <v>5542</v>
      </c>
      <c r="G1937" t="s">
        <v>800</v>
      </c>
      <c r="H1937" t="s">
        <v>903</v>
      </c>
      <c r="I1937" t="s">
        <v>802</v>
      </c>
      <c r="J1937">
        <f t="shared" ca="1" si="122"/>
        <v>758431</v>
      </c>
      <c r="K1937">
        <f t="shared" ca="1" si="123"/>
        <v>4000</v>
      </c>
      <c r="N1937" t="str">
        <f t="shared" si="120"/>
        <v>Redcar and Cleveland19Residential CareResidential PlacementsCare home</v>
      </c>
      <c r="O1937" t="s">
        <v>263</v>
      </c>
      <c r="P1937" t="s">
        <v>2195</v>
      </c>
      <c r="Q1937">
        <v>19</v>
      </c>
      <c r="R1937" t="s">
        <v>2262</v>
      </c>
      <c r="S1937" t="s">
        <v>806</v>
      </c>
      <c r="T1937" t="s">
        <v>806</v>
      </c>
      <c r="U1937" t="s">
        <v>807</v>
      </c>
      <c r="W1937">
        <v>34</v>
      </c>
      <c r="X1937">
        <v>34</v>
      </c>
      <c r="Y1937" t="s">
        <v>808</v>
      </c>
      <c r="Z1937" t="s">
        <v>792</v>
      </c>
      <c r="AB1937" t="s">
        <v>793</v>
      </c>
      <c r="AD1937" t="s">
        <v>794</v>
      </c>
      <c r="AE1937" t="s">
        <v>804</v>
      </c>
      <c r="AF1937" t="s">
        <v>845</v>
      </c>
      <c r="AG1937" t="s">
        <v>797</v>
      </c>
      <c r="AH1937">
        <v>1377750</v>
      </c>
      <c r="AI1937">
        <v>1377750</v>
      </c>
      <c r="AJ1937">
        <v>5.2900000000000003E-2</v>
      </c>
    </row>
    <row r="1938" spans="1:36" x14ac:dyDescent="0.3">
      <c r="A1938">
        <f>COUNTIF($D$2:D1938,D1938)</f>
        <v>6</v>
      </c>
      <c r="B1938" t="str">
        <f t="shared" si="121"/>
        <v>6Slough</v>
      </c>
      <c r="C1938" t="s">
        <v>5544</v>
      </c>
      <c r="D1938" t="s">
        <v>283</v>
      </c>
      <c r="E1938">
        <v>14</v>
      </c>
      <c r="F1938" t="s">
        <v>891</v>
      </c>
      <c r="G1938" t="s">
        <v>834</v>
      </c>
      <c r="H1938" t="s">
        <v>835</v>
      </c>
      <c r="I1938" t="s">
        <v>836</v>
      </c>
      <c r="J1938">
        <f t="shared" ca="1" si="122"/>
        <v>1140680</v>
      </c>
      <c r="K1938">
        <f t="shared" ca="1" si="123"/>
        <v>75</v>
      </c>
      <c r="N1938" t="str">
        <f t="shared" si="120"/>
        <v>Redcar and Cleveland19Residential CareResidential PlacementsCare home</v>
      </c>
      <c r="O1938" t="s">
        <v>263</v>
      </c>
      <c r="P1938" t="s">
        <v>2195</v>
      </c>
      <c r="Q1938">
        <v>19</v>
      </c>
      <c r="R1938" t="s">
        <v>2262</v>
      </c>
      <c r="S1938" t="s">
        <v>806</v>
      </c>
      <c r="T1938" t="s">
        <v>806</v>
      </c>
      <c r="U1938" t="s">
        <v>807</v>
      </c>
      <c r="W1938">
        <v>53</v>
      </c>
      <c r="X1938">
        <v>53</v>
      </c>
      <c r="Y1938" t="s">
        <v>808</v>
      </c>
      <c r="Z1938" t="s">
        <v>792</v>
      </c>
      <c r="AB1938" t="s">
        <v>793</v>
      </c>
      <c r="AD1938" t="s">
        <v>794</v>
      </c>
      <c r="AE1938" t="s">
        <v>804</v>
      </c>
      <c r="AF1938" t="s">
        <v>796</v>
      </c>
      <c r="AG1938" t="s">
        <v>797</v>
      </c>
      <c r="AH1938">
        <v>2126871</v>
      </c>
      <c r="AI1938">
        <v>2247252</v>
      </c>
      <c r="AJ1938">
        <v>8.3900000000000002E-2</v>
      </c>
    </row>
    <row r="1939" spans="1:36" x14ac:dyDescent="0.3">
      <c r="A1939">
        <f>COUNTIF($D$2:D1939,D1939)</f>
        <v>7</v>
      </c>
      <c r="B1939" t="str">
        <f t="shared" si="121"/>
        <v>7Slough</v>
      </c>
      <c r="C1939" t="s">
        <v>5545</v>
      </c>
      <c r="D1939" t="s">
        <v>283</v>
      </c>
      <c r="E1939">
        <v>16</v>
      </c>
      <c r="F1939" t="s">
        <v>5546</v>
      </c>
      <c r="G1939" t="s">
        <v>806</v>
      </c>
      <c r="H1939" t="s">
        <v>917</v>
      </c>
      <c r="I1939" t="s">
        <v>808</v>
      </c>
      <c r="J1939">
        <f t="shared" ca="1" si="122"/>
        <v>500000</v>
      </c>
      <c r="K1939">
        <f t="shared" ca="1" si="123"/>
        <v>10</v>
      </c>
      <c r="N1939" t="str">
        <f t="shared" si="120"/>
        <v>Redcar and Cleveland20Home CareHome Care or Domiciliary CareDomiciliary care packages</v>
      </c>
      <c r="O1939" t="s">
        <v>263</v>
      </c>
      <c r="P1939" t="s">
        <v>2195</v>
      </c>
      <c r="Q1939">
        <v>20</v>
      </c>
      <c r="R1939" t="s">
        <v>1447</v>
      </c>
      <c r="S1939" t="s">
        <v>5547</v>
      </c>
      <c r="T1939" t="s">
        <v>842</v>
      </c>
      <c r="U1939" t="s">
        <v>843</v>
      </c>
      <c r="W1939">
        <v>165000</v>
      </c>
      <c r="X1939">
        <v>165000</v>
      </c>
      <c r="Y1939" t="s">
        <v>844</v>
      </c>
      <c r="Z1939" t="s">
        <v>792</v>
      </c>
      <c r="AB1939" t="s">
        <v>793</v>
      </c>
      <c r="AD1939" t="s">
        <v>794</v>
      </c>
      <c r="AE1939" t="s">
        <v>804</v>
      </c>
      <c r="AF1939" t="s">
        <v>845</v>
      </c>
      <c r="AG1939" t="s">
        <v>797</v>
      </c>
      <c r="AH1939">
        <v>3357894</v>
      </c>
      <c r="AI1939">
        <v>3357894</v>
      </c>
      <c r="AJ1939">
        <v>0.1288</v>
      </c>
    </row>
    <row r="1940" spans="1:36" x14ac:dyDescent="0.3">
      <c r="A1940">
        <f>COUNTIF($D$2:D1940,D1940)</f>
        <v>8</v>
      </c>
      <c r="B1940" t="str">
        <f t="shared" si="121"/>
        <v>8Slough</v>
      </c>
      <c r="C1940" t="s">
        <v>5548</v>
      </c>
      <c r="D1940" t="s">
        <v>283</v>
      </c>
      <c r="E1940">
        <v>21</v>
      </c>
      <c r="F1940" t="s">
        <v>5549</v>
      </c>
      <c r="G1940" t="s">
        <v>811</v>
      </c>
      <c r="H1940" t="s">
        <v>830</v>
      </c>
      <c r="I1940" t="s">
        <v>813</v>
      </c>
      <c r="J1940">
        <f t="shared" ca="1" si="122"/>
        <v>16387</v>
      </c>
      <c r="K1940">
        <f t="shared" ca="1" si="123"/>
        <v>40</v>
      </c>
      <c r="N1940" t="str">
        <f t="shared" si="120"/>
        <v>Redcar and Cleveland20Home CareHome Care or Domiciliary CareDomiciliary care packages</v>
      </c>
      <c r="O1940" t="s">
        <v>263</v>
      </c>
      <c r="P1940" t="s">
        <v>2195</v>
      </c>
      <c r="Q1940">
        <v>20</v>
      </c>
      <c r="R1940" t="s">
        <v>1447</v>
      </c>
      <c r="S1940" t="s">
        <v>5547</v>
      </c>
      <c r="T1940" t="s">
        <v>842</v>
      </c>
      <c r="U1940" t="s">
        <v>843</v>
      </c>
      <c r="W1940">
        <v>82000</v>
      </c>
      <c r="X1940">
        <v>82000</v>
      </c>
      <c r="Y1940" t="s">
        <v>844</v>
      </c>
      <c r="Z1940" t="s">
        <v>792</v>
      </c>
      <c r="AB1940" t="s">
        <v>793</v>
      </c>
      <c r="AD1940" t="s">
        <v>794</v>
      </c>
      <c r="AE1940" t="s">
        <v>804</v>
      </c>
      <c r="AF1940" t="s">
        <v>796</v>
      </c>
      <c r="AG1940" t="s">
        <v>797</v>
      </c>
      <c r="AH1940">
        <v>1678152</v>
      </c>
      <c r="AI1940">
        <v>1773135</v>
      </c>
      <c r="AJ1940">
        <v>6.6199999999999995E-2</v>
      </c>
    </row>
    <row r="1941" spans="1:36" x14ac:dyDescent="0.3">
      <c r="A1941">
        <f>COUNTIF($D$2:D1941,D1941)</f>
        <v>9</v>
      </c>
      <c r="B1941" t="str">
        <f t="shared" si="121"/>
        <v>9Slough</v>
      </c>
      <c r="C1941" t="s">
        <v>5550</v>
      </c>
      <c r="D1941" t="s">
        <v>283</v>
      </c>
      <c r="E1941">
        <v>22</v>
      </c>
      <c r="F1941" t="s">
        <v>5551</v>
      </c>
      <c r="G1941" t="s">
        <v>842</v>
      </c>
      <c r="H1941" t="s">
        <v>1102</v>
      </c>
      <c r="I1941" t="s">
        <v>789</v>
      </c>
      <c r="J1941">
        <f t="shared" ca="1" si="122"/>
        <v>55000</v>
      </c>
      <c r="K1941">
        <f t="shared" ca="1" si="123"/>
        <v>46</v>
      </c>
      <c r="N1941" t="str">
        <f t="shared" si="120"/>
        <v>Redcar and Cleveland43Effective Discharge -D2A PathwaysBed based intermediate Care Services (Reablement, rehabilitation, wider short-term services supporting recovery)Bed-based intermediate care with reablement accepting step up and step down users</v>
      </c>
      <c r="O1941" t="s">
        <v>263</v>
      </c>
      <c r="P1941" t="s">
        <v>2195</v>
      </c>
      <c r="Q1941">
        <v>43</v>
      </c>
      <c r="R1941" t="s">
        <v>5113</v>
      </c>
      <c r="S1941" t="s">
        <v>4773</v>
      </c>
      <c r="T1941" t="s">
        <v>877</v>
      </c>
      <c r="U1941" t="s">
        <v>1259</v>
      </c>
      <c r="W1941">
        <v>105</v>
      </c>
      <c r="X1941">
        <v>112</v>
      </c>
      <c r="Y1941" t="s">
        <v>879</v>
      </c>
      <c r="Z1941" t="s">
        <v>1061</v>
      </c>
      <c r="AB1941" t="s">
        <v>824</v>
      </c>
      <c r="AD1941" t="s">
        <v>794</v>
      </c>
      <c r="AE1941" t="s">
        <v>804</v>
      </c>
      <c r="AF1941" t="s">
        <v>864</v>
      </c>
      <c r="AG1941" t="s">
        <v>797</v>
      </c>
      <c r="AH1941">
        <v>971294</v>
      </c>
      <c r="AI1941">
        <v>1026269</v>
      </c>
      <c r="AJ1941">
        <v>3.8300000000000001E-2</v>
      </c>
    </row>
    <row r="1942" spans="1:36" x14ac:dyDescent="0.3">
      <c r="A1942">
        <f>COUNTIF($D$2:D1942,D1942)</f>
        <v>10</v>
      </c>
      <c r="B1942" t="str">
        <f t="shared" si="121"/>
        <v>10Slough</v>
      </c>
      <c r="C1942" t="s">
        <v>5552</v>
      </c>
      <c r="D1942" t="s">
        <v>283</v>
      </c>
      <c r="E1942">
        <v>28</v>
      </c>
      <c r="F1942" t="s">
        <v>2108</v>
      </c>
      <c r="G1942" t="s">
        <v>800</v>
      </c>
      <c r="H1942" t="s">
        <v>850</v>
      </c>
      <c r="I1942" t="s">
        <v>802</v>
      </c>
      <c r="J1942">
        <f t="shared" ca="1" si="122"/>
        <v>72000</v>
      </c>
      <c r="K1942">
        <f t="shared" ca="1" si="123"/>
        <v>541</v>
      </c>
      <c r="N1942" t="str">
        <f t="shared" si="120"/>
        <v>Redcar and Cleveland44Disabled Facilities Grant (21/22 underspend)DFG Related SchemesAdaptations, including statutory DFG grants</v>
      </c>
      <c r="O1942" t="s">
        <v>263</v>
      </c>
      <c r="P1942" t="s">
        <v>2195</v>
      </c>
      <c r="Q1942">
        <v>44</v>
      </c>
      <c r="R1942" t="s">
        <v>5115</v>
      </c>
      <c r="S1942" t="s">
        <v>834</v>
      </c>
      <c r="T1942" t="s">
        <v>834</v>
      </c>
      <c r="U1942" t="s">
        <v>835</v>
      </c>
      <c r="W1942">
        <v>164</v>
      </c>
      <c r="X1942">
        <v>164</v>
      </c>
      <c r="Y1942" t="s">
        <v>836</v>
      </c>
      <c r="Z1942" t="s">
        <v>792</v>
      </c>
      <c r="AB1942" t="s">
        <v>793</v>
      </c>
      <c r="AD1942" t="s">
        <v>794</v>
      </c>
      <c r="AE1942" t="s">
        <v>804</v>
      </c>
      <c r="AF1942" t="s">
        <v>1029</v>
      </c>
      <c r="AG1942" t="s">
        <v>797</v>
      </c>
      <c r="AH1942">
        <v>1360697</v>
      </c>
      <c r="AI1942">
        <v>0</v>
      </c>
      <c r="AJ1942">
        <v>5.2999999999999999E-2</v>
      </c>
    </row>
    <row r="1943" spans="1:36" x14ac:dyDescent="0.3">
      <c r="A1943">
        <f>COUNTIF($D$2:D1943,D1943)</f>
        <v>11</v>
      </c>
      <c r="B1943" t="str">
        <f t="shared" si="121"/>
        <v>11Slough</v>
      </c>
      <c r="C1943" t="s">
        <v>5553</v>
      </c>
      <c r="D1943" t="s">
        <v>283</v>
      </c>
      <c r="E1943">
        <v>29</v>
      </c>
      <c r="F1943" t="s">
        <v>1781</v>
      </c>
      <c r="G1943" t="s">
        <v>811</v>
      </c>
      <c r="H1943" t="s">
        <v>895</v>
      </c>
      <c r="I1943" t="s">
        <v>813</v>
      </c>
      <c r="J1943">
        <f t="shared" ca="1" si="122"/>
        <v>216000</v>
      </c>
      <c r="K1943">
        <f t="shared" ca="1" si="123"/>
        <v>625</v>
      </c>
      <c r="N1943" t="str">
        <f t="shared" si="120"/>
        <v>Redcar and Cleveland49Enhanced Reablement &amp; Independence TeamsHome-based intermediate care servicesReablement at home (accepting step up and step down users)</v>
      </c>
      <c r="O1943" t="s">
        <v>263</v>
      </c>
      <c r="P1943" t="s">
        <v>2195</v>
      </c>
      <c r="Q1943">
        <v>49</v>
      </c>
      <c r="R1943" t="s">
        <v>5117</v>
      </c>
      <c r="S1943" t="s">
        <v>5554</v>
      </c>
      <c r="T1943" t="s">
        <v>787</v>
      </c>
      <c r="U1943" t="s">
        <v>930</v>
      </c>
      <c r="W1943">
        <v>505</v>
      </c>
      <c r="X1943">
        <v>505</v>
      </c>
      <c r="Y1943" t="s">
        <v>789</v>
      </c>
      <c r="Z1943" t="s">
        <v>792</v>
      </c>
      <c r="AB1943" t="s">
        <v>793</v>
      </c>
      <c r="AD1943" t="s">
        <v>794</v>
      </c>
      <c r="AE1943" t="s">
        <v>795</v>
      </c>
      <c r="AF1943" t="s">
        <v>1029</v>
      </c>
      <c r="AG1943" t="s">
        <v>797</v>
      </c>
      <c r="AH1943">
        <v>332856</v>
      </c>
      <c r="AI1943">
        <v>0</v>
      </c>
      <c r="AJ1943">
        <v>0.02</v>
      </c>
    </row>
    <row r="1944" spans="1:36" x14ac:dyDescent="0.3">
      <c r="A1944">
        <f>COUNTIF($D$2:D1944,D1944)</f>
        <v>1</v>
      </c>
      <c r="B1944" t="str">
        <f t="shared" si="121"/>
        <v>1Solihull</v>
      </c>
      <c r="C1944" t="s">
        <v>5555</v>
      </c>
      <c r="D1944" t="s">
        <v>285</v>
      </c>
      <c r="E1944">
        <v>2</v>
      </c>
      <c r="F1944" t="s">
        <v>5556</v>
      </c>
      <c r="G1944" t="s">
        <v>811</v>
      </c>
      <c r="H1944" t="s">
        <v>812</v>
      </c>
      <c r="I1944" t="s">
        <v>813</v>
      </c>
      <c r="J1944">
        <f t="shared" ca="1" si="122"/>
        <v>423021</v>
      </c>
      <c r="K1944">
        <f t="shared" ca="1" si="123"/>
        <v>4455</v>
      </c>
      <c r="N1944" t="str">
        <f t="shared" si="120"/>
        <v>Redcar and Cleveland51Therapies Team - Intermediate Care CentreBed based intermediate Care Services (Reablement, rehabilitation, wider short-term services supporting recovery)Bed-based intermediate care with reablement accepting step up and step down users</v>
      </c>
      <c r="O1944" t="s">
        <v>263</v>
      </c>
      <c r="P1944" t="s">
        <v>2195</v>
      </c>
      <c r="Q1944">
        <v>51</v>
      </c>
      <c r="R1944" t="s">
        <v>5119</v>
      </c>
      <c r="S1944" t="s">
        <v>5557</v>
      </c>
      <c r="T1944" t="s">
        <v>877</v>
      </c>
      <c r="U1944" t="s">
        <v>1259</v>
      </c>
      <c r="W1944">
        <v>54</v>
      </c>
      <c r="X1944">
        <v>54</v>
      </c>
      <c r="Y1944" t="s">
        <v>879</v>
      </c>
      <c r="Z1944" t="s">
        <v>792</v>
      </c>
      <c r="AB1944" t="s">
        <v>793</v>
      </c>
      <c r="AD1944" t="s">
        <v>794</v>
      </c>
      <c r="AE1944" t="s">
        <v>795</v>
      </c>
      <c r="AF1944" t="s">
        <v>1029</v>
      </c>
      <c r="AG1944" t="s">
        <v>797</v>
      </c>
      <c r="AH1944">
        <v>49000</v>
      </c>
      <c r="AI1944">
        <v>0</v>
      </c>
      <c r="AJ1944">
        <v>0.01</v>
      </c>
    </row>
    <row r="1945" spans="1:36" x14ac:dyDescent="0.3">
      <c r="A1945">
        <f>COUNTIF($D$2:D1945,D1945)</f>
        <v>2</v>
      </c>
      <c r="B1945" t="str">
        <f t="shared" si="121"/>
        <v>2Solihull</v>
      </c>
      <c r="C1945" t="s">
        <v>5558</v>
      </c>
      <c r="D1945" t="s">
        <v>285</v>
      </c>
      <c r="E1945">
        <v>5</v>
      </c>
      <c r="F1945" t="s">
        <v>5559</v>
      </c>
      <c r="G1945" t="s">
        <v>787</v>
      </c>
      <c r="H1945" t="s">
        <v>788</v>
      </c>
      <c r="I1945" t="s">
        <v>789</v>
      </c>
      <c r="J1945">
        <f t="shared" ca="1" si="122"/>
        <v>2371918</v>
      </c>
      <c r="K1945">
        <f t="shared" ca="1" si="123"/>
        <v>1662.6</v>
      </c>
      <c r="N1945" t="str">
        <f t="shared" si="120"/>
        <v>Redcar and Cleveland53Effective Discharge -D2A PathwaysBed based intermediate Care Services (Reablement, rehabilitation, wider short-term services supporting recovery)Bed-based intermediate care with reablement accepting step up and step down users</v>
      </c>
      <c r="O1945" t="s">
        <v>263</v>
      </c>
      <c r="P1945" t="s">
        <v>2195</v>
      </c>
      <c r="Q1945">
        <v>53</v>
      </c>
      <c r="R1945" t="s">
        <v>5113</v>
      </c>
      <c r="S1945" t="s">
        <v>4773</v>
      </c>
      <c r="T1945" t="s">
        <v>877</v>
      </c>
      <c r="U1945" t="s">
        <v>1259</v>
      </c>
      <c r="W1945">
        <v>36</v>
      </c>
      <c r="X1945">
        <v>43</v>
      </c>
      <c r="Y1945" t="s">
        <v>879</v>
      </c>
      <c r="Z1945" t="s">
        <v>1061</v>
      </c>
      <c r="AB1945" t="s">
        <v>824</v>
      </c>
      <c r="AD1945" t="s">
        <v>794</v>
      </c>
      <c r="AE1945" t="s">
        <v>804</v>
      </c>
      <c r="AF1945" t="s">
        <v>860</v>
      </c>
      <c r="AG1945" t="s">
        <v>797</v>
      </c>
      <c r="AH1945">
        <v>267906</v>
      </c>
      <c r="AI1945">
        <v>309716</v>
      </c>
      <c r="AJ1945">
        <v>0.03</v>
      </c>
    </row>
    <row r="1946" spans="1:36" x14ac:dyDescent="0.3">
      <c r="A1946">
        <f>COUNTIF($D$2:D1946,D1946)</f>
        <v>3</v>
      </c>
      <c r="B1946" t="str">
        <f t="shared" si="121"/>
        <v>3Solihull</v>
      </c>
      <c r="C1946" t="s">
        <v>5560</v>
      </c>
      <c r="D1946" t="s">
        <v>285</v>
      </c>
      <c r="E1946">
        <v>6</v>
      </c>
      <c r="F1946" t="s">
        <v>5561</v>
      </c>
      <c r="G1946" t="s">
        <v>787</v>
      </c>
      <c r="H1946" t="s">
        <v>886</v>
      </c>
      <c r="I1946" t="s">
        <v>789</v>
      </c>
      <c r="J1946">
        <f t="shared" ca="1" si="122"/>
        <v>2192617</v>
      </c>
      <c r="K1946">
        <f t="shared" ca="1" si="123"/>
        <v>2160</v>
      </c>
      <c r="N1946" t="str">
        <f t="shared" si="120"/>
        <v>Redcar and Cleveland54Reablement - overtime paymentsHome-based intermediate care servicesReablement at home (accepting step up and step down users)</v>
      </c>
      <c r="O1946" t="s">
        <v>263</v>
      </c>
      <c r="P1946" t="s">
        <v>2195</v>
      </c>
      <c r="Q1946">
        <v>54</v>
      </c>
      <c r="R1946" t="s">
        <v>5122</v>
      </c>
      <c r="S1946" t="s">
        <v>5562</v>
      </c>
      <c r="T1946" t="s">
        <v>787</v>
      </c>
      <c r="U1946" t="s">
        <v>930</v>
      </c>
      <c r="W1946">
        <v>22</v>
      </c>
      <c r="X1946">
        <v>24</v>
      </c>
      <c r="Y1946" t="s">
        <v>789</v>
      </c>
      <c r="Z1946" t="s">
        <v>792</v>
      </c>
      <c r="AB1946" t="s">
        <v>793</v>
      </c>
      <c r="AD1946" t="s">
        <v>794</v>
      </c>
      <c r="AE1946" t="s">
        <v>795</v>
      </c>
      <c r="AF1946" t="s">
        <v>860</v>
      </c>
      <c r="AG1946" t="s">
        <v>797</v>
      </c>
      <c r="AH1946">
        <v>14700</v>
      </c>
      <c r="AI1946">
        <v>15532</v>
      </c>
      <c r="AJ1946">
        <v>0.01</v>
      </c>
    </row>
    <row r="1947" spans="1:36" x14ac:dyDescent="0.3">
      <c r="A1947">
        <f>COUNTIF($D$2:D1947,D1947)</f>
        <v>4</v>
      </c>
      <c r="B1947" t="str">
        <f t="shared" si="121"/>
        <v>4Solihull</v>
      </c>
      <c r="C1947" t="s">
        <v>5563</v>
      </c>
      <c r="D1947" t="s">
        <v>285</v>
      </c>
      <c r="E1947">
        <v>7</v>
      </c>
      <c r="F1947" t="s">
        <v>5564</v>
      </c>
      <c r="G1947" t="s">
        <v>787</v>
      </c>
      <c r="H1947" t="s">
        <v>1011</v>
      </c>
      <c r="I1947" t="s">
        <v>789</v>
      </c>
      <c r="J1947">
        <f t="shared" ca="1" si="122"/>
        <v>408838</v>
      </c>
      <c r="K1947">
        <f t="shared" ca="1" si="123"/>
        <v>360</v>
      </c>
      <c r="N1947" t="str">
        <f t="shared" si="120"/>
        <v>Redcar and Cleveland57Carers IncentiveCarers ServicesRespite services</v>
      </c>
      <c r="O1947" t="s">
        <v>263</v>
      </c>
      <c r="P1947" t="s">
        <v>2195</v>
      </c>
      <c r="Q1947">
        <v>57</v>
      </c>
      <c r="R1947" t="s">
        <v>5124</v>
      </c>
      <c r="S1947" t="s">
        <v>5565</v>
      </c>
      <c r="T1947" t="s">
        <v>811</v>
      </c>
      <c r="U1947" t="s">
        <v>830</v>
      </c>
      <c r="W1947">
        <v>200</v>
      </c>
      <c r="X1947">
        <v>211</v>
      </c>
      <c r="Y1947" t="s">
        <v>813</v>
      </c>
      <c r="Z1947" t="s">
        <v>792</v>
      </c>
      <c r="AB1947" t="s">
        <v>793</v>
      </c>
      <c r="AD1947" t="s">
        <v>794</v>
      </c>
      <c r="AE1947" t="s">
        <v>825</v>
      </c>
      <c r="AF1947" t="s">
        <v>860</v>
      </c>
      <c r="AG1947" t="s">
        <v>797</v>
      </c>
      <c r="AH1947">
        <v>50000</v>
      </c>
      <c r="AI1947">
        <v>52830</v>
      </c>
      <c r="AJ1947">
        <v>0.01</v>
      </c>
    </row>
    <row r="1948" spans="1:36" x14ac:dyDescent="0.3">
      <c r="A1948">
        <f>COUNTIF($D$2:D1948,D1948)</f>
        <v>5</v>
      </c>
      <c r="B1948" t="str">
        <f t="shared" si="121"/>
        <v>5Solihull</v>
      </c>
      <c r="C1948" t="s">
        <v>5566</v>
      </c>
      <c r="D1948" t="s">
        <v>285</v>
      </c>
      <c r="E1948">
        <v>8</v>
      </c>
      <c r="F1948" t="s">
        <v>5567</v>
      </c>
      <c r="G1948" t="s">
        <v>877</v>
      </c>
      <c r="H1948" t="s">
        <v>878</v>
      </c>
      <c r="I1948" t="s">
        <v>879</v>
      </c>
      <c r="J1948">
        <f t="shared" ca="1" si="122"/>
        <v>890889</v>
      </c>
      <c r="K1948">
        <f t="shared" ca="1" si="123"/>
        <v>21</v>
      </c>
      <c r="N1948" t="str">
        <f t="shared" si="120"/>
        <v>Redcar and Cleveland58Tees Community Equipment ServicesAssistive Technologies and EquipmentCommunity based equipment</v>
      </c>
      <c r="O1948" t="s">
        <v>263</v>
      </c>
      <c r="P1948" t="s">
        <v>2195</v>
      </c>
      <c r="Q1948">
        <v>58</v>
      </c>
      <c r="R1948" t="s">
        <v>5126</v>
      </c>
      <c r="S1948" t="s">
        <v>5568</v>
      </c>
      <c r="T1948" t="s">
        <v>800</v>
      </c>
      <c r="U1948" t="s">
        <v>903</v>
      </c>
      <c r="W1948">
        <v>160</v>
      </c>
      <c r="X1948">
        <v>160</v>
      </c>
      <c r="Y1948" t="s">
        <v>802</v>
      </c>
      <c r="Z1948" t="s">
        <v>823</v>
      </c>
      <c r="AB1948" t="s">
        <v>824</v>
      </c>
      <c r="AD1948" t="s">
        <v>794</v>
      </c>
      <c r="AE1948" t="s">
        <v>795</v>
      </c>
      <c r="AF1948" t="s">
        <v>860</v>
      </c>
      <c r="AG1948" t="s">
        <v>797</v>
      </c>
      <c r="AH1948">
        <v>76404</v>
      </c>
      <c r="AI1948">
        <v>80728</v>
      </c>
      <c r="AJ1948">
        <v>0.02</v>
      </c>
    </row>
    <row r="1949" spans="1:36" x14ac:dyDescent="0.3">
      <c r="A1949">
        <f>COUNTIF($D$2:D1949,D1949)</f>
        <v>6</v>
      </c>
      <c r="B1949" t="str">
        <f t="shared" si="121"/>
        <v>6Solihull</v>
      </c>
      <c r="C1949" t="s">
        <v>5569</v>
      </c>
      <c r="D1949" t="s">
        <v>285</v>
      </c>
      <c r="E1949">
        <v>9</v>
      </c>
      <c r="F1949" t="s">
        <v>5570</v>
      </c>
      <c r="G1949" t="s">
        <v>806</v>
      </c>
      <c r="H1949" t="s">
        <v>955</v>
      </c>
      <c r="I1949" t="s">
        <v>808</v>
      </c>
      <c r="J1949">
        <f t="shared" ca="1" si="122"/>
        <v>1618760</v>
      </c>
      <c r="K1949">
        <f t="shared" ca="1" si="123"/>
        <v>39</v>
      </c>
      <c r="N1949" t="str">
        <f t="shared" si="120"/>
        <v>Redcar and Cleveland62Enhanced Reablement &amp; Independence TeamsHome-based intermediate care servicesReablement at home (accepting step up and step down users)</v>
      </c>
      <c r="O1949" t="s">
        <v>263</v>
      </c>
      <c r="P1949" t="s">
        <v>2195</v>
      </c>
      <c r="Q1949">
        <v>62</v>
      </c>
      <c r="R1949" t="s">
        <v>5117</v>
      </c>
      <c r="S1949" t="s">
        <v>5554</v>
      </c>
      <c r="T1949" t="s">
        <v>787</v>
      </c>
      <c r="U1949" t="s">
        <v>930</v>
      </c>
      <c r="W1949">
        <v>520</v>
      </c>
      <c r="X1949">
        <v>520</v>
      </c>
      <c r="Y1949" t="s">
        <v>789</v>
      </c>
      <c r="Z1949" t="s">
        <v>792</v>
      </c>
      <c r="AB1949" t="s">
        <v>793</v>
      </c>
      <c r="AD1949" t="s">
        <v>794</v>
      </c>
      <c r="AE1949" t="s">
        <v>795</v>
      </c>
      <c r="AF1949" t="s">
        <v>864</v>
      </c>
      <c r="AG1949" t="s">
        <v>797</v>
      </c>
      <c r="AH1949">
        <v>0</v>
      </c>
      <c r="AI1949">
        <v>342842</v>
      </c>
      <c r="AJ1949">
        <v>1.34E-2</v>
      </c>
    </row>
    <row r="1950" spans="1:36" x14ac:dyDescent="0.3">
      <c r="A1950">
        <f>COUNTIF($D$2:D1950,D1950)</f>
        <v>7</v>
      </c>
      <c r="B1950" t="str">
        <f t="shared" si="121"/>
        <v>7Solihull</v>
      </c>
      <c r="C1950" t="s">
        <v>5571</v>
      </c>
      <c r="D1950" t="s">
        <v>285</v>
      </c>
      <c r="E1950">
        <v>11</v>
      </c>
      <c r="F1950" t="s">
        <v>5572</v>
      </c>
      <c r="G1950" t="s">
        <v>834</v>
      </c>
      <c r="H1950" t="s">
        <v>835</v>
      </c>
      <c r="I1950" t="s">
        <v>836</v>
      </c>
      <c r="J1950">
        <f t="shared" ca="1" si="122"/>
        <v>2484854</v>
      </c>
      <c r="K1950">
        <f t="shared" ca="1" si="123"/>
        <v>225</v>
      </c>
      <c r="N1950" t="str">
        <f t="shared" si="120"/>
        <v>Redcar and Cleveland68Therapies Team - Intermediate Care CentreBed based intermediate Care Services (Reablement, rehabilitation, wider short-term services supporting recovery)Bed-based intermediate care with reablement accepting step up and step down users</v>
      </c>
      <c r="O1950" t="s">
        <v>263</v>
      </c>
      <c r="P1950" t="s">
        <v>2195</v>
      </c>
      <c r="Q1950">
        <v>68</v>
      </c>
      <c r="R1950" t="s">
        <v>5119</v>
      </c>
      <c r="S1950" t="s">
        <v>5557</v>
      </c>
      <c r="T1950" t="s">
        <v>877</v>
      </c>
      <c r="U1950" t="s">
        <v>1259</v>
      </c>
      <c r="W1950">
        <v>56</v>
      </c>
      <c r="X1950">
        <v>56</v>
      </c>
      <c r="Y1950" t="s">
        <v>879</v>
      </c>
      <c r="Z1950" t="s">
        <v>792</v>
      </c>
      <c r="AB1950" t="s">
        <v>793</v>
      </c>
      <c r="AD1950" t="s">
        <v>794</v>
      </c>
      <c r="AE1950" t="s">
        <v>795</v>
      </c>
      <c r="AF1950" t="s">
        <v>860</v>
      </c>
      <c r="AG1950" t="s">
        <v>861</v>
      </c>
      <c r="AH1950">
        <v>0</v>
      </c>
      <c r="AI1950">
        <v>50470</v>
      </c>
      <c r="AJ1950">
        <v>0.01</v>
      </c>
    </row>
    <row r="1951" spans="1:36" x14ac:dyDescent="0.3">
      <c r="A1951">
        <f>COUNTIF($D$2:D1951,D1951)</f>
        <v>8</v>
      </c>
      <c r="B1951" t="str">
        <f t="shared" si="121"/>
        <v>8Solihull</v>
      </c>
      <c r="C1951" t="s">
        <v>5573</v>
      </c>
      <c r="D1951" t="s">
        <v>285</v>
      </c>
      <c r="E1951">
        <v>15</v>
      </c>
      <c r="F1951" t="s">
        <v>5574</v>
      </c>
      <c r="G1951" t="s">
        <v>806</v>
      </c>
      <c r="H1951" t="s">
        <v>807</v>
      </c>
      <c r="I1951" t="s">
        <v>808</v>
      </c>
      <c r="J1951">
        <f t="shared" ca="1" si="122"/>
        <v>1948040</v>
      </c>
      <c r="K1951">
        <f t="shared" ca="1" si="123"/>
        <v>47</v>
      </c>
      <c r="N1951" t="str">
        <f t="shared" si="120"/>
        <v>Redcar and Cleveland69Enhanced Reablement &amp; Independence TeamsHome-based intermediate care servicesRehabilitation at home (accepting step up and step down users)</v>
      </c>
      <c r="O1951" t="s">
        <v>263</v>
      </c>
      <c r="P1951" t="s">
        <v>2195</v>
      </c>
      <c r="Q1951">
        <v>69</v>
      </c>
      <c r="R1951" t="s">
        <v>5117</v>
      </c>
      <c r="S1951" t="s">
        <v>5554</v>
      </c>
      <c r="T1951" t="s">
        <v>787</v>
      </c>
      <c r="U1951" t="s">
        <v>1688</v>
      </c>
      <c r="W1951">
        <v>207</v>
      </c>
      <c r="X1951">
        <v>207</v>
      </c>
      <c r="Y1951" t="s">
        <v>789</v>
      </c>
      <c r="Z1951" t="s">
        <v>792</v>
      </c>
      <c r="AB1951" t="s">
        <v>793</v>
      </c>
      <c r="AD1951" t="s">
        <v>794</v>
      </c>
      <c r="AE1951" t="s">
        <v>795</v>
      </c>
      <c r="AF1951" t="s">
        <v>860</v>
      </c>
      <c r="AG1951" t="s">
        <v>861</v>
      </c>
      <c r="AH1951">
        <v>0</v>
      </c>
      <c r="AI1951">
        <v>136229</v>
      </c>
      <c r="AJ1951">
        <v>5.3E-3</v>
      </c>
    </row>
    <row r="1952" spans="1:36" x14ac:dyDescent="0.3">
      <c r="A1952">
        <f>COUNTIF($D$2:D1952,D1952)</f>
        <v>9</v>
      </c>
      <c r="B1952" t="str">
        <f t="shared" si="121"/>
        <v>9Solihull</v>
      </c>
      <c r="C1952" t="s">
        <v>5575</v>
      </c>
      <c r="D1952" t="s">
        <v>285</v>
      </c>
      <c r="E1952">
        <v>19</v>
      </c>
      <c r="F1952" t="s">
        <v>5576</v>
      </c>
      <c r="G1952" t="s">
        <v>877</v>
      </c>
      <c r="H1952" t="s">
        <v>878</v>
      </c>
      <c r="I1952" t="s">
        <v>879</v>
      </c>
      <c r="J1952">
        <f t="shared" ca="1" si="122"/>
        <v>93200</v>
      </c>
      <c r="K1952">
        <f t="shared" ca="1" si="123"/>
        <v>6</v>
      </c>
      <c r="N1952" t="str">
        <f t="shared" si="120"/>
        <v>Richmond upon Thames22Richmond Response and Rehabilitation SchemeHome-based intermediate care servicesReablement at home (accepting step up and step down users)</v>
      </c>
      <c r="O1952" t="s">
        <v>265</v>
      </c>
      <c r="P1952" t="s">
        <v>790</v>
      </c>
      <c r="Q1952">
        <v>22</v>
      </c>
      <c r="R1952" t="s">
        <v>5132</v>
      </c>
      <c r="S1952" t="s">
        <v>5577</v>
      </c>
      <c r="T1952" t="s">
        <v>787</v>
      </c>
      <c r="U1952" t="s">
        <v>930</v>
      </c>
      <c r="W1952">
        <v>752</v>
      </c>
      <c r="X1952">
        <v>752</v>
      </c>
      <c r="Y1952" t="s">
        <v>789</v>
      </c>
      <c r="Z1952" t="s">
        <v>792</v>
      </c>
      <c r="AB1952" t="s">
        <v>793</v>
      </c>
      <c r="AD1952" t="s">
        <v>794</v>
      </c>
      <c r="AE1952" t="s">
        <v>795</v>
      </c>
      <c r="AF1952" t="s">
        <v>845</v>
      </c>
      <c r="AG1952" t="s">
        <v>797</v>
      </c>
      <c r="AH1952">
        <v>776430.79</v>
      </c>
      <c r="AI1952">
        <v>776430.79</v>
      </c>
      <c r="AJ1952">
        <v>0.3</v>
      </c>
    </row>
    <row r="1953" spans="1:36" x14ac:dyDescent="0.3">
      <c r="A1953">
        <f>COUNTIF($D$2:D1953,D1953)</f>
        <v>10</v>
      </c>
      <c r="B1953" t="str">
        <f t="shared" si="121"/>
        <v>10Solihull</v>
      </c>
      <c r="C1953" t="s">
        <v>5578</v>
      </c>
      <c r="D1953" t="s">
        <v>285</v>
      </c>
      <c r="E1953">
        <v>21</v>
      </c>
      <c r="F1953" t="s">
        <v>5579</v>
      </c>
      <c r="G1953" t="s">
        <v>877</v>
      </c>
      <c r="H1953" t="s">
        <v>878</v>
      </c>
      <c r="I1953" t="s">
        <v>879</v>
      </c>
      <c r="J1953">
        <f t="shared" ca="1" si="122"/>
        <v>388242</v>
      </c>
      <c r="K1953">
        <f t="shared" ca="1" si="123"/>
        <v>8</v>
      </c>
      <c r="N1953" t="str">
        <f t="shared" si="120"/>
        <v>Richmond upon Thames22Richmond Response and Rehabilitation SchemeHome-based intermediate care servicesReablement at home (accepting step up and step down users)</v>
      </c>
      <c r="O1953" t="s">
        <v>265</v>
      </c>
      <c r="P1953" t="s">
        <v>790</v>
      </c>
      <c r="Q1953">
        <v>22</v>
      </c>
      <c r="R1953" t="s">
        <v>5132</v>
      </c>
      <c r="S1953" t="s">
        <v>5580</v>
      </c>
      <c r="T1953" t="s">
        <v>787</v>
      </c>
      <c r="U1953" t="s">
        <v>930</v>
      </c>
      <c r="W1953">
        <v>738</v>
      </c>
      <c r="X1953">
        <v>738</v>
      </c>
      <c r="Y1953" t="s">
        <v>789</v>
      </c>
      <c r="Z1953" t="s">
        <v>792</v>
      </c>
      <c r="AB1953" t="s">
        <v>793</v>
      </c>
      <c r="AD1953" t="s">
        <v>794</v>
      </c>
      <c r="AE1953" t="s">
        <v>832</v>
      </c>
      <c r="AF1953" t="s">
        <v>796</v>
      </c>
      <c r="AG1953" t="s">
        <v>797</v>
      </c>
      <c r="AH1953">
        <v>762943.39</v>
      </c>
      <c r="AI1953">
        <v>806125.99</v>
      </c>
      <c r="AJ1953">
        <v>0.3</v>
      </c>
    </row>
    <row r="1954" spans="1:36" x14ac:dyDescent="0.3">
      <c r="A1954">
        <f>COUNTIF($D$2:D1954,D1954)</f>
        <v>11</v>
      </c>
      <c r="B1954" t="str">
        <f t="shared" si="121"/>
        <v>11Solihull</v>
      </c>
      <c r="C1954" t="s">
        <v>5581</v>
      </c>
      <c r="D1954" t="s">
        <v>285</v>
      </c>
      <c r="E1954">
        <v>31</v>
      </c>
      <c r="F1954" t="s">
        <v>5582</v>
      </c>
      <c r="G1954" t="s">
        <v>877</v>
      </c>
      <c r="H1954" t="s">
        <v>878</v>
      </c>
      <c r="I1954" t="s">
        <v>879</v>
      </c>
      <c r="J1954">
        <f t="shared" ca="1" si="122"/>
        <v>188846</v>
      </c>
      <c r="K1954">
        <f t="shared" ca="1" si="123"/>
        <v>3</v>
      </c>
      <c r="N1954" t="str">
        <f t="shared" si="120"/>
        <v>Richmond upon Thames33Live in CareHome Care or Domiciliary CareShort term domiciliary care (without reablement input)</v>
      </c>
      <c r="O1954" t="s">
        <v>265</v>
      </c>
      <c r="P1954" t="s">
        <v>790</v>
      </c>
      <c r="Q1954">
        <v>33</v>
      </c>
      <c r="R1954" t="s">
        <v>5135</v>
      </c>
      <c r="S1954" t="s">
        <v>5583</v>
      </c>
      <c r="T1954" t="s">
        <v>842</v>
      </c>
      <c r="U1954" t="s">
        <v>1102</v>
      </c>
      <c r="W1954">
        <v>100</v>
      </c>
      <c r="X1954">
        <v>166</v>
      </c>
      <c r="Y1954" t="s">
        <v>789</v>
      </c>
      <c r="Z1954" t="s">
        <v>792</v>
      </c>
      <c r="AB1954" t="s">
        <v>793</v>
      </c>
      <c r="AD1954" t="s">
        <v>794</v>
      </c>
      <c r="AE1954" t="s">
        <v>795</v>
      </c>
      <c r="AF1954" t="s">
        <v>860</v>
      </c>
      <c r="AG1954" t="s">
        <v>861</v>
      </c>
      <c r="AH1954">
        <v>228342.54</v>
      </c>
      <c r="AI1954">
        <v>379048.6164</v>
      </c>
      <c r="AJ1954">
        <v>0.05</v>
      </c>
    </row>
    <row r="1955" spans="1:36" x14ac:dyDescent="0.3">
      <c r="A1955">
        <f>COUNTIF($D$2:D1955,D1955)</f>
        <v>12</v>
      </c>
      <c r="B1955" t="str">
        <f t="shared" si="121"/>
        <v>12Solihull</v>
      </c>
      <c r="C1955" t="s">
        <v>5584</v>
      </c>
      <c r="D1955" t="s">
        <v>285</v>
      </c>
      <c r="E1955">
        <v>32</v>
      </c>
      <c r="F1955" t="s">
        <v>5585</v>
      </c>
      <c r="G1955" t="s">
        <v>806</v>
      </c>
      <c r="H1955" t="s">
        <v>807</v>
      </c>
      <c r="I1955" t="s">
        <v>808</v>
      </c>
      <c r="J1955">
        <f t="shared" ca="1" si="122"/>
        <v>329603</v>
      </c>
      <c r="K1955">
        <f t="shared" ca="1" si="123"/>
        <v>12</v>
      </c>
      <c r="N1955" t="str">
        <f t="shared" si="120"/>
        <v>Richmond upon Thames33Additional Home Care CostsHome Care or Domiciliary CareShort term domiciliary care (without reablement input)</v>
      </c>
      <c r="O1955" t="s">
        <v>265</v>
      </c>
      <c r="P1955" t="s">
        <v>790</v>
      </c>
      <c r="Q1955">
        <v>33</v>
      </c>
      <c r="R1955" t="s">
        <v>5137</v>
      </c>
      <c r="S1955" t="s">
        <v>5586</v>
      </c>
      <c r="T1955" t="s">
        <v>842</v>
      </c>
      <c r="U1955" t="s">
        <v>1102</v>
      </c>
      <c r="W1955">
        <v>34</v>
      </c>
      <c r="X1955">
        <v>56</v>
      </c>
      <c r="Y1955" t="s">
        <v>789</v>
      </c>
      <c r="Z1955" t="s">
        <v>792</v>
      </c>
      <c r="AB1955" t="s">
        <v>793</v>
      </c>
      <c r="AD1955" t="s">
        <v>794</v>
      </c>
      <c r="AE1955" t="s">
        <v>795</v>
      </c>
      <c r="AF1955" t="s">
        <v>860</v>
      </c>
      <c r="AG1955" t="s">
        <v>861</v>
      </c>
      <c r="AH1955">
        <v>62167</v>
      </c>
      <c r="AI1955">
        <v>202694</v>
      </c>
      <c r="AJ1955">
        <v>0.01</v>
      </c>
    </row>
    <row r="1956" spans="1:36" x14ac:dyDescent="0.3">
      <c r="A1956">
        <f>COUNTIF($D$2:D1956,D1956)</f>
        <v>13</v>
      </c>
      <c r="B1956" t="str">
        <f t="shared" si="121"/>
        <v>13Solihull</v>
      </c>
      <c r="C1956" t="s">
        <v>5587</v>
      </c>
      <c r="D1956" t="s">
        <v>285</v>
      </c>
      <c r="E1956">
        <v>33</v>
      </c>
      <c r="F1956" t="s">
        <v>5588</v>
      </c>
      <c r="G1956" t="s">
        <v>800</v>
      </c>
      <c r="H1956" t="s">
        <v>903</v>
      </c>
      <c r="I1956" t="s">
        <v>802</v>
      </c>
      <c r="J1956">
        <f t="shared" ca="1" si="122"/>
        <v>1654979</v>
      </c>
      <c r="K1956">
        <f t="shared" ca="1" si="123"/>
        <v>9399</v>
      </c>
      <c r="N1956" t="str">
        <f t="shared" si="120"/>
        <v>Richmond upon Thames34Equipment and Assistive TechnologiesAssistive Technologies and EquipmentCommunity based equipment</v>
      </c>
      <c r="O1956" t="s">
        <v>265</v>
      </c>
      <c r="P1956" t="s">
        <v>790</v>
      </c>
      <c r="Q1956">
        <v>34</v>
      </c>
      <c r="R1956" t="s">
        <v>5140</v>
      </c>
      <c r="S1956" t="s">
        <v>5589</v>
      </c>
      <c r="T1956" t="s">
        <v>800</v>
      </c>
      <c r="U1956" t="s">
        <v>903</v>
      </c>
      <c r="W1956">
        <v>661</v>
      </c>
      <c r="X1956">
        <v>698</v>
      </c>
      <c r="Y1956" t="s">
        <v>802</v>
      </c>
      <c r="Z1956" t="s">
        <v>823</v>
      </c>
      <c r="AB1956" t="s">
        <v>824</v>
      </c>
      <c r="AD1956" t="s">
        <v>794</v>
      </c>
      <c r="AE1956" t="s">
        <v>804</v>
      </c>
      <c r="AF1956" t="s">
        <v>796</v>
      </c>
      <c r="AG1956" t="s">
        <v>797</v>
      </c>
      <c r="AH1956">
        <v>808469.11</v>
      </c>
      <c r="AI1956">
        <v>854228.46</v>
      </c>
      <c r="AJ1956">
        <v>0.36</v>
      </c>
    </row>
    <row r="1957" spans="1:36" x14ac:dyDescent="0.3">
      <c r="A1957">
        <f>COUNTIF($D$2:D1957,D1957)</f>
        <v>14</v>
      </c>
      <c r="B1957" t="str">
        <f t="shared" si="121"/>
        <v>14Solihull</v>
      </c>
      <c r="C1957" t="s">
        <v>5590</v>
      </c>
      <c r="D1957" t="s">
        <v>285</v>
      </c>
      <c r="E1957">
        <v>36</v>
      </c>
      <c r="F1957" t="s">
        <v>5591</v>
      </c>
      <c r="G1957" t="s">
        <v>787</v>
      </c>
      <c r="H1957" t="s">
        <v>1195</v>
      </c>
      <c r="I1957" t="s">
        <v>789</v>
      </c>
      <c r="J1957">
        <f t="shared" ca="1" si="122"/>
        <v>1007805</v>
      </c>
      <c r="K1957">
        <f t="shared" ca="1" si="123"/>
        <v>1992</v>
      </c>
      <c r="N1957" t="str">
        <f t="shared" si="120"/>
        <v>Richmond upon Thames41Protection of Adult Social CareHome Care or Domiciliary CareDomiciliary care to support hospital discharge (Discharge to Assess pathway 1)</v>
      </c>
      <c r="O1957" t="s">
        <v>265</v>
      </c>
      <c r="P1957" t="s">
        <v>790</v>
      </c>
      <c r="Q1957">
        <v>41</v>
      </c>
      <c r="R1957" t="s">
        <v>1802</v>
      </c>
      <c r="S1957" t="s">
        <v>5592</v>
      </c>
      <c r="T1957" t="s">
        <v>842</v>
      </c>
      <c r="U1957" t="s">
        <v>856</v>
      </c>
      <c r="W1957">
        <v>92300</v>
      </c>
      <c r="X1957">
        <v>92300</v>
      </c>
      <c r="Y1957" t="s">
        <v>844</v>
      </c>
      <c r="Z1957" t="s">
        <v>792</v>
      </c>
      <c r="AB1957" t="s">
        <v>793</v>
      </c>
      <c r="AD1957" t="s">
        <v>794</v>
      </c>
      <c r="AE1957" t="s">
        <v>795</v>
      </c>
      <c r="AF1957" t="s">
        <v>796</v>
      </c>
      <c r="AG1957" t="s">
        <v>797</v>
      </c>
      <c r="AH1957">
        <v>1732493.28</v>
      </c>
      <c r="AI1957">
        <v>1830552.4</v>
      </c>
      <c r="AJ1957">
        <v>0.27</v>
      </c>
    </row>
    <row r="1958" spans="1:36" x14ac:dyDescent="0.3">
      <c r="A1958">
        <f>COUNTIF($D$2:D1958,D1958)</f>
        <v>15</v>
      </c>
      <c r="B1958" t="str">
        <f t="shared" si="121"/>
        <v>15Solihull</v>
      </c>
      <c r="C1958" t="s">
        <v>5593</v>
      </c>
      <c r="D1958" t="s">
        <v>285</v>
      </c>
      <c r="E1958">
        <v>38</v>
      </c>
      <c r="F1958" t="s">
        <v>5594</v>
      </c>
      <c r="G1958" t="s">
        <v>787</v>
      </c>
      <c r="H1958" t="s">
        <v>1011</v>
      </c>
      <c r="I1958" t="s">
        <v>789</v>
      </c>
      <c r="J1958">
        <f t="shared" ca="1" si="122"/>
        <v>1320893</v>
      </c>
      <c r="K1958">
        <f t="shared" ca="1" si="123"/>
        <v>5290</v>
      </c>
      <c r="N1958" t="str">
        <f t="shared" si="120"/>
        <v>Richmond upon Thames43Older people's care and supportResidential PlacementsCare home</v>
      </c>
      <c r="O1958" t="s">
        <v>265</v>
      </c>
      <c r="P1958" t="s">
        <v>790</v>
      </c>
      <c r="Q1958">
        <v>43</v>
      </c>
      <c r="R1958" t="s">
        <v>5144</v>
      </c>
      <c r="S1958" t="s">
        <v>5595</v>
      </c>
      <c r="T1958" t="s">
        <v>806</v>
      </c>
      <c r="U1958" t="s">
        <v>807</v>
      </c>
      <c r="W1958">
        <v>25</v>
      </c>
      <c r="X1958">
        <v>25</v>
      </c>
      <c r="Y1958" t="s">
        <v>808</v>
      </c>
      <c r="Z1958" t="s">
        <v>792</v>
      </c>
      <c r="AB1958" t="s">
        <v>793</v>
      </c>
      <c r="AD1958" t="s">
        <v>794</v>
      </c>
      <c r="AE1958" t="s">
        <v>795</v>
      </c>
      <c r="AF1958" t="s">
        <v>796</v>
      </c>
      <c r="AG1958" t="s">
        <v>797</v>
      </c>
      <c r="AH1958">
        <v>1599506.44</v>
      </c>
      <c r="AI1958">
        <v>1690038.5</v>
      </c>
      <c r="AJ1958">
        <v>0.08</v>
      </c>
    </row>
    <row r="1959" spans="1:36" x14ac:dyDescent="0.3">
      <c r="A1959">
        <f>COUNTIF($D$2:D1959,D1959)</f>
        <v>16</v>
      </c>
      <c r="B1959" t="str">
        <f t="shared" si="121"/>
        <v>16Solihull</v>
      </c>
      <c r="C1959" t="s">
        <v>5596</v>
      </c>
      <c r="D1959" t="s">
        <v>285</v>
      </c>
      <c r="E1959">
        <v>41</v>
      </c>
      <c r="F1959" t="s">
        <v>5597</v>
      </c>
      <c r="G1959" t="s">
        <v>787</v>
      </c>
      <c r="H1959" t="s">
        <v>1011</v>
      </c>
      <c r="I1959" t="s">
        <v>789</v>
      </c>
      <c r="J1959">
        <f t="shared" ca="1" si="122"/>
        <v>70041</v>
      </c>
      <c r="K1959">
        <f t="shared" ca="1" si="123"/>
        <v>278</v>
      </c>
      <c r="N1959" t="str">
        <f t="shared" si="120"/>
        <v>Richmond upon Thames51Carers supportCarers ServicesRespite services</v>
      </c>
      <c r="O1959" t="s">
        <v>265</v>
      </c>
      <c r="P1959" t="s">
        <v>790</v>
      </c>
      <c r="Q1959">
        <v>51</v>
      </c>
      <c r="R1959" t="s">
        <v>1399</v>
      </c>
      <c r="S1959" t="s">
        <v>5598</v>
      </c>
      <c r="T1959" t="s">
        <v>811</v>
      </c>
      <c r="U1959" t="s">
        <v>830</v>
      </c>
      <c r="W1959">
        <v>6120</v>
      </c>
      <c r="X1959">
        <v>6303</v>
      </c>
      <c r="Y1959" t="s">
        <v>813</v>
      </c>
      <c r="Z1959" t="s">
        <v>792</v>
      </c>
      <c r="AB1959" t="s">
        <v>793</v>
      </c>
      <c r="AD1959" t="s">
        <v>794</v>
      </c>
      <c r="AE1959" t="s">
        <v>804</v>
      </c>
      <c r="AF1959" t="s">
        <v>796</v>
      </c>
      <c r="AG1959" t="s">
        <v>797</v>
      </c>
      <c r="AH1959">
        <v>501046.06</v>
      </c>
      <c r="AI1959">
        <v>529405.27</v>
      </c>
      <c r="AJ1959">
        <v>0.77</v>
      </c>
    </row>
    <row r="1960" spans="1:36" x14ac:dyDescent="0.3">
      <c r="A1960">
        <f>COUNTIF($D$2:D1960,D1960)</f>
        <v>17</v>
      </c>
      <c r="B1960" t="str">
        <f t="shared" si="121"/>
        <v>17Solihull</v>
      </c>
      <c r="C1960" t="s">
        <v>5599</v>
      </c>
      <c r="D1960" t="s">
        <v>285</v>
      </c>
      <c r="E1960">
        <v>45</v>
      </c>
      <c r="F1960" t="s">
        <v>5600</v>
      </c>
      <c r="G1960" t="s">
        <v>877</v>
      </c>
      <c r="H1960" t="s">
        <v>878</v>
      </c>
      <c r="I1960" t="s">
        <v>879</v>
      </c>
      <c r="J1960">
        <f t="shared" ca="1" si="122"/>
        <v>1051327</v>
      </c>
      <c r="K1960">
        <f t="shared" ca="1" si="123"/>
        <v>20</v>
      </c>
      <c r="N1960" t="str">
        <f t="shared" si="120"/>
        <v>Richmond upon Thames52VCS support to dischargeCarers ServicesCarer advice and support related to Care Act duties</v>
      </c>
      <c r="O1960" t="s">
        <v>265</v>
      </c>
      <c r="P1960" t="s">
        <v>790</v>
      </c>
      <c r="Q1960">
        <v>52</v>
      </c>
      <c r="R1960" t="s">
        <v>5148</v>
      </c>
      <c r="S1960" t="s">
        <v>5601</v>
      </c>
      <c r="T1960" t="s">
        <v>811</v>
      </c>
      <c r="U1960" t="s">
        <v>895</v>
      </c>
      <c r="W1960">
        <v>2298</v>
      </c>
      <c r="X1960">
        <v>2350</v>
      </c>
      <c r="Y1960" t="s">
        <v>813</v>
      </c>
      <c r="Z1960" t="s">
        <v>812</v>
      </c>
      <c r="AA1960" t="s">
        <v>5602</v>
      </c>
      <c r="AB1960" t="s">
        <v>793</v>
      </c>
      <c r="AD1960" t="s">
        <v>794</v>
      </c>
      <c r="AE1960" t="s">
        <v>825</v>
      </c>
      <c r="AF1960" t="s">
        <v>864</v>
      </c>
      <c r="AG1960" t="s">
        <v>861</v>
      </c>
      <c r="AH1960">
        <v>108854</v>
      </c>
      <c r="AI1960">
        <v>180697.64</v>
      </c>
      <c r="AJ1960">
        <v>0.11</v>
      </c>
    </row>
    <row r="1961" spans="1:36" x14ac:dyDescent="0.3">
      <c r="A1961">
        <f>COUNTIF($D$2:D1961,D1961)</f>
        <v>18</v>
      </c>
      <c r="B1961" t="str">
        <f t="shared" si="121"/>
        <v>18Solihull</v>
      </c>
      <c r="C1961" t="s">
        <v>5603</v>
      </c>
      <c r="D1961" t="s">
        <v>285</v>
      </c>
      <c r="E1961">
        <v>47</v>
      </c>
      <c r="F1961" t="s">
        <v>5604</v>
      </c>
      <c r="G1961" t="s">
        <v>877</v>
      </c>
      <c r="H1961" t="s">
        <v>878</v>
      </c>
      <c r="I1961" t="s">
        <v>879</v>
      </c>
      <c r="J1961">
        <f t="shared" ca="1" si="122"/>
        <v>28588</v>
      </c>
      <c r="K1961">
        <f t="shared" ca="1" si="123"/>
        <v>156</v>
      </c>
      <c r="N1961" t="str">
        <f t="shared" si="120"/>
        <v>Richmond upon Thames61Disabled Facilities Grant (DFG) activitiesDFG Related SchemesAdaptations, including statutory DFG grants</v>
      </c>
      <c r="O1961" t="s">
        <v>265</v>
      </c>
      <c r="P1961" t="s">
        <v>790</v>
      </c>
      <c r="Q1961">
        <v>61</v>
      </c>
      <c r="R1961" t="s">
        <v>5151</v>
      </c>
      <c r="S1961" t="s">
        <v>5605</v>
      </c>
      <c r="T1961" t="s">
        <v>834</v>
      </c>
      <c r="U1961" t="s">
        <v>835</v>
      </c>
      <c r="W1961">
        <v>184</v>
      </c>
      <c r="X1961">
        <v>184</v>
      </c>
      <c r="Y1961" t="s">
        <v>836</v>
      </c>
      <c r="Z1961" t="s">
        <v>792</v>
      </c>
      <c r="AB1961" t="s">
        <v>793</v>
      </c>
      <c r="AD1961" t="s">
        <v>794</v>
      </c>
      <c r="AE1961" t="s">
        <v>795</v>
      </c>
      <c r="AF1961" t="s">
        <v>840</v>
      </c>
      <c r="AG1961" t="s">
        <v>797</v>
      </c>
      <c r="AH1961">
        <v>1925738</v>
      </c>
      <c r="AI1961">
        <v>1925738</v>
      </c>
      <c r="AJ1961">
        <v>0.1</v>
      </c>
    </row>
    <row r="1962" spans="1:36" x14ac:dyDescent="0.3">
      <c r="A1962">
        <f>COUNTIF($D$2:D1962,D1962)</f>
        <v>19</v>
      </c>
      <c r="B1962" t="str">
        <f t="shared" si="121"/>
        <v>19Solihull</v>
      </c>
      <c r="C1962" t="s">
        <v>5606</v>
      </c>
      <c r="D1962" t="s">
        <v>285</v>
      </c>
      <c r="E1962">
        <v>49</v>
      </c>
      <c r="F1962" t="s">
        <v>5604</v>
      </c>
      <c r="G1962" t="s">
        <v>877</v>
      </c>
      <c r="H1962" t="s">
        <v>878</v>
      </c>
      <c r="I1962" t="s">
        <v>879</v>
      </c>
      <c r="J1962">
        <f t="shared" ca="1" si="122"/>
        <v>46798</v>
      </c>
      <c r="K1962">
        <f t="shared" ca="1" si="123"/>
        <v>260</v>
      </c>
      <c r="N1962" t="str">
        <f t="shared" si="120"/>
        <v>Rochdale3Carers Universal ServicesCarers ServicesCarer advice and support related to Care Act duties</v>
      </c>
      <c r="O1962" t="s">
        <v>267</v>
      </c>
      <c r="P1962" t="s">
        <v>1201</v>
      </c>
      <c r="Q1962">
        <v>3</v>
      </c>
      <c r="R1962" t="s">
        <v>5153</v>
      </c>
      <c r="S1962" t="s">
        <v>5607</v>
      </c>
      <c r="T1962" t="s">
        <v>811</v>
      </c>
      <c r="U1962" t="s">
        <v>895</v>
      </c>
      <c r="W1962">
        <v>712</v>
      </c>
      <c r="X1962">
        <v>744</v>
      </c>
      <c r="Y1962" t="s">
        <v>813</v>
      </c>
      <c r="Z1962" t="s">
        <v>792</v>
      </c>
      <c r="AB1962" t="s">
        <v>793</v>
      </c>
      <c r="AD1962" t="s">
        <v>794</v>
      </c>
      <c r="AE1962" t="s">
        <v>825</v>
      </c>
      <c r="AF1962" t="s">
        <v>796</v>
      </c>
      <c r="AG1962" t="s">
        <v>797</v>
      </c>
      <c r="AH1962">
        <v>399684</v>
      </c>
      <c r="AI1962">
        <v>422306</v>
      </c>
      <c r="AJ1962">
        <v>1</v>
      </c>
    </row>
    <row r="1963" spans="1:36" x14ac:dyDescent="0.3">
      <c r="A1963">
        <f>COUNTIF($D$2:D1963,D1963)</f>
        <v>20</v>
      </c>
      <c r="B1963" t="str">
        <f t="shared" si="121"/>
        <v>20Solihull</v>
      </c>
      <c r="C1963" t="s">
        <v>5608</v>
      </c>
      <c r="D1963" t="s">
        <v>285</v>
      </c>
      <c r="E1963">
        <v>55</v>
      </c>
      <c r="F1963" t="s">
        <v>5609</v>
      </c>
      <c r="G1963" t="s">
        <v>800</v>
      </c>
      <c r="H1963" t="s">
        <v>903</v>
      </c>
      <c r="I1963" t="s">
        <v>802</v>
      </c>
      <c r="J1963">
        <f t="shared" ca="1" si="122"/>
        <v>749924</v>
      </c>
      <c r="K1963">
        <f t="shared" ca="1" si="123"/>
        <v>1179</v>
      </c>
      <c r="N1963" t="str">
        <f t="shared" si="120"/>
        <v>Rochdale3Carers Night Sitting ServiceCarers ServicesOther</v>
      </c>
      <c r="O1963" t="s">
        <v>267</v>
      </c>
      <c r="P1963" t="s">
        <v>1201</v>
      </c>
      <c r="Q1963">
        <v>3</v>
      </c>
      <c r="R1963" t="s">
        <v>5156</v>
      </c>
      <c r="S1963" t="s">
        <v>5610</v>
      </c>
      <c r="T1963" t="s">
        <v>811</v>
      </c>
      <c r="U1963" t="s">
        <v>812</v>
      </c>
      <c r="V1963" t="s">
        <v>5611</v>
      </c>
      <c r="W1963">
        <v>60</v>
      </c>
      <c r="X1963">
        <v>80</v>
      </c>
      <c r="Y1963" t="s">
        <v>813</v>
      </c>
      <c r="Z1963" t="s">
        <v>792</v>
      </c>
      <c r="AB1963" t="s">
        <v>793</v>
      </c>
      <c r="AD1963" t="s">
        <v>794</v>
      </c>
      <c r="AE1963" t="s">
        <v>825</v>
      </c>
      <c r="AF1963" t="s">
        <v>796</v>
      </c>
      <c r="AG1963" t="s">
        <v>797</v>
      </c>
      <c r="AH1963">
        <v>84315</v>
      </c>
      <c r="AI1963">
        <v>89087</v>
      </c>
      <c r="AJ1963">
        <v>1</v>
      </c>
    </row>
    <row r="1964" spans="1:36" x14ac:dyDescent="0.3">
      <c r="A1964">
        <f>COUNTIF($D$2:D1964,D1964)</f>
        <v>21</v>
      </c>
      <c r="B1964" t="str">
        <f t="shared" si="121"/>
        <v>21Solihull</v>
      </c>
      <c r="C1964" t="s">
        <v>5612</v>
      </c>
      <c r="D1964" t="s">
        <v>285</v>
      </c>
      <c r="E1964">
        <v>56</v>
      </c>
      <c r="F1964" t="s">
        <v>5588</v>
      </c>
      <c r="G1964" t="s">
        <v>800</v>
      </c>
      <c r="H1964" t="s">
        <v>903</v>
      </c>
      <c r="I1964" t="s">
        <v>802</v>
      </c>
      <c r="J1964">
        <f t="shared" ca="1" si="122"/>
        <v>466789</v>
      </c>
      <c r="K1964">
        <f t="shared" ca="1" si="123"/>
        <v>2651</v>
      </c>
      <c r="N1964" t="str">
        <f t="shared" si="120"/>
        <v>Rochdale12Reablement- Equipment Assistive Technologies and EquipmentCommunity based equipment</v>
      </c>
      <c r="O1964" t="s">
        <v>267</v>
      </c>
      <c r="P1964" t="s">
        <v>1201</v>
      </c>
      <c r="Q1964">
        <v>12</v>
      </c>
      <c r="R1964" t="s">
        <v>5159</v>
      </c>
      <c r="S1964" t="s">
        <v>5613</v>
      </c>
      <c r="T1964" t="s">
        <v>800</v>
      </c>
      <c r="U1964" t="s">
        <v>903</v>
      </c>
      <c r="W1964">
        <v>5915</v>
      </c>
      <c r="X1964">
        <v>6599</v>
      </c>
      <c r="Y1964" t="s">
        <v>802</v>
      </c>
      <c r="Z1964" t="s">
        <v>823</v>
      </c>
      <c r="AB1964" t="s">
        <v>793</v>
      </c>
      <c r="AD1964" t="s">
        <v>794</v>
      </c>
      <c r="AE1964" t="s">
        <v>804</v>
      </c>
      <c r="AF1964" t="s">
        <v>796</v>
      </c>
      <c r="AG1964" t="s">
        <v>797</v>
      </c>
      <c r="AH1964">
        <v>760620</v>
      </c>
      <c r="AI1964">
        <v>803671</v>
      </c>
      <c r="AJ1964">
        <v>1</v>
      </c>
    </row>
    <row r="1965" spans="1:36" x14ac:dyDescent="0.3">
      <c r="A1965">
        <f>COUNTIF($D$2:D1965,D1965)</f>
        <v>22</v>
      </c>
      <c r="B1965" t="str">
        <f t="shared" si="121"/>
        <v>22Solihull</v>
      </c>
      <c r="C1965" t="s">
        <v>5614</v>
      </c>
      <c r="D1965" t="s">
        <v>285</v>
      </c>
      <c r="E1965">
        <v>100</v>
      </c>
      <c r="F1965" t="s">
        <v>5615</v>
      </c>
      <c r="G1965" t="s">
        <v>787</v>
      </c>
      <c r="H1965" t="s">
        <v>788</v>
      </c>
      <c r="I1965" t="s">
        <v>789</v>
      </c>
      <c r="J1965">
        <f t="shared" ca="1" si="122"/>
        <v>450000</v>
      </c>
      <c r="K1965">
        <f t="shared" ca="1" si="123"/>
        <v>293.39999999999998</v>
      </c>
      <c r="N1965" t="str">
        <f t="shared" si="120"/>
        <v>Rochdale12Reablement- Equipment Assistive Technologies and EquipmentCommunity based equipment</v>
      </c>
      <c r="O1965" t="s">
        <v>267</v>
      </c>
      <c r="P1965" t="s">
        <v>1201</v>
      </c>
      <c r="Q1965">
        <v>12</v>
      </c>
      <c r="R1965" t="s">
        <v>5159</v>
      </c>
      <c r="S1965" t="s">
        <v>5613</v>
      </c>
      <c r="T1965" t="s">
        <v>800</v>
      </c>
      <c r="U1965" t="s">
        <v>903</v>
      </c>
      <c r="W1965">
        <v>2112</v>
      </c>
      <c r="X1965">
        <v>2230</v>
      </c>
      <c r="Y1965" t="s">
        <v>802</v>
      </c>
      <c r="Z1965" t="s">
        <v>823</v>
      </c>
      <c r="AB1965" t="s">
        <v>793</v>
      </c>
      <c r="AD1965" t="s">
        <v>794</v>
      </c>
      <c r="AE1965" t="s">
        <v>804</v>
      </c>
      <c r="AF1965" t="s">
        <v>1029</v>
      </c>
      <c r="AG1965" t="s">
        <v>797</v>
      </c>
      <c r="AH1965">
        <v>274000</v>
      </c>
      <c r="AI1965">
        <v>274000</v>
      </c>
      <c r="AJ1965">
        <v>1</v>
      </c>
    </row>
    <row r="1966" spans="1:36" x14ac:dyDescent="0.3">
      <c r="A1966">
        <f>COUNTIF($D$2:D1966,D1966)</f>
        <v>23</v>
      </c>
      <c r="B1966" t="str">
        <f t="shared" si="121"/>
        <v>23Solihull</v>
      </c>
      <c r="C1966" t="s">
        <v>5616</v>
      </c>
      <c r="D1966" t="s">
        <v>285</v>
      </c>
      <c r="E1966">
        <v>102</v>
      </c>
      <c r="F1966" t="s">
        <v>5617</v>
      </c>
      <c r="G1966" t="s">
        <v>800</v>
      </c>
      <c r="H1966" t="s">
        <v>903</v>
      </c>
      <c r="I1966" t="s">
        <v>802</v>
      </c>
      <c r="J1966">
        <f t="shared" ca="1" si="122"/>
        <v>40000</v>
      </c>
      <c r="K1966">
        <f t="shared" ca="1" si="123"/>
        <v>12050</v>
      </c>
      <c r="N1966" t="str">
        <f t="shared" si="120"/>
        <v>Rochdale12Intemediate Tier Services- STAR's PlusHome Care or Domiciliary CareDomiciliary care to support hospital discharge (Discharge to Assess pathway 1)</v>
      </c>
      <c r="O1966" t="s">
        <v>267</v>
      </c>
      <c r="P1966" t="s">
        <v>1201</v>
      </c>
      <c r="Q1966">
        <v>12</v>
      </c>
      <c r="R1966" t="s">
        <v>5162</v>
      </c>
      <c r="S1966" t="s">
        <v>5618</v>
      </c>
      <c r="T1966" t="s">
        <v>842</v>
      </c>
      <c r="U1966" t="s">
        <v>856</v>
      </c>
      <c r="W1966">
        <v>9400</v>
      </c>
      <c r="X1966">
        <v>9450</v>
      </c>
      <c r="Y1966" t="s">
        <v>844</v>
      </c>
      <c r="Z1966" t="s">
        <v>792</v>
      </c>
      <c r="AB1966" t="s">
        <v>793</v>
      </c>
      <c r="AD1966" t="s">
        <v>794</v>
      </c>
      <c r="AE1966" t="s">
        <v>795</v>
      </c>
      <c r="AF1966" t="s">
        <v>796</v>
      </c>
      <c r="AG1966" t="s">
        <v>797</v>
      </c>
      <c r="AH1966">
        <v>202910</v>
      </c>
      <c r="AI1966">
        <v>214395</v>
      </c>
      <c r="AJ1966">
        <v>1</v>
      </c>
    </row>
    <row r="1967" spans="1:36" x14ac:dyDescent="0.3">
      <c r="A1967">
        <f>COUNTIF($D$2:D1967,D1967)</f>
        <v>24</v>
      </c>
      <c r="B1967" t="str">
        <f t="shared" si="121"/>
        <v>24Solihull</v>
      </c>
      <c r="C1967" t="s">
        <v>5619</v>
      </c>
      <c r="D1967" t="s">
        <v>285</v>
      </c>
      <c r="E1967">
        <v>103</v>
      </c>
      <c r="F1967" t="s">
        <v>5620</v>
      </c>
      <c r="G1967" t="s">
        <v>800</v>
      </c>
      <c r="H1967" t="s">
        <v>850</v>
      </c>
      <c r="I1967" t="s">
        <v>802</v>
      </c>
      <c r="J1967">
        <f t="shared" ca="1" si="122"/>
        <v>66680</v>
      </c>
      <c r="K1967">
        <f t="shared" ca="1" si="123"/>
        <v>30</v>
      </c>
      <c r="N1967" t="str">
        <f t="shared" si="120"/>
        <v>Rochdale11Intermediate Tier Services- ContractBed based intermediate Care Services (Reablement, rehabilitation, wider short-term services supporting recovery)Bed-based intermediate care with reablement (to support discharge)</v>
      </c>
      <c r="O1967" t="s">
        <v>267</v>
      </c>
      <c r="P1967" t="s">
        <v>1201</v>
      </c>
      <c r="Q1967">
        <v>11</v>
      </c>
      <c r="R1967" t="s">
        <v>5165</v>
      </c>
      <c r="S1967" t="s">
        <v>5621</v>
      </c>
      <c r="T1967" t="s">
        <v>877</v>
      </c>
      <c r="U1967" t="s">
        <v>878</v>
      </c>
      <c r="W1967">
        <v>356</v>
      </c>
      <c r="X1967">
        <v>389</v>
      </c>
      <c r="Y1967" t="s">
        <v>879</v>
      </c>
      <c r="Z1967" t="s">
        <v>823</v>
      </c>
      <c r="AB1967" t="s">
        <v>824</v>
      </c>
      <c r="AD1967" t="s">
        <v>794</v>
      </c>
      <c r="AE1967" t="s">
        <v>1119</v>
      </c>
      <c r="AF1967" t="s">
        <v>796</v>
      </c>
      <c r="AG1967" t="s">
        <v>797</v>
      </c>
      <c r="AH1967">
        <v>6263680</v>
      </c>
      <c r="AI1967">
        <v>6618204</v>
      </c>
      <c r="AJ1967">
        <v>1</v>
      </c>
    </row>
    <row r="1968" spans="1:36" x14ac:dyDescent="0.3">
      <c r="A1968">
        <f>COUNTIF($D$2:D1968,D1968)</f>
        <v>25</v>
      </c>
      <c r="B1968" t="str">
        <f t="shared" si="121"/>
        <v>25Solihull</v>
      </c>
      <c r="C1968" t="s">
        <v>5622</v>
      </c>
      <c r="D1968" t="s">
        <v>285</v>
      </c>
      <c r="E1968">
        <v>106</v>
      </c>
      <c r="F1968" t="s">
        <v>5623</v>
      </c>
      <c r="G1968" t="s">
        <v>877</v>
      </c>
      <c r="H1968" t="s">
        <v>878</v>
      </c>
      <c r="I1968" t="s">
        <v>879</v>
      </c>
      <c r="J1968">
        <f t="shared" ca="1" si="122"/>
        <v>396000</v>
      </c>
      <c r="K1968">
        <f t="shared" ca="1" si="123"/>
        <v>23</v>
      </c>
      <c r="N1968" t="str">
        <f t="shared" si="120"/>
        <v>Rochdale11Intermediate Tier Services- CQUINBed based intermediate Care Services (Reablement, rehabilitation, wider short-term services supporting recovery)Bed-based intermediate care with reablement (to support discharge)</v>
      </c>
      <c r="O1968" t="s">
        <v>267</v>
      </c>
      <c r="P1968" t="s">
        <v>1201</v>
      </c>
      <c r="Q1968">
        <v>11</v>
      </c>
      <c r="R1968" t="s">
        <v>5168</v>
      </c>
      <c r="S1968" t="s">
        <v>5624</v>
      </c>
      <c r="T1968" t="s">
        <v>877</v>
      </c>
      <c r="U1968" t="s">
        <v>878</v>
      </c>
      <c r="W1968">
        <v>4</v>
      </c>
      <c r="X1968">
        <v>6</v>
      </c>
      <c r="Y1968" t="s">
        <v>879</v>
      </c>
      <c r="Z1968" t="s">
        <v>823</v>
      </c>
      <c r="AB1968" t="s">
        <v>824</v>
      </c>
      <c r="AD1968" t="s">
        <v>794</v>
      </c>
      <c r="AE1968" t="s">
        <v>1119</v>
      </c>
      <c r="AF1968" t="s">
        <v>796</v>
      </c>
      <c r="AG1968" t="s">
        <v>797</v>
      </c>
      <c r="AH1968">
        <v>78295</v>
      </c>
      <c r="AI1968">
        <v>82726</v>
      </c>
      <c r="AJ1968">
        <v>1</v>
      </c>
    </row>
    <row r="1969" spans="1:36" x14ac:dyDescent="0.3">
      <c r="A1969">
        <f>COUNTIF($D$2:D1969,D1969)</f>
        <v>26</v>
      </c>
      <c r="B1969" t="str">
        <f t="shared" si="121"/>
        <v>26Solihull</v>
      </c>
      <c r="C1969" t="s">
        <v>5625</v>
      </c>
      <c r="D1969" t="s">
        <v>285</v>
      </c>
      <c r="E1969">
        <v>107</v>
      </c>
      <c r="F1969" t="s">
        <v>5617</v>
      </c>
      <c r="G1969" t="s">
        <v>800</v>
      </c>
      <c r="H1969" t="s">
        <v>850</v>
      </c>
      <c r="I1969" t="s">
        <v>802</v>
      </c>
      <c r="J1969">
        <f t="shared" ca="1" si="122"/>
        <v>251000</v>
      </c>
      <c r="K1969">
        <f t="shared" ca="1" si="123"/>
        <v>12050</v>
      </c>
      <c r="N1969" t="str">
        <f t="shared" si="120"/>
        <v>Rochdale5DFGDFG Related SchemesAdaptations, including statutory DFG grants</v>
      </c>
      <c r="O1969" t="s">
        <v>267</v>
      </c>
      <c r="P1969" t="s">
        <v>1201</v>
      </c>
      <c r="Q1969">
        <v>5</v>
      </c>
      <c r="R1969" t="s">
        <v>840</v>
      </c>
      <c r="S1969" t="s">
        <v>5626</v>
      </c>
      <c r="T1969" t="s">
        <v>834</v>
      </c>
      <c r="U1969" t="s">
        <v>835</v>
      </c>
      <c r="W1969">
        <v>350</v>
      </c>
      <c r="X1969">
        <v>375</v>
      </c>
      <c r="Y1969" t="s">
        <v>836</v>
      </c>
      <c r="Z1969" t="s">
        <v>792</v>
      </c>
      <c r="AB1969" t="s">
        <v>793</v>
      </c>
      <c r="AD1969" t="s">
        <v>794</v>
      </c>
      <c r="AE1969" t="s">
        <v>804</v>
      </c>
      <c r="AF1969" t="s">
        <v>840</v>
      </c>
      <c r="AG1969" t="s">
        <v>797</v>
      </c>
      <c r="AH1969">
        <v>2987389</v>
      </c>
      <c r="AI1969">
        <v>2987389</v>
      </c>
      <c r="AJ1969">
        <v>1</v>
      </c>
    </row>
    <row r="1970" spans="1:36" x14ac:dyDescent="0.3">
      <c r="A1970">
        <f>COUNTIF($D$2:D1970,D1970)</f>
        <v>1</v>
      </c>
      <c r="B1970" t="str">
        <f t="shared" si="121"/>
        <v>1Somerset</v>
      </c>
      <c r="C1970" t="s">
        <v>5627</v>
      </c>
      <c r="D1970" t="s">
        <v>287</v>
      </c>
      <c r="E1970">
        <v>1</v>
      </c>
      <c r="F1970" t="s">
        <v>840</v>
      </c>
      <c r="G1970" t="s">
        <v>834</v>
      </c>
      <c r="H1970" t="s">
        <v>835</v>
      </c>
      <c r="I1970" t="s">
        <v>836</v>
      </c>
      <c r="J1970">
        <f t="shared" ca="1" si="122"/>
        <v>4952841</v>
      </c>
      <c r="K1970">
        <f t="shared" ca="1" si="123"/>
        <v>2000</v>
      </c>
      <c r="N1970" t="str">
        <f t="shared" si="120"/>
        <v>Rochdale8Funding Of Social Care ServicesHome Care or Domiciliary CareDomiciliary care packages</v>
      </c>
      <c r="O1970" t="s">
        <v>267</v>
      </c>
      <c r="P1970" t="s">
        <v>1201</v>
      </c>
      <c r="Q1970">
        <v>8</v>
      </c>
      <c r="R1970" t="s">
        <v>5171</v>
      </c>
      <c r="S1970" t="s">
        <v>5628</v>
      </c>
      <c r="T1970" t="s">
        <v>842</v>
      </c>
      <c r="U1970" t="s">
        <v>843</v>
      </c>
      <c r="W1970">
        <v>54982</v>
      </c>
      <c r="X1970">
        <v>57704</v>
      </c>
      <c r="Y1970" t="s">
        <v>844</v>
      </c>
      <c r="Z1970" t="s">
        <v>792</v>
      </c>
      <c r="AB1970" t="s">
        <v>793</v>
      </c>
      <c r="AD1970" t="s">
        <v>794</v>
      </c>
      <c r="AE1970" t="s">
        <v>795</v>
      </c>
      <c r="AF1970" t="s">
        <v>796</v>
      </c>
      <c r="AG1970" t="s">
        <v>797</v>
      </c>
      <c r="AH1970">
        <v>1154004</v>
      </c>
      <c r="AI1970">
        <v>1219321</v>
      </c>
      <c r="AJ1970">
        <v>0.13</v>
      </c>
    </row>
    <row r="1971" spans="1:36" x14ac:dyDescent="0.3">
      <c r="A1971">
        <f>COUNTIF($D$2:D1971,D1971)</f>
        <v>2</v>
      </c>
      <c r="B1971" t="str">
        <f t="shared" si="121"/>
        <v>2Somerset</v>
      </c>
      <c r="C1971" t="s">
        <v>5629</v>
      </c>
      <c r="D1971" t="s">
        <v>287</v>
      </c>
      <c r="E1971">
        <v>4</v>
      </c>
      <c r="F1971" t="s">
        <v>964</v>
      </c>
      <c r="G1971" t="s">
        <v>842</v>
      </c>
      <c r="H1971" t="s">
        <v>856</v>
      </c>
      <c r="I1971" t="s">
        <v>844</v>
      </c>
      <c r="J1971">
        <f t="shared" ca="1" si="122"/>
        <v>5298500</v>
      </c>
      <c r="K1971">
        <f t="shared" ca="1" si="123"/>
        <v>196200</v>
      </c>
      <c r="N1971" t="str">
        <f t="shared" si="120"/>
        <v>Rochdale8Funding Of Social Care ServicesHome Care or Domiciliary CareDomiciliary care packages</v>
      </c>
      <c r="O1971" t="s">
        <v>267</v>
      </c>
      <c r="P1971" t="s">
        <v>1201</v>
      </c>
      <c r="Q1971">
        <v>8</v>
      </c>
      <c r="R1971" t="s">
        <v>5171</v>
      </c>
      <c r="S1971" t="s">
        <v>5628</v>
      </c>
      <c r="T1971" t="s">
        <v>842</v>
      </c>
      <c r="U1971" t="s">
        <v>843</v>
      </c>
      <c r="W1971">
        <v>48758</v>
      </c>
      <c r="X1971">
        <v>49156</v>
      </c>
      <c r="Y1971" t="s">
        <v>844</v>
      </c>
      <c r="Z1971" t="s">
        <v>792</v>
      </c>
      <c r="AB1971" t="s">
        <v>793</v>
      </c>
      <c r="AD1971" t="s">
        <v>794</v>
      </c>
      <c r="AE1971" t="s">
        <v>795</v>
      </c>
      <c r="AF1971" t="s">
        <v>845</v>
      </c>
      <c r="AG1971" t="s">
        <v>797</v>
      </c>
      <c r="AH1971">
        <v>1024884</v>
      </c>
      <c r="AI1971">
        <v>1024884</v>
      </c>
      <c r="AJ1971">
        <v>0.12</v>
      </c>
    </row>
    <row r="1972" spans="1:36" x14ac:dyDescent="0.3">
      <c r="A1972">
        <f>COUNTIF($D$2:D1972,D1972)</f>
        <v>3</v>
      </c>
      <c r="B1972" t="str">
        <f t="shared" si="121"/>
        <v>3Somerset</v>
      </c>
      <c r="C1972" t="s">
        <v>5630</v>
      </c>
      <c r="D1972" t="s">
        <v>287</v>
      </c>
      <c r="E1972">
        <v>5</v>
      </c>
      <c r="F1972" t="s">
        <v>964</v>
      </c>
      <c r="G1972" t="s">
        <v>842</v>
      </c>
      <c r="H1972" t="s">
        <v>856</v>
      </c>
      <c r="I1972" t="s">
        <v>844</v>
      </c>
      <c r="J1972">
        <f t="shared" ca="1" si="122"/>
        <v>3602000</v>
      </c>
      <c r="K1972">
        <f t="shared" ca="1" si="123"/>
        <v>133400</v>
      </c>
      <c r="N1972" t="str">
        <f t="shared" si="120"/>
        <v>Rochdale17Funding Of Social Care ServicesResidential PlacementsSupported housing</v>
      </c>
      <c r="O1972" t="s">
        <v>267</v>
      </c>
      <c r="P1972" t="s">
        <v>1201</v>
      </c>
      <c r="Q1972">
        <v>17</v>
      </c>
      <c r="R1972" t="s">
        <v>5171</v>
      </c>
      <c r="S1972" t="s">
        <v>5631</v>
      </c>
      <c r="T1972" t="s">
        <v>806</v>
      </c>
      <c r="U1972" t="s">
        <v>873</v>
      </c>
      <c r="W1972">
        <v>210</v>
      </c>
      <c r="X1972">
        <v>230</v>
      </c>
      <c r="Y1972" t="s">
        <v>808</v>
      </c>
      <c r="Z1972" t="s">
        <v>792</v>
      </c>
      <c r="AB1972" t="s">
        <v>793</v>
      </c>
      <c r="AD1972" t="s">
        <v>794</v>
      </c>
      <c r="AE1972" t="s">
        <v>804</v>
      </c>
      <c r="AF1972" t="s">
        <v>796</v>
      </c>
      <c r="AG1972" t="s">
        <v>797</v>
      </c>
      <c r="AH1972">
        <v>378843</v>
      </c>
      <c r="AI1972">
        <v>400286</v>
      </c>
      <c r="AJ1972">
        <v>0.13</v>
      </c>
    </row>
    <row r="1973" spans="1:36" x14ac:dyDescent="0.3">
      <c r="A1973">
        <f>COUNTIF($D$2:D1973,D1973)</f>
        <v>4</v>
      </c>
      <c r="B1973" t="str">
        <f t="shared" si="121"/>
        <v>4Somerset</v>
      </c>
      <c r="C1973" t="s">
        <v>5632</v>
      </c>
      <c r="D1973" t="s">
        <v>287</v>
      </c>
      <c r="E1973">
        <v>7</v>
      </c>
      <c r="F1973" t="s">
        <v>5633</v>
      </c>
      <c r="G1973" t="s">
        <v>877</v>
      </c>
      <c r="H1973" t="s">
        <v>812</v>
      </c>
      <c r="I1973" t="s">
        <v>879</v>
      </c>
      <c r="J1973">
        <f t="shared" ca="1" si="122"/>
        <v>2279700</v>
      </c>
      <c r="K1973">
        <f t="shared" ca="1" si="123"/>
        <v>35</v>
      </c>
      <c r="N1973" t="str">
        <f t="shared" si="120"/>
        <v>Rochdale17Funding Of Social Care Services-iBCFResidential PlacementsSupported housing</v>
      </c>
      <c r="O1973" t="s">
        <v>267</v>
      </c>
      <c r="P1973" t="s">
        <v>1201</v>
      </c>
      <c r="Q1973">
        <v>17</v>
      </c>
      <c r="R1973" t="s">
        <v>5177</v>
      </c>
      <c r="S1973" t="s">
        <v>5631</v>
      </c>
      <c r="T1973" t="s">
        <v>806</v>
      </c>
      <c r="U1973" t="s">
        <v>873</v>
      </c>
      <c r="W1973">
        <v>200</v>
      </c>
      <c r="X1973">
        <v>200</v>
      </c>
      <c r="Y1973" t="s">
        <v>808</v>
      </c>
      <c r="Z1973" t="s">
        <v>792</v>
      </c>
      <c r="AB1973" t="s">
        <v>793</v>
      </c>
      <c r="AD1973" t="s">
        <v>794</v>
      </c>
      <c r="AE1973" t="s">
        <v>5634</v>
      </c>
      <c r="AF1973" t="s">
        <v>845</v>
      </c>
      <c r="AG1973" t="s">
        <v>797</v>
      </c>
      <c r="AH1973">
        <v>336455</v>
      </c>
      <c r="AI1973">
        <v>336455</v>
      </c>
      <c r="AJ1973">
        <v>0.12</v>
      </c>
    </row>
    <row r="1974" spans="1:36" x14ac:dyDescent="0.3">
      <c r="A1974">
        <f>COUNTIF($D$2:D1974,D1974)</f>
        <v>5</v>
      </c>
      <c r="B1974" t="str">
        <f t="shared" si="121"/>
        <v>5Somerset</v>
      </c>
      <c r="C1974" t="s">
        <v>5635</v>
      </c>
      <c r="D1974" t="s">
        <v>287</v>
      </c>
      <c r="E1974">
        <v>8</v>
      </c>
      <c r="F1974" t="s">
        <v>1881</v>
      </c>
      <c r="G1974" t="s">
        <v>834</v>
      </c>
      <c r="H1974" t="s">
        <v>812</v>
      </c>
      <c r="I1974" t="s">
        <v>836</v>
      </c>
      <c r="J1974">
        <f t="shared" ca="1" si="122"/>
        <v>1200000</v>
      </c>
      <c r="K1974">
        <f t="shared" ca="1" si="123"/>
        <v>20000</v>
      </c>
      <c r="N1974" t="str">
        <f t="shared" si="120"/>
        <v>Rochdale17Funding Of Social Care ServicesResidential PlacementsCare home</v>
      </c>
      <c r="O1974" t="s">
        <v>267</v>
      </c>
      <c r="P1974" t="s">
        <v>1201</v>
      </c>
      <c r="Q1974">
        <v>17</v>
      </c>
      <c r="R1974" t="s">
        <v>5171</v>
      </c>
      <c r="S1974" t="s">
        <v>2593</v>
      </c>
      <c r="T1974" t="s">
        <v>806</v>
      </c>
      <c r="U1974" t="s">
        <v>807</v>
      </c>
      <c r="W1974">
        <v>382</v>
      </c>
      <c r="X1974">
        <v>416</v>
      </c>
      <c r="Y1974" t="s">
        <v>808</v>
      </c>
      <c r="Z1974" t="s">
        <v>792</v>
      </c>
      <c r="AB1974" t="s">
        <v>793</v>
      </c>
      <c r="AD1974" t="s">
        <v>794</v>
      </c>
      <c r="AE1974" t="s">
        <v>804</v>
      </c>
      <c r="AF1974" t="s">
        <v>796</v>
      </c>
      <c r="AG1974" t="s">
        <v>797</v>
      </c>
      <c r="AH1974">
        <v>4265658</v>
      </c>
      <c r="AI1974">
        <v>4507094</v>
      </c>
      <c r="AJ1974">
        <v>0.13</v>
      </c>
    </row>
    <row r="1975" spans="1:36" x14ac:dyDescent="0.3">
      <c r="A1975">
        <f>COUNTIF($D$2:D1975,D1975)</f>
        <v>6</v>
      </c>
      <c r="B1975" t="str">
        <f t="shared" si="121"/>
        <v>6Somerset</v>
      </c>
      <c r="C1975" t="s">
        <v>5636</v>
      </c>
      <c r="D1975" t="s">
        <v>287</v>
      </c>
      <c r="E1975">
        <v>9</v>
      </c>
      <c r="F1975" t="s">
        <v>1636</v>
      </c>
      <c r="G1975" t="s">
        <v>811</v>
      </c>
      <c r="H1975" t="s">
        <v>812</v>
      </c>
      <c r="I1975" t="s">
        <v>813</v>
      </c>
      <c r="J1975">
        <f t="shared" ca="1" si="122"/>
        <v>203500</v>
      </c>
      <c r="K1975">
        <f t="shared" ca="1" si="123"/>
        <v>2188</v>
      </c>
      <c r="N1975" t="str">
        <f t="shared" si="120"/>
        <v>Rochdale17Funding Of Social Care Services-iBCFResidential PlacementsCare home</v>
      </c>
      <c r="O1975" t="s">
        <v>267</v>
      </c>
      <c r="P1975" t="s">
        <v>1201</v>
      </c>
      <c r="Q1975">
        <v>17</v>
      </c>
      <c r="R1975" t="s">
        <v>5177</v>
      </c>
      <c r="S1975" t="s">
        <v>2593</v>
      </c>
      <c r="T1975" t="s">
        <v>806</v>
      </c>
      <c r="U1975" t="s">
        <v>807</v>
      </c>
      <c r="W1975">
        <v>338</v>
      </c>
      <c r="X1975">
        <v>354</v>
      </c>
      <c r="Y1975" t="s">
        <v>808</v>
      </c>
      <c r="Z1975" t="s">
        <v>792</v>
      </c>
      <c r="AB1975" t="s">
        <v>793</v>
      </c>
      <c r="AD1975" t="s">
        <v>794</v>
      </c>
      <c r="AE1975" t="s">
        <v>804</v>
      </c>
      <c r="AF1975" t="s">
        <v>845</v>
      </c>
      <c r="AG1975" t="s">
        <v>797</v>
      </c>
      <c r="AH1975">
        <v>3788382</v>
      </c>
      <c r="AI1975">
        <v>3788382</v>
      </c>
      <c r="AJ1975">
        <v>0.12</v>
      </c>
    </row>
    <row r="1976" spans="1:36" x14ac:dyDescent="0.3">
      <c r="A1976">
        <f>COUNTIF($D$2:D1976,D1976)</f>
        <v>7</v>
      </c>
      <c r="B1976" t="str">
        <f t="shared" si="121"/>
        <v>7Somerset</v>
      </c>
      <c r="C1976" t="s">
        <v>5637</v>
      </c>
      <c r="D1976" t="s">
        <v>287</v>
      </c>
      <c r="E1976">
        <v>14</v>
      </c>
      <c r="F1976" t="s">
        <v>5638</v>
      </c>
      <c r="G1976" t="s">
        <v>842</v>
      </c>
      <c r="H1976" t="s">
        <v>1594</v>
      </c>
      <c r="I1976" t="s">
        <v>844</v>
      </c>
      <c r="J1976">
        <f t="shared" ca="1" si="122"/>
        <v>400000</v>
      </c>
      <c r="K1976">
        <f t="shared" ca="1" si="123"/>
        <v>16000</v>
      </c>
      <c r="N1976" t="str">
        <f t="shared" si="120"/>
        <v>Rochdale17Funding Of Social Care ServicesResidential PlacementsNursing home</v>
      </c>
      <c r="O1976" t="s">
        <v>267</v>
      </c>
      <c r="P1976" t="s">
        <v>1201</v>
      </c>
      <c r="Q1976">
        <v>17</v>
      </c>
      <c r="R1976" t="s">
        <v>5171</v>
      </c>
      <c r="S1976" t="s">
        <v>5639</v>
      </c>
      <c r="T1976" t="s">
        <v>806</v>
      </c>
      <c r="U1976" t="s">
        <v>917</v>
      </c>
      <c r="W1976">
        <v>69</v>
      </c>
      <c r="X1976">
        <v>81</v>
      </c>
      <c r="Y1976" t="s">
        <v>808</v>
      </c>
      <c r="Z1976" t="s">
        <v>792</v>
      </c>
      <c r="AB1976" t="s">
        <v>793</v>
      </c>
      <c r="AD1976" t="s">
        <v>794</v>
      </c>
      <c r="AE1976" t="s">
        <v>804</v>
      </c>
      <c r="AF1976" t="s">
        <v>796</v>
      </c>
      <c r="AG1976" t="s">
        <v>797</v>
      </c>
      <c r="AH1976">
        <v>844180</v>
      </c>
      <c r="AI1976">
        <v>891961</v>
      </c>
      <c r="AJ1976">
        <v>0.13</v>
      </c>
    </row>
    <row r="1977" spans="1:36" x14ac:dyDescent="0.3">
      <c r="A1977">
        <f>COUNTIF($D$2:D1977,D1977)</f>
        <v>1</v>
      </c>
      <c r="B1977" t="str">
        <f t="shared" si="121"/>
        <v>1South Gloucestershire</v>
      </c>
      <c r="C1977" t="s">
        <v>5640</v>
      </c>
      <c r="D1977" t="s">
        <v>289</v>
      </c>
      <c r="E1977">
        <v>1</v>
      </c>
      <c r="F1977" t="s">
        <v>5641</v>
      </c>
      <c r="G1977" t="s">
        <v>1453</v>
      </c>
      <c r="H1977" t="s">
        <v>812</v>
      </c>
      <c r="I1977" t="s">
        <v>794</v>
      </c>
      <c r="J1977">
        <f t="shared" ca="1" si="122"/>
        <v>27842</v>
      </c>
      <c r="K1977">
        <f t="shared" ca="1" si="123"/>
        <v>322</v>
      </c>
      <c r="N1977" t="str">
        <f t="shared" si="120"/>
        <v>Rochdale17Funding Of Social Care Services-iBCFResidential PlacementsNursing home</v>
      </c>
      <c r="O1977" t="s">
        <v>267</v>
      </c>
      <c r="P1977" t="s">
        <v>1201</v>
      </c>
      <c r="Q1977">
        <v>17</v>
      </c>
      <c r="R1977" t="s">
        <v>5177</v>
      </c>
      <c r="S1977" t="s">
        <v>5639</v>
      </c>
      <c r="T1977" t="s">
        <v>806</v>
      </c>
      <c r="U1977" t="s">
        <v>917</v>
      </c>
      <c r="W1977">
        <v>61</v>
      </c>
      <c r="X1977">
        <v>69</v>
      </c>
      <c r="Y1977" t="s">
        <v>808</v>
      </c>
      <c r="Z1977" t="s">
        <v>792</v>
      </c>
      <c r="AB1977" t="s">
        <v>793</v>
      </c>
      <c r="AD1977" t="s">
        <v>794</v>
      </c>
      <c r="AE1977" t="s">
        <v>804</v>
      </c>
      <c r="AF1977" t="s">
        <v>845</v>
      </c>
      <c r="AG1977" t="s">
        <v>797</v>
      </c>
      <c r="AH1977">
        <v>749725</v>
      </c>
      <c r="AI1977">
        <v>749725</v>
      </c>
      <c r="AJ1977">
        <v>0.12</v>
      </c>
    </row>
    <row r="1978" spans="1:36" x14ac:dyDescent="0.3">
      <c r="A1978">
        <f>COUNTIF($D$2:D1978,D1978)</f>
        <v>2</v>
      </c>
      <c r="B1978" t="str">
        <f t="shared" si="121"/>
        <v>2South Gloucestershire</v>
      </c>
      <c r="C1978" t="s">
        <v>5642</v>
      </c>
      <c r="D1978" t="s">
        <v>289</v>
      </c>
      <c r="E1978">
        <v>2</v>
      </c>
      <c r="F1978" t="s">
        <v>5643</v>
      </c>
      <c r="G1978" t="s">
        <v>806</v>
      </c>
      <c r="H1978" t="s">
        <v>807</v>
      </c>
      <c r="I1978" t="s">
        <v>808</v>
      </c>
      <c r="J1978">
        <f t="shared" ca="1" si="122"/>
        <v>3082396</v>
      </c>
      <c r="K1978">
        <f t="shared" ca="1" si="123"/>
        <v>49</v>
      </c>
      <c r="N1978" t="str">
        <f t="shared" si="120"/>
        <v>Rochdale17Funding Of Social Care ServicesResidential PlacementsShort term residential care (without rehabilitation or reablement input)</v>
      </c>
      <c r="O1978" t="s">
        <v>267</v>
      </c>
      <c r="P1978" t="s">
        <v>1201</v>
      </c>
      <c r="Q1978">
        <v>17</v>
      </c>
      <c r="R1978" t="s">
        <v>5171</v>
      </c>
      <c r="S1978" t="s">
        <v>5644</v>
      </c>
      <c r="T1978" t="s">
        <v>806</v>
      </c>
      <c r="U1978" t="s">
        <v>955</v>
      </c>
      <c r="W1978">
        <v>201</v>
      </c>
      <c r="X1978">
        <v>224</v>
      </c>
      <c r="Y1978" t="s">
        <v>808</v>
      </c>
      <c r="Z1978" t="s">
        <v>792</v>
      </c>
      <c r="AB1978" t="s">
        <v>793</v>
      </c>
      <c r="AD1978" t="s">
        <v>794</v>
      </c>
      <c r="AE1978" t="s">
        <v>804</v>
      </c>
      <c r="AF1978" t="s">
        <v>796</v>
      </c>
      <c r="AG1978" t="s">
        <v>797</v>
      </c>
      <c r="AH1978">
        <v>182308</v>
      </c>
      <c r="AI1978">
        <v>192628</v>
      </c>
      <c r="AJ1978">
        <v>0.13</v>
      </c>
    </row>
    <row r="1979" spans="1:36" x14ac:dyDescent="0.3">
      <c r="A1979">
        <f>COUNTIF($D$2:D1979,D1979)</f>
        <v>3</v>
      </c>
      <c r="B1979" t="str">
        <f t="shared" si="121"/>
        <v>3South Gloucestershire</v>
      </c>
      <c r="C1979" t="s">
        <v>5645</v>
      </c>
      <c r="D1979" t="s">
        <v>289</v>
      </c>
      <c r="E1979">
        <v>3</v>
      </c>
      <c r="F1979" t="s">
        <v>4610</v>
      </c>
      <c r="G1979" t="s">
        <v>811</v>
      </c>
      <c r="H1979" t="s">
        <v>812</v>
      </c>
      <c r="I1979" t="s">
        <v>813</v>
      </c>
      <c r="J1979">
        <f t="shared" ca="1" si="122"/>
        <v>200512</v>
      </c>
      <c r="K1979">
        <f t="shared" ca="1" si="123"/>
        <v>5231</v>
      </c>
      <c r="N1979" t="str">
        <f t="shared" si="120"/>
        <v>Rochdale17Funding Of Social Care Services-iBCFResidential PlacementsShort term residential care (without rehabilitation or reablement input)</v>
      </c>
      <c r="O1979" t="s">
        <v>267</v>
      </c>
      <c r="P1979" t="s">
        <v>1201</v>
      </c>
      <c r="Q1979">
        <v>17</v>
      </c>
      <c r="R1979" t="s">
        <v>5177</v>
      </c>
      <c r="S1979" t="s">
        <v>5644</v>
      </c>
      <c r="T1979" t="s">
        <v>806</v>
      </c>
      <c r="U1979" t="s">
        <v>955</v>
      </c>
      <c r="W1979">
        <v>179</v>
      </c>
      <c r="X1979">
        <v>189</v>
      </c>
      <c r="Y1979" t="s">
        <v>808</v>
      </c>
      <c r="Z1979" t="s">
        <v>792</v>
      </c>
      <c r="AB1979" t="s">
        <v>793</v>
      </c>
      <c r="AD1979" t="s">
        <v>794</v>
      </c>
      <c r="AE1979" t="s">
        <v>804</v>
      </c>
      <c r="AF1979" t="s">
        <v>845</v>
      </c>
      <c r="AG1979" t="s">
        <v>797</v>
      </c>
      <c r="AH1979">
        <v>161911</v>
      </c>
      <c r="AI1979">
        <v>161911</v>
      </c>
      <c r="AJ1979">
        <v>0.12</v>
      </c>
    </row>
    <row r="1980" spans="1:36" x14ac:dyDescent="0.3">
      <c r="A1980">
        <f>COUNTIF($D$2:D1980,D1980)</f>
        <v>4</v>
      </c>
      <c r="B1980" t="str">
        <f t="shared" si="121"/>
        <v>4South Gloucestershire</v>
      </c>
      <c r="C1980" t="s">
        <v>5646</v>
      </c>
      <c r="D1980" t="s">
        <v>289</v>
      </c>
      <c r="E1980">
        <v>5</v>
      </c>
      <c r="F1980" t="s">
        <v>5647</v>
      </c>
      <c r="G1980" t="s">
        <v>787</v>
      </c>
      <c r="H1980" t="s">
        <v>930</v>
      </c>
      <c r="I1980" t="s">
        <v>789</v>
      </c>
      <c r="J1980">
        <f t="shared" ca="1" si="122"/>
        <v>1425941</v>
      </c>
      <c r="K1980">
        <f t="shared" ca="1" si="123"/>
        <v>826</v>
      </c>
      <c r="N1980" t="str">
        <f t="shared" si="120"/>
        <v>Rochdale8Blended RolesHome Care or Domiciliary CareDomiciliary care workforce development</v>
      </c>
      <c r="O1980" t="s">
        <v>267</v>
      </c>
      <c r="P1980" t="s">
        <v>1201</v>
      </c>
      <c r="Q1980">
        <v>8</v>
      </c>
      <c r="R1980" t="s">
        <v>5190</v>
      </c>
      <c r="S1980" t="s">
        <v>5648</v>
      </c>
      <c r="T1980" t="s">
        <v>842</v>
      </c>
      <c r="U1980" t="s">
        <v>1594</v>
      </c>
      <c r="W1980">
        <v>936</v>
      </c>
      <c r="X1980">
        <v>1144</v>
      </c>
      <c r="Y1980" t="s">
        <v>844</v>
      </c>
      <c r="Z1980" t="s">
        <v>792</v>
      </c>
      <c r="AB1980" t="s">
        <v>793</v>
      </c>
      <c r="AD1980" t="s">
        <v>794</v>
      </c>
      <c r="AE1980" t="s">
        <v>804</v>
      </c>
      <c r="AF1980" t="s">
        <v>864</v>
      </c>
      <c r="AG1980" t="s">
        <v>861</v>
      </c>
      <c r="AH1980">
        <v>30000</v>
      </c>
      <c r="AI1980">
        <v>39600</v>
      </c>
      <c r="AJ1980">
        <v>1</v>
      </c>
    </row>
    <row r="1981" spans="1:36" x14ac:dyDescent="0.3">
      <c r="A1981">
        <f>COUNTIF($D$2:D1981,D1981)</f>
        <v>5</v>
      </c>
      <c r="B1981" t="str">
        <f t="shared" si="121"/>
        <v>5South Gloucestershire</v>
      </c>
      <c r="C1981" t="s">
        <v>5649</v>
      </c>
      <c r="D1981" t="s">
        <v>289</v>
      </c>
      <c r="E1981">
        <v>6</v>
      </c>
      <c r="F1981" t="s">
        <v>5650</v>
      </c>
      <c r="G1981" t="s">
        <v>787</v>
      </c>
      <c r="H1981" t="s">
        <v>1195</v>
      </c>
      <c r="I1981" t="s">
        <v>789</v>
      </c>
      <c r="J1981">
        <f t="shared" ca="1" si="122"/>
        <v>372776</v>
      </c>
      <c r="K1981">
        <f t="shared" ca="1" si="123"/>
        <v>146</v>
      </c>
      <c r="N1981" t="str">
        <f t="shared" si="120"/>
        <v>Rochdale1Technology Enabled CareAssistive Technologies and EquipmentAssistive technologies including telecare</v>
      </c>
      <c r="O1981" t="s">
        <v>267</v>
      </c>
      <c r="P1981" t="s">
        <v>1201</v>
      </c>
      <c r="Q1981">
        <v>1</v>
      </c>
      <c r="R1981" t="s">
        <v>1160</v>
      </c>
      <c r="S1981" t="s">
        <v>5651</v>
      </c>
      <c r="T1981" t="s">
        <v>800</v>
      </c>
      <c r="U1981" t="s">
        <v>850</v>
      </c>
      <c r="W1981">
        <v>15</v>
      </c>
      <c r="X1981">
        <v>15</v>
      </c>
      <c r="Y1981" t="s">
        <v>802</v>
      </c>
      <c r="Z1981" t="s">
        <v>792</v>
      </c>
      <c r="AB1981" t="s">
        <v>793</v>
      </c>
      <c r="AD1981" t="s">
        <v>794</v>
      </c>
      <c r="AE1981" t="s">
        <v>804</v>
      </c>
      <c r="AF1981" t="s">
        <v>864</v>
      </c>
      <c r="AG1981" t="s">
        <v>861</v>
      </c>
      <c r="AH1981">
        <v>100000</v>
      </c>
      <c r="AI1981">
        <v>132000</v>
      </c>
      <c r="AJ1981">
        <v>1</v>
      </c>
    </row>
    <row r="1982" spans="1:36" x14ac:dyDescent="0.3">
      <c r="A1982">
        <f>COUNTIF($D$2:D1982,D1982)</f>
        <v>6</v>
      </c>
      <c r="B1982" t="str">
        <f t="shared" si="121"/>
        <v>6South Gloucestershire</v>
      </c>
      <c r="C1982" t="s">
        <v>5652</v>
      </c>
      <c r="D1982" t="s">
        <v>289</v>
      </c>
      <c r="E1982">
        <v>7</v>
      </c>
      <c r="F1982" t="s">
        <v>5653</v>
      </c>
      <c r="G1982" t="s">
        <v>5154</v>
      </c>
      <c r="H1982" t="s">
        <v>5654</v>
      </c>
      <c r="I1982" t="s">
        <v>794</v>
      </c>
      <c r="J1982">
        <f t="shared" ca="1" si="122"/>
        <v>676553</v>
      </c>
      <c r="K1982">
        <f t="shared" ca="1" si="123"/>
        <v>17</v>
      </c>
      <c r="N1982" t="str">
        <f t="shared" si="120"/>
        <v>Rochdale11Intermediate Tier ResilienceBed based intermediate Care Services (Reablement, rehabilitation, wider short-term services supporting recovery)Bed-based intermediate care with reablement accepting step up and step down users</v>
      </c>
      <c r="O1982" t="s">
        <v>267</v>
      </c>
      <c r="P1982" t="s">
        <v>1201</v>
      </c>
      <c r="Q1982">
        <v>11</v>
      </c>
      <c r="R1982" t="s">
        <v>5195</v>
      </c>
      <c r="S1982" t="s">
        <v>5655</v>
      </c>
      <c r="T1982" t="s">
        <v>877</v>
      </c>
      <c r="U1982" t="s">
        <v>1259</v>
      </c>
      <c r="W1982">
        <v>120</v>
      </c>
      <c r="X1982">
        <v>132</v>
      </c>
      <c r="Y1982" t="s">
        <v>879</v>
      </c>
      <c r="Z1982" t="s">
        <v>792</v>
      </c>
      <c r="AB1982" t="s">
        <v>793</v>
      </c>
      <c r="AD1982" t="s">
        <v>794</v>
      </c>
      <c r="AE1982" t="s">
        <v>832</v>
      </c>
      <c r="AF1982" t="s">
        <v>864</v>
      </c>
      <c r="AG1982" t="s">
        <v>861</v>
      </c>
      <c r="AH1982">
        <v>100000</v>
      </c>
      <c r="AI1982">
        <v>132000</v>
      </c>
      <c r="AJ1982">
        <v>1</v>
      </c>
    </row>
    <row r="1983" spans="1:36" x14ac:dyDescent="0.3">
      <c r="A1983">
        <f>COUNTIF($D$2:D1983,D1983)</f>
        <v>7</v>
      </c>
      <c r="B1983" t="str">
        <f t="shared" si="121"/>
        <v>7South Gloucestershire</v>
      </c>
      <c r="C1983" t="s">
        <v>5656</v>
      </c>
      <c r="D1983" t="s">
        <v>289</v>
      </c>
      <c r="E1983">
        <v>9</v>
      </c>
      <c r="F1983" t="s">
        <v>5657</v>
      </c>
      <c r="G1983" t="s">
        <v>842</v>
      </c>
      <c r="H1983" t="s">
        <v>843</v>
      </c>
      <c r="I1983" t="s">
        <v>844</v>
      </c>
      <c r="J1983">
        <f t="shared" ca="1" si="122"/>
        <v>2005959</v>
      </c>
      <c r="K1983">
        <f t="shared" ca="1" si="123"/>
        <v>77000</v>
      </c>
      <c r="N1983" t="str">
        <f t="shared" si="120"/>
        <v>Rochdale12Expanding and developing STARS Reablement Service and assessment homecareHome-based intermediate care servicesReablement at home (accepting step up and step down users)</v>
      </c>
      <c r="O1983" t="s">
        <v>267</v>
      </c>
      <c r="P1983" t="s">
        <v>1201</v>
      </c>
      <c r="Q1983">
        <v>12</v>
      </c>
      <c r="R1983" t="s">
        <v>5198</v>
      </c>
      <c r="S1983" t="s">
        <v>5658</v>
      </c>
      <c r="T1983" t="s">
        <v>787</v>
      </c>
      <c r="U1983" t="s">
        <v>930</v>
      </c>
      <c r="W1983">
        <v>1080</v>
      </c>
      <c r="X1983">
        <v>1190</v>
      </c>
      <c r="Y1983" t="s">
        <v>789</v>
      </c>
      <c r="Z1983" t="s">
        <v>792</v>
      </c>
      <c r="AB1983" t="s">
        <v>793</v>
      </c>
      <c r="AD1983" t="s">
        <v>794</v>
      </c>
      <c r="AE1983" t="s">
        <v>795</v>
      </c>
      <c r="AF1983" t="s">
        <v>860</v>
      </c>
      <c r="AG1983" t="s">
        <v>861</v>
      </c>
      <c r="AH1983">
        <v>444000</v>
      </c>
      <c r="AI1983">
        <v>586080</v>
      </c>
      <c r="AJ1983">
        <v>1</v>
      </c>
    </row>
    <row r="1984" spans="1:36" x14ac:dyDescent="0.3">
      <c r="A1984">
        <f>COUNTIF($D$2:D1984,D1984)</f>
        <v>8</v>
      </c>
      <c r="B1984" t="str">
        <f t="shared" si="121"/>
        <v>8South Gloucestershire</v>
      </c>
      <c r="C1984" t="s">
        <v>5659</v>
      </c>
      <c r="D1984" t="s">
        <v>289</v>
      </c>
      <c r="E1984">
        <v>11</v>
      </c>
      <c r="F1984" t="s">
        <v>1051</v>
      </c>
      <c r="G1984" t="s">
        <v>800</v>
      </c>
      <c r="H1984" t="s">
        <v>903</v>
      </c>
      <c r="I1984" t="s">
        <v>802</v>
      </c>
      <c r="J1984">
        <f t="shared" ca="1" si="122"/>
        <v>1670841</v>
      </c>
      <c r="K1984">
        <f t="shared" ca="1" si="123"/>
        <v>6192</v>
      </c>
      <c r="N1984" t="str">
        <f t="shared" si="120"/>
        <v>Rochdale8Innovate our domiciliary care offerHome Care or Domiciliary CareDomiciliary care packages</v>
      </c>
      <c r="O1984" t="s">
        <v>267</v>
      </c>
      <c r="P1984" t="s">
        <v>1201</v>
      </c>
      <c r="Q1984">
        <v>8</v>
      </c>
      <c r="R1984" t="s">
        <v>5201</v>
      </c>
      <c r="S1984" t="s">
        <v>5660</v>
      </c>
      <c r="T1984" t="s">
        <v>842</v>
      </c>
      <c r="U1984" t="s">
        <v>843</v>
      </c>
      <c r="W1984">
        <v>9320</v>
      </c>
      <c r="X1984">
        <v>9350</v>
      </c>
      <c r="Y1984" t="s">
        <v>844</v>
      </c>
      <c r="Z1984" t="s">
        <v>792</v>
      </c>
      <c r="AB1984" t="s">
        <v>793</v>
      </c>
      <c r="AD1984" t="s">
        <v>794</v>
      </c>
      <c r="AE1984" t="s">
        <v>804</v>
      </c>
      <c r="AF1984" t="s">
        <v>860</v>
      </c>
      <c r="AG1984" t="s">
        <v>861</v>
      </c>
      <c r="AH1984">
        <v>175000</v>
      </c>
      <c r="AI1984">
        <v>231000</v>
      </c>
      <c r="AJ1984">
        <v>1</v>
      </c>
    </row>
    <row r="1985" spans="1:36" x14ac:dyDescent="0.3">
      <c r="A1985">
        <f>COUNTIF($D$2:D1985,D1985)</f>
        <v>9</v>
      </c>
      <c r="B1985" t="str">
        <f t="shared" si="121"/>
        <v>9South Gloucestershire</v>
      </c>
      <c r="C1985" t="s">
        <v>5661</v>
      </c>
      <c r="D1985" t="s">
        <v>289</v>
      </c>
      <c r="E1985">
        <v>12</v>
      </c>
      <c r="F1985" t="s">
        <v>1844</v>
      </c>
      <c r="G1985" t="s">
        <v>834</v>
      </c>
      <c r="H1985" t="s">
        <v>835</v>
      </c>
      <c r="I1985" t="s">
        <v>836</v>
      </c>
      <c r="J1985">
        <f t="shared" ca="1" si="122"/>
        <v>2339081</v>
      </c>
      <c r="K1985">
        <f t="shared" ca="1" si="123"/>
        <v>230</v>
      </c>
      <c r="N1985" t="str">
        <f t="shared" si="120"/>
        <v>Rochdale11Mental Health D2A and Crisis beds Bed based intermediate Care Services (Reablement, rehabilitation, wider short-term services supporting recovery)Bed-based intermediate care with reablement accepting step up and step down users</v>
      </c>
      <c r="O1985" t="s">
        <v>267</v>
      </c>
      <c r="P1985" t="s">
        <v>1201</v>
      </c>
      <c r="Q1985">
        <v>11</v>
      </c>
      <c r="R1985" t="s">
        <v>5203</v>
      </c>
      <c r="S1985" t="s">
        <v>5662</v>
      </c>
      <c r="T1985" t="s">
        <v>877</v>
      </c>
      <c r="U1985" t="s">
        <v>1259</v>
      </c>
      <c r="W1985">
        <v>5</v>
      </c>
      <c r="X1985">
        <v>5</v>
      </c>
      <c r="Y1985" t="s">
        <v>879</v>
      </c>
      <c r="Z1985" t="s">
        <v>5663</v>
      </c>
      <c r="AB1985" t="s">
        <v>824</v>
      </c>
      <c r="AD1985" t="s">
        <v>794</v>
      </c>
      <c r="AE1985" t="s">
        <v>1107</v>
      </c>
      <c r="AF1985" t="s">
        <v>860</v>
      </c>
      <c r="AG1985" t="s">
        <v>861</v>
      </c>
      <c r="AH1985">
        <v>76163</v>
      </c>
      <c r="AI1985">
        <v>100535</v>
      </c>
      <c r="AJ1985">
        <v>1</v>
      </c>
    </row>
    <row r="1986" spans="1:36" x14ac:dyDescent="0.3">
      <c r="A1986">
        <f>COUNTIF($D$2:D1986,D1986)</f>
        <v>10</v>
      </c>
      <c r="B1986" t="str">
        <f t="shared" si="121"/>
        <v>10South Gloucestershire</v>
      </c>
      <c r="C1986" t="s">
        <v>5664</v>
      </c>
      <c r="D1986" t="s">
        <v>289</v>
      </c>
      <c r="E1986">
        <v>17</v>
      </c>
      <c r="F1986" t="s">
        <v>5665</v>
      </c>
      <c r="G1986" t="s">
        <v>5666</v>
      </c>
      <c r="H1986" t="s">
        <v>5667</v>
      </c>
      <c r="I1986" t="s">
        <v>794</v>
      </c>
      <c r="J1986">
        <f t="shared" ca="1" si="122"/>
        <v>1204506</v>
      </c>
      <c r="K1986">
        <f t="shared" ca="1" si="123"/>
        <v>19</v>
      </c>
      <c r="N1986" t="str">
        <f t="shared" ref="N1986:N2049" si="124">O1986&amp;Q1986&amp;R1986&amp;T1986&amp;U1986</f>
        <v>Rochdale3Mental Health Crisis café ( carer support to help get people home) Carers ServicesCarer advice and support related to Care Act duties</v>
      </c>
      <c r="O1986" t="s">
        <v>267</v>
      </c>
      <c r="P1986" t="s">
        <v>1201</v>
      </c>
      <c r="Q1986">
        <v>3</v>
      </c>
      <c r="R1986" t="s">
        <v>5205</v>
      </c>
      <c r="S1986" t="s">
        <v>5668</v>
      </c>
      <c r="T1986" t="s">
        <v>811</v>
      </c>
      <c r="U1986" t="s">
        <v>895</v>
      </c>
      <c r="W1986">
        <v>10</v>
      </c>
      <c r="X1986">
        <v>20</v>
      </c>
      <c r="Y1986" t="s">
        <v>813</v>
      </c>
      <c r="Z1986" t="s">
        <v>792</v>
      </c>
      <c r="AB1986" t="s">
        <v>824</v>
      </c>
      <c r="AD1986" t="s">
        <v>794</v>
      </c>
      <c r="AE1986" t="s">
        <v>825</v>
      </c>
      <c r="AF1986" t="s">
        <v>860</v>
      </c>
      <c r="AG1986" t="s">
        <v>861</v>
      </c>
      <c r="AH1986">
        <v>41800</v>
      </c>
      <c r="AI1986">
        <v>55176</v>
      </c>
      <c r="AJ1986">
        <v>1</v>
      </c>
    </row>
    <row r="1987" spans="1:36" x14ac:dyDescent="0.3">
      <c r="A1987">
        <f>COUNTIF($D$2:D1987,D1987)</f>
        <v>11</v>
      </c>
      <c r="B1987" t="str">
        <f t="shared" ref="B1987:B2050" si="125">A1987&amp;D1987</f>
        <v>11South Gloucestershire</v>
      </c>
      <c r="C1987" t="s">
        <v>5669</v>
      </c>
      <c r="D1987" t="s">
        <v>289</v>
      </c>
      <c r="E1987">
        <v>19</v>
      </c>
      <c r="F1987" t="s">
        <v>5670</v>
      </c>
      <c r="G1987" t="s">
        <v>1402</v>
      </c>
      <c r="H1987" t="s">
        <v>1403</v>
      </c>
      <c r="I1987" t="s">
        <v>794</v>
      </c>
      <c r="J1987">
        <f t="shared" ref="J1987:J2050" ca="1" si="126">SUMIF($N:$AI,C1987,AH:AH)</f>
        <v>72998</v>
      </c>
      <c r="K1987">
        <f t="shared" ref="K1987:K2050" ca="1" si="127">SUMIF($N:$AI,C1987,W:W)</f>
        <v>56</v>
      </c>
      <c r="N1987" t="str">
        <f t="shared" si="124"/>
        <v>Rochdale1Reablement - equipmenAssistive Technologies and EquipmentCommunity based equipment</v>
      </c>
      <c r="O1987" t="s">
        <v>267</v>
      </c>
      <c r="P1987" t="s">
        <v>1201</v>
      </c>
      <c r="Q1987">
        <v>1</v>
      </c>
      <c r="R1987" t="s">
        <v>5208</v>
      </c>
      <c r="S1987" t="s">
        <v>5671</v>
      </c>
      <c r="T1987" t="s">
        <v>800</v>
      </c>
      <c r="U1987" t="s">
        <v>903</v>
      </c>
      <c r="W1987">
        <v>423</v>
      </c>
      <c r="X1987">
        <v>464</v>
      </c>
      <c r="Y1987" t="s">
        <v>802</v>
      </c>
      <c r="Z1987" t="s">
        <v>792</v>
      </c>
      <c r="AB1987" t="s">
        <v>793</v>
      </c>
      <c r="AD1987" t="s">
        <v>794</v>
      </c>
      <c r="AE1987" t="s">
        <v>804</v>
      </c>
      <c r="AF1987" t="s">
        <v>864</v>
      </c>
      <c r="AG1987" t="s">
        <v>861</v>
      </c>
      <c r="AH1987">
        <v>25000</v>
      </c>
      <c r="AI1987">
        <v>33000</v>
      </c>
      <c r="AJ1987">
        <v>1</v>
      </c>
    </row>
    <row r="1988" spans="1:36" x14ac:dyDescent="0.3">
      <c r="A1988">
        <f>COUNTIF($D$2:D1988,D1988)</f>
        <v>12</v>
      </c>
      <c r="B1988" t="str">
        <f t="shared" si="125"/>
        <v>12South Gloucestershire</v>
      </c>
      <c r="C1988" t="s">
        <v>5672</v>
      </c>
      <c r="D1988" t="s">
        <v>289</v>
      </c>
      <c r="E1988">
        <v>21</v>
      </c>
      <c r="F1988" t="s">
        <v>5673</v>
      </c>
      <c r="G1988" t="s">
        <v>1402</v>
      </c>
      <c r="H1988" t="s">
        <v>1411</v>
      </c>
      <c r="I1988" t="s">
        <v>794</v>
      </c>
      <c r="J1988">
        <f t="shared" ca="1" si="126"/>
        <v>180827</v>
      </c>
      <c r="K1988">
        <f t="shared" ca="1" si="127"/>
        <v>299</v>
      </c>
      <c r="N1988" t="str">
        <f t="shared" si="124"/>
        <v>Rotherham3ReablementHome-based intermediate care servicesReablement at home (to prevent admission to hospital or residential care)</v>
      </c>
      <c r="O1988" t="s">
        <v>269</v>
      </c>
      <c r="P1988" t="s">
        <v>922</v>
      </c>
      <c r="Q1988">
        <v>3</v>
      </c>
      <c r="R1988" t="s">
        <v>434</v>
      </c>
      <c r="S1988" t="s">
        <v>5674</v>
      </c>
      <c r="T1988" t="s">
        <v>787</v>
      </c>
      <c r="U1988" t="s">
        <v>886</v>
      </c>
      <c r="W1988">
        <v>838</v>
      </c>
      <c r="X1988">
        <v>920</v>
      </c>
      <c r="Y1988" t="s">
        <v>789</v>
      </c>
      <c r="Z1988" t="s">
        <v>792</v>
      </c>
      <c r="AB1988" t="s">
        <v>793</v>
      </c>
      <c r="AD1988" t="s">
        <v>794</v>
      </c>
      <c r="AE1988" t="s">
        <v>795</v>
      </c>
      <c r="AF1988" t="s">
        <v>796</v>
      </c>
      <c r="AG1988" t="s">
        <v>797</v>
      </c>
      <c r="AH1988">
        <v>1087000</v>
      </c>
      <c r="AI1988">
        <v>1087000</v>
      </c>
      <c r="AJ1988">
        <v>0.56000000000000005</v>
      </c>
    </row>
    <row r="1989" spans="1:36" x14ac:dyDescent="0.3">
      <c r="A1989">
        <f>COUNTIF($D$2:D1989,D1989)</f>
        <v>13</v>
      </c>
      <c r="B1989" t="str">
        <f t="shared" si="125"/>
        <v>13South Gloucestershire</v>
      </c>
      <c r="C1989" t="s">
        <v>5675</v>
      </c>
      <c r="D1989" t="s">
        <v>289</v>
      </c>
      <c r="E1989">
        <v>22</v>
      </c>
      <c r="F1989" t="s">
        <v>5676</v>
      </c>
      <c r="G1989" t="s">
        <v>2031</v>
      </c>
      <c r="H1989" t="s">
        <v>2032</v>
      </c>
      <c r="I1989" t="s">
        <v>794</v>
      </c>
      <c r="J1989">
        <f t="shared" ca="1" si="126"/>
        <v>492807</v>
      </c>
      <c r="K1989">
        <f t="shared" ca="1" si="127"/>
        <v>725</v>
      </c>
      <c r="N1989" t="str">
        <f t="shared" si="124"/>
        <v>Rotherham3Domiciliary CareHome Care or Domiciliary CareDomiciliary care packages</v>
      </c>
      <c r="O1989" t="s">
        <v>269</v>
      </c>
      <c r="P1989" t="s">
        <v>922</v>
      </c>
      <c r="Q1989">
        <v>3</v>
      </c>
      <c r="R1989" t="s">
        <v>1806</v>
      </c>
      <c r="S1989" t="s">
        <v>5677</v>
      </c>
      <c r="T1989" t="s">
        <v>842</v>
      </c>
      <c r="U1989" t="s">
        <v>843</v>
      </c>
      <c r="W1989">
        <v>34022</v>
      </c>
      <c r="X1989">
        <v>34022</v>
      </c>
      <c r="Y1989" t="s">
        <v>844</v>
      </c>
      <c r="Z1989" t="s">
        <v>792</v>
      </c>
      <c r="AB1989" t="s">
        <v>793</v>
      </c>
      <c r="AD1989" t="s">
        <v>794</v>
      </c>
      <c r="AE1989" t="s">
        <v>804</v>
      </c>
      <c r="AF1989" t="s">
        <v>796</v>
      </c>
      <c r="AG1989" t="s">
        <v>797</v>
      </c>
      <c r="AH1989">
        <v>758000</v>
      </c>
      <c r="AI1989">
        <v>758000</v>
      </c>
      <c r="AJ1989">
        <v>7.0000000000000007E-2</v>
      </c>
    </row>
    <row r="1990" spans="1:36" x14ac:dyDescent="0.3">
      <c r="A1990">
        <f>COUNTIF($D$2:D1990,D1990)</f>
        <v>14</v>
      </c>
      <c r="B1990" t="str">
        <f t="shared" si="125"/>
        <v>14South Gloucestershire</v>
      </c>
      <c r="C1990" t="s">
        <v>5678</v>
      </c>
      <c r="D1990" t="s">
        <v>289</v>
      </c>
      <c r="E1990">
        <v>23</v>
      </c>
      <c r="F1990" t="s">
        <v>5679</v>
      </c>
      <c r="G1990" t="s">
        <v>1453</v>
      </c>
      <c r="H1990" t="s">
        <v>4677</v>
      </c>
      <c r="I1990" t="s">
        <v>794</v>
      </c>
      <c r="J1990">
        <f t="shared" ca="1" si="126"/>
        <v>410466</v>
      </c>
      <c r="K1990">
        <f t="shared" ca="1" si="127"/>
        <v>15757</v>
      </c>
      <c r="N1990" t="str">
        <f t="shared" si="124"/>
        <v>Rotherham10Disabled Facilities GrantDFG Related SchemesAdaptations, including statutory DFG grants</v>
      </c>
      <c r="O1990" t="s">
        <v>269</v>
      </c>
      <c r="P1990" t="s">
        <v>922</v>
      </c>
      <c r="Q1990">
        <v>10</v>
      </c>
      <c r="R1990" t="s">
        <v>891</v>
      </c>
      <c r="S1990" t="s">
        <v>5680</v>
      </c>
      <c r="T1990" t="s">
        <v>834</v>
      </c>
      <c r="U1990" t="s">
        <v>835</v>
      </c>
      <c r="W1990">
        <v>201</v>
      </c>
      <c r="X1990">
        <v>201</v>
      </c>
      <c r="Y1990" t="s">
        <v>836</v>
      </c>
      <c r="Z1990" t="s">
        <v>792</v>
      </c>
      <c r="AB1990" t="s">
        <v>793</v>
      </c>
      <c r="AD1990" t="s">
        <v>794</v>
      </c>
      <c r="AE1990" t="s">
        <v>795</v>
      </c>
      <c r="AF1990" t="s">
        <v>840</v>
      </c>
      <c r="AG1990" t="s">
        <v>797</v>
      </c>
      <c r="AH1990">
        <v>2193735</v>
      </c>
      <c r="AI1990">
        <v>2193735</v>
      </c>
      <c r="AJ1990">
        <v>0.72</v>
      </c>
    </row>
    <row r="1991" spans="1:36" x14ac:dyDescent="0.3">
      <c r="A1991">
        <f>COUNTIF($D$2:D1991,D1991)</f>
        <v>15</v>
      </c>
      <c r="B1991" t="str">
        <f t="shared" si="125"/>
        <v>15South Gloucestershire</v>
      </c>
      <c r="C1991" t="s">
        <v>5681</v>
      </c>
      <c r="D1991" t="s">
        <v>289</v>
      </c>
      <c r="E1991">
        <v>24</v>
      </c>
      <c r="F1991" t="s">
        <v>5682</v>
      </c>
      <c r="G1991" t="s">
        <v>1402</v>
      </c>
      <c r="H1991" t="s">
        <v>1441</v>
      </c>
      <c r="I1991" t="s">
        <v>794</v>
      </c>
      <c r="J1991">
        <f t="shared" ca="1" si="126"/>
        <v>330000</v>
      </c>
      <c r="K1991">
        <f t="shared" ca="1" si="127"/>
        <v>517</v>
      </c>
      <c r="N1991" t="str">
        <f t="shared" si="124"/>
        <v>Rotherham10Disabled Facilities GrantAssistive Technologies and EquipmentCommunity based equipment</v>
      </c>
      <c r="O1991" t="s">
        <v>269</v>
      </c>
      <c r="P1991" t="s">
        <v>922</v>
      </c>
      <c r="Q1991">
        <v>10</v>
      </c>
      <c r="R1991" t="s">
        <v>891</v>
      </c>
      <c r="S1991" t="s">
        <v>5683</v>
      </c>
      <c r="T1991" t="s">
        <v>800</v>
      </c>
      <c r="U1991" t="s">
        <v>903</v>
      </c>
      <c r="W1991">
        <v>2134</v>
      </c>
      <c r="X1991">
        <v>2200</v>
      </c>
      <c r="Y1991" t="s">
        <v>802</v>
      </c>
      <c r="Z1991" t="s">
        <v>792</v>
      </c>
      <c r="AB1991" t="s">
        <v>793</v>
      </c>
      <c r="AD1991" t="s">
        <v>794</v>
      </c>
      <c r="AE1991" t="s">
        <v>795</v>
      </c>
      <c r="AF1991" t="s">
        <v>840</v>
      </c>
      <c r="AG1991" t="s">
        <v>797</v>
      </c>
      <c r="AH1991">
        <v>870000</v>
      </c>
      <c r="AI1991">
        <v>870000</v>
      </c>
      <c r="AJ1991">
        <v>0.28000000000000003</v>
      </c>
    </row>
    <row r="1992" spans="1:36" x14ac:dyDescent="0.3">
      <c r="A1992">
        <f>COUNTIF($D$2:D1992,D1992)</f>
        <v>16</v>
      </c>
      <c r="B1992" t="str">
        <f t="shared" si="125"/>
        <v>16South Gloucestershire</v>
      </c>
      <c r="C1992" t="s">
        <v>5684</v>
      </c>
      <c r="D1992" t="s">
        <v>289</v>
      </c>
      <c r="E1992">
        <v>25</v>
      </c>
      <c r="F1992" t="s">
        <v>5685</v>
      </c>
      <c r="G1992" t="s">
        <v>842</v>
      </c>
      <c r="H1992" t="s">
        <v>843</v>
      </c>
      <c r="I1992" t="s">
        <v>844</v>
      </c>
      <c r="J1992">
        <f t="shared" ca="1" si="126"/>
        <v>633365</v>
      </c>
      <c r="K1992">
        <f t="shared" ca="1" si="127"/>
        <v>24313</v>
      </c>
      <c r="N1992" t="str">
        <f t="shared" si="124"/>
        <v>Rotherham10Additional Disabled Facilities Grant schemesDFG Related SchemesOther</v>
      </c>
      <c r="O1992" t="s">
        <v>269</v>
      </c>
      <c r="P1992" t="s">
        <v>922</v>
      </c>
      <c r="Q1992">
        <v>10</v>
      </c>
      <c r="R1992" t="s">
        <v>5215</v>
      </c>
      <c r="S1992" t="s">
        <v>5686</v>
      </c>
      <c r="T1992" t="s">
        <v>834</v>
      </c>
      <c r="U1992" t="s">
        <v>812</v>
      </c>
      <c r="V1992" t="s">
        <v>5687</v>
      </c>
      <c r="W1992">
        <v>201</v>
      </c>
      <c r="X1992">
        <v>201</v>
      </c>
      <c r="Y1992" t="s">
        <v>836</v>
      </c>
      <c r="Z1992" t="s">
        <v>792</v>
      </c>
      <c r="AB1992" t="s">
        <v>793</v>
      </c>
      <c r="AD1992" t="s">
        <v>794</v>
      </c>
      <c r="AE1992" t="s">
        <v>795</v>
      </c>
      <c r="AF1992" t="s">
        <v>1029</v>
      </c>
      <c r="AG1992" t="s">
        <v>861</v>
      </c>
      <c r="AH1992">
        <v>1496000</v>
      </c>
      <c r="AI1992">
        <v>1500000</v>
      </c>
      <c r="AJ1992">
        <v>1</v>
      </c>
    </row>
    <row r="1993" spans="1:36" x14ac:dyDescent="0.3">
      <c r="A1993">
        <f>COUNTIF($D$2:D1993,D1993)</f>
        <v>17</v>
      </c>
      <c r="B1993" t="str">
        <f t="shared" si="125"/>
        <v>17South Gloucestershire</v>
      </c>
      <c r="C1993" t="s">
        <v>5688</v>
      </c>
      <c r="D1993" t="s">
        <v>289</v>
      </c>
      <c r="E1993">
        <v>26</v>
      </c>
      <c r="F1993" t="s">
        <v>5689</v>
      </c>
      <c r="G1993" t="s">
        <v>2031</v>
      </c>
      <c r="H1993" t="s">
        <v>2318</v>
      </c>
      <c r="I1993" t="s">
        <v>794</v>
      </c>
      <c r="J1993">
        <f t="shared" ca="1" si="126"/>
        <v>347207</v>
      </c>
      <c r="K1993">
        <f t="shared" ca="1" si="127"/>
        <v>580</v>
      </c>
      <c r="N1993" t="str">
        <f t="shared" si="124"/>
        <v>Rotherham13Intermediate Care Bed based intermediate Care Services (Reablement, rehabilitation, wider short-term services supporting recovery)Bed-based intermediate care with rehabilitation (to support discharge)</v>
      </c>
      <c r="O1993" t="s">
        <v>269</v>
      </c>
      <c r="P1993" t="s">
        <v>922</v>
      </c>
      <c r="Q1993">
        <v>13</v>
      </c>
      <c r="R1993" t="s">
        <v>1550</v>
      </c>
      <c r="S1993" t="s">
        <v>5690</v>
      </c>
      <c r="T1993" t="s">
        <v>877</v>
      </c>
      <c r="U1993" t="s">
        <v>968</v>
      </c>
      <c r="W1993">
        <v>530</v>
      </c>
      <c r="X1993">
        <v>550</v>
      </c>
      <c r="Y1993" t="s">
        <v>879</v>
      </c>
      <c r="Z1993" t="s">
        <v>792</v>
      </c>
      <c r="AB1993" t="s">
        <v>793</v>
      </c>
      <c r="AD1993" t="s">
        <v>794</v>
      </c>
      <c r="AE1993" t="s">
        <v>795</v>
      </c>
      <c r="AF1993" t="s">
        <v>1029</v>
      </c>
      <c r="AG1993" t="s">
        <v>797</v>
      </c>
      <c r="AH1993">
        <v>1779038</v>
      </c>
      <c r="AI1993">
        <v>1779038</v>
      </c>
      <c r="AJ1993">
        <v>0.67</v>
      </c>
    </row>
    <row r="1994" spans="1:36" x14ac:dyDescent="0.3">
      <c r="A1994">
        <f>COUNTIF($D$2:D1994,D1994)</f>
        <v>18</v>
      </c>
      <c r="B1994" t="str">
        <f t="shared" si="125"/>
        <v>18South Gloucestershire</v>
      </c>
      <c r="C1994" t="s">
        <v>5691</v>
      </c>
      <c r="D1994" t="s">
        <v>289</v>
      </c>
      <c r="E1994">
        <v>27</v>
      </c>
      <c r="F1994" t="s">
        <v>5692</v>
      </c>
      <c r="G1994" t="s">
        <v>842</v>
      </c>
      <c r="H1994" t="s">
        <v>843</v>
      </c>
      <c r="I1994" t="s">
        <v>844</v>
      </c>
      <c r="J1994">
        <f t="shared" ca="1" si="126"/>
        <v>2135175</v>
      </c>
      <c r="K1994">
        <f t="shared" ca="1" si="127"/>
        <v>81964</v>
      </c>
      <c r="N1994" t="str">
        <f t="shared" si="124"/>
        <v>Rotherham13Intermediate Care Bed based intermediate Care Services (Reablement, rehabilitation, wider short-term services supporting recovery)Bed-based intermediate care with rehabilitation (to support discharge)</v>
      </c>
      <c r="O1994" t="s">
        <v>269</v>
      </c>
      <c r="P1994" t="s">
        <v>922</v>
      </c>
      <c r="Q1994">
        <v>13</v>
      </c>
      <c r="R1994" t="s">
        <v>1550</v>
      </c>
      <c r="S1994" t="s">
        <v>5690</v>
      </c>
      <c r="T1994" t="s">
        <v>877</v>
      </c>
      <c r="U1994" t="s">
        <v>968</v>
      </c>
      <c r="W1994">
        <v>374</v>
      </c>
      <c r="X1994">
        <v>375</v>
      </c>
      <c r="Y1994" t="s">
        <v>879</v>
      </c>
      <c r="Z1994" t="s">
        <v>792</v>
      </c>
      <c r="AB1994" t="s">
        <v>793</v>
      </c>
      <c r="AD1994" t="s">
        <v>794</v>
      </c>
      <c r="AE1994" t="s">
        <v>795</v>
      </c>
      <c r="AF1994" t="s">
        <v>796</v>
      </c>
      <c r="AG1994" t="s">
        <v>797</v>
      </c>
      <c r="AH1994">
        <v>1039000</v>
      </c>
      <c r="AI1994">
        <v>1039000</v>
      </c>
      <c r="AJ1994">
        <v>0.37</v>
      </c>
    </row>
    <row r="1995" spans="1:36" x14ac:dyDescent="0.3">
      <c r="A1995">
        <f>COUNTIF($D$2:D1995,D1995)</f>
        <v>19</v>
      </c>
      <c r="B1995" t="str">
        <f t="shared" si="125"/>
        <v>19South Gloucestershire</v>
      </c>
      <c r="C1995" t="s">
        <v>5693</v>
      </c>
      <c r="D1995" t="s">
        <v>289</v>
      </c>
      <c r="E1995">
        <v>28</v>
      </c>
      <c r="F1995" t="s">
        <v>5694</v>
      </c>
      <c r="G1995" t="s">
        <v>5154</v>
      </c>
      <c r="H1995" t="s">
        <v>5695</v>
      </c>
      <c r="I1995" t="s">
        <v>794</v>
      </c>
      <c r="J1995">
        <f t="shared" ca="1" si="126"/>
        <v>383267</v>
      </c>
      <c r="K1995">
        <f t="shared" ca="1" si="127"/>
        <v>218</v>
      </c>
      <c r="N1995" t="str">
        <f t="shared" si="124"/>
        <v>Rotherham13Intermediate Care Bed based intermediate Care Services (Reablement, rehabilitation, wider short-term services supporting recovery)Bed-based intermediate care with rehabilitation (to support discharge)</v>
      </c>
      <c r="O1995" t="s">
        <v>269</v>
      </c>
      <c r="P1995" t="s">
        <v>922</v>
      </c>
      <c r="Q1995">
        <v>13</v>
      </c>
      <c r="R1995" t="s">
        <v>1550</v>
      </c>
      <c r="S1995" t="s">
        <v>5690</v>
      </c>
      <c r="T1995" t="s">
        <v>877</v>
      </c>
      <c r="U1995" t="s">
        <v>968</v>
      </c>
      <c r="W1995">
        <v>288</v>
      </c>
      <c r="X1995">
        <v>288</v>
      </c>
      <c r="Y1995" t="s">
        <v>879</v>
      </c>
      <c r="Z1995" t="s">
        <v>792</v>
      </c>
      <c r="AB1995" t="s">
        <v>824</v>
      </c>
      <c r="AD1995" t="s">
        <v>794</v>
      </c>
      <c r="AE1995" t="s">
        <v>804</v>
      </c>
      <c r="AF1995" t="s">
        <v>796</v>
      </c>
      <c r="AG1995" t="s">
        <v>797</v>
      </c>
      <c r="AH1995">
        <v>1467000</v>
      </c>
      <c r="AI1995">
        <v>1550000</v>
      </c>
      <c r="AJ1995">
        <v>1</v>
      </c>
    </row>
    <row r="1996" spans="1:36" x14ac:dyDescent="0.3">
      <c r="A1996">
        <f>COUNTIF($D$2:D1996,D1996)</f>
        <v>20</v>
      </c>
      <c r="B1996" t="str">
        <f t="shared" si="125"/>
        <v>20South Gloucestershire</v>
      </c>
      <c r="C1996" t="s">
        <v>5696</v>
      </c>
      <c r="D1996" t="s">
        <v>289</v>
      </c>
      <c r="E1996">
        <v>29</v>
      </c>
      <c r="F1996" t="s">
        <v>5697</v>
      </c>
      <c r="G1996" t="s">
        <v>1402</v>
      </c>
      <c r="H1996" t="s">
        <v>1441</v>
      </c>
      <c r="I1996" t="s">
        <v>794</v>
      </c>
      <c r="J1996">
        <f t="shared" ca="1" si="126"/>
        <v>92726</v>
      </c>
      <c r="K1996">
        <f t="shared" ca="1" si="127"/>
        <v>3395</v>
      </c>
      <c r="N1996" t="str">
        <f t="shared" si="124"/>
        <v xml:space="preserve">Rotherham13Intermediate Care - Home firstHome-based intermediate care servicesReablement at home (to support discharge) </v>
      </c>
      <c r="O1996" t="s">
        <v>269</v>
      </c>
      <c r="P1996" t="s">
        <v>922</v>
      </c>
      <c r="Q1996">
        <v>13</v>
      </c>
      <c r="R1996" t="s">
        <v>5218</v>
      </c>
      <c r="S1996" t="s">
        <v>5698</v>
      </c>
      <c r="T1996" t="s">
        <v>787</v>
      </c>
      <c r="U1996" t="s">
        <v>788</v>
      </c>
      <c r="W1996">
        <v>374</v>
      </c>
      <c r="X1996">
        <v>375</v>
      </c>
      <c r="Y1996" t="s">
        <v>789</v>
      </c>
      <c r="Z1996" t="s">
        <v>792</v>
      </c>
      <c r="AB1996" t="s">
        <v>824</v>
      </c>
      <c r="AD1996" t="s">
        <v>794</v>
      </c>
      <c r="AE1996" t="s">
        <v>832</v>
      </c>
      <c r="AF1996" t="s">
        <v>796</v>
      </c>
      <c r="AG1996" t="s">
        <v>797</v>
      </c>
      <c r="AH1996">
        <v>862000</v>
      </c>
      <c r="AI1996">
        <v>910000</v>
      </c>
      <c r="AJ1996">
        <v>1</v>
      </c>
    </row>
    <row r="1997" spans="1:36" x14ac:dyDescent="0.3">
      <c r="A1997">
        <f>COUNTIF($D$2:D1997,D1997)</f>
        <v>21</v>
      </c>
      <c r="B1997" t="str">
        <f t="shared" si="125"/>
        <v>21South Gloucestershire</v>
      </c>
      <c r="C1997" t="s">
        <v>5699</v>
      </c>
      <c r="D1997" t="s">
        <v>289</v>
      </c>
      <c r="E1997">
        <v>31</v>
      </c>
      <c r="F1997" t="s">
        <v>5700</v>
      </c>
      <c r="G1997" t="s">
        <v>1402</v>
      </c>
      <c r="H1997" t="s">
        <v>1441</v>
      </c>
      <c r="I1997" t="s">
        <v>794</v>
      </c>
      <c r="J1997">
        <f t="shared" ca="1" si="126"/>
        <v>92726</v>
      </c>
      <c r="K1997">
        <f t="shared" ca="1" si="127"/>
        <v>120</v>
      </c>
      <c r="N1997" t="str">
        <f t="shared" si="124"/>
        <v>Rotherham13Intermediate Care - TherapyBed based intermediate Care Services (Reablement, rehabilitation, wider short-term services supporting recovery)Other</v>
      </c>
      <c r="O1997" t="s">
        <v>269</v>
      </c>
      <c r="P1997" t="s">
        <v>922</v>
      </c>
      <c r="Q1997">
        <v>13</v>
      </c>
      <c r="R1997" t="s">
        <v>5220</v>
      </c>
      <c r="S1997" t="s">
        <v>5698</v>
      </c>
      <c r="T1997" t="s">
        <v>877</v>
      </c>
      <c r="U1997" t="s">
        <v>812</v>
      </c>
      <c r="V1997" t="s">
        <v>792</v>
      </c>
      <c r="W1997">
        <v>374</v>
      </c>
      <c r="X1997">
        <v>375</v>
      </c>
      <c r="Y1997" t="s">
        <v>879</v>
      </c>
      <c r="Z1997" t="s">
        <v>792</v>
      </c>
      <c r="AB1997" t="s">
        <v>793</v>
      </c>
      <c r="AD1997" t="s">
        <v>794</v>
      </c>
      <c r="AE1997" t="s">
        <v>832</v>
      </c>
      <c r="AF1997" t="s">
        <v>796</v>
      </c>
      <c r="AG1997" t="s">
        <v>797</v>
      </c>
      <c r="AH1997">
        <v>528000</v>
      </c>
      <c r="AI1997">
        <v>534000</v>
      </c>
      <c r="AJ1997">
        <v>1</v>
      </c>
    </row>
    <row r="1998" spans="1:36" x14ac:dyDescent="0.3">
      <c r="A1998">
        <f>COUNTIF($D$2:D1998,D1998)</f>
        <v>22</v>
      </c>
      <c r="B1998" t="str">
        <f t="shared" si="125"/>
        <v>22South Gloucestershire</v>
      </c>
      <c r="C1998" t="s">
        <v>5701</v>
      </c>
      <c r="D1998" t="s">
        <v>289</v>
      </c>
      <c r="E1998">
        <v>32</v>
      </c>
      <c r="F1998" t="s">
        <v>5702</v>
      </c>
      <c r="G1998" t="s">
        <v>811</v>
      </c>
      <c r="H1998" t="s">
        <v>830</v>
      </c>
      <c r="I1998" t="s">
        <v>813</v>
      </c>
      <c r="J1998">
        <f t="shared" ca="1" si="126"/>
        <v>412115</v>
      </c>
      <c r="K1998">
        <f t="shared" ca="1" si="127"/>
        <v>114</v>
      </c>
      <c r="N1998" t="str">
        <f t="shared" si="124"/>
        <v>Rotherham13Intermediate Care - TherapyBed based intermediate Care Services (Reablement, rehabilitation, wider short-term services supporting recovery)Other</v>
      </c>
      <c r="O1998" t="s">
        <v>269</v>
      </c>
      <c r="P1998" t="s">
        <v>922</v>
      </c>
      <c r="Q1998">
        <v>13</v>
      </c>
      <c r="R1998" t="s">
        <v>5220</v>
      </c>
      <c r="S1998" t="s">
        <v>5698</v>
      </c>
      <c r="T1998" t="s">
        <v>877</v>
      </c>
      <c r="U1998" t="s">
        <v>812</v>
      </c>
      <c r="V1998" t="s">
        <v>792</v>
      </c>
      <c r="W1998">
        <v>374</v>
      </c>
      <c r="X1998">
        <v>375</v>
      </c>
      <c r="Y1998" t="s">
        <v>879</v>
      </c>
      <c r="Z1998" t="s">
        <v>792</v>
      </c>
      <c r="AB1998" t="s">
        <v>793</v>
      </c>
      <c r="AD1998" t="s">
        <v>794</v>
      </c>
      <c r="AE1998" t="s">
        <v>1107</v>
      </c>
      <c r="AF1998" t="s">
        <v>796</v>
      </c>
      <c r="AG1998" t="s">
        <v>797</v>
      </c>
      <c r="AH1998">
        <v>97000</v>
      </c>
      <c r="AI1998">
        <v>97000</v>
      </c>
      <c r="AJ1998">
        <v>1</v>
      </c>
    </row>
    <row r="1999" spans="1:36" x14ac:dyDescent="0.3">
      <c r="A1999">
        <f>COUNTIF($D$2:D1999,D1999)</f>
        <v>23</v>
      </c>
      <c r="B1999" t="str">
        <f t="shared" si="125"/>
        <v>23South Gloucestershire</v>
      </c>
      <c r="C1999" t="s">
        <v>5703</v>
      </c>
      <c r="D1999" t="s">
        <v>289</v>
      </c>
      <c r="E1999">
        <v>35</v>
      </c>
      <c r="F1999" t="s">
        <v>5673</v>
      </c>
      <c r="G1999" t="s">
        <v>1402</v>
      </c>
      <c r="H1999" t="s">
        <v>1411</v>
      </c>
      <c r="I1999" t="s">
        <v>794</v>
      </c>
      <c r="J1999">
        <f t="shared" ca="1" si="126"/>
        <v>767002</v>
      </c>
      <c r="K1999">
        <f t="shared" ca="1" si="127"/>
        <v>20384</v>
      </c>
      <c r="N1999" t="str">
        <f t="shared" si="124"/>
        <v>Rotherham13Intermediate Care - GP CoverBed based intermediate Care Services (Reablement, rehabilitation, wider short-term services supporting recovery)Other</v>
      </c>
      <c r="O1999" t="s">
        <v>269</v>
      </c>
      <c r="P1999" t="s">
        <v>922</v>
      </c>
      <c r="Q1999">
        <v>13</v>
      </c>
      <c r="R1999" t="s">
        <v>5224</v>
      </c>
      <c r="S1999" t="s">
        <v>5704</v>
      </c>
      <c r="T1999" t="s">
        <v>877</v>
      </c>
      <c r="U1999" t="s">
        <v>812</v>
      </c>
      <c r="V1999" t="s">
        <v>5705</v>
      </c>
      <c r="W1999">
        <v>374</v>
      </c>
      <c r="X1999">
        <v>375</v>
      </c>
      <c r="Y1999" t="s">
        <v>879</v>
      </c>
      <c r="Z1999" t="s">
        <v>3118</v>
      </c>
      <c r="AB1999" t="s">
        <v>793</v>
      </c>
      <c r="AD1999" t="s">
        <v>794</v>
      </c>
      <c r="AE1999" t="s">
        <v>832</v>
      </c>
      <c r="AF1999" t="s">
        <v>796</v>
      </c>
      <c r="AG1999" t="s">
        <v>797</v>
      </c>
      <c r="AH1999">
        <v>36000</v>
      </c>
      <c r="AI1999">
        <v>36000</v>
      </c>
      <c r="AJ1999">
        <v>1</v>
      </c>
    </row>
    <row r="2000" spans="1:36" x14ac:dyDescent="0.3">
      <c r="A2000">
        <f>COUNTIF($D$2:D2000,D2000)</f>
        <v>24</v>
      </c>
      <c r="B2000" t="str">
        <f t="shared" si="125"/>
        <v>24South Gloucestershire</v>
      </c>
      <c r="C2000" t="s">
        <v>5706</v>
      </c>
      <c r="D2000" t="s">
        <v>289</v>
      </c>
      <c r="E2000">
        <v>36</v>
      </c>
      <c r="F2000" t="s">
        <v>5707</v>
      </c>
      <c r="G2000" t="s">
        <v>2031</v>
      </c>
      <c r="H2000" t="s">
        <v>2032</v>
      </c>
      <c r="I2000" t="s">
        <v>794</v>
      </c>
      <c r="J2000">
        <f t="shared" ca="1" si="126"/>
        <v>100000</v>
      </c>
      <c r="K2000">
        <f t="shared" ca="1" si="127"/>
        <v>420</v>
      </c>
      <c r="N2000" t="str">
        <f t="shared" si="124"/>
        <v xml:space="preserve">Rotherham13Intermediate Care Home-based intermediate care servicesReablement at home (to support discharge) </v>
      </c>
      <c r="O2000" t="s">
        <v>269</v>
      </c>
      <c r="P2000" t="s">
        <v>922</v>
      </c>
      <c r="Q2000">
        <v>13</v>
      </c>
      <c r="R2000" t="s">
        <v>1550</v>
      </c>
      <c r="S2000" t="s">
        <v>5698</v>
      </c>
      <c r="T2000" t="s">
        <v>787</v>
      </c>
      <c r="U2000" t="s">
        <v>788</v>
      </c>
      <c r="W2000">
        <v>374</v>
      </c>
      <c r="X2000">
        <v>375</v>
      </c>
      <c r="Y2000" t="s">
        <v>789</v>
      </c>
      <c r="Z2000" t="s">
        <v>823</v>
      </c>
      <c r="AB2000" t="s">
        <v>824</v>
      </c>
      <c r="AD2000" t="s">
        <v>794</v>
      </c>
      <c r="AE2000" t="s">
        <v>832</v>
      </c>
      <c r="AF2000" t="s">
        <v>796</v>
      </c>
      <c r="AG2000" t="s">
        <v>797</v>
      </c>
      <c r="AH2000">
        <v>367000</v>
      </c>
      <c r="AI2000">
        <v>387000</v>
      </c>
      <c r="AJ2000">
        <v>1</v>
      </c>
    </row>
    <row r="2001" spans="1:36" x14ac:dyDescent="0.3">
      <c r="A2001">
        <f>COUNTIF($D$2:D2001,D2001)</f>
        <v>25</v>
      </c>
      <c r="B2001" t="str">
        <f t="shared" si="125"/>
        <v>25South Gloucestershire</v>
      </c>
      <c r="C2001" t="s">
        <v>5708</v>
      </c>
      <c r="D2001" t="s">
        <v>289</v>
      </c>
      <c r="E2001">
        <v>37</v>
      </c>
      <c r="F2001" t="s">
        <v>5709</v>
      </c>
      <c r="G2001" t="s">
        <v>2031</v>
      </c>
      <c r="H2001" t="s">
        <v>2318</v>
      </c>
      <c r="I2001" t="s">
        <v>794</v>
      </c>
      <c r="J2001">
        <f t="shared" ca="1" si="126"/>
        <v>285000</v>
      </c>
      <c r="K2001">
        <f t="shared" ca="1" si="127"/>
        <v>600</v>
      </c>
      <c r="N2001" t="str">
        <f t="shared" si="124"/>
        <v>Rotherham14Supported LivingResidential PlacementsSupported housing</v>
      </c>
      <c r="O2001" t="s">
        <v>269</v>
      </c>
      <c r="P2001" t="s">
        <v>922</v>
      </c>
      <c r="Q2001">
        <v>14</v>
      </c>
      <c r="R2001" t="s">
        <v>872</v>
      </c>
      <c r="S2001" t="s">
        <v>5710</v>
      </c>
      <c r="T2001" t="s">
        <v>806</v>
      </c>
      <c r="U2001" t="s">
        <v>873</v>
      </c>
      <c r="W2001">
        <v>8</v>
      </c>
      <c r="X2001">
        <v>8</v>
      </c>
      <c r="Y2001" t="s">
        <v>808</v>
      </c>
      <c r="Z2001" t="s">
        <v>792</v>
      </c>
      <c r="AB2001" t="s">
        <v>793</v>
      </c>
      <c r="AD2001" t="s">
        <v>794</v>
      </c>
      <c r="AE2001" t="s">
        <v>804</v>
      </c>
      <c r="AF2001" t="s">
        <v>796</v>
      </c>
      <c r="AG2001" t="s">
        <v>797</v>
      </c>
      <c r="AH2001">
        <v>410000</v>
      </c>
      <c r="AI2001">
        <v>410000</v>
      </c>
      <c r="AJ2001">
        <v>0.14000000000000001</v>
      </c>
    </row>
    <row r="2002" spans="1:36" x14ac:dyDescent="0.3">
      <c r="A2002">
        <f>COUNTIF($D$2:D2002,D2002)</f>
        <v>26</v>
      </c>
      <c r="B2002" t="str">
        <f t="shared" si="125"/>
        <v>26South Gloucestershire</v>
      </c>
      <c r="C2002" t="s">
        <v>5711</v>
      </c>
      <c r="D2002" t="s">
        <v>289</v>
      </c>
      <c r="E2002">
        <v>38</v>
      </c>
      <c r="F2002" t="s">
        <v>5712</v>
      </c>
      <c r="G2002" t="s">
        <v>842</v>
      </c>
      <c r="H2002" t="s">
        <v>843</v>
      </c>
      <c r="I2002" t="s">
        <v>844</v>
      </c>
      <c r="J2002">
        <f t="shared" ca="1" si="126"/>
        <v>620000</v>
      </c>
      <c r="K2002">
        <f t="shared" ca="1" si="127"/>
        <v>19485</v>
      </c>
      <c r="N2002" t="str">
        <f t="shared" si="124"/>
        <v>Rotherham16Mental Health rehabilitation servicesResidential PlacementsCare home</v>
      </c>
      <c r="O2002" t="s">
        <v>269</v>
      </c>
      <c r="P2002" t="s">
        <v>922</v>
      </c>
      <c r="Q2002">
        <v>16</v>
      </c>
      <c r="R2002" t="s">
        <v>5230</v>
      </c>
      <c r="S2002" t="s">
        <v>5713</v>
      </c>
      <c r="T2002" t="s">
        <v>806</v>
      </c>
      <c r="U2002" t="s">
        <v>807</v>
      </c>
      <c r="W2002">
        <v>3</v>
      </c>
      <c r="X2002">
        <v>3</v>
      </c>
      <c r="Y2002" t="s">
        <v>808</v>
      </c>
      <c r="Z2002" t="s">
        <v>792</v>
      </c>
      <c r="AB2002" t="s">
        <v>793</v>
      </c>
      <c r="AD2002" t="s">
        <v>794</v>
      </c>
      <c r="AE2002" t="s">
        <v>804</v>
      </c>
      <c r="AF2002" t="s">
        <v>796</v>
      </c>
      <c r="AG2002" t="s">
        <v>797</v>
      </c>
      <c r="AH2002">
        <v>209000</v>
      </c>
      <c r="AI2002">
        <v>209000</v>
      </c>
      <c r="AJ2002">
        <v>0.06</v>
      </c>
    </row>
    <row r="2003" spans="1:36" x14ac:dyDescent="0.3">
      <c r="A2003">
        <f>COUNTIF($D$2:D2003,D2003)</f>
        <v>27</v>
      </c>
      <c r="B2003" t="str">
        <f t="shared" si="125"/>
        <v>27South Gloucestershire</v>
      </c>
      <c r="C2003" t="s">
        <v>5714</v>
      </c>
      <c r="D2003" t="s">
        <v>289</v>
      </c>
      <c r="E2003">
        <v>39</v>
      </c>
      <c r="F2003" t="s">
        <v>5715</v>
      </c>
      <c r="G2003" t="s">
        <v>842</v>
      </c>
      <c r="H2003" t="s">
        <v>843</v>
      </c>
      <c r="I2003" t="s">
        <v>844</v>
      </c>
      <c r="J2003">
        <f t="shared" ca="1" si="126"/>
        <v>174489</v>
      </c>
      <c r="K2003">
        <f t="shared" ca="1" si="127"/>
        <v>6415</v>
      </c>
      <c r="N2003" t="str">
        <f t="shared" si="124"/>
        <v>Rotherham17Learning Disabilities independent sector residential care/transitional placements Residential PlacementsLearning disability</v>
      </c>
      <c r="O2003" t="s">
        <v>269</v>
      </c>
      <c r="P2003" t="s">
        <v>922</v>
      </c>
      <c r="Q2003">
        <v>17</v>
      </c>
      <c r="R2003" t="s">
        <v>5233</v>
      </c>
      <c r="S2003" t="s">
        <v>5716</v>
      </c>
      <c r="T2003" t="s">
        <v>806</v>
      </c>
      <c r="U2003" t="s">
        <v>854</v>
      </c>
      <c r="W2003">
        <v>11</v>
      </c>
      <c r="X2003">
        <v>11</v>
      </c>
      <c r="Y2003" t="s">
        <v>808</v>
      </c>
      <c r="Z2003" t="s">
        <v>792</v>
      </c>
      <c r="AB2003" t="s">
        <v>793</v>
      </c>
      <c r="AD2003" t="s">
        <v>794</v>
      </c>
      <c r="AE2003" t="s">
        <v>804</v>
      </c>
      <c r="AF2003" t="s">
        <v>796</v>
      </c>
      <c r="AG2003" t="s">
        <v>797</v>
      </c>
      <c r="AH2003">
        <v>984000</v>
      </c>
      <c r="AI2003">
        <v>984000</v>
      </c>
      <c r="AJ2003">
        <v>0.08</v>
      </c>
    </row>
    <row r="2004" spans="1:36" x14ac:dyDescent="0.3">
      <c r="A2004">
        <f>COUNTIF($D$2:D2004,D2004)</f>
        <v>28</v>
      </c>
      <c r="B2004" t="str">
        <f t="shared" si="125"/>
        <v>28South Gloucestershire</v>
      </c>
      <c r="C2004" t="s">
        <v>5717</v>
      </c>
      <c r="D2004" t="s">
        <v>289</v>
      </c>
      <c r="E2004">
        <v>40</v>
      </c>
      <c r="F2004" t="s">
        <v>5718</v>
      </c>
      <c r="G2004" t="s">
        <v>800</v>
      </c>
      <c r="H2004" t="s">
        <v>850</v>
      </c>
      <c r="I2004" t="s">
        <v>802</v>
      </c>
      <c r="J2004">
        <f t="shared" ca="1" si="126"/>
        <v>90000</v>
      </c>
      <c r="K2004">
        <f t="shared" ca="1" si="127"/>
        <v>320</v>
      </c>
      <c r="N2004" t="str">
        <f t="shared" si="124"/>
        <v>Rotherham17Learning Disabilities Domiciliary CareHome Care or Domiciliary CareDomiciliary care packages</v>
      </c>
      <c r="O2004" t="s">
        <v>269</v>
      </c>
      <c r="P2004" t="s">
        <v>922</v>
      </c>
      <c r="Q2004">
        <v>17</v>
      </c>
      <c r="R2004" t="s">
        <v>5236</v>
      </c>
      <c r="S2004" t="s">
        <v>5719</v>
      </c>
      <c r="T2004" t="s">
        <v>842</v>
      </c>
      <c r="U2004" t="s">
        <v>843</v>
      </c>
      <c r="W2004">
        <v>1661</v>
      </c>
      <c r="X2004">
        <v>1661</v>
      </c>
      <c r="Y2004" t="s">
        <v>844</v>
      </c>
      <c r="Z2004" t="s">
        <v>792</v>
      </c>
      <c r="AB2004" t="s">
        <v>793</v>
      </c>
      <c r="AD2004" t="s">
        <v>794</v>
      </c>
      <c r="AE2004" t="s">
        <v>804</v>
      </c>
      <c r="AF2004" t="s">
        <v>796</v>
      </c>
      <c r="AG2004" t="s">
        <v>797</v>
      </c>
      <c r="AH2004">
        <v>37000</v>
      </c>
      <c r="AI2004">
        <v>37000</v>
      </c>
      <c r="AJ2004">
        <v>0.12</v>
      </c>
    </row>
    <row r="2005" spans="1:36" x14ac:dyDescent="0.3">
      <c r="A2005">
        <f>COUNTIF($D$2:D2005,D2005)</f>
        <v>29</v>
      </c>
      <c r="B2005" t="str">
        <f t="shared" si="125"/>
        <v>29South Gloucestershire</v>
      </c>
      <c r="C2005" t="s">
        <v>5720</v>
      </c>
      <c r="D2005" t="s">
        <v>289</v>
      </c>
      <c r="E2005">
        <v>41</v>
      </c>
      <c r="F2005" t="s">
        <v>5721</v>
      </c>
      <c r="G2005" t="s">
        <v>1453</v>
      </c>
      <c r="H2005" t="s">
        <v>1454</v>
      </c>
      <c r="I2005" t="s">
        <v>794</v>
      </c>
      <c r="J2005">
        <f t="shared" ca="1" si="126"/>
        <v>142000</v>
      </c>
      <c r="K2005">
        <f t="shared" ca="1" si="127"/>
        <v>835</v>
      </c>
      <c r="N2005" t="str">
        <f t="shared" si="124"/>
        <v>Rotherham18Free Nursing CareResidential PlacementsNursing home</v>
      </c>
      <c r="O2005" t="s">
        <v>269</v>
      </c>
      <c r="P2005" t="s">
        <v>922</v>
      </c>
      <c r="Q2005">
        <v>18</v>
      </c>
      <c r="R2005" t="s">
        <v>5239</v>
      </c>
      <c r="S2005" t="s">
        <v>5722</v>
      </c>
      <c r="T2005" t="s">
        <v>806</v>
      </c>
      <c r="U2005" t="s">
        <v>917</v>
      </c>
      <c r="W2005">
        <v>98</v>
      </c>
      <c r="X2005">
        <v>98</v>
      </c>
      <c r="Y2005" t="s">
        <v>808</v>
      </c>
      <c r="Z2005" t="s">
        <v>792</v>
      </c>
      <c r="AB2005" t="s">
        <v>793</v>
      </c>
      <c r="AD2005" t="s">
        <v>794</v>
      </c>
      <c r="AE2005" t="s">
        <v>804</v>
      </c>
      <c r="AF2005" t="s">
        <v>796</v>
      </c>
      <c r="AG2005" t="s">
        <v>861</v>
      </c>
      <c r="AH2005">
        <v>520000</v>
      </c>
      <c r="AI2005">
        <v>1243953</v>
      </c>
      <c r="AJ2005">
        <v>0.28999999999999998</v>
      </c>
    </row>
    <row r="2006" spans="1:36" x14ac:dyDescent="0.3">
      <c r="A2006">
        <f>COUNTIF($D$2:D2006,D2006)</f>
        <v>30</v>
      </c>
      <c r="B2006" t="str">
        <f t="shared" si="125"/>
        <v>30South Gloucestershire</v>
      </c>
      <c r="C2006" t="s">
        <v>5723</v>
      </c>
      <c r="D2006" t="s">
        <v>289</v>
      </c>
      <c r="E2006">
        <v>42</v>
      </c>
      <c r="F2006" t="s">
        <v>5724</v>
      </c>
      <c r="G2006" t="s">
        <v>2031</v>
      </c>
      <c r="H2006" t="s">
        <v>2032</v>
      </c>
      <c r="I2006" t="s">
        <v>794</v>
      </c>
      <c r="J2006">
        <f t="shared" ca="1" si="126"/>
        <v>397000</v>
      </c>
      <c r="K2006">
        <f t="shared" ca="1" si="127"/>
        <v>480</v>
      </c>
      <c r="N2006" t="str">
        <f t="shared" si="124"/>
        <v>Rotherham25Carers Support ServicesCarers ServicesCarer advice and support related to Care Act duties</v>
      </c>
      <c r="O2006" t="s">
        <v>269</v>
      </c>
      <c r="P2006" t="s">
        <v>922</v>
      </c>
      <c r="Q2006">
        <v>25</v>
      </c>
      <c r="R2006" t="s">
        <v>3674</v>
      </c>
      <c r="S2006" t="s">
        <v>5725</v>
      </c>
      <c r="T2006" t="s">
        <v>811</v>
      </c>
      <c r="U2006" t="s">
        <v>895</v>
      </c>
      <c r="W2006">
        <v>30000</v>
      </c>
      <c r="X2006">
        <v>30000</v>
      </c>
      <c r="Y2006" t="s">
        <v>813</v>
      </c>
      <c r="Z2006" t="s">
        <v>792</v>
      </c>
      <c r="AB2006" t="s">
        <v>793</v>
      </c>
      <c r="AD2006" t="s">
        <v>794</v>
      </c>
      <c r="AE2006" t="s">
        <v>825</v>
      </c>
      <c r="AF2006" t="s">
        <v>796</v>
      </c>
      <c r="AG2006" t="s">
        <v>861</v>
      </c>
      <c r="AH2006">
        <v>237000</v>
      </c>
      <c r="AI2006">
        <v>237000</v>
      </c>
      <c r="AJ2006">
        <v>0.51</v>
      </c>
    </row>
    <row r="2007" spans="1:36" x14ac:dyDescent="0.3">
      <c r="A2007">
        <f>COUNTIF($D$2:D2007,D2007)</f>
        <v>31</v>
      </c>
      <c r="B2007" t="str">
        <f t="shared" si="125"/>
        <v>31South Gloucestershire</v>
      </c>
      <c r="C2007" t="s">
        <v>5726</v>
      </c>
      <c r="D2007" t="s">
        <v>289</v>
      </c>
      <c r="E2007">
        <v>44</v>
      </c>
      <c r="F2007" t="s">
        <v>5727</v>
      </c>
      <c r="G2007" t="s">
        <v>877</v>
      </c>
      <c r="H2007" t="s">
        <v>968</v>
      </c>
      <c r="I2007" t="s">
        <v>879</v>
      </c>
      <c r="J2007">
        <f t="shared" ca="1" si="126"/>
        <v>662000</v>
      </c>
      <c r="K2007">
        <f t="shared" ca="1" si="127"/>
        <v>84</v>
      </c>
      <c r="N2007" t="str">
        <f t="shared" si="124"/>
        <v>Rotherham25Carers Support ServicesCarers ServicesCarer advice and support related to Care Act duties</v>
      </c>
      <c r="O2007" t="s">
        <v>269</v>
      </c>
      <c r="P2007" t="s">
        <v>922</v>
      </c>
      <c r="Q2007">
        <v>25</v>
      </c>
      <c r="R2007" t="s">
        <v>3674</v>
      </c>
      <c r="S2007" t="s">
        <v>5728</v>
      </c>
      <c r="T2007" t="s">
        <v>811</v>
      </c>
      <c r="U2007" t="s">
        <v>895</v>
      </c>
      <c r="W2007">
        <v>30</v>
      </c>
      <c r="X2007">
        <v>30</v>
      </c>
      <c r="Y2007" t="s">
        <v>813</v>
      </c>
      <c r="Z2007" t="s">
        <v>792</v>
      </c>
      <c r="AB2007" t="s">
        <v>793</v>
      </c>
      <c r="AD2007" t="s">
        <v>794</v>
      </c>
      <c r="AE2007" t="s">
        <v>795</v>
      </c>
      <c r="AF2007" t="s">
        <v>796</v>
      </c>
      <c r="AG2007" t="s">
        <v>797</v>
      </c>
      <c r="AH2007">
        <v>23000</v>
      </c>
      <c r="AI2007">
        <v>23000</v>
      </c>
      <c r="AJ2007">
        <v>1</v>
      </c>
    </row>
    <row r="2008" spans="1:36" x14ac:dyDescent="0.3">
      <c r="A2008">
        <f>COUNTIF($D$2:D2008,D2008)</f>
        <v>32</v>
      </c>
      <c r="B2008" t="str">
        <f t="shared" si="125"/>
        <v>32South Gloucestershire</v>
      </c>
      <c r="C2008" t="s">
        <v>5729</v>
      </c>
      <c r="D2008" t="s">
        <v>289</v>
      </c>
      <c r="E2008">
        <v>45</v>
      </c>
      <c r="F2008" t="s">
        <v>5727</v>
      </c>
      <c r="G2008" t="s">
        <v>877</v>
      </c>
      <c r="H2008" t="s">
        <v>968</v>
      </c>
      <c r="I2008" t="s">
        <v>879</v>
      </c>
      <c r="J2008">
        <f t="shared" ca="1" si="126"/>
        <v>620000</v>
      </c>
      <c r="K2008">
        <f t="shared" ca="1" si="127"/>
        <v>79</v>
      </c>
      <c r="N2008" t="str">
        <f t="shared" si="124"/>
        <v>Rotherham25Carers Support ServicesCarers ServicesRespite services</v>
      </c>
      <c r="O2008" t="s">
        <v>269</v>
      </c>
      <c r="P2008" t="s">
        <v>922</v>
      </c>
      <c r="Q2008">
        <v>25</v>
      </c>
      <c r="R2008" t="s">
        <v>3674</v>
      </c>
      <c r="S2008" t="s">
        <v>5730</v>
      </c>
      <c r="T2008" t="s">
        <v>811</v>
      </c>
      <c r="U2008" t="s">
        <v>830</v>
      </c>
      <c r="W2008">
        <v>50</v>
      </c>
      <c r="X2008">
        <v>50</v>
      </c>
      <c r="Y2008" t="s">
        <v>813</v>
      </c>
      <c r="Z2008" t="s">
        <v>792</v>
      </c>
      <c r="AB2008" t="s">
        <v>793</v>
      </c>
      <c r="AD2008" t="s">
        <v>794</v>
      </c>
      <c r="AE2008" t="s">
        <v>804</v>
      </c>
      <c r="AF2008" t="s">
        <v>796</v>
      </c>
      <c r="AG2008" t="s">
        <v>797</v>
      </c>
      <c r="AH2008">
        <v>301000</v>
      </c>
      <c r="AI2008">
        <v>301000</v>
      </c>
      <c r="AJ2008">
        <v>0.08</v>
      </c>
    </row>
    <row r="2009" spans="1:36" x14ac:dyDescent="0.3">
      <c r="A2009">
        <f>COUNTIF($D$2:D2009,D2009)</f>
        <v>33</v>
      </c>
      <c r="B2009" t="str">
        <f t="shared" si="125"/>
        <v>33South Gloucestershire</v>
      </c>
      <c r="C2009" t="s">
        <v>5731</v>
      </c>
      <c r="D2009" t="s">
        <v>289</v>
      </c>
      <c r="E2009">
        <v>46</v>
      </c>
      <c r="F2009" t="s">
        <v>1610</v>
      </c>
      <c r="G2009" t="s">
        <v>877</v>
      </c>
      <c r="H2009" t="s">
        <v>878</v>
      </c>
      <c r="I2009" t="s">
        <v>879</v>
      </c>
      <c r="J2009">
        <f t="shared" ca="1" si="126"/>
        <v>139000</v>
      </c>
      <c r="K2009">
        <f t="shared" ca="1" si="127"/>
        <v>12</v>
      </c>
      <c r="N2009" t="str">
        <f t="shared" si="124"/>
        <v>Rotherham33Social Care Sustainability Residential PlacementsCare home</v>
      </c>
      <c r="O2009" t="s">
        <v>269</v>
      </c>
      <c r="P2009" t="s">
        <v>922</v>
      </c>
      <c r="Q2009">
        <v>33</v>
      </c>
      <c r="R2009" t="s">
        <v>5247</v>
      </c>
      <c r="S2009" t="s">
        <v>5732</v>
      </c>
      <c r="T2009" t="s">
        <v>806</v>
      </c>
      <c r="U2009" t="s">
        <v>807</v>
      </c>
      <c r="W2009">
        <v>79</v>
      </c>
      <c r="X2009">
        <v>79</v>
      </c>
      <c r="Y2009" t="s">
        <v>808</v>
      </c>
      <c r="Z2009" t="s">
        <v>792</v>
      </c>
      <c r="AB2009" t="s">
        <v>793</v>
      </c>
      <c r="AD2009" t="s">
        <v>794</v>
      </c>
      <c r="AE2009" t="s">
        <v>804</v>
      </c>
      <c r="AF2009" t="s">
        <v>845</v>
      </c>
      <c r="AG2009" t="s">
        <v>797</v>
      </c>
      <c r="AH2009">
        <v>2779000</v>
      </c>
      <c r="AI2009">
        <v>2779000</v>
      </c>
      <c r="AJ2009">
        <v>0.36</v>
      </c>
    </row>
    <row r="2010" spans="1:36" x14ac:dyDescent="0.3">
      <c r="A2010">
        <f>COUNTIF($D$2:D2010,D2010)</f>
        <v>1</v>
      </c>
      <c r="B2010" t="str">
        <f t="shared" si="125"/>
        <v>1South Tyneside</v>
      </c>
      <c r="C2010" t="s">
        <v>5733</v>
      </c>
      <c r="D2010" t="s">
        <v>291</v>
      </c>
      <c r="E2010">
        <v>1</v>
      </c>
      <c r="F2010" t="s">
        <v>1881</v>
      </c>
      <c r="G2010" t="s">
        <v>800</v>
      </c>
      <c r="H2010" t="s">
        <v>850</v>
      </c>
      <c r="I2010" t="s">
        <v>802</v>
      </c>
      <c r="J2010">
        <f t="shared" ca="1" si="126"/>
        <v>1181000</v>
      </c>
      <c r="K2010">
        <f t="shared" ca="1" si="127"/>
        <v>1720</v>
      </c>
      <c r="N2010" t="str">
        <f t="shared" si="124"/>
        <v>Rotherham33Social Care Sustainability Home Care or Domiciliary CareDomiciliary care packages</v>
      </c>
      <c r="O2010" t="s">
        <v>269</v>
      </c>
      <c r="P2010" t="s">
        <v>922</v>
      </c>
      <c r="Q2010">
        <v>33</v>
      </c>
      <c r="R2010" t="s">
        <v>5247</v>
      </c>
      <c r="S2010" t="s">
        <v>5734</v>
      </c>
      <c r="T2010" t="s">
        <v>842</v>
      </c>
      <c r="U2010" t="s">
        <v>843</v>
      </c>
      <c r="W2010">
        <v>68537</v>
      </c>
      <c r="X2010">
        <v>68537</v>
      </c>
      <c r="Y2010" t="s">
        <v>844</v>
      </c>
      <c r="Z2010" t="s">
        <v>792</v>
      </c>
      <c r="AB2010" t="s">
        <v>793</v>
      </c>
      <c r="AD2010" t="s">
        <v>794</v>
      </c>
      <c r="AE2010" t="s">
        <v>804</v>
      </c>
      <c r="AF2010" t="s">
        <v>845</v>
      </c>
      <c r="AG2010" t="s">
        <v>797</v>
      </c>
      <c r="AH2010">
        <v>1527000</v>
      </c>
      <c r="AI2010">
        <v>1527000</v>
      </c>
      <c r="AJ2010">
        <v>0.15</v>
      </c>
    </row>
    <row r="2011" spans="1:36" x14ac:dyDescent="0.3">
      <c r="A2011">
        <f>COUNTIF($D$2:D2011,D2011)</f>
        <v>2</v>
      </c>
      <c r="B2011" t="str">
        <f t="shared" si="125"/>
        <v>2South Tyneside</v>
      </c>
      <c r="C2011" t="s">
        <v>5735</v>
      </c>
      <c r="D2011" t="s">
        <v>291</v>
      </c>
      <c r="E2011">
        <v>2</v>
      </c>
      <c r="F2011" t="s">
        <v>5736</v>
      </c>
      <c r="G2011" t="s">
        <v>800</v>
      </c>
      <c r="H2011" t="s">
        <v>850</v>
      </c>
      <c r="I2011" t="s">
        <v>802</v>
      </c>
      <c r="J2011">
        <f t="shared" ca="1" si="126"/>
        <v>751920</v>
      </c>
      <c r="K2011">
        <f t="shared" ca="1" si="127"/>
        <v>1036</v>
      </c>
      <c r="N2011" t="str">
        <f t="shared" si="124"/>
        <v>Rotherham33Social Care Sustainability Residential PlacementsLearning disability</v>
      </c>
      <c r="O2011" t="s">
        <v>269</v>
      </c>
      <c r="P2011" t="s">
        <v>922</v>
      </c>
      <c r="Q2011">
        <v>33</v>
      </c>
      <c r="R2011" t="s">
        <v>5247</v>
      </c>
      <c r="S2011" t="s">
        <v>5737</v>
      </c>
      <c r="T2011" t="s">
        <v>806</v>
      </c>
      <c r="U2011" t="s">
        <v>854</v>
      </c>
      <c r="W2011">
        <v>25</v>
      </c>
      <c r="X2011">
        <v>25</v>
      </c>
      <c r="Y2011" t="s">
        <v>808</v>
      </c>
      <c r="Z2011" t="s">
        <v>792</v>
      </c>
      <c r="AB2011" t="s">
        <v>793</v>
      </c>
      <c r="AD2011" t="s">
        <v>794</v>
      </c>
      <c r="AE2011" t="s">
        <v>804</v>
      </c>
      <c r="AF2011" t="s">
        <v>845</v>
      </c>
      <c r="AG2011" t="s">
        <v>797</v>
      </c>
      <c r="AH2011">
        <v>2238000</v>
      </c>
      <c r="AI2011">
        <v>2238000</v>
      </c>
      <c r="AJ2011">
        <v>0.19</v>
      </c>
    </row>
    <row r="2012" spans="1:36" x14ac:dyDescent="0.3">
      <c r="A2012">
        <f>COUNTIF($D$2:D2012,D2012)</f>
        <v>3</v>
      </c>
      <c r="B2012" t="str">
        <f t="shared" si="125"/>
        <v>3South Tyneside</v>
      </c>
      <c r="C2012" t="s">
        <v>5738</v>
      </c>
      <c r="D2012" t="s">
        <v>291</v>
      </c>
      <c r="E2012">
        <v>3</v>
      </c>
      <c r="F2012" t="s">
        <v>5739</v>
      </c>
      <c r="G2012" t="s">
        <v>800</v>
      </c>
      <c r="H2012" t="s">
        <v>850</v>
      </c>
      <c r="I2012" t="s">
        <v>802</v>
      </c>
      <c r="J2012">
        <f t="shared" ca="1" si="126"/>
        <v>567237</v>
      </c>
      <c r="K2012">
        <f t="shared" ca="1" si="127"/>
        <v>826</v>
      </c>
      <c r="N2012" t="str">
        <f t="shared" si="124"/>
        <v>Rotherham34Care Market Capacity and sustainabilityResidential PlacementsOther</v>
      </c>
      <c r="O2012" t="s">
        <v>269</v>
      </c>
      <c r="P2012" t="s">
        <v>922</v>
      </c>
      <c r="Q2012">
        <v>34</v>
      </c>
      <c r="R2012" t="s">
        <v>5254</v>
      </c>
      <c r="S2012" t="s">
        <v>5740</v>
      </c>
      <c r="T2012" t="s">
        <v>806</v>
      </c>
      <c r="U2012" t="s">
        <v>812</v>
      </c>
      <c r="V2012" t="s">
        <v>5741</v>
      </c>
      <c r="W2012">
        <v>889</v>
      </c>
      <c r="X2012">
        <v>889</v>
      </c>
      <c r="Y2012" t="s">
        <v>808</v>
      </c>
      <c r="Z2012" t="s">
        <v>792</v>
      </c>
      <c r="AB2012" t="s">
        <v>793</v>
      </c>
      <c r="AD2012" t="s">
        <v>794</v>
      </c>
      <c r="AE2012" t="s">
        <v>804</v>
      </c>
      <c r="AF2012" t="s">
        <v>845</v>
      </c>
      <c r="AG2012" t="s">
        <v>797</v>
      </c>
      <c r="AH2012">
        <v>4225543</v>
      </c>
      <c r="AI2012">
        <v>4225543</v>
      </c>
      <c r="AJ2012">
        <v>1</v>
      </c>
    </row>
    <row r="2013" spans="1:36" x14ac:dyDescent="0.3">
      <c r="A2013">
        <f>COUNTIF($D$2:D2013,D2013)</f>
        <v>4</v>
      </c>
      <c r="B2013" t="str">
        <f t="shared" si="125"/>
        <v>4South Tyneside</v>
      </c>
      <c r="C2013" t="s">
        <v>5742</v>
      </c>
      <c r="D2013" t="s">
        <v>291</v>
      </c>
      <c r="E2013">
        <v>4</v>
      </c>
      <c r="F2013" t="s">
        <v>5743</v>
      </c>
      <c r="G2013" t="s">
        <v>877</v>
      </c>
      <c r="H2013" t="s">
        <v>968</v>
      </c>
      <c r="I2013" t="s">
        <v>879</v>
      </c>
      <c r="J2013">
        <f t="shared" ca="1" si="126"/>
        <v>2200000</v>
      </c>
      <c r="K2013">
        <f t="shared" ca="1" si="127"/>
        <v>1100</v>
      </c>
      <c r="N2013" t="str">
        <f t="shared" si="124"/>
        <v>Rotherham35Care Market Capacity and sustainabilityResidential PlacementsSupported housing</v>
      </c>
      <c r="O2013" t="s">
        <v>269</v>
      </c>
      <c r="P2013" t="s">
        <v>922</v>
      </c>
      <c r="Q2013">
        <v>35</v>
      </c>
      <c r="R2013" t="s">
        <v>5254</v>
      </c>
      <c r="S2013" t="s">
        <v>5744</v>
      </c>
      <c r="T2013" t="s">
        <v>806</v>
      </c>
      <c r="U2013" t="s">
        <v>873</v>
      </c>
      <c r="W2013">
        <v>13</v>
      </c>
      <c r="X2013">
        <v>13</v>
      </c>
      <c r="Y2013" t="s">
        <v>808</v>
      </c>
      <c r="Z2013" t="s">
        <v>792</v>
      </c>
      <c r="AB2013" t="s">
        <v>793</v>
      </c>
      <c r="AD2013" t="s">
        <v>794</v>
      </c>
      <c r="AE2013" t="s">
        <v>804</v>
      </c>
      <c r="AF2013" t="s">
        <v>845</v>
      </c>
      <c r="AG2013" t="s">
        <v>797</v>
      </c>
      <c r="AH2013">
        <v>753000</v>
      </c>
      <c r="AI2013">
        <v>753000</v>
      </c>
      <c r="AJ2013">
        <v>0.46</v>
      </c>
    </row>
    <row r="2014" spans="1:36" x14ac:dyDescent="0.3">
      <c r="A2014">
        <f>COUNTIF($D$2:D2014,D2014)</f>
        <v>5</v>
      </c>
      <c r="B2014" t="str">
        <f t="shared" si="125"/>
        <v>5South Tyneside</v>
      </c>
      <c r="C2014" t="s">
        <v>5745</v>
      </c>
      <c r="D2014" t="s">
        <v>291</v>
      </c>
      <c r="E2014">
        <v>5</v>
      </c>
      <c r="F2014" t="s">
        <v>5746</v>
      </c>
      <c r="G2014" t="s">
        <v>811</v>
      </c>
      <c r="H2014" t="s">
        <v>812</v>
      </c>
      <c r="I2014" t="s">
        <v>813</v>
      </c>
      <c r="J2014">
        <f t="shared" ca="1" si="126"/>
        <v>483293</v>
      </c>
      <c r="K2014">
        <f t="shared" ca="1" si="127"/>
        <v>1200</v>
      </c>
      <c r="N2014" t="str">
        <f t="shared" si="124"/>
        <v>Rotherham40Spot purchase Reablement bedsBed based intermediate Care Services (Reablement, rehabilitation, wider short-term services supporting recovery)Bed-based intermediate care with reablement (to support discharge)</v>
      </c>
      <c r="O2014" t="s">
        <v>269</v>
      </c>
      <c r="P2014" t="s">
        <v>922</v>
      </c>
      <c r="Q2014">
        <v>40</v>
      </c>
      <c r="R2014" t="s">
        <v>5259</v>
      </c>
      <c r="S2014" t="s">
        <v>5747</v>
      </c>
      <c r="T2014" t="s">
        <v>877</v>
      </c>
      <c r="U2014" t="s">
        <v>878</v>
      </c>
      <c r="W2014">
        <v>150</v>
      </c>
      <c r="X2014">
        <v>150</v>
      </c>
      <c r="Y2014" t="s">
        <v>879</v>
      </c>
      <c r="Z2014" t="s">
        <v>792</v>
      </c>
      <c r="AB2014" t="s">
        <v>793</v>
      </c>
      <c r="AD2014" t="s">
        <v>794</v>
      </c>
      <c r="AE2014" t="s">
        <v>804</v>
      </c>
      <c r="AF2014" t="s">
        <v>845</v>
      </c>
      <c r="AG2014" t="s">
        <v>797</v>
      </c>
      <c r="AH2014">
        <v>107000</v>
      </c>
      <c r="AI2014">
        <v>107000</v>
      </c>
      <c r="AJ2014">
        <v>0.73</v>
      </c>
    </row>
    <row r="2015" spans="1:36" x14ac:dyDescent="0.3">
      <c r="A2015">
        <f>COUNTIF($D$2:D2015,D2015)</f>
        <v>6</v>
      </c>
      <c r="B2015" t="str">
        <f t="shared" si="125"/>
        <v>6South Tyneside</v>
      </c>
      <c r="C2015" t="s">
        <v>5748</v>
      </c>
      <c r="D2015" t="s">
        <v>291</v>
      </c>
      <c r="E2015">
        <v>6</v>
      </c>
      <c r="F2015" t="s">
        <v>1806</v>
      </c>
      <c r="G2015" t="s">
        <v>842</v>
      </c>
      <c r="H2015" t="s">
        <v>856</v>
      </c>
      <c r="I2015" t="s">
        <v>844</v>
      </c>
      <c r="J2015">
        <f t="shared" ca="1" si="126"/>
        <v>3000000</v>
      </c>
      <c r="K2015">
        <f t="shared" ca="1" si="127"/>
        <v>22887</v>
      </c>
      <c r="N2015" t="str">
        <f t="shared" si="124"/>
        <v>Rotherham48Digital ChampionAssistive Technologies and EquipmentDigital participation services</v>
      </c>
      <c r="O2015" t="s">
        <v>269</v>
      </c>
      <c r="P2015" t="s">
        <v>922</v>
      </c>
      <c r="Q2015">
        <v>48</v>
      </c>
      <c r="R2015" t="s">
        <v>5261</v>
      </c>
      <c r="S2015" t="s">
        <v>5749</v>
      </c>
      <c r="T2015" t="s">
        <v>800</v>
      </c>
      <c r="U2015" t="s">
        <v>907</v>
      </c>
      <c r="W2015">
        <v>5000</v>
      </c>
      <c r="X2015">
        <v>5000</v>
      </c>
      <c r="Y2015" t="s">
        <v>802</v>
      </c>
      <c r="Z2015" t="s">
        <v>792</v>
      </c>
      <c r="AB2015" t="s">
        <v>793</v>
      </c>
      <c r="AD2015" t="s">
        <v>794</v>
      </c>
      <c r="AE2015" t="s">
        <v>795</v>
      </c>
      <c r="AF2015" t="s">
        <v>1029</v>
      </c>
      <c r="AG2015" t="s">
        <v>861</v>
      </c>
      <c r="AH2015">
        <v>78000</v>
      </c>
      <c r="AI2015">
        <v>0</v>
      </c>
      <c r="AJ2015">
        <v>1</v>
      </c>
    </row>
    <row r="2016" spans="1:36" x14ac:dyDescent="0.3">
      <c r="A2016">
        <f>COUNTIF($D$2:D2016,D2016)</f>
        <v>7</v>
      </c>
      <c r="B2016" t="str">
        <f t="shared" si="125"/>
        <v>7South Tyneside</v>
      </c>
      <c r="C2016" t="s">
        <v>5750</v>
      </c>
      <c r="D2016" t="s">
        <v>291</v>
      </c>
      <c r="E2016">
        <v>9</v>
      </c>
      <c r="F2016" t="s">
        <v>5751</v>
      </c>
      <c r="G2016" t="s">
        <v>806</v>
      </c>
      <c r="H2016" t="s">
        <v>807</v>
      </c>
      <c r="I2016" t="s">
        <v>808</v>
      </c>
      <c r="J2016">
        <f t="shared" ca="1" si="126"/>
        <v>2808000</v>
      </c>
      <c r="K2016">
        <f t="shared" ca="1" si="127"/>
        <v>37</v>
      </c>
      <c r="N2016" t="str">
        <f t="shared" si="124"/>
        <v>Rotherham60Carers Support ServicesCarers ServicesOther</v>
      </c>
      <c r="O2016" t="s">
        <v>269</v>
      </c>
      <c r="P2016" t="s">
        <v>922</v>
      </c>
      <c r="Q2016">
        <v>60</v>
      </c>
      <c r="R2016" t="s">
        <v>3674</v>
      </c>
      <c r="S2016" t="s">
        <v>5752</v>
      </c>
      <c r="T2016" t="s">
        <v>811</v>
      </c>
      <c r="U2016" t="s">
        <v>812</v>
      </c>
      <c r="V2016" t="s">
        <v>812</v>
      </c>
      <c r="W2016">
        <v>30000</v>
      </c>
      <c r="X2016">
        <v>30000</v>
      </c>
      <c r="Y2016" t="s">
        <v>813</v>
      </c>
      <c r="Z2016" t="s">
        <v>792</v>
      </c>
      <c r="AB2016" t="s">
        <v>793</v>
      </c>
      <c r="AD2016" t="s">
        <v>794</v>
      </c>
      <c r="AE2016" t="s">
        <v>795</v>
      </c>
      <c r="AF2016" t="s">
        <v>1029</v>
      </c>
      <c r="AG2016" t="s">
        <v>861</v>
      </c>
      <c r="AH2016">
        <v>230000</v>
      </c>
      <c r="AI2016">
        <v>0</v>
      </c>
      <c r="AJ2016">
        <v>0.49</v>
      </c>
    </row>
    <row r="2017" spans="1:36" x14ac:dyDescent="0.3">
      <c r="A2017">
        <f>COUNTIF($D$2:D2017,D2017)</f>
        <v>8</v>
      </c>
      <c r="B2017" t="str">
        <f t="shared" si="125"/>
        <v>8South Tyneside</v>
      </c>
      <c r="C2017" t="s">
        <v>5753</v>
      </c>
      <c r="D2017" t="s">
        <v>291</v>
      </c>
      <c r="E2017">
        <v>10</v>
      </c>
      <c r="F2017" t="s">
        <v>5751</v>
      </c>
      <c r="G2017" t="s">
        <v>877</v>
      </c>
      <c r="H2017" t="s">
        <v>878</v>
      </c>
      <c r="I2017" t="s">
        <v>879</v>
      </c>
      <c r="J2017">
        <f t="shared" ca="1" si="126"/>
        <v>1310594</v>
      </c>
      <c r="K2017">
        <f t="shared" ca="1" si="127"/>
        <v>249</v>
      </c>
      <c r="N2017" t="str">
        <f t="shared" si="124"/>
        <v>Rotherham61Home Care/Care Home sustainabilityWorkforce recruitment and retentionImprove retention of existing workforce</v>
      </c>
      <c r="O2017" t="s">
        <v>269</v>
      </c>
      <c r="P2017" t="s">
        <v>922</v>
      </c>
      <c r="Q2017">
        <v>61</v>
      </c>
      <c r="R2017" t="s">
        <v>5265</v>
      </c>
      <c r="S2017" t="s">
        <v>5754</v>
      </c>
      <c r="T2017" t="s">
        <v>2245</v>
      </c>
      <c r="U2017" t="s">
        <v>5266</v>
      </c>
      <c r="W2017">
        <v>1313</v>
      </c>
      <c r="X2017">
        <v>1378</v>
      </c>
      <c r="Y2017" t="s">
        <v>5267</v>
      </c>
      <c r="Z2017" t="s">
        <v>1061</v>
      </c>
      <c r="AB2017" t="s">
        <v>824</v>
      </c>
      <c r="AD2017" t="s">
        <v>794</v>
      </c>
      <c r="AE2017" t="s">
        <v>804</v>
      </c>
      <c r="AF2017" t="s">
        <v>860</v>
      </c>
      <c r="AG2017" t="s">
        <v>861</v>
      </c>
      <c r="AH2017">
        <v>1011600</v>
      </c>
      <c r="AI2017">
        <v>1933930</v>
      </c>
      <c r="AJ2017">
        <v>2.7E-2</v>
      </c>
    </row>
    <row r="2018" spans="1:36" x14ac:dyDescent="0.3">
      <c r="A2018">
        <f>COUNTIF($D$2:D2018,D2018)</f>
        <v>9</v>
      </c>
      <c r="B2018" t="str">
        <f t="shared" si="125"/>
        <v>9South Tyneside</v>
      </c>
      <c r="C2018" t="s">
        <v>5755</v>
      </c>
      <c r="D2018" t="s">
        <v>291</v>
      </c>
      <c r="E2018">
        <v>11</v>
      </c>
      <c r="F2018" t="s">
        <v>5756</v>
      </c>
      <c r="G2018" t="s">
        <v>842</v>
      </c>
      <c r="H2018" t="s">
        <v>856</v>
      </c>
      <c r="I2018" t="s">
        <v>844</v>
      </c>
      <c r="J2018">
        <f t="shared" ca="1" si="126"/>
        <v>2075000</v>
      </c>
      <c r="K2018">
        <f t="shared" ca="1" si="127"/>
        <v>16792</v>
      </c>
      <c r="N2018" t="str">
        <f t="shared" si="124"/>
        <v>Rotherham63Community Equipment Assistive Technologies and EquipmentCommunity based equipment</v>
      </c>
      <c r="O2018" t="s">
        <v>269</v>
      </c>
      <c r="P2018" t="s">
        <v>922</v>
      </c>
      <c r="Q2018">
        <v>63</v>
      </c>
      <c r="R2018" t="s">
        <v>3417</v>
      </c>
      <c r="S2018" t="s">
        <v>5757</v>
      </c>
      <c r="T2018" t="s">
        <v>800</v>
      </c>
      <c r="U2018" t="s">
        <v>903</v>
      </c>
      <c r="W2018">
        <v>173</v>
      </c>
      <c r="X2018">
        <v>183</v>
      </c>
      <c r="Y2018" t="s">
        <v>802</v>
      </c>
      <c r="Z2018" t="s">
        <v>823</v>
      </c>
      <c r="AB2018" t="s">
        <v>824</v>
      </c>
      <c r="AD2018" t="s">
        <v>794</v>
      </c>
      <c r="AE2018" t="s">
        <v>804</v>
      </c>
      <c r="AF2018" t="s">
        <v>860</v>
      </c>
      <c r="AG2018" t="s">
        <v>797</v>
      </c>
      <c r="AH2018">
        <v>150000</v>
      </c>
      <c r="AI2018">
        <v>157500</v>
      </c>
      <c r="AJ2018">
        <v>5.6000000000000001E-2</v>
      </c>
    </row>
    <row r="2019" spans="1:36" x14ac:dyDescent="0.3">
      <c r="A2019">
        <f>COUNTIF($D$2:D2019,D2019)</f>
        <v>10</v>
      </c>
      <c r="B2019" t="str">
        <f t="shared" si="125"/>
        <v>10South Tyneside</v>
      </c>
      <c r="C2019" t="s">
        <v>5758</v>
      </c>
      <c r="D2019" t="s">
        <v>291</v>
      </c>
      <c r="E2019">
        <v>17</v>
      </c>
      <c r="F2019" t="s">
        <v>1341</v>
      </c>
      <c r="G2019" t="s">
        <v>834</v>
      </c>
      <c r="H2019" t="s">
        <v>835</v>
      </c>
      <c r="I2019" t="s">
        <v>836</v>
      </c>
      <c r="J2019">
        <f t="shared" ca="1" si="126"/>
        <v>1918457</v>
      </c>
      <c r="K2019">
        <f t="shared" ca="1" si="127"/>
        <v>337</v>
      </c>
      <c r="N2019" t="str">
        <f t="shared" si="124"/>
        <v>Rotherham64Alternative to Admission Bed based intermediate Care Services (Reablement, rehabilitation, wider short-term services supporting recovery)Other</v>
      </c>
      <c r="O2019" t="s">
        <v>269</v>
      </c>
      <c r="P2019" t="s">
        <v>922</v>
      </c>
      <c r="Q2019">
        <v>64</v>
      </c>
      <c r="R2019" t="s">
        <v>5272</v>
      </c>
      <c r="S2019" t="s">
        <v>5759</v>
      </c>
      <c r="T2019" t="s">
        <v>877</v>
      </c>
      <c r="U2019" t="s">
        <v>812</v>
      </c>
      <c r="V2019" t="s">
        <v>5760</v>
      </c>
      <c r="W2019">
        <v>2</v>
      </c>
      <c r="X2019">
        <v>2</v>
      </c>
      <c r="Y2019" t="s">
        <v>879</v>
      </c>
      <c r="Z2019" t="s">
        <v>1006</v>
      </c>
      <c r="AB2019" t="s">
        <v>824</v>
      </c>
      <c r="AD2019" t="s">
        <v>794</v>
      </c>
      <c r="AE2019" t="s">
        <v>1107</v>
      </c>
      <c r="AF2019" t="s">
        <v>860</v>
      </c>
      <c r="AG2019" t="s">
        <v>861</v>
      </c>
      <c r="AH2019">
        <v>150000</v>
      </c>
      <c r="AI2019">
        <v>157500</v>
      </c>
      <c r="AJ2019">
        <v>1</v>
      </c>
    </row>
    <row r="2020" spans="1:36" x14ac:dyDescent="0.3">
      <c r="A2020">
        <f>COUNTIF($D$2:D2020,D2020)</f>
        <v>11</v>
      </c>
      <c r="B2020" t="str">
        <f t="shared" si="125"/>
        <v>11South Tyneside</v>
      </c>
      <c r="C2020" t="s">
        <v>5761</v>
      </c>
      <c r="D2020" t="s">
        <v>291</v>
      </c>
      <c r="E2020">
        <v>20</v>
      </c>
      <c r="F2020" t="s">
        <v>5762</v>
      </c>
      <c r="G2020" t="s">
        <v>806</v>
      </c>
      <c r="H2020" t="s">
        <v>807</v>
      </c>
      <c r="I2020" t="s">
        <v>808</v>
      </c>
      <c r="J2020">
        <f t="shared" ca="1" si="126"/>
        <v>5966886</v>
      </c>
      <c r="K2020">
        <f t="shared" ca="1" si="127"/>
        <v>217</v>
      </c>
      <c r="N2020" t="str">
        <f t="shared" si="124"/>
        <v xml:space="preserve">Rotherham69Reablement expansionHome-based intermediate care servicesReablement at home (to support discharge) </v>
      </c>
      <c r="O2020" t="s">
        <v>269</v>
      </c>
      <c r="P2020" t="s">
        <v>922</v>
      </c>
      <c r="Q2020">
        <v>69</v>
      </c>
      <c r="R2020" t="s">
        <v>5275</v>
      </c>
      <c r="S2020" t="s">
        <v>5763</v>
      </c>
      <c r="T2020" t="s">
        <v>787</v>
      </c>
      <c r="U2020" t="s">
        <v>788</v>
      </c>
      <c r="W2020">
        <v>84</v>
      </c>
      <c r="X2020">
        <v>92</v>
      </c>
      <c r="Y2020" t="s">
        <v>789</v>
      </c>
      <c r="Z2020" t="s">
        <v>792</v>
      </c>
      <c r="AB2020" t="s">
        <v>793</v>
      </c>
      <c r="AD2020" t="s">
        <v>794</v>
      </c>
      <c r="AE2020" t="s">
        <v>795</v>
      </c>
      <c r="AF2020" t="s">
        <v>864</v>
      </c>
      <c r="AG2020" t="s">
        <v>861</v>
      </c>
      <c r="AH2020">
        <v>200000</v>
      </c>
      <c r="AI2020">
        <v>200000</v>
      </c>
      <c r="AJ2020">
        <v>1</v>
      </c>
    </row>
    <row r="2021" spans="1:36" x14ac:dyDescent="0.3">
      <c r="A2021">
        <f>COUNTIF($D$2:D2021,D2021)</f>
        <v>12</v>
      </c>
      <c r="B2021" t="str">
        <f t="shared" si="125"/>
        <v>12South Tyneside</v>
      </c>
      <c r="C2021" t="s">
        <v>5764</v>
      </c>
      <c r="D2021" t="s">
        <v>291</v>
      </c>
      <c r="E2021">
        <v>21</v>
      </c>
      <c r="F2021" t="s">
        <v>1180</v>
      </c>
      <c r="G2021" t="s">
        <v>800</v>
      </c>
      <c r="H2021" t="s">
        <v>903</v>
      </c>
      <c r="I2021" t="s">
        <v>802</v>
      </c>
      <c r="J2021">
        <f t="shared" ca="1" si="126"/>
        <v>466000</v>
      </c>
      <c r="K2021">
        <f t="shared" ca="1" si="127"/>
        <v>1</v>
      </c>
      <c r="N2021" t="str">
        <f t="shared" si="124"/>
        <v>Rotherham70Davies Court Intermediate CareBed based intermediate Care Services (Reablement, rehabilitation, wider short-term services supporting recovery)Bed-based intermediate care with rehabilitation (to support discharge)</v>
      </c>
      <c r="O2021" t="s">
        <v>269</v>
      </c>
      <c r="P2021" t="s">
        <v>922</v>
      </c>
      <c r="Q2021">
        <v>70</v>
      </c>
      <c r="R2021" t="s">
        <v>5278</v>
      </c>
      <c r="S2021" t="s">
        <v>5765</v>
      </c>
      <c r="T2021" t="s">
        <v>877</v>
      </c>
      <c r="U2021" t="s">
        <v>968</v>
      </c>
      <c r="W2021">
        <v>190</v>
      </c>
      <c r="X2021">
        <v>190</v>
      </c>
      <c r="Y2021" t="s">
        <v>879</v>
      </c>
      <c r="Z2021" t="s">
        <v>792</v>
      </c>
      <c r="AB2021" t="s">
        <v>793</v>
      </c>
      <c r="AD2021" t="s">
        <v>794</v>
      </c>
      <c r="AE2021" t="s">
        <v>795</v>
      </c>
      <c r="AF2021" t="s">
        <v>864</v>
      </c>
      <c r="AG2021" t="s">
        <v>861</v>
      </c>
      <c r="AH2021">
        <v>500000</v>
      </c>
      <c r="AI2021">
        <v>500000</v>
      </c>
      <c r="AJ2021">
        <v>1</v>
      </c>
    </row>
    <row r="2022" spans="1:36" x14ac:dyDescent="0.3">
      <c r="A2022">
        <f>COUNTIF($D$2:D2022,D2022)</f>
        <v>13</v>
      </c>
      <c r="B2022" t="str">
        <f t="shared" si="125"/>
        <v>13South Tyneside</v>
      </c>
      <c r="C2022" t="s">
        <v>5766</v>
      </c>
      <c r="D2022" t="s">
        <v>291</v>
      </c>
      <c r="E2022">
        <v>24</v>
      </c>
      <c r="F2022" t="s">
        <v>1386</v>
      </c>
      <c r="G2022" t="s">
        <v>842</v>
      </c>
      <c r="H2022" t="s">
        <v>856</v>
      </c>
      <c r="I2022" t="s">
        <v>844</v>
      </c>
      <c r="J2022">
        <f t="shared" ca="1" si="126"/>
        <v>275600</v>
      </c>
      <c r="K2022">
        <f t="shared" ca="1" si="127"/>
        <v>2102</v>
      </c>
      <c r="N2022" t="str">
        <f t="shared" si="124"/>
        <v>Rotherham75Intermediate Care Bed based intermediate Care Services (Reablement, rehabilitation, wider short-term services supporting recovery)Bed-based intermediate care with rehabilitation (to support discharge)</v>
      </c>
      <c r="O2022" t="s">
        <v>269</v>
      </c>
      <c r="P2022" t="s">
        <v>922</v>
      </c>
      <c r="Q2022">
        <v>75</v>
      </c>
      <c r="R2022" t="s">
        <v>1550</v>
      </c>
      <c r="S2022" t="s">
        <v>5767</v>
      </c>
      <c r="T2022" t="s">
        <v>877</v>
      </c>
      <c r="U2022" t="s">
        <v>968</v>
      </c>
      <c r="W2022">
        <v>288</v>
      </c>
      <c r="X2022">
        <v>288</v>
      </c>
      <c r="Y2022" t="s">
        <v>879</v>
      </c>
      <c r="Z2022" t="s">
        <v>792</v>
      </c>
      <c r="AB2022" t="s">
        <v>824</v>
      </c>
      <c r="AD2022" t="s">
        <v>794</v>
      </c>
      <c r="AE2022" t="s">
        <v>804</v>
      </c>
      <c r="AF2022" t="s">
        <v>864</v>
      </c>
      <c r="AG2022" t="s">
        <v>797</v>
      </c>
      <c r="AH2022">
        <v>93000</v>
      </c>
      <c r="AI2022">
        <v>93000</v>
      </c>
      <c r="AJ2022">
        <v>1</v>
      </c>
    </row>
    <row r="2023" spans="1:36" x14ac:dyDescent="0.3">
      <c r="A2023">
        <f>COUNTIF($D$2:D2023,D2023)</f>
        <v>14</v>
      </c>
      <c r="B2023" t="str">
        <f t="shared" si="125"/>
        <v>14South Tyneside</v>
      </c>
      <c r="C2023" t="s">
        <v>5768</v>
      </c>
      <c r="D2023" t="s">
        <v>291</v>
      </c>
      <c r="E2023">
        <v>28</v>
      </c>
      <c r="F2023" t="s">
        <v>1447</v>
      </c>
      <c r="G2023" t="s">
        <v>842</v>
      </c>
      <c r="H2023" t="s">
        <v>843</v>
      </c>
      <c r="I2023" t="s">
        <v>844</v>
      </c>
      <c r="J2023">
        <f t="shared" ca="1" si="126"/>
        <v>9960400</v>
      </c>
      <c r="K2023">
        <f t="shared" ca="1" si="127"/>
        <v>469456</v>
      </c>
      <c r="N2023" t="str">
        <f t="shared" si="124"/>
        <v>Rotherham76Incentive payment - Fees for Nursing EMI BedsBed based intermediate Care Services (Reablement, rehabilitation, wider short-term services supporting recovery)Bed-based intermediate care with rehabilitation (to support discharge)</v>
      </c>
      <c r="O2023" t="s">
        <v>269</v>
      </c>
      <c r="P2023" t="s">
        <v>922</v>
      </c>
      <c r="Q2023">
        <v>76</v>
      </c>
      <c r="R2023" t="s">
        <v>5283</v>
      </c>
      <c r="S2023" t="s">
        <v>5283</v>
      </c>
      <c r="T2023" t="s">
        <v>877</v>
      </c>
      <c r="U2023" t="s">
        <v>968</v>
      </c>
      <c r="W2023">
        <v>56</v>
      </c>
      <c r="X2023">
        <v>56</v>
      </c>
      <c r="Y2023" t="s">
        <v>879</v>
      </c>
      <c r="Z2023" t="s">
        <v>792</v>
      </c>
      <c r="AB2023" t="s">
        <v>793</v>
      </c>
      <c r="AD2023" t="s">
        <v>794</v>
      </c>
      <c r="AE2023" t="s">
        <v>804</v>
      </c>
      <c r="AF2023" t="s">
        <v>864</v>
      </c>
      <c r="AG2023" t="s">
        <v>861</v>
      </c>
      <c r="AH2023">
        <v>138000</v>
      </c>
      <c r="AI2023">
        <v>138000</v>
      </c>
      <c r="AJ2023">
        <v>1</v>
      </c>
    </row>
    <row r="2024" spans="1:36" x14ac:dyDescent="0.3">
      <c r="A2024">
        <f>COUNTIF($D$2:D2024,D2024)</f>
        <v>15</v>
      </c>
      <c r="B2024" t="str">
        <f t="shared" si="125"/>
        <v>15South Tyneside</v>
      </c>
      <c r="C2024" t="s">
        <v>5769</v>
      </c>
      <c r="D2024" t="s">
        <v>291</v>
      </c>
      <c r="E2024">
        <v>31</v>
      </c>
      <c r="F2024" t="s">
        <v>1881</v>
      </c>
      <c r="G2024" t="s">
        <v>800</v>
      </c>
      <c r="H2024" t="s">
        <v>903</v>
      </c>
      <c r="I2024" t="s">
        <v>802</v>
      </c>
      <c r="J2024">
        <f t="shared" ca="1" si="126"/>
        <v>200000</v>
      </c>
      <c r="K2024">
        <f t="shared" ca="1" si="127"/>
        <v>6150</v>
      </c>
      <c r="N2024" t="str">
        <f t="shared" si="124"/>
        <v>Rotherham80Home CareHome Care or Domiciliary CareShort term domiciliary care (without reablement input)</v>
      </c>
      <c r="O2024" t="s">
        <v>269</v>
      </c>
      <c r="P2024" t="s">
        <v>922</v>
      </c>
      <c r="Q2024">
        <v>80</v>
      </c>
      <c r="R2024" t="s">
        <v>1447</v>
      </c>
      <c r="S2024" t="s">
        <v>5770</v>
      </c>
      <c r="T2024" t="s">
        <v>842</v>
      </c>
      <c r="U2024" t="s">
        <v>1102</v>
      </c>
      <c r="W2024">
        <v>49</v>
      </c>
      <c r="X2024">
        <v>49</v>
      </c>
      <c r="Y2024" t="s">
        <v>789</v>
      </c>
      <c r="Z2024" t="s">
        <v>792</v>
      </c>
      <c r="AB2024" t="s">
        <v>793</v>
      </c>
      <c r="AD2024" t="s">
        <v>794</v>
      </c>
      <c r="AE2024" t="s">
        <v>804</v>
      </c>
      <c r="AF2024" t="s">
        <v>864</v>
      </c>
      <c r="AG2024" t="s">
        <v>861</v>
      </c>
      <c r="AH2024">
        <v>379150</v>
      </c>
      <c r="AI2024">
        <v>379150</v>
      </c>
      <c r="AJ2024">
        <v>0.03</v>
      </c>
    </row>
    <row r="2025" spans="1:36" x14ac:dyDescent="0.3">
      <c r="A2025">
        <f>COUNTIF($D$2:D2025,D2025)</f>
        <v>16</v>
      </c>
      <c r="B2025" t="str">
        <f t="shared" si="125"/>
        <v>16South Tyneside</v>
      </c>
      <c r="C2025" t="s">
        <v>5771</v>
      </c>
      <c r="D2025" t="s">
        <v>291</v>
      </c>
      <c r="E2025">
        <v>32</v>
      </c>
      <c r="F2025" t="s">
        <v>5772</v>
      </c>
      <c r="G2025" t="s">
        <v>877</v>
      </c>
      <c r="H2025" t="s">
        <v>878</v>
      </c>
      <c r="I2025" t="s">
        <v>879</v>
      </c>
      <c r="J2025">
        <f t="shared" ca="1" si="126"/>
        <v>869985</v>
      </c>
      <c r="K2025">
        <f t="shared" ca="1" si="127"/>
        <v>162</v>
      </c>
      <c r="N2025" t="str">
        <f t="shared" si="124"/>
        <v>Rutland221Wellbeing and independence - support to live well with health issuesCarers ServicesCarer advice and support related to Care Act duties</v>
      </c>
      <c r="O2025" t="s">
        <v>271</v>
      </c>
      <c r="P2025" t="s">
        <v>2478</v>
      </c>
      <c r="Q2025">
        <v>221</v>
      </c>
      <c r="R2025" t="s">
        <v>5287</v>
      </c>
      <c r="S2025" t="s">
        <v>5773</v>
      </c>
      <c r="T2025" t="s">
        <v>811</v>
      </c>
      <c r="U2025" t="s">
        <v>895</v>
      </c>
      <c r="W2025">
        <v>178</v>
      </c>
      <c r="X2025">
        <v>181</v>
      </c>
      <c r="Y2025" t="s">
        <v>813</v>
      </c>
      <c r="Z2025" t="s">
        <v>792</v>
      </c>
      <c r="AB2025" t="s">
        <v>793</v>
      </c>
      <c r="AD2025" t="s">
        <v>794</v>
      </c>
      <c r="AE2025" t="s">
        <v>795</v>
      </c>
      <c r="AF2025" t="s">
        <v>796</v>
      </c>
      <c r="AG2025" t="s">
        <v>797</v>
      </c>
      <c r="AH2025">
        <v>115290</v>
      </c>
      <c r="AI2025">
        <v>121815.41</v>
      </c>
      <c r="AJ2025">
        <v>3.4799999999999998E-2</v>
      </c>
    </row>
    <row r="2026" spans="1:36" x14ac:dyDescent="0.3">
      <c r="A2026">
        <f>COUNTIF($D$2:D2026,D2026)</f>
        <v>17</v>
      </c>
      <c r="B2026" t="str">
        <f t="shared" si="125"/>
        <v>17South Tyneside</v>
      </c>
      <c r="C2026" t="s">
        <v>5774</v>
      </c>
      <c r="D2026" t="s">
        <v>291</v>
      </c>
      <c r="E2026">
        <v>33</v>
      </c>
      <c r="F2026" t="s">
        <v>5772</v>
      </c>
      <c r="G2026" t="s">
        <v>877</v>
      </c>
      <c r="H2026" t="s">
        <v>878</v>
      </c>
      <c r="I2026" t="s">
        <v>879</v>
      </c>
      <c r="J2026">
        <f t="shared" ca="1" si="126"/>
        <v>150000</v>
      </c>
      <c r="K2026">
        <f t="shared" ca="1" si="127"/>
        <v>162</v>
      </c>
      <c r="N2026" t="str">
        <f t="shared" si="124"/>
        <v>Rutland222Wellbeing and independence - support to live well with health issuesCarers ServicesCarer advice and support related to Care Act duties</v>
      </c>
      <c r="O2026" t="s">
        <v>271</v>
      </c>
      <c r="P2026" t="s">
        <v>2478</v>
      </c>
      <c r="Q2026">
        <v>222</v>
      </c>
      <c r="R2026" t="s">
        <v>5287</v>
      </c>
      <c r="S2026" t="s">
        <v>5775</v>
      </c>
      <c r="T2026" t="s">
        <v>811</v>
      </c>
      <c r="U2026" t="s">
        <v>895</v>
      </c>
      <c r="W2026">
        <v>89</v>
      </c>
      <c r="X2026">
        <v>91</v>
      </c>
      <c r="Y2026" t="s">
        <v>813</v>
      </c>
      <c r="Z2026" t="s">
        <v>792</v>
      </c>
      <c r="AB2026" t="s">
        <v>793</v>
      </c>
      <c r="AD2026" t="s">
        <v>794</v>
      </c>
      <c r="AE2026" t="s">
        <v>795</v>
      </c>
      <c r="AF2026" t="s">
        <v>796</v>
      </c>
      <c r="AG2026" t="s">
        <v>797</v>
      </c>
      <c r="AH2026">
        <v>30830</v>
      </c>
      <c r="AI2026">
        <v>32574.99</v>
      </c>
      <c r="AJ2026">
        <v>9.2899999999999996E-3</v>
      </c>
    </row>
    <row r="2027" spans="1:36" x14ac:dyDescent="0.3">
      <c r="A2027">
        <f>COUNTIF($D$2:D2027,D2027)</f>
        <v>18</v>
      </c>
      <c r="B2027" t="str">
        <f t="shared" si="125"/>
        <v>18South Tyneside</v>
      </c>
      <c r="C2027" t="s">
        <v>5776</v>
      </c>
      <c r="D2027" t="s">
        <v>291</v>
      </c>
      <c r="E2027">
        <v>34</v>
      </c>
      <c r="F2027" t="s">
        <v>1881</v>
      </c>
      <c r="G2027" t="s">
        <v>800</v>
      </c>
      <c r="H2027" t="s">
        <v>903</v>
      </c>
      <c r="I2027" t="s">
        <v>802</v>
      </c>
      <c r="J2027">
        <f t="shared" ca="1" si="126"/>
        <v>200000</v>
      </c>
      <c r="K2027">
        <f t="shared" ca="1" si="127"/>
        <v>6150</v>
      </c>
      <c r="N2027" t="str">
        <f t="shared" si="124"/>
        <v>Rutland223Wellbeing and independence - support to live well with health issuesCarers ServicesCarer advice and support related to Care Act duties</v>
      </c>
      <c r="O2027" t="s">
        <v>271</v>
      </c>
      <c r="P2027" t="s">
        <v>2478</v>
      </c>
      <c r="Q2027">
        <v>223</v>
      </c>
      <c r="R2027" t="s">
        <v>5287</v>
      </c>
      <c r="S2027" t="s">
        <v>5777</v>
      </c>
      <c r="T2027" t="s">
        <v>811</v>
      </c>
      <c r="U2027" t="s">
        <v>895</v>
      </c>
      <c r="W2027">
        <v>72</v>
      </c>
      <c r="X2027">
        <v>77</v>
      </c>
      <c r="Y2027" t="s">
        <v>813</v>
      </c>
      <c r="Z2027" t="s">
        <v>792</v>
      </c>
      <c r="AB2027" t="s">
        <v>793</v>
      </c>
      <c r="AD2027" t="s">
        <v>794</v>
      </c>
      <c r="AE2027" t="s">
        <v>795</v>
      </c>
      <c r="AF2027" t="s">
        <v>796</v>
      </c>
      <c r="AG2027" t="s">
        <v>797</v>
      </c>
      <c r="AH2027">
        <v>41510</v>
      </c>
      <c r="AI2027">
        <v>43859.47</v>
      </c>
      <c r="AJ2027">
        <v>1.2500000000000001E-2</v>
      </c>
    </row>
    <row r="2028" spans="1:36" x14ac:dyDescent="0.3">
      <c r="A2028">
        <f>COUNTIF($D$2:D2028,D2028)</f>
        <v>1</v>
      </c>
      <c r="B2028" t="str">
        <f t="shared" si="125"/>
        <v>1Southampton</v>
      </c>
      <c r="C2028" t="s">
        <v>5778</v>
      </c>
      <c r="D2028" t="s">
        <v>293</v>
      </c>
      <c r="E2028">
        <v>7</v>
      </c>
      <c r="F2028" t="s">
        <v>5779</v>
      </c>
      <c r="G2028" t="s">
        <v>811</v>
      </c>
      <c r="H2028" t="s">
        <v>830</v>
      </c>
      <c r="I2028" t="s">
        <v>813</v>
      </c>
      <c r="J2028">
        <f t="shared" ca="1" si="126"/>
        <v>13538842</v>
      </c>
      <c r="K2028">
        <f t="shared" ca="1" si="127"/>
        <v>113</v>
      </c>
      <c r="N2028" t="str">
        <f t="shared" si="124"/>
        <v>Rutland223Wellbeing and independence - support to live well with health issuesCarers ServicesCarer advice and support related to Care Act duties</v>
      </c>
      <c r="O2028" t="s">
        <v>271</v>
      </c>
      <c r="P2028" t="s">
        <v>2478</v>
      </c>
      <c r="Q2028">
        <v>223</v>
      </c>
      <c r="R2028" t="s">
        <v>5287</v>
      </c>
      <c r="S2028" t="s">
        <v>5777</v>
      </c>
      <c r="T2028" t="s">
        <v>811</v>
      </c>
      <c r="U2028" t="s">
        <v>895</v>
      </c>
      <c r="W2028">
        <v>72</v>
      </c>
      <c r="X2028">
        <v>76</v>
      </c>
      <c r="Y2028" t="s">
        <v>813</v>
      </c>
      <c r="Z2028" t="s">
        <v>792</v>
      </c>
      <c r="AB2028" t="s">
        <v>793</v>
      </c>
      <c r="AD2028" t="s">
        <v>794</v>
      </c>
      <c r="AE2028" t="s">
        <v>795</v>
      </c>
      <c r="AF2028" t="s">
        <v>845</v>
      </c>
      <c r="AG2028" t="s">
        <v>797</v>
      </c>
      <c r="AH2028">
        <v>39970</v>
      </c>
      <c r="AI2028">
        <v>39970</v>
      </c>
      <c r="AJ2028">
        <v>1.17E-2</v>
      </c>
    </row>
    <row r="2029" spans="1:36" x14ac:dyDescent="0.3">
      <c r="A2029">
        <f>COUNTIF($D$2:D2029,D2029)</f>
        <v>2</v>
      </c>
      <c r="B2029" t="str">
        <f t="shared" si="125"/>
        <v>2Southampton</v>
      </c>
      <c r="C2029" t="s">
        <v>5780</v>
      </c>
      <c r="D2029" t="s">
        <v>293</v>
      </c>
      <c r="E2029">
        <v>18</v>
      </c>
      <c r="F2029" t="s">
        <v>5779</v>
      </c>
      <c r="G2029" t="s">
        <v>811</v>
      </c>
      <c r="H2029" t="s">
        <v>830</v>
      </c>
      <c r="I2029" t="s">
        <v>813</v>
      </c>
      <c r="J2029">
        <f t="shared" ca="1" si="126"/>
        <v>24965900</v>
      </c>
      <c r="K2029">
        <f t="shared" ca="1" si="127"/>
        <v>200</v>
      </c>
      <c r="N2029" t="str">
        <f t="shared" si="124"/>
        <v>Rutland232Sustaining independence at homeAssistive Technologies and EquipmentAssistive technologies including telecare</v>
      </c>
      <c r="O2029" t="s">
        <v>271</v>
      </c>
      <c r="P2029" t="s">
        <v>2478</v>
      </c>
      <c r="Q2029">
        <v>232</v>
      </c>
      <c r="R2029" t="s">
        <v>5295</v>
      </c>
      <c r="S2029" t="s">
        <v>5781</v>
      </c>
      <c r="T2029" t="s">
        <v>800</v>
      </c>
      <c r="U2029" t="s">
        <v>850</v>
      </c>
      <c r="W2029">
        <v>374</v>
      </c>
      <c r="X2029">
        <v>420</v>
      </c>
      <c r="Y2029" t="s">
        <v>802</v>
      </c>
      <c r="Z2029" t="s">
        <v>792</v>
      </c>
      <c r="AB2029" t="s">
        <v>793</v>
      </c>
      <c r="AD2029" t="s">
        <v>794</v>
      </c>
      <c r="AE2029" t="s">
        <v>795</v>
      </c>
      <c r="AF2029" t="s">
        <v>796</v>
      </c>
      <c r="AG2029" t="s">
        <v>797</v>
      </c>
      <c r="AH2029">
        <v>31980</v>
      </c>
      <c r="AI2029">
        <v>33790.07</v>
      </c>
      <c r="AJ2029">
        <v>9.5999999999999992E-3</v>
      </c>
    </row>
    <row r="2030" spans="1:36" x14ac:dyDescent="0.3">
      <c r="A2030">
        <f>COUNTIF($D$2:D2030,D2030)</f>
        <v>3</v>
      </c>
      <c r="B2030" t="str">
        <f t="shared" si="125"/>
        <v>3Southampton</v>
      </c>
      <c r="C2030" t="s">
        <v>5782</v>
      </c>
      <c r="D2030" t="s">
        <v>293</v>
      </c>
      <c r="E2030">
        <v>19</v>
      </c>
      <c r="F2030" t="s">
        <v>5779</v>
      </c>
      <c r="G2030" t="s">
        <v>811</v>
      </c>
      <c r="H2030" t="s">
        <v>895</v>
      </c>
      <c r="I2030" t="s">
        <v>813</v>
      </c>
      <c r="J2030">
        <f t="shared" ca="1" si="126"/>
        <v>183115</v>
      </c>
      <c r="K2030">
        <f t="shared" ca="1" si="127"/>
        <v>250</v>
      </c>
      <c r="N2030" t="str">
        <f t="shared" si="124"/>
        <v>Rutland241Home adaptations DFGDFG Related SchemesAdaptations, including statutory DFG grants</v>
      </c>
      <c r="O2030" t="s">
        <v>271</v>
      </c>
      <c r="P2030" t="s">
        <v>2478</v>
      </c>
      <c r="Q2030">
        <v>241</v>
      </c>
      <c r="R2030" t="s">
        <v>5298</v>
      </c>
      <c r="S2030" t="s">
        <v>5783</v>
      </c>
      <c r="T2030" t="s">
        <v>834</v>
      </c>
      <c r="U2030" t="s">
        <v>835</v>
      </c>
      <c r="W2030">
        <v>47</v>
      </c>
      <c r="X2030">
        <v>53</v>
      </c>
      <c r="Y2030" t="s">
        <v>836</v>
      </c>
      <c r="Z2030" t="s">
        <v>792</v>
      </c>
      <c r="AB2030" t="s">
        <v>793</v>
      </c>
      <c r="AD2030" t="s">
        <v>794</v>
      </c>
      <c r="AE2030" t="s">
        <v>795</v>
      </c>
      <c r="AF2030" t="s">
        <v>840</v>
      </c>
      <c r="AG2030" t="s">
        <v>797</v>
      </c>
      <c r="AH2030">
        <v>270255</v>
      </c>
      <c r="AI2030">
        <v>270255</v>
      </c>
      <c r="AJ2030">
        <v>7.9200000000000007E-2</v>
      </c>
    </row>
    <row r="2031" spans="1:36" x14ac:dyDescent="0.3">
      <c r="A2031">
        <f>COUNTIF($D$2:D2031,D2031)</f>
        <v>4</v>
      </c>
      <c r="B2031" t="str">
        <f t="shared" si="125"/>
        <v>4Southampton</v>
      </c>
      <c r="C2031" t="s">
        <v>5784</v>
      </c>
      <c r="D2031" t="s">
        <v>293</v>
      </c>
      <c r="E2031">
        <v>26</v>
      </c>
      <c r="F2031" t="s">
        <v>5785</v>
      </c>
      <c r="G2031" t="s">
        <v>800</v>
      </c>
      <c r="H2031" t="s">
        <v>903</v>
      </c>
      <c r="I2031" t="s">
        <v>802</v>
      </c>
      <c r="J2031">
        <f t="shared" ca="1" si="126"/>
        <v>803959</v>
      </c>
      <c r="K2031">
        <f t="shared" ca="1" si="127"/>
        <v>6162</v>
      </c>
      <c r="N2031" t="str">
        <f t="shared" si="124"/>
        <v>Rutland251Core social care supportCarers ServicesRespite services</v>
      </c>
      <c r="O2031" t="s">
        <v>271</v>
      </c>
      <c r="P2031" t="s">
        <v>2478</v>
      </c>
      <c r="Q2031">
        <v>251</v>
      </c>
      <c r="R2031" t="s">
        <v>5300</v>
      </c>
      <c r="S2031" t="s">
        <v>5786</v>
      </c>
      <c r="T2031" t="s">
        <v>811</v>
      </c>
      <c r="U2031" t="s">
        <v>830</v>
      </c>
      <c r="W2031">
        <v>30</v>
      </c>
      <c r="X2031">
        <v>29</v>
      </c>
      <c r="Y2031" t="s">
        <v>813</v>
      </c>
      <c r="Z2031" t="s">
        <v>792</v>
      </c>
      <c r="AB2031" t="s">
        <v>793</v>
      </c>
      <c r="AD2031" t="s">
        <v>794</v>
      </c>
      <c r="AE2031" t="s">
        <v>795</v>
      </c>
      <c r="AF2031" t="s">
        <v>796</v>
      </c>
      <c r="AG2031" t="s">
        <v>861</v>
      </c>
      <c r="AH2031">
        <v>20000</v>
      </c>
      <c r="AI2031">
        <v>21132</v>
      </c>
      <c r="AJ2031">
        <v>6.0000000000000001E-3</v>
      </c>
    </row>
    <row r="2032" spans="1:36" x14ac:dyDescent="0.3">
      <c r="A2032">
        <f>COUNTIF($D$2:D2032,D2032)</f>
        <v>5</v>
      </c>
      <c r="B2032" t="str">
        <f t="shared" si="125"/>
        <v>5Southampton</v>
      </c>
      <c r="C2032" t="s">
        <v>5787</v>
      </c>
      <c r="D2032" t="s">
        <v>293</v>
      </c>
      <c r="E2032">
        <v>27</v>
      </c>
      <c r="F2032" t="s">
        <v>5785</v>
      </c>
      <c r="G2032" t="s">
        <v>834</v>
      </c>
      <c r="H2032" t="s">
        <v>835</v>
      </c>
      <c r="I2032" t="s">
        <v>836</v>
      </c>
      <c r="J2032">
        <f t="shared" ca="1" si="126"/>
        <v>2513314</v>
      </c>
      <c r="K2032">
        <f t="shared" ca="1" si="127"/>
        <v>120</v>
      </c>
      <c r="N2032" t="str">
        <f t="shared" si="124"/>
        <v xml:space="preserve">Rutland321Transfer of care and reablementHome-based intermediate care servicesReablement at home (to support discharge) </v>
      </c>
      <c r="O2032" t="s">
        <v>271</v>
      </c>
      <c r="P2032" t="s">
        <v>2478</v>
      </c>
      <c r="Q2032">
        <v>321</v>
      </c>
      <c r="R2032" t="s">
        <v>5303</v>
      </c>
      <c r="S2032" t="s">
        <v>5788</v>
      </c>
      <c r="T2032" t="s">
        <v>787</v>
      </c>
      <c r="U2032" t="s">
        <v>788</v>
      </c>
      <c r="W2032">
        <v>2937</v>
      </c>
      <c r="X2032">
        <v>3157</v>
      </c>
      <c r="Y2032" t="s">
        <v>789</v>
      </c>
      <c r="Z2032" t="s">
        <v>792</v>
      </c>
      <c r="AB2032" t="s">
        <v>793</v>
      </c>
      <c r="AD2032" t="s">
        <v>794</v>
      </c>
      <c r="AE2032" t="s">
        <v>795</v>
      </c>
      <c r="AF2032" t="s">
        <v>796</v>
      </c>
      <c r="AG2032" t="s">
        <v>797</v>
      </c>
      <c r="AH2032">
        <v>676534</v>
      </c>
      <c r="AI2032">
        <v>714825.82</v>
      </c>
      <c r="AJ2032">
        <v>0.2039</v>
      </c>
    </row>
    <row r="2033" spans="1:36" x14ac:dyDescent="0.3">
      <c r="A2033">
        <f>COUNTIF($D$2:D2033,D2033)</f>
        <v>6</v>
      </c>
      <c r="B2033" t="str">
        <f t="shared" si="125"/>
        <v>6Southampton</v>
      </c>
      <c r="C2033" t="s">
        <v>5789</v>
      </c>
      <c r="D2033" t="s">
        <v>293</v>
      </c>
      <c r="E2033">
        <v>28</v>
      </c>
      <c r="F2033" t="s">
        <v>5790</v>
      </c>
      <c r="G2033" t="s">
        <v>842</v>
      </c>
      <c r="H2033" t="s">
        <v>843</v>
      </c>
      <c r="I2033" t="s">
        <v>844</v>
      </c>
      <c r="J2033">
        <f t="shared" ca="1" si="126"/>
        <v>10704789</v>
      </c>
      <c r="K2033">
        <f t="shared" ca="1" si="127"/>
        <v>509752</v>
      </c>
      <c r="N2033" t="str">
        <f t="shared" si="124"/>
        <v>Rutland511Additional Discharge FundingBed based intermediate Care Services (Reablement, rehabilitation, wider short-term services supporting recovery)Bed-based intermediate care with reablement (to support discharge)</v>
      </c>
      <c r="O2033" t="s">
        <v>271</v>
      </c>
      <c r="P2033" t="s">
        <v>2478</v>
      </c>
      <c r="Q2033">
        <v>511</v>
      </c>
      <c r="R2033" t="s">
        <v>5306</v>
      </c>
      <c r="S2033" t="s">
        <v>1786</v>
      </c>
      <c r="T2033" t="s">
        <v>877</v>
      </c>
      <c r="U2033" t="s">
        <v>878</v>
      </c>
      <c r="W2033">
        <v>6</v>
      </c>
      <c r="X2033">
        <v>6</v>
      </c>
      <c r="Y2033" t="s">
        <v>879</v>
      </c>
      <c r="Z2033" t="s">
        <v>823</v>
      </c>
      <c r="AB2033" t="s">
        <v>824</v>
      </c>
      <c r="AD2033" t="s">
        <v>794</v>
      </c>
      <c r="AE2033" t="s">
        <v>824</v>
      </c>
      <c r="AF2033" t="s">
        <v>860</v>
      </c>
      <c r="AG2033" t="s">
        <v>861</v>
      </c>
      <c r="AH2033">
        <v>3241.38</v>
      </c>
      <c r="AI2033">
        <v>5958</v>
      </c>
      <c r="AJ2033">
        <v>1.1999999999999999E-3</v>
      </c>
    </row>
    <row r="2034" spans="1:36" x14ac:dyDescent="0.3">
      <c r="A2034">
        <f>COUNTIF($D$2:D2034,D2034)</f>
        <v>7</v>
      </c>
      <c r="B2034" t="str">
        <f t="shared" si="125"/>
        <v>7Southampton</v>
      </c>
      <c r="C2034" t="s">
        <v>5791</v>
      </c>
      <c r="D2034" t="s">
        <v>293</v>
      </c>
      <c r="E2034">
        <v>33</v>
      </c>
      <c r="F2034" t="s">
        <v>5779</v>
      </c>
      <c r="G2034" t="s">
        <v>811</v>
      </c>
      <c r="H2034" t="s">
        <v>830</v>
      </c>
      <c r="I2034" t="s">
        <v>813</v>
      </c>
      <c r="J2034">
        <f t="shared" ca="1" si="126"/>
        <v>1238000</v>
      </c>
      <c r="K2034">
        <f t="shared" ca="1" si="127"/>
        <v>333</v>
      </c>
      <c r="N2034" t="str">
        <f t="shared" si="124"/>
        <v>Rutland513Additional Discharge FundingBed based intermediate Care Services (Reablement, rehabilitation, wider short-term services supporting recovery)Bed-based intermediate care with reablement (to support discharge)</v>
      </c>
      <c r="O2034" t="s">
        <v>271</v>
      </c>
      <c r="P2034" t="s">
        <v>2478</v>
      </c>
      <c r="Q2034">
        <v>513</v>
      </c>
      <c r="R2034" t="s">
        <v>5306</v>
      </c>
      <c r="S2034" t="s">
        <v>1786</v>
      </c>
      <c r="T2034" t="s">
        <v>877</v>
      </c>
      <c r="U2034" t="s">
        <v>878</v>
      </c>
      <c r="W2034">
        <v>30</v>
      </c>
      <c r="X2034">
        <v>30</v>
      </c>
      <c r="Y2034" t="s">
        <v>879</v>
      </c>
      <c r="Z2034" t="s">
        <v>823</v>
      </c>
      <c r="AB2034" t="s">
        <v>824</v>
      </c>
      <c r="AD2034" t="s">
        <v>794</v>
      </c>
      <c r="AE2034" t="s">
        <v>824</v>
      </c>
      <c r="AF2034" t="s">
        <v>860</v>
      </c>
      <c r="AG2034" t="s">
        <v>861</v>
      </c>
      <c r="AH2034">
        <v>25991.99</v>
      </c>
      <c r="AI2034">
        <v>47793</v>
      </c>
      <c r="AJ2034">
        <v>0.01</v>
      </c>
    </row>
    <row r="2035" spans="1:36" x14ac:dyDescent="0.3">
      <c r="A2035">
        <f>COUNTIF($D$2:D2035,D2035)</f>
        <v>8</v>
      </c>
      <c r="B2035" t="str">
        <f t="shared" si="125"/>
        <v>8Southampton</v>
      </c>
      <c r="C2035" t="s">
        <v>5792</v>
      </c>
      <c r="D2035" t="s">
        <v>293</v>
      </c>
      <c r="E2035">
        <v>34</v>
      </c>
      <c r="F2035" t="s">
        <v>5785</v>
      </c>
      <c r="G2035" t="s">
        <v>800</v>
      </c>
      <c r="H2035" t="s">
        <v>903</v>
      </c>
      <c r="I2035" t="s">
        <v>802</v>
      </c>
      <c r="J2035">
        <f t="shared" ca="1" si="126"/>
        <v>1497184</v>
      </c>
      <c r="K2035">
        <f t="shared" ca="1" si="127"/>
        <v>7462</v>
      </c>
      <c r="N2035" t="str">
        <f t="shared" si="124"/>
        <v>Rutland514Additional Discharge FundingBed based intermediate Care Services (Reablement, rehabilitation, wider short-term services supporting recovery)Bed-based intermediate care with reablement (to support discharge)</v>
      </c>
      <c r="O2035" t="s">
        <v>271</v>
      </c>
      <c r="P2035" t="s">
        <v>2478</v>
      </c>
      <c r="Q2035">
        <v>514</v>
      </c>
      <c r="R2035" t="s">
        <v>5306</v>
      </c>
      <c r="S2035" t="s">
        <v>1786</v>
      </c>
      <c r="T2035" t="s">
        <v>877</v>
      </c>
      <c r="U2035" t="s">
        <v>878</v>
      </c>
      <c r="W2035">
        <v>30</v>
      </c>
      <c r="X2035">
        <v>30</v>
      </c>
      <c r="Y2035" t="s">
        <v>879</v>
      </c>
      <c r="Z2035" t="s">
        <v>792</v>
      </c>
      <c r="AB2035" t="s">
        <v>793</v>
      </c>
      <c r="AD2035" t="s">
        <v>794</v>
      </c>
      <c r="AE2035" t="s">
        <v>795</v>
      </c>
      <c r="AF2035" t="s">
        <v>864</v>
      </c>
      <c r="AG2035" t="s">
        <v>861</v>
      </c>
      <c r="AH2035">
        <v>28678</v>
      </c>
      <c r="AI2035">
        <v>47605.48</v>
      </c>
      <c r="AJ2035">
        <v>0.01</v>
      </c>
    </row>
    <row r="2036" spans="1:36" x14ac:dyDescent="0.3">
      <c r="A2036">
        <f>COUNTIF($D$2:D2036,D2036)</f>
        <v>1</v>
      </c>
      <c r="B2036" t="str">
        <f t="shared" si="125"/>
        <v>1Southend-on-Sea</v>
      </c>
      <c r="C2036" t="s">
        <v>5793</v>
      </c>
      <c r="D2036" t="s">
        <v>295</v>
      </c>
      <c r="E2036">
        <v>2</v>
      </c>
      <c r="F2036" t="s">
        <v>5794</v>
      </c>
      <c r="G2036" t="s">
        <v>877</v>
      </c>
      <c r="H2036" t="s">
        <v>1015</v>
      </c>
      <c r="I2036" t="s">
        <v>808</v>
      </c>
      <c r="J2036">
        <f t="shared" ca="1" si="126"/>
        <v>2009460.5</v>
      </c>
      <c r="K2036">
        <f t="shared" ca="1" si="127"/>
        <v>30</v>
      </c>
      <c r="N2036" t="str">
        <f t="shared" si="124"/>
        <v xml:space="preserve">Salford1Adult Social CareHome-based intermediate care servicesReablement at home (to support discharge) </v>
      </c>
      <c r="O2036" t="s">
        <v>273</v>
      </c>
      <c r="P2036" t="s">
        <v>1201</v>
      </c>
      <c r="Q2036">
        <v>1</v>
      </c>
      <c r="R2036" t="s">
        <v>1328</v>
      </c>
      <c r="S2036" t="s">
        <v>5795</v>
      </c>
      <c r="T2036" t="s">
        <v>787</v>
      </c>
      <c r="U2036" t="s">
        <v>788</v>
      </c>
      <c r="W2036">
        <v>655</v>
      </c>
      <c r="X2036">
        <v>655</v>
      </c>
      <c r="Y2036" t="s">
        <v>789</v>
      </c>
      <c r="Z2036" t="s">
        <v>792</v>
      </c>
      <c r="AB2036" t="s">
        <v>824</v>
      </c>
      <c r="AD2036" t="s">
        <v>794</v>
      </c>
      <c r="AE2036" t="s">
        <v>795</v>
      </c>
      <c r="AF2036" t="s">
        <v>796</v>
      </c>
      <c r="AG2036" t="s">
        <v>797</v>
      </c>
      <c r="AH2036">
        <v>713827</v>
      </c>
      <c r="AI2036">
        <v>713827</v>
      </c>
      <c r="AJ2036">
        <v>0.10687138115246968</v>
      </c>
    </row>
    <row r="2037" spans="1:36" x14ac:dyDescent="0.3">
      <c r="A2037">
        <f>COUNTIF($D$2:D2037,D2037)</f>
        <v>2</v>
      </c>
      <c r="B2037" t="str">
        <f t="shared" si="125"/>
        <v>2Southend-on-Sea</v>
      </c>
      <c r="C2037" t="s">
        <v>5796</v>
      </c>
      <c r="D2037" t="s">
        <v>295</v>
      </c>
      <c r="E2037">
        <v>3</v>
      </c>
      <c r="F2037" t="s">
        <v>1447</v>
      </c>
      <c r="G2037" t="s">
        <v>842</v>
      </c>
      <c r="H2037" t="s">
        <v>843</v>
      </c>
      <c r="I2037" t="s">
        <v>844</v>
      </c>
      <c r="J2037">
        <f t="shared" ca="1" si="126"/>
        <v>2551111</v>
      </c>
      <c r="K2037">
        <f t="shared" ca="1" si="127"/>
        <v>141100</v>
      </c>
      <c r="N2037" t="str">
        <f t="shared" si="124"/>
        <v>Salford1Adult Social CareCarers ServicesCarer advice and support related to Care Act duties</v>
      </c>
      <c r="O2037" t="s">
        <v>273</v>
      </c>
      <c r="P2037" t="s">
        <v>1201</v>
      </c>
      <c r="Q2037">
        <v>1</v>
      </c>
      <c r="R2037" t="s">
        <v>1328</v>
      </c>
      <c r="S2037" t="s">
        <v>5797</v>
      </c>
      <c r="T2037" t="s">
        <v>811</v>
      </c>
      <c r="U2037" t="s">
        <v>895</v>
      </c>
      <c r="W2037">
        <v>203</v>
      </c>
      <c r="X2037">
        <v>203</v>
      </c>
      <c r="Y2037" t="s">
        <v>813</v>
      </c>
      <c r="Z2037" t="s">
        <v>792</v>
      </c>
      <c r="AB2037" t="s">
        <v>824</v>
      </c>
      <c r="AD2037" t="s">
        <v>794</v>
      </c>
      <c r="AE2037" t="s">
        <v>795</v>
      </c>
      <c r="AF2037" t="s">
        <v>796</v>
      </c>
      <c r="AG2037" t="s">
        <v>797</v>
      </c>
      <c r="AH2037">
        <v>140000</v>
      </c>
      <c r="AI2037">
        <v>140000</v>
      </c>
      <c r="AJ2037">
        <v>0.10687138115246968</v>
      </c>
    </row>
    <row r="2038" spans="1:36" x14ac:dyDescent="0.3">
      <c r="A2038">
        <f>COUNTIF($D$2:D2038,D2038)</f>
        <v>3</v>
      </c>
      <c r="B2038" t="str">
        <f t="shared" si="125"/>
        <v>3Southend-on-Sea</v>
      </c>
      <c r="C2038" t="s">
        <v>5798</v>
      </c>
      <c r="D2038" t="s">
        <v>295</v>
      </c>
      <c r="E2038">
        <v>7</v>
      </c>
      <c r="F2038" t="s">
        <v>2321</v>
      </c>
      <c r="G2038" t="s">
        <v>811</v>
      </c>
      <c r="H2038" t="s">
        <v>895</v>
      </c>
      <c r="I2038" t="s">
        <v>813</v>
      </c>
      <c r="J2038">
        <f t="shared" ca="1" si="126"/>
        <v>250000</v>
      </c>
      <c r="K2038">
        <f t="shared" ca="1" si="127"/>
        <v>1320</v>
      </c>
      <c r="N2038" t="str">
        <f t="shared" si="124"/>
        <v>Salford1Adult Social CareCarers ServicesOther</v>
      </c>
      <c r="O2038" t="s">
        <v>273</v>
      </c>
      <c r="P2038" t="s">
        <v>1201</v>
      </c>
      <c r="Q2038">
        <v>1</v>
      </c>
      <c r="R2038" t="s">
        <v>1328</v>
      </c>
      <c r="S2038" t="s">
        <v>5797</v>
      </c>
      <c r="T2038" t="s">
        <v>811</v>
      </c>
      <c r="U2038" t="s">
        <v>812</v>
      </c>
      <c r="V2038" t="s">
        <v>5797</v>
      </c>
      <c r="W2038">
        <v>473</v>
      </c>
      <c r="X2038">
        <v>473</v>
      </c>
      <c r="Y2038" t="s">
        <v>813</v>
      </c>
      <c r="Z2038" t="s">
        <v>792</v>
      </c>
      <c r="AB2038" t="s">
        <v>793</v>
      </c>
      <c r="AD2038" t="s">
        <v>794</v>
      </c>
      <c r="AE2038" t="s">
        <v>795</v>
      </c>
      <c r="AF2038" t="s">
        <v>1029</v>
      </c>
      <c r="AG2038" t="s">
        <v>797</v>
      </c>
      <c r="AH2038">
        <v>327116</v>
      </c>
      <c r="AI2038">
        <v>327116</v>
      </c>
      <c r="AJ2038">
        <v>0.10687138115246968</v>
      </c>
    </row>
    <row r="2039" spans="1:36" x14ac:dyDescent="0.3">
      <c r="A2039">
        <f>COUNTIF($D$2:D2039,D2039)</f>
        <v>4</v>
      </c>
      <c r="B2039" t="str">
        <f t="shared" si="125"/>
        <v>4Southend-on-Sea</v>
      </c>
      <c r="C2039" t="s">
        <v>5799</v>
      </c>
      <c r="D2039" t="s">
        <v>295</v>
      </c>
      <c r="E2039">
        <v>8</v>
      </c>
      <c r="F2039" t="s">
        <v>5800</v>
      </c>
      <c r="G2039" t="s">
        <v>811</v>
      </c>
      <c r="H2039" t="s">
        <v>895</v>
      </c>
      <c r="I2039" t="s">
        <v>813</v>
      </c>
      <c r="J2039">
        <f t="shared" ca="1" si="126"/>
        <v>150000</v>
      </c>
      <c r="K2039">
        <f t="shared" ca="1" si="127"/>
        <v>7371</v>
      </c>
      <c r="N2039" t="str">
        <f t="shared" si="124"/>
        <v>Salford2Adult Social Care - Intermidiate CareBed based intermediate Care Services (Reablement, rehabilitation, wider short-term services supporting recovery)Bed-based intermediate care with reablement accepting step up and step down users</v>
      </c>
      <c r="O2039" t="s">
        <v>273</v>
      </c>
      <c r="P2039" t="s">
        <v>1201</v>
      </c>
      <c r="Q2039">
        <v>2</v>
      </c>
      <c r="R2039" t="s">
        <v>5315</v>
      </c>
      <c r="S2039" t="s">
        <v>5801</v>
      </c>
      <c r="T2039" t="s">
        <v>877</v>
      </c>
      <c r="U2039" t="s">
        <v>1259</v>
      </c>
      <c r="W2039">
        <v>30</v>
      </c>
      <c r="X2039">
        <v>30</v>
      </c>
      <c r="Y2039" t="s">
        <v>879</v>
      </c>
      <c r="Z2039" t="s">
        <v>792</v>
      </c>
      <c r="AB2039" t="s">
        <v>824</v>
      </c>
      <c r="AD2039" t="s">
        <v>794</v>
      </c>
      <c r="AE2039" t="s">
        <v>1119</v>
      </c>
      <c r="AF2039" t="s">
        <v>796</v>
      </c>
      <c r="AG2039" t="s">
        <v>797</v>
      </c>
      <c r="AH2039">
        <v>1483546</v>
      </c>
      <c r="AI2039">
        <v>1483546</v>
      </c>
      <c r="AJ2039">
        <v>8.9390988310817533E-3</v>
      </c>
    </row>
    <row r="2040" spans="1:36" x14ac:dyDescent="0.3">
      <c r="A2040">
        <f>COUNTIF($D$2:D2040,D2040)</f>
        <v>5</v>
      </c>
      <c r="B2040" t="str">
        <f t="shared" si="125"/>
        <v>5Southend-on-Sea</v>
      </c>
      <c r="C2040" t="s">
        <v>5802</v>
      </c>
      <c r="D2040" t="s">
        <v>295</v>
      </c>
      <c r="E2040">
        <v>11</v>
      </c>
      <c r="F2040" t="s">
        <v>5803</v>
      </c>
      <c r="G2040" t="s">
        <v>806</v>
      </c>
      <c r="H2040" t="s">
        <v>807</v>
      </c>
      <c r="I2040" t="s">
        <v>808</v>
      </c>
      <c r="J2040">
        <f t="shared" ca="1" si="126"/>
        <v>2087000</v>
      </c>
      <c r="K2040">
        <f t="shared" ca="1" si="127"/>
        <v>2500</v>
      </c>
      <c r="N2040" t="str">
        <f t="shared" si="124"/>
        <v>Salford2Adult Social Care - Intermidiate CareBed based intermediate Care Services (Reablement, rehabilitation, wider short-term services supporting recovery)Bed-based intermediate care with reablement accepting step up and step down users</v>
      </c>
      <c r="O2040" t="s">
        <v>273</v>
      </c>
      <c r="P2040" t="s">
        <v>1201</v>
      </c>
      <c r="Q2040">
        <v>2</v>
      </c>
      <c r="R2040" t="s">
        <v>5315</v>
      </c>
      <c r="S2040" t="s">
        <v>5801</v>
      </c>
      <c r="T2040" t="s">
        <v>877</v>
      </c>
      <c r="U2040" t="s">
        <v>1259</v>
      </c>
      <c r="W2040">
        <v>29</v>
      </c>
      <c r="X2040">
        <v>29</v>
      </c>
      <c r="Y2040" t="s">
        <v>879</v>
      </c>
      <c r="Z2040" t="s">
        <v>792</v>
      </c>
      <c r="AB2040" t="s">
        <v>793</v>
      </c>
      <c r="AD2040" t="s">
        <v>794</v>
      </c>
      <c r="AE2040" t="s">
        <v>1119</v>
      </c>
      <c r="AF2040" t="s">
        <v>1029</v>
      </c>
      <c r="AG2040" t="s">
        <v>797</v>
      </c>
      <c r="AH2040">
        <v>1466995</v>
      </c>
      <c r="AI2040">
        <v>1466995</v>
      </c>
      <c r="AJ2040">
        <v>8.9390988310817533E-3</v>
      </c>
    </row>
    <row r="2041" spans="1:36" x14ac:dyDescent="0.3">
      <c r="A2041">
        <f>COUNTIF($D$2:D2041,D2041)</f>
        <v>6</v>
      </c>
      <c r="B2041" t="str">
        <f t="shared" si="125"/>
        <v>6Southend-on-Sea</v>
      </c>
      <c r="C2041" t="s">
        <v>5804</v>
      </c>
      <c r="D2041" t="s">
        <v>295</v>
      </c>
      <c r="E2041">
        <v>12</v>
      </c>
      <c r="F2041" t="s">
        <v>1447</v>
      </c>
      <c r="G2041" t="s">
        <v>842</v>
      </c>
      <c r="H2041" t="s">
        <v>843</v>
      </c>
      <c r="I2041" t="s">
        <v>844</v>
      </c>
      <c r="J2041">
        <f t="shared" ca="1" si="126"/>
        <v>2087000</v>
      </c>
      <c r="K2041">
        <f t="shared" ca="1" si="127"/>
        <v>81575</v>
      </c>
      <c r="N2041" t="str">
        <f t="shared" si="124"/>
        <v>Salford8Community OT &amp; EquipmentAssistive Technologies and EquipmentCommunity Based Equipment</v>
      </c>
      <c r="O2041" t="s">
        <v>273</v>
      </c>
      <c r="P2041" t="s">
        <v>1201</v>
      </c>
      <c r="Q2041">
        <v>8</v>
      </c>
      <c r="R2041" t="s">
        <v>5317</v>
      </c>
      <c r="S2041" t="s">
        <v>5805</v>
      </c>
      <c r="T2041" t="s">
        <v>800</v>
      </c>
      <c r="U2041" t="s">
        <v>801</v>
      </c>
      <c r="W2041">
        <v>9267</v>
      </c>
      <c r="X2041">
        <v>9267</v>
      </c>
      <c r="Y2041" t="s">
        <v>802</v>
      </c>
      <c r="Z2041" t="s">
        <v>792</v>
      </c>
      <c r="AB2041" t="s">
        <v>824</v>
      </c>
      <c r="AD2041" t="s">
        <v>794</v>
      </c>
      <c r="AE2041" t="s">
        <v>1119</v>
      </c>
      <c r="AF2041" t="s">
        <v>796</v>
      </c>
      <c r="AG2041" t="s">
        <v>797</v>
      </c>
      <c r="AH2041">
        <v>1717892</v>
      </c>
      <c r="AI2041">
        <v>1717892</v>
      </c>
      <c r="AJ2041">
        <v>8.3044695039708304E-3</v>
      </c>
    </row>
    <row r="2042" spans="1:36" x14ac:dyDescent="0.3">
      <c r="A2042">
        <f>COUNTIF($D$2:D2042,D2042)</f>
        <v>7</v>
      </c>
      <c r="B2042" t="str">
        <f t="shared" si="125"/>
        <v>7Southend-on-Sea</v>
      </c>
      <c r="C2042" t="s">
        <v>5806</v>
      </c>
      <c r="D2042" t="s">
        <v>295</v>
      </c>
      <c r="E2042">
        <v>13</v>
      </c>
      <c r="F2042" t="s">
        <v>5807</v>
      </c>
      <c r="G2042" t="s">
        <v>787</v>
      </c>
      <c r="H2042" t="s">
        <v>930</v>
      </c>
      <c r="I2042" t="s">
        <v>789</v>
      </c>
      <c r="J2042">
        <f t="shared" ca="1" si="126"/>
        <v>770012</v>
      </c>
      <c r="K2042">
        <f t="shared" ca="1" si="127"/>
        <v>30</v>
      </c>
      <c r="N2042" t="str">
        <f t="shared" si="124"/>
        <v>Salford8Community OT &amp; EquipmentAssistive Technologies and EquipmentCommunity Based Equipment</v>
      </c>
      <c r="O2042" t="s">
        <v>273</v>
      </c>
      <c r="P2042" t="s">
        <v>1201</v>
      </c>
      <c r="Q2042">
        <v>8</v>
      </c>
      <c r="R2042" t="s">
        <v>5317</v>
      </c>
      <c r="S2042" t="s">
        <v>5805</v>
      </c>
      <c r="T2042" t="s">
        <v>800</v>
      </c>
      <c r="U2042" t="s">
        <v>801</v>
      </c>
      <c r="W2042">
        <v>3901</v>
      </c>
      <c r="X2042">
        <v>3901</v>
      </c>
      <c r="Y2042" t="s">
        <v>802</v>
      </c>
      <c r="Z2042" t="s">
        <v>792</v>
      </c>
      <c r="AB2042" t="s">
        <v>793</v>
      </c>
      <c r="AD2042" t="s">
        <v>794</v>
      </c>
      <c r="AE2042" t="s">
        <v>1119</v>
      </c>
      <c r="AF2042" t="s">
        <v>1029</v>
      </c>
      <c r="AG2042" t="s">
        <v>797</v>
      </c>
      <c r="AH2042">
        <v>723176</v>
      </c>
      <c r="AI2042">
        <v>723176</v>
      </c>
      <c r="AJ2042">
        <v>8.3044695039708304E-3</v>
      </c>
    </row>
    <row r="2043" spans="1:36" x14ac:dyDescent="0.3">
      <c r="A2043">
        <f>COUNTIF($D$2:D2043,D2043)</f>
        <v>8</v>
      </c>
      <c r="B2043" t="str">
        <f t="shared" si="125"/>
        <v>8Southend-on-Sea</v>
      </c>
      <c r="C2043" t="s">
        <v>5808</v>
      </c>
      <c r="D2043" t="s">
        <v>295</v>
      </c>
      <c r="E2043">
        <v>16</v>
      </c>
      <c r="F2043" t="s">
        <v>891</v>
      </c>
      <c r="G2043" t="s">
        <v>800</v>
      </c>
      <c r="H2043" t="s">
        <v>850</v>
      </c>
      <c r="I2043" t="s">
        <v>802</v>
      </c>
      <c r="J2043">
        <f t="shared" ca="1" si="126"/>
        <v>1721065</v>
      </c>
      <c r="K2043">
        <f t="shared" ca="1" si="127"/>
        <v>90</v>
      </c>
      <c r="N2043" t="str">
        <f t="shared" si="124"/>
        <v>Salford8Community OT &amp; EquipmentAssistive Technologies and EquipmentCommunity Based Equipment</v>
      </c>
      <c r="O2043" t="s">
        <v>273</v>
      </c>
      <c r="P2043" t="s">
        <v>1201</v>
      </c>
      <c r="Q2043">
        <v>8</v>
      </c>
      <c r="R2043" t="s">
        <v>5317</v>
      </c>
      <c r="S2043" t="s">
        <v>5805</v>
      </c>
      <c r="T2043" t="s">
        <v>800</v>
      </c>
      <c r="U2043" t="s">
        <v>801</v>
      </c>
      <c r="W2043">
        <v>1618</v>
      </c>
      <c r="X2043">
        <v>1618</v>
      </c>
      <c r="Y2043" t="s">
        <v>802</v>
      </c>
      <c r="Z2043" t="s">
        <v>792</v>
      </c>
      <c r="AB2043" t="s">
        <v>793</v>
      </c>
      <c r="AD2043" t="s">
        <v>794</v>
      </c>
      <c r="AE2043" t="s">
        <v>1119</v>
      </c>
      <c r="AF2043" t="s">
        <v>845</v>
      </c>
      <c r="AG2043" t="s">
        <v>797</v>
      </c>
      <c r="AH2043">
        <v>300000</v>
      </c>
      <c r="AI2043">
        <v>300000</v>
      </c>
      <c r="AJ2043">
        <v>8.3044695039708304E-3</v>
      </c>
    </row>
    <row r="2044" spans="1:36" x14ac:dyDescent="0.3">
      <c r="A2044">
        <f>COUNTIF($D$2:D2044,D2044)</f>
        <v>9</v>
      </c>
      <c r="B2044" t="str">
        <f t="shared" si="125"/>
        <v>9Southend-on-Sea</v>
      </c>
      <c r="C2044" t="s">
        <v>5809</v>
      </c>
      <c r="D2044" t="s">
        <v>295</v>
      </c>
      <c r="E2044">
        <v>23</v>
      </c>
      <c r="F2044" t="s">
        <v>5810</v>
      </c>
      <c r="G2044" t="s">
        <v>842</v>
      </c>
      <c r="H2044" t="s">
        <v>843</v>
      </c>
      <c r="I2044" t="s">
        <v>844</v>
      </c>
      <c r="J2044">
        <f t="shared" ca="1" si="126"/>
        <v>100000</v>
      </c>
      <c r="K2044">
        <f t="shared" ca="1" si="127"/>
        <v>3870</v>
      </c>
      <c r="N2044" t="str">
        <f t="shared" si="124"/>
        <v>Salford11DFGDFG Related SchemesAdaptations, including statutory DFG grants</v>
      </c>
      <c r="O2044" t="s">
        <v>273</v>
      </c>
      <c r="P2044" t="s">
        <v>1201</v>
      </c>
      <c r="Q2044">
        <v>11</v>
      </c>
      <c r="R2044" t="s">
        <v>840</v>
      </c>
      <c r="S2044" t="s">
        <v>891</v>
      </c>
      <c r="T2044" t="s">
        <v>834</v>
      </c>
      <c r="U2044" t="s">
        <v>835</v>
      </c>
      <c r="W2044">
        <v>256</v>
      </c>
      <c r="X2044">
        <v>256</v>
      </c>
      <c r="Y2044" t="s">
        <v>836</v>
      </c>
      <c r="Z2044" t="s">
        <v>792</v>
      </c>
      <c r="AB2044" t="s">
        <v>793</v>
      </c>
      <c r="AD2044" t="s">
        <v>794</v>
      </c>
      <c r="AE2044" t="s">
        <v>795</v>
      </c>
      <c r="AF2044" t="s">
        <v>840</v>
      </c>
      <c r="AG2044" t="s">
        <v>797</v>
      </c>
      <c r="AH2044">
        <v>3499990</v>
      </c>
      <c r="AI2044">
        <v>3499990</v>
      </c>
      <c r="AJ2044">
        <v>1.06037355582579E-2</v>
      </c>
    </row>
    <row r="2045" spans="1:36" x14ac:dyDescent="0.3">
      <c r="A2045">
        <f>COUNTIF($D$2:D2045,D2045)</f>
        <v>10</v>
      </c>
      <c r="B2045" t="str">
        <f t="shared" si="125"/>
        <v>10Southend-on-Sea</v>
      </c>
      <c r="C2045" t="s">
        <v>5811</v>
      </c>
      <c r="D2045" t="s">
        <v>295</v>
      </c>
      <c r="E2045">
        <v>28</v>
      </c>
      <c r="F2045" t="s">
        <v>5812</v>
      </c>
      <c r="G2045" t="s">
        <v>877</v>
      </c>
      <c r="H2045" t="s">
        <v>1259</v>
      </c>
      <c r="I2045" t="s">
        <v>808</v>
      </c>
      <c r="J2045">
        <f t="shared" ca="1" si="126"/>
        <v>1502737</v>
      </c>
      <c r="K2045">
        <f t="shared" ca="1" si="127"/>
        <v>14</v>
      </c>
      <c r="N2045" t="str">
        <f t="shared" si="124"/>
        <v>Salford15Learning DifficultiesResidential PlacementsLearning disability</v>
      </c>
      <c r="O2045" t="s">
        <v>273</v>
      </c>
      <c r="P2045" t="s">
        <v>1201</v>
      </c>
      <c r="Q2045">
        <v>15</v>
      </c>
      <c r="R2045" t="s">
        <v>5320</v>
      </c>
      <c r="S2045" t="s">
        <v>5813</v>
      </c>
      <c r="T2045" t="s">
        <v>806</v>
      </c>
      <c r="U2045" t="s">
        <v>854</v>
      </c>
      <c r="W2045">
        <v>2</v>
      </c>
      <c r="X2045">
        <v>2</v>
      </c>
      <c r="Y2045" t="s">
        <v>808</v>
      </c>
      <c r="Z2045" t="s">
        <v>792</v>
      </c>
      <c r="AB2045" t="s">
        <v>824</v>
      </c>
      <c r="AD2045" t="s">
        <v>794</v>
      </c>
      <c r="AE2045" t="s">
        <v>1119</v>
      </c>
      <c r="AF2045" t="s">
        <v>796</v>
      </c>
      <c r="AG2045" t="s">
        <v>797</v>
      </c>
      <c r="AH2045">
        <v>1057000</v>
      </c>
      <c r="AI2045">
        <v>1057000</v>
      </c>
      <c r="AJ2045">
        <v>7.3155871434671185E-2</v>
      </c>
    </row>
    <row r="2046" spans="1:36" x14ac:dyDescent="0.3">
      <c r="A2046">
        <f>COUNTIF($D$2:D2046,D2046)</f>
        <v>11</v>
      </c>
      <c r="B2046" t="str">
        <f t="shared" si="125"/>
        <v>11Southend-on-Sea</v>
      </c>
      <c r="C2046" t="s">
        <v>5814</v>
      </c>
      <c r="D2046" t="s">
        <v>295</v>
      </c>
      <c r="E2046">
        <v>30</v>
      </c>
      <c r="F2046" t="s">
        <v>5812</v>
      </c>
      <c r="G2046" t="s">
        <v>787</v>
      </c>
      <c r="H2046" t="s">
        <v>1688</v>
      </c>
      <c r="I2046" t="s">
        <v>789</v>
      </c>
      <c r="J2046">
        <f t="shared" ca="1" si="126"/>
        <v>769186</v>
      </c>
      <c r="K2046">
        <f t="shared" ca="1" si="127"/>
        <v>29</v>
      </c>
      <c r="N2046" t="str">
        <f t="shared" si="124"/>
        <v>Salford23Residential CareResidential PlacementsLearning Disability</v>
      </c>
      <c r="O2046" t="s">
        <v>273</v>
      </c>
      <c r="P2046" t="s">
        <v>1201</v>
      </c>
      <c r="Q2046">
        <v>23</v>
      </c>
      <c r="R2046" t="s">
        <v>2262</v>
      </c>
      <c r="S2046" t="s">
        <v>5813</v>
      </c>
      <c r="T2046" t="s">
        <v>806</v>
      </c>
      <c r="U2046" t="s">
        <v>5322</v>
      </c>
      <c r="W2046">
        <v>18</v>
      </c>
      <c r="X2046">
        <v>18</v>
      </c>
      <c r="Y2046" t="s">
        <v>808</v>
      </c>
      <c r="Z2046" t="s">
        <v>792</v>
      </c>
      <c r="AB2046" t="s">
        <v>793</v>
      </c>
      <c r="AD2046" t="s">
        <v>794</v>
      </c>
      <c r="AE2046" t="s">
        <v>1119</v>
      </c>
      <c r="AF2046" t="s">
        <v>845</v>
      </c>
      <c r="AG2046" t="s">
        <v>797</v>
      </c>
      <c r="AH2046">
        <v>1577027</v>
      </c>
      <c r="AI2046">
        <v>1577027</v>
      </c>
      <c r="AJ2046">
        <v>7.5350899440958866E-2</v>
      </c>
    </row>
    <row r="2047" spans="1:36" x14ac:dyDescent="0.3">
      <c r="A2047">
        <f>COUNTIF($D$2:D2047,D2047)</f>
        <v>1</v>
      </c>
      <c r="B2047" t="str">
        <f t="shared" si="125"/>
        <v>1Southwark</v>
      </c>
      <c r="C2047" t="s">
        <v>5815</v>
      </c>
      <c r="D2047" t="s">
        <v>297</v>
      </c>
      <c r="E2047">
        <v>2</v>
      </c>
      <c r="F2047" t="s">
        <v>5816</v>
      </c>
      <c r="G2047" t="s">
        <v>787</v>
      </c>
      <c r="H2047" t="s">
        <v>1688</v>
      </c>
      <c r="I2047" t="s">
        <v>789</v>
      </c>
      <c r="J2047">
        <f t="shared" ca="1" si="126"/>
        <v>5044499</v>
      </c>
      <c r="K2047">
        <f t="shared" ca="1" si="127"/>
        <v>2100</v>
      </c>
      <c r="N2047" t="str">
        <f t="shared" si="124"/>
        <v>Salford23Residential CareResidential PlacementsLearning disability</v>
      </c>
      <c r="O2047" t="s">
        <v>273</v>
      </c>
      <c r="P2047" t="s">
        <v>1201</v>
      </c>
      <c r="Q2047">
        <v>23</v>
      </c>
      <c r="R2047" t="s">
        <v>2262</v>
      </c>
      <c r="S2047" t="s">
        <v>5813</v>
      </c>
      <c r="T2047" t="s">
        <v>806</v>
      </c>
      <c r="U2047" t="s">
        <v>854</v>
      </c>
      <c r="W2047">
        <v>26</v>
      </c>
      <c r="X2047">
        <v>26</v>
      </c>
      <c r="Y2047" t="s">
        <v>808</v>
      </c>
      <c r="Z2047" t="s">
        <v>792</v>
      </c>
      <c r="AB2047" t="s">
        <v>793</v>
      </c>
      <c r="AD2047" t="s">
        <v>794</v>
      </c>
      <c r="AE2047" t="s">
        <v>1119</v>
      </c>
      <c r="AF2047" t="s">
        <v>1029</v>
      </c>
      <c r="AG2047" t="s">
        <v>797</v>
      </c>
      <c r="AH2047">
        <v>2314461</v>
      </c>
      <c r="AI2047">
        <v>2314461</v>
      </c>
      <c r="AJ2047">
        <v>7.5350899440958866E-2</v>
      </c>
    </row>
    <row r="2048" spans="1:36" x14ac:dyDescent="0.3">
      <c r="A2048">
        <f>COUNTIF($D$2:D2048,D2048)</f>
        <v>2</v>
      </c>
      <c r="B2048" t="str">
        <f t="shared" si="125"/>
        <v>2Southwark</v>
      </c>
      <c r="C2048" t="s">
        <v>5817</v>
      </c>
      <c r="D2048" t="s">
        <v>297</v>
      </c>
      <c r="E2048">
        <v>14</v>
      </c>
      <c r="F2048" t="s">
        <v>1881</v>
      </c>
      <c r="G2048" t="s">
        <v>800</v>
      </c>
      <c r="H2048" t="s">
        <v>903</v>
      </c>
      <c r="I2048" t="s">
        <v>802</v>
      </c>
      <c r="J2048">
        <f t="shared" ca="1" si="126"/>
        <v>1200520</v>
      </c>
      <c r="K2048">
        <f t="shared" ca="1" si="127"/>
        <v>2862</v>
      </c>
      <c r="N2048" t="str">
        <f t="shared" si="124"/>
        <v>Salford23Residential CareResidential PlacementsCare home</v>
      </c>
      <c r="O2048" t="s">
        <v>273</v>
      </c>
      <c r="P2048" t="s">
        <v>1201</v>
      </c>
      <c r="Q2048">
        <v>23</v>
      </c>
      <c r="R2048" t="s">
        <v>2262</v>
      </c>
      <c r="S2048" t="s">
        <v>5818</v>
      </c>
      <c r="T2048" t="s">
        <v>806</v>
      </c>
      <c r="U2048" t="s">
        <v>807</v>
      </c>
      <c r="W2048">
        <v>1527</v>
      </c>
      <c r="X2048">
        <v>1527</v>
      </c>
      <c r="Y2048" t="s">
        <v>808</v>
      </c>
      <c r="Z2048" t="s">
        <v>792</v>
      </c>
      <c r="AB2048" t="s">
        <v>793</v>
      </c>
      <c r="AD2048" t="s">
        <v>794</v>
      </c>
      <c r="AE2048" t="s">
        <v>1119</v>
      </c>
      <c r="AF2048" t="s">
        <v>1029</v>
      </c>
      <c r="AG2048" t="s">
        <v>797</v>
      </c>
      <c r="AH2048">
        <v>5872969</v>
      </c>
      <c r="AI2048">
        <v>5872969</v>
      </c>
      <c r="AJ2048">
        <v>7.5350899440958866E-2</v>
      </c>
    </row>
    <row r="2049" spans="1:36" x14ac:dyDescent="0.3">
      <c r="A2049">
        <f>COUNTIF($D$2:D2049,D2049)</f>
        <v>3</v>
      </c>
      <c r="B2049" t="str">
        <f t="shared" si="125"/>
        <v>3Southwark</v>
      </c>
      <c r="C2049" t="s">
        <v>5819</v>
      </c>
      <c r="D2049" t="s">
        <v>297</v>
      </c>
      <c r="E2049">
        <v>15</v>
      </c>
      <c r="F2049" t="s">
        <v>1881</v>
      </c>
      <c r="G2049" t="s">
        <v>800</v>
      </c>
      <c r="H2049" t="s">
        <v>903</v>
      </c>
      <c r="I2049" t="s">
        <v>802</v>
      </c>
      <c r="J2049">
        <f t="shared" ca="1" si="126"/>
        <v>296427</v>
      </c>
      <c r="K2049">
        <f t="shared" ca="1" si="127"/>
        <v>807</v>
      </c>
      <c r="N2049" t="str">
        <f t="shared" si="124"/>
        <v>Salford23Residential CareResidential PlacementsSupported housing</v>
      </c>
      <c r="O2049" t="s">
        <v>273</v>
      </c>
      <c r="P2049" t="s">
        <v>1201</v>
      </c>
      <c r="Q2049">
        <v>23</v>
      </c>
      <c r="R2049" t="s">
        <v>2262</v>
      </c>
      <c r="S2049" t="s">
        <v>5820</v>
      </c>
      <c r="T2049" t="s">
        <v>806</v>
      </c>
      <c r="U2049" t="s">
        <v>873</v>
      </c>
      <c r="W2049">
        <v>14</v>
      </c>
      <c r="X2049">
        <v>14</v>
      </c>
      <c r="Y2049" t="s">
        <v>808</v>
      </c>
      <c r="Z2049" t="s">
        <v>792</v>
      </c>
      <c r="AB2049" t="s">
        <v>793</v>
      </c>
      <c r="AD2049" t="s">
        <v>794</v>
      </c>
      <c r="AE2049" t="s">
        <v>1119</v>
      </c>
      <c r="AF2049" t="s">
        <v>1029</v>
      </c>
      <c r="AG2049" t="s">
        <v>797</v>
      </c>
      <c r="AH2049">
        <v>398298</v>
      </c>
      <c r="AI2049">
        <v>398298</v>
      </c>
      <c r="AJ2049">
        <v>7.5350899440958866E-2</v>
      </c>
    </row>
    <row r="2050" spans="1:36" x14ac:dyDescent="0.3">
      <c r="A2050">
        <f>COUNTIF($D$2:D2050,D2050)</f>
        <v>4</v>
      </c>
      <c r="B2050" t="str">
        <f t="shared" si="125"/>
        <v>4Southwark</v>
      </c>
      <c r="C2050" t="s">
        <v>5821</v>
      </c>
      <c r="D2050" t="s">
        <v>297</v>
      </c>
      <c r="E2050">
        <v>18</v>
      </c>
      <c r="F2050" t="s">
        <v>5822</v>
      </c>
      <c r="G2050" t="s">
        <v>842</v>
      </c>
      <c r="H2050" t="s">
        <v>843</v>
      </c>
      <c r="I2050" t="s">
        <v>844</v>
      </c>
      <c r="J2050">
        <f t="shared" ca="1" si="126"/>
        <v>2114000</v>
      </c>
      <c r="K2050">
        <f t="shared" ca="1" si="127"/>
        <v>107309</v>
      </c>
      <c r="N2050" t="str">
        <f t="shared" ref="N2050:N2113" si="128">O2050&amp;Q2050&amp;R2050&amp;T2050&amp;U2050</f>
        <v>Salford23Residential CareResidential PlacementsSupported housing</v>
      </c>
      <c r="O2050" t="s">
        <v>273</v>
      </c>
      <c r="P2050" t="s">
        <v>1201</v>
      </c>
      <c r="Q2050">
        <v>23</v>
      </c>
      <c r="R2050" t="s">
        <v>2262</v>
      </c>
      <c r="S2050" t="s">
        <v>5823</v>
      </c>
      <c r="T2050" t="s">
        <v>806</v>
      </c>
      <c r="U2050" t="s">
        <v>873</v>
      </c>
      <c r="W2050">
        <v>343</v>
      </c>
      <c r="X2050">
        <v>343</v>
      </c>
      <c r="Y2050" t="s">
        <v>808</v>
      </c>
      <c r="Z2050" t="s">
        <v>792</v>
      </c>
      <c r="AB2050" t="s">
        <v>793</v>
      </c>
      <c r="AD2050" t="s">
        <v>794</v>
      </c>
      <c r="AE2050" t="s">
        <v>1119</v>
      </c>
      <c r="AF2050" t="s">
        <v>1029</v>
      </c>
      <c r="AG2050" t="s">
        <v>797</v>
      </c>
      <c r="AH2050">
        <v>9848767</v>
      </c>
      <c r="AI2050">
        <v>9848767</v>
      </c>
      <c r="AJ2050">
        <v>7.5350899440958866E-2</v>
      </c>
    </row>
    <row r="2051" spans="1:36" x14ac:dyDescent="0.3">
      <c r="A2051">
        <f>COUNTIF($D$2:D2051,D2051)</f>
        <v>5</v>
      </c>
      <c r="B2051" t="str">
        <f t="shared" ref="B2051:B2114" si="129">A2051&amp;D2051</f>
        <v>5Southwark</v>
      </c>
      <c r="C2051" t="s">
        <v>5824</v>
      </c>
      <c r="D2051" t="s">
        <v>297</v>
      </c>
      <c r="E2051">
        <v>19</v>
      </c>
      <c r="F2051" t="s">
        <v>5825</v>
      </c>
      <c r="G2051" t="s">
        <v>806</v>
      </c>
      <c r="H2051" t="s">
        <v>807</v>
      </c>
      <c r="I2051" t="s">
        <v>808</v>
      </c>
      <c r="J2051">
        <f t="shared" ref="J2051:J2114" ca="1" si="130">SUMIF($N:$AI,C2051,AH:AH)</f>
        <v>2691938.5061123762</v>
      </c>
      <c r="K2051">
        <f t="shared" ref="K2051:K2114" ca="1" si="131">SUMIF($N:$AI,C2051,W:W)</f>
        <v>55</v>
      </c>
      <c r="N2051" t="str">
        <f t="shared" si="128"/>
        <v>Salford23Residential CareResidential PlacementsOther</v>
      </c>
      <c r="O2051" t="s">
        <v>273</v>
      </c>
      <c r="P2051" t="s">
        <v>1201</v>
      </c>
      <c r="Q2051">
        <v>23</v>
      </c>
      <c r="R2051" t="s">
        <v>2262</v>
      </c>
      <c r="S2051" t="s">
        <v>5826</v>
      </c>
      <c r="T2051" t="s">
        <v>806</v>
      </c>
      <c r="U2051" t="s">
        <v>812</v>
      </c>
      <c r="V2051" t="s">
        <v>5827</v>
      </c>
      <c r="W2051">
        <v>69</v>
      </c>
      <c r="X2051">
        <v>69</v>
      </c>
      <c r="Y2051" t="s">
        <v>808</v>
      </c>
      <c r="Z2051" t="s">
        <v>792</v>
      </c>
      <c r="AB2051" t="s">
        <v>793</v>
      </c>
      <c r="AD2051" t="s">
        <v>794</v>
      </c>
      <c r="AE2051" t="s">
        <v>1119</v>
      </c>
      <c r="AF2051" t="s">
        <v>1029</v>
      </c>
      <c r="AG2051" t="s">
        <v>797</v>
      </c>
      <c r="AH2051">
        <v>4376376</v>
      </c>
      <c r="AI2051">
        <v>4376376</v>
      </c>
      <c r="AJ2051">
        <v>7.5350899440958866E-2</v>
      </c>
    </row>
    <row r="2052" spans="1:36" x14ac:dyDescent="0.3">
      <c r="A2052">
        <f>COUNTIF($D$2:D2052,D2052)</f>
        <v>6</v>
      </c>
      <c r="B2052" t="str">
        <f t="shared" si="129"/>
        <v>6Southwark</v>
      </c>
      <c r="C2052" t="s">
        <v>5828</v>
      </c>
      <c r="D2052" t="s">
        <v>297</v>
      </c>
      <c r="E2052">
        <v>20</v>
      </c>
      <c r="F2052" t="s">
        <v>5829</v>
      </c>
      <c r="G2052" t="s">
        <v>806</v>
      </c>
      <c r="H2052" t="s">
        <v>807</v>
      </c>
      <c r="I2052" t="s">
        <v>808</v>
      </c>
      <c r="J2052">
        <f t="shared" ca="1" si="130"/>
        <v>2254876.6</v>
      </c>
      <c r="K2052">
        <f t="shared" ca="1" si="131"/>
        <v>48</v>
      </c>
      <c r="N2052" t="str">
        <f t="shared" si="128"/>
        <v>Salford23Residential CareResidential PlacementsOther</v>
      </c>
      <c r="O2052" t="s">
        <v>273</v>
      </c>
      <c r="P2052" t="s">
        <v>1201</v>
      </c>
      <c r="Q2052">
        <v>23</v>
      </c>
      <c r="R2052" t="s">
        <v>2262</v>
      </c>
      <c r="S2052" t="s">
        <v>5826</v>
      </c>
      <c r="T2052" t="s">
        <v>806</v>
      </c>
      <c r="U2052" t="s">
        <v>812</v>
      </c>
      <c r="V2052" t="s">
        <v>5827</v>
      </c>
      <c r="W2052">
        <v>8</v>
      </c>
      <c r="X2052">
        <v>8</v>
      </c>
      <c r="Y2052" t="s">
        <v>808</v>
      </c>
      <c r="Z2052" t="s">
        <v>792</v>
      </c>
      <c r="AB2052" t="s">
        <v>824</v>
      </c>
      <c r="AD2052" t="s">
        <v>794</v>
      </c>
      <c r="AE2052" t="s">
        <v>1119</v>
      </c>
      <c r="AF2052" t="s">
        <v>796</v>
      </c>
      <c r="AG2052" t="s">
        <v>797</v>
      </c>
      <c r="AH2052">
        <v>483280</v>
      </c>
      <c r="AI2052">
        <v>483280</v>
      </c>
      <c r="AJ2052">
        <v>7.5350899440958866E-2</v>
      </c>
    </row>
    <row r="2053" spans="1:36" x14ac:dyDescent="0.3">
      <c r="A2053">
        <f>COUNTIF($D$2:D2053,D2053)</f>
        <v>7</v>
      </c>
      <c r="B2053" t="str">
        <f t="shared" si="129"/>
        <v>7Southwark</v>
      </c>
      <c r="C2053" t="s">
        <v>5830</v>
      </c>
      <c r="D2053" t="s">
        <v>297</v>
      </c>
      <c r="E2053">
        <v>21</v>
      </c>
      <c r="F2053" t="s">
        <v>5831</v>
      </c>
      <c r="G2053" t="s">
        <v>806</v>
      </c>
      <c r="H2053" t="s">
        <v>807</v>
      </c>
      <c r="I2053" t="s">
        <v>808</v>
      </c>
      <c r="J2053">
        <f t="shared" ca="1" si="130"/>
        <v>100000</v>
      </c>
      <c r="K2053">
        <f t="shared" ca="1" si="131"/>
        <v>2</v>
      </c>
      <c r="N2053" t="str">
        <f t="shared" si="128"/>
        <v>Salford28Voluntary Sector - Learning DifficultiesCarers ServicesCarer advice and support related to Care Act duties</v>
      </c>
      <c r="O2053" t="s">
        <v>273</v>
      </c>
      <c r="P2053" t="s">
        <v>1201</v>
      </c>
      <c r="Q2053">
        <v>28</v>
      </c>
      <c r="R2053" t="s">
        <v>5327</v>
      </c>
      <c r="S2053" t="s">
        <v>5832</v>
      </c>
      <c r="T2053" t="s">
        <v>811</v>
      </c>
      <c r="U2053" t="s">
        <v>895</v>
      </c>
      <c r="W2053">
        <v>200</v>
      </c>
      <c r="X2053">
        <v>200</v>
      </c>
      <c r="Y2053" t="s">
        <v>813</v>
      </c>
      <c r="Z2053" t="s">
        <v>792</v>
      </c>
      <c r="AB2053" t="s">
        <v>824</v>
      </c>
      <c r="AD2053" t="s">
        <v>794</v>
      </c>
      <c r="AE2053" t="s">
        <v>825</v>
      </c>
      <c r="AF2053" t="s">
        <v>796</v>
      </c>
      <c r="AG2053" t="s">
        <v>797</v>
      </c>
      <c r="AH2053">
        <v>179900</v>
      </c>
      <c r="AI2053">
        <v>179900</v>
      </c>
      <c r="AJ2053">
        <v>1.3574516896593424E-3</v>
      </c>
    </row>
    <row r="2054" spans="1:36" x14ac:dyDescent="0.3">
      <c r="A2054">
        <f>COUNTIF($D$2:D2054,D2054)</f>
        <v>8</v>
      </c>
      <c r="B2054" t="str">
        <f t="shared" si="129"/>
        <v>8Southwark</v>
      </c>
      <c r="C2054" t="s">
        <v>5833</v>
      </c>
      <c r="D2054" t="s">
        <v>297</v>
      </c>
      <c r="E2054">
        <v>26</v>
      </c>
      <c r="F2054" t="s">
        <v>1550</v>
      </c>
      <c r="G2054" t="s">
        <v>787</v>
      </c>
      <c r="H2054" t="s">
        <v>930</v>
      </c>
      <c r="I2054" t="s">
        <v>789</v>
      </c>
      <c r="J2054">
        <f t="shared" ca="1" si="130"/>
        <v>1205816.78</v>
      </c>
      <c r="K2054">
        <f t="shared" ca="1" si="131"/>
        <v>300</v>
      </c>
      <c r="N2054" t="str">
        <f t="shared" si="128"/>
        <v>Salford28Voluntary Sector - Learning DifficultiesCarers ServicesCarer advice and support related to Care Act duties</v>
      </c>
      <c r="O2054" t="s">
        <v>273</v>
      </c>
      <c r="P2054" t="s">
        <v>1201</v>
      </c>
      <c r="Q2054">
        <v>28</v>
      </c>
      <c r="R2054" t="s">
        <v>5327</v>
      </c>
      <c r="S2054" t="s">
        <v>5832</v>
      </c>
      <c r="T2054" t="s">
        <v>811</v>
      </c>
      <c r="U2054" t="s">
        <v>895</v>
      </c>
      <c r="W2054">
        <v>400</v>
      </c>
      <c r="X2054">
        <v>400</v>
      </c>
      <c r="Y2054" t="s">
        <v>813</v>
      </c>
      <c r="Z2054" t="s">
        <v>792</v>
      </c>
      <c r="AB2054" t="s">
        <v>793</v>
      </c>
      <c r="AD2054" t="s">
        <v>794</v>
      </c>
      <c r="AE2054" t="s">
        <v>825</v>
      </c>
      <c r="AF2054" t="s">
        <v>1029</v>
      </c>
      <c r="AG2054" t="s">
        <v>797</v>
      </c>
      <c r="AH2054">
        <v>268156</v>
      </c>
      <c r="AI2054">
        <v>268156</v>
      </c>
      <c r="AJ2054">
        <v>1.3574516896593424E-3</v>
      </c>
    </row>
    <row r="2055" spans="1:36" x14ac:dyDescent="0.3">
      <c r="A2055">
        <f>COUNTIF($D$2:D2055,D2055)</f>
        <v>9</v>
      </c>
      <c r="B2055" t="str">
        <f t="shared" si="129"/>
        <v>9Southwark</v>
      </c>
      <c r="C2055" t="s">
        <v>5834</v>
      </c>
      <c r="D2055" t="s">
        <v>297</v>
      </c>
      <c r="E2055">
        <v>27</v>
      </c>
      <c r="F2055" t="s">
        <v>5835</v>
      </c>
      <c r="G2055" t="s">
        <v>842</v>
      </c>
      <c r="H2055" t="s">
        <v>856</v>
      </c>
      <c r="I2055" t="s">
        <v>844</v>
      </c>
      <c r="J2055">
        <f t="shared" ca="1" si="130"/>
        <v>241000</v>
      </c>
      <c r="K2055">
        <f t="shared" ca="1" si="131"/>
        <v>13000</v>
      </c>
      <c r="N2055" t="str">
        <f t="shared" si="128"/>
        <v>Salford12Discharge FundHome Care or Domiciliary CareDomiciliary care workforce development</v>
      </c>
      <c r="O2055" t="s">
        <v>273</v>
      </c>
      <c r="P2055" t="s">
        <v>1201</v>
      </c>
      <c r="Q2055">
        <v>12</v>
      </c>
      <c r="R2055" t="s">
        <v>1143</v>
      </c>
      <c r="S2055" t="s">
        <v>5836</v>
      </c>
      <c r="T2055" t="s">
        <v>842</v>
      </c>
      <c r="U2055" t="s">
        <v>1594</v>
      </c>
      <c r="W2055">
        <v>200</v>
      </c>
      <c r="X2055">
        <v>200</v>
      </c>
      <c r="Y2055" t="s">
        <v>844</v>
      </c>
      <c r="Z2055" t="s">
        <v>792</v>
      </c>
      <c r="AB2055" t="s">
        <v>793</v>
      </c>
      <c r="AD2055" t="s">
        <v>794</v>
      </c>
      <c r="AE2055" t="s">
        <v>1119</v>
      </c>
      <c r="AF2055" t="s">
        <v>864</v>
      </c>
      <c r="AG2055" t="s">
        <v>797</v>
      </c>
      <c r="AH2055">
        <v>260000</v>
      </c>
      <c r="AI2055">
        <v>260000</v>
      </c>
      <c r="AJ2055">
        <v>1.1402096119108042E-2</v>
      </c>
    </row>
    <row r="2056" spans="1:36" x14ac:dyDescent="0.3">
      <c r="A2056">
        <f>COUNTIF($D$2:D2056,D2056)</f>
        <v>10</v>
      </c>
      <c r="B2056" t="str">
        <f t="shared" si="129"/>
        <v>10Southwark</v>
      </c>
      <c r="C2056" t="s">
        <v>5837</v>
      </c>
      <c r="D2056" t="s">
        <v>297</v>
      </c>
      <c r="E2056">
        <v>28</v>
      </c>
      <c r="F2056" t="s">
        <v>3699</v>
      </c>
      <c r="G2056" t="s">
        <v>787</v>
      </c>
      <c r="H2056" t="s">
        <v>930</v>
      </c>
      <c r="I2056" t="s">
        <v>789</v>
      </c>
      <c r="J2056">
        <f t="shared" ca="1" si="130"/>
        <v>2033574.9</v>
      </c>
      <c r="K2056">
        <f t="shared" ca="1" si="131"/>
        <v>525</v>
      </c>
      <c r="N2056" t="str">
        <f t="shared" si="128"/>
        <v>Salford12Discharge FundHome Care or Domiciliary CareDomiciliary care to support hospital discharge (Discharge to Assess pathway 1)</v>
      </c>
      <c r="O2056" t="s">
        <v>273</v>
      </c>
      <c r="P2056" t="s">
        <v>1201</v>
      </c>
      <c r="Q2056">
        <v>12</v>
      </c>
      <c r="R2056" t="s">
        <v>1143</v>
      </c>
      <c r="S2056" t="s">
        <v>5838</v>
      </c>
      <c r="T2056" t="s">
        <v>842</v>
      </c>
      <c r="U2056" t="s">
        <v>856</v>
      </c>
      <c r="W2056">
        <v>770</v>
      </c>
      <c r="X2056">
        <v>770</v>
      </c>
      <c r="Y2056" t="s">
        <v>844</v>
      </c>
      <c r="Z2056" t="s">
        <v>792</v>
      </c>
      <c r="AB2056" t="s">
        <v>793</v>
      </c>
      <c r="AD2056" t="s">
        <v>794</v>
      </c>
      <c r="AE2056" t="s">
        <v>1119</v>
      </c>
      <c r="AF2056" t="s">
        <v>864</v>
      </c>
      <c r="AG2056" t="s">
        <v>861</v>
      </c>
      <c r="AH2056">
        <v>1000000</v>
      </c>
      <c r="AI2056">
        <v>1000000</v>
      </c>
      <c r="AJ2056">
        <v>1.1402096119108042E-2</v>
      </c>
    </row>
    <row r="2057" spans="1:36" x14ac:dyDescent="0.3">
      <c r="A2057">
        <f>COUNTIF($D$2:D2057,D2057)</f>
        <v>11</v>
      </c>
      <c r="B2057" t="str">
        <f t="shared" si="129"/>
        <v>11Southwark</v>
      </c>
      <c r="C2057" t="s">
        <v>5839</v>
      </c>
      <c r="D2057" t="s">
        <v>297</v>
      </c>
      <c r="E2057">
        <v>40</v>
      </c>
      <c r="F2057" t="s">
        <v>5840</v>
      </c>
      <c r="G2057" t="s">
        <v>811</v>
      </c>
      <c r="H2057" t="s">
        <v>830</v>
      </c>
      <c r="I2057" t="s">
        <v>813</v>
      </c>
      <c r="J2057">
        <f t="shared" ca="1" si="130"/>
        <v>450000</v>
      </c>
      <c r="K2057">
        <f t="shared" ca="1" si="131"/>
        <v>125</v>
      </c>
      <c r="N2057" t="str">
        <f t="shared" si="128"/>
        <v>Salford12Discharge FundBed based intermediate Care Services (Reablement, rehabilitation, wider short-term services supporting recovery)Bed-based intermediate care with rehabilitation (to support discharge)</v>
      </c>
      <c r="O2057" t="s">
        <v>273</v>
      </c>
      <c r="P2057" t="s">
        <v>1201</v>
      </c>
      <c r="Q2057">
        <v>12</v>
      </c>
      <c r="R2057" t="s">
        <v>1143</v>
      </c>
      <c r="S2057" t="s">
        <v>5841</v>
      </c>
      <c r="T2057" t="s">
        <v>877</v>
      </c>
      <c r="U2057" t="s">
        <v>968</v>
      </c>
      <c r="V2057" t="s">
        <v>5842</v>
      </c>
      <c r="W2057">
        <v>20</v>
      </c>
      <c r="X2057">
        <v>20</v>
      </c>
      <c r="Y2057" t="s">
        <v>879</v>
      </c>
      <c r="Z2057" t="s">
        <v>792</v>
      </c>
      <c r="AB2057" t="s">
        <v>824</v>
      </c>
      <c r="AD2057" t="s">
        <v>794</v>
      </c>
      <c r="AE2057" t="s">
        <v>1107</v>
      </c>
      <c r="AF2057" t="s">
        <v>860</v>
      </c>
      <c r="AG2057" t="s">
        <v>797</v>
      </c>
      <c r="AH2057">
        <v>88106</v>
      </c>
      <c r="AI2057">
        <v>88106</v>
      </c>
      <c r="AJ2057">
        <v>1.1402096119108042E-2</v>
      </c>
    </row>
    <row r="2058" spans="1:36" x14ac:dyDescent="0.3">
      <c r="A2058">
        <f>COUNTIF($D$2:D2058,D2058)</f>
        <v>12</v>
      </c>
      <c r="B2058" t="str">
        <f t="shared" si="129"/>
        <v>12Southwark</v>
      </c>
      <c r="C2058" t="s">
        <v>5843</v>
      </c>
      <c r="D2058" t="s">
        <v>297</v>
      </c>
      <c r="E2058">
        <v>41</v>
      </c>
      <c r="F2058" t="s">
        <v>5844</v>
      </c>
      <c r="G2058" t="s">
        <v>811</v>
      </c>
      <c r="H2058" t="s">
        <v>830</v>
      </c>
      <c r="I2058" t="s">
        <v>813</v>
      </c>
      <c r="J2058">
        <f t="shared" ca="1" si="130"/>
        <v>100000</v>
      </c>
      <c r="K2058">
        <f t="shared" ca="1" si="131"/>
        <v>30</v>
      </c>
      <c r="N2058" t="str">
        <f t="shared" si="128"/>
        <v>Sandwell2Falls PreventionHome-based intermediate care servicesReablement at home (to prevent admission to hospital or residential care)</v>
      </c>
      <c r="O2058" t="s">
        <v>275</v>
      </c>
      <c r="P2058" t="s">
        <v>1172</v>
      </c>
      <c r="Q2058">
        <v>2</v>
      </c>
      <c r="R2058" t="s">
        <v>5334</v>
      </c>
      <c r="S2058" t="s">
        <v>5845</v>
      </c>
      <c r="T2058" t="s">
        <v>787</v>
      </c>
      <c r="U2058" t="s">
        <v>886</v>
      </c>
      <c r="W2058">
        <v>300</v>
      </c>
      <c r="X2058">
        <v>300</v>
      </c>
      <c r="Y2058" t="s">
        <v>789</v>
      </c>
      <c r="Z2058" t="s">
        <v>792</v>
      </c>
      <c r="AB2058" t="s">
        <v>824</v>
      </c>
      <c r="AD2058" t="s">
        <v>794</v>
      </c>
      <c r="AE2058" t="s">
        <v>825</v>
      </c>
      <c r="AF2058" t="s">
        <v>796</v>
      </c>
      <c r="AG2058" t="s">
        <v>797</v>
      </c>
      <c r="AH2058">
        <v>80000</v>
      </c>
      <c r="AI2058">
        <v>80000</v>
      </c>
      <c r="AJ2058">
        <v>1.1600805774567894E-3</v>
      </c>
    </row>
    <row r="2059" spans="1:36" x14ac:dyDescent="0.3">
      <c r="A2059">
        <f>COUNTIF($D$2:D2059,D2059)</f>
        <v>13</v>
      </c>
      <c r="B2059" t="str">
        <f t="shared" si="129"/>
        <v>13Southwark</v>
      </c>
      <c r="C2059" t="s">
        <v>5846</v>
      </c>
      <c r="D2059" t="s">
        <v>297</v>
      </c>
      <c r="E2059">
        <v>42</v>
      </c>
      <c r="F2059" t="s">
        <v>1051</v>
      </c>
      <c r="G2059" t="s">
        <v>800</v>
      </c>
      <c r="H2059" t="s">
        <v>903</v>
      </c>
      <c r="I2059" t="s">
        <v>802</v>
      </c>
      <c r="J2059">
        <f t="shared" ca="1" si="130"/>
        <v>562000</v>
      </c>
      <c r="K2059">
        <f t="shared" ca="1" si="131"/>
        <v>250</v>
      </c>
      <c r="N2059" t="str">
        <f t="shared" si="128"/>
        <v>Sandwell3Independent Living Team - PreventionAssistive Technologies and EquipmentCommunity based equipment</v>
      </c>
      <c r="O2059" t="s">
        <v>275</v>
      </c>
      <c r="P2059" t="s">
        <v>1172</v>
      </c>
      <c r="Q2059">
        <v>3</v>
      </c>
      <c r="R2059" t="s">
        <v>5337</v>
      </c>
      <c r="S2059" t="s">
        <v>5847</v>
      </c>
      <c r="T2059" t="s">
        <v>800</v>
      </c>
      <c r="U2059" t="s">
        <v>903</v>
      </c>
      <c r="W2059">
        <v>5500</v>
      </c>
      <c r="X2059">
        <v>5500</v>
      </c>
      <c r="Y2059" t="s">
        <v>802</v>
      </c>
      <c r="Z2059" t="s">
        <v>792</v>
      </c>
      <c r="AB2059" t="s">
        <v>793</v>
      </c>
      <c r="AD2059" t="s">
        <v>794</v>
      </c>
      <c r="AE2059" t="s">
        <v>795</v>
      </c>
      <c r="AF2059" t="s">
        <v>796</v>
      </c>
      <c r="AG2059" t="s">
        <v>797</v>
      </c>
      <c r="AH2059">
        <v>3218000</v>
      </c>
      <c r="AI2059">
        <v>3218000</v>
      </c>
      <c r="AJ2059">
        <v>4.666424122819935E-2</v>
      </c>
    </row>
    <row r="2060" spans="1:36" x14ac:dyDescent="0.3">
      <c r="A2060">
        <f>COUNTIF($D$2:D2060,D2060)</f>
        <v>14</v>
      </c>
      <c r="B2060" t="str">
        <f t="shared" si="129"/>
        <v>14Southwark</v>
      </c>
      <c r="C2060" t="s">
        <v>5848</v>
      </c>
      <c r="D2060" t="s">
        <v>297</v>
      </c>
      <c r="E2060">
        <v>43</v>
      </c>
      <c r="F2060" t="s">
        <v>2108</v>
      </c>
      <c r="G2060" t="s">
        <v>800</v>
      </c>
      <c r="H2060" t="s">
        <v>850</v>
      </c>
      <c r="I2060" t="s">
        <v>802</v>
      </c>
      <c r="J2060">
        <f t="shared" ca="1" si="130"/>
        <v>623995</v>
      </c>
      <c r="K2060">
        <f t="shared" ca="1" si="131"/>
        <v>98</v>
      </c>
      <c r="N2060" t="str">
        <f t="shared" si="128"/>
        <v>Sandwell6Carers ProgrammeCarers ServicesCarer advice and support related to Care Act duties</v>
      </c>
      <c r="O2060" t="s">
        <v>275</v>
      </c>
      <c r="P2060" t="s">
        <v>1172</v>
      </c>
      <c r="Q2060">
        <v>6</v>
      </c>
      <c r="R2060" t="s">
        <v>5340</v>
      </c>
      <c r="S2060" t="s">
        <v>5849</v>
      </c>
      <c r="T2060" t="s">
        <v>811</v>
      </c>
      <c r="U2060" t="s">
        <v>895</v>
      </c>
      <c r="W2060">
        <v>772</v>
      </c>
      <c r="X2060">
        <v>772</v>
      </c>
      <c r="Y2060" t="s">
        <v>813</v>
      </c>
      <c r="Z2060" t="s">
        <v>792</v>
      </c>
      <c r="AB2060" t="s">
        <v>793</v>
      </c>
      <c r="AD2060" t="s">
        <v>794</v>
      </c>
      <c r="AE2060" t="s">
        <v>825</v>
      </c>
      <c r="AF2060" t="s">
        <v>796</v>
      </c>
      <c r="AG2060" t="s">
        <v>797</v>
      </c>
      <c r="AH2060">
        <v>460000</v>
      </c>
      <c r="AI2060">
        <v>460000</v>
      </c>
      <c r="AJ2060">
        <v>6.6704633203765384E-3</v>
      </c>
    </row>
    <row r="2061" spans="1:36" x14ac:dyDescent="0.3">
      <c r="A2061">
        <f>COUNTIF($D$2:D2061,D2061)</f>
        <v>15</v>
      </c>
      <c r="B2061" t="str">
        <f t="shared" si="129"/>
        <v>15Southwark</v>
      </c>
      <c r="C2061" t="s">
        <v>5850</v>
      </c>
      <c r="D2061" t="s">
        <v>297</v>
      </c>
      <c r="E2061">
        <v>46</v>
      </c>
      <c r="F2061" t="s">
        <v>5851</v>
      </c>
      <c r="G2061" t="s">
        <v>842</v>
      </c>
      <c r="H2061" t="s">
        <v>843</v>
      </c>
      <c r="I2061" t="s">
        <v>844</v>
      </c>
      <c r="J2061">
        <f t="shared" ca="1" si="130"/>
        <v>10327850</v>
      </c>
      <c r="K2061">
        <f t="shared" ca="1" si="131"/>
        <v>523990</v>
      </c>
      <c r="N2061" t="str">
        <f t="shared" si="128"/>
        <v>Sandwell9Independent Living Team - STARHome-based intermediate care servicesReablement at home (accepting step up and step down users)</v>
      </c>
      <c r="O2061" t="s">
        <v>275</v>
      </c>
      <c r="P2061" t="s">
        <v>1172</v>
      </c>
      <c r="Q2061">
        <v>9</v>
      </c>
      <c r="R2061" t="s">
        <v>5344</v>
      </c>
      <c r="S2061" t="s">
        <v>5852</v>
      </c>
      <c r="T2061" t="s">
        <v>787</v>
      </c>
      <c r="U2061" t="s">
        <v>930</v>
      </c>
      <c r="W2061">
        <v>2900</v>
      </c>
      <c r="X2061">
        <v>2900</v>
      </c>
      <c r="Y2061" t="s">
        <v>789</v>
      </c>
      <c r="Z2061" t="s">
        <v>792</v>
      </c>
      <c r="AB2061" t="s">
        <v>793</v>
      </c>
      <c r="AD2061" t="s">
        <v>794</v>
      </c>
      <c r="AE2061" t="s">
        <v>795</v>
      </c>
      <c r="AF2061" t="s">
        <v>796</v>
      </c>
      <c r="AG2061" t="s">
        <v>797</v>
      </c>
      <c r="AH2061">
        <v>4536000</v>
      </c>
      <c r="AI2061">
        <v>4536000</v>
      </c>
      <c r="AJ2061">
        <v>6.5776568741799948E-2</v>
      </c>
    </row>
    <row r="2062" spans="1:36" x14ac:dyDescent="0.3">
      <c r="A2062">
        <f>COUNTIF($D$2:D2062,D2062)</f>
        <v>16</v>
      </c>
      <c r="B2062" t="str">
        <f t="shared" si="129"/>
        <v>16Southwark</v>
      </c>
      <c r="C2062" t="s">
        <v>5853</v>
      </c>
      <c r="D2062" t="s">
        <v>297</v>
      </c>
      <c r="E2062">
        <v>47</v>
      </c>
      <c r="F2062" t="s">
        <v>5854</v>
      </c>
      <c r="G2062" t="s">
        <v>806</v>
      </c>
      <c r="H2062" t="s">
        <v>917</v>
      </c>
      <c r="I2062" t="s">
        <v>808</v>
      </c>
      <c r="J2062">
        <f t="shared" ca="1" si="130"/>
        <v>4174334</v>
      </c>
      <c r="K2062">
        <f t="shared" ca="1" si="131"/>
        <v>79</v>
      </c>
      <c r="N2062" t="str">
        <f t="shared" si="128"/>
        <v>Sandwell11Reablement FlatsHome-based intermediate care servicesReablement at home (accepting step up and step down users)</v>
      </c>
      <c r="O2062" t="s">
        <v>275</v>
      </c>
      <c r="P2062" t="s">
        <v>1172</v>
      </c>
      <c r="Q2062">
        <v>11</v>
      </c>
      <c r="R2062" t="s">
        <v>5347</v>
      </c>
      <c r="S2062" t="s">
        <v>5855</v>
      </c>
      <c r="T2062" t="s">
        <v>787</v>
      </c>
      <c r="U2062" t="s">
        <v>930</v>
      </c>
      <c r="W2062">
        <v>35</v>
      </c>
      <c r="X2062">
        <v>35</v>
      </c>
      <c r="Y2062" t="s">
        <v>789</v>
      </c>
      <c r="Z2062" t="s">
        <v>792</v>
      </c>
      <c r="AB2062" t="s">
        <v>793</v>
      </c>
      <c r="AD2062" t="s">
        <v>794</v>
      </c>
      <c r="AE2062" t="s">
        <v>795</v>
      </c>
      <c r="AF2062" t="s">
        <v>796</v>
      </c>
      <c r="AG2062" t="s">
        <v>797</v>
      </c>
      <c r="AH2062">
        <v>100000</v>
      </c>
      <c r="AI2062">
        <v>100000</v>
      </c>
      <c r="AJ2062">
        <v>1.4501007218209866E-3</v>
      </c>
    </row>
    <row r="2063" spans="1:36" x14ac:dyDescent="0.3">
      <c r="A2063">
        <f>COUNTIF($D$2:D2063,D2063)</f>
        <v>17</v>
      </c>
      <c r="B2063" t="str">
        <f t="shared" si="129"/>
        <v>17Southwark</v>
      </c>
      <c r="C2063" t="s">
        <v>5856</v>
      </c>
      <c r="D2063" t="s">
        <v>297</v>
      </c>
      <c r="E2063">
        <v>49</v>
      </c>
      <c r="F2063" t="s">
        <v>5857</v>
      </c>
      <c r="G2063" t="s">
        <v>877</v>
      </c>
      <c r="H2063" t="s">
        <v>1259</v>
      </c>
      <c r="I2063" t="s">
        <v>879</v>
      </c>
      <c r="J2063">
        <f t="shared" ca="1" si="130"/>
        <v>999749</v>
      </c>
      <c r="K2063">
        <f t="shared" ca="1" si="131"/>
        <v>151</v>
      </c>
      <c r="N2063" t="str">
        <f t="shared" si="128"/>
        <v>Sandwell15EAB complex dementia bedsResidential PlacementsCare home</v>
      </c>
      <c r="O2063" t="s">
        <v>275</v>
      </c>
      <c r="P2063" t="s">
        <v>1172</v>
      </c>
      <c r="Q2063">
        <v>15</v>
      </c>
      <c r="R2063" t="s">
        <v>5350</v>
      </c>
      <c r="S2063" t="s">
        <v>5858</v>
      </c>
      <c r="T2063" t="s">
        <v>806</v>
      </c>
      <c r="U2063" t="s">
        <v>807</v>
      </c>
      <c r="W2063">
        <v>3</v>
      </c>
      <c r="X2063">
        <v>3</v>
      </c>
      <c r="Y2063" t="s">
        <v>808</v>
      </c>
      <c r="Z2063" t="s">
        <v>792</v>
      </c>
      <c r="AB2063" t="s">
        <v>793</v>
      </c>
      <c r="AD2063" t="s">
        <v>794</v>
      </c>
      <c r="AE2063" t="s">
        <v>804</v>
      </c>
      <c r="AF2063" t="s">
        <v>796</v>
      </c>
      <c r="AG2063" t="s">
        <v>797</v>
      </c>
      <c r="AH2063">
        <v>216000</v>
      </c>
      <c r="AI2063">
        <v>0</v>
      </c>
      <c r="AJ2063">
        <v>1.5661087795666654E-3</v>
      </c>
    </row>
    <row r="2064" spans="1:36" x14ac:dyDescent="0.3">
      <c r="A2064">
        <f>COUNTIF($D$2:D2064,D2064)</f>
        <v>18</v>
      </c>
      <c r="B2064" t="str">
        <f t="shared" si="129"/>
        <v>18Southwark</v>
      </c>
      <c r="C2064" t="s">
        <v>5859</v>
      </c>
      <c r="D2064" t="s">
        <v>297</v>
      </c>
      <c r="E2064">
        <v>50</v>
      </c>
      <c r="F2064" t="s">
        <v>5860</v>
      </c>
      <c r="G2064" t="s">
        <v>806</v>
      </c>
      <c r="H2064" t="s">
        <v>807</v>
      </c>
      <c r="I2064" t="s">
        <v>808</v>
      </c>
      <c r="J2064">
        <f t="shared" ca="1" si="130"/>
        <v>400000</v>
      </c>
      <c r="K2064">
        <f t="shared" ca="1" si="131"/>
        <v>8</v>
      </c>
      <c r="N2064" t="str">
        <f t="shared" si="128"/>
        <v>Sandwell16EAB block contractsResidential PlacementsCare home</v>
      </c>
      <c r="O2064" t="s">
        <v>275</v>
      </c>
      <c r="P2064" t="s">
        <v>1172</v>
      </c>
      <c r="Q2064">
        <v>16</v>
      </c>
      <c r="R2064" t="s">
        <v>5353</v>
      </c>
      <c r="S2064" t="s">
        <v>5858</v>
      </c>
      <c r="T2064" t="s">
        <v>806</v>
      </c>
      <c r="U2064" t="s">
        <v>807</v>
      </c>
      <c r="W2064">
        <v>140</v>
      </c>
      <c r="X2064">
        <v>140</v>
      </c>
      <c r="Y2064" t="s">
        <v>808</v>
      </c>
      <c r="Z2064" t="s">
        <v>792</v>
      </c>
      <c r="AB2064" t="s">
        <v>793</v>
      </c>
      <c r="AD2064" t="s">
        <v>794</v>
      </c>
      <c r="AE2064" t="s">
        <v>804</v>
      </c>
      <c r="AF2064" t="s">
        <v>796</v>
      </c>
      <c r="AG2064" t="s">
        <v>797</v>
      </c>
      <c r="AH2064">
        <v>381000</v>
      </c>
      <c r="AI2064">
        <v>0</v>
      </c>
      <c r="AJ2064">
        <v>2.7624418750689795E-3</v>
      </c>
    </row>
    <row r="2065" spans="1:36" x14ac:dyDescent="0.3">
      <c r="A2065">
        <f>COUNTIF($D$2:D2065,D2065)</f>
        <v>19</v>
      </c>
      <c r="B2065" t="str">
        <f t="shared" si="129"/>
        <v>19Southwark</v>
      </c>
      <c r="C2065" t="s">
        <v>5861</v>
      </c>
      <c r="D2065" t="s">
        <v>297</v>
      </c>
      <c r="E2065">
        <v>51</v>
      </c>
      <c r="F2065" t="s">
        <v>5862</v>
      </c>
      <c r="G2065" t="s">
        <v>806</v>
      </c>
      <c r="H2065" t="s">
        <v>917</v>
      </c>
      <c r="I2065" t="s">
        <v>808</v>
      </c>
      <c r="J2065">
        <f t="shared" ca="1" si="130"/>
        <v>300000</v>
      </c>
      <c r="K2065">
        <f t="shared" ca="1" si="131"/>
        <v>6</v>
      </c>
      <c r="N2065" t="str">
        <f t="shared" si="128"/>
        <v>Sandwell19Community Placements - Dom CareHome Care or Domiciliary CareDomiciliary care packages</v>
      </c>
      <c r="O2065" t="s">
        <v>275</v>
      </c>
      <c r="P2065" t="s">
        <v>1172</v>
      </c>
      <c r="Q2065">
        <v>19</v>
      </c>
      <c r="R2065" t="s">
        <v>5357</v>
      </c>
      <c r="S2065" t="s">
        <v>5863</v>
      </c>
      <c r="T2065" t="s">
        <v>842</v>
      </c>
      <c r="U2065" t="s">
        <v>843</v>
      </c>
      <c r="W2065">
        <v>36393.901680149349</v>
      </c>
      <c r="X2065">
        <v>36393.901680149349</v>
      </c>
      <c r="Y2065" t="s">
        <v>844</v>
      </c>
      <c r="Z2065" t="s">
        <v>792</v>
      </c>
      <c r="AB2065" t="s">
        <v>793</v>
      </c>
      <c r="AD2065" t="s">
        <v>794</v>
      </c>
      <c r="AE2065" t="s">
        <v>804</v>
      </c>
      <c r="AF2065" t="s">
        <v>796</v>
      </c>
      <c r="AG2065" t="s">
        <v>797</v>
      </c>
      <c r="AH2065">
        <v>584850</v>
      </c>
      <c r="AI2065">
        <v>584850</v>
      </c>
      <c r="AJ2065">
        <v>8.4809140715700407E-3</v>
      </c>
    </row>
    <row r="2066" spans="1:36" x14ac:dyDescent="0.3">
      <c r="A2066">
        <f>COUNTIF($D$2:D2066,D2066)</f>
        <v>20</v>
      </c>
      <c r="B2066" t="str">
        <f t="shared" si="129"/>
        <v>20Southwark</v>
      </c>
      <c r="C2066" t="s">
        <v>5864</v>
      </c>
      <c r="D2066" t="s">
        <v>297</v>
      </c>
      <c r="E2066">
        <v>52</v>
      </c>
      <c r="F2066" t="s">
        <v>5865</v>
      </c>
      <c r="G2066" t="s">
        <v>842</v>
      </c>
      <c r="H2066" t="s">
        <v>843</v>
      </c>
      <c r="I2066" t="s">
        <v>844</v>
      </c>
      <c r="J2066">
        <f t="shared" ca="1" si="130"/>
        <v>870648</v>
      </c>
      <c r="K2066">
        <f t="shared" ca="1" si="131"/>
        <v>44420</v>
      </c>
      <c r="N2066" t="str">
        <f t="shared" si="128"/>
        <v>Sandwell20Community Placements - Residential CareResidential PlacementsCare home</v>
      </c>
      <c r="O2066" t="s">
        <v>275</v>
      </c>
      <c r="P2066" t="s">
        <v>1172</v>
      </c>
      <c r="Q2066">
        <v>20</v>
      </c>
      <c r="R2066" t="s">
        <v>5360</v>
      </c>
      <c r="S2066" t="s">
        <v>5866</v>
      </c>
      <c r="T2066" t="s">
        <v>806</v>
      </c>
      <c r="U2066" t="s">
        <v>807</v>
      </c>
      <c r="W2066">
        <v>36.036581672824177</v>
      </c>
      <c r="X2066">
        <v>36.036581672824177</v>
      </c>
      <c r="Y2066" t="s">
        <v>808</v>
      </c>
      <c r="Z2066" t="s">
        <v>792</v>
      </c>
      <c r="AB2066" t="s">
        <v>793</v>
      </c>
      <c r="AD2066" t="s">
        <v>794</v>
      </c>
      <c r="AE2066" t="s">
        <v>804</v>
      </c>
      <c r="AF2066" t="s">
        <v>796</v>
      </c>
      <c r="AG2066" t="s">
        <v>797</v>
      </c>
      <c r="AH2066">
        <v>1499400</v>
      </c>
      <c r="AI2066">
        <v>1499400</v>
      </c>
      <c r="AJ2066">
        <v>2.1742810222983872E-2</v>
      </c>
    </row>
    <row r="2067" spans="1:36" x14ac:dyDescent="0.3">
      <c r="A2067">
        <f>COUNTIF($D$2:D2067,D2067)</f>
        <v>21</v>
      </c>
      <c r="B2067" t="str">
        <f t="shared" si="129"/>
        <v>21Southwark</v>
      </c>
      <c r="C2067" t="s">
        <v>5867</v>
      </c>
      <c r="D2067" t="s">
        <v>297</v>
      </c>
      <c r="E2067">
        <v>53</v>
      </c>
      <c r="F2067" t="s">
        <v>5868</v>
      </c>
      <c r="G2067" t="s">
        <v>806</v>
      </c>
      <c r="H2067" t="s">
        <v>934</v>
      </c>
      <c r="I2067" t="s">
        <v>808</v>
      </c>
      <c r="J2067">
        <f t="shared" ca="1" si="130"/>
        <v>524768</v>
      </c>
      <c r="K2067">
        <f t="shared" ca="1" si="131"/>
        <v>22</v>
      </c>
      <c r="N2067" t="str">
        <f t="shared" si="128"/>
        <v>Sandwell22Community Placements - Nursing HomesResidential PlacementsNursing home</v>
      </c>
      <c r="O2067" t="s">
        <v>275</v>
      </c>
      <c r="P2067" t="s">
        <v>1172</v>
      </c>
      <c r="Q2067">
        <v>22</v>
      </c>
      <c r="R2067" t="s">
        <v>5363</v>
      </c>
      <c r="S2067" t="s">
        <v>5869</v>
      </c>
      <c r="T2067" t="s">
        <v>806</v>
      </c>
      <c r="U2067" t="s">
        <v>917</v>
      </c>
      <c r="W2067">
        <v>32.913276303540002</v>
      </c>
      <c r="X2067">
        <v>32.913276303540002</v>
      </c>
      <c r="Y2067" t="s">
        <v>808</v>
      </c>
      <c r="Z2067" t="s">
        <v>792</v>
      </c>
      <c r="AB2067" t="s">
        <v>793</v>
      </c>
      <c r="AD2067" t="s">
        <v>794</v>
      </c>
      <c r="AE2067" t="s">
        <v>804</v>
      </c>
      <c r="AF2067" t="s">
        <v>796</v>
      </c>
      <c r="AG2067" t="s">
        <v>797</v>
      </c>
      <c r="AH2067">
        <v>1257900</v>
      </c>
      <c r="AI2067">
        <v>1257900</v>
      </c>
      <c r="AJ2067">
        <v>1.824081697978619E-2</v>
      </c>
    </row>
    <row r="2068" spans="1:36" x14ac:dyDescent="0.3">
      <c r="A2068">
        <f>COUNTIF($D$2:D2068,D2068)</f>
        <v>22</v>
      </c>
      <c r="B2068" t="str">
        <f t="shared" si="129"/>
        <v>22Southwark</v>
      </c>
      <c r="C2068" t="s">
        <v>5870</v>
      </c>
      <c r="D2068" t="s">
        <v>297</v>
      </c>
      <c r="E2068">
        <v>54</v>
      </c>
      <c r="F2068" t="s">
        <v>1341</v>
      </c>
      <c r="G2068" t="s">
        <v>834</v>
      </c>
      <c r="H2068" t="s">
        <v>835</v>
      </c>
      <c r="I2068" t="s">
        <v>836</v>
      </c>
      <c r="J2068">
        <f t="shared" ca="1" si="130"/>
        <v>1686144</v>
      </c>
      <c r="K2068">
        <f t="shared" ca="1" si="131"/>
        <v>150</v>
      </c>
      <c r="N2068" t="str">
        <f t="shared" si="128"/>
        <v>Sandwell23Community Placements - Supported LivingResidential PlacementsSupported housing</v>
      </c>
      <c r="O2068" t="s">
        <v>275</v>
      </c>
      <c r="P2068" t="s">
        <v>1172</v>
      </c>
      <c r="Q2068">
        <v>23</v>
      </c>
      <c r="R2068" t="s">
        <v>5366</v>
      </c>
      <c r="S2068" t="s">
        <v>5871</v>
      </c>
      <c r="T2068" t="s">
        <v>806</v>
      </c>
      <c r="U2068" t="s">
        <v>873</v>
      </c>
      <c r="W2068">
        <v>12.04290358558174</v>
      </c>
      <c r="X2068">
        <v>12.04290358558174</v>
      </c>
      <c r="Y2068" t="s">
        <v>808</v>
      </c>
      <c r="Z2068" t="s">
        <v>792</v>
      </c>
      <c r="AB2068" t="s">
        <v>793</v>
      </c>
      <c r="AD2068" t="s">
        <v>794</v>
      </c>
      <c r="AE2068" t="s">
        <v>804</v>
      </c>
      <c r="AF2068" t="s">
        <v>796</v>
      </c>
      <c r="AG2068" t="s">
        <v>797</v>
      </c>
      <c r="AH2068">
        <v>801150</v>
      </c>
      <c r="AI2068">
        <v>801150</v>
      </c>
      <c r="AJ2068">
        <v>1.1617481932868837E-2</v>
      </c>
    </row>
    <row r="2069" spans="1:36" x14ac:dyDescent="0.3">
      <c r="A2069">
        <f>COUNTIF($D$2:D2069,D2069)</f>
        <v>23</v>
      </c>
      <c r="B2069" t="str">
        <f t="shared" si="129"/>
        <v>23Southwark</v>
      </c>
      <c r="C2069" t="s">
        <v>5872</v>
      </c>
      <c r="D2069" t="s">
        <v>297</v>
      </c>
      <c r="E2069">
        <v>55</v>
      </c>
      <c r="F2069" t="s">
        <v>1051</v>
      </c>
      <c r="G2069" t="s">
        <v>800</v>
      </c>
      <c r="H2069" t="s">
        <v>903</v>
      </c>
      <c r="I2069" t="s">
        <v>802</v>
      </c>
      <c r="J2069">
        <f t="shared" ca="1" si="130"/>
        <v>246850</v>
      </c>
      <c r="K2069">
        <f t="shared" ca="1" si="131"/>
        <v>250</v>
      </c>
      <c r="N2069" t="str">
        <f t="shared" si="128"/>
        <v>Sandwell35Community Placements - Dom CareHome Care or Domiciliary CareDomiciliary care packages</v>
      </c>
      <c r="O2069" t="s">
        <v>275</v>
      </c>
      <c r="P2069" t="s">
        <v>1172</v>
      </c>
      <c r="Q2069">
        <v>35</v>
      </c>
      <c r="R2069" t="s">
        <v>5357</v>
      </c>
      <c r="S2069" t="s">
        <v>5863</v>
      </c>
      <c r="T2069" t="s">
        <v>842</v>
      </c>
      <c r="U2069" t="s">
        <v>843</v>
      </c>
      <c r="W2069">
        <v>34660.858742999379</v>
      </c>
      <c r="X2069">
        <v>34660.858742999379</v>
      </c>
      <c r="Y2069" t="s">
        <v>844</v>
      </c>
      <c r="Z2069" t="s">
        <v>792</v>
      </c>
      <c r="AB2069" t="s">
        <v>793</v>
      </c>
      <c r="AD2069" t="s">
        <v>794</v>
      </c>
      <c r="AE2069" t="s">
        <v>804</v>
      </c>
      <c r="AF2069" t="s">
        <v>845</v>
      </c>
      <c r="AG2069" t="s">
        <v>797</v>
      </c>
      <c r="AH2069">
        <v>557000</v>
      </c>
      <c r="AI2069">
        <v>557000</v>
      </c>
      <c r="AJ2069">
        <v>8.0770610205428955E-3</v>
      </c>
    </row>
    <row r="2070" spans="1:36" x14ac:dyDescent="0.3">
      <c r="A2070">
        <f>COUNTIF($D$2:D2070,D2070)</f>
        <v>24</v>
      </c>
      <c r="B2070" t="str">
        <f t="shared" si="129"/>
        <v>24Southwark</v>
      </c>
      <c r="C2070" t="s">
        <v>5873</v>
      </c>
      <c r="D2070" t="s">
        <v>297</v>
      </c>
      <c r="E2070">
        <v>56</v>
      </c>
      <c r="F2070" t="s">
        <v>2108</v>
      </c>
      <c r="G2070" t="s">
        <v>800</v>
      </c>
      <c r="H2070" t="s">
        <v>850</v>
      </c>
      <c r="I2070" t="s">
        <v>802</v>
      </c>
      <c r="J2070">
        <f t="shared" ca="1" si="130"/>
        <v>444626</v>
      </c>
      <c r="K2070">
        <f t="shared" ca="1" si="131"/>
        <v>98</v>
      </c>
      <c r="N2070" t="str">
        <f t="shared" si="128"/>
        <v>Sandwell36Community Placements - Residential CareResidential PlacementsCare home</v>
      </c>
      <c r="O2070" t="s">
        <v>275</v>
      </c>
      <c r="P2070" t="s">
        <v>1172</v>
      </c>
      <c r="Q2070">
        <v>36</v>
      </c>
      <c r="R2070" t="s">
        <v>5360</v>
      </c>
      <c r="S2070" t="s">
        <v>5866</v>
      </c>
      <c r="T2070" t="s">
        <v>806</v>
      </c>
      <c r="U2070" t="s">
        <v>807</v>
      </c>
      <c r="W2070">
        <v>34.320553974118262</v>
      </c>
      <c r="X2070">
        <v>34.320553974118262</v>
      </c>
      <c r="Y2070" t="s">
        <v>808</v>
      </c>
      <c r="Z2070" t="s">
        <v>792</v>
      </c>
      <c r="AB2070" t="s">
        <v>793</v>
      </c>
      <c r="AD2070" t="s">
        <v>794</v>
      </c>
      <c r="AE2070" t="s">
        <v>804</v>
      </c>
      <c r="AF2070" t="s">
        <v>845</v>
      </c>
      <c r="AG2070" t="s">
        <v>797</v>
      </c>
      <c r="AH2070">
        <v>1428000</v>
      </c>
      <c r="AI2070">
        <v>1428000</v>
      </c>
      <c r="AJ2070">
        <v>2.0707438307603687E-2</v>
      </c>
    </row>
    <row r="2071" spans="1:36" x14ac:dyDescent="0.3">
      <c r="A2071">
        <f>COUNTIF($D$2:D2071,D2071)</f>
        <v>25</v>
      </c>
      <c r="B2071" t="str">
        <f t="shared" si="129"/>
        <v>25Southwark</v>
      </c>
      <c r="C2071" t="s">
        <v>5874</v>
      </c>
      <c r="D2071" t="s">
        <v>297</v>
      </c>
      <c r="E2071">
        <v>59</v>
      </c>
      <c r="F2071" t="s">
        <v>5875</v>
      </c>
      <c r="G2071" t="s">
        <v>806</v>
      </c>
      <c r="H2071" t="s">
        <v>917</v>
      </c>
      <c r="I2071" t="s">
        <v>808</v>
      </c>
      <c r="J2071">
        <f t="shared" ca="1" si="130"/>
        <v>713000</v>
      </c>
      <c r="K2071">
        <f t="shared" ca="1" si="131"/>
        <v>22</v>
      </c>
      <c r="N2071" t="str">
        <f t="shared" si="128"/>
        <v>Sandwell38Community Placements - Nursing HomesResidential PlacementsNursing home</v>
      </c>
      <c r="O2071" t="s">
        <v>275</v>
      </c>
      <c r="P2071" t="s">
        <v>1172</v>
      </c>
      <c r="Q2071">
        <v>38</v>
      </c>
      <c r="R2071" t="s">
        <v>5363</v>
      </c>
      <c r="S2071" t="s">
        <v>5869</v>
      </c>
      <c r="T2071" t="s">
        <v>806</v>
      </c>
      <c r="U2071" t="s">
        <v>917</v>
      </c>
      <c r="W2071">
        <v>31.345977431942856</v>
      </c>
      <c r="X2071">
        <v>31.345977431942856</v>
      </c>
      <c r="Y2071" t="s">
        <v>808</v>
      </c>
      <c r="Z2071" t="s">
        <v>792</v>
      </c>
      <c r="AB2071" t="s">
        <v>793</v>
      </c>
      <c r="AD2071" t="s">
        <v>794</v>
      </c>
      <c r="AE2071" t="s">
        <v>804</v>
      </c>
      <c r="AF2071" t="s">
        <v>845</v>
      </c>
      <c r="AG2071" t="s">
        <v>797</v>
      </c>
      <c r="AH2071">
        <v>1198000</v>
      </c>
      <c r="AI2071">
        <v>1198000</v>
      </c>
      <c r="AJ2071">
        <v>1.7372206647415421E-2</v>
      </c>
    </row>
    <row r="2072" spans="1:36" x14ac:dyDescent="0.3">
      <c r="A2072">
        <f>COUNTIF($D$2:D2072,D2072)</f>
        <v>26</v>
      </c>
      <c r="B2072" t="str">
        <f t="shared" si="129"/>
        <v>26Southwark</v>
      </c>
      <c r="C2072" t="s">
        <v>5876</v>
      </c>
      <c r="D2072" t="s">
        <v>297</v>
      </c>
      <c r="E2072">
        <v>60</v>
      </c>
      <c r="F2072" t="s">
        <v>5877</v>
      </c>
      <c r="G2072" t="s">
        <v>787</v>
      </c>
      <c r="H2072" t="s">
        <v>788</v>
      </c>
      <c r="I2072" t="s">
        <v>789</v>
      </c>
      <c r="J2072">
        <f t="shared" ca="1" si="130"/>
        <v>200000</v>
      </c>
      <c r="K2072">
        <f t="shared" ca="1" si="131"/>
        <v>44</v>
      </c>
      <c r="N2072" t="str">
        <f t="shared" si="128"/>
        <v>Sandwell39Community Placements - Supported LivingResidential PlacementsSupported housing</v>
      </c>
      <c r="O2072" t="s">
        <v>275</v>
      </c>
      <c r="P2072" t="s">
        <v>1172</v>
      </c>
      <c r="Q2072">
        <v>39</v>
      </c>
      <c r="R2072" t="s">
        <v>5366</v>
      </c>
      <c r="S2072" t="s">
        <v>5871</v>
      </c>
      <c r="T2072" t="s">
        <v>806</v>
      </c>
      <c r="U2072" t="s">
        <v>873</v>
      </c>
      <c r="W2072">
        <v>11.459419387415185</v>
      </c>
      <c r="X2072">
        <v>11.459419387415185</v>
      </c>
      <c r="Y2072" t="s">
        <v>808</v>
      </c>
      <c r="Z2072" t="s">
        <v>792</v>
      </c>
      <c r="AB2072" t="s">
        <v>793</v>
      </c>
      <c r="AD2072" t="s">
        <v>794</v>
      </c>
      <c r="AE2072" t="s">
        <v>804</v>
      </c>
      <c r="AF2072" t="s">
        <v>845</v>
      </c>
      <c r="AG2072" t="s">
        <v>797</v>
      </c>
      <c r="AH2072">
        <v>763000</v>
      </c>
      <c r="AI2072">
        <v>763000</v>
      </c>
      <c r="AJ2072">
        <v>1.1064268507494129E-2</v>
      </c>
    </row>
    <row r="2073" spans="1:36" x14ac:dyDescent="0.3">
      <c r="A2073">
        <f>COUNTIF($D$2:D2073,D2073)</f>
        <v>27</v>
      </c>
      <c r="B2073" t="str">
        <f t="shared" si="129"/>
        <v>27Southwark</v>
      </c>
      <c r="C2073" t="s">
        <v>5878</v>
      </c>
      <c r="D2073" t="s">
        <v>297</v>
      </c>
      <c r="E2073">
        <v>61</v>
      </c>
      <c r="F2073" t="s">
        <v>5879</v>
      </c>
      <c r="G2073" t="s">
        <v>842</v>
      </c>
      <c r="H2073" t="s">
        <v>843</v>
      </c>
      <c r="I2073" t="s">
        <v>844</v>
      </c>
      <c r="J2073">
        <f t="shared" ca="1" si="130"/>
        <v>220673</v>
      </c>
      <c r="K2073">
        <f t="shared" ca="1" si="131"/>
        <v>9238</v>
      </c>
      <c r="N2073" t="str">
        <f t="shared" si="128"/>
        <v>Sandwell40Early Supported DischargeHome Care or Domiciliary CareDomiciliary care to support hospital discharge (Discharge to Assess pathway 1)</v>
      </c>
      <c r="O2073" t="s">
        <v>275</v>
      </c>
      <c r="P2073" t="s">
        <v>1172</v>
      </c>
      <c r="Q2073">
        <v>40</v>
      </c>
      <c r="R2073" t="s">
        <v>5377</v>
      </c>
      <c r="S2073" t="s">
        <v>5880</v>
      </c>
      <c r="T2073" t="s">
        <v>842</v>
      </c>
      <c r="U2073" t="s">
        <v>856</v>
      </c>
      <c r="W2073">
        <v>65820</v>
      </c>
      <c r="X2073">
        <v>65820</v>
      </c>
      <c r="Y2073" t="s">
        <v>844</v>
      </c>
      <c r="Z2073" t="s">
        <v>792</v>
      </c>
      <c r="AB2073" t="s">
        <v>793</v>
      </c>
      <c r="AD2073" t="s">
        <v>794</v>
      </c>
      <c r="AE2073" t="s">
        <v>804</v>
      </c>
      <c r="AF2073" t="s">
        <v>845</v>
      </c>
      <c r="AG2073" t="s">
        <v>797</v>
      </c>
      <c r="AH2073">
        <v>1097000</v>
      </c>
      <c r="AI2073">
        <v>1097000</v>
      </c>
      <c r="AJ2073">
        <v>1.5907604918376225E-2</v>
      </c>
    </row>
    <row r="2074" spans="1:36" x14ac:dyDescent="0.3">
      <c r="A2074">
        <f>COUNTIF($D$2:D2074,D2074)</f>
        <v>28</v>
      </c>
      <c r="B2074" t="str">
        <f t="shared" si="129"/>
        <v>28Southwark</v>
      </c>
      <c r="C2074" t="s">
        <v>5881</v>
      </c>
      <c r="D2074" t="s">
        <v>297</v>
      </c>
      <c r="E2074">
        <v>68</v>
      </c>
      <c r="F2074" t="s">
        <v>5882</v>
      </c>
      <c r="G2074" t="s">
        <v>877</v>
      </c>
      <c r="H2074" t="s">
        <v>968</v>
      </c>
      <c r="I2074" t="s">
        <v>879</v>
      </c>
      <c r="J2074">
        <f t="shared" ca="1" si="130"/>
        <v>188998</v>
      </c>
      <c r="K2074">
        <f t="shared" ca="1" si="131"/>
        <v>35</v>
      </c>
      <c r="N2074" t="str">
        <f t="shared" si="128"/>
        <v>Sandwell43GP support to integrated care centreBed based intermediate Care Services (Reablement, rehabilitation, wider short-term services supporting recovery)Bed-based intermediate care with reablement accepting step up and step down users</v>
      </c>
      <c r="O2074" t="s">
        <v>275</v>
      </c>
      <c r="P2074" t="s">
        <v>1172</v>
      </c>
      <c r="Q2074">
        <v>43</v>
      </c>
      <c r="R2074" t="s">
        <v>5380</v>
      </c>
      <c r="S2074" t="s">
        <v>5883</v>
      </c>
      <c r="T2074" t="s">
        <v>877</v>
      </c>
      <c r="U2074" t="s">
        <v>1259</v>
      </c>
      <c r="W2074">
        <v>80</v>
      </c>
      <c r="X2074">
        <v>80</v>
      </c>
      <c r="Y2074" t="s">
        <v>879</v>
      </c>
      <c r="Z2074" t="s">
        <v>3118</v>
      </c>
      <c r="AB2074" t="s">
        <v>824</v>
      </c>
      <c r="AD2074" t="s">
        <v>794</v>
      </c>
      <c r="AE2074" t="s">
        <v>832</v>
      </c>
      <c r="AF2074" t="s">
        <v>796</v>
      </c>
      <c r="AG2074" t="s">
        <v>797</v>
      </c>
      <c r="AH2074">
        <v>331951.22400000005</v>
      </c>
      <c r="AI2074">
        <v>343237.56561600004</v>
      </c>
      <c r="AJ2074">
        <v>4.8954587559380007E-3</v>
      </c>
    </row>
    <row r="2075" spans="1:36" x14ac:dyDescent="0.3">
      <c r="A2075">
        <f>COUNTIF($D$2:D2075,D2075)</f>
        <v>29</v>
      </c>
      <c r="B2075" t="str">
        <f t="shared" si="129"/>
        <v>29Southwark</v>
      </c>
      <c r="C2075" t="s">
        <v>5884</v>
      </c>
      <c r="D2075" t="s">
        <v>297</v>
      </c>
      <c r="E2075">
        <v>71</v>
      </c>
      <c r="F2075" t="s">
        <v>5885</v>
      </c>
      <c r="G2075" t="s">
        <v>806</v>
      </c>
      <c r="H2075" t="s">
        <v>807</v>
      </c>
      <c r="I2075" t="s">
        <v>808</v>
      </c>
      <c r="J2075">
        <f t="shared" ca="1" si="130"/>
        <v>600000</v>
      </c>
      <c r="K2075">
        <f t="shared" ca="1" si="131"/>
        <v>11</v>
      </c>
      <c r="N2075" t="str">
        <f t="shared" si="128"/>
        <v>Sandwell62Disabled Facilities GrantDFG Related SchemesAdaptations, including statutory DFG grants</v>
      </c>
      <c r="O2075" t="s">
        <v>275</v>
      </c>
      <c r="P2075" t="s">
        <v>1172</v>
      </c>
      <c r="Q2075">
        <v>62</v>
      </c>
      <c r="R2075" t="s">
        <v>891</v>
      </c>
      <c r="S2075" t="s">
        <v>5886</v>
      </c>
      <c r="T2075" t="s">
        <v>834</v>
      </c>
      <c r="U2075" t="s">
        <v>835</v>
      </c>
      <c r="W2075">
        <v>500</v>
      </c>
      <c r="X2075">
        <v>500</v>
      </c>
      <c r="Y2075" t="s">
        <v>836</v>
      </c>
      <c r="Z2075" t="s">
        <v>792</v>
      </c>
      <c r="AB2075" t="s">
        <v>793</v>
      </c>
      <c r="AD2075" t="s">
        <v>794</v>
      </c>
      <c r="AE2075" t="s">
        <v>795</v>
      </c>
      <c r="AF2075" t="s">
        <v>840</v>
      </c>
      <c r="AG2075" t="s">
        <v>797</v>
      </c>
      <c r="AH2075">
        <v>4728713</v>
      </c>
      <c r="AI2075">
        <v>4728713</v>
      </c>
      <c r="AJ2075">
        <v>6.8571101345842836E-2</v>
      </c>
    </row>
    <row r="2076" spans="1:36" x14ac:dyDescent="0.3">
      <c r="A2076">
        <f>COUNTIF($D$2:D2076,D2076)</f>
        <v>1</v>
      </c>
      <c r="B2076" t="str">
        <f t="shared" si="129"/>
        <v>1St. Helens</v>
      </c>
      <c r="C2076" t="s">
        <v>5887</v>
      </c>
      <c r="D2076" t="s">
        <v>299</v>
      </c>
      <c r="E2076">
        <v>1001</v>
      </c>
      <c r="F2076" t="s">
        <v>5888</v>
      </c>
      <c r="G2076" t="s">
        <v>800</v>
      </c>
      <c r="H2076" t="s">
        <v>850</v>
      </c>
      <c r="I2076" t="s">
        <v>802</v>
      </c>
      <c r="J2076">
        <f t="shared" ca="1" si="130"/>
        <v>116000</v>
      </c>
      <c r="K2076">
        <f t="shared" ca="1" si="131"/>
        <v>1050</v>
      </c>
      <c r="N2076" t="str">
        <f t="shared" si="128"/>
        <v>Sandwell67EAB spot purchasedResidential PlacementsNursing home</v>
      </c>
      <c r="O2076" t="s">
        <v>275</v>
      </c>
      <c r="P2076" t="s">
        <v>1172</v>
      </c>
      <c r="Q2076">
        <v>67</v>
      </c>
      <c r="R2076" t="s">
        <v>5386</v>
      </c>
      <c r="S2076" t="s">
        <v>5858</v>
      </c>
      <c r="T2076" t="s">
        <v>806</v>
      </c>
      <c r="U2076" t="s">
        <v>917</v>
      </c>
      <c r="W2076">
        <v>61</v>
      </c>
      <c r="X2076">
        <v>61</v>
      </c>
      <c r="Y2076" t="s">
        <v>808</v>
      </c>
      <c r="Z2076" t="s">
        <v>792</v>
      </c>
      <c r="AB2076" t="s">
        <v>793</v>
      </c>
      <c r="AD2076" t="s">
        <v>794</v>
      </c>
      <c r="AE2076" t="s">
        <v>804</v>
      </c>
      <c r="AF2076" t="s">
        <v>845</v>
      </c>
      <c r="AG2076" t="s">
        <v>861</v>
      </c>
      <c r="AH2076">
        <v>1700000</v>
      </c>
      <c r="AI2076">
        <v>1700000</v>
      </c>
      <c r="AJ2076">
        <v>2.4651712270956777E-2</v>
      </c>
    </row>
    <row r="2077" spans="1:36" x14ac:dyDescent="0.3">
      <c r="A2077">
        <f>COUNTIF($D$2:D2077,D2077)</f>
        <v>2</v>
      </c>
      <c r="B2077" t="str">
        <f t="shared" si="129"/>
        <v>2St. Helens</v>
      </c>
      <c r="C2077" t="s">
        <v>5889</v>
      </c>
      <c r="D2077" t="s">
        <v>299</v>
      </c>
      <c r="E2077">
        <v>1002</v>
      </c>
      <c r="F2077" t="s">
        <v>5890</v>
      </c>
      <c r="G2077" t="s">
        <v>800</v>
      </c>
      <c r="H2077" t="s">
        <v>903</v>
      </c>
      <c r="I2077" t="s">
        <v>802</v>
      </c>
      <c r="J2077">
        <f t="shared" ca="1" si="130"/>
        <v>60000</v>
      </c>
      <c r="K2077">
        <f t="shared" ca="1" si="131"/>
        <v>83</v>
      </c>
      <c r="N2077" t="str">
        <f t="shared" si="128"/>
        <v>Sandwell73Digital Transformation FundAssistive Technologies and EquipmentAssistive technologies including telecare</v>
      </c>
      <c r="O2077" t="s">
        <v>275</v>
      </c>
      <c r="P2077" t="s">
        <v>1172</v>
      </c>
      <c r="Q2077">
        <v>73</v>
      </c>
      <c r="R2077" t="s">
        <v>5388</v>
      </c>
      <c r="S2077" t="s">
        <v>5891</v>
      </c>
      <c r="T2077" t="s">
        <v>800</v>
      </c>
      <c r="U2077" t="s">
        <v>850</v>
      </c>
      <c r="W2077">
        <v>100</v>
      </c>
      <c r="X2077">
        <v>100</v>
      </c>
      <c r="Y2077" t="s">
        <v>802</v>
      </c>
      <c r="Z2077" t="s">
        <v>792</v>
      </c>
      <c r="AB2077" t="s">
        <v>793</v>
      </c>
      <c r="AD2077" t="s">
        <v>794</v>
      </c>
      <c r="AE2077" t="s">
        <v>795</v>
      </c>
      <c r="AF2077" t="s">
        <v>1029</v>
      </c>
      <c r="AG2077" t="s">
        <v>861</v>
      </c>
      <c r="AH2077">
        <v>45000</v>
      </c>
      <c r="AI2077">
        <v>11000</v>
      </c>
      <c r="AJ2077">
        <v>4.0602820210987626E-4</v>
      </c>
    </row>
    <row r="2078" spans="1:36" x14ac:dyDescent="0.3">
      <c r="A2078">
        <f>COUNTIF($D$2:D2078,D2078)</f>
        <v>3</v>
      </c>
      <c r="B2078" t="str">
        <f t="shared" si="129"/>
        <v>3St. Helens</v>
      </c>
      <c r="C2078" t="s">
        <v>5892</v>
      </c>
      <c r="D2078" t="s">
        <v>299</v>
      </c>
      <c r="E2078">
        <v>2001</v>
      </c>
      <c r="F2078" t="s">
        <v>3701</v>
      </c>
      <c r="G2078" t="s">
        <v>877</v>
      </c>
      <c r="H2078" t="s">
        <v>1259</v>
      </c>
      <c r="I2078" t="s">
        <v>879</v>
      </c>
      <c r="J2078">
        <f t="shared" ca="1" si="130"/>
        <v>148000</v>
      </c>
      <c r="K2078">
        <f t="shared" ca="1" si="131"/>
        <v>50</v>
      </c>
      <c r="N2078" t="str">
        <f t="shared" si="128"/>
        <v>Sandwell76EAB complex dementia bedsResidential PlacementsNursing home</v>
      </c>
      <c r="O2078" t="s">
        <v>275</v>
      </c>
      <c r="P2078" t="s">
        <v>1172</v>
      </c>
      <c r="Q2078">
        <v>76</v>
      </c>
      <c r="R2078" t="s">
        <v>5350</v>
      </c>
      <c r="S2078" t="s">
        <v>5858</v>
      </c>
      <c r="T2078" t="s">
        <v>806</v>
      </c>
      <c r="U2078" t="s">
        <v>917</v>
      </c>
      <c r="W2078">
        <v>3</v>
      </c>
      <c r="X2078">
        <v>3</v>
      </c>
      <c r="Y2078" t="s">
        <v>808</v>
      </c>
      <c r="Z2078" t="s">
        <v>792</v>
      </c>
      <c r="AB2078" t="s">
        <v>793</v>
      </c>
      <c r="AD2078" t="s">
        <v>794</v>
      </c>
      <c r="AE2078" t="s">
        <v>804</v>
      </c>
      <c r="AF2078" t="s">
        <v>864</v>
      </c>
      <c r="AG2078" t="s">
        <v>861</v>
      </c>
      <c r="AH2078">
        <v>216000</v>
      </c>
      <c r="AI2078">
        <v>432000</v>
      </c>
      <c r="AJ2078">
        <v>4.6983263386999969E-3</v>
      </c>
    </row>
    <row r="2079" spans="1:36" x14ac:dyDescent="0.3">
      <c r="A2079">
        <f>COUNTIF($D$2:D2079,D2079)</f>
        <v>4</v>
      </c>
      <c r="B2079" t="str">
        <f t="shared" si="129"/>
        <v>4St. Helens</v>
      </c>
      <c r="C2079" t="s">
        <v>5893</v>
      </c>
      <c r="D2079" t="s">
        <v>299</v>
      </c>
      <c r="E2079">
        <v>1003</v>
      </c>
      <c r="F2079" t="s">
        <v>3023</v>
      </c>
      <c r="G2079" t="s">
        <v>811</v>
      </c>
      <c r="H2079" t="s">
        <v>895</v>
      </c>
      <c r="I2079" t="s">
        <v>813</v>
      </c>
      <c r="J2079">
        <f t="shared" ca="1" si="130"/>
        <v>772000</v>
      </c>
      <c r="K2079">
        <f t="shared" ca="1" si="131"/>
        <v>15287</v>
      </c>
      <c r="N2079" t="str">
        <f t="shared" si="128"/>
        <v>Sandwell77D2A - Nursing CareResidential PlacementsNursing home</v>
      </c>
      <c r="O2079" t="s">
        <v>275</v>
      </c>
      <c r="P2079" t="s">
        <v>1172</v>
      </c>
      <c r="Q2079">
        <v>77</v>
      </c>
      <c r="R2079" t="s">
        <v>5392</v>
      </c>
      <c r="S2079" t="s">
        <v>5894</v>
      </c>
      <c r="T2079" t="s">
        <v>806</v>
      </c>
      <c r="U2079" t="s">
        <v>917</v>
      </c>
      <c r="W2079">
        <v>936</v>
      </c>
      <c r="X2079">
        <v>936</v>
      </c>
      <c r="Y2079" t="s">
        <v>808</v>
      </c>
      <c r="Z2079" t="s">
        <v>792</v>
      </c>
      <c r="AB2079" t="s">
        <v>793</v>
      </c>
      <c r="AD2079" t="s">
        <v>794</v>
      </c>
      <c r="AE2079" t="s">
        <v>804</v>
      </c>
      <c r="AF2079" t="s">
        <v>864</v>
      </c>
      <c r="AG2079" t="s">
        <v>861</v>
      </c>
      <c r="AH2079">
        <v>820965.6</v>
      </c>
      <c r="AI2079">
        <v>820965.6</v>
      </c>
      <c r="AJ2079">
        <v>1.1904828091501993E-2</v>
      </c>
    </row>
    <row r="2080" spans="1:36" x14ac:dyDescent="0.3">
      <c r="A2080">
        <f>COUNTIF($D$2:D2080,D2080)</f>
        <v>5</v>
      </c>
      <c r="B2080" t="str">
        <f t="shared" si="129"/>
        <v>5St. Helens</v>
      </c>
      <c r="C2080" t="s">
        <v>5895</v>
      </c>
      <c r="D2080" t="s">
        <v>299</v>
      </c>
      <c r="E2080">
        <v>1004</v>
      </c>
      <c r="F2080" t="s">
        <v>5896</v>
      </c>
      <c r="G2080" t="s">
        <v>811</v>
      </c>
      <c r="H2080" t="s">
        <v>830</v>
      </c>
      <c r="I2080" t="s">
        <v>813</v>
      </c>
      <c r="J2080">
        <f t="shared" ca="1" si="130"/>
        <v>375000</v>
      </c>
      <c r="K2080">
        <f t="shared" ca="1" si="131"/>
        <v>134</v>
      </c>
      <c r="N2080" t="str">
        <f t="shared" si="128"/>
        <v>Sandwell78D2A - Residential CareResidential PlacementsCare home</v>
      </c>
      <c r="O2080" t="s">
        <v>275</v>
      </c>
      <c r="P2080" t="s">
        <v>1172</v>
      </c>
      <c r="Q2080">
        <v>78</v>
      </c>
      <c r="R2080" t="s">
        <v>5394</v>
      </c>
      <c r="S2080" t="s">
        <v>5894</v>
      </c>
      <c r="T2080" t="s">
        <v>806</v>
      </c>
      <c r="U2080" t="s">
        <v>807</v>
      </c>
      <c r="W2080">
        <v>624</v>
      </c>
      <c r="X2080">
        <v>624</v>
      </c>
      <c r="Y2080" t="s">
        <v>808</v>
      </c>
      <c r="Z2080" t="s">
        <v>792</v>
      </c>
      <c r="AB2080" t="s">
        <v>793</v>
      </c>
      <c r="AD2080" t="s">
        <v>794</v>
      </c>
      <c r="AE2080" t="s">
        <v>804</v>
      </c>
      <c r="AF2080" t="s">
        <v>864</v>
      </c>
      <c r="AG2080" t="s">
        <v>861</v>
      </c>
      <c r="AH2080">
        <v>408000</v>
      </c>
      <c r="AI2080">
        <v>408000</v>
      </c>
      <c r="AJ2080">
        <v>5.9164109450296253E-3</v>
      </c>
    </row>
    <row r="2081" spans="1:36" x14ac:dyDescent="0.3">
      <c r="A2081">
        <f>COUNTIF($D$2:D2081,D2081)</f>
        <v>6</v>
      </c>
      <c r="B2081" t="str">
        <f t="shared" si="129"/>
        <v>6St. Helens</v>
      </c>
      <c r="C2081" t="s">
        <v>5897</v>
      </c>
      <c r="D2081" t="s">
        <v>299</v>
      </c>
      <c r="E2081">
        <v>1006</v>
      </c>
      <c r="F2081" t="s">
        <v>5898</v>
      </c>
      <c r="G2081" t="s">
        <v>811</v>
      </c>
      <c r="H2081" t="s">
        <v>812</v>
      </c>
      <c r="I2081" t="s">
        <v>813</v>
      </c>
      <c r="J2081">
        <f t="shared" ca="1" si="130"/>
        <v>209914</v>
      </c>
      <c r="K2081">
        <f t="shared" ca="1" si="131"/>
        <v>75</v>
      </c>
      <c r="N2081" t="str">
        <f t="shared" si="128"/>
        <v>Sandwell79D2A - Domiciliary CareHome Care or Domiciliary CareDomiciliary care to support hospital discharge (Discharge to Assess pathway 1)</v>
      </c>
      <c r="O2081" t="s">
        <v>275</v>
      </c>
      <c r="P2081" t="s">
        <v>1172</v>
      </c>
      <c r="Q2081">
        <v>79</v>
      </c>
      <c r="R2081" t="s">
        <v>5397</v>
      </c>
      <c r="S2081" t="s">
        <v>5894</v>
      </c>
      <c r="T2081" t="s">
        <v>842</v>
      </c>
      <c r="U2081" t="s">
        <v>856</v>
      </c>
      <c r="W2081">
        <v>68640</v>
      </c>
      <c r="X2081">
        <v>68640</v>
      </c>
      <c r="Y2081" t="s">
        <v>844</v>
      </c>
      <c r="Z2081" t="s">
        <v>792</v>
      </c>
      <c r="AB2081" t="s">
        <v>793</v>
      </c>
      <c r="AD2081" t="s">
        <v>794</v>
      </c>
      <c r="AE2081" t="s">
        <v>804</v>
      </c>
      <c r="AF2081" t="s">
        <v>864</v>
      </c>
      <c r="AG2081" t="s">
        <v>861</v>
      </c>
      <c r="AH2081">
        <v>1230420</v>
      </c>
      <c r="AI2081">
        <v>1230420</v>
      </c>
      <c r="AJ2081">
        <v>1.7842329301429784E-2</v>
      </c>
    </row>
    <row r="2082" spans="1:36" x14ac:dyDescent="0.3">
      <c r="A2082">
        <f>COUNTIF($D$2:D2082,D2082)</f>
        <v>7</v>
      </c>
      <c r="B2082" t="str">
        <f t="shared" si="129"/>
        <v>7St. Helens</v>
      </c>
      <c r="C2082" t="s">
        <v>5899</v>
      </c>
      <c r="D2082" t="s">
        <v>299</v>
      </c>
      <c r="E2082">
        <v>1007</v>
      </c>
      <c r="F2082" t="s">
        <v>5900</v>
      </c>
      <c r="G2082" t="s">
        <v>811</v>
      </c>
      <c r="H2082" t="s">
        <v>830</v>
      </c>
      <c r="I2082" t="s">
        <v>813</v>
      </c>
      <c r="J2082">
        <f t="shared" ca="1" si="130"/>
        <v>38000</v>
      </c>
      <c r="K2082">
        <f t="shared" ca="1" si="131"/>
        <v>14</v>
      </c>
      <c r="N2082" t="str">
        <f t="shared" si="128"/>
        <v>Sefton20Carers Breaks  &amp; RespiteCarers ServicesRespite services</v>
      </c>
      <c r="O2082" t="s">
        <v>277</v>
      </c>
      <c r="P2082" t="s">
        <v>1201</v>
      </c>
      <c r="Q2082">
        <v>20</v>
      </c>
      <c r="R2082" t="s">
        <v>5400</v>
      </c>
      <c r="S2082" t="s">
        <v>5901</v>
      </c>
      <c r="T2082" t="s">
        <v>811</v>
      </c>
      <c r="U2082" t="s">
        <v>830</v>
      </c>
      <c r="W2082">
        <v>560</v>
      </c>
      <c r="X2082">
        <v>590</v>
      </c>
      <c r="Y2082" t="s">
        <v>813</v>
      </c>
      <c r="Z2082" t="s">
        <v>792</v>
      </c>
      <c r="AB2082" t="s">
        <v>793</v>
      </c>
      <c r="AD2082" t="s">
        <v>794</v>
      </c>
      <c r="AE2082" t="s">
        <v>804</v>
      </c>
      <c r="AF2082" t="s">
        <v>796</v>
      </c>
      <c r="AG2082" t="s">
        <v>797</v>
      </c>
      <c r="AH2082">
        <v>781817</v>
      </c>
      <c r="AI2082">
        <v>826068</v>
      </c>
      <c r="AJ2082">
        <v>0.12</v>
      </c>
    </row>
    <row r="2083" spans="1:36" x14ac:dyDescent="0.3">
      <c r="A2083">
        <f>COUNTIF($D$2:D2083,D2083)</f>
        <v>8</v>
      </c>
      <c r="B2083" t="str">
        <f t="shared" si="129"/>
        <v>8St. Helens</v>
      </c>
      <c r="C2083" t="s">
        <v>5902</v>
      </c>
      <c r="D2083" t="s">
        <v>299</v>
      </c>
      <c r="E2083">
        <v>1013</v>
      </c>
      <c r="F2083" t="s">
        <v>5903</v>
      </c>
      <c r="G2083" t="s">
        <v>834</v>
      </c>
      <c r="H2083" t="s">
        <v>835</v>
      </c>
      <c r="I2083" t="s">
        <v>836</v>
      </c>
      <c r="J2083">
        <f t="shared" ca="1" si="130"/>
        <v>3147755</v>
      </c>
      <c r="K2083">
        <f t="shared" ca="1" si="131"/>
        <v>615</v>
      </c>
      <c r="N2083" t="str">
        <f t="shared" si="128"/>
        <v>Sefton21Carers Card InitiativeCarers ServicesOther</v>
      </c>
      <c r="O2083" t="s">
        <v>277</v>
      </c>
      <c r="P2083" t="s">
        <v>1201</v>
      </c>
      <c r="Q2083">
        <v>21</v>
      </c>
      <c r="R2083" t="s">
        <v>5403</v>
      </c>
      <c r="S2083" t="s">
        <v>5403</v>
      </c>
      <c r="T2083" t="s">
        <v>811</v>
      </c>
      <c r="U2083" t="s">
        <v>812</v>
      </c>
      <c r="V2083" t="s">
        <v>822</v>
      </c>
      <c r="W2083">
        <v>560</v>
      </c>
      <c r="X2083">
        <v>590</v>
      </c>
      <c r="Y2083" t="s">
        <v>813</v>
      </c>
      <c r="Z2083" t="s">
        <v>792</v>
      </c>
      <c r="AB2083" t="s">
        <v>793</v>
      </c>
      <c r="AD2083" t="s">
        <v>794</v>
      </c>
      <c r="AE2083" t="s">
        <v>795</v>
      </c>
      <c r="AF2083" t="s">
        <v>796</v>
      </c>
      <c r="AG2083" t="s">
        <v>797</v>
      </c>
      <c r="AH2083">
        <v>20000</v>
      </c>
      <c r="AI2083">
        <v>20000</v>
      </c>
      <c r="AJ2083">
        <v>1</v>
      </c>
    </row>
    <row r="2084" spans="1:36" x14ac:dyDescent="0.3">
      <c r="A2084">
        <f>COUNTIF($D$2:D2084,D2084)</f>
        <v>9</v>
      </c>
      <c r="B2084" t="str">
        <f t="shared" si="129"/>
        <v>9St. Helens</v>
      </c>
      <c r="C2084" t="s">
        <v>5904</v>
      </c>
      <c r="D2084" t="s">
        <v>299</v>
      </c>
      <c r="E2084">
        <v>1025</v>
      </c>
      <c r="F2084" t="s">
        <v>5905</v>
      </c>
      <c r="G2084" t="s">
        <v>842</v>
      </c>
      <c r="H2084" t="s">
        <v>843</v>
      </c>
      <c r="I2084" t="s">
        <v>844</v>
      </c>
      <c r="J2084">
        <f t="shared" ca="1" si="130"/>
        <v>7903999</v>
      </c>
      <c r="K2084">
        <f t="shared" ca="1" si="131"/>
        <v>390513</v>
      </c>
      <c r="N2084" t="str">
        <f t="shared" si="128"/>
        <v>Sefton23Intermediate Care (LH)Bed based intermediate Care Services (Reablement, rehabilitation, wider short-term services supporting recovery)Bed-based intermediate care with rehabilitation (to support discharge)</v>
      </c>
      <c r="O2084" t="s">
        <v>277</v>
      </c>
      <c r="P2084" t="s">
        <v>1201</v>
      </c>
      <c r="Q2084">
        <v>23</v>
      </c>
      <c r="R2084" t="s">
        <v>5406</v>
      </c>
      <c r="S2084" t="s">
        <v>5406</v>
      </c>
      <c r="T2084" t="s">
        <v>877</v>
      </c>
      <c r="U2084" t="s">
        <v>968</v>
      </c>
      <c r="W2084">
        <v>30</v>
      </c>
      <c r="X2084">
        <v>30</v>
      </c>
      <c r="Y2084" t="s">
        <v>879</v>
      </c>
      <c r="Z2084" t="s">
        <v>1118</v>
      </c>
      <c r="AB2084" t="s">
        <v>824</v>
      </c>
      <c r="AD2084" t="s">
        <v>794</v>
      </c>
      <c r="AE2084" t="s">
        <v>832</v>
      </c>
      <c r="AF2084" t="s">
        <v>796</v>
      </c>
      <c r="AG2084" t="s">
        <v>797</v>
      </c>
      <c r="AH2084">
        <v>1158080.5</v>
      </c>
      <c r="AI2084">
        <v>1197455</v>
      </c>
      <c r="AJ2084">
        <v>1</v>
      </c>
    </row>
    <row r="2085" spans="1:36" x14ac:dyDescent="0.3">
      <c r="A2085">
        <f>COUNTIF($D$2:D2085,D2085)</f>
        <v>10</v>
      </c>
      <c r="B2085" t="str">
        <f t="shared" si="129"/>
        <v>10St. Helens</v>
      </c>
      <c r="C2085" t="s">
        <v>5906</v>
      </c>
      <c r="D2085" t="s">
        <v>299</v>
      </c>
      <c r="E2085">
        <v>1030</v>
      </c>
      <c r="F2085" t="s">
        <v>1923</v>
      </c>
      <c r="G2085" t="s">
        <v>800</v>
      </c>
      <c r="H2085" t="s">
        <v>903</v>
      </c>
      <c r="I2085" t="s">
        <v>802</v>
      </c>
      <c r="J2085">
        <f t="shared" ca="1" si="130"/>
        <v>609000</v>
      </c>
      <c r="K2085">
        <f t="shared" ca="1" si="131"/>
        <v>9600</v>
      </c>
      <c r="N2085" t="str">
        <f t="shared" si="128"/>
        <v>Sefton25Intermediate Care Services Bed based intermediate Care Services (Reablement, rehabilitation, wider short-term services supporting recovery)Bed-based intermediate care with rehabilitation (to support discharge)</v>
      </c>
      <c r="O2085" t="s">
        <v>277</v>
      </c>
      <c r="P2085" t="s">
        <v>1201</v>
      </c>
      <c r="Q2085">
        <v>25</v>
      </c>
      <c r="R2085" t="s">
        <v>2713</v>
      </c>
      <c r="S2085" t="s">
        <v>5907</v>
      </c>
      <c r="T2085" t="s">
        <v>877</v>
      </c>
      <c r="U2085" t="s">
        <v>968</v>
      </c>
      <c r="W2085">
        <v>35</v>
      </c>
      <c r="X2085">
        <v>35</v>
      </c>
      <c r="Y2085" t="s">
        <v>879</v>
      </c>
      <c r="Z2085" t="s">
        <v>1118</v>
      </c>
      <c r="AB2085" t="s">
        <v>824</v>
      </c>
      <c r="AD2085" t="s">
        <v>794</v>
      </c>
      <c r="AE2085" t="s">
        <v>832</v>
      </c>
      <c r="AF2085" t="s">
        <v>796</v>
      </c>
      <c r="AG2085" t="s">
        <v>797</v>
      </c>
      <c r="AH2085">
        <v>1309260</v>
      </c>
      <c r="AI2085">
        <v>1351116</v>
      </c>
      <c r="AJ2085">
        <v>1</v>
      </c>
    </row>
    <row r="2086" spans="1:36" x14ac:dyDescent="0.3">
      <c r="A2086">
        <f>COUNTIF($D$2:D2086,D2086)</f>
        <v>11</v>
      </c>
      <c r="B2086" t="str">
        <f t="shared" si="129"/>
        <v>11St. Helens</v>
      </c>
      <c r="C2086" t="s">
        <v>5908</v>
      </c>
      <c r="D2086" t="s">
        <v>299</v>
      </c>
      <c r="E2086">
        <v>1031</v>
      </c>
      <c r="F2086" t="s">
        <v>5909</v>
      </c>
      <c r="G2086" t="s">
        <v>800</v>
      </c>
      <c r="H2086" t="s">
        <v>903</v>
      </c>
      <c r="I2086" t="s">
        <v>802</v>
      </c>
      <c r="J2086">
        <f t="shared" ca="1" si="130"/>
        <v>242000</v>
      </c>
      <c r="K2086">
        <f t="shared" ca="1" si="131"/>
        <v>605</v>
      </c>
      <c r="N2086" t="str">
        <f t="shared" si="128"/>
        <v>Sefton28Community EquipmentAssistive Technologies and EquipmentCommunity based equipment</v>
      </c>
      <c r="O2086" t="s">
        <v>277</v>
      </c>
      <c r="P2086" t="s">
        <v>1201</v>
      </c>
      <c r="Q2086">
        <v>28</v>
      </c>
      <c r="R2086" t="s">
        <v>1051</v>
      </c>
      <c r="S2086" t="s">
        <v>800</v>
      </c>
      <c r="T2086" t="s">
        <v>800</v>
      </c>
      <c r="U2086" t="s">
        <v>903</v>
      </c>
      <c r="W2086">
        <v>12500</v>
      </c>
      <c r="X2086">
        <v>14500</v>
      </c>
      <c r="Y2086" t="s">
        <v>802</v>
      </c>
      <c r="Z2086" t="s">
        <v>792</v>
      </c>
      <c r="AB2086" t="s">
        <v>824</v>
      </c>
      <c r="AD2086" t="s">
        <v>794</v>
      </c>
      <c r="AE2086" t="s">
        <v>795</v>
      </c>
      <c r="AF2086" t="s">
        <v>796</v>
      </c>
      <c r="AG2086" t="s">
        <v>797</v>
      </c>
      <c r="AH2086">
        <v>913015</v>
      </c>
      <c r="AI2086">
        <v>929449</v>
      </c>
      <c r="AJ2086">
        <v>0.72</v>
      </c>
    </row>
    <row r="2087" spans="1:36" x14ac:dyDescent="0.3">
      <c r="A2087">
        <f>COUNTIF($D$2:D2087,D2087)</f>
        <v>12</v>
      </c>
      <c r="B2087" t="str">
        <f t="shared" si="129"/>
        <v>12St. Helens</v>
      </c>
      <c r="C2087" t="s">
        <v>5910</v>
      </c>
      <c r="D2087" t="s">
        <v>299</v>
      </c>
      <c r="E2087">
        <v>1039</v>
      </c>
      <c r="F2087" t="s">
        <v>5911</v>
      </c>
      <c r="G2087" t="s">
        <v>787</v>
      </c>
      <c r="H2087" t="s">
        <v>788</v>
      </c>
      <c r="I2087" t="s">
        <v>789</v>
      </c>
      <c r="J2087">
        <f t="shared" ca="1" si="130"/>
        <v>333000</v>
      </c>
      <c r="K2087">
        <f t="shared" ca="1" si="131"/>
        <v>346</v>
      </c>
      <c r="N2087" t="str">
        <f t="shared" si="128"/>
        <v>Sefton29Community Equipment AdditionalAssistive Technologies and EquipmentCommunity based equipment</v>
      </c>
      <c r="O2087" t="s">
        <v>277</v>
      </c>
      <c r="P2087" t="s">
        <v>1201</v>
      </c>
      <c r="Q2087">
        <v>29</v>
      </c>
      <c r="R2087" t="s">
        <v>5413</v>
      </c>
      <c r="S2087" t="s">
        <v>800</v>
      </c>
      <c r="T2087" t="s">
        <v>800</v>
      </c>
      <c r="U2087" t="s">
        <v>903</v>
      </c>
      <c r="W2087">
        <v>12500</v>
      </c>
      <c r="X2087">
        <v>14500</v>
      </c>
      <c r="Y2087" t="s">
        <v>802</v>
      </c>
      <c r="Z2087" t="s">
        <v>792</v>
      </c>
      <c r="AB2087" t="s">
        <v>824</v>
      </c>
      <c r="AD2087" t="s">
        <v>794</v>
      </c>
      <c r="AE2087" t="s">
        <v>795</v>
      </c>
      <c r="AF2087" t="s">
        <v>796</v>
      </c>
      <c r="AG2087" t="s">
        <v>797</v>
      </c>
      <c r="AH2087">
        <v>353794</v>
      </c>
      <c r="AI2087">
        <v>360162</v>
      </c>
      <c r="AJ2087">
        <v>0.28000000000000003</v>
      </c>
    </row>
    <row r="2088" spans="1:36" x14ac:dyDescent="0.3">
      <c r="A2088">
        <f>COUNTIF($D$2:D2088,D2088)</f>
        <v>13</v>
      </c>
      <c r="B2088" t="str">
        <f t="shared" si="129"/>
        <v>13St. Helens</v>
      </c>
      <c r="C2088" t="s">
        <v>5912</v>
      </c>
      <c r="D2088" t="s">
        <v>299</v>
      </c>
      <c r="E2088">
        <v>1040</v>
      </c>
      <c r="F2088" t="s">
        <v>3701</v>
      </c>
      <c r="G2088" t="s">
        <v>877</v>
      </c>
      <c r="H2088" t="s">
        <v>1259</v>
      </c>
      <c r="I2088" t="s">
        <v>879</v>
      </c>
      <c r="J2088">
        <f t="shared" ca="1" si="130"/>
        <v>410000</v>
      </c>
      <c r="K2088">
        <f t="shared" ca="1" si="131"/>
        <v>137</v>
      </c>
      <c r="N2088" t="str">
        <f t="shared" si="128"/>
        <v>Sefton30Home from HospitalHome Care or Domiciliary CareDomiciliary care to support hospital discharge (Discharge to Assess pathway 1)</v>
      </c>
      <c r="O2088" t="s">
        <v>277</v>
      </c>
      <c r="P2088" t="s">
        <v>1201</v>
      </c>
      <c r="Q2088">
        <v>30</v>
      </c>
      <c r="R2088" t="s">
        <v>1008</v>
      </c>
      <c r="S2088" t="s">
        <v>842</v>
      </c>
      <c r="T2088" t="s">
        <v>842</v>
      </c>
      <c r="U2088" t="s">
        <v>856</v>
      </c>
      <c r="W2088">
        <v>8900</v>
      </c>
      <c r="X2088">
        <v>9400</v>
      </c>
      <c r="Y2088" t="s">
        <v>844</v>
      </c>
      <c r="Z2088" t="s">
        <v>792</v>
      </c>
      <c r="AB2088" t="s">
        <v>793</v>
      </c>
      <c r="AD2088" t="s">
        <v>794</v>
      </c>
      <c r="AE2088" t="s">
        <v>804</v>
      </c>
      <c r="AF2088" t="s">
        <v>796</v>
      </c>
      <c r="AG2088" t="s">
        <v>797</v>
      </c>
      <c r="AH2088">
        <v>192321</v>
      </c>
      <c r="AI2088">
        <v>203206</v>
      </c>
      <c r="AJ2088">
        <v>1.2E-2</v>
      </c>
    </row>
    <row r="2089" spans="1:36" x14ac:dyDescent="0.3">
      <c r="A2089">
        <f>COUNTIF($D$2:D2089,D2089)</f>
        <v>14</v>
      </c>
      <c r="B2089" t="str">
        <f t="shared" si="129"/>
        <v>14St. Helens</v>
      </c>
      <c r="C2089" t="s">
        <v>5913</v>
      </c>
      <c r="D2089" t="s">
        <v>299</v>
      </c>
      <c r="E2089">
        <v>2003</v>
      </c>
      <c r="F2089" t="s">
        <v>5914</v>
      </c>
      <c r="G2089" t="s">
        <v>787</v>
      </c>
      <c r="H2089" t="s">
        <v>886</v>
      </c>
      <c r="I2089" t="s">
        <v>789</v>
      </c>
      <c r="J2089">
        <f t="shared" ca="1" si="130"/>
        <v>118000</v>
      </c>
      <c r="K2089">
        <f t="shared" ca="1" si="131"/>
        <v>1</v>
      </c>
      <c r="N2089" t="str">
        <f t="shared" si="128"/>
        <v>Sefton31Early DischargeHome Care or Domiciliary CareDomiciliary care to support hospital discharge (Discharge to Assess pathway 1)</v>
      </c>
      <c r="O2089" t="s">
        <v>277</v>
      </c>
      <c r="P2089" t="s">
        <v>1201</v>
      </c>
      <c r="Q2089">
        <v>31</v>
      </c>
      <c r="R2089" t="s">
        <v>5417</v>
      </c>
      <c r="S2089" t="s">
        <v>842</v>
      </c>
      <c r="T2089" t="s">
        <v>842</v>
      </c>
      <c r="U2089" t="s">
        <v>856</v>
      </c>
      <c r="W2089">
        <v>11100</v>
      </c>
      <c r="X2089">
        <v>11800</v>
      </c>
      <c r="Y2089" t="s">
        <v>844</v>
      </c>
      <c r="Z2089" t="s">
        <v>792</v>
      </c>
      <c r="AB2089" t="s">
        <v>793</v>
      </c>
      <c r="AD2089" t="s">
        <v>794</v>
      </c>
      <c r="AE2089" t="s">
        <v>804</v>
      </c>
      <c r="AF2089" t="s">
        <v>796</v>
      </c>
      <c r="AG2089" t="s">
        <v>797</v>
      </c>
      <c r="AH2089">
        <v>241259</v>
      </c>
      <c r="AI2089">
        <v>254915</v>
      </c>
      <c r="AJ2089">
        <v>1.4999999999999999E-2</v>
      </c>
    </row>
    <row r="2090" spans="1:36" x14ac:dyDescent="0.3">
      <c r="A2090">
        <f>COUNTIF($D$2:D2090,D2090)</f>
        <v>15</v>
      </c>
      <c r="B2090" t="str">
        <f t="shared" si="129"/>
        <v>15St. Helens</v>
      </c>
      <c r="C2090" t="s">
        <v>5915</v>
      </c>
      <c r="D2090" t="s">
        <v>299</v>
      </c>
      <c r="E2090">
        <v>2004</v>
      </c>
      <c r="F2090" t="s">
        <v>5916</v>
      </c>
      <c r="G2090" t="s">
        <v>787</v>
      </c>
      <c r="H2090" t="s">
        <v>886</v>
      </c>
      <c r="I2090" t="s">
        <v>789</v>
      </c>
      <c r="J2090">
        <f t="shared" ca="1" si="130"/>
        <v>390000</v>
      </c>
      <c r="K2090">
        <f t="shared" ca="1" si="131"/>
        <v>405</v>
      </c>
      <c r="N2090" t="str">
        <f t="shared" si="128"/>
        <v>Sefton32Intermediate Care  - Chase HeysBed based intermediate Care Services (Reablement, rehabilitation, wider short-term services supporting recovery)Other</v>
      </c>
      <c r="O2090" t="s">
        <v>277</v>
      </c>
      <c r="P2090" t="s">
        <v>1201</v>
      </c>
      <c r="Q2090">
        <v>32</v>
      </c>
      <c r="R2090" t="s">
        <v>5420</v>
      </c>
      <c r="S2090" t="s">
        <v>5917</v>
      </c>
      <c r="T2090" t="s">
        <v>877</v>
      </c>
      <c r="U2090" t="s">
        <v>812</v>
      </c>
      <c r="V2090" t="s">
        <v>5918</v>
      </c>
      <c r="W2090">
        <v>14</v>
      </c>
      <c r="X2090">
        <v>14</v>
      </c>
      <c r="Y2090" t="s">
        <v>879</v>
      </c>
      <c r="Z2090" t="s">
        <v>823</v>
      </c>
      <c r="AB2090" t="s">
        <v>824</v>
      </c>
      <c r="AD2090" t="s">
        <v>794</v>
      </c>
      <c r="AE2090" t="s">
        <v>804</v>
      </c>
      <c r="AF2090" t="s">
        <v>796</v>
      </c>
      <c r="AG2090" t="s">
        <v>797</v>
      </c>
      <c r="AH2090">
        <v>242270</v>
      </c>
      <c r="AI2090">
        <v>255982</v>
      </c>
      <c r="AJ2090">
        <v>1</v>
      </c>
    </row>
    <row r="2091" spans="1:36" x14ac:dyDescent="0.3">
      <c r="A2091">
        <f>COUNTIF($D$2:D2091,D2091)</f>
        <v>16</v>
      </c>
      <c r="B2091" t="str">
        <f t="shared" si="129"/>
        <v>16St. Helens</v>
      </c>
      <c r="C2091" t="s">
        <v>5919</v>
      </c>
      <c r="D2091" t="s">
        <v>299</v>
      </c>
      <c r="E2091">
        <v>2007</v>
      </c>
      <c r="F2091" t="s">
        <v>5920</v>
      </c>
      <c r="G2091" t="s">
        <v>877</v>
      </c>
      <c r="H2091" t="s">
        <v>968</v>
      </c>
      <c r="I2091" t="s">
        <v>879</v>
      </c>
      <c r="J2091">
        <f t="shared" ca="1" si="130"/>
        <v>389000</v>
      </c>
      <c r="K2091">
        <f t="shared" ca="1" si="131"/>
        <v>60</v>
      </c>
      <c r="N2091" t="str">
        <f t="shared" si="128"/>
        <v>Sefton34Intermediate Care ServicesBed based intermediate Care Services (Reablement, rehabilitation, wider short-term services supporting recovery)Bed-based intermediate care with rehabilitation (to support discharge)</v>
      </c>
      <c r="O2091" t="s">
        <v>277</v>
      </c>
      <c r="P2091" t="s">
        <v>1201</v>
      </c>
      <c r="Q2091">
        <v>34</v>
      </c>
      <c r="R2091" t="s">
        <v>969</v>
      </c>
      <c r="S2091" t="s">
        <v>5921</v>
      </c>
      <c r="T2091" t="s">
        <v>877</v>
      </c>
      <c r="U2091" t="s">
        <v>968</v>
      </c>
      <c r="W2091">
        <v>11</v>
      </c>
      <c r="X2091">
        <v>11</v>
      </c>
      <c r="Y2091" t="s">
        <v>879</v>
      </c>
      <c r="Z2091" t="s">
        <v>792</v>
      </c>
      <c r="AB2091" t="s">
        <v>793</v>
      </c>
      <c r="AD2091" t="s">
        <v>794</v>
      </c>
      <c r="AE2091" t="s">
        <v>804</v>
      </c>
      <c r="AF2091" t="s">
        <v>1042</v>
      </c>
      <c r="AG2091" t="s">
        <v>861</v>
      </c>
      <c r="AH2091">
        <v>424680</v>
      </c>
      <c r="AI2091">
        <v>448717</v>
      </c>
      <c r="AJ2091">
        <v>0.45</v>
      </c>
    </row>
    <row r="2092" spans="1:36" x14ac:dyDescent="0.3">
      <c r="A2092">
        <f>COUNTIF($D$2:D2092,D2092)</f>
        <v>17</v>
      </c>
      <c r="B2092" t="str">
        <f t="shared" si="129"/>
        <v>17St. Helens</v>
      </c>
      <c r="C2092" t="s">
        <v>5922</v>
      </c>
      <c r="D2092" t="s">
        <v>299</v>
      </c>
      <c r="E2092">
        <v>1041</v>
      </c>
      <c r="F2092" t="s">
        <v>434</v>
      </c>
      <c r="G2092" t="s">
        <v>787</v>
      </c>
      <c r="H2092" t="s">
        <v>788</v>
      </c>
      <c r="I2092" t="s">
        <v>789</v>
      </c>
      <c r="J2092">
        <f t="shared" ca="1" si="130"/>
        <v>128000</v>
      </c>
      <c r="K2092">
        <f t="shared" ca="1" si="131"/>
        <v>133</v>
      </c>
      <c r="N2092" t="str">
        <f t="shared" si="128"/>
        <v>Sefton37Community Stores Equipment and AdaptationsAssistive Technologies and EquipmentCommunity based equipment</v>
      </c>
      <c r="O2092" t="s">
        <v>277</v>
      </c>
      <c r="P2092" t="s">
        <v>1201</v>
      </c>
      <c r="Q2092">
        <v>37</v>
      </c>
      <c r="R2092" t="s">
        <v>5424</v>
      </c>
      <c r="S2092" t="s">
        <v>800</v>
      </c>
      <c r="T2092" t="s">
        <v>800</v>
      </c>
      <c r="U2092" t="s">
        <v>903</v>
      </c>
      <c r="W2092">
        <v>12500</v>
      </c>
      <c r="X2092">
        <v>14500</v>
      </c>
      <c r="Y2092" t="s">
        <v>802</v>
      </c>
      <c r="Z2092" t="s">
        <v>792</v>
      </c>
      <c r="AB2092" t="s">
        <v>793</v>
      </c>
      <c r="AD2092" t="s">
        <v>794</v>
      </c>
      <c r="AE2092" t="s">
        <v>795</v>
      </c>
      <c r="AF2092" t="s">
        <v>796</v>
      </c>
      <c r="AG2092" t="s">
        <v>797</v>
      </c>
      <c r="AH2092">
        <v>391000</v>
      </c>
      <c r="AI2092">
        <v>391000</v>
      </c>
      <c r="AJ2092">
        <v>0.56000000000000005</v>
      </c>
    </row>
    <row r="2093" spans="1:36" x14ac:dyDescent="0.3">
      <c r="A2093">
        <f>COUNTIF($D$2:D2093,D2093)</f>
        <v>18</v>
      </c>
      <c r="B2093" t="str">
        <f t="shared" si="129"/>
        <v>18St. Helens</v>
      </c>
      <c r="C2093" t="s">
        <v>5923</v>
      </c>
      <c r="D2093" t="s">
        <v>299</v>
      </c>
      <c r="E2093">
        <v>2001</v>
      </c>
      <c r="F2093" t="s">
        <v>3701</v>
      </c>
      <c r="G2093" t="s">
        <v>877</v>
      </c>
      <c r="H2093" t="s">
        <v>968</v>
      </c>
      <c r="I2093" t="s">
        <v>879</v>
      </c>
      <c r="J2093">
        <f t="shared" ca="1" si="130"/>
        <v>634000</v>
      </c>
      <c r="K2093">
        <f t="shared" ca="1" si="131"/>
        <v>211</v>
      </c>
      <c r="N2093" t="str">
        <f t="shared" si="128"/>
        <v>Sefton39Telecare to Support People at HomeAssistive Technologies and EquipmentAssistive technologies including telecare</v>
      </c>
      <c r="O2093" t="s">
        <v>277</v>
      </c>
      <c r="P2093" t="s">
        <v>1201</v>
      </c>
      <c r="Q2093">
        <v>39</v>
      </c>
      <c r="R2093" t="s">
        <v>5426</v>
      </c>
      <c r="S2093" t="s">
        <v>5924</v>
      </c>
      <c r="T2093" t="s">
        <v>800</v>
      </c>
      <c r="U2093" t="s">
        <v>850</v>
      </c>
      <c r="W2093">
        <v>4000</v>
      </c>
      <c r="X2093">
        <v>5000</v>
      </c>
      <c r="Y2093" t="s">
        <v>802</v>
      </c>
      <c r="Z2093" t="s">
        <v>792</v>
      </c>
      <c r="AB2093" t="s">
        <v>793</v>
      </c>
      <c r="AD2093" t="s">
        <v>794</v>
      </c>
      <c r="AE2093" t="s">
        <v>795</v>
      </c>
      <c r="AF2093" t="s">
        <v>796</v>
      </c>
      <c r="AG2093" t="s">
        <v>797</v>
      </c>
      <c r="AH2093">
        <v>150000</v>
      </c>
      <c r="AI2093">
        <v>150000</v>
      </c>
      <c r="AJ2093">
        <v>1</v>
      </c>
    </row>
    <row r="2094" spans="1:36" x14ac:dyDescent="0.3">
      <c r="A2094">
        <f>COUNTIF($D$2:D2094,D2094)</f>
        <v>19</v>
      </c>
      <c r="B2094" t="str">
        <f t="shared" si="129"/>
        <v>19St. Helens</v>
      </c>
      <c r="C2094" t="s">
        <v>5925</v>
      </c>
      <c r="D2094" t="s">
        <v>299</v>
      </c>
      <c r="E2094">
        <v>2009</v>
      </c>
      <c r="F2094" t="s">
        <v>5926</v>
      </c>
      <c r="G2094" t="s">
        <v>787</v>
      </c>
      <c r="H2094" t="s">
        <v>886</v>
      </c>
      <c r="I2094" t="s">
        <v>789</v>
      </c>
      <c r="J2094">
        <f t="shared" ca="1" si="130"/>
        <v>87000</v>
      </c>
      <c r="K2094">
        <f t="shared" ca="1" si="131"/>
        <v>1228</v>
      </c>
      <c r="N2094" t="str">
        <f t="shared" si="128"/>
        <v>Sefton40Equipment and TelecareAssistive Technologies and EquipmentCommunity based equipment</v>
      </c>
      <c r="O2094" t="s">
        <v>277</v>
      </c>
      <c r="P2094" t="s">
        <v>1201</v>
      </c>
      <c r="Q2094">
        <v>40</v>
      </c>
      <c r="R2094" t="s">
        <v>5428</v>
      </c>
      <c r="S2094" t="s">
        <v>800</v>
      </c>
      <c r="T2094" t="s">
        <v>800</v>
      </c>
      <c r="U2094" t="s">
        <v>903</v>
      </c>
      <c r="W2094">
        <v>4000</v>
      </c>
      <c r="X2094">
        <v>5000</v>
      </c>
      <c r="Y2094" t="s">
        <v>802</v>
      </c>
      <c r="Z2094" t="s">
        <v>792</v>
      </c>
      <c r="AB2094" t="s">
        <v>793</v>
      </c>
      <c r="AD2094" t="s">
        <v>794</v>
      </c>
      <c r="AE2094" t="s">
        <v>795</v>
      </c>
      <c r="AF2094" t="s">
        <v>796</v>
      </c>
      <c r="AG2094" t="s">
        <v>797</v>
      </c>
      <c r="AH2094">
        <v>73000</v>
      </c>
      <c r="AI2094">
        <v>73000</v>
      </c>
      <c r="AJ2094">
        <v>0.1</v>
      </c>
    </row>
    <row r="2095" spans="1:36" x14ac:dyDescent="0.3">
      <c r="A2095">
        <f>COUNTIF($D$2:D2095,D2095)</f>
        <v>20</v>
      </c>
      <c r="B2095" t="str">
        <f t="shared" si="129"/>
        <v>20St. Helens</v>
      </c>
      <c r="C2095" t="s">
        <v>5927</v>
      </c>
      <c r="D2095" t="s">
        <v>299</v>
      </c>
      <c r="E2095">
        <v>1050</v>
      </c>
      <c r="F2095" t="s">
        <v>5928</v>
      </c>
      <c r="G2095" t="s">
        <v>806</v>
      </c>
      <c r="H2095" t="s">
        <v>807</v>
      </c>
      <c r="I2095" t="s">
        <v>808</v>
      </c>
      <c r="J2095">
        <f t="shared" ca="1" si="130"/>
        <v>1387988</v>
      </c>
      <c r="K2095">
        <f t="shared" ca="1" si="131"/>
        <v>38</v>
      </c>
      <c r="N2095" t="str">
        <f t="shared" si="128"/>
        <v>Sefton41DFGDFG Related SchemesAdaptations, including statutory DFG grants</v>
      </c>
      <c r="O2095" t="s">
        <v>277</v>
      </c>
      <c r="P2095" t="s">
        <v>1201</v>
      </c>
      <c r="Q2095">
        <v>41</v>
      </c>
      <c r="R2095" t="s">
        <v>840</v>
      </c>
      <c r="S2095" t="s">
        <v>834</v>
      </c>
      <c r="T2095" t="s">
        <v>834</v>
      </c>
      <c r="U2095" t="s">
        <v>835</v>
      </c>
      <c r="W2095">
        <v>623</v>
      </c>
      <c r="X2095">
        <v>823</v>
      </c>
      <c r="Y2095" t="s">
        <v>836</v>
      </c>
      <c r="Z2095" t="s">
        <v>792</v>
      </c>
      <c r="AB2095" t="s">
        <v>824</v>
      </c>
      <c r="AD2095" t="s">
        <v>794</v>
      </c>
      <c r="AE2095" t="s">
        <v>795</v>
      </c>
      <c r="AF2095" t="s">
        <v>840</v>
      </c>
      <c r="AG2095" t="s">
        <v>797</v>
      </c>
      <c r="AH2095">
        <v>4823370</v>
      </c>
      <c r="AI2095">
        <v>4823370</v>
      </c>
      <c r="AJ2095">
        <v>1</v>
      </c>
    </row>
    <row r="2096" spans="1:36" x14ac:dyDescent="0.3">
      <c r="A2096">
        <f>COUNTIF($D$2:D2096,D2096)</f>
        <v>21</v>
      </c>
      <c r="B2096" t="str">
        <f t="shared" si="129"/>
        <v>21St. Helens</v>
      </c>
      <c r="C2096" t="s">
        <v>5929</v>
      </c>
      <c r="D2096" t="s">
        <v>299</v>
      </c>
      <c r="E2096">
        <v>1051</v>
      </c>
      <c r="F2096" t="s">
        <v>5930</v>
      </c>
      <c r="G2096" t="s">
        <v>806</v>
      </c>
      <c r="H2096" t="s">
        <v>873</v>
      </c>
      <c r="I2096" t="s">
        <v>808</v>
      </c>
      <c r="J2096">
        <f t="shared" ca="1" si="130"/>
        <v>2293506</v>
      </c>
      <c r="K2096">
        <f t="shared" ca="1" si="131"/>
        <v>21</v>
      </c>
      <c r="N2096" t="str">
        <f t="shared" si="128"/>
        <v>Sefton45Contribution to Placements &amp; PackagesResidential PlacementsSupported housing</v>
      </c>
      <c r="O2096" t="s">
        <v>277</v>
      </c>
      <c r="P2096" t="s">
        <v>1201</v>
      </c>
      <c r="Q2096">
        <v>45</v>
      </c>
      <c r="R2096" t="s">
        <v>5432</v>
      </c>
      <c r="S2096" t="s">
        <v>806</v>
      </c>
      <c r="T2096" t="s">
        <v>806</v>
      </c>
      <c r="U2096" t="s">
        <v>873</v>
      </c>
      <c r="W2096">
        <v>14</v>
      </c>
      <c r="X2096">
        <v>14</v>
      </c>
      <c r="Y2096" t="s">
        <v>808</v>
      </c>
      <c r="Z2096" t="s">
        <v>792</v>
      </c>
      <c r="AB2096" t="s">
        <v>793</v>
      </c>
      <c r="AD2096" t="s">
        <v>794</v>
      </c>
      <c r="AE2096" t="s">
        <v>804</v>
      </c>
      <c r="AF2096" t="s">
        <v>845</v>
      </c>
      <c r="AG2096" t="s">
        <v>797</v>
      </c>
      <c r="AH2096">
        <v>927590</v>
      </c>
      <c r="AI2096">
        <v>927590</v>
      </c>
      <c r="AJ2096">
        <v>0.14000000000000001</v>
      </c>
    </row>
    <row r="2097" spans="1:36" x14ac:dyDescent="0.3">
      <c r="A2097">
        <f>COUNTIF($D$2:D2097,D2097)</f>
        <v>22</v>
      </c>
      <c r="B2097" t="str">
        <f t="shared" si="129"/>
        <v>22St. Helens</v>
      </c>
      <c r="C2097" t="s">
        <v>5931</v>
      </c>
      <c r="D2097" t="s">
        <v>299</v>
      </c>
      <c r="E2097">
        <v>1052</v>
      </c>
      <c r="F2097" t="s">
        <v>5932</v>
      </c>
      <c r="G2097" t="s">
        <v>806</v>
      </c>
      <c r="H2097" t="s">
        <v>873</v>
      </c>
      <c r="I2097" t="s">
        <v>808</v>
      </c>
      <c r="J2097">
        <f t="shared" ca="1" si="130"/>
        <v>561000</v>
      </c>
      <c r="K2097">
        <f t="shared" ca="1" si="131"/>
        <v>3</v>
      </c>
      <c r="N2097" t="str">
        <f t="shared" si="128"/>
        <v>Sefton45Contribution to Placements &amp; PackagesResidential PlacementsLearning disability</v>
      </c>
      <c r="O2097" t="s">
        <v>277</v>
      </c>
      <c r="P2097" t="s">
        <v>1201</v>
      </c>
      <c r="Q2097">
        <v>45</v>
      </c>
      <c r="R2097" t="s">
        <v>5432</v>
      </c>
      <c r="S2097" t="s">
        <v>806</v>
      </c>
      <c r="T2097" t="s">
        <v>806</v>
      </c>
      <c r="U2097" t="s">
        <v>854</v>
      </c>
      <c r="W2097">
        <v>115</v>
      </c>
      <c r="X2097">
        <v>115</v>
      </c>
      <c r="Y2097" t="s">
        <v>808</v>
      </c>
      <c r="Z2097" t="s">
        <v>792</v>
      </c>
      <c r="AB2097" t="s">
        <v>793</v>
      </c>
      <c r="AD2097" t="s">
        <v>794</v>
      </c>
      <c r="AE2097" t="s">
        <v>804</v>
      </c>
      <c r="AF2097" t="s">
        <v>845</v>
      </c>
      <c r="AG2097" t="s">
        <v>797</v>
      </c>
      <c r="AH2097">
        <v>3906340</v>
      </c>
      <c r="AI2097">
        <v>3906340</v>
      </c>
      <c r="AJ2097">
        <v>0.14000000000000001</v>
      </c>
    </row>
    <row r="2098" spans="1:36" x14ac:dyDescent="0.3">
      <c r="A2098">
        <f>COUNTIF($D$2:D2098,D2098)</f>
        <v>23</v>
      </c>
      <c r="B2098" t="str">
        <f t="shared" si="129"/>
        <v>23St. Helens</v>
      </c>
      <c r="C2098" t="s">
        <v>5933</v>
      </c>
      <c r="D2098" t="s">
        <v>299</v>
      </c>
      <c r="E2098">
        <v>1053</v>
      </c>
      <c r="F2098" t="s">
        <v>5934</v>
      </c>
      <c r="G2098" t="s">
        <v>806</v>
      </c>
      <c r="H2098" t="s">
        <v>807</v>
      </c>
      <c r="I2098" t="s">
        <v>808</v>
      </c>
      <c r="J2098">
        <f t="shared" ca="1" si="130"/>
        <v>306755</v>
      </c>
      <c r="K2098">
        <f t="shared" ca="1" si="131"/>
        <v>8</v>
      </c>
      <c r="N2098" t="str">
        <f t="shared" si="128"/>
        <v>Sefton45Contribution to Placements &amp; PackagesResidential PlacementsCare home</v>
      </c>
      <c r="O2098" t="s">
        <v>277</v>
      </c>
      <c r="P2098" t="s">
        <v>1201</v>
      </c>
      <c r="Q2098">
        <v>45</v>
      </c>
      <c r="R2098" t="s">
        <v>5432</v>
      </c>
      <c r="S2098" t="s">
        <v>806</v>
      </c>
      <c r="T2098" t="s">
        <v>806</v>
      </c>
      <c r="U2098" t="s">
        <v>807</v>
      </c>
      <c r="W2098">
        <v>119</v>
      </c>
      <c r="X2098">
        <v>119</v>
      </c>
      <c r="Y2098" t="s">
        <v>808</v>
      </c>
      <c r="Z2098" t="s">
        <v>792</v>
      </c>
      <c r="AB2098" t="s">
        <v>793</v>
      </c>
      <c r="AD2098" t="s">
        <v>794</v>
      </c>
      <c r="AE2098" t="s">
        <v>804</v>
      </c>
      <c r="AF2098" t="s">
        <v>845</v>
      </c>
      <c r="AG2098" t="s">
        <v>797</v>
      </c>
      <c r="AH2098">
        <v>4003883</v>
      </c>
      <c r="AI2098">
        <v>4003883</v>
      </c>
      <c r="AJ2098">
        <v>0.13</v>
      </c>
    </row>
    <row r="2099" spans="1:36" x14ac:dyDescent="0.3">
      <c r="A2099">
        <f>COUNTIF($D$2:D2099,D2099)</f>
        <v>24</v>
      </c>
      <c r="B2099" t="str">
        <f t="shared" si="129"/>
        <v>24St. Helens</v>
      </c>
      <c r="C2099" t="s">
        <v>5935</v>
      </c>
      <c r="D2099" t="s">
        <v>299</v>
      </c>
      <c r="E2099">
        <v>1054</v>
      </c>
      <c r="F2099" t="s">
        <v>5936</v>
      </c>
      <c r="G2099" t="s">
        <v>806</v>
      </c>
      <c r="H2099" t="s">
        <v>873</v>
      </c>
      <c r="I2099" t="s">
        <v>808</v>
      </c>
      <c r="J2099">
        <f t="shared" ca="1" si="130"/>
        <v>1062402</v>
      </c>
      <c r="K2099">
        <f t="shared" ca="1" si="131"/>
        <v>31</v>
      </c>
      <c r="N2099" t="str">
        <f t="shared" si="128"/>
        <v>Sefton45Contribution to Placements &amp; PackagesResidential PlacementsNursing home</v>
      </c>
      <c r="O2099" t="s">
        <v>277</v>
      </c>
      <c r="P2099" t="s">
        <v>1201</v>
      </c>
      <c r="Q2099">
        <v>45</v>
      </c>
      <c r="R2099" t="s">
        <v>5432</v>
      </c>
      <c r="S2099" t="s">
        <v>806</v>
      </c>
      <c r="T2099" t="s">
        <v>806</v>
      </c>
      <c r="U2099" t="s">
        <v>917</v>
      </c>
      <c r="W2099">
        <v>66</v>
      </c>
      <c r="X2099">
        <v>66</v>
      </c>
      <c r="Y2099" t="s">
        <v>808</v>
      </c>
      <c r="Z2099" t="s">
        <v>792</v>
      </c>
      <c r="AB2099" t="s">
        <v>793</v>
      </c>
      <c r="AD2099" t="s">
        <v>794</v>
      </c>
      <c r="AE2099" t="s">
        <v>804</v>
      </c>
      <c r="AF2099" t="s">
        <v>845</v>
      </c>
      <c r="AG2099" t="s">
        <v>797</v>
      </c>
      <c r="AH2099">
        <v>2280050</v>
      </c>
      <c r="AI2099">
        <v>2280050</v>
      </c>
      <c r="AJ2099">
        <v>0.12</v>
      </c>
    </row>
    <row r="2100" spans="1:36" x14ac:dyDescent="0.3">
      <c r="A2100">
        <f>COUNTIF($D$2:D2100,D2100)</f>
        <v>25</v>
      </c>
      <c r="B2100" t="str">
        <f t="shared" si="129"/>
        <v>25St. Helens</v>
      </c>
      <c r="C2100" t="s">
        <v>5937</v>
      </c>
      <c r="D2100" t="s">
        <v>299</v>
      </c>
      <c r="E2100">
        <v>1055</v>
      </c>
      <c r="F2100" t="s">
        <v>5938</v>
      </c>
      <c r="G2100" t="s">
        <v>806</v>
      </c>
      <c r="H2100" t="s">
        <v>807</v>
      </c>
      <c r="I2100" t="s">
        <v>808</v>
      </c>
      <c r="J2100">
        <f t="shared" ca="1" si="130"/>
        <v>1114000</v>
      </c>
      <c r="K2100">
        <f t="shared" ca="1" si="131"/>
        <v>31</v>
      </c>
      <c r="N2100" t="str">
        <f t="shared" si="128"/>
        <v>Sefton45Contribution to Placements &amp; PackagesHome Care or Domiciliary CareDomiciliary care packages</v>
      </c>
      <c r="O2100" t="s">
        <v>277</v>
      </c>
      <c r="P2100" t="s">
        <v>1201</v>
      </c>
      <c r="Q2100">
        <v>45</v>
      </c>
      <c r="R2100" t="s">
        <v>5432</v>
      </c>
      <c r="S2100" t="s">
        <v>842</v>
      </c>
      <c r="T2100" t="s">
        <v>842</v>
      </c>
      <c r="U2100" t="s">
        <v>843</v>
      </c>
      <c r="W2100">
        <v>119200</v>
      </c>
      <c r="X2100">
        <v>119200</v>
      </c>
      <c r="Y2100" t="s">
        <v>844</v>
      </c>
      <c r="Z2100" t="s">
        <v>792</v>
      </c>
      <c r="AB2100" t="s">
        <v>793</v>
      </c>
      <c r="AD2100" t="s">
        <v>794</v>
      </c>
      <c r="AE2100" t="s">
        <v>804</v>
      </c>
      <c r="AF2100" t="s">
        <v>845</v>
      </c>
      <c r="AG2100" t="s">
        <v>797</v>
      </c>
      <c r="AH2100">
        <v>2571250.2999999998</v>
      </c>
      <c r="AI2100">
        <v>2571250</v>
      </c>
      <c r="AJ2100">
        <v>0.16</v>
      </c>
    </row>
    <row r="2101" spans="1:36" x14ac:dyDescent="0.3">
      <c r="A2101">
        <f>COUNTIF($D$2:D2101,D2101)</f>
        <v>26</v>
      </c>
      <c r="B2101" t="str">
        <f t="shared" si="129"/>
        <v>26St. Helens</v>
      </c>
      <c r="C2101" t="s">
        <v>5939</v>
      </c>
      <c r="D2101" t="s">
        <v>299</v>
      </c>
      <c r="E2101">
        <v>2010</v>
      </c>
      <c r="F2101" t="s">
        <v>5938</v>
      </c>
      <c r="G2101" t="s">
        <v>806</v>
      </c>
      <c r="H2101" t="s">
        <v>807</v>
      </c>
      <c r="I2101" t="s">
        <v>808</v>
      </c>
      <c r="J2101">
        <f t="shared" ca="1" si="130"/>
        <v>246000</v>
      </c>
      <c r="K2101">
        <f t="shared" ca="1" si="131"/>
        <v>7</v>
      </c>
      <c r="N2101" t="str">
        <f t="shared" si="128"/>
        <v>Sefton46NHS Transfer to Social CareResidential PlacementsLearning disability</v>
      </c>
      <c r="O2101" t="s">
        <v>277</v>
      </c>
      <c r="P2101" t="s">
        <v>1201</v>
      </c>
      <c r="Q2101">
        <v>46</v>
      </c>
      <c r="R2101" t="s">
        <v>5438</v>
      </c>
      <c r="S2101" t="s">
        <v>806</v>
      </c>
      <c r="T2101" t="s">
        <v>806</v>
      </c>
      <c r="U2101" t="s">
        <v>854</v>
      </c>
      <c r="W2101">
        <v>66</v>
      </c>
      <c r="X2101">
        <v>71</v>
      </c>
      <c r="Y2101" t="s">
        <v>808</v>
      </c>
      <c r="Z2101" t="s">
        <v>792</v>
      </c>
      <c r="AB2101" t="s">
        <v>793</v>
      </c>
      <c r="AD2101" t="s">
        <v>794</v>
      </c>
      <c r="AE2101" t="s">
        <v>804</v>
      </c>
      <c r="AF2101" t="s">
        <v>796</v>
      </c>
      <c r="AG2101" t="s">
        <v>797</v>
      </c>
      <c r="AH2101">
        <v>2246354</v>
      </c>
      <c r="AI2101">
        <v>2383548</v>
      </c>
      <c r="AJ2101">
        <v>0.08</v>
      </c>
    </row>
    <row r="2102" spans="1:36" x14ac:dyDescent="0.3">
      <c r="A2102">
        <f>COUNTIF($D$2:D2102,D2102)</f>
        <v>27</v>
      </c>
      <c r="B2102" t="str">
        <f t="shared" si="129"/>
        <v>27St. Helens</v>
      </c>
      <c r="C2102" t="s">
        <v>5940</v>
      </c>
      <c r="D2102" t="s">
        <v>299</v>
      </c>
      <c r="E2102">
        <v>3004</v>
      </c>
      <c r="F2102" t="s">
        <v>5941</v>
      </c>
      <c r="G2102" t="s">
        <v>842</v>
      </c>
      <c r="H2102" t="s">
        <v>1594</v>
      </c>
      <c r="I2102" t="s">
        <v>844</v>
      </c>
      <c r="J2102">
        <f t="shared" ca="1" si="130"/>
        <v>300000</v>
      </c>
      <c r="K2102">
        <f t="shared" ca="1" si="131"/>
        <v>12500</v>
      </c>
      <c r="N2102" t="str">
        <f t="shared" si="128"/>
        <v>Sefton46NHS Transfer to Social CareResidential PlacementsCare home</v>
      </c>
      <c r="O2102" t="s">
        <v>277</v>
      </c>
      <c r="P2102" t="s">
        <v>1201</v>
      </c>
      <c r="Q2102">
        <v>46</v>
      </c>
      <c r="R2102" t="s">
        <v>5438</v>
      </c>
      <c r="S2102" t="s">
        <v>806</v>
      </c>
      <c r="T2102" t="s">
        <v>806</v>
      </c>
      <c r="U2102" t="s">
        <v>807</v>
      </c>
      <c r="W2102">
        <v>68</v>
      </c>
      <c r="X2102">
        <v>72</v>
      </c>
      <c r="Y2102" t="s">
        <v>808</v>
      </c>
      <c r="Z2102" t="s">
        <v>792</v>
      </c>
      <c r="AB2102" t="s">
        <v>793</v>
      </c>
      <c r="AD2102" t="s">
        <v>794</v>
      </c>
      <c r="AE2102" t="s">
        <v>804</v>
      </c>
      <c r="AF2102" t="s">
        <v>796</v>
      </c>
      <c r="AG2102" t="s">
        <v>797</v>
      </c>
      <c r="AH2102">
        <v>2302438</v>
      </c>
      <c r="AI2102">
        <v>2443057</v>
      </c>
      <c r="AJ2102">
        <v>0.08</v>
      </c>
    </row>
    <row r="2103" spans="1:36" x14ac:dyDescent="0.3">
      <c r="A2103">
        <f>COUNTIF($D$2:D2103,D2103)</f>
        <v>1</v>
      </c>
      <c r="B2103" t="str">
        <f t="shared" si="129"/>
        <v>1Staffordshire</v>
      </c>
      <c r="C2103" t="s">
        <v>5942</v>
      </c>
      <c r="D2103" t="s">
        <v>301</v>
      </c>
      <c r="E2103">
        <v>1</v>
      </c>
      <c r="F2103" t="s">
        <v>1051</v>
      </c>
      <c r="G2103" t="s">
        <v>800</v>
      </c>
      <c r="H2103" t="s">
        <v>903</v>
      </c>
      <c r="I2103" t="s">
        <v>802</v>
      </c>
      <c r="J2103">
        <f t="shared" ca="1" si="130"/>
        <v>1363864.5630000001</v>
      </c>
      <c r="K2103">
        <f t="shared" ca="1" si="131"/>
        <v>910</v>
      </c>
      <c r="N2103" t="str">
        <f t="shared" si="128"/>
        <v>Sefton46NHS Transfer to Social CareResidential PlacementsNursing home</v>
      </c>
      <c r="O2103" t="s">
        <v>277</v>
      </c>
      <c r="P2103" t="s">
        <v>1201</v>
      </c>
      <c r="Q2103">
        <v>46</v>
      </c>
      <c r="R2103" t="s">
        <v>5438</v>
      </c>
      <c r="S2103" t="s">
        <v>806</v>
      </c>
      <c r="T2103" t="s">
        <v>806</v>
      </c>
      <c r="U2103" t="s">
        <v>917</v>
      </c>
      <c r="W2103">
        <v>38</v>
      </c>
      <c r="X2103">
        <v>40</v>
      </c>
      <c r="Y2103" t="s">
        <v>808</v>
      </c>
      <c r="Z2103" t="s">
        <v>792</v>
      </c>
      <c r="AB2103" t="s">
        <v>793</v>
      </c>
      <c r="AD2103" t="s">
        <v>794</v>
      </c>
      <c r="AE2103" t="s">
        <v>804</v>
      </c>
      <c r="AF2103" t="s">
        <v>796</v>
      </c>
      <c r="AG2103" t="s">
        <v>797</v>
      </c>
      <c r="AH2103">
        <v>1311145</v>
      </c>
      <c r="AI2103">
        <v>1391222</v>
      </c>
      <c r="AJ2103">
        <v>0.08</v>
      </c>
    </row>
    <row r="2104" spans="1:36" x14ac:dyDescent="0.3">
      <c r="A2104">
        <f>COUNTIF($D$2:D2104,D2104)</f>
        <v>2</v>
      </c>
      <c r="B2104" t="str">
        <f t="shared" si="129"/>
        <v>2Staffordshire</v>
      </c>
      <c r="C2104" t="s">
        <v>5943</v>
      </c>
      <c r="D2104" t="s">
        <v>301</v>
      </c>
      <c r="E2104">
        <v>2</v>
      </c>
      <c r="F2104" t="s">
        <v>1051</v>
      </c>
      <c r="G2104" t="s">
        <v>800</v>
      </c>
      <c r="H2104" t="s">
        <v>903</v>
      </c>
      <c r="I2104" t="s">
        <v>802</v>
      </c>
      <c r="J2104">
        <f t="shared" ca="1" si="130"/>
        <v>5120588.9573999997</v>
      </c>
      <c r="K2104">
        <f t="shared" ca="1" si="131"/>
        <v>3421</v>
      </c>
      <c r="N2104" t="str">
        <f t="shared" si="128"/>
        <v>Sefton46NHS Transfer to Social CareHome Care or Domiciliary CareDomiciliary care packages</v>
      </c>
      <c r="O2104" t="s">
        <v>277</v>
      </c>
      <c r="P2104" t="s">
        <v>1201</v>
      </c>
      <c r="Q2104">
        <v>46</v>
      </c>
      <c r="R2104" t="s">
        <v>5438</v>
      </c>
      <c r="S2104" t="s">
        <v>842</v>
      </c>
      <c r="T2104" t="s">
        <v>842</v>
      </c>
      <c r="U2104" t="s">
        <v>843</v>
      </c>
      <c r="W2104">
        <v>68550</v>
      </c>
      <c r="X2104">
        <v>72750</v>
      </c>
      <c r="Y2104" t="s">
        <v>844</v>
      </c>
      <c r="Z2104" t="s">
        <v>792</v>
      </c>
      <c r="AB2104" t="s">
        <v>793</v>
      </c>
      <c r="AD2104" t="s">
        <v>794</v>
      </c>
      <c r="AE2104" t="s">
        <v>804</v>
      </c>
      <c r="AF2104" t="s">
        <v>796</v>
      </c>
      <c r="AG2104" t="s">
        <v>797</v>
      </c>
      <c r="AH2104">
        <v>1478615</v>
      </c>
      <c r="AI2104">
        <v>1568920</v>
      </c>
      <c r="AJ2104">
        <v>0.1</v>
      </c>
    </row>
    <row r="2105" spans="1:36" x14ac:dyDescent="0.3">
      <c r="A2105">
        <f>COUNTIF($D$2:D2105,D2105)</f>
        <v>3</v>
      </c>
      <c r="B2105" t="str">
        <f t="shared" si="129"/>
        <v>3Staffordshire</v>
      </c>
      <c r="C2105" t="s">
        <v>5944</v>
      </c>
      <c r="D2105" t="s">
        <v>301</v>
      </c>
      <c r="E2105">
        <v>16</v>
      </c>
      <c r="F2105" t="s">
        <v>5945</v>
      </c>
      <c r="G2105" t="s">
        <v>787</v>
      </c>
      <c r="H2105" t="s">
        <v>788</v>
      </c>
      <c r="I2105" t="s">
        <v>789</v>
      </c>
      <c r="J2105">
        <f t="shared" ca="1" si="130"/>
        <v>6551988.2226</v>
      </c>
      <c r="K2105">
        <f t="shared" ca="1" si="131"/>
        <v>8190</v>
      </c>
      <c r="N2105" t="str">
        <f t="shared" si="128"/>
        <v>Sefton46NHS Transfer to Social CareResidential PlacementsSupported housing</v>
      </c>
      <c r="O2105" t="s">
        <v>277</v>
      </c>
      <c r="P2105" t="s">
        <v>1201</v>
      </c>
      <c r="Q2105">
        <v>46</v>
      </c>
      <c r="R2105" t="s">
        <v>5438</v>
      </c>
      <c r="S2105" t="s">
        <v>806</v>
      </c>
      <c r="T2105" t="s">
        <v>806</v>
      </c>
      <c r="U2105" t="s">
        <v>873</v>
      </c>
      <c r="W2105">
        <v>8</v>
      </c>
      <c r="X2105">
        <v>8</v>
      </c>
      <c r="Y2105" t="s">
        <v>808</v>
      </c>
      <c r="Z2105" t="s">
        <v>792</v>
      </c>
      <c r="AB2105" t="s">
        <v>793</v>
      </c>
      <c r="AD2105" t="s">
        <v>794</v>
      </c>
      <c r="AE2105" t="s">
        <v>804</v>
      </c>
      <c r="AF2105" t="s">
        <v>796</v>
      </c>
      <c r="AG2105" t="s">
        <v>797</v>
      </c>
      <c r="AH2105">
        <v>533417</v>
      </c>
      <c r="AI2105">
        <v>565995</v>
      </c>
      <c r="AJ2105">
        <v>0.09</v>
      </c>
    </row>
    <row r="2106" spans="1:36" x14ac:dyDescent="0.3">
      <c r="A2106">
        <f>COUNTIF($D$2:D2106,D2106)</f>
        <v>4</v>
      </c>
      <c r="B2106" t="str">
        <f t="shared" si="129"/>
        <v>4Staffordshire</v>
      </c>
      <c r="C2106" t="s">
        <v>5946</v>
      </c>
      <c r="D2106" t="s">
        <v>301</v>
      </c>
      <c r="E2106">
        <v>23</v>
      </c>
      <c r="F2106" t="s">
        <v>1447</v>
      </c>
      <c r="G2106" t="s">
        <v>842</v>
      </c>
      <c r="H2106" t="s">
        <v>843</v>
      </c>
      <c r="I2106" t="s">
        <v>844</v>
      </c>
      <c r="J2106">
        <f t="shared" ca="1" si="130"/>
        <v>6619702.5467999997</v>
      </c>
      <c r="K2106">
        <f t="shared" ca="1" si="131"/>
        <v>303656</v>
      </c>
      <c r="N2106" t="str">
        <f t="shared" si="128"/>
        <v>Sefton49Sefton LA DischargeHome Care or Domiciliary CareOther</v>
      </c>
      <c r="O2106" t="s">
        <v>277</v>
      </c>
      <c r="P2106" t="s">
        <v>1201</v>
      </c>
      <c r="Q2106">
        <v>49</v>
      </c>
      <c r="R2106" t="s">
        <v>5447</v>
      </c>
      <c r="S2106" t="s">
        <v>5947</v>
      </c>
      <c r="T2106" t="s">
        <v>842</v>
      </c>
      <c r="U2106" t="s">
        <v>812</v>
      </c>
      <c r="V2106" t="s">
        <v>5948</v>
      </c>
      <c r="W2106">
        <v>67150</v>
      </c>
      <c r="X2106">
        <v>67150</v>
      </c>
      <c r="Y2106" t="s">
        <v>844</v>
      </c>
      <c r="Z2106" t="s">
        <v>792</v>
      </c>
      <c r="AB2106" t="s">
        <v>793</v>
      </c>
      <c r="AD2106" t="s">
        <v>794</v>
      </c>
      <c r="AE2106" t="s">
        <v>804</v>
      </c>
      <c r="AF2106" t="s">
        <v>864</v>
      </c>
      <c r="AG2106" t="s">
        <v>861</v>
      </c>
      <c r="AH2106">
        <v>1448000.0000000002</v>
      </c>
      <c r="AI2106">
        <v>2903133</v>
      </c>
      <c r="AJ2106">
        <v>1</v>
      </c>
    </row>
    <row r="2107" spans="1:36" x14ac:dyDescent="0.3">
      <c r="A2107">
        <f>COUNTIF($D$2:D2107,D2107)</f>
        <v>5</v>
      </c>
      <c r="B2107" t="str">
        <f t="shared" si="129"/>
        <v>5Staffordshire</v>
      </c>
      <c r="C2107" t="s">
        <v>5949</v>
      </c>
      <c r="D2107" t="s">
        <v>301</v>
      </c>
      <c r="E2107">
        <v>24</v>
      </c>
      <c r="F2107" t="s">
        <v>1447</v>
      </c>
      <c r="G2107" t="s">
        <v>842</v>
      </c>
      <c r="H2107" t="s">
        <v>843</v>
      </c>
      <c r="I2107" t="s">
        <v>844</v>
      </c>
      <c r="J2107">
        <f t="shared" ca="1" si="130"/>
        <v>25347969</v>
      </c>
      <c r="K2107">
        <f t="shared" ca="1" si="131"/>
        <v>1162750</v>
      </c>
      <c r="N2107" t="str">
        <f t="shared" si="128"/>
        <v>Sefton50ICB Discharge Bed based intermediate Care Services (Reablement, rehabilitation, wider short-term services supporting recovery)Bed-based intermediate care with reablement (to support discharge)</v>
      </c>
      <c r="O2107" t="s">
        <v>277</v>
      </c>
      <c r="P2107" t="s">
        <v>1201</v>
      </c>
      <c r="Q2107">
        <v>50</v>
      </c>
      <c r="R2107" t="s">
        <v>5450</v>
      </c>
      <c r="S2107" t="s">
        <v>5950</v>
      </c>
      <c r="T2107" t="s">
        <v>877</v>
      </c>
      <c r="U2107" t="s">
        <v>878</v>
      </c>
      <c r="W2107">
        <v>95</v>
      </c>
      <c r="X2107">
        <v>95</v>
      </c>
      <c r="Y2107" t="s">
        <v>879</v>
      </c>
      <c r="Z2107" t="s">
        <v>1118</v>
      </c>
      <c r="AB2107" t="s">
        <v>824</v>
      </c>
      <c r="AD2107" t="s">
        <v>794</v>
      </c>
      <c r="AE2107" t="s">
        <v>832</v>
      </c>
      <c r="AF2107" t="s">
        <v>860</v>
      </c>
      <c r="AG2107" t="s">
        <v>861</v>
      </c>
      <c r="AH2107">
        <v>1291225</v>
      </c>
      <c r="AI2107">
        <v>1291225</v>
      </c>
      <c r="AJ2107">
        <v>1</v>
      </c>
    </row>
    <row r="2108" spans="1:36" x14ac:dyDescent="0.3">
      <c r="A2108">
        <f>COUNTIF($D$2:D2108,D2108)</f>
        <v>6</v>
      </c>
      <c r="B2108" t="str">
        <f t="shared" si="129"/>
        <v>6Staffordshire</v>
      </c>
      <c r="C2108" t="s">
        <v>5951</v>
      </c>
      <c r="D2108" t="s">
        <v>301</v>
      </c>
      <c r="E2108">
        <v>25</v>
      </c>
      <c r="F2108" t="s">
        <v>1447</v>
      </c>
      <c r="G2108" t="s">
        <v>842</v>
      </c>
      <c r="H2108" t="s">
        <v>843</v>
      </c>
      <c r="I2108" t="s">
        <v>844</v>
      </c>
      <c r="J2108">
        <f t="shared" ca="1" si="130"/>
        <v>329694</v>
      </c>
      <c r="K2108">
        <f t="shared" ca="1" si="131"/>
        <v>15123</v>
      </c>
      <c r="N2108" t="str">
        <f t="shared" si="128"/>
        <v>Sefton50ICB Discharge Bed based intermediate Care Services (Reablement, rehabilitation, wider short-term services supporting recovery)Bed-based intermediate care with reablement (to support discharge)</v>
      </c>
      <c r="O2108" t="s">
        <v>277</v>
      </c>
      <c r="P2108" t="s">
        <v>1201</v>
      </c>
      <c r="Q2108">
        <v>50</v>
      </c>
      <c r="R2108" t="s">
        <v>5450</v>
      </c>
      <c r="S2108" t="s">
        <v>5952</v>
      </c>
      <c r="T2108" t="s">
        <v>877</v>
      </c>
      <c r="U2108" t="s">
        <v>878</v>
      </c>
      <c r="W2108">
        <v>43</v>
      </c>
      <c r="X2108">
        <v>43</v>
      </c>
      <c r="Y2108" t="s">
        <v>879</v>
      </c>
      <c r="Z2108" t="s">
        <v>1118</v>
      </c>
      <c r="AB2108" t="s">
        <v>824</v>
      </c>
      <c r="AD2108" t="s">
        <v>794</v>
      </c>
      <c r="AE2108" t="s">
        <v>832</v>
      </c>
      <c r="AF2108" t="s">
        <v>860</v>
      </c>
      <c r="AG2108" t="s">
        <v>861</v>
      </c>
      <c r="AH2108">
        <v>162000</v>
      </c>
      <c r="AI2108">
        <v>162000</v>
      </c>
      <c r="AJ2108">
        <v>1</v>
      </c>
    </row>
    <row r="2109" spans="1:36" x14ac:dyDescent="0.3">
      <c r="A2109">
        <f>COUNTIF($D$2:D2109,D2109)</f>
        <v>7</v>
      </c>
      <c r="B2109" t="str">
        <f t="shared" si="129"/>
        <v>7Staffordshire</v>
      </c>
      <c r="C2109" t="s">
        <v>5953</v>
      </c>
      <c r="D2109" t="s">
        <v>301</v>
      </c>
      <c r="E2109">
        <v>26</v>
      </c>
      <c r="F2109" t="s">
        <v>891</v>
      </c>
      <c r="G2109" t="s">
        <v>834</v>
      </c>
      <c r="H2109" t="s">
        <v>812</v>
      </c>
      <c r="I2109" t="s">
        <v>836</v>
      </c>
      <c r="J2109">
        <f t="shared" ca="1" si="130"/>
        <v>10005367</v>
      </c>
      <c r="K2109">
        <f t="shared" ca="1" si="131"/>
        <v>400</v>
      </c>
      <c r="N2109" t="str">
        <f t="shared" si="128"/>
        <v>Sheffield1People Keeping Well Carer SupportCarers ServicesCarer advice and support related to Care Act duties</v>
      </c>
      <c r="O2109" t="s">
        <v>279</v>
      </c>
      <c r="P2109" t="s">
        <v>922</v>
      </c>
      <c r="Q2109">
        <v>1</v>
      </c>
      <c r="R2109" t="s">
        <v>5453</v>
      </c>
      <c r="S2109" t="s">
        <v>5954</v>
      </c>
      <c r="T2109" t="s">
        <v>811</v>
      </c>
      <c r="U2109" t="s">
        <v>895</v>
      </c>
      <c r="W2109">
        <v>13740</v>
      </c>
      <c r="X2109">
        <v>15740</v>
      </c>
      <c r="Y2109" t="s">
        <v>813</v>
      </c>
      <c r="Z2109" t="s">
        <v>823</v>
      </c>
      <c r="AB2109" t="s">
        <v>793</v>
      </c>
      <c r="AD2109" t="s">
        <v>794</v>
      </c>
      <c r="AE2109" t="s">
        <v>795</v>
      </c>
      <c r="AF2109" t="s">
        <v>1029</v>
      </c>
      <c r="AG2109" t="s">
        <v>797</v>
      </c>
      <c r="AH2109">
        <v>588200</v>
      </c>
      <c r="AI2109">
        <v>588200</v>
      </c>
      <c r="AJ2109">
        <v>1</v>
      </c>
    </row>
    <row r="2110" spans="1:36" x14ac:dyDescent="0.3">
      <c r="A2110">
        <f>COUNTIF($D$2:D2110,D2110)</f>
        <v>8</v>
      </c>
      <c r="B2110" t="str">
        <f t="shared" si="129"/>
        <v>8Staffordshire</v>
      </c>
      <c r="C2110" t="s">
        <v>5955</v>
      </c>
      <c r="D2110" t="s">
        <v>301</v>
      </c>
      <c r="E2110">
        <v>30</v>
      </c>
      <c r="F2110" t="s">
        <v>5956</v>
      </c>
      <c r="G2110" t="s">
        <v>877</v>
      </c>
      <c r="H2110" t="s">
        <v>1015</v>
      </c>
      <c r="I2110" t="s">
        <v>879</v>
      </c>
      <c r="J2110">
        <f t="shared" ca="1" si="130"/>
        <v>1237396.9391999999</v>
      </c>
      <c r="K2110">
        <f t="shared" ca="1" si="131"/>
        <v>10</v>
      </c>
      <c r="N2110" t="str">
        <f t="shared" si="128"/>
        <v>Sheffield17Active Support and Recovery Bed Based TeamsBed based intermediate Care Services (Reablement, rehabilitation, wider short-term services supporting recovery)Bed-based intermediate care with rehabilitation (to support discharge)</v>
      </c>
      <c r="O2110" t="s">
        <v>279</v>
      </c>
      <c r="P2110" t="s">
        <v>922</v>
      </c>
      <c r="Q2110">
        <v>17</v>
      </c>
      <c r="R2110" t="s">
        <v>5455</v>
      </c>
      <c r="S2110" t="s">
        <v>5957</v>
      </c>
      <c r="T2110" t="s">
        <v>877</v>
      </c>
      <c r="U2110" t="s">
        <v>968</v>
      </c>
      <c r="W2110">
        <v>1536</v>
      </c>
      <c r="X2110">
        <v>1536</v>
      </c>
      <c r="Y2110" t="s">
        <v>879</v>
      </c>
      <c r="Z2110" t="s">
        <v>823</v>
      </c>
      <c r="AB2110" t="s">
        <v>824</v>
      </c>
      <c r="AD2110" t="s">
        <v>794</v>
      </c>
      <c r="AE2110" t="s">
        <v>832</v>
      </c>
      <c r="AF2110" t="s">
        <v>1042</v>
      </c>
      <c r="AG2110" t="s">
        <v>797</v>
      </c>
      <c r="AH2110">
        <v>25265625</v>
      </c>
      <c r="AI2110">
        <v>25265625</v>
      </c>
      <c r="AJ2110">
        <v>1</v>
      </c>
    </row>
    <row r="2111" spans="1:36" x14ac:dyDescent="0.3">
      <c r="A2111">
        <f>COUNTIF($D$2:D2111,D2111)</f>
        <v>9</v>
      </c>
      <c r="B2111" t="str">
        <f t="shared" si="129"/>
        <v>9Staffordshire</v>
      </c>
      <c r="C2111" t="s">
        <v>5958</v>
      </c>
      <c r="D2111" t="s">
        <v>301</v>
      </c>
      <c r="E2111">
        <v>31</v>
      </c>
      <c r="F2111" t="s">
        <v>5959</v>
      </c>
      <c r="G2111" t="s">
        <v>877</v>
      </c>
      <c r="H2111" t="s">
        <v>1015</v>
      </c>
      <c r="I2111" t="s">
        <v>879</v>
      </c>
      <c r="J2111">
        <f t="shared" ca="1" si="130"/>
        <v>2208581.3952000001</v>
      </c>
      <c r="K2111">
        <f t="shared" ca="1" si="131"/>
        <v>70</v>
      </c>
      <c r="N2111" t="str">
        <f t="shared" si="128"/>
        <v>Sheffield20Independent Living Solutions Community EquipmentAssistive Technologies and EquipmentCommunity based equipment</v>
      </c>
      <c r="O2111" t="s">
        <v>279</v>
      </c>
      <c r="P2111" t="s">
        <v>922</v>
      </c>
      <c r="Q2111">
        <v>20</v>
      </c>
      <c r="R2111" t="s">
        <v>5458</v>
      </c>
      <c r="S2111" t="s">
        <v>5960</v>
      </c>
      <c r="T2111" t="s">
        <v>800</v>
      </c>
      <c r="U2111" t="s">
        <v>903</v>
      </c>
      <c r="W2111">
        <v>14783</v>
      </c>
      <c r="X2111">
        <v>14783</v>
      </c>
      <c r="Y2111" t="s">
        <v>802</v>
      </c>
      <c r="Z2111" t="s">
        <v>823</v>
      </c>
      <c r="AB2111" t="s">
        <v>824</v>
      </c>
      <c r="AD2111" t="s">
        <v>794</v>
      </c>
      <c r="AE2111" t="s">
        <v>804</v>
      </c>
      <c r="AF2111" t="s">
        <v>796</v>
      </c>
      <c r="AG2111" t="s">
        <v>797</v>
      </c>
      <c r="AH2111">
        <v>2902984</v>
      </c>
      <c r="AI2111">
        <v>2902984</v>
      </c>
      <c r="AJ2111">
        <v>1</v>
      </c>
    </row>
    <row r="2112" spans="1:36" x14ac:dyDescent="0.3">
      <c r="A2112">
        <f>COUNTIF($D$2:D2112,D2112)</f>
        <v>10</v>
      </c>
      <c r="B2112" t="str">
        <f t="shared" si="129"/>
        <v>10Staffordshire</v>
      </c>
      <c r="C2112" t="s">
        <v>5961</v>
      </c>
      <c r="D2112" t="s">
        <v>301</v>
      </c>
      <c r="E2112">
        <v>32</v>
      </c>
      <c r="F2112" t="s">
        <v>5962</v>
      </c>
      <c r="G2112" t="s">
        <v>877</v>
      </c>
      <c r="H2112" t="s">
        <v>1259</v>
      </c>
      <c r="I2112" t="s">
        <v>879</v>
      </c>
      <c r="J2112">
        <f t="shared" ca="1" si="130"/>
        <v>5435024.6645999998</v>
      </c>
      <c r="K2112">
        <f t="shared" ca="1" si="131"/>
        <v>55</v>
      </c>
      <c r="N2112" t="str">
        <f t="shared" si="128"/>
        <v>Sheffield21Independent Living Solutions Community EquipmentAssistive Technologies and EquipmentCommunity based equipment</v>
      </c>
      <c r="O2112" t="s">
        <v>279</v>
      </c>
      <c r="P2112" t="s">
        <v>922</v>
      </c>
      <c r="Q2112">
        <v>21</v>
      </c>
      <c r="R2112" t="s">
        <v>5458</v>
      </c>
      <c r="S2112" t="s">
        <v>5960</v>
      </c>
      <c r="T2112" t="s">
        <v>800</v>
      </c>
      <c r="U2112" t="s">
        <v>903</v>
      </c>
      <c r="W2112">
        <v>7615</v>
      </c>
      <c r="X2112">
        <v>7615</v>
      </c>
      <c r="Y2112" t="s">
        <v>802</v>
      </c>
      <c r="Z2112" t="s">
        <v>823</v>
      </c>
      <c r="AB2112" t="s">
        <v>793</v>
      </c>
      <c r="AD2112" t="s">
        <v>794</v>
      </c>
      <c r="AE2112" t="s">
        <v>804</v>
      </c>
      <c r="AF2112" t="s">
        <v>1029</v>
      </c>
      <c r="AG2112" t="s">
        <v>797</v>
      </c>
      <c r="AH2112">
        <v>1223400</v>
      </c>
      <c r="AI2112">
        <v>1223400</v>
      </c>
      <c r="AJ2112">
        <v>1</v>
      </c>
    </row>
    <row r="2113" spans="1:36" x14ac:dyDescent="0.3">
      <c r="A2113">
        <f>COUNTIF($D$2:D2113,D2113)</f>
        <v>11</v>
      </c>
      <c r="B2113" t="str">
        <f t="shared" si="129"/>
        <v>11Staffordshire</v>
      </c>
      <c r="C2113" t="s">
        <v>5963</v>
      </c>
      <c r="D2113" t="s">
        <v>301</v>
      </c>
      <c r="E2113">
        <v>35</v>
      </c>
      <c r="F2113" t="s">
        <v>5964</v>
      </c>
      <c r="G2113" t="s">
        <v>842</v>
      </c>
      <c r="H2113" t="s">
        <v>843</v>
      </c>
      <c r="I2113" t="s">
        <v>844</v>
      </c>
      <c r="J2113">
        <f t="shared" ca="1" si="130"/>
        <v>1673834.0220000001</v>
      </c>
      <c r="K2113">
        <f t="shared" ca="1" si="131"/>
        <v>76781</v>
      </c>
      <c r="N2113" t="str">
        <f t="shared" si="128"/>
        <v>Sheffield23Independent Living Solutions Community Equipment TeamAssistive Technologies and EquipmentCommunity based equipment</v>
      </c>
      <c r="O2113" t="s">
        <v>279</v>
      </c>
      <c r="P2113" t="s">
        <v>922</v>
      </c>
      <c r="Q2113">
        <v>23</v>
      </c>
      <c r="R2113" t="s">
        <v>5461</v>
      </c>
      <c r="S2113" t="s">
        <v>5965</v>
      </c>
      <c r="T2113" t="s">
        <v>800</v>
      </c>
      <c r="U2113" t="s">
        <v>903</v>
      </c>
      <c r="W2113">
        <v>40</v>
      </c>
      <c r="X2113">
        <v>40</v>
      </c>
      <c r="Y2113" t="s">
        <v>802</v>
      </c>
      <c r="Z2113" t="s">
        <v>823</v>
      </c>
      <c r="AB2113" t="s">
        <v>793</v>
      </c>
      <c r="AD2113" t="s">
        <v>794</v>
      </c>
      <c r="AE2113" t="s">
        <v>795</v>
      </c>
      <c r="AF2113" t="s">
        <v>845</v>
      </c>
      <c r="AG2113" t="s">
        <v>797</v>
      </c>
      <c r="AH2113">
        <v>55268</v>
      </c>
      <c r="AI2113">
        <v>55268</v>
      </c>
      <c r="AJ2113">
        <v>1</v>
      </c>
    </row>
    <row r="2114" spans="1:36" x14ac:dyDescent="0.3">
      <c r="A2114">
        <f>COUNTIF($D$2:D2114,D2114)</f>
        <v>12</v>
      </c>
      <c r="B2114" t="str">
        <f t="shared" si="129"/>
        <v>12Staffordshire</v>
      </c>
      <c r="C2114" t="s">
        <v>5966</v>
      </c>
      <c r="D2114" t="s">
        <v>301</v>
      </c>
      <c r="E2114">
        <v>38</v>
      </c>
      <c r="F2114" t="s">
        <v>2262</v>
      </c>
      <c r="G2114" t="s">
        <v>806</v>
      </c>
      <c r="H2114" t="s">
        <v>807</v>
      </c>
      <c r="I2114" t="s">
        <v>808</v>
      </c>
      <c r="J2114">
        <f t="shared" ca="1" si="130"/>
        <v>4949526</v>
      </c>
      <c r="K2114">
        <f t="shared" ca="1" si="131"/>
        <v>118</v>
      </c>
      <c r="N2114" t="str">
        <f t="shared" ref="N2114:N2177" si="132">O2114&amp;Q2114&amp;R2114&amp;T2114&amp;U2114</f>
        <v>Sheffield25On Going CareContinuing Healthcare and Funded Nursing Care Residential PlacementsCare home</v>
      </c>
      <c r="O2114" t="s">
        <v>279</v>
      </c>
      <c r="P2114" t="s">
        <v>922</v>
      </c>
      <c r="Q2114">
        <v>25</v>
      </c>
      <c r="R2114" t="s">
        <v>5463</v>
      </c>
      <c r="S2114" t="s">
        <v>5967</v>
      </c>
      <c r="T2114" t="s">
        <v>806</v>
      </c>
      <c r="U2114" t="s">
        <v>807</v>
      </c>
      <c r="W2114">
        <v>1686</v>
      </c>
      <c r="X2114">
        <v>1686</v>
      </c>
      <c r="Y2114" t="s">
        <v>808</v>
      </c>
      <c r="Z2114" t="s">
        <v>1061</v>
      </c>
      <c r="AB2114" t="s">
        <v>824</v>
      </c>
      <c r="AD2114" t="s">
        <v>794</v>
      </c>
      <c r="AE2114" t="s">
        <v>804</v>
      </c>
      <c r="AF2114" t="s">
        <v>796</v>
      </c>
      <c r="AG2114" t="s">
        <v>797</v>
      </c>
      <c r="AH2114">
        <v>12327793</v>
      </c>
      <c r="AI2114">
        <v>13235181</v>
      </c>
      <c r="AJ2114">
        <v>1</v>
      </c>
    </row>
    <row r="2115" spans="1:36" x14ac:dyDescent="0.3">
      <c r="A2115">
        <f>COUNTIF($D$2:D2115,D2115)</f>
        <v>13</v>
      </c>
      <c r="B2115" t="str">
        <f t="shared" ref="B2115:B2178" si="133">A2115&amp;D2115</f>
        <v>13Staffordshire</v>
      </c>
      <c r="C2115" t="s">
        <v>5968</v>
      </c>
      <c r="D2115" t="s">
        <v>301</v>
      </c>
      <c r="E2115">
        <v>39</v>
      </c>
      <c r="F2115" t="s">
        <v>5969</v>
      </c>
      <c r="G2115" t="s">
        <v>806</v>
      </c>
      <c r="H2115" t="s">
        <v>854</v>
      </c>
      <c r="I2115" t="s">
        <v>808</v>
      </c>
      <c r="J2115">
        <f t="shared" ref="J2115:J2178" ca="1" si="134">SUMIF($N:$AI,C2115,AH:AH)</f>
        <v>391511</v>
      </c>
      <c r="K2115">
        <f t="shared" ref="K2115:K2178" ca="1" si="135">SUMIF($N:$AI,C2115,W:W)</f>
        <v>6</v>
      </c>
      <c r="N2115" t="str">
        <f t="shared" si="132"/>
        <v>Sheffield26On Going CareContinuing Healthcare and Funded Nursing Care Residential PlacementsLearning disability</v>
      </c>
      <c r="O2115" t="s">
        <v>279</v>
      </c>
      <c r="P2115" t="s">
        <v>922</v>
      </c>
      <c r="Q2115">
        <v>26</v>
      </c>
      <c r="R2115" t="s">
        <v>5463</v>
      </c>
      <c r="S2115" t="s">
        <v>5967</v>
      </c>
      <c r="T2115" t="s">
        <v>806</v>
      </c>
      <c r="U2115" t="s">
        <v>854</v>
      </c>
      <c r="W2115">
        <v>106</v>
      </c>
      <c r="X2115">
        <v>106</v>
      </c>
      <c r="Y2115" t="s">
        <v>808</v>
      </c>
      <c r="Z2115" t="s">
        <v>1061</v>
      </c>
      <c r="AB2115" t="s">
        <v>824</v>
      </c>
      <c r="AD2115" t="s">
        <v>794</v>
      </c>
      <c r="AE2115" t="s">
        <v>804</v>
      </c>
      <c r="AF2115" t="s">
        <v>796</v>
      </c>
      <c r="AG2115" t="s">
        <v>797</v>
      </c>
      <c r="AH2115">
        <v>2194422</v>
      </c>
      <c r="AI2115">
        <v>2355943</v>
      </c>
      <c r="AJ2115">
        <v>1</v>
      </c>
    </row>
    <row r="2116" spans="1:36" x14ac:dyDescent="0.3">
      <c r="A2116">
        <f>COUNTIF($D$2:D2116,D2116)</f>
        <v>14</v>
      </c>
      <c r="B2116" t="str">
        <f t="shared" si="133"/>
        <v>14Staffordshire</v>
      </c>
      <c r="C2116" t="s">
        <v>5970</v>
      </c>
      <c r="D2116" t="s">
        <v>301</v>
      </c>
      <c r="E2116">
        <v>40</v>
      </c>
      <c r="F2116" t="s">
        <v>2093</v>
      </c>
      <c r="G2116" t="s">
        <v>806</v>
      </c>
      <c r="H2116" t="s">
        <v>807</v>
      </c>
      <c r="I2116" t="s">
        <v>808</v>
      </c>
      <c r="J2116">
        <f t="shared" ca="1" si="134"/>
        <v>554297</v>
      </c>
      <c r="K2116">
        <f t="shared" ca="1" si="135"/>
        <v>12</v>
      </c>
      <c r="N2116" t="str">
        <f t="shared" si="132"/>
        <v>Sheffield27On Going CareContinuing Healthcare and Funded Nursing Care Residential PlacementsLearning disability</v>
      </c>
      <c r="O2116" t="s">
        <v>279</v>
      </c>
      <c r="P2116" t="s">
        <v>922</v>
      </c>
      <c r="Q2116">
        <v>27</v>
      </c>
      <c r="R2116" t="s">
        <v>5463</v>
      </c>
      <c r="S2116" t="s">
        <v>5967</v>
      </c>
      <c r="T2116" t="s">
        <v>806</v>
      </c>
      <c r="U2116" t="s">
        <v>854</v>
      </c>
      <c r="W2116">
        <v>675</v>
      </c>
      <c r="X2116">
        <v>675</v>
      </c>
      <c r="Y2116" t="s">
        <v>808</v>
      </c>
      <c r="Z2116" t="s">
        <v>1061</v>
      </c>
      <c r="AB2116" t="s">
        <v>824</v>
      </c>
      <c r="AD2116" t="s">
        <v>794</v>
      </c>
      <c r="AE2116" t="s">
        <v>804</v>
      </c>
      <c r="AF2116" t="s">
        <v>1042</v>
      </c>
      <c r="AG2116" t="s">
        <v>797</v>
      </c>
      <c r="AH2116">
        <v>14038939</v>
      </c>
      <c r="AI2116">
        <v>14038939</v>
      </c>
      <c r="AJ2116">
        <v>1</v>
      </c>
    </row>
    <row r="2117" spans="1:36" x14ac:dyDescent="0.3">
      <c r="A2117">
        <f>COUNTIF($D$2:D2117,D2117)</f>
        <v>15</v>
      </c>
      <c r="B2117" t="str">
        <f t="shared" si="133"/>
        <v>15Staffordshire</v>
      </c>
      <c r="C2117" t="s">
        <v>5971</v>
      </c>
      <c r="D2117" t="s">
        <v>301</v>
      </c>
      <c r="E2117">
        <v>41</v>
      </c>
      <c r="F2117" t="s">
        <v>2093</v>
      </c>
      <c r="G2117" t="s">
        <v>806</v>
      </c>
      <c r="H2117" t="s">
        <v>917</v>
      </c>
      <c r="I2117" t="s">
        <v>808</v>
      </c>
      <c r="J2117">
        <f t="shared" ca="1" si="134"/>
        <v>12654378.3528</v>
      </c>
      <c r="K2117">
        <f t="shared" ca="1" si="135"/>
        <v>323</v>
      </c>
      <c r="N2117" t="str">
        <f t="shared" si="132"/>
        <v>Sheffield28On Going CareContinuing Healthcare and Funded Nursing Care Home Care or Domiciliary CareDomiciliary care packages</v>
      </c>
      <c r="O2117" t="s">
        <v>279</v>
      </c>
      <c r="P2117" t="s">
        <v>922</v>
      </c>
      <c r="Q2117">
        <v>28</v>
      </c>
      <c r="R2117" t="s">
        <v>5463</v>
      </c>
      <c r="S2117" t="s">
        <v>5972</v>
      </c>
      <c r="T2117" t="s">
        <v>842</v>
      </c>
      <c r="U2117" t="s">
        <v>843</v>
      </c>
      <c r="W2117">
        <v>970000</v>
      </c>
      <c r="X2117">
        <v>970000</v>
      </c>
      <c r="Y2117" t="s">
        <v>844</v>
      </c>
      <c r="Z2117" t="s">
        <v>1061</v>
      </c>
      <c r="AB2117" t="s">
        <v>824</v>
      </c>
      <c r="AD2117" t="s">
        <v>794</v>
      </c>
      <c r="AE2117" t="s">
        <v>804</v>
      </c>
      <c r="AF2117" t="s">
        <v>1042</v>
      </c>
      <c r="AG2117" t="s">
        <v>797</v>
      </c>
      <c r="AH2117">
        <v>20370231</v>
      </c>
      <c r="AI2117">
        <v>20370231</v>
      </c>
      <c r="AJ2117">
        <v>1</v>
      </c>
    </row>
    <row r="2118" spans="1:36" x14ac:dyDescent="0.3">
      <c r="A2118">
        <f>COUNTIF($D$2:D2118,D2118)</f>
        <v>16</v>
      </c>
      <c r="B2118" t="str">
        <f t="shared" si="133"/>
        <v>16Staffordshire</v>
      </c>
      <c r="C2118" t="s">
        <v>5973</v>
      </c>
      <c r="D2118" t="s">
        <v>301</v>
      </c>
      <c r="E2118">
        <v>48</v>
      </c>
      <c r="F2118" t="s">
        <v>5974</v>
      </c>
      <c r="G2118" t="s">
        <v>787</v>
      </c>
      <c r="H2118" t="s">
        <v>788</v>
      </c>
      <c r="I2118" t="s">
        <v>789</v>
      </c>
      <c r="J2118">
        <f t="shared" ca="1" si="134"/>
        <v>2100000</v>
      </c>
      <c r="K2118">
        <f t="shared" ca="1" si="135"/>
        <v>580</v>
      </c>
      <c r="N2118" t="str">
        <f t="shared" si="132"/>
        <v>Sheffield30On Going CareContinuing Healthcare and Funded Nursing Care Carers ServicesRespite services</v>
      </c>
      <c r="O2118" t="s">
        <v>279</v>
      </c>
      <c r="P2118" t="s">
        <v>922</v>
      </c>
      <c r="Q2118">
        <v>30</v>
      </c>
      <c r="R2118" t="s">
        <v>5463</v>
      </c>
      <c r="S2118" t="s">
        <v>5975</v>
      </c>
      <c r="T2118" t="s">
        <v>811</v>
      </c>
      <c r="U2118" t="s">
        <v>830</v>
      </c>
      <c r="W2118">
        <v>359</v>
      </c>
      <c r="X2118">
        <v>359</v>
      </c>
      <c r="Y2118" t="s">
        <v>813</v>
      </c>
      <c r="Z2118" t="s">
        <v>1061</v>
      </c>
      <c r="AB2118" t="s">
        <v>824</v>
      </c>
      <c r="AD2118" t="s">
        <v>794</v>
      </c>
      <c r="AE2118" t="s">
        <v>804</v>
      </c>
      <c r="AF2118" t="s">
        <v>1042</v>
      </c>
      <c r="AG2118" t="s">
        <v>797</v>
      </c>
      <c r="AH2118">
        <v>299624</v>
      </c>
      <c r="AI2118">
        <v>299624</v>
      </c>
      <c r="AJ2118">
        <v>1</v>
      </c>
    </row>
    <row r="2119" spans="1:36" x14ac:dyDescent="0.3">
      <c r="A2119">
        <f>COUNTIF($D$2:D2119,D2119)</f>
        <v>1</v>
      </c>
      <c r="B2119" t="str">
        <f t="shared" si="133"/>
        <v>1Stockport</v>
      </c>
      <c r="C2119" t="s">
        <v>5976</v>
      </c>
      <c r="D2119" t="s">
        <v>303</v>
      </c>
      <c r="E2119">
        <v>2</v>
      </c>
      <c r="F2119" t="s">
        <v>434</v>
      </c>
      <c r="G2119" t="s">
        <v>787</v>
      </c>
      <c r="H2119" t="s">
        <v>930</v>
      </c>
      <c r="I2119" t="s">
        <v>789</v>
      </c>
      <c r="J2119">
        <f t="shared" ca="1" si="134"/>
        <v>1225552</v>
      </c>
      <c r="K2119">
        <f t="shared" ca="1" si="135"/>
        <v>196</v>
      </c>
      <c r="N2119" t="str">
        <f t="shared" si="132"/>
        <v>Sheffield31On Going CareContinuing Healthcare Uplifts to support Care Home MarketResidential PlacementsCare home</v>
      </c>
      <c r="O2119" t="s">
        <v>279</v>
      </c>
      <c r="P2119" t="s">
        <v>922</v>
      </c>
      <c r="Q2119">
        <v>31</v>
      </c>
      <c r="R2119" t="s">
        <v>5471</v>
      </c>
      <c r="S2119" t="s">
        <v>5977</v>
      </c>
      <c r="T2119" t="s">
        <v>806</v>
      </c>
      <c r="U2119" t="s">
        <v>807</v>
      </c>
      <c r="W2119">
        <v>1221</v>
      </c>
      <c r="X2119">
        <v>1221</v>
      </c>
      <c r="Y2119" t="s">
        <v>808</v>
      </c>
      <c r="Z2119" t="s">
        <v>1061</v>
      </c>
      <c r="AB2119" t="s">
        <v>793</v>
      </c>
      <c r="AD2119" t="s">
        <v>794</v>
      </c>
      <c r="AE2119" t="s">
        <v>804</v>
      </c>
      <c r="AF2119" t="s">
        <v>845</v>
      </c>
      <c r="AG2119" t="s">
        <v>797</v>
      </c>
      <c r="AH2119">
        <v>13857734</v>
      </c>
      <c r="AI2119">
        <v>13857734</v>
      </c>
      <c r="AJ2119">
        <v>1</v>
      </c>
    </row>
    <row r="2120" spans="1:36" x14ac:dyDescent="0.3">
      <c r="A2120">
        <f>COUNTIF($D$2:D2120,D2120)</f>
        <v>2</v>
      </c>
      <c r="B2120" t="str">
        <f t="shared" si="133"/>
        <v>2Stockport</v>
      </c>
      <c r="C2120" t="s">
        <v>5978</v>
      </c>
      <c r="D2120" t="s">
        <v>303</v>
      </c>
      <c r="E2120">
        <v>3</v>
      </c>
      <c r="F2120" t="s">
        <v>1034</v>
      </c>
      <c r="G2120" t="s">
        <v>800</v>
      </c>
      <c r="H2120" t="s">
        <v>903</v>
      </c>
      <c r="I2120" t="s">
        <v>802</v>
      </c>
      <c r="J2120">
        <f t="shared" ca="1" si="134"/>
        <v>699635</v>
      </c>
      <c r="K2120">
        <f t="shared" ca="1" si="135"/>
        <v>3788</v>
      </c>
      <c r="N2120" t="str">
        <f t="shared" si="132"/>
        <v>Sheffield32On Going CareLD home care packagesHome Care or Domiciliary CareDomiciliary care packages</v>
      </c>
      <c r="O2120" t="s">
        <v>279</v>
      </c>
      <c r="P2120" t="s">
        <v>922</v>
      </c>
      <c r="Q2120">
        <v>32</v>
      </c>
      <c r="R2120" t="s">
        <v>5473</v>
      </c>
      <c r="S2120" t="s">
        <v>5979</v>
      </c>
      <c r="T2120" t="s">
        <v>842</v>
      </c>
      <c r="U2120" t="s">
        <v>843</v>
      </c>
      <c r="W2120">
        <v>1985258</v>
      </c>
      <c r="X2120">
        <v>1985258</v>
      </c>
      <c r="Y2120" t="s">
        <v>844</v>
      </c>
      <c r="Z2120" t="s">
        <v>1061</v>
      </c>
      <c r="AB2120" t="s">
        <v>793</v>
      </c>
      <c r="AD2120" t="s">
        <v>794</v>
      </c>
      <c r="AE2120" t="s">
        <v>795</v>
      </c>
      <c r="AF2120" t="s">
        <v>1029</v>
      </c>
      <c r="AG2120" t="s">
        <v>797</v>
      </c>
      <c r="AH2120">
        <v>26963000</v>
      </c>
      <c r="AI2120">
        <v>26963000</v>
      </c>
      <c r="AJ2120">
        <v>1</v>
      </c>
    </row>
    <row r="2121" spans="1:36" x14ac:dyDescent="0.3">
      <c r="A2121">
        <f>COUNTIF($D$2:D2121,D2121)</f>
        <v>3</v>
      </c>
      <c r="B2121" t="str">
        <f t="shared" si="133"/>
        <v>3Stockport</v>
      </c>
      <c r="C2121" t="s">
        <v>5980</v>
      </c>
      <c r="D2121" t="s">
        <v>303</v>
      </c>
      <c r="E2121">
        <v>5</v>
      </c>
      <c r="F2121" t="s">
        <v>811</v>
      </c>
      <c r="G2121" t="s">
        <v>811</v>
      </c>
      <c r="H2121" t="s">
        <v>812</v>
      </c>
      <c r="I2121" t="s">
        <v>813</v>
      </c>
      <c r="J2121">
        <f t="shared" ca="1" si="134"/>
        <v>743190</v>
      </c>
      <c r="K2121">
        <f t="shared" ca="1" si="135"/>
        <v>848</v>
      </c>
      <c r="N2121" t="str">
        <f t="shared" si="132"/>
        <v>Sheffield33On Going CareContinuing Healthcare LD clientsResidential PlacementsLearning disability</v>
      </c>
      <c r="O2121" t="s">
        <v>279</v>
      </c>
      <c r="P2121" t="s">
        <v>922</v>
      </c>
      <c r="Q2121">
        <v>33</v>
      </c>
      <c r="R2121" t="s">
        <v>5475</v>
      </c>
      <c r="S2121" t="s">
        <v>5981</v>
      </c>
      <c r="T2121" t="s">
        <v>806</v>
      </c>
      <c r="U2121" t="s">
        <v>854</v>
      </c>
      <c r="W2121">
        <v>688</v>
      </c>
      <c r="X2121">
        <v>688</v>
      </c>
      <c r="Y2121" t="s">
        <v>808</v>
      </c>
      <c r="Z2121" t="s">
        <v>1061</v>
      </c>
      <c r="AB2121" t="s">
        <v>793</v>
      </c>
      <c r="AD2121" t="s">
        <v>794</v>
      </c>
      <c r="AE2121" t="s">
        <v>804</v>
      </c>
      <c r="AF2121" t="s">
        <v>1029</v>
      </c>
      <c r="AG2121" t="s">
        <v>797</v>
      </c>
      <c r="AH2121">
        <v>8395666</v>
      </c>
      <c r="AI2121">
        <v>8395666</v>
      </c>
      <c r="AJ2121">
        <v>1</v>
      </c>
    </row>
    <row r="2122" spans="1:36" x14ac:dyDescent="0.3">
      <c r="A2122">
        <f>COUNTIF($D$2:D2122,D2122)</f>
        <v>4</v>
      </c>
      <c r="B2122" t="str">
        <f t="shared" si="133"/>
        <v>4Stockport</v>
      </c>
      <c r="C2122" t="s">
        <v>5982</v>
      </c>
      <c r="D2122" t="s">
        <v>303</v>
      </c>
      <c r="E2122">
        <v>6</v>
      </c>
      <c r="F2122" t="s">
        <v>5983</v>
      </c>
      <c r="G2122" t="s">
        <v>806</v>
      </c>
      <c r="H2122" t="s">
        <v>873</v>
      </c>
      <c r="I2122" t="s">
        <v>808</v>
      </c>
      <c r="J2122">
        <f t="shared" ca="1" si="134"/>
        <v>668574</v>
      </c>
      <c r="K2122">
        <f t="shared" ca="1" si="135"/>
        <v>5</v>
      </c>
      <c r="N2122" t="str">
        <f t="shared" si="132"/>
        <v>Sheffield34On Going CareContinuing Healthcare LD clientsResidential PlacementsLearning disability</v>
      </c>
      <c r="O2122" t="s">
        <v>279</v>
      </c>
      <c r="P2122" t="s">
        <v>922</v>
      </c>
      <c r="Q2122">
        <v>34</v>
      </c>
      <c r="R2122" t="s">
        <v>5475</v>
      </c>
      <c r="S2122" t="s">
        <v>5981</v>
      </c>
      <c r="T2122" t="s">
        <v>806</v>
      </c>
      <c r="U2122" t="s">
        <v>854</v>
      </c>
      <c r="W2122">
        <v>228</v>
      </c>
      <c r="X2122">
        <v>228</v>
      </c>
      <c r="Y2122" t="s">
        <v>808</v>
      </c>
      <c r="Z2122" t="s">
        <v>1061</v>
      </c>
      <c r="AB2122" t="s">
        <v>793</v>
      </c>
      <c r="AD2122" t="s">
        <v>794</v>
      </c>
      <c r="AE2122" t="s">
        <v>804</v>
      </c>
      <c r="AF2122" t="s">
        <v>845</v>
      </c>
      <c r="AG2122" t="s">
        <v>797</v>
      </c>
      <c r="AH2122">
        <v>4196300</v>
      </c>
      <c r="AI2122">
        <v>4196300</v>
      </c>
      <c r="AJ2122">
        <v>1</v>
      </c>
    </row>
    <row r="2123" spans="1:36" x14ac:dyDescent="0.3">
      <c r="A2123">
        <f>COUNTIF($D$2:D2123,D2123)</f>
        <v>5</v>
      </c>
      <c r="B2123" t="str">
        <f t="shared" si="133"/>
        <v>5Stockport</v>
      </c>
      <c r="C2123" t="s">
        <v>5984</v>
      </c>
      <c r="D2123" t="s">
        <v>303</v>
      </c>
      <c r="E2123">
        <v>9</v>
      </c>
      <c r="F2123" t="s">
        <v>2108</v>
      </c>
      <c r="G2123" t="s">
        <v>800</v>
      </c>
      <c r="H2123" t="s">
        <v>850</v>
      </c>
      <c r="I2123" t="s">
        <v>802</v>
      </c>
      <c r="J2123">
        <f t="shared" ca="1" si="134"/>
        <v>93000</v>
      </c>
      <c r="K2123">
        <f t="shared" ca="1" si="135"/>
        <v>736</v>
      </c>
      <c r="N2123" t="str">
        <f t="shared" si="132"/>
        <v>Sheffield36On Going CareContinuing Healthcare and Funded Nursing Care Residential PlacementsCare home</v>
      </c>
      <c r="O2123" t="s">
        <v>279</v>
      </c>
      <c r="P2123" t="s">
        <v>922</v>
      </c>
      <c r="Q2123">
        <v>36</v>
      </c>
      <c r="R2123" t="s">
        <v>5463</v>
      </c>
      <c r="S2123" t="s">
        <v>5967</v>
      </c>
      <c r="T2123" t="s">
        <v>806</v>
      </c>
      <c r="U2123" t="s">
        <v>807</v>
      </c>
      <c r="W2123">
        <v>4522</v>
      </c>
      <c r="X2123">
        <v>4522</v>
      </c>
      <c r="Y2123" t="s">
        <v>808</v>
      </c>
      <c r="Z2123" t="s">
        <v>1061</v>
      </c>
      <c r="AB2123" t="s">
        <v>793</v>
      </c>
      <c r="AD2123" t="s">
        <v>794</v>
      </c>
      <c r="AE2123" t="s">
        <v>804</v>
      </c>
      <c r="AF2123" t="s">
        <v>1029</v>
      </c>
      <c r="AG2123" t="s">
        <v>797</v>
      </c>
      <c r="AH2123">
        <v>51348796</v>
      </c>
      <c r="AI2123">
        <v>51348796</v>
      </c>
      <c r="AJ2123">
        <v>1</v>
      </c>
    </row>
    <row r="2124" spans="1:36" x14ac:dyDescent="0.3">
      <c r="A2124">
        <f>COUNTIF($D$2:D2124,D2124)</f>
        <v>6</v>
      </c>
      <c r="B2124" t="str">
        <f t="shared" si="133"/>
        <v>6Stockport</v>
      </c>
      <c r="C2124" t="s">
        <v>5985</v>
      </c>
      <c r="D2124" t="s">
        <v>303</v>
      </c>
      <c r="E2124">
        <v>11</v>
      </c>
      <c r="F2124" t="s">
        <v>5986</v>
      </c>
      <c r="G2124" t="s">
        <v>834</v>
      </c>
      <c r="H2124" t="s">
        <v>835</v>
      </c>
      <c r="I2124" t="s">
        <v>836</v>
      </c>
      <c r="J2124">
        <f t="shared" ca="1" si="134"/>
        <v>2885856</v>
      </c>
      <c r="K2124">
        <f t="shared" ca="1" si="135"/>
        <v>271</v>
      </c>
      <c r="N2124" t="str">
        <f t="shared" si="132"/>
        <v>Sheffield37On Going CareSupported LivingResidential PlacementsSupported housing</v>
      </c>
      <c r="O2124" t="s">
        <v>279</v>
      </c>
      <c r="P2124" t="s">
        <v>922</v>
      </c>
      <c r="Q2124">
        <v>37</v>
      </c>
      <c r="R2124" t="s">
        <v>5482</v>
      </c>
      <c r="S2124" t="s">
        <v>5987</v>
      </c>
      <c r="T2124" t="s">
        <v>806</v>
      </c>
      <c r="U2124" t="s">
        <v>873</v>
      </c>
      <c r="W2124">
        <v>89</v>
      </c>
      <c r="X2124">
        <v>89</v>
      </c>
      <c r="Y2124" t="s">
        <v>808</v>
      </c>
      <c r="Z2124" t="s">
        <v>1061</v>
      </c>
      <c r="AB2124" t="s">
        <v>793</v>
      </c>
      <c r="AD2124" t="s">
        <v>794</v>
      </c>
      <c r="AE2124" t="s">
        <v>804</v>
      </c>
      <c r="AF2124" t="s">
        <v>845</v>
      </c>
      <c r="AG2124" t="s">
        <v>797</v>
      </c>
      <c r="AH2124">
        <v>336400</v>
      </c>
      <c r="AI2124">
        <v>336400</v>
      </c>
      <c r="AJ2124">
        <v>1</v>
      </c>
    </row>
    <row r="2125" spans="1:36" x14ac:dyDescent="0.3">
      <c r="A2125">
        <f>COUNTIF($D$2:D2125,D2125)</f>
        <v>7</v>
      </c>
      <c r="B2125" t="str">
        <f t="shared" si="133"/>
        <v>7Stockport</v>
      </c>
      <c r="C2125" t="s">
        <v>5988</v>
      </c>
      <c r="D2125" t="s">
        <v>303</v>
      </c>
      <c r="E2125">
        <v>12</v>
      </c>
      <c r="F2125" t="s">
        <v>5989</v>
      </c>
      <c r="G2125" t="s">
        <v>877</v>
      </c>
      <c r="H2125" t="s">
        <v>878</v>
      </c>
      <c r="I2125" t="s">
        <v>879</v>
      </c>
      <c r="J2125">
        <f t="shared" ca="1" si="134"/>
        <v>901338</v>
      </c>
      <c r="K2125">
        <f t="shared" ca="1" si="135"/>
        <v>173</v>
      </c>
      <c r="N2125" t="str">
        <f t="shared" si="132"/>
        <v>Sheffield38On Going CareShort Break RespiteCarers ServicesRespite services</v>
      </c>
      <c r="O2125" t="s">
        <v>279</v>
      </c>
      <c r="P2125" t="s">
        <v>922</v>
      </c>
      <c r="Q2125">
        <v>38</v>
      </c>
      <c r="R2125" t="s">
        <v>5485</v>
      </c>
      <c r="S2125" t="s">
        <v>5990</v>
      </c>
      <c r="T2125" t="s">
        <v>811</v>
      </c>
      <c r="U2125" t="s">
        <v>830</v>
      </c>
      <c r="W2125">
        <v>712</v>
      </c>
      <c r="X2125">
        <v>712</v>
      </c>
      <c r="Y2125" t="s">
        <v>813</v>
      </c>
      <c r="Z2125" t="s">
        <v>1061</v>
      </c>
      <c r="AB2125" t="s">
        <v>793</v>
      </c>
      <c r="AD2125" t="s">
        <v>794</v>
      </c>
      <c r="AE2125" t="s">
        <v>804</v>
      </c>
      <c r="AF2125" t="s">
        <v>845</v>
      </c>
      <c r="AG2125" t="s">
        <v>797</v>
      </c>
      <c r="AH2125">
        <v>1323600</v>
      </c>
      <c r="AI2125">
        <v>1323600</v>
      </c>
      <c r="AJ2125">
        <v>1</v>
      </c>
    </row>
    <row r="2126" spans="1:36" x14ac:dyDescent="0.3">
      <c r="A2126">
        <f>COUNTIF($D$2:D2126,D2126)</f>
        <v>8</v>
      </c>
      <c r="B2126" t="str">
        <f t="shared" si="133"/>
        <v>8Stockport</v>
      </c>
      <c r="C2126" t="s">
        <v>5991</v>
      </c>
      <c r="D2126" t="s">
        <v>303</v>
      </c>
      <c r="E2126">
        <v>13</v>
      </c>
      <c r="F2126" t="s">
        <v>1250</v>
      </c>
      <c r="G2126" t="s">
        <v>811</v>
      </c>
      <c r="H2126" t="s">
        <v>830</v>
      </c>
      <c r="I2126" t="s">
        <v>813</v>
      </c>
      <c r="J2126">
        <f t="shared" ca="1" si="134"/>
        <v>316281</v>
      </c>
      <c r="K2126">
        <f t="shared" ca="1" si="135"/>
        <v>158</v>
      </c>
      <c r="N2126" t="str">
        <f t="shared" si="132"/>
        <v>Sheffield40MH Continuing Care PackagesResidential PlacementsCare home</v>
      </c>
      <c r="O2126" t="s">
        <v>279</v>
      </c>
      <c r="P2126" t="s">
        <v>922</v>
      </c>
      <c r="Q2126">
        <v>40</v>
      </c>
      <c r="R2126" t="s">
        <v>5489</v>
      </c>
      <c r="S2126" t="s">
        <v>5992</v>
      </c>
      <c r="T2126" t="s">
        <v>806</v>
      </c>
      <c r="U2126" t="s">
        <v>807</v>
      </c>
      <c r="W2126">
        <v>1281</v>
      </c>
      <c r="X2126">
        <v>1281</v>
      </c>
      <c r="Y2126" t="s">
        <v>808</v>
      </c>
      <c r="Z2126" t="s">
        <v>1061</v>
      </c>
      <c r="AB2126" t="s">
        <v>824</v>
      </c>
      <c r="AD2126" t="s">
        <v>794</v>
      </c>
      <c r="AE2126" t="s">
        <v>804</v>
      </c>
      <c r="AF2126" t="s">
        <v>1042</v>
      </c>
      <c r="AG2126" t="s">
        <v>797</v>
      </c>
      <c r="AH2126">
        <v>23250697</v>
      </c>
      <c r="AI2126">
        <v>23250697</v>
      </c>
      <c r="AJ2126">
        <v>1</v>
      </c>
    </row>
    <row r="2127" spans="1:36" x14ac:dyDescent="0.3">
      <c r="A2127">
        <f>COUNTIF($D$2:D2127,D2127)</f>
        <v>9</v>
      </c>
      <c r="B2127" t="str">
        <f t="shared" si="133"/>
        <v>9Stockport</v>
      </c>
      <c r="C2127" t="s">
        <v>5993</v>
      </c>
      <c r="D2127" t="s">
        <v>303</v>
      </c>
      <c r="E2127">
        <v>14</v>
      </c>
      <c r="F2127" t="s">
        <v>5994</v>
      </c>
      <c r="G2127" t="s">
        <v>877</v>
      </c>
      <c r="H2127" t="s">
        <v>1015</v>
      </c>
      <c r="I2127" t="s">
        <v>879</v>
      </c>
      <c r="J2127">
        <f t="shared" ca="1" si="134"/>
        <v>989753</v>
      </c>
      <c r="K2127">
        <f t="shared" ca="1" si="135"/>
        <v>126</v>
      </c>
      <c r="N2127" t="str">
        <f t="shared" si="132"/>
        <v>Sheffield41MH Continuing Care PackagesHome Care or Domiciliary CareDomiciliary care packages</v>
      </c>
      <c r="O2127" t="s">
        <v>279</v>
      </c>
      <c r="P2127" t="s">
        <v>922</v>
      </c>
      <c r="Q2127">
        <v>41</v>
      </c>
      <c r="R2127" t="s">
        <v>5489</v>
      </c>
      <c r="S2127" t="s">
        <v>5992</v>
      </c>
      <c r="T2127" t="s">
        <v>842</v>
      </c>
      <c r="U2127" t="s">
        <v>843</v>
      </c>
      <c r="W2127">
        <v>153850</v>
      </c>
      <c r="X2127">
        <v>153850</v>
      </c>
      <c r="Y2127" t="s">
        <v>844</v>
      </c>
      <c r="Z2127" t="s">
        <v>1061</v>
      </c>
      <c r="AB2127" t="s">
        <v>824</v>
      </c>
      <c r="AD2127" t="s">
        <v>794</v>
      </c>
      <c r="AE2127" t="s">
        <v>804</v>
      </c>
      <c r="AF2127" t="s">
        <v>1042</v>
      </c>
      <c r="AG2127" t="s">
        <v>797</v>
      </c>
      <c r="AH2127">
        <v>3230882</v>
      </c>
      <c r="AI2127">
        <v>3230882</v>
      </c>
      <c r="AJ2127">
        <v>1</v>
      </c>
    </row>
    <row r="2128" spans="1:36" x14ac:dyDescent="0.3">
      <c r="A2128">
        <f>COUNTIF($D$2:D2128,D2128)</f>
        <v>10</v>
      </c>
      <c r="B2128" t="str">
        <f t="shared" si="133"/>
        <v>10Stockport</v>
      </c>
      <c r="C2128" t="s">
        <v>5995</v>
      </c>
      <c r="D2128" t="s">
        <v>303</v>
      </c>
      <c r="E2128">
        <v>18</v>
      </c>
      <c r="F2128" t="s">
        <v>5996</v>
      </c>
      <c r="G2128" t="s">
        <v>877</v>
      </c>
      <c r="H2128" t="s">
        <v>968</v>
      </c>
      <c r="I2128" t="s">
        <v>879</v>
      </c>
      <c r="J2128">
        <f t="shared" ca="1" si="134"/>
        <v>1436288.5</v>
      </c>
      <c r="K2128">
        <f t="shared" ca="1" si="135"/>
        <v>282</v>
      </c>
      <c r="N2128" t="str">
        <f t="shared" si="132"/>
        <v>Sheffield43Mental Health ServicesCarers ServicesCarer advice and support related to Care Act duties</v>
      </c>
      <c r="O2128" t="s">
        <v>279</v>
      </c>
      <c r="P2128" t="s">
        <v>922</v>
      </c>
      <c r="Q2128">
        <v>43</v>
      </c>
      <c r="R2128" t="s">
        <v>5492</v>
      </c>
      <c r="S2128" t="s">
        <v>5997</v>
      </c>
      <c r="T2128" t="s">
        <v>811</v>
      </c>
      <c r="U2128" t="s">
        <v>895</v>
      </c>
      <c r="W2128">
        <v>276</v>
      </c>
      <c r="X2128">
        <v>276</v>
      </c>
      <c r="Y2128" t="s">
        <v>813</v>
      </c>
      <c r="Z2128" t="s">
        <v>1006</v>
      </c>
      <c r="AB2128" t="s">
        <v>824</v>
      </c>
      <c r="AD2128" t="s">
        <v>794</v>
      </c>
      <c r="AE2128" t="s">
        <v>1107</v>
      </c>
      <c r="AF2128" t="s">
        <v>1042</v>
      </c>
      <c r="AG2128" t="s">
        <v>797</v>
      </c>
      <c r="AH2128">
        <v>174169</v>
      </c>
      <c r="AI2128">
        <v>174169</v>
      </c>
      <c r="AJ2128">
        <v>1</v>
      </c>
    </row>
    <row r="2129" spans="1:36" x14ac:dyDescent="0.3">
      <c r="A2129">
        <f>COUNTIF($D$2:D2129,D2129)</f>
        <v>11</v>
      </c>
      <c r="B2129" t="str">
        <f t="shared" si="133"/>
        <v>11Stockport</v>
      </c>
      <c r="C2129" t="s">
        <v>5998</v>
      </c>
      <c r="D2129" t="s">
        <v>303</v>
      </c>
      <c r="E2129">
        <v>19</v>
      </c>
      <c r="F2129" t="s">
        <v>5999</v>
      </c>
      <c r="G2129" t="s">
        <v>877</v>
      </c>
      <c r="H2129" t="s">
        <v>968</v>
      </c>
      <c r="I2129" t="s">
        <v>879</v>
      </c>
      <c r="J2129">
        <f t="shared" ca="1" si="134"/>
        <v>2547442</v>
      </c>
      <c r="K2129">
        <f t="shared" ca="1" si="135"/>
        <v>326</v>
      </c>
      <c r="N2129" t="str">
        <f t="shared" si="132"/>
        <v>Sheffield45MH placementsResidential PlacementsCare home</v>
      </c>
      <c r="O2129" t="s">
        <v>279</v>
      </c>
      <c r="P2129" t="s">
        <v>922</v>
      </c>
      <c r="Q2129">
        <v>45</v>
      </c>
      <c r="R2129" t="s">
        <v>5495</v>
      </c>
      <c r="S2129" t="s">
        <v>6000</v>
      </c>
      <c r="T2129" t="s">
        <v>806</v>
      </c>
      <c r="U2129" t="s">
        <v>807</v>
      </c>
      <c r="W2129">
        <v>101</v>
      </c>
      <c r="X2129">
        <v>101</v>
      </c>
      <c r="Y2129" t="s">
        <v>808</v>
      </c>
      <c r="Z2129" t="s">
        <v>1006</v>
      </c>
      <c r="AB2129" t="s">
        <v>824</v>
      </c>
      <c r="AD2129" t="s">
        <v>794</v>
      </c>
      <c r="AE2129" t="s">
        <v>1107</v>
      </c>
      <c r="AF2129" t="s">
        <v>1042</v>
      </c>
      <c r="AG2129" t="s">
        <v>797</v>
      </c>
      <c r="AH2129">
        <v>5309098</v>
      </c>
      <c r="AI2129">
        <v>5309098</v>
      </c>
      <c r="AJ2129">
        <v>1</v>
      </c>
    </row>
    <row r="2130" spans="1:36" x14ac:dyDescent="0.3">
      <c r="A2130">
        <f>COUNTIF($D$2:D2130,D2130)</f>
        <v>12</v>
      </c>
      <c r="B2130" t="str">
        <f t="shared" si="133"/>
        <v>12Stockport</v>
      </c>
      <c r="C2130" t="s">
        <v>6001</v>
      </c>
      <c r="D2130" t="s">
        <v>303</v>
      </c>
      <c r="E2130">
        <v>24</v>
      </c>
      <c r="F2130" t="s">
        <v>6002</v>
      </c>
      <c r="G2130" t="s">
        <v>877</v>
      </c>
      <c r="H2130" t="s">
        <v>968</v>
      </c>
      <c r="I2130" t="s">
        <v>879</v>
      </c>
      <c r="J2130">
        <f t="shared" ca="1" si="134"/>
        <v>1232927</v>
      </c>
      <c r="K2130">
        <f t="shared" ca="1" si="135"/>
        <v>216</v>
      </c>
      <c r="N2130" t="str">
        <f t="shared" si="132"/>
        <v>Sheffield47MH Continuing Care PackagesResidential PlacementsCare home</v>
      </c>
      <c r="O2130" t="s">
        <v>279</v>
      </c>
      <c r="P2130" t="s">
        <v>922</v>
      </c>
      <c r="Q2130">
        <v>47</v>
      </c>
      <c r="R2130" t="s">
        <v>5489</v>
      </c>
      <c r="S2130" t="s">
        <v>5992</v>
      </c>
      <c r="T2130" t="s">
        <v>806</v>
      </c>
      <c r="U2130" t="s">
        <v>807</v>
      </c>
      <c r="W2130">
        <v>1148</v>
      </c>
      <c r="X2130">
        <v>1148</v>
      </c>
      <c r="Y2130" t="s">
        <v>808</v>
      </c>
      <c r="Z2130" t="s">
        <v>1006</v>
      </c>
      <c r="AB2130" t="s">
        <v>793</v>
      </c>
      <c r="AD2130" t="s">
        <v>794</v>
      </c>
      <c r="AE2130" t="s">
        <v>804</v>
      </c>
      <c r="AF2130" t="s">
        <v>1029</v>
      </c>
      <c r="AG2130" t="s">
        <v>797</v>
      </c>
      <c r="AH2130">
        <v>10739631</v>
      </c>
      <c r="AI2130">
        <v>10739631</v>
      </c>
      <c r="AJ2130">
        <v>1</v>
      </c>
    </row>
    <row r="2131" spans="1:36" x14ac:dyDescent="0.3">
      <c r="A2131">
        <f>COUNTIF($D$2:D2131,D2131)</f>
        <v>1</v>
      </c>
      <c r="B2131" t="str">
        <f t="shared" si="133"/>
        <v>1Stockton-on-Tees</v>
      </c>
      <c r="C2131" t="s">
        <v>6003</v>
      </c>
      <c r="D2131" t="s">
        <v>305</v>
      </c>
      <c r="E2131">
        <v>1</v>
      </c>
      <c r="F2131" t="s">
        <v>6004</v>
      </c>
      <c r="G2131" t="s">
        <v>877</v>
      </c>
      <c r="H2131" t="s">
        <v>968</v>
      </c>
      <c r="I2131" t="s">
        <v>879</v>
      </c>
      <c r="J2131">
        <f t="shared" ca="1" si="134"/>
        <v>2204000</v>
      </c>
      <c r="K2131">
        <f t="shared" ca="1" si="135"/>
        <v>305</v>
      </c>
      <c r="N2131" t="str">
        <f t="shared" si="132"/>
        <v>Sheffield48Mental Health ServicesCarers ServicesCarer advice and support related to Care Act duties</v>
      </c>
      <c r="O2131" t="s">
        <v>279</v>
      </c>
      <c r="P2131" t="s">
        <v>922</v>
      </c>
      <c r="Q2131">
        <v>48</v>
      </c>
      <c r="R2131" t="s">
        <v>5492</v>
      </c>
      <c r="S2131" t="s">
        <v>5997</v>
      </c>
      <c r="T2131" t="s">
        <v>811</v>
      </c>
      <c r="U2131" t="s">
        <v>895</v>
      </c>
      <c r="W2131">
        <v>276</v>
      </c>
      <c r="X2131">
        <v>276</v>
      </c>
      <c r="Y2131" t="s">
        <v>813</v>
      </c>
      <c r="Z2131" t="s">
        <v>1006</v>
      </c>
      <c r="AB2131" t="s">
        <v>824</v>
      </c>
      <c r="AD2131" t="s">
        <v>794</v>
      </c>
      <c r="AE2131" t="s">
        <v>1107</v>
      </c>
      <c r="AF2131" t="s">
        <v>1029</v>
      </c>
      <c r="AG2131" t="s">
        <v>797</v>
      </c>
      <c r="AH2131">
        <v>174169</v>
      </c>
      <c r="AI2131">
        <v>174169</v>
      </c>
      <c r="AJ2131">
        <v>1</v>
      </c>
    </row>
    <row r="2132" spans="1:36" x14ac:dyDescent="0.3">
      <c r="A2132">
        <f>COUNTIF($D$2:D2132,D2132)</f>
        <v>2</v>
      </c>
      <c r="B2132" t="str">
        <f t="shared" si="133"/>
        <v>2Stockton-on-Tees</v>
      </c>
      <c r="C2132" t="s">
        <v>6005</v>
      </c>
      <c r="D2132" t="s">
        <v>305</v>
      </c>
      <c r="E2132">
        <v>3</v>
      </c>
      <c r="F2132" t="s">
        <v>1396</v>
      </c>
      <c r="G2132" t="s">
        <v>787</v>
      </c>
      <c r="H2132" t="s">
        <v>788</v>
      </c>
      <c r="I2132" t="s">
        <v>789</v>
      </c>
      <c r="J2132">
        <f t="shared" ca="1" si="134"/>
        <v>944000</v>
      </c>
      <c r="K2132">
        <f t="shared" ca="1" si="135"/>
        <v>600</v>
      </c>
      <c r="N2132" t="str">
        <f t="shared" si="132"/>
        <v>Sheffield50Disability GrantsDFG Related SchemesAdaptations, including statutory DFG grants</v>
      </c>
      <c r="O2132" t="s">
        <v>279</v>
      </c>
      <c r="P2132" t="s">
        <v>922</v>
      </c>
      <c r="Q2132">
        <v>50</v>
      </c>
      <c r="R2132" t="s">
        <v>5500</v>
      </c>
      <c r="S2132" t="s">
        <v>6006</v>
      </c>
      <c r="T2132" t="s">
        <v>834</v>
      </c>
      <c r="U2132" t="s">
        <v>835</v>
      </c>
      <c r="W2132">
        <v>390</v>
      </c>
      <c r="X2132">
        <v>390</v>
      </c>
      <c r="Y2132" t="s">
        <v>836</v>
      </c>
      <c r="Z2132" t="s">
        <v>823</v>
      </c>
      <c r="AB2132" t="s">
        <v>793</v>
      </c>
      <c r="AD2132" t="s">
        <v>794</v>
      </c>
      <c r="AE2132" t="s">
        <v>795</v>
      </c>
      <c r="AF2132" t="s">
        <v>840</v>
      </c>
      <c r="AG2132" t="s">
        <v>797</v>
      </c>
      <c r="AH2132">
        <v>3909476</v>
      </c>
      <c r="AI2132">
        <v>3909476</v>
      </c>
      <c r="AJ2132">
        <v>0.32450936775467798</v>
      </c>
    </row>
    <row r="2133" spans="1:36" x14ac:dyDescent="0.3">
      <c r="A2133">
        <f>COUNTIF($D$2:D2133,D2133)</f>
        <v>3</v>
      </c>
      <c r="B2133" t="str">
        <f t="shared" si="133"/>
        <v>3Stockton-on-Tees</v>
      </c>
      <c r="C2133" t="s">
        <v>6007</v>
      </c>
      <c r="D2133" t="s">
        <v>305</v>
      </c>
      <c r="E2133">
        <v>22</v>
      </c>
      <c r="F2133" t="s">
        <v>6008</v>
      </c>
      <c r="G2133" t="s">
        <v>811</v>
      </c>
      <c r="H2133" t="s">
        <v>895</v>
      </c>
      <c r="I2133" t="s">
        <v>813</v>
      </c>
      <c r="J2133">
        <f t="shared" ca="1" si="134"/>
        <v>381000</v>
      </c>
      <c r="K2133">
        <f t="shared" ca="1" si="135"/>
        <v>2627</v>
      </c>
      <c r="N2133" t="str">
        <f t="shared" si="132"/>
        <v>Sheffield51Disability GrantsDFG Related SchemesAdaptations, including statutory DFG grants</v>
      </c>
      <c r="O2133" t="s">
        <v>279</v>
      </c>
      <c r="P2133" t="s">
        <v>922</v>
      </c>
      <c r="Q2133">
        <v>51</v>
      </c>
      <c r="R2133" t="s">
        <v>5500</v>
      </c>
      <c r="S2133" t="s">
        <v>6009</v>
      </c>
      <c r="T2133" t="s">
        <v>834</v>
      </c>
      <c r="U2133" t="s">
        <v>835</v>
      </c>
      <c r="W2133">
        <v>8</v>
      </c>
      <c r="X2133">
        <v>8</v>
      </c>
      <c r="Y2133" t="s">
        <v>836</v>
      </c>
      <c r="Z2133" t="s">
        <v>823</v>
      </c>
      <c r="AB2133" t="s">
        <v>793</v>
      </c>
      <c r="AD2133" t="s">
        <v>794</v>
      </c>
      <c r="AE2133" t="s">
        <v>795</v>
      </c>
      <c r="AF2133" t="s">
        <v>840</v>
      </c>
      <c r="AG2133" t="s">
        <v>797</v>
      </c>
      <c r="AH2133">
        <v>524449</v>
      </c>
      <c r="AI2133">
        <v>524449</v>
      </c>
      <c r="AJ2133">
        <v>1</v>
      </c>
    </row>
    <row r="2134" spans="1:36" x14ac:dyDescent="0.3">
      <c r="A2134">
        <f>COUNTIF($D$2:D2134,D2134)</f>
        <v>4</v>
      </c>
      <c r="B2134" t="str">
        <f t="shared" si="133"/>
        <v>4Stockton-on-Tees</v>
      </c>
      <c r="C2134" t="s">
        <v>6010</v>
      </c>
      <c r="D2134" t="s">
        <v>305</v>
      </c>
      <c r="E2134">
        <v>23</v>
      </c>
      <c r="F2134" t="s">
        <v>6008</v>
      </c>
      <c r="G2134" t="s">
        <v>811</v>
      </c>
      <c r="H2134" t="s">
        <v>895</v>
      </c>
      <c r="I2134" t="s">
        <v>813</v>
      </c>
      <c r="J2134">
        <f t="shared" ca="1" si="134"/>
        <v>105000</v>
      </c>
      <c r="K2134">
        <f t="shared" ca="1" si="135"/>
        <v>319</v>
      </c>
      <c r="N2134" t="str">
        <f t="shared" si="132"/>
        <v>Sheffield52Disability GrantsDFG Related SchemesDiscretionary use of DFG</v>
      </c>
      <c r="O2134" t="s">
        <v>279</v>
      </c>
      <c r="P2134" t="s">
        <v>922</v>
      </c>
      <c r="Q2134">
        <v>52</v>
      </c>
      <c r="R2134" t="s">
        <v>5500</v>
      </c>
      <c r="S2134" t="s">
        <v>6011</v>
      </c>
      <c r="T2134" t="s">
        <v>834</v>
      </c>
      <c r="U2134" t="s">
        <v>1293</v>
      </c>
      <c r="W2134">
        <v>153</v>
      </c>
      <c r="X2134">
        <v>153</v>
      </c>
      <c r="Y2134" t="s">
        <v>836</v>
      </c>
      <c r="Z2134" t="s">
        <v>823</v>
      </c>
      <c r="AB2134" t="s">
        <v>793</v>
      </c>
      <c r="AD2134" t="s">
        <v>794</v>
      </c>
      <c r="AE2134" t="s">
        <v>795</v>
      </c>
      <c r="AF2134" t="s">
        <v>840</v>
      </c>
      <c r="AG2134" t="s">
        <v>797</v>
      </c>
      <c r="AH2134">
        <v>674395</v>
      </c>
      <c r="AI2134">
        <v>674395</v>
      </c>
      <c r="AJ2134">
        <v>0.68</v>
      </c>
    </row>
    <row r="2135" spans="1:36" x14ac:dyDescent="0.3">
      <c r="A2135">
        <f>COUNTIF($D$2:D2135,D2135)</f>
        <v>5</v>
      </c>
      <c r="B2135" t="str">
        <f t="shared" si="133"/>
        <v>5Stockton-on-Tees</v>
      </c>
      <c r="C2135" t="s">
        <v>6012</v>
      </c>
      <c r="D2135" t="s">
        <v>305</v>
      </c>
      <c r="E2135">
        <v>25</v>
      </c>
      <c r="F2135" t="s">
        <v>6008</v>
      </c>
      <c r="G2135" t="s">
        <v>811</v>
      </c>
      <c r="H2135" t="s">
        <v>830</v>
      </c>
      <c r="I2135" t="s">
        <v>813</v>
      </c>
      <c r="J2135">
        <f t="shared" ca="1" si="134"/>
        <v>277000</v>
      </c>
      <c r="K2135">
        <f t="shared" ca="1" si="135"/>
        <v>156</v>
      </c>
      <c r="N2135" t="str">
        <f t="shared" si="132"/>
        <v>Sheffield53Capital Grant Funding Carried Forward for Schemes already committed in prior yearDFG Related SchemesAdaptations, including statutory DFG grants</v>
      </c>
      <c r="O2135" t="s">
        <v>279</v>
      </c>
      <c r="P2135" t="s">
        <v>922</v>
      </c>
      <c r="Q2135">
        <v>53</v>
      </c>
      <c r="R2135" t="s">
        <v>5506</v>
      </c>
      <c r="S2135" t="s">
        <v>6013</v>
      </c>
      <c r="T2135" t="s">
        <v>834</v>
      </c>
      <c r="U2135" t="s">
        <v>835</v>
      </c>
      <c r="W2135">
        <v>98</v>
      </c>
      <c r="X2135">
        <v>98</v>
      </c>
      <c r="Y2135" t="s">
        <v>836</v>
      </c>
      <c r="Z2135" t="s">
        <v>823</v>
      </c>
      <c r="AB2135" t="s">
        <v>793</v>
      </c>
      <c r="AD2135" t="s">
        <v>794</v>
      </c>
      <c r="AE2135" t="s">
        <v>795</v>
      </c>
      <c r="AF2135" t="s">
        <v>1029</v>
      </c>
      <c r="AG2135" t="s">
        <v>797</v>
      </c>
      <c r="AH2135">
        <v>1091680</v>
      </c>
      <c r="AI2135">
        <v>1091680.0000000002</v>
      </c>
      <c r="AJ2135">
        <v>1</v>
      </c>
    </row>
    <row r="2136" spans="1:36" x14ac:dyDescent="0.3">
      <c r="A2136">
        <f>COUNTIF($D$2:D2136,D2136)</f>
        <v>6</v>
      </c>
      <c r="B2136" t="str">
        <f t="shared" si="133"/>
        <v>6Stockton-on-Tees</v>
      </c>
      <c r="C2136" t="s">
        <v>6014</v>
      </c>
      <c r="D2136" t="s">
        <v>305</v>
      </c>
      <c r="E2136">
        <v>26</v>
      </c>
      <c r="F2136" t="s">
        <v>975</v>
      </c>
      <c r="G2136" t="s">
        <v>800</v>
      </c>
      <c r="H2136" t="s">
        <v>903</v>
      </c>
      <c r="I2136" t="s">
        <v>802</v>
      </c>
      <c r="J2136">
        <f t="shared" ca="1" si="134"/>
        <v>1136000</v>
      </c>
      <c r="K2136">
        <f t="shared" ca="1" si="135"/>
        <v>3700</v>
      </c>
      <c r="N2136" t="str">
        <f t="shared" si="132"/>
        <v>Sheffield56Discharge FundingAssistive Technologies and EquipmentAssistive technologies including telecare</v>
      </c>
      <c r="O2136" t="s">
        <v>279</v>
      </c>
      <c r="P2136" t="s">
        <v>922</v>
      </c>
      <c r="Q2136">
        <v>56</v>
      </c>
      <c r="R2136" t="s">
        <v>5508</v>
      </c>
      <c r="S2136" t="s">
        <v>6015</v>
      </c>
      <c r="T2136" t="s">
        <v>800</v>
      </c>
      <c r="U2136" t="s">
        <v>850</v>
      </c>
      <c r="W2136">
        <v>290</v>
      </c>
      <c r="X2136">
        <v>290</v>
      </c>
      <c r="Y2136" t="s">
        <v>802</v>
      </c>
      <c r="Z2136" t="s">
        <v>823</v>
      </c>
      <c r="AB2136" t="s">
        <v>793</v>
      </c>
      <c r="AD2136" t="s">
        <v>794</v>
      </c>
      <c r="AE2136" t="s">
        <v>804</v>
      </c>
      <c r="AF2136" t="s">
        <v>864</v>
      </c>
      <c r="AG2136" t="s">
        <v>2460</v>
      </c>
      <c r="AH2136">
        <v>300000</v>
      </c>
      <c r="AI2136">
        <v>400000</v>
      </c>
      <c r="AJ2136">
        <v>1</v>
      </c>
    </row>
    <row r="2137" spans="1:36" x14ac:dyDescent="0.3">
      <c r="A2137">
        <f>COUNTIF($D$2:D2137,D2137)</f>
        <v>7</v>
      </c>
      <c r="B2137" t="str">
        <f t="shared" si="133"/>
        <v>7Stockton-on-Tees</v>
      </c>
      <c r="C2137" t="s">
        <v>6016</v>
      </c>
      <c r="D2137" t="s">
        <v>305</v>
      </c>
      <c r="E2137">
        <v>27</v>
      </c>
      <c r="F2137" t="s">
        <v>975</v>
      </c>
      <c r="G2137" t="s">
        <v>800</v>
      </c>
      <c r="H2137" t="s">
        <v>850</v>
      </c>
      <c r="I2137" t="s">
        <v>802</v>
      </c>
      <c r="J2137">
        <f t="shared" ca="1" si="134"/>
        <v>455000</v>
      </c>
      <c r="K2137">
        <f t="shared" ca="1" si="135"/>
        <v>2216</v>
      </c>
      <c r="N2137" t="str">
        <f t="shared" si="132"/>
        <v>Sheffield57Discharge FundingAssistive Technologies and EquipmentAssistive technologies including telecare</v>
      </c>
      <c r="O2137" t="s">
        <v>279</v>
      </c>
      <c r="P2137" t="s">
        <v>922</v>
      </c>
      <c r="Q2137">
        <v>57</v>
      </c>
      <c r="R2137" t="s">
        <v>5508</v>
      </c>
      <c r="S2137" t="s">
        <v>6015</v>
      </c>
      <c r="T2137" t="s">
        <v>800</v>
      </c>
      <c r="U2137" t="s">
        <v>850</v>
      </c>
      <c r="W2137">
        <v>90</v>
      </c>
      <c r="X2137">
        <v>290</v>
      </c>
      <c r="Y2137" t="s">
        <v>802</v>
      </c>
      <c r="Z2137" t="s">
        <v>823</v>
      </c>
      <c r="AB2137" t="s">
        <v>824</v>
      </c>
      <c r="AD2137" t="s">
        <v>794</v>
      </c>
      <c r="AE2137" t="s">
        <v>804</v>
      </c>
      <c r="AF2137" t="s">
        <v>860</v>
      </c>
      <c r="AG2137" t="s">
        <v>2460</v>
      </c>
      <c r="AH2137">
        <v>100000</v>
      </c>
      <c r="AI2137">
        <v>350000</v>
      </c>
      <c r="AJ2137">
        <v>1</v>
      </c>
    </row>
    <row r="2138" spans="1:36" x14ac:dyDescent="0.3">
      <c r="A2138">
        <f>COUNTIF($D$2:D2138,D2138)</f>
        <v>8</v>
      </c>
      <c r="B2138" t="str">
        <f t="shared" si="133"/>
        <v>8Stockton-on-Tees</v>
      </c>
      <c r="C2138" t="s">
        <v>6017</v>
      </c>
      <c r="D2138" t="s">
        <v>305</v>
      </c>
      <c r="E2138">
        <v>30</v>
      </c>
      <c r="F2138" t="s">
        <v>975</v>
      </c>
      <c r="G2138" t="s">
        <v>842</v>
      </c>
      <c r="H2138" t="s">
        <v>843</v>
      </c>
      <c r="I2138" t="s">
        <v>844</v>
      </c>
      <c r="J2138">
        <f t="shared" ca="1" si="134"/>
        <v>818000</v>
      </c>
      <c r="K2138">
        <f t="shared" ca="1" si="135"/>
        <v>44000</v>
      </c>
      <c r="N2138" t="str">
        <f t="shared" si="132"/>
        <v>Sheffield58Discharge FundingHome Care or Domiciliary CareDomiciliary care packages</v>
      </c>
      <c r="O2138" t="s">
        <v>279</v>
      </c>
      <c r="P2138" t="s">
        <v>922</v>
      </c>
      <c r="Q2138">
        <v>58</v>
      </c>
      <c r="R2138" t="s">
        <v>5508</v>
      </c>
      <c r="S2138" t="s">
        <v>6018</v>
      </c>
      <c r="T2138" t="s">
        <v>842</v>
      </c>
      <c r="U2138" t="s">
        <v>843</v>
      </c>
      <c r="W2138">
        <v>77500</v>
      </c>
      <c r="X2138">
        <v>145050</v>
      </c>
      <c r="Y2138" t="s">
        <v>844</v>
      </c>
      <c r="Z2138" t="s">
        <v>1061</v>
      </c>
      <c r="AB2138" t="s">
        <v>793</v>
      </c>
      <c r="AD2138" t="s">
        <v>794</v>
      </c>
      <c r="AE2138" t="s">
        <v>804</v>
      </c>
      <c r="AF2138" t="s">
        <v>864</v>
      </c>
      <c r="AG2138" t="s">
        <v>861</v>
      </c>
      <c r="AH2138">
        <v>2429257</v>
      </c>
      <c r="AI2138">
        <v>3045267</v>
      </c>
      <c r="AJ2138">
        <v>1</v>
      </c>
    </row>
    <row r="2139" spans="1:36" x14ac:dyDescent="0.3">
      <c r="A2139">
        <f>COUNTIF($D$2:D2139,D2139)</f>
        <v>9</v>
      </c>
      <c r="B2139" t="str">
        <f t="shared" si="133"/>
        <v>9Stockton-on-Tees</v>
      </c>
      <c r="C2139" t="s">
        <v>6019</v>
      </c>
      <c r="D2139" t="s">
        <v>305</v>
      </c>
      <c r="E2139">
        <v>31</v>
      </c>
      <c r="F2139" t="s">
        <v>975</v>
      </c>
      <c r="G2139" t="s">
        <v>806</v>
      </c>
      <c r="H2139" t="s">
        <v>934</v>
      </c>
      <c r="I2139" t="s">
        <v>808</v>
      </c>
      <c r="J2139">
        <f t="shared" ca="1" si="134"/>
        <v>259000</v>
      </c>
      <c r="K2139">
        <f t="shared" ca="1" si="135"/>
        <v>15000</v>
      </c>
      <c r="N2139" t="str">
        <f t="shared" si="132"/>
        <v>Sheffield61Discharge FundingBed based intermediate Care Services (Reablement, rehabilitation, wider short-term services supporting recovery)Bed-based intermediate care with reablement (to support discharge)</v>
      </c>
      <c r="O2139" t="s">
        <v>279</v>
      </c>
      <c r="P2139" t="s">
        <v>922</v>
      </c>
      <c r="Q2139">
        <v>61</v>
      </c>
      <c r="R2139" t="s">
        <v>5508</v>
      </c>
      <c r="S2139" t="s">
        <v>6020</v>
      </c>
      <c r="T2139" t="s">
        <v>877</v>
      </c>
      <c r="U2139" t="s">
        <v>878</v>
      </c>
      <c r="W2139">
        <v>190</v>
      </c>
      <c r="X2139">
        <v>275</v>
      </c>
      <c r="Y2139" t="s">
        <v>879</v>
      </c>
      <c r="Z2139" t="s">
        <v>823</v>
      </c>
      <c r="AB2139" t="s">
        <v>824</v>
      </c>
      <c r="AD2139" t="s">
        <v>794</v>
      </c>
      <c r="AE2139" t="s">
        <v>804</v>
      </c>
      <c r="AF2139" t="s">
        <v>860</v>
      </c>
      <c r="AG2139" t="s">
        <v>861</v>
      </c>
      <c r="AH2139">
        <v>974000</v>
      </c>
      <c r="AI2139">
        <v>1500000</v>
      </c>
      <c r="AJ2139">
        <v>1</v>
      </c>
    </row>
    <row r="2140" spans="1:36" x14ac:dyDescent="0.3">
      <c r="A2140">
        <f>COUNTIF($D$2:D2140,D2140)</f>
        <v>10</v>
      </c>
      <c r="B2140" t="str">
        <f t="shared" si="133"/>
        <v>10Stockton-on-Tees</v>
      </c>
      <c r="C2140" t="s">
        <v>6021</v>
      </c>
      <c r="D2140" t="s">
        <v>305</v>
      </c>
      <c r="E2140">
        <v>36</v>
      </c>
      <c r="F2140" t="s">
        <v>840</v>
      </c>
      <c r="G2140" t="s">
        <v>834</v>
      </c>
      <c r="H2140" t="s">
        <v>835</v>
      </c>
      <c r="I2140" t="s">
        <v>836</v>
      </c>
      <c r="J2140">
        <f t="shared" ca="1" si="134"/>
        <v>721862</v>
      </c>
      <c r="K2140">
        <f t="shared" ca="1" si="135"/>
        <v>153</v>
      </c>
      <c r="N2140" t="str">
        <f t="shared" si="132"/>
        <v>Sheffield69Discharge FundingAssistive Technologies and EquipmentCommunity based equipment</v>
      </c>
      <c r="O2140" t="s">
        <v>279</v>
      </c>
      <c r="P2140" t="s">
        <v>922</v>
      </c>
      <c r="Q2140">
        <v>69</v>
      </c>
      <c r="R2140" t="s">
        <v>5508</v>
      </c>
      <c r="S2140" t="s">
        <v>6022</v>
      </c>
      <c r="T2140" t="s">
        <v>800</v>
      </c>
      <c r="U2140" t="s">
        <v>903</v>
      </c>
      <c r="W2140">
        <v>1500</v>
      </c>
      <c r="X2140">
        <v>1750</v>
      </c>
      <c r="Y2140" t="s">
        <v>802</v>
      </c>
      <c r="Z2140" t="s">
        <v>823</v>
      </c>
      <c r="AB2140" t="s">
        <v>793</v>
      </c>
      <c r="AD2140" t="s">
        <v>794</v>
      </c>
      <c r="AE2140" t="s">
        <v>804</v>
      </c>
      <c r="AF2140" t="s">
        <v>864</v>
      </c>
      <c r="AG2140" t="s">
        <v>861</v>
      </c>
      <c r="AH2140">
        <v>340000</v>
      </c>
      <c r="AI2140">
        <v>400000</v>
      </c>
      <c r="AJ2140">
        <v>1</v>
      </c>
    </row>
    <row r="2141" spans="1:36" x14ac:dyDescent="0.3">
      <c r="A2141">
        <f>COUNTIF($D$2:D2141,D2141)</f>
        <v>11</v>
      </c>
      <c r="B2141" t="str">
        <f t="shared" si="133"/>
        <v>11Stockton-on-Tees</v>
      </c>
      <c r="C2141" t="s">
        <v>6023</v>
      </c>
      <c r="D2141" t="s">
        <v>305</v>
      </c>
      <c r="E2141">
        <v>37</v>
      </c>
      <c r="F2141" t="s">
        <v>840</v>
      </c>
      <c r="G2141" t="s">
        <v>834</v>
      </c>
      <c r="H2141" t="s">
        <v>1293</v>
      </c>
      <c r="I2141" t="s">
        <v>836</v>
      </c>
      <c r="J2141">
        <f t="shared" ca="1" si="134"/>
        <v>1082793</v>
      </c>
      <c r="K2141">
        <f t="shared" ca="1" si="135"/>
        <v>284</v>
      </c>
      <c r="N2141" t="str">
        <f t="shared" si="132"/>
        <v>Shropshire1Hospital Discharge - Short Term Spot PurchasingBed based intermediate Care Services (Reablement, rehabilitation, wider short-term services supporting recovery)Bed-based intermediate care with rehabilitation (to support discharge)</v>
      </c>
      <c r="O2141" t="s">
        <v>281</v>
      </c>
      <c r="P2141" t="s">
        <v>1172</v>
      </c>
      <c r="Q2141">
        <v>1</v>
      </c>
      <c r="R2141" t="s">
        <v>5517</v>
      </c>
      <c r="S2141" t="s">
        <v>6024</v>
      </c>
      <c r="T2141" t="s">
        <v>877</v>
      </c>
      <c r="U2141" t="s">
        <v>968</v>
      </c>
      <c r="V2141" t="s">
        <v>6025</v>
      </c>
      <c r="W2141">
        <v>140</v>
      </c>
      <c r="X2141">
        <v>138</v>
      </c>
      <c r="Y2141" t="s">
        <v>879</v>
      </c>
      <c r="Z2141" t="s">
        <v>792</v>
      </c>
      <c r="AB2141" t="s">
        <v>793</v>
      </c>
      <c r="AD2141" t="s">
        <v>794</v>
      </c>
      <c r="AE2141" t="s">
        <v>804</v>
      </c>
      <c r="AF2141" t="s">
        <v>796</v>
      </c>
      <c r="AG2141" t="s">
        <v>797</v>
      </c>
      <c r="AH2141">
        <v>1256920</v>
      </c>
      <c r="AI2141">
        <v>1328064.672</v>
      </c>
      <c r="AJ2141">
        <v>2.5399999999999999E-2</v>
      </c>
    </row>
    <row r="2142" spans="1:36" x14ac:dyDescent="0.3">
      <c r="A2142">
        <f>COUNTIF($D$2:D2142,D2142)</f>
        <v>12</v>
      </c>
      <c r="B2142" t="str">
        <f t="shared" si="133"/>
        <v>12Stockton-on-Tees</v>
      </c>
      <c r="C2142" t="s">
        <v>6026</v>
      </c>
      <c r="D2142" t="s">
        <v>305</v>
      </c>
      <c r="E2142">
        <v>42</v>
      </c>
      <c r="F2142" t="s">
        <v>1464</v>
      </c>
      <c r="G2142" t="s">
        <v>806</v>
      </c>
      <c r="H2142" t="s">
        <v>807</v>
      </c>
      <c r="I2142" t="s">
        <v>808</v>
      </c>
      <c r="J2142">
        <f t="shared" ca="1" si="134"/>
        <v>2000000</v>
      </c>
      <c r="K2142">
        <f t="shared" ca="1" si="135"/>
        <v>52</v>
      </c>
      <c r="N2142" t="str">
        <f t="shared" si="132"/>
        <v xml:space="preserve">Shropshire2START and external reablementHome-based intermediate care servicesReablement at home (to support discharge) </v>
      </c>
      <c r="O2142" t="s">
        <v>281</v>
      </c>
      <c r="P2142" t="s">
        <v>1172</v>
      </c>
      <c r="Q2142">
        <v>2</v>
      </c>
      <c r="R2142" t="s">
        <v>5519</v>
      </c>
      <c r="S2142" t="s">
        <v>6027</v>
      </c>
      <c r="T2142" t="s">
        <v>787</v>
      </c>
      <c r="U2142" t="s">
        <v>788</v>
      </c>
      <c r="W2142">
        <v>484</v>
      </c>
      <c r="X2142">
        <v>510</v>
      </c>
      <c r="Y2142" t="s">
        <v>789</v>
      </c>
      <c r="Z2142" t="s">
        <v>792</v>
      </c>
      <c r="AB2142" t="s">
        <v>793</v>
      </c>
      <c r="AD2142" t="s">
        <v>794</v>
      </c>
      <c r="AE2142" t="s">
        <v>795</v>
      </c>
      <c r="AF2142" t="s">
        <v>796</v>
      </c>
      <c r="AG2142" t="s">
        <v>797</v>
      </c>
      <c r="AH2142">
        <v>1891100</v>
      </c>
      <c r="AI2142">
        <v>1998136.26</v>
      </c>
      <c r="AJ2142">
        <v>3.8199999999999998E-2</v>
      </c>
    </row>
    <row r="2143" spans="1:36" x14ac:dyDescent="0.3">
      <c r="A2143">
        <f>COUNTIF($D$2:D2143,D2143)</f>
        <v>13</v>
      </c>
      <c r="B2143" t="str">
        <f t="shared" si="133"/>
        <v>13Stockton-on-Tees</v>
      </c>
      <c r="C2143" t="s">
        <v>6028</v>
      </c>
      <c r="D2143" t="s">
        <v>305</v>
      </c>
      <c r="E2143">
        <v>45</v>
      </c>
      <c r="F2143" t="s">
        <v>6029</v>
      </c>
      <c r="G2143" t="s">
        <v>2245</v>
      </c>
      <c r="I2143" t="s">
        <v>794</v>
      </c>
      <c r="J2143">
        <f t="shared" ca="1" si="134"/>
        <v>49000</v>
      </c>
      <c r="K2143">
        <f t="shared" ca="1" si="135"/>
        <v>1</v>
      </c>
      <c r="N2143" t="str">
        <f t="shared" si="132"/>
        <v>Shropshire4Carers SupportCarers ServicesOther</v>
      </c>
      <c r="O2143" t="s">
        <v>281</v>
      </c>
      <c r="P2143" t="s">
        <v>1172</v>
      </c>
      <c r="Q2143">
        <v>4</v>
      </c>
      <c r="R2143" t="s">
        <v>1781</v>
      </c>
      <c r="S2143" t="s">
        <v>6030</v>
      </c>
      <c r="T2143" t="s">
        <v>811</v>
      </c>
      <c r="U2143" t="s">
        <v>812</v>
      </c>
      <c r="V2143" t="s">
        <v>6031</v>
      </c>
      <c r="W2143">
        <v>740</v>
      </c>
      <c r="X2143">
        <v>740</v>
      </c>
      <c r="Y2143" t="s">
        <v>813</v>
      </c>
      <c r="Z2143" t="s">
        <v>792</v>
      </c>
      <c r="AB2143" t="s">
        <v>793</v>
      </c>
      <c r="AD2143" t="s">
        <v>794</v>
      </c>
      <c r="AE2143" t="s">
        <v>795</v>
      </c>
      <c r="AF2143" t="s">
        <v>796</v>
      </c>
      <c r="AG2143" t="s">
        <v>797</v>
      </c>
      <c r="AH2143">
        <v>265910</v>
      </c>
      <c r="AI2143">
        <v>280960.50599999999</v>
      </c>
      <c r="AJ2143">
        <v>5.4000000000000003E-3</v>
      </c>
    </row>
    <row r="2144" spans="1:36" x14ac:dyDescent="0.3">
      <c r="A2144">
        <f>COUNTIF($D$2:D2144,D2144)</f>
        <v>14</v>
      </c>
      <c r="B2144" t="str">
        <f t="shared" si="133"/>
        <v>14Stockton-on-Tees</v>
      </c>
      <c r="C2144" t="s">
        <v>6032</v>
      </c>
      <c r="D2144" t="s">
        <v>305</v>
      </c>
      <c r="E2144">
        <v>46</v>
      </c>
      <c r="F2144" t="s">
        <v>6033</v>
      </c>
      <c r="G2144" t="s">
        <v>2245</v>
      </c>
      <c r="I2144" t="s">
        <v>794</v>
      </c>
      <c r="J2144">
        <f t="shared" ca="1" si="134"/>
        <v>50000</v>
      </c>
      <c r="K2144">
        <f t="shared" ca="1" si="135"/>
        <v>1</v>
      </c>
      <c r="N2144" t="str">
        <f t="shared" si="132"/>
        <v>Shropshire21Disabled Facilities GrantsDFG Related SchemesAdaptations, including statutory DFG grants</v>
      </c>
      <c r="O2144" t="s">
        <v>281</v>
      </c>
      <c r="P2144" t="s">
        <v>1172</v>
      </c>
      <c r="Q2144">
        <v>21</v>
      </c>
      <c r="R2144" t="s">
        <v>1341</v>
      </c>
      <c r="S2144" t="s">
        <v>6034</v>
      </c>
      <c r="T2144" t="s">
        <v>834</v>
      </c>
      <c r="U2144" t="s">
        <v>835</v>
      </c>
      <c r="V2144" t="s">
        <v>6035</v>
      </c>
      <c r="W2144">
        <v>130</v>
      </c>
      <c r="X2144">
        <v>130</v>
      </c>
      <c r="Y2144" t="s">
        <v>836</v>
      </c>
      <c r="Z2144" t="s">
        <v>792</v>
      </c>
      <c r="AB2144" t="s">
        <v>793</v>
      </c>
      <c r="AD2144" t="s">
        <v>794</v>
      </c>
      <c r="AE2144" t="s">
        <v>795</v>
      </c>
      <c r="AF2144" t="s">
        <v>840</v>
      </c>
      <c r="AG2144" t="s">
        <v>797</v>
      </c>
      <c r="AH2144">
        <v>3641433</v>
      </c>
      <c r="AI2144">
        <v>3641433</v>
      </c>
      <c r="AJ2144">
        <v>7.3599999999999999E-2</v>
      </c>
    </row>
    <row r="2145" spans="1:36" x14ac:dyDescent="0.3">
      <c r="A2145">
        <f>COUNTIF($D$2:D2145,D2145)</f>
        <v>15</v>
      </c>
      <c r="B2145" t="str">
        <f t="shared" si="133"/>
        <v>15Stockton-on-Tees</v>
      </c>
      <c r="C2145" t="s">
        <v>6036</v>
      </c>
      <c r="D2145" t="s">
        <v>305</v>
      </c>
      <c r="E2145">
        <v>47</v>
      </c>
      <c r="F2145" t="s">
        <v>6037</v>
      </c>
      <c r="G2145" t="s">
        <v>2245</v>
      </c>
      <c r="I2145" t="s">
        <v>794</v>
      </c>
      <c r="J2145">
        <f t="shared" ca="1" si="134"/>
        <v>49000</v>
      </c>
      <c r="K2145">
        <f t="shared" ca="1" si="135"/>
        <v>1</v>
      </c>
      <c r="N2145" t="str">
        <f t="shared" si="132"/>
        <v xml:space="preserve">Shropshire24Rapid Response START TeamHome-based intermediate care servicesReablement at home (to support discharge) </v>
      </c>
      <c r="O2145" t="s">
        <v>281</v>
      </c>
      <c r="P2145" t="s">
        <v>1172</v>
      </c>
      <c r="Q2145">
        <v>24</v>
      </c>
      <c r="R2145" t="s">
        <v>5525</v>
      </c>
      <c r="S2145" t="s">
        <v>6038</v>
      </c>
      <c r="T2145" t="s">
        <v>787</v>
      </c>
      <c r="U2145" t="s">
        <v>788</v>
      </c>
      <c r="V2145" t="s">
        <v>750</v>
      </c>
      <c r="W2145">
        <v>373</v>
      </c>
      <c r="X2145">
        <v>373</v>
      </c>
      <c r="Y2145" t="s">
        <v>789</v>
      </c>
      <c r="Z2145" t="s">
        <v>792</v>
      </c>
      <c r="AB2145" t="s">
        <v>793</v>
      </c>
      <c r="AD2145" t="s">
        <v>794</v>
      </c>
      <c r="AE2145" t="s">
        <v>795</v>
      </c>
      <c r="AF2145" t="s">
        <v>845</v>
      </c>
      <c r="AG2145" t="s">
        <v>797</v>
      </c>
      <c r="AH2145">
        <v>362300</v>
      </c>
      <c r="AI2145">
        <v>362300</v>
      </c>
      <c r="AJ2145">
        <v>7.3000000000000001E-3</v>
      </c>
    </row>
    <row r="2146" spans="1:36" x14ac:dyDescent="0.3">
      <c r="A2146">
        <f>COUNTIF($D$2:D2146,D2146)</f>
        <v>16</v>
      </c>
      <c r="B2146" t="str">
        <f t="shared" si="133"/>
        <v>16Stockton-on-Tees</v>
      </c>
      <c r="C2146" t="s">
        <v>6039</v>
      </c>
      <c r="D2146" t="s">
        <v>305</v>
      </c>
      <c r="E2146">
        <v>48</v>
      </c>
      <c r="F2146" t="s">
        <v>6040</v>
      </c>
      <c r="G2146" t="s">
        <v>842</v>
      </c>
      <c r="H2146" t="s">
        <v>856</v>
      </c>
      <c r="I2146" t="s">
        <v>844</v>
      </c>
      <c r="J2146">
        <f t="shared" ca="1" si="134"/>
        <v>334000</v>
      </c>
      <c r="K2146">
        <f t="shared" ca="1" si="135"/>
        <v>8340</v>
      </c>
      <c r="N2146" t="str">
        <f t="shared" si="132"/>
        <v>Shropshire32Hospital Based Carers LeadCarers ServicesOther</v>
      </c>
      <c r="O2146" t="s">
        <v>281</v>
      </c>
      <c r="P2146" t="s">
        <v>1172</v>
      </c>
      <c r="Q2146">
        <v>32</v>
      </c>
      <c r="R2146" t="s">
        <v>5528</v>
      </c>
      <c r="S2146" t="s">
        <v>6041</v>
      </c>
      <c r="T2146" t="s">
        <v>811</v>
      </c>
      <c r="U2146" t="s">
        <v>812</v>
      </c>
      <c r="V2146" t="s">
        <v>822</v>
      </c>
      <c r="W2146">
        <v>432</v>
      </c>
      <c r="X2146">
        <v>432</v>
      </c>
      <c r="Y2146" t="s">
        <v>813</v>
      </c>
      <c r="Z2146" t="s">
        <v>792</v>
      </c>
      <c r="AB2146" t="s">
        <v>793</v>
      </c>
      <c r="AD2146" t="s">
        <v>794</v>
      </c>
      <c r="AE2146" t="s">
        <v>795</v>
      </c>
      <c r="AF2146" t="s">
        <v>845</v>
      </c>
      <c r="AG2146" t="s">
        <v>797</v>
      </c>
      <c r="AH2146">
        <v>49810</v>
      </c>
      <c r="AI2146">
        <v>49810</v>
      </c>
      <c r="AJ2146">
        <v>1E-3</v>
      </c>
    </row>
    <row r="2147" spans="1:36" x14ac:dyDescent="0.3">
      <c r="A2147">
        <f>COUNTIF($D$2:D2147,D2147)</f>
        <v>17</v>
      </c>
      <c r="B2147" t="str">
        <f t="shared" si="133"/>
        <v>17Stockton-on-Tees</v>
      </c>
      <c r="C2147" t="s">
        <v>6042</v>
      </c>
      <c r="D2147" t="s">
        <v>305</v>
      </c>
      <c r="E2147">
        <v>50</v>
      </c>
      <c r="F2147" t="s">
        <v>5126</v>
      </c>
      <c r="G2147" t="s">
        <v>800</v>
      </c>
      <c r="H2147" t="s">
        <v>903</v>
      </c>
      <c r="I2147" t="s">
        <v>802</v>
      </c>
      <c r="J2147">
        <f t="shared" ca="1" si="134"/>
        <v>84040</v>
      </c>
      <c r="K2147">
        <f t="shared" ca="1" si="135"/>
        <v>160</v>
      </c>
      <c r="N2147" t="str">
        <f t="shared" si="132"/>
        <v>Shropshire61Hospital Discharge - Short Term Spot PurchasingBed based intermediate Care Services (Reablement, rehabilitation, wider short-term services supporting recovery)Bed-based intermediate care with rehabilitation (to support discharge)</v>
      </c>
      <c r="O2147" t="s">
        <v>281</v>
      </c>
      <c r="P2147" t="s">
        <v>1172</v>
      </c>
      <c r="Q2147">
        <v>61</v>
      </c>
      <c r="R2147" t="s">
        <v>5517</v>
      </c>
      <c r="S2147" t="s">
        <v>6024</v>
      </c>
      <c r="T2147" t="s">
        <v>877</v>
      </c>
      <c r="U2147" t="s">
        <v>968</v>
      </c>
      <c r="W2147">
        <v>206</v>
      </c>
      <c r="X2147">
        <v>277</v>
      </c>
      <c r="Y2147" t="s">
        <v>879</v>
      </c>
      <c r="Z2147" t="s">
        <v>792</v>
      </c>
      <c r="AB2147" t="s">
        <v>793</v>
      </c>
      <c r="AD2147" t="s">
        <v>794</v>
      </c>
      <c r="AE2147" t="s">
        <v>795</v>
      </c>
      <c r="AF2147" t="s">
        <v>860</v>
      </c>
      <c r="AG2147" t="s">
        <v>861</v>
      </c>
      <c r="AH2147">
        <v>1860600</v>
      </c>
      <c r="AI2147">
        <v>2665201</v>
      </c>
      <c r="AJ2147">
        <v>3.7600000000000001E-2</v>
      </c>
    </row>
    <row r="2148" spans="1:36" x14ac:dyDescent="0.3">
      <c r="A2148">
        <f>COUNTIF($D$2:D2148,D2148)</f>
        <v>18</v>
      </c>
      <c r="B2148" t="str">
        <f t="shared" si="133"/>
        <v>18Stockton-on-Tees</v>
      </c>
      <c r="C2148" t="s">
        <v>6043</v>
      </c>
      <c r="D2148" t="s">
        <v>305</v>
      </c>
      <c r="E2148">
        <v>52</v>
      </c>
      <c r="F2148" t="s">
        <v>6044</v>
      </c>
      <c r="G2148" t="s">
        <v>2245</v>
      </c>
      <c r="I2148" t="s">
        <v>794</v>
      </c>
      <c r="J2148">
        <f t="shared" ca="1" si="134"/>
        <v>153004</v>
      </c>
      <c r="K2148">
        <f t="shared" ca="1" si="135"/>
        <v>3.6</v>
      </c>
      <c r="N2148" t="str">
        <f t="shared" si="132"/>
        <v>Shropshire62Hospital Discharge - Short Term Spot PurchasingBed based intermediate Care Services (Reablement, rehabilitation, wider short-term services supporting recovery)Bed-based intermediate care with rehabilitation (to support discharge)</v>
      </c>
      <c r="O2148" t="s">
        <v>281</v>
      </c>
      <c r="P2148" t="s">
        <v>1172</v>
      </c>
      <c r="Q2148">
        <v>62</v>
      </c>
      <c r="R2148" t="s">
        <v>5517</v>
      </c>
      <c r="S2148" t="s">
        <v>6024</v>
      </c>
      <c r="T2148" t="s">
        <v>877</v>
      </c>
      <c r="U2148" t="s">
        <v>968</v>
      </c>
      <c r="W2148">
        <v>184</v>
      </c>
      <c r="X2148">
        <v>173</v>
      </c>
      <c r="Y2148" t="s">
        <v>879</v>
      </c>
      <c r="Z2148" t="s">
        <v>792</v>
      </c>
      <c r="AB2148" t="s">
        <v>793</v>
      </c>
      <c r="AD2148" t="s">
        <v>794</v>
      </c>
      <c r="AE2148" t="s">
        <v>795</v>
      </c>
      <c r="AF2148" t="s">
        <v>864</v>
      </c>
      <c r="AG2148" t="s">
        <v>861</v>
      </c>
      <c r="AH2148">
        <v>1663231</v>
      </c>
      <c r="AI2148">
        <v>2760963.46</v>
      </c>
      <c r="AJ2148">
        <v>3.3599999999999998E-2</v>
      </c>
    </row>
    <row r="2149" spans="1:36" x14ac:dyDescent="0.3">
      <c r="A2149">
        <f>COUNTIF($D$2:D2149,D2149)</f>
        <v>19</v>
      </c>
      <c r="B2149" t="str">
        <f t="shared" si="133"/>
        <v>19Stockton-on-Tees</v>
      </c>
      <c r="C2149" t="s">
        <v>6045</v>
      </c>
      <c r="D2149" t="s">
        <v>305</v>
      </c>
      <c r="E2149">
        <v>56</v>
      </c>
      <c r="F2149" t="s">
        <v>6046</v>
      </c>
      <c r="G2149" t="s">
        <v>877</v>
      </c>
      <c r="H2149" t="s">
        <v>968</v>
      </c>
      <c r="I2149" t="s">
        <v>879</v>
      </c>
      <c r="J2149">
        <f t="shared" ca="1" si="134"/>
        <v>193916</v>
      </c>
      <c r="K2149">
        <f t="shared" ca="1" si="135"/>
        <v>42</v>
      </c>
      <c r="N2149" t="str">
        <f t="shared" si="132"/>
        <v>Slough1Reablement and Independence Service (RIS) - previously RRRHome-based intermediate care servicesReablement at home (accepting step up and step down users)</v>
      </c>
      <c r="O2149" t="s">
        <v>283</v>
      </c>
      <c r="P2149" t="s">
        <v>1437</v>
      </c>
      <c r="Q2149">
        <v>1</v>
      </c>
      <c r="R2149" t="s">
        <v>5535</v>
      </c>
      <c r="S2149" t="s">
        <v>6047</v>
      </c>
      <c r="T2149" t="s">
        <v>787</v>
      </c>
      <c r="U2149" t="s">
        <v>930</v>
      </c>
      <c r="W2149">
        <v>438</v>
      </c>
      <c r="X2149">
        <v>438</v>
      </c>
      <c r="Y2149" t="s">
        <v>789</v>
      </c>
      <c r="Z2149" t="s">
        <v>792</v>
      </c>
      <c r="AB2149" t="s">
        <v>793</v>
      </c>
      <c r="AD2149" t="s">
        <v>794</v>
      </c>
      <c r="AE2149" t="s">
        <v>795</v>
      </c>
      <c r="AF2149" t="s">
        <v>796</v>
      </c>
      <c r="AG2149" t="s">
        <v>797</v>
      </c>
      <c r="AH2149">
        <v>2858239</v>
      </c>
      <c r="AI2149">
        <v>2858239</v>
      </c>
      <c r="AJ2149">
        <v>0.8</v>
      </c>
    </row>
    <row r="2150" spans="1:36" x14ac:dyDescent="0.3">
      <c r="A2150">
        <f>COUNTIF($D$2:D2150,D2150)</f>
        <v>20</v>
      </c>
      <c r="B2150" t="str">
        <f t="shared" si="133"/>
        <v>20Stockton-on-Tees</v>
      </c>
      <c r="C2150" t="s">
        <v>6048</v>
      </c>
      <c r="D2150" t="s">
        <v>305</v>
      </c>
      <c r="E2150">
        <v>57</v>
      </c>
      <c r="F2150" t="s">
        <v>6046</v>
      </c>
      <c r="G2150" t="s">
        <v>877</v>
      </c>
      <c r="H2150" t="s">
        <v>968</v>
      </c>
      <c r="I2150" t="s">
        <v>879</v>
      </c>
      <c r="J2150">
        <f t="shared" ca="1" si="134"/>
        <v>918490</v>
      </c>
      <c r="K2150">
        <f t="shared" ca="1" si="135"/>
        <v>197</v>
      </c>
      <c r="N2150" t="str">
        <f t="shared" si="132"/>
        <v>Slough3Intensive Community RehabilitationHome-based intermediate care servicesRehabilitation at home (accepting step up and step down users)</v>
      </c>
      <c r="O2150" t="s">
        <v>283</v>
      </c>
      <c r="P2150" t="s">
        <v>1437</v>
      </c>
      <c r="Q2150">
        <v>3</v>
      </c>
      <c r="R2150" t="s">
        <v>5538</v>
      </c>
      <c r="S2150" t="s">
        <v>6049</v>
      </c>
      <c r="T2150" t="s">
        <v>787</v>
      </c>
      <c r="U2150" t="s">
        <v>1688</v>
      </c>
      <c r="W2150">
        <v>92</v>
      </c>
      <c r="X2150">
        <v>96</v>
      </c>
      <c r="Y2150" t="s">
        <v>789</v>
      </c>
      <c r="Z2150" t="s">
        <v>823</v>
      </c>
      <c r="AB2150" t="s">
        <v>793</v>
      </c>
      <c r="AD2150" t="s">
        <v>794</v>
      </c>
      <c r="AE2150" t="s">
        <v>832</v>
      </c>
      <c r="AF2150" t="s">
        <v>796</v>
      </c>
      <c r="AG2150" t="s">
        <v>797</v>
      </c>
      <c r="AH2150">
        <v>82000</v>
      </c>
      <c r="AI2150">
        <v>82000</v>
      </c>
      <c r="AJ2150">
        <v>0.3</v>
      </c>
    </row>
    <row r="2151" spans="1:36" x14ac:dyDescent="0.3">
      <c r="A2151">
        <f>COUNTIF($D$2:D2151,D2151)</f>
        <v>21</v>
      </c>
      <c r="B2151" t="str">
        <f t="shared" si="133"/>
        <v>21Stockton-on-Tees</v>
      </c>
      <c r="C2151" t="s">
        <v>6050</v>
      </c>
      <c r="D2151" t="s">
        <v>305</v>
      </c>
      <c r="E2151">
        <v>58</v>
      </c>
      <c r="F2151" t="s">
        <v>6040</v>
      </c>
      <c r="G2151" t="s">
        <v>842</v>
      </c>
      <c r="H2151" t="s">
        <v>856</v>
      </c>
      <c r="I2151" t="s">
        <v>844</v>
      </c>
      <c r="J2151">
        <f t="shared" ca="1" si="134"/>
        <v>22000</v>
      </c>
      <c r="K2151">
        <f t="shared" ca="1" si="135"/>
        <v>1210</v>
      </c>
      <c r="N2151" t="str">
        <f t="shared" si="132"/>
        <v>Slough4Intensive Community RehabilitationHome-based intermediate care servicesRehabilitation at home (accepting step up and step down users)</v>
      </c>
      <c r="O2151" t="s">
        <v>283</v>
      </c>
      <c r="P2151" t="s">
        <v>1437</v>
      </c>
      <c r="Q2151">
        <v>4</v>
      </c>
      <c r="R2151" t="s">
        <v>5538</v>
      </c>
      <c r="S2151" t="s">
        <v>6049</v>
      </c>
      <c r="T2151" t="s">
        <v>787</v>
      </c>
      <c r="U2151" t="s">
        <v>1688</v>
      </c>
      <c r="W2151">
        <v>215</v>
      </c>
      <c r="X2151">
        <v>224</v>
      </c>
      <c r="Y2151" t="s">
        <v>789</v>
      </c>
      <c r="Z2151" t="s">
        <v>823</v>
      </c>
      <c r="AB2151" t="s">
        <v>824</v>
      </c>
      <c r="AD2151" t="s">
        <v>794</v>
      </c>
      <c r="AE2151" t="s">
        <v>832</v>
      </c>
      <c r="AF2151" t="s">
        <v>796</v>
      </c>
      <c r="AG2151" t="s">
        <v>797</v>
      </c>
      <c r="AH2151">
        <v>211950</v>
      </c>
      <c r="AI2151">
        <v>223946</v>
      </c>
      <c r="AJ2151">
        <v>0.7</v>
      </c>
    </row>
    <row r="2152" spans="1:36" x14ac:dyDescent="0.3">
      <c r="A2152">
        <f>COUNTIF($D$2:D2152,D2152)</f>
        <v>22</v>
      </c>
      <c r="B2152" t="str">
        <f t="shared" si="133"/>
        <v>22Stockton-on-Tees</v>
      </c>
      <c r="C2152" t="s">
        <v>6051</v>
      </c>
      <c r="D2152" t="s">
        <v>305</v>
      </c>
      <c r="E2152">
        <v>60</v>
      </c>
      <c r="F2152" t="s">
        <v>6052</v>
      </c>
      <c r="G2152" t="s">
        <v>811</v>
      </c>
      <c r="H2152" t="s">
        <v>812</v>
      </c>
      <c r="I2152" t="s">
        <v>813</v>
      </c>
      <c r="J2152">
        <f t="shared" ca="1" si="134"/>
        <v>20000</v>
      </c>
      <c r="K2152">
        <f t="shared" ca="1" si="135"/>
        <v>50</v>
      </c>
      <c r="N2152" t="str">
        <f t="shared" si="132"/>
        <v>Slough12Integrated Equipment ServiceAssistive Technologies and EquipmentCommunity based equipment</v>
      </c>
      <c r="O2152" t="s">
        <v>283</v>
      </c>
      <c r="P2152" t="s">
        <v>1437</v>
      </c>
      <c r="Q2152">
        <v>12</v>
      </c>
      <c r="R2152" t="s">
        <v>5542</v>
      </c>
      <c r="S2152" t="s">
        <v>6053</v>
      </c>
      <c r="T2152" t="s">
        <v>800</v>
      </c>
      <c r="U2152" t="s">
        <v>903</v>
      </c>
      <c r="W2152">
        <v>962</v>
      </c>
      <c r="X2152">
        <v>962</v>
      </c>
      <c r="Y2152" t="s">
        <v>802</v>
      </c>
      <c r="Z2152" t="s">
        <v>792</v>
      </c>
      <c r="AB2152" t="s">
        <v>793</v>
      </c>
      <c r="AD2152" t="s">
        <v>794</v>
      </c>
      <c r="AE2152" t="s">
        <v>804</v>
      </c>
      <c r="AF2152" t="s">
        <v>796</v>
      </c>
      <c r="AG2152" t="s">
        <v>797</v>
      </c>
      <c r="AH2152">
        <v>163000</v>
      </c>
      <c r="AI2152">
        <v>163000</v>
      </c>
      <c r="AJ2152">
        <v>0.25</v>
      </c>
    </row>
    <row r="2153" spans="1:36" x14ac:dyDescent="0.3">
      <c r="A2153">
        <f>COUNTIF($D$2:D2153,D2153)</f>
        <v>23</v>
      </c>
      <c r="B2153" t="str">
        <f t="shared" si="133"/>
        <v>23Stockton-on-Tees</v>
      </c>
      <c r="C2153" t="s">
        <v>6054</v>
      </c>
      <c r="D2153" t="s">
        <v>305</v>
      </c>
      <c r="E2153">
        <v>42</v>
      </c>
      <c r="F2153" t="s">
        <v>1464</v>
      </c>
      <c r="G2153" t="s">
        <v>806</v>
      </c>
      <c r="H2153" t="s">
        <v>917</v>
      </c>
      <c r="I2153" t="s">
        <v>808</v>
      </c>
      <c r="J2153">
        <f t="shared" ca="1" si="134"/>
        <v>2000000</v>
      </c>
      <c r="K2153">
        <f t="shared" ca="1" si="135"/>
        <v>52</v>
      </c>
      <c r="N2153" t="str">
        <f t="shared" si="132"/>
        <v>Slough13Integrated Equipment ServiceAssistive Technologies and EquipmentCommunity based equipment</v>
      </c>
      <c r="O2153" t="s">
        <v>283</v>
      </c>
      <c r="P2153" t="s">
        <v>1437</v>
      </c>
      <c r="Q2153">
        <v>13</v>
      </c>
      <c r="R2153" t="s">
        <v>5542</v>
      </c>
      <c r="S2153" t="s">
        <v>6053</v>
      </c>
      <c r="T2153" t="s">
        <v>800</v>
      </c>
      <c r="U2153" t="s">
        <v>903</v>
      </c>
      <c r="W2153">
        <v>4000</v>
      </c>
      <c r="X2153">
        <v>4000</v>
      </c>
      <c r="Y2153" t="s">
        <v>802</v>
      </c>
      <c r="Z2153" t="s">
        <v>823</v>
      </c>
      <c r="AB2153" t="s">
        <v>824</v>
      </c>
      <c r="AD2153" t="s">
        <v>794</v>
      </c>
      <c r="AE2153" t="s">
        <v>804</v>
      </c>
      <c r="AF2153" t="s">
        <v>796</v>
      </c>
      <c r="AG2153" t="s">
        <v>797</v>
      </c>
      <c r="AH2153">
        <v>758431</v>
      </c>
      <c r="AI2153">
        <v>800358</v>
      </c>
      <c r="AJ2153">
        <v>1</v>
      </c>
    </row>
    <row r="2154" spans="1:36" x14ac:dyDescent="0.3">
      <c r="A2154">
        <f>COUNTIF($D$2:D2154,D2154)</f>
        <v>24</v>
      </c>
      <c r="B2154" t="str">
        <f t="shared" si="133"/>
        <v>24Stockton-on-Tees</v>
      </c>
      <c r="C2154" t="s">
        <v>6055</v>
      </c>
      <c r="D2154" t="s">
        <v>305</v>
      </c>
      <c r="E2154">
        <v>42</v>
      </c>
      <c r="F2154" t="s">
        <v>1464</v>
      </c>
      <c r="G2154" t="s">
        <v>842</v>
      </c>
      <c r="H2154" t="s">
        <v>843</v>
      </c>
      <c r="I2154" t="s">
        <v>844</v>
      </c>
      <c r="J2154">
        <f t="shared" ca="1" si="134"/>
        <v>2066908</v>
      </c>
      <c r="K2154">
        <f t="shared" ca="1" si="135"/>
        <v>111725</v>
      </c>
      <c r="N2154" t="str">
        <f t="shared" si="132"/>
        <v>Slough14Disabled Facilities GrantDFG Related SchemesAdaptations, including statutory DFG grants</v>
      </c>
      <c r="O2154" t="s">
        <v>283</v>
      </c>
      <c r="P2154" t="s">
        <v>1437</v>
      </c>
      <c r="Q2154">
        <v>14</v>
      </c>
      <c r="R2154" t="s">
        <v>891</v>
      </c>
      <c r="S2154" t="s">
        <v>6056</v>
      </c>
      <c r="T2154" t="s">
        <v>834</v>
      </c>
      <c r="U2154" t="s">
        <v>835</v>
      </c>
      <c r="W2154">
        <v>75</v>
      </c>
      <c r="X2154">
        <v>75</v>
      </c>
      <c r="Y2154" t="s">
        <v>836</v>
      </c>
      <c r="Z2154" t="s">
        <v>792</v>
      </c>
      <c r="AB2154" t="s">
        <v>793</v>
      </c>
      <c r="AD2154" t="s">
        <v>794</v>
      </c>
      <c r="AE2154" t="s">
        <v>795</v>
      </c>
      <c r="AF2154" t="s">
        <v>840</v>
      </c>
      <c r="AG2154" t="s">
        <v>797</v>
      </c>
      <c r="AH2154">
        <v>1140680</v>
      </c>
      <c r="AI2154">
        <v>1140680</v>
      </c>
      <c r="AJ2154">
        <v>1</v>
      </c>
    </row>
    <row r="2155" spans="1:36" x14ac:dyDescent="0.3">
      <c r="A2155">
        <f>COUNTIF($D$2:D2155,D2155)</f>
        <v>1</v>
      </c>
      <c r="B2155" t="str">
        <f t="shared" si="133"/>
        <v>1Stoke-on-Trent</v>
      </c>
      <c r="C2155" t="s">
        <v>6057</v>
      </c>
      <c r="D2155" t="s">
        <v>307</v>
      </c>
      <c r="E2155">
        <v>1</v>
      </c>
      <c r="F2155" t="s">
        <v>6058</v>
      </c>
      <c r="G2155" t="s">
        <v>877</v>
      </c>
      <c r="H2155" t="s">
        <v>878</v>
      </c>
      <c r="I2155" t="s">
        <v>879</v>
      </c>
      <c r="J2155">
        <f t="shared" ca="1" si="134"/>
        <v>120000</v>
      </c>
      <c r="K2155">
        <f t="shared" ca="1" si="135"/>
        <v>15</v>
      </c>
      <c r="N2155" t="str">
        <f t="shared" si="132"/>
        <v>Slough16Nursing Home PlacementsResidential PlacementsNursing home</v>
      </c>
      <c r="O2155" t="s">
        <v>283</v>
      </c>
      <c r="P2155" t="s">
        <v>1437</v>
      </c>
      <c r="Q2155">
        <v>16</v>
      </c>
      <c r="R2155" t="s">
        <v>5546</v>
      </c>
      <c r="S2155" t="s">
        <v>6059</v>
      </c>
      <c r="T2155" t="s">
        <v>806</v>
      </c>
      <c r="U2155" t="s">
        <v>917</v>
      </c>
      <c r="W2155">
        <v>10</v>
      </c>
      <c r="X2155">
        <v>10</v>
      </c>
      <c r="Y2155" t="s">
        <v>808</v>
      </c>
      <c r="Z2155" t="s">
        <v>792</v>
      </c>
      <c r="AB2155" t="s">
        <v>793</v>
      </c>
      <c r="AD2155" t="s">
        <v>794</v>
      </c>
      <c r="AE2155" t="s">
        <v>795</v>
      </c>
      <c r="AF2155" t="s">
        <v>796</v>
      </c>
      <c r="AG2155" t="s">
        <v>797</v>
      </c>
      <c r="AH2155">
        <v>500000</v>
      </c>
      <c r="AI2155">
        <v>500000</v>
      </c>
      <c r="AJ2155">
        <v>0.1</v>
      </c>
    </row>
    <row r="2156" spans="1:36" x14ac:dyDescent="0.3">
      <c r="A2156">
        <f>COUNTIF($D$2:D2156,D2156)</f>
        <v>2</v>
      </c>
      <c r="B2156" t="str">
        <f t="shared" si="133"/>
        <v>2Stoke-on-Trent</v>
      </c>
      <c r="C2156" t="s">
        <v>6060</v>
      </c>
      <c r="D2156" t="s">
        <v>307</v>
      </c>
      <c r="E2156">
        <v>1</v>
      </c>
      <c r="F2156" t="s">
        <v>6058</v>
      </c>
      <c r="G2156" t="s">
        <v>787</v>
      </c>
      <c r="H2156" t="s">
        <v>788</v>
      </c>
      <c r="I2156" t="s">
        <v>789</v>
      </c>
      <c r="J2156">
        <f t="shared" ca="1" si="134"/>
        <v>5205281</v>
      </c>
      <c r="K2156">
        <f t="shared" ca="1" si="135"/>
        <v>563</v>
      </c>
      <c r="N2156" t="str">
        <f t="shared" si="132"/>
        <v>Slough21EOL nightsitting serviceCarers ServicesRespite services</v>
      </c>
      <c r="O2156" t="s">
        <v>283</v>
      </c>
      <c r="P2156" t="s">
        <v>1437</v>
      </c>
      <c r="Q2156">
        <v>21</v>
      </c>
      <c r="R2156" t="s">
        <v>5549</v>
      </c>
      <c r="S2156" t="s">
        <v>6061</v>
      </c>
      <c r="T2156" t="s">
        <v>811</v>
      </c>
      <c r="U2156" t="s">
        <v>830</v>
      </c>
      <c r="W2156">
        <v>40</v>
      </c>
      <c r="X2156">
        <v>40</v>
      </c>
      <c r="Y2156" t="s">
        <v>813</v>
      </c>
      <c r="Z2156" t="s">
        <v>792</v>
      </c>
      <c r="AB2156" t="s">
        <v>824</v>
      </c>
      <c r="AD2156" t="s">
        <v>794</v>
      </c>
      <c r="AE2156" t="s">
        <v>825</v>
      </c>
      <c r="AF2156" t="s">
        <v>796</v>
      </c>
      <c r="AG2156" t="s">
        <v>797</v>
      </c>
      <c r="AH2156">
        <v>16387</v>
      </c>
      <c r="AI2156">
        <v>17314</v>
      </c>
      <c r="AJ2156">
        <v>0.33</v>
      </c>
    </row>
    <row r="2157" spans="1:36" x14ac:dyDescent="0.3">
      <c r="A2157">
        <f>COUNTIF($D$2:D2157,D2157)</f>
        <v>3</v>
      </c>
      <c r="B2157" t="str">
        <f t="shared" si="133"/>
        <v>3Stoke-on-Trent</v>
      </c>
      <c r="C2157" t="s">
        <v>6062</v>
      </c>
      <c r="D2157" t="s">
        <v>307</v>
      </c>
      <c r="E2157">
        <v>2</v>
      </c>
      <c r="F2157" t="s">
        <v>6063</v>
      </c>
      <c r="G2157" t="s">
        <v>842</v>
      </c>
      <c r="H2157" t="s">
        <v>812</v>
      </c>
      <c r="I2157" t="s">
        <v>844</v>
      </c>
      <c r="J2157">
        <f t="shared" ca="1" si="134"/>
        <v>400000</v>
      </c>
      <c r="K2157">
        <f t="shared" ca="1" si="135"/>
        <v>18348</v>
      </c>
      <c r="N2157" t="str">
        <f t="shared" si="132"/>
        <v>Slough22End of Life Care at Home ServiceHome Care or Domiciliary CareShort term domiciliary care (without reablement input)</v>
      </c>
      <c r="O2157" t="s">
        <v>283</v>
      </c>
      <c r="P2157" t="s">
        <v>1437</v>
      </c>
      <c r="Q2157">
        <v>22</v>
      </c>
      <c r="R2157" t="s">
        <v>5551</v>
      </c>
      <c r="S2157" t="s">
        <v>6064</v>
      </c>
      <c r="T2157" t="s">
        <v>842</v>
      </c>
      <c r="U2157" t="s">
        <v>1102</v>
      </c>
      <c r="W2157">
        <v>46</v>
      </c>
      <c r="X2157">
        <v>46</v>
      </c>
      <c r="Y2157" t="s">
        <v>789</v>
      </c>
      <c r="Z2157" t="s">
        <v>792</v>
      </c>
      <c r="AB2157" t="s">
        <v>824</v>
      </c>
      <c r="AD2157" t="s">
        <v>794</v>
      </c>
      <c r="AE2157" t="s">
        <v>825</v>
      </c>
      <c r="AF2157" t="s">
        <v>796</v>
      </c>
      <c r="AG2157" t="s">
        <v>861</v>
      </c>
      <c r="AH2157">
        <v>55000</v>
      </c>
      <c r="AI2157">
        <v>55000</v>
      </c>
      <c r="AJ2157">
        <v>1</v>
      </c>
    </row>
    <row r="2158" spans="1:36" x14ac:dyDescent="0.3">
      <c r="A2158">
        <f>COUNTIF($D$2:D2158,D2158)</f>
        <v>4</v>
      </c>
      <c r="B2158" t="str">
        <f t="shared" si="133"/>
        <v>4Stoke-on-Trent</v>
      </c>
      <c r="C2158" t="s">
        <v>6065</v>
      </c>
      <c r="D2158" t="s">
        <v>307</v>
      </c>
      <c r="E2158">
        <v>3</v>
      </c>
      <c r="F2158" t="s">
        <v>6066</v>
      </c>
      <c r="G2158" t="s">
        <v>787</v>
      </c>
      <c r="H2158" t="s">
        <v>788</v>
      </c>
      <c r="I2158" t="s">
        <v>789</v>
      </c>
      <c r="J2158">
        <f t="shared" ca="1" si="134"/>
        <v>4790901</v>
      </c>
      <c r="K2158">
        <f t="shared" ca="1" si="135"/>
        <v>1689</v>
      </c>
      <c r="N2158" t="str">
        <f t="shared" si="132"/>
        <v>Slough28TelecareAssistive Technologies and EquipmentAssistive technologies including telecare</v>
      </c>
      <c r="O2158" t="s">
        <v>283</v>
      </c>
      <c r="P2158" t="s">
        <v>1437</v>
      </c>
      <c r="Q2158">
        <v>28</v>
      </c>
      <c r="R2158" t="s">
        <v>2108</v>
      </c>
      <c r="S2158" t="s">
        <v>6067</v>
      </c>
      <c r="T2158" t="s">
        <v>800</v>
      </c>
      <c r="U2158" t="s">
        <v>850</v>
      </c>
      <c r="W2158">
        <v>541</v>
      </c>
      <c r="X2158">
        <v>541</v>
      </c>
      <c r="Y2158" t="s">
        <v>802</v>
      </c>
      <c r="Z2158" t="s">
        <v>792</v>
      </c>
      <c r="AB2158" t="s">
        <v>793</v>
      </c>
      <c r="AD2158" t="s">
        <v>794</v>
      </c>
      <c r="AE2158" t="s">
        <v>804</v>
      </c>
      <c r="AF2158" t="s">
        <v>796</v>
      </c>
      <c r="AG2158" t="s">
        <v>797</v>
      </c>
      <c r="AH2158">
        <v>72000</v>
      </c>
      <c r="AI2158">
        <v>72000</v>
      </c>
      <c r="AJ2158">
        <v>1</v>
      </c>
    </row>
    <row r="2159" spans="1:36" x14ac:dyDescent="0.3">
      <c r="A2159">
        <f>COUNTIF($D$2:D2159,D2159)</f>
        <v>5</v>
      </c>
      <c r="B2159" t="str">
        <f t="shared" si="133"/>
        <v>5Stoke-on-Trent</v>
      </c>
      <c r="C2159" t="s">
        <v>6068</v>
      </c>
      <c r="D2159" t="s">
        <v>307</v>
      </c>
      <c r="E2159">
        <v>3</v>
      </c>
      <c r="F2159" t="s">
        <v>6066</v>
      </c>
      <c r="G2159" t="s">
        <v>787</v>
      </c>
      <c r="H2159" t="s">
        <v>886</v>
      </c>
      <c r="I2159" t="s">
        <v>789</v>
      </c>
      <c r="J2159">
        <f t="shared" ca="1" si="134"/>
        <v>3300000</v>
      </c>
      <c r="K2159">
        <f t="shared" ca="1" si="135"/>
        <v>11615</v>
      </c>
      <c r="N2159" t="str">
        <f t="shared" si="132"/>
        <v>Slough29Carers SupportCarers ServicesCarer advice and support related to Care Act duties</v>
      </c>
      <c r="O2159" t="s">
        <v>283</v>
      </c>
      <c r="P2159" t="s">
        <v>1437</v>
      </c>
      <c r="Q2159">
        <v>29</v>
      </c>
      <c r="R2159" t="s">
        <v>1781</v>
      </c>
      <c r="S2159" t="s">
        <v>6069</v>
      </c>
      <c r="T2159" t="s">
        <v>811</v>
      </c>
      <c r="U2159" t="s">
        <v>895</v>
      </c>
      <c r="W2159">
        <v>625</v>
      </c>
      <c r="X2159">
        <v>625</v>
      </c>
      <c r="Y2159" t="s">
        <v>813</v>
      </c>
      <c r="Z2159" t="s">
        <v>792</v>
      </c>
      <c r="AB2159" t="s">
        <v>793</v>
      </c>
      <c r="AD2159" t="s">
        <v>794</v>
      </c>
      <c r="AE2159" t="s">
        <v>795</v>
      </c>
      <c r="AF2159" t="s">
        <v>796</v>
      </c>
      <c r="AG2159" t="s">
        <v>797</v>
      </c>
      <c r="AH2159">
        <v>216000</v>
      </c>
      <c r="AI2159">
        <v>216000</v>
      </c>
      <c r="AJ2159">
        <v>0.34</v>
      </c>
    </row>
    <row r="2160" spans="1:36" x14ac:dyDescent="0.3">
      <c r="A2160">
        <f>COUNTIF($D$2:D2160,D2160)</f>
        <v>6</v>
      </c>
      <c r="B2160" t="str">
        <f t="shared" si="133"/>
        <v>6Stoke-on-Trent</v>
      </c>
      <c r="C2160" t="s">
        <v>6070</v>
      </c>
      <c r="D2160" t="s">
        <v>307</v>
      </c>
      <c r="E2160">
        <v>3</v>
      </c>
      <c r="F2160" t="s">
        <v>6066</v>
      </c>
      <c r="G2160" t="s">
        <v>877</v>
      </c>
      <c r="H2160" t="s">
        <v>878</v>
      </c>
      <c r="I2160" t="s">
        <v>879</v>
      </c>
      <c r="J2160">
        <f t="shared" ca="1" si="134"/>
        <v>2958480</v>
      </c>
      <c r="K2160">
        <f t="shared" ca="1" si="135"/>
        <v>50</v>
      </c>
      <c r="N2160" t="str">
        <f t="shared" si="132"/>
        <v>Solihull2Enabler - Carers Services (Care co-ordination)Carers ServicesOther</v>
      </c>
      <c r="O2160" t="s">
        <v>285</v>
      </c>
      <c r="P2160" t="s">
        <v>1172</v>
      </c>
      <c r="Q2160">
        <v>2</v>
      </c>
      <c r="R2160" t="s">
        <v>5556</v>
      </c>
      <c r="S2160" t="s">
        <v>6071</v>
      </c>
      <c r="T2160" t="s">
        <v>811</v>
      </c>
      <c r="U2160" t="s">
        <v>812</v>
      </c>
      <c r="V2160" t="s">
        <v>6072</v>
      </c>
      <c r="W2160">
        <v>4455</v>
      </c>
      <c r="X2160">
        <v>4455</v>
      </c>
      <c r="Y2160" t="s">
        <v>813</v>
      </c>
      <c r="Z2160" t="s">
        <v>792</v>
      </c>
      <c r="AB2160" t="s">
        <v>793</v>
      </c>
      <c r="AD2160" t="s">
        <v>794</v>
      </c>
      <c r="AE2160" t="s">
        <v>795</v>
      </c>
      <c r="AF2160" t="s">
        <v>796</v>
      </c>
      <c r="AG2160" t="s">
        <v>797</v>
      </c>
      <c r="AH2160">
        <v>423021</v>
      </c>
      <c r="AI2160">
        <v>446964</v>
      </c>
      <c r="AJ2160">
        <v>0.45140000000000002</v>
      </c>
    </row>
    <row r="2161" spans="1:36" x14ac:dyDescent="0.3">
      <c r="A2161">
        <f>COUNTIF($D$2:D2161,D2161)</f>
        <v>7</v>
      </c>
      <c r="B2161" t="str">
        <f t="shared" si="133"/>
        <v>7Stoke-on-Trent</v>
      </c>
      <c r="C2161" t="s">
        <v>6073</v>
      </c>
      <c r="D2161" t="s">
        <v>307</v>
      </c>
      <c r="E2161">
        <v>4</v>
      </c>
      <c r="F2161" t="s">
        <v>6074</v>
      </c>
      <c r="G2161" t="s">
        <v>834</v>
      </c>
      <c r="H2161" t="s">
        <v>835</v>
      </c>
      <c r="I2161" t="s">
        <v>836</v>
      </c>
      <c r="J2161">
        <f t="shared" ca="1" si="134"/>
        <v>2152596</v>
      </c>
      <c r="K2161">
        <f t="shared" ca="1" si="135"/>
        <v>140</v>
      </c>
      <c r="N2161" t="str">
        <f t="shared" si="132"/>
        <v xml:space="preserve">Solihull5Pathway 1 - Home First
Domiciliary Care at Home
(Pathway 1)Home-based intermediate care servicesReablement at home (to support discharge) </v>
      </c>
      <c r="O2161" t="s">
        <v>285</v>
      </c>
      <c r="P2161" t="s">
        <v>1172</v>
      </c>
      <c r="Q2161">
        <v>5</v>
      </c>
      <c r="R2161" t="s">
        <v>5559</v>
      </c>
      <c r="S2161" t="s">
        <v>6075</v>
      </c>
      <c r="T2161" t="s">
        <v>787</v>
      </c>
      <c r="U2161" t="s">
        <v>788</v>
      </c>
      <c r="W2161">
        <v>1662.6</v>
      </c>
      <c r="X2161">
        <v>1662.6</v>
      </c>
      <c r="Y2161" t="s">
        <v>789</v>
      </c>
      <c r="Z2161" t="s">
        <v>792</v>
      </c>
      <c r="AB2161" t="s">
        <v>793</v>
      </c>
      <c r="AD2161" t="s">
        <v>794</v>
      </c>
      <c r="AE2161" t="s">
        <v>804</v>
      </c>
      <c r="AF2161" t="s">
        <v>796</v>
      </c>
      <c r="AG2161" t="s">
        <v>797</v>
      </c>
      <c r="AH2161">
        <v>2371918</v>
      </c>
      <c r="AI2161">
        <v>2506168</v>
      </c>
      <c r="AJ2161">
        <v>0.4229</v>
      </c>
    </row>
    <row r="2162" spans="1:36" x14ac:dyDescent="0.3">
      <c r="A2162">
        <f>COUNTIF($D$2:D2162,D2162)</f>
        <v>8</v>
      </c>
      <c r="B2162" t="str">
        <f t="shared" si="133"/>
        <v>8Stoke-on-Trent</v>
      </c>
      <c r="C2162" t="s">
        <v>6076</v>
      </c>
      <c r="D2162" t="s">
        <v>307</v>
      </c>
      <c r="E2162">
        <v>4</v>
      </c>
      <c r="F2162" t="s">
        <v>6074</v>
      </c>
      <c r="G2162" t="s">
        <v>800</v>
      </c>
      <c r="H2162" t="s">
        <v>850</v>
      </c>
      <c r="I2162" t="s">
        <v>802</v>
      </c>
      <c r="J2162">
        <f t="shared" ca="1" si="134"/>
        <v>80000</v>
      </c>
      <c r="K2162">
        <f t="shared" ca="1" si="135"/>
        <v>400</v>
      </c>
      <c r="N2162" t="str">
        <f t="shared" si="132"/>
        <v>Solihull6Pathway 1 - Home First
Reablement
(Pathway 1)Home-based intermediate care servicesReablement at home (to prevent admission to hospital or residential care)</v>
      </c>
      <c r="O2162" t="s">
        <v>285</v>
      </c>
      <c r="P2162" t="s">
        <v>1172</v>
      </c>
      <c r="Q2162">
        <v>6</v>
      </c>
      <c r="R2162" t="s">
        <v>5561</v>
      </c>
      <c r="S2162" t="s">
        <v>6077</v>
      </c>
      <c r="T2162" t="s">
        <v>787</v>
      </c>
      <c r="U2162" t="s">
        <v>886</v>
      </c>
      <c r="W2162">
        <v>2160</v>
      </c>
      <c r="X2162">
        <v>2160</v>
      </c>
      <c r="Y2162" t="s">
        <v>789</v>
      </c>
      <c r="Z2162" t="s">
        <v>792</v>
      </c>
      <c r="AB2162" t="s">
        <v>793</v>
      </c>
      <c r="AD2162" t="s">
        <v>794</v>
      </c>
      <c r="AE2162" t="s">
        <v>795</v>
      </c>
      <c r="AF2162" t="s">
        <v>796</v>
      </c>
      <c r="AG2162" t="s">
        <v>797</v>
      </c>
      <c r="AH2162">
        <v>2192617</v>
      </c>
      <c r="AI2162">
        <v>2316719</v>
      </c>
      <c r="AJ2162">
        <v>0.39090000000000003</v>
      </c>
    </row>
    <row r="2163" spans="1:36" x14ac:dyDescent="0.3">
      <c r="A2163">
        <f>COUNTIF($D$2:D2163,D2163)</f>
        <v>9</v>
      </c>
      <c r="B2163" t="str">
        <f t="shared" si="133"/>
        <v>9Stoke-on-Trent</v>
      </c>
      <c r="C2163" t="s">
        <v>6078</v>
      </c>
      <c r="D2163" t="s">
        <v>307</v>
      </c>
      <c r="E2163">
        <v>4</v>
      </c>
      <c r="F2163" t="s">
        <v>6074</v>
      </c>
      <c r="G2163" t="s">
        <v>800</v>
      </c>
      <c r="H2163" t="s">
        <v>903</v>
      </c>
      <c r="I2163" t="s">
        <v>802</v>
      </c>
      <c r="J2163">
        <f t="shared" ca="1" si="134"/>
        <v>1101448</v>
      </c>
      <c r="K2163">
        <f t="shared" ca="1" si="135"/>
        <v>1500</v>
      </c>
      <c r="N2163" t="str">
        <f t="shared" si="132"/>
        <v>Solihull7Pathway 1 - Home First 
Early Response Service &amp; flow out of Pathway 2 (Pathway 1/2)Home-based intermediate care servicesRehabilitation at home (to prevent admission to hospital or residential care)</v>
      </c>
      <c r="O2163" t="s">
        <v>285</v>
      </c>
      <c r="P2163" t="s">
        <v>1172</v>
      </c>
      <c r="Q2163">
        <v>7</v>
      </c>
      <c r="R2163" t="s">
        <v>5564</v>
      </c>
      <c r="S2163" t="s">
        <v>6079</v>
      </c>
      <c r="T2163" t="s">
        <v>787</v>
      </c>
      <c r="U2163" t="s">
        <v>1011</v>
      </c>
      <c r="W2163">
        <v>360</v>
      </c>
      <c r="X2163">
        <v>360</v>
      </c>
      <c r="Y2163" t="s">
        <v>789</v>
      </c>
      <c r="Z2163" t="s">
        <v>792</v>
      </c>
      <c r="AB2163" t="s">
        <v>793</v>
      </c>
      <c r="AD2163" t="s">
        <v>794</v>
      </c>
      <c r="AE2163" t="s">
        <v>795</v>
      </c>
      <c r="AF2163" t="s">
        <v>796</v>
      </c>
      <c r="AG2163" t="s">
        <v>797</v>
      </c>
      <c r="AH2163">
        <v>408838</v>
      </c>
      <c r="AI2163">
        <v>431978</v>
      </c>
      <c r="AJ2163">
        <v>7.2900000000000006E-2</v>
      </c>
    </row>
    <row r="2164" spans="1:36" x14ac:dyDescent="0.3">
      <c r="A2164">
        <f>COUNTIF($D$2:D2164,D2164)</f>
        <v>10</v>
      </c>
      <c r="B2164" t="str">
        <f t="shared" si="133"/>
        <v>10Stoke-on-Trent</v>
      </c>
      <c r="C2164" t="s">
        <v>6080</v>
      </c>
      <c r="D2164" t="s">
        <v>307</v>
      </c>
      <c r="E2164">
        <v>5</v>
      </c>
      <c r="F2164" t="s">
        <v>6081</v>
      </c>
      <c r="G2164" t="s">
        <v>806</v>
      </c>
      <c r="H2164" t="s">
        <v>807</v>
      </c>
      <c r="I2164" t="s">
        <v>808</v>
      </c>
      <c r="J2164">
        <f t="shared" ca="1" si="134"/>
        <v>1841000</v>
      </c>
      <c r="K2164">
        <f t="shared" ca="1" si="135"/>
        <v>136</v>
      </c>
      <c r="N2164" t="str">
        <f t="shared" si="132"/>
        <v>Solihull8Pathway 2 - Intermediate Care Beds 
(Pathway 2)Bed based intermediate Care Services (Reablement, rehabilitation, wider short-term services supporting recovery)Bed-based intermediate care with reablement (to support discharge)</v>
      </c>
      <c r="O2164" t="s">
        <v>285</v>
      </c>
      <c r="P2164" t="s">
        <v>1172</v>
      </c>
      <c r="Q2164">
        <v>8</v>
      </c>
      <c r="R2164" t="s">
        <v>5567</v>
      </c>
      <c r="S2164" t="s">
        <v>6082</v>
      </c>
      <c r="T2164" t="s">
        <v>877</v>
      </c>
      <c r="U2164" t="s">
        <v>878</v>
      </c>
      <c r="W2164">
        <v>21</v>
      </c>
      <c r="X2164">
        <v>21</v>
      </c>
      <c r="Y2164" t="s">
        <v>879</v>
      </c>
      <c r="Z2164" t="s">
        <v>792</v>
      </c>
      <c r="AB2164" t="s">
        <v>793</v>
      </c>
      <c r="AD2164" t="s">
        <v>794</v>
      </c>
      <c r="AE2164" t="s">
        <v>804</v>
      </c>
      <c r="AF2164" t="s">
        <v>796</v>
      </c>
      <c r="AG2164" t="s">
        <v>797</v>
      </c>
      <c r="AH2164">
        <v>890889</v>
      </c>
      <c r="AI2164">
        <v>941314</v>
      </c>
      <c r="AJ2164">
        <v>0.4869</v>
      </c>
    </row>
    <row r="2165" spans="1:36" x14ac:dyDescent="0.3">
      <c r="A2165">
        <f>COUNTIF($D$2:D2165,D2165)</f>
        <v>11</v>
      </c>
      <c r="B2165" t="str">
        <f t="shared" si="133"/>
        <v>11Stoke-on-Trent</v>
      </c>
      <c r="C2165" t="s">
        <v>6083</v>
      </c>
      <c r="D2165" t="s">
        <v>307</v>
      </c>
      <c r="E2165">
        <v>6</v>
      </c>
      <c r="F2165" t="s">
        <v>6084</v>
      </c>
      <c r="G2165" t="s">
        <v>842</v>
      </c>
      <c r="H2165" t="s">
        <v>843</v>
      </c>
      <c r="I2165" t="s">
        <v>844</v>
      </c>
      <c r="J2165">
        <f t="shared" ca="1" si="134"/>
        <v>1826744</v>
      </c>
      <c r="K2165">
        <f t="shared" ca="1" si="135"/>
        <v>83795</v>
      </c>
      <c r="N2165" t="str">
        <f t="shared" si="132"/>
        <v>Solihull9Pathway 3  - Residential and Nursing Home Care (Care Homes)Residential PlacementsShort term residential care (without rehabilitation or reablement input)</v>
      </c>
      <c r="O2165" t="s">
        <v>285</v>
      </c>
      <c r="P2165" t="s">
        <v>1172</v>
      </c>
      <c r="Q2165">
        <v>9</v>
      </c>
      <c r="R2165" t="s">
        <v>5570</v>
      </c>
      <c r="S2165" t="s">
        <v>6085</v>
      </c>
      <c r="T2165" t="s">
        <v>806</v>
      </c>
      <c r="U2165" t="s">
        <v>955</v>
      </c>
      <c r="W2165">
        <v>39</v>
      </c>
      <c r="X2165">
        <v>39</v>
      </c>
      <c r="Y2165" t="s">
        <v>808</v>
      </c>
      <c r="Z2165" t="s">
        <v>792</v>
      </c>
      <c r="AB2165" t="s">
        <v>793</v>
      </c>
      <c r="AD2165" t="s">
        <v>794</v>
      </c>
      <c r="AE2165" t="s">
        <v>804</v>
      </c>
      <c r="AF2165" t="s">
        <v>796</v>
      </c>
      <c r="AG2165" t="s">
        <v>797</v>
      </c>
      <c r="AH2165">
        <v>1618760</v>
      </c>
      <c r="AI2165">
        <v>1710381</v>
      </c>
      <c r="AJ2165">
        <v>4.8099999999999997E-2</v>
      </c>
    </row>
    <row r="2166" spans="1:36" x14ac:dyDescent="0.3">
      <c r="A2166">
        <f>COUNTIF($D$2:D2166,D2166)</f>
        <v>12</v>
      </c>
      <c r="B2166" t="str">
        <f t="shared" si="133"/>
        <v>12Stoke-on-Trent</v>
      </c>
      <c r="C2166" t="s">
        <v>6086</v>
      </c>
      <c r="D2166" t="s">
        <v>307</v>
      </c>
      <c r="E2166">
        <v>6</v>
      </c>
      <c r="F2166" t="s">
        <v>6084</v>
      </c>
      <c r="G2166" t="s">
        <v>811</v>
      </c>
      <c r="H2166" t="s">
        <v>895</v>
      </c>
      <c r="I2166" t="s">
        <v>813</v>
      </c>
      <c r="J2166">
        <f t="shared" ca="1" si="134"/>
        <v>150912</v>
      </c>
      <c r="K2166">
        <f t="shared" ca="1" si="135"/>
        <v>2100</v>
      </c>
      <c r="N2166" t="str">
        <f t="shared" si="132"/>
        <v>Solihull11Pathway 0 - Disabled Facilities Grant 
(Single Transfer of Care team)DFG Related SchemesAdaptations, including statutory DFG grants</v>
      </c>
      <c r="O2166" t="s">
        <v>285</v>
      </c>
      <c r="P2166" t="s">
        <v>1172</v>
      </c>
      <c r="Q2166">
        <v>11</v>
      </c>
      <c r="R2166" t="s">
        <v>5572</v>
      </c>
      <c r="S2166" t="s">
        <v>6087</v>
      </c>
      <c r="T2166" t="s">
        <v>834</v>
      </c>
      <c r="U2166" t="s">
        <v>835</v>
      </c>
      <c r="W2166">
        <v>225</v>
      </c>
      <c r="X2166">
        <v>225</v>
      </c>
      <c r="Y2166" t="s">
        <v>836</v>
      </c>
      <c r="Z2166" t="s">
        <v>792</v>
      </c>
      <c r="AB2166" t="s">
        <v>793</v>
      </c>
      <c r="AD2166" t="s">
        <v>794</v>
      </c>
      <c r="AE2166" t="s">
        <v>795</v>
      </c>
      <c r="AF2166" t="s">
        <v>840</v>
      </c>
      <c r="AG2166" t="s">
        <v>797</v>
      </c>
      <c r="AH2166">
        <v>2484854</v>
      </c>
      <c r="AI2166">
        <v>2484854</v>
      </c>
      <c r="AJ2166">
        <v>1</v>
      </c>
    </row>
    <row r="2167" spans="1:36" x14ac:dyDescent="0.3">
      <c r="A2167">
        <f>COUNTIF($D$2:D2167,D2167)</f>
        <v>13</v>
      </c>
      <c r="B2167" t="str">
        <f t="shared" si="133"/>
        <v>13Stoke-on-Trent</v>
      </c>
      <c r="C2167" t="s">
        <v>6088</v>
      </c>
      <c r="D2167" t="s">
        <v>307</v>
      </c>
      <c r="E2167">
        <v>6</v>
      </c>
      <c r="F2167" t="s">
        <v>6084</v>
      </c>
      <c r="G2167" t="s">
        <v>806</v>
      </c>
      <c r="H2167" t="s">
        <v>807</v>
      </c>
      <c r="I2167" t="s">
        <v>808</v>
      </c>
      <c r="J2167">
        <f t="shared" ca="1" si="134"/>
        <v>6039228</v>
      </c>
      <c r="K2167">
        <f t="shared" ca="1" si="135"/>
        <v>128</v>
      </c>
      <c r="N2167" t="str">
        <f t="shared" si="132"/>
        <v>Solihull15Enabler -  Support for cost pressures on the Provider Market, including increases in the National Living WageResidential PlacementsCare home</v>
      </c>
      <c r="O2167" t="s">
        <v>285</v>
      </c>
      <c r="P2167" t="s">
        <v>1172</v>
      </c>
      <c r="Q2167">
        <v>15</v>
      </c>
      <c r="R2167" t="s">
        <v>5574</v>
      </c>
      <c r="S2167" t="s">
        <v>6089</v>
      </c>
      <c r="T2167" t="s">
        <v>806</v>
      </c>
      <c r="U2167" t="s">
        <v>807</v>
      </c>
      <c r="W2167">
        <v>47</v>
      </c>
      <c r="X2167">
        <v>47</v>
      </c>
      <c r="Y2167" t="s">
        <v>808</v>
      </c>
      <c r="Z2167" t="s">
        <v>792</v>
      </c>
      <c r="AB2167" t="s">
        <v>793</v>
      </c>
      <c r="AD2167" t="s">
        <v>794</v>
      </c>
      <c r="AE2167" t="s">
        <v>795</v>
      </c>
      <c r="AF2167" t="s">
        <v>845</v>
      </c>
      <c r="AG2167" t="s">
        <v>797</v>
      </c>
      <c r="AH2167">
        <v>1948040</v>
      </c>
      <c r="AI2167">
        <v>1948040</v>
      </c>
      <c r="AJ2167">
        <v>5.79E-2</v>
      </c>
    </row>
    <row r="2168" spans="1:36" x14ac:dyDescent="0.3">
      <c r="A2168">
        <f>COUNTIF($D$2:D2168,D2168)</f>
        <v>14</v>
      </c>
      <c r="B2168" t="str">
        <f t="shared" si="133"/>
        <v>14Stoke-on-Trent</v>
      </c>
      <c r="C2168" t="s">
        <v>6090</v>
      </c>
      <c r="D2168" t="s">
        <v>307</v>
      </c>
      <c r="E2168">
        <v>7</v>
      </c>
      <c r="F2168" t="s">
        <v>6091</v>
      </c>
      <c r="G2168" t="s">
        <v>800</v>
      </c>
      <c r="H2168" t="s">
        <v>850</v>
      </c>
      <c r="I2168" t="s">
        <v>802</v>
      </c>
      <c r="J2168">
        <f t="shared" ca="1" si="134"/>
        <v>1740000</v>
      </c>
      <c r="K2168">
        <f t="shared" ca="1" si="135"/>
        <v>4800</v>
      </c>
      <c r="N2168" t="str">
        <f t="shared" si="132"/>
        <v>Solihull19iBCF - Pathway 2 Intermediate Care Residential
(Pathway 2)Bed based intermediate Care Services (Reablement, rehabilitation, wider short-term services supporting recovery)Bed-based intermediate care with reablement (to support discharge)</v>
      </c>
      <c r="O2168" t="s">
        <v>285</v>
      </c>
      <c r="P2168" t="s">
        <v>1172</v>
      </c>
      <c r="Q2168">
        <v>19</v>
      </c>
      <c r="R2168" t="s">
        <v>5576</v>
      </c>
      <c r="S2168" t="s">
        <v>6092</v>
      </c>
      <c r="T2168" t="s">
        <v>877</v>
      </c>
      <c r="U2168" t="s">
        <v>878</v>
      </c>
      <c r="W2168">
        <v>6</v>
      </c>
      <c r="X2168">
        <v>6</v>
      </c>
      <c r="Y2168" t="s">
        <v>879</v>
      </c>
      <c r="Z2168" t="s">
        <v>792</v>
      </c>
      <c r="AB2168" t="s">
        <v>793</v>
      </c>
      <c r="AD2168" t="s">
        <v>794</v>
      </c>
      <c r="AE2168" t="s">
        <v>795</v>
      </c>
      <c r="AF2168" t="s">
        <v>845</v>
      </c>
      <c r="AG2168" t="s">
        <v>797</v>
      </c>
      <c r="AH2168">
        <v>93200</v>
      </c>
      <c r="AI2168">
        <v>93200</v>
      </c>
      <c r="AJ2168">
        <v>5.0900000000000001E-2</v>
      </c>
    </row>
    <row r="2169" spans="1:36" x14ac:dyDescent="0.3">
      <c r="A2169">
        <f>COUNTIF($D$2:D2169,D2169)</f>
        <v>15</v>
      </c>
      <c r="B2169" t="str">
        <f t="shared" si="133"/>
        <v>15Stoke-on-Trent</v>
      </c>
      <c r="C2169" t="s">
        <v>6093</v>
      </c>
      <c r="D2169" t="s">
        <v>307</v>
      </c>
      <c r="E2169">
        <v>8</v>
      </c>
      <c r="F2169" t="s">
        <v>6094</v>
      </c>
      <c r="G2169" t="s">
        <v>800</v>
      </c>
      <c r="H2169" t="s">
        <v>907</v>
      </c>
      <c r="I2169" t="s">
        <v>802</v>
      </c>
      <c r="J2169">
        <f t="shared" ca="1" si="134"/>
        <v>10000</v>
      </c>
      <c r="K2169">
        <f t="shared" ca="1" si="135"/>
        <v>24</v>
      </c>
      <c r="N2169" t="str">
        <f t="shared" si="132"/>
        <v>Solihull21Pathway 2 - Intermediate Care Beds
(Pathway 2)Bed based intermediate Care Services (Reablement, rehabilitation, wider short-term services supporting recovery)Bed-based intermediate care with reablement (to support discharge)</v>
      </c>
      <c r="O2169" t="s">
        <v>285</v>
      </c>
      <c r="P2169" t="s">
        <v>1172</v>
      </c>
      <c r="Q2169">
        <v>21</v>
      </c>
      <c r="R2169" t="s">
        <v>5579</v>
      </c>
      <c r="S2169" t="s">
        <v>6095</v>
      </c>
      <c r="T2169" t="s">
        <v>877</v>
      </c>
      <c r="U2169" t="s">
        <v>878</v>
      </c>
      <c r="W2169">
        <v>8</v>
      </c>
      <c r="X2169">
        <v>8</v>
      </c>
      <c r="Y2169" t="s">
        <v>879</v>
      </c>
      <c r="Z2169" t="s">
        <v>1061</v>
      </c>
      <c r="AB2169" t="s">
        <v>793</v>
      </c>
      <c r="AD2169" t="s">
        <v>794</v>
      </c>
      <c r="AE2169" t="s">
        <v>804</v>
      </c>
      <c r="AF2169" t="s">
        <v>796</v>
      </c>
      <c r="AG2169" t="s">
        <v>797</v>
      </c>
      <c r="AH2169">
        <v>388242</v>
      </c>
      <c r="AI2169">
        <v>395230.5</v>
      </c>
      <c r="AJ2169">
        <v>0.10970000000000001</v>
      </c>
    </row>
    <row r="2170" spans="1:36" x14ac:dyDescent="0.3">
      <c r="A2170">
        <f>COUNTIF($D$2:D2170,D2170)</f>
        <v>16</v>
      </c>
      <c r="B2170" t="str">
        <f t="shared" si="133"/>
        <v>16Stoke-on-Trent</v>
      </c>
      <c r="C2170" t="s">
        <v>6096</v>
      </c>
      <c r="D2170" t="s">
        <v>307</v>
      </c>
      <c r="E2170">
        <v>8</v>
      </c>
      <c r="F2170" t="s">
        <v>6094</v>
      </c>
      <c r="G2170" t="s">
        <v>834</v>
      </c>
      <c r="H2170" t="s">
        <v>1293</v>
      </c>
      <c r="I2170" t="s">
        <v>836</v>
      </c>
      <c r="J2170">
        <f t="shared" ca="1" si="134"/>
        <v>1291000</v>
      </c>
      <c r="K2170">
        <f t="shared" ca="1" si="135"/>
        <v>4463</v>
      </c>
      <c r="N2170" t="str">
        <f t="shared" si="132"/>
        <v>Solihull31Pathway 2 - Hospital Discharge Beds
(Pathway 2)Bed based intermediate Care Services (Reablement, rehabilitation, wider short-term services supporting recovery)Bed-based intermediate care with reablement (to support discharge)</v>
      </c>
      <c r="O2170" t="s">
        <v>285</v>
      </c>
      <c r="P2170" t="s">
        <v>1172</v>
      </c>
      <c r="Q2170">
        <v>31</v>
      </c>
      <c r="R2170" t="s">
        <v>5582</v>
      </c>
      <c r="S2170" t="s">
        <v>6097</v>
      </c>
      <c r="T2170" t="s">
        <v>877</v>
      </c>
      <c r="U2170" t="s">
        <v>878</v>
      </c>
      <c r="W2170">
        <v>3</v>
      </c>
      <c r="X2170">
        <v>3</v>
      </c>
      <c r="Y2170" t="s">
        <v>879</v>
      </c>
      <c r="Z2170" t="s">
        <v>1061</v>
      </c>
      <c r="AB2170" t="s">
        <v>824</v>
      </c>
      <c r="AD2170" t="s">
        <v>794</v>
      </c>
      <c r="AE2170" t="s">
        <v>832</v>
      </c>
      <c r="AF2170" t="s">
        <v>1029</v>
      </c>
      <c r="AG2170" t="s">
        <v>797</v>
      </c>
      <c r="AH2170">
        <v>188846</v>
      </c>
      <c r="AI2170">
        <v>188847</v>
      </c>
      <c r="AJ2170">
        <v>0.1032</v>
      </c>
    </row>
    <row r="2171" spans="1:36" x14ac:dyDescent="0.3">
      <c r="A2171">
        <f>COUNTIF($D$2:D2171,D2171)</f>
        <v>1</v>
      </c>
      <c r="B2171" t="str">
        <f t="shared" si="133"/>
        <v>1Suffolk</v>
      </c>
      <c r="C2171" t="s">
        <v>6098</v>
      </c>
      <c r="D2171" t="s">
        <v>309</v>
      </c>
      <c r="E2171">
        <v>2</v>
      </c>
      <c r="F2171" t="s">
        <v>6099</v>
      </c>
      <c r="G2171" t="s">
        <v>787</v>
      </c>
      <c r="H2171" t="s">
        <v>788</v>
      </c>
      <c r="I2171" t="s">
        <v>789</v>
      </c>
      <c r="J2171">
        <f t="shared" ca="1" si="134"/>
        <v>4953958</v>
      </c>
      <c r="K2171">
        <f t="shared" ca="1" si="135"/>
        <v>1422</v>
      </c>
      <c r="N2171" t="str">
        <f t="shared" si="132"/>
        <v>Solihull32Enabler - Protecting social care - cost of inflation across BCF placements due to high NLW increases and COLResidential PlacementsCare home</v>
      </c>
      <c r="O2171" t="s">
        <v>285</v>
      </c>
      <c r="P2171" t="s">
        <v>1172</v>
      </c>
      <c r="Q2171">
        <v>32</v>
      </c>
      <c r="R2171" t="s">
        <v>5585</v>
      </c>
      <c r="S2171" t="s">
        <v>6097</v>
      </c>
      <c r="T2171" t="s">
        <v>806</v>
      </c>
      <c r="U2171" t="s">
        <v>807</v>
      </c>
      <c r="W2171">
        <v>12</v>
      </c>
      <c r="X2171">
        <v>12</v>
      </c>
      <c r="Y2171" t="s">
        <v>808</v>
      </c>
      <c r="Z2171" t="s">
        <v>1061</v>
      </c>
      <c r="AB2171" t="s">
        <v>793</v>
      </c>
      <c r="AD2171" t="s">
        <v>794</v>
      </c>
      <c r="AE2171" t="s">
        <v>832</v>
      </c>
      <c r="AF2171" t="s">
        <v>1029</v>
      </c>
      <c r="AG2171" t="s">
        <v>797</v>
      </c>
      <c r="AH2171">
        <v>329603</v>
      </c>
      <c r="AI2171">
        <v>188846</v>
      </c>
      <c r="AJ2171">
        <v>7.9000000000000008E-3</v>
      </c>
    </row>
    <row r="2172" spans="1:36" x14ac:dyDescent="0.3">
      <c r="A2172">
        <f>COUNTIF($D$2:D2172,D2172)</f>
        <v>2</v>
      </c>
      <c r="B2172" t="str">
        <f t="shared" si="133"/>
        <v>2Suffolk</v>
      </c>
      <c r="C2172" t="s">
        <v>6100</v>
      </c>
      <c r="D2172" t="s">
        <v>309</v>
      </c>
      <c r="E2172">
        <v>3</v>
      </c>
      <c r="F2172" t="s">
        <v>6101</v>
      </c>
      <c r="G2172" t="s">
        <v>806</v>
      </c>
      <c r="H2172" t="s">
        <v>807</v>
      </c>
      <c r="I2172" t="s">
        <v>808</v>
      </c>
      <c r="J2172">
        <f t="shared" ca="1" si="134"/>
        <v>3415224</v>
      </c>
      <c r="K2172">
        <f t="shared" ca="1" si="135"/>
        <v>73</v>
      </c>
      <c r="N2172" t="str">
        <f t="shared" si="132"/>
        <v>Solihull33Enabler  - Solihull Community Equipment Loans Service Assistive Technologies and EquipmentCommunity based equipment</v>
      </c>
      <c r="O2172" t="s">
        <v>285</v>
      </c>
      <c r="P2172" t="s">
        <v>1172</v>
      </c>
      <c r="Q2172">
        <v>33</v>
      </c>
      <c r="R2172" t="s">
        <v>5588</v>
      </c>
      <c r="S2172" t="s">
        <v>6102</v>
      </c>
      <c r="T2172" t="s">
        <v>800</v>
      </c>
      <c r="U2172" t="s">
        <v>903</v>
      </c>
      <c r="W2172">
        <v>9399</v>
      </c>
      <c r="X2172">
        <v>9399</v>
      </c>
      <c r="Y2172" t="s">
        <v>802</v>
      </c>
      <c r="Z2172" t="s">
        <v>823</v>
      </c>
      <c r="AB2172" t="s">
        <v>824</v>
      </c>
      <c r="AD2172" t="s">
        <v>794</v>
      </c>
      <c r="AE2172" t="s">
        <v>795</v>
      </c>
      <c r="AF2172" t="s">
        <v>796</v>
      </c>
      <c r="AG2172" t="s">
        <v>797</v>
      </c>
      <c r="AH2172">
        <v>1654979</v>
      </c>
      <c r="AI2172">
        <v>1684769</v>
      </c>
      <c r="AJ2172">
        <v>0.68</v>
      </c>
    </row>
    <row r="2173" spans="1:36" x14ac:dyDescent="0.3">
      <c r="A2173">
        <f>COUNTIF($D$2:D2173,D2173)</f>
        <v>3</v>
      </c>
      <c r="B2173" t="str">
        <f t="shared" si="133"/>
        <v>3Suffolk</v>
      </c>
      <c r="C2173" t="s">
        <v>6103</v>
      </c>
      <c r="D2173" t="s">
        <v>309</v>
      </c>
      <c r="E2173">
        <v>4</v>
      </c>
      <c r="F2173" t="s">
        <v>6104</v>
      </c>
      <c r="G2173" t="s">
        <v>811</v>
      </c>
      <c r="H2173" t="s">
        <v>895</v>
      </c>
      <c r="I2173" t="s">
        <v>813</v>
      </c>
      <c r="J2173">
        <f t="shared" ca="1" si="134"/>
        <v>118419</v>
      </c>
      <c r="K2173">
        <f t="shared" ca="1" si="135"/>
        <v>844</v>
      </c>
      <c r="N2173" t="str">
        <f t="shared" si="132"/>
        <v>Solihull36Pathway 1 - Integrated Care Teams/Supported Integrated Discharge
(Pathway 1)Home-based intermediate care servicesRehabilitation at home (to support discharge)</v>
      </c>
      <c r="O2173" t="s">
        <v>285</v>
      </c>
      <c r="P2173" t="s">
        <v>1172</v>
      </c>
      <c r="Q2173">
        <v>36</v>
      </c>
      <c r="R2173" t="s">
        <v>5591</v>
      </c>
      <c r="S2173" t="s">
        <v>6105</v>
      </c>
      <c r="T2173" t="s">
        <v>787</v>
      </c>
      <c r="U2173" t="s">
        <v>1195</v>
      </c>
      <c r="W2173">
        <v>1992</v>
      </c>
      <c r="X2173">
        <v>1992</v>
      </c>
      <c r="Y2173" t="s">
        <v>789</v>
      </c>
      <c r="Z2173" t="s">
        <v>823</v>
      </c>
      <c r="AB2173" t="s">
        <v>824</v>
      </c>
      <c r="AD2173" t="s">
        <v>794</v>
      </c>
      <c r="AE2173" t="s">
        <v>832</v>
      </c>
      <c r="AF2173" t="s">
        <v>1042</v>
      </c>
      <c r="AG2173" t="s">
        <v>797</v>
      </c>
      <c r="AH2173">
        <v>1007805</v>
      </c>
      <c r="AI2173">
        <v>654245</v>
      </c>
      <c r="AJ2173">
        <v>0.7117</v>
      </c>
    </row>
    <row r="2174" spans="1:36" x14ac:dyDescent="0.3">
      <c r="A2174">
        <f>COUNTIF($D$2:D2174,D2174)</f>
        <v>4</v>
      </c>
      <c r="B2174" t="str">
        <f t="shared" si="133"/>
        <v>4Suffolk</v>
      </c>
      <c r="C2174" t="s">
        <v>6106</v>
      </c>
      <c r="D2174" t="s">
        <v>309</v>
      </c>
      <c r="E2174">
        <v>5</v>
      </c>
      <c r="F2174" t="s">
        <v>6107</v>
      </c>
      <c r="G2174" t="s">
        <v>811</v>
      </c>
      <c r="H2174" t="s">
        <v>830</v>
      </c>
      <c r="I2174" t="s">
        <v>813</v>
      </c>
      <c r="J2174">
        <f t="shared" ca="1" si="134"/>
        <v>1064032</v>
      </c>
      <c r="K2174">
        <f t="shared" ca="1" si="135"/>
        <v>2128</v>
      </c>
      <c r="N2174" t="str">
        <f t="shared" si="132"/>
        <v>Solihull38Pathway 1 -  Rapid Response
(Pathway 1)Home-based intermediate care servicesRehabilitation at home (to prevent admission to hospital or residential care)</v>
      </c>
      <c r="O2174" t="s">
        <v>285</v>
      </c>
      <c r="P2174" t="s">
        <v>1172</v>
      </c>
      <c r="Q2174">
        <v>38</v>
      </c>
      <c r="R2174" t="s">
        <v>5594</v>
      </c>
      <c r="S2174" t="s">
        <v>6108</v>
      </c>
      <c r="T2174" t="s">
        <v>787</v>
      </c>
      <c r="U2174" t="s">
        <v>1011</v>
      </c>
      <c r="W2174">
        <v>5290</v>
      </c>
      <c r="X2174">
        <v>5290</v>
      </c>
      <c r="Y2174" t="s">
        <v>789</v>
      </c>
      <c r="Z2174" t="s">
        <v>823</v>
      </c>
      <c r="AB2174" t="s">
        <v>824</v>
      </c>
      <c r="AD2174" t="s">
        <v>794</v>
      </c>
      <c r="AE2174" t="s">
        <v>832</v>
      </c>
      <c r="AF2174" t="s">
        <v>796</v>
      </c>
      <c r="AG2174" t="s">
        <v>797</v>
      </c>
      <c r="AH2174">
        <v>1320893</v>
      </c>
      <c r="AI2174">
        <v>1344669</v>
      </c>
      <c r="AJ2174">
        <v>1</v>
      </c>
    </row>
    <row r="2175" spans="1:36" x14ac:dyDescent="0.3">
      <c r="A2175">
        <f>COUNTIF($D$2:D2175,D2175)</f>
        <v>5</v>
      </c>
      <c r="B2175" t="str">
        <f t="shared" si="133"/>
        <v>5Suffolk</v>
      </c>
      <c r="C2175" t="s">
        <v>6109</v>
      </c>
      <c r="D2175" t="s">
        <v>309</v>
      </c>
      <c r="E2175">
        <v>7</v>
      </c>
      <c r="F2175" t="s">
        <v>6110</v>
      </c>
      <c r="G2175" t="s">
        <v>842</v>
      </c>
      <c r="H2175" t="s">
        <v>843</v>
      </c>
      <c r="I2175" t="s">
        <v>844</v>
      </c>
      <c r="J2175">
        <f t="shared" ca="1" si="134"/>
        <v>1691866</v>
      </c>
      <c r="K2175">
        <f t="shared" ca="1" si="135"/>
        <v>74961</v>
      </c>
      <c r="N2175" t="str">
        <f t="shared" si="132"/>
        <v>Solihull41Pathway 1 - Rapid Response
(Pathway 1)Home-based intermediate care servicesRehabilitation at home (to prevent admission to hospital or residential care)</v>
      </c>
      <c r="O2175" t="s">
        <v>285</v>
      </c>
      <c r="P2175" t="s">
        <v>1172</v>
      </c>
      <c r="Q2175">
        <v>41</v>
      </c>
      <c r="R2175" t="s">
        <v>5597</v>
      </c>
      <c r="S2175" t="s">
        <v>6111</v>
      </c>
      <c r="T2175" t="s">
        <v>787</v>
      </c>
      <c r="U2175" t="s">
        <v>1011</v>
      </c>
      <c r="W2175">
        <v>278</v>
      </c>
      <c r="X2175">
        <v>278</v>
      </c>
      <c r="Y2175" t="s">
        <v>789</v>
      </c>
      <c r="Z2175" t="s">
        <v>823</v>
      </c>
      <c r="AB2175" t="s">
        <v>824</v>
      </c>
      <c r="AD2175" t="s">
        <v>794</v>
      </c>
      <c r="AE2175" t="s">
        <v>832</v>
      </c>
      <c r="AF2175" t="s">
        <v>796</v>
      </c>
      <c r="AG2175" t="s">
        <v>797</v>
      </c>
      <c r="AH2175">
        <v>70041</v>
      </c>
      <c r="AI2175">
        <v>71302</v>
      </c>
      <c r="AJ2175">
        <v>2.7699999999999999E-2</v>
      </c>
    </row>
    <row r="2176" spans="1:36" x14ac:dyDescent="0.3">
      <c r="A2176">
        <f>COUNTIF($D$2:D2176,D2176)</f>
        <v>6</v>
      </c>
      <c r="B2176" t="str">
        <f t="shared" si="133"/>
        <v>6Suffolk</v>
      </c>
      <c r="C2176" t="s">
        <v>6112</v>
      </c>
      <c r="D2176" t="s">
        <v>309</v>
      </c>
      <c r="E2176">
        <v>9</v>
      </c>
      <c r="F2176" t="s">
        <v>6113</v>
      </c>
      <c r="G2176" t="s">
        <v>787</v>
      </c>
      <c r="H2176" t="s">
        <v>1688</v>
      </c>
      <c r="I2176" t="s">
        <v>789</v>
      </c>
      <c r="J2176">
        <f t="shared" ca="1" si="134"/>
        <v>2482042</v>
      </c>
      <c r="K2176">
        <f t="shared" ca="1" si="135"/>
        <v>713</v>
      </c>
      <c r="N2176" t="str">
        <f t="shared" si="132"/>
        <v>Solihull45Pathway 2 - Arden Lea/Grove Court
(Pathway 2)Bed based intermediate Care Services (Reablement, rehabilitation, wider short-term services supporting recovery)Bed-based intermediate care with reablement (to support discharge)</v>
      </c>
      <c r="O2176" t="s">
        <v>285</v>
      </c>
      <c r="P2176" t="s">
        <v>1172</v>
      </c>
      <c r="Q2176">
        <v>45</v>
      </c>
      <c r="R2176" t="s">
        <v>5600</v>
      </c>
      <c r="S2176" t="s">
        <v>6114</v>
      </c>
      <c r="T2176" t="s">
        <v>877</v>
      </c>
      <c r="U2176" t="s">
        <v>878</v>
      </c>
      <c r="W2176">
        <v>20</v>
      </c>
      <c r="X2176">
        <v>20</v>
      </c>
      <c r="Y2176" t="s">
        <v>879</v>
      </c>
      <c r="Z2176" t="s">
        <v>1061</v>
      </c>
      <c r="AB2176" t="s">
        <v>824</v>
      </c>
      <c r="AD2176" t="s">
        <v>794</v>
      </c>
      <c r="AE2176" t="s">
        <v>804</v>
      </c>
      <c r="AF2176" t="s">
        <v>796</v>
      </c>
      <c r="AG2176" t="s">
        <v>797</v>
      </c>
      <c r="AH2176">
        <v>1051327</v>
      </c>
      <c r="AI2176">
        <v>1070251</v>
      </c>
      <c r="AJ2176">
        <v>0.2969</v>
      </c>
    </row>
    <row r="2177" spans="1:36" x14ac:dyDescent="0.3">
      <c r="A2177">
        <f>COUNTIF($D$2:D2177,D2177)</f>
        <v>7</v>
      </c>
      <c r="B2177" t="str">
        <f t="shared" si="133"/>
        <v>7Suffolk</v>
      </c>
      <c r="C2177" t="s">
        <v>6115</v>
      </c>
      <c r="D2177" t="s">
        <v>309</v>
      </c>
      <c r="E2177">
        <v>10</v>
      </c>
      <c r="F2177" t="s">
        <v>6116</v>
      </c>
      <c r="G2177" t="s">
        <v>806</v>
      </c>
      <c r="H2177" t="s">
        <v>807</v>
      </c>
      <c r="I2177" t="s">
        <v>808</v>
      </c>
      <c r="J2177">
        <f t="shared" ca="1" si="134"/>
        <v>1874254</v>
      </c>
      <c r="K2177">
        <f t="shared" ca="1" si="135"/>
        <v>40</v>
      </c>
      <c r="N2177" t="str">
        <f t="shared" si="132"/>
        <v>Solihull47Pathway 2 - Geriatric Medicine
(Pathway 2)Bed based intermediate Care Services (Reablement, rehabilitation, wider short-term services supporting recovery)Bed-based intermediate care with reablement (to support discharge)</v>
      </c>
      <c r="O2177" t="s">
        <v>285</v>
      </c>
      <c r="P2177" t="s">
        <v>1172</v>
      </c>
      <c r="Q2177">
        <v>47</v>
      </c>
      <c r="R2177" t="s">
        <v>5604</v>
      </c>
      <c r="S2177" t="s">
        <v>6117</v>
      </c>
      <c r="T2177" t="s">
        <v>877</v>
      </c>
      <c r="U2177" t="s">
        <v>878</v>
      </c>
      <c r="W2177">
        <v>156</v>
      </c>
      <c r="X2177">
        <v>156</v>
      </c>
      <c r="Y2177" t="s">
        <v>879</v>
      </c>
      <c r="Z2177" t="s">
        <v>823</v>
      </c>
      <c r="AB2177" t="s">
        <v>824</v>
      </c>
      <c r="AD2177" t="s">
        <v>794</v>
      </c>
      <c r="AE2177" t="s">
        <v>832</v>
      </c>
      <c r="AF2177" t="s">
        <v>796</v>
      </c>
      <c r="AG2177" t="s">
        <v>797</v>
      </c>
      <c r="AH2177">
        <v>28588</v>
      </c>
      <c r="AI2177">
        <v>29103</v>
      </c>
      <c r="AJ2177">
        <v>0.05</v>
      </c>
    </row>
    <row r="2178" spans="1:36" x14ac:dyDescent="0.3">
      <c r="A2178">
        <f>COUNTIF($D$2:D2178,D2178)</f>
        <v>8</v>
      </c>
      <c r="B2178" t="str">
        <f t="shared" si="133"/>
        <v>8Suffolk</v>
      </c>
      <c r="C2178" t="s">
        <v>6118</v>
      </c>
      <c r="D2178" t="s">
        <v>309</v>
      </c>
      <c r="E2178">
        <v>11</v>
      </c>
      <c r="F2178" t="s">
        <v>6119</v>
      </c>
      <c r="G2178" t="s">
        <v>811</v>
      </c>
      <c r="H2178" t="s">
        <v>895</v>
      </c>
      <c r="I2178" t="s">
        <v>813</v>
      </c>
      <c r="J2178">
        <f t="shared" ca="1" si="134"/>
        <v>72718</v>
      </c>
      <c r="K2178">
        <f t="shared" ca="1" si="135"/>
        <v>518</v>
      </c>
      <c r="N2178" t="str">
        <f t="shared" ref="N2178:N2241" si="136">O2178&amp;Q2178&amp;R2178&amp;T2178&amp;U2178</f>
        <v>Solihull49Pathway 2 - Geriatric Medicine
(Pathway 2)Bed based intermediate Care Services (Reablement, rehabilitation, wider short-term services supporting recovery)Bed-based intermediate care with reablement (to support discharge)</v>
      </c>
      <c r="O2178" t="s">
        <v>285</v>
      </c>
      <c r="P2178" t="s">
        <v>1172</v>
      </c>
      <c r="Q2178">
        <v>49</v>
      </c>
      <c r="R2178" t="s">
        <v>5604</v>
      </c>
      <c r="S2178" t="s">
        <v>6120</v>
      </c>
      <c r="T2178" t="s">
        <v>877</v>
      </c>
      <c r="U2178" t="s">
        <v>878</v>
      </c>
      <c r="W2178">
        <v>260</v>
      </c>
      <c r="X2178">
        <v>260</v>
      </c>
      <c r="Y2178" t="s">
        <v>879</v>
      </c>
      <c r="Z2178" t="s">
        <v>1061</v>
      </c>
      <c r="AB2178" t="s">
        <v>824</v>
      </c>
      <c r="AD2178" t="s">
        <v>794</v>
      </c>
      <c r="AE2178" t="s">
        <v>832</v>
      </c>
      <c r="AF2178" t="s">
        <v>796</v>
      </c>
      <c r="AG2178" t="s">
        <v>797</v>
      </c>
      <c r="AH2178">
        <v>46798</v>
      </c>
      <c r="AI2178">
        <v>47641</v>
      </c>
      <c r="AJ2178">
        <v>0.1</v>
      </c>
    </row>
    <row r="2179" spans="1:36" x14ac:dyDescent="0.3">
      <c r="A2179">
        <f>COUNTIF($D$2:D2179,D2179)</f>
        <v>9</v>
      </c>
      <c r="B2179" t="str">
        <f t="shared" ref="B2179:B2242" si="137">A2179&amp;D2179</f>
        <v>9Suffolk</v>
      </c>
      <c r="C2179" t="s">
        <v>6121</v>
      </c>
      <c r="D2179" t="s">
        <v>309</v>
      </c>
      <c r="E2179">
        <v>12</v>
      </c>
      <c r="F2179" t="s">
        <v>6122</v>
      </c>
      <c r="G2179" t="s">
        <v>811</v>
      </c>
      <c r="H2179" t="s">
        <v>830</v>
      </c>
      <c r="I2179" t="s">
        <v>813</v>
      </c>
      <c r="J2179">
        <f t="shared" ref="J2179:J2242" ca="1" si="138">SUMIF($N:$AI,C2179,AH:AH)</f>
        <v>595681</v>
      </c>
      <c r="K2179">
        <f t="shared" ref="K2179:K2242" ca="1" si="139">SUMIF($N:$AI,C2179,W:W)</f>
        <v>1191</v>
      </c>
      <c r="N2179" t="str">
        <f t="shared" si="136"/>
        <v>Solihull55Enabler - Community Wheelchair Service
(Single Transfer of Care team)Assistive Technologies and EquipmentCommunity based equipment</v>
      </c>
      <c r="O2179" t="s">
        <v>285</v>
      </c>
      <c r="P2179" t="s">
        <v>1172</v>
      </c>
      <c r="Q2179">
        <v>55</v>
      </c>
      <c r="R2179" t="s">
        <v>5609</v>
      </c>
      <c r="S2179" t="s">
        <v>6123</v>
      </c>
      <c r="T2179" t="s">
        <v>800</v>
      </c>
      <c r="U2179" t="s">
        <v>903</v>
      </c>
      <c r="W2179">
        <v>1179</v>
      </c>
      <c r="X2179">
        <v>1179</v>
      </c>
      <c r="Y2179" t="s">
        <v>802</v>
      </c>
      <c r="Z2179" t="s">
        <v>823</v>
      </c>
      <c r="AB2179" t="s">
        <v>824</v>
      </c>
      <c r="AD2179" t="s">
        <v>794</v>
      </c>
      <c r="AE2179" t="s">
        <v>804</v>
      </c>
      <c r="AF2179" t="s">
        <v>796</v>
      </c>
      <c r="AG2179" t="s">
        <v>797</v>
      </c>
      <c r="AH2179">
        <v>749924</v>
      </c>
      <c r="AI2179">
        <v>763423</v>
      </c>
      <c r="AJ2179">
        <v>1</v>
      </c>
    </row>
    <row r="2180" spans="1:36" x14ac:dyDescent="0.3">
      <c r="A2180">
        <f>COUNTIF($D$2:D2180,D2180)</f>
        <v>10</v>
      </c>
      <c r="B2180" t="str">
        <f t="shared" si="137"/>
        <v>10Suffolk</v>
      </c>
      <c r="C2180" t="s">
        <v>6124</v>
      </c>
      <c r="D2180" t="s">
        <v>309</v>
      </c>
      <c r="E2180">
        <v>13</v>
      </c>
      <c r="F2180" t="s">
        <v>6125</v>
      </c>
      <c r="G2180" t="s">
        <v>842</v>
      </c>
      <c r="H2180" t="s">
        <v>856</v>
      </c>
      <c r="I2180" t="s">
        <v>844</v>
      </c>
      <c r="J2180">
        <f t="shared" ca="1" si="138"/>
        <v>897414</v>
      </c>
      <c r="K2180">
        <f t="shared" ca="1" si="139"/>
        <v>39761</v>
      </c>
      <c r="N2180" t="str">
        <f t="shared" si="136"/>
        <v>Solihull56Enabler  - Solihull Community Equipment Loans Service Assistive Technologies and EquipmentCommunity based equipment</v>
      </c>
      <c r="O2180" t="s">
        <v>285</v>
      </c>
      <c r="P2180" t="s">
        <v>1172</v>
      </c>
      <c r="Q2180">
        <v>56</v>
      </c>
      <c r="R2180" t="s">
        <v>5588</v>
      </c>
      <c r="S2180" t="s">
        <v>6102</v>
      </c>
      <c r="T2180" t="s">
        <v>800</v>
      </c>
      <c r="U2180" t="s">
        <v>903</v>
      </c>
      <c r="W2180">
        <v>2651</v>
      </c>
      <c r="X2180">
        <v>2651</v>
      </c>
      <c r="Y2180" t="s">
        <v>802</v>
      </c>
      <c r="Z2180" t="s">
        <v>792</v>
      </c>
      <c r="AB2180" t="s">
        <v>793</v>
      </c>
      <c r="AD2180" t="s">
        <v>794</v>
      </c>
      <c r="AE2180" t="s">
        <v>795</v>
      </c>
      <c r="AF2180" t="s">
        <v>1029</v>
      </c>
      <c r="AG2180" t="s">
        <v>797</v>
      </c>
      <c r="AH2180">
        <v>466789</v>
      </c>
      <c r="AI2180">
        <v>475191</v>
      </c>
      <c r="AJ2180">
        <v>0.19</v>
      </c>
    </row>
    <row r="2181" spans="1:36" x14ac:dyDescent="0.3">
      <c r="A2181">
        <f>COUNTIF($D$2:D2181,D2181)</f>
        <v>11</v>
      </c>
      <c r="B2181" t="str">
        <f t="shared" si="137"/>
        <v>11Suffolk</v>
      </c>
      <c r="C2181" t="s">
        <v>6126</v>
      </c>
      <c r="D2181" t="s">
        <v>309</v>
      </c>
      <c r="E2181">
        <v>14</v>
      </c>
      <c r="F2181" t="s">
        <v>6127</v>
      </c>
      <c r="G2181" t="s">
        <v>811</v>
      </c>
      <c r="H2181" t="s">
        <v>830</v>
      </c>
      <c r="I2181" t="s">
        <v>813</v>
      </c>
      <c r="J2181">
        <f t="shared" ca="1" si="138"/>
        <v>371248</v>
      </c>
      <c r="K2181">
        <f t="shared" ca="1" si="139"/>
        <v>742</v>
      </c>
      <c r="N2181" t="str">
        <f t="shared" si="136"/>
        <v xml:space="preserve">Solihull100Pathway 1 - Home Discharge Service
(Single Transfer of Care team)Home-based intermediate care servicesReablement at home (to support discharge) </v>
      </c>
      <c r="O2181" t="s">
        <v>285</v>
      </c>
      <c r="P2181" t="s">
        <v>1172</v>
      </c>
      <c r="Q2181">
        <v>100</v>
      </c>
      <c r="R2181" t="s">
        <v>5615</v>
      </c>
      <c r="S2181" t="s">
        <v>6128</v>
      </c>
      <c r="T2181" t="s">
        <v>787</v>
      </c>
      <c r="U2181" t="s">
        <v>788</v>
      </c>
      <c r="W2181">
        <v>293.39999999999998</v>
      </c>
      <c r="X2181">
        <v>293.39999999999998</v>
      </c>
      <c r="Y2181" t="s">
        <v>789</v>
      </c>
      <c r="Z2181" t="s">
        <v>792</v>
      </c>
      <c r="AB2181" t="s">
        <v>793</v>
      </c>
      <c r="AD2181" t="s">
        <v>794</v>
      </c>
      <c r="AE2181" t="s">
        <v>795</v>
      </c>
      <c r="AF2181" t="s">
        <v>864</v>
      </c>
      <c r="AG2181" t="s">
        <v>861</v>
      </c>
      <c r="AH2181">
        <v>450000</v>
      </c>
      <c r="AI2181">
        <v>450000</v>
      </c>
      <c r="AJ2181">
        <v>1</v>
      </c>
    </row>
    <row r="2182" spans="1:36" x14ac:dyDescent="0.3">
      <c r="A2182">
        <f>COUNTIF($D$2:D2182,D2182)</f>
        <v>12</v>
      </c>
      <c r="B2182" t="str">
        <f t="shared" si="137"/>
        <v>12Suffolk</v>
      </c>
      <c r="C2182" t="s">
        <v>6129</v>
      </c>
      <c r="D2182" t="s">
        <v>309</v>
      </c>
      <c r="E2182">
        <v>15</v>
      </c>
      <c r="F2182" t="s">
        <v>6130</v>
      </c>
      <c r="G2182" t="s">
        <v>842</v>
      </c>
      <c r="H2182" t="s">
        <v>843</v>
      </c>
      <c r="I2182" t="s">
        <v>844</v>
      </c>
      <c r="J2182">
        <f t="shared" ca="1" si="138"/>
        <v>2027123</v>
      </c>
      <c r="K2182">
        <f t="shared" ca="1" si="139"/>
        <v>89815</v>
      </c>
      <c r="N2182" t="str">
        <f t="shared" si="136"/>
        <v>Solihull102Pathway 1 - CES capacity to support equipmentAssistive Technologies and EquipmentCommunity based equipment</v>
      </c>
      <c r="O2182" t="s">
        <v>285</v>
      </c>
      <c r="P2182" t="s">
        <v>1172</v>
      </c>
      <c r="Q2182">
        <v>102</v>
      </c>
      <c r="R2182" t="s">
        <v>5617</v>
      </c>
      <c r="S2182" t="s">
        <v>6131</v>
      </c>
      <c r="T2182" t="s">
        <v>800</v>
      </c>
      <c r="U2182" t="s">
        <v>903</v>
      </c>
      <c r="W2182">
        <v>12050</v>
      </c>
      <c r="X2182">
        <v>12050</v>
      </c>
      <c r="Y2182" t="s">
        <v>802</v>
      </c>
      <c r="Z2182" t="s">
        <v>792</v>
      </c>
      <c r="AB2182" t="s">
        <v>793</v>
      </c>
      <c r="AD2182" t="s">
        <v>794</v>
      </c>
      <c r="AE2182" t="s">
        <v>795</v>
      </c>
      <c r="AF2182" t="s">
        <v>864</v>
      </c>
      <c r="AG2182" t="s">
        <v>861</v>
      </c>
      <c r="AH2182">
        <v>40000</v>
      </c>
      <c r="AI2182">
        <v>40000</v>
      </c>
      <c r="AJ2182">
        <v>5.0900000000000001E-2</v>
      </c>
    </row>
    <row r="2183" spans="1:36" x14ac:dyDescent="0.3">
      <c r="A2183">
        <f>COUNTIF($D$2:D2183,D2183)</f>
        <v>13</v>
      </c>
      <c r="B2183" t="str">
        <f t="shared" si="137"/>
        <v>13Suffolk</v>
      </c>
      <c r="C2183" t="s">
        <v>6132</v>
      </c>
      <c r="D2183" t="s">
        <v>309</v>
      </c>
      <c r="E2183">
        <v>16</v>
      </c>
      <c r="F2183" t="s">
        <v>6133</v>
      </c>
      <c r="G2183" t="s">
        <v>806</v>
      </c>
      <c r="H2183" t="s">
        <v>807</v>
      </c>
      <c r="I2183" t="s">
        <v>808</v>
      </c>
      <c r="J2183">
        <f t="shared" ca="1" si="138"/>
        <v>124689</v>
      </c>
      <c r="K2183">
        <f t="shared" ca="1" si="139"/>
        <v>3</v>
      </c>
      <c r="N2183" t="str">
        <f t="shared" si="136"/>
        <v>Solihull103Pathway 1 - Genie Connect AI system - 30 usersAssistive Technologies and EquipmentAssistive technologies including telecare</v>
      </c>
      <c r="O2183" t="s">
        <v>285</v>
      </c>
      <c r="P2183" t="s">
        <v>1172</v>
      </c>
      <c r="Q2183">
        <v>103</v>
      </c>
      <c r="R2183" t="s">
        <v>5620</v>
      </c>
      <c r="S2183" t="s">
        <v>6134</v>
      </c>
      <c r="T2183" t="s">
        <v>800</v>
      </c>
      <c r="U2183" t="s">
        <v>850</v>
      </c>
      <c r="W2183">
        <v>30</v>
      </c>
      <c r="X2183">
        <v>30</v>
      </c>
      <c r="Y2183" t="s">
        <v>802</v>
      </c>
      <c r="Z2183" t="s">
        <v>792</v>
      </c>
      <c r="AB2183" t="s">
        <v>793</v>
      </c>
      <c r="AD2183" t="s">
        <v>794</v>
      </c>
      <c r="AE2183" t="s">
        <v>795</v>
      </c>
      <c r="AF2183" t="s">
        <v>864</v>
      </c>
      <c r="AG2183" t="s">
        <v>861</v>
      </c>
      <c r="AH2183">
        <v>66680</v>
      </c>
      <c r="AI2183">
        <v>66680</v>
      </c>
      <c r="AJ2183">
        <v>2.86E-2</v>
      </c>
    </row>
    <row r="2184" spans="1:36" x14ac:dyDescent="0.3">
      <c r="A2184">
        <f>COUNTIF($D$2:D2184,D2184)</f>
        <v>14</v>
      </c>
      <c r="B2184" t="str">
        <f t="shared" si="137"/>
        <v>14Suffolk</v>
      </c>
      <c r="C2184" t="s">
        <v>6135</v>
      </c>
      <c r="D2184" t="s">
        <v>309</v>
      </c>
      <c r="E2184">
        <v>18</v>
      </c>
      <c r="F2184" t="s">
        <v>6136</v>
      </c>
      <c r="G2184" t="s">
        <v>787</v>
      </c>
      <c r="H2184" t="s">
        <v>930</v>
      </c>
      <c r="I2184" t="s">
        <v>789</v>
      </c>
      <c r="J2184">
        <f t="shared" ca="1" si="138"/>
        <v>437224</v>
      </c>
      <c r="K2184">
        <f t="shared" ca="1" si="139"/>
        <v>126</v>
      </c>
      <c r="N2184" t="str">
        <f t="shared" si="136"/>
        <v>Solihull106Pathway 2 - Bed Capacity
(Pathway 2)Bed based intermediate Care Services (Reablement, rehabilitation, wider short-term services supporting recovery)Bed-based intermediate care with reablement (to support discharge)</v>
      </c>
      <c r="O2184" t="s">
        <v>285</v>
      </c>
      <c r="P2184" t="s">
        <v>1172</v>
      </c>
      <c r="Q2184">
        <v>106</v>
      </c>
      <c r="R2184" t="s">
        <v>5623</v>
      </c>
      <c r="S2184" t="s">
        <v>6137</v>
      </c>
      <c r="T2184" t="s">
        <v>877</v>
      </c>
      <c r="U2184" t="s">
        <v>878</v>
      </c>
      <c r="W2184">
        <v>23</v>
      </c>
      <c r="X2184">
        <v>23</v>
      </c>
      <c r="Y2184" t="s">
        <v>879</v>
      </c>
      <c r="Z2184" t="s">
        <v>823</v>
      </c>
      <c r="AB2184" t="s">
        <v>824</v>
      </c>
      <c r="AD2184" t="s">
        <v>794</v>
      </c>
      <c r="AE2184" t="s">
        <v>795</v>
      </c>
      <c r="AF2184" t="s">
        <v>860</v>
      </c>
      <c r="AG2184" t="s">
        <v>861</v>
      </c>
      <c r="AH2184">
        <v>396000</v>
      </c>
      <c r="AI2184">
        <v>396000</v>
      </c>
      <c r="AJ2184">
        <v>0.1108</v>
      </c>
    </row>
    <row r="2185" spans="1:36" x14ac:dyDescent="0.3">
      <c r="A2185">
        <f>COUNTIF($D$2:D2185,D2185)</f>
        <v>15</v>
      </c>
      <c r="B2185" t="str">
        <f t="shared" si="137"/>
        <v>15Suffolk</v>
      </c>
      <c r="C2185" t="s">
        <v>6138</v>
      </c>
      <c r="D2185" t="s">
        <v>309</v>
      </c>
      <c r="E2185">
        <v>20</v>
      </c>
      <c r="F2185" t="s">
        <v>6139</v>
      </c>
      <c r="G2185" t="s">
        <v>842</v>
      </c>
      <c r="H2185" t="s">
        <v>843</v>
      </c>
      <c r="I2185" t="s">
        <v>844</v>
      </c>
      <c r="J2185">
        <f t="shared" ca="1" si="138"/>
        <v>11847007.66</v>
      </c>
      <c r="K2185">
        <f t="shared" ca="1" si="139"/>
        <v>524901</v>
      </c>
      <c r="N2185" t="str">
        <f t="shared" si="136"/>
        <v>Solihull107Pathway 1 - CES capacity to support equipmentAssistive Technologies and EquipmentAssistive technologies including telecare</v>
      </c>
      <c r="O2185" t="s">
        <v>285</v>
      </c>
      <c r="P2185" t="s">
        <v>1172</v>
      </c>
      <c r="Q2185">
        <v>107</v>
      </c>
      <c r="R2185" t="s">
        <v>5617</v>
      </c>
      <c r="S2185" t="s">
        <v>1881</v>
      </c>
      <c r="T2185" t="s">
        <v>800</v>
      </c>
      <c r="U2185" t="s">
        <v>850</v>
      </c>
      <c r="W2185">
        <v>12050</v>
      </c>
      <c r="X2185">
        <v>12050</v>
      </c>
      <c r="Y2185" t="s">
        <v>802</v>
      </c>
      <c r="Z2185" t="s">
        <v>792</v>
      </c>
      <c r="AB2185" t="s">
        <v>793</v>
      </c>
      <c r="AD2185" t="s">
        <v>794</v>
      </c>
      <c r="AE2185" t="s">
        <v>795</v>
      </c>
      <c r="AF2185" t="s">
        <v>860</v>
      </c>
      <c r="AG2185" t="s">
        <v>861</v>
      </c>
      <c r="AH2185">
        <v>251000</v>
      </c>
      <c r="AI2185">
        <v>251000</v>
      </c>
      <c r="AJ2185">
        <v>0.1041</v>
      </c>
    </row>
    <row r="2186" spans="1:36" x14ac:dyDescent="0.3">
      <c r="A2186">
        <f>COUNTIF($D$2:D2186,D2186)</f>
        <v>16</v>
      </c>
      <c r="B2186" t="str">
        <f t="shared" si="137"/>
        <v>16Suffolk</v>
      </c>
      <c r="C2186" t="s">
        <v>6140</v>
      </c>
      <c r="D2186" t="s">
        <v>309</v>
      </c>
      <c r="E2186">
        <v>23</v>
      </c>
      <c r="F2186" t="s">
        <v>6141</v>
      </c>
      <c r="G2186" t="s">
        <v>842</v>
      </c>
      <c r="H2186" t="s">
        <v>843</v>
      </c>
      <c r="I2186" t="s">
        <v>844</v>
      </c>
      <c r="J2186">
        <f t="shared" ca="1" si="138"/>
        <v>516053</v>
      </c>
      <c r="K2186">
        <f t="shared" ca="1" si="139"/>
        <v>22865</v>
      </c>
      <c r="N2186" t="str">
        <f t="shared" si="136"/>
        <v>Somerset1DFGDFG Related SchemesAdaptations, including statutory DFG grants</v>
      </c>
      <c r="O2186" t="s">
        <v>287</v>
      </c>
      <c r="P2186" t="s">
        <v>976</v>
      </c>
      <c r="Q2186">
        <v>1</v>
      </c>
      <c r="R2186" t="s">
        <v>840</v>
      </c>
      <c r="S2186" t="s">
        <v>891</v>
      </c>
      <c r="T2186" t="s">
        <v>834</v>
      </c>
      <c r="U2186" t="s">
        <v>835</v>
      </c>
      <c r="W2186">
        <v>2000</v>
      </c>
      <c r="X2186">
        <v>2700</v>
      </c>
      <c r="Y2186" t="s">
        <v>836</v>
      </c>
      <c r="Z2186" t="s">
        <v>792</v>
      </c>
      <c r="AB2186" t="s">
        <v>793</v>
      </c>
      <c r="AD2186" t="s">
        <v>794</v>
      </c>
      <c r="AE2186" t="s">
        <v>825</v>
      </c>
      <c r="AF2186" t="s">
        <v>840</v>
      </c>
      <c r="AG2186" t="s">
        <v>797</v>
      </c>
      <c r="AH2186">
        <v>4952841</v>
      </c>
      <c r="AI2186">
        <v>4952841</v>
      </c>
      <c r="AJ2186">
        <v>5.921261479357931E-2</v>
      </c>
    </row>
    <row r="2187" spans="1:36" x14ac:dyDescent="0.3">
      <c r="A2187">
        <f>COUNTIF($D$2:D2187,D2187)</f>
        <v>17</v>
      </c>
      <c r="B2187" t="str">
        <f t="shared" si="137"/>
        <v>17Suffolk</v>
      </c>
      <c r="C2187" t="s">
        <v>6142</v>
      </c>
      <c r="D2187" t="s">
        <v>309</v>
      </c>
      <c r="E2187">
        <v>29</v>
      </c>
      <c r="F2187" t="s">
        <v>6143</v>
      </c>
      <c r="G2187" t="s">
        <v>842</v>
      </c>
      <c r="H2187" t="s">
        <v>843</v>
      </c>
      <c r="I2187" t="s">
        <v>844</v>
      </c>
      <c r="J2187">
        <f t="shared" ca="1" si="138"/>
        <v>5942140</v>
      </c>
      <c r="K2187">
        <f t="shared" ca="1" si="139"/>
        <v>263276</v>
      </c>
      <c r="N2187" t="str">
        <f t="shared" si="136"/>
        <v>Somerset4Intermediate CareHome Care or Domiciliary CareDomiciliary care to support hospital discharge (Discharge to Assess pathway 1)</v>
      </c>
      <c r="O2187" t="s">
        <v>287</v>
      </c>
      <c r="P2187" t="s">
        <v>976</v>
      </c>
      <c r="Q2187">
        <v>4</v>
      </c>
      <c r="R2187" t="s">
        <v>964</v>
      </c>
      <c r="S2187" t="s">
        <v>6144</v>
      </c>
      <c r="T2187" t="s">
        <v>842</v>
      </c>
      <c r="U2187" t="s">
        <v>856</v>
      </c>
      <c r="W2187">
        <v>196200</v>
      </c>
      <c r="X2187">
        <v>176600</v>
      </c>
      <c r="Y2187" t="s">
        <v>844</v>
      </c>
      <c r="Z2187" t="s">
        <v>792</v>
      </c>
      <c r="AB2187" t="s">
        <v>793</v>
      </c>
      <c r="AD2187" t="s">
        <v>794</v>
      </c>
      <c r="AE2187" t="s">
        <v>825</v>
      </c>
      <c r="AF2187" t="s">
        <v>845</v>
      </c>
      <c r="AG2187" t="s">
        <v>797</v>
      </c>
      <c r="AH2187">
        <v>5298500</v>
      </c>
      <c r="AI2187">
        <v>5298500</v>
      </c>
      <c r="AJ2187">
        <v>6.3345065889209851E-2</v>
      </c>
    </row>
    <row r="2188" spans="1:36" x14ac:dyDescent="0.3">
      <c r="A2188">
        <f>COUNTIF($D$2:D2188,D2188)</f>
        <v>18</v>
      </c>
      <c r="B2188" t="str">
        <f t="shared" si="137"/>
        <v>18Suffolk</v>
      </c>
      <c r="C2188" t="s">
        <v>6145</v>
      </c>
      <c r="D2188" t="s">
        <v>309</v>
      </c>
      <c r="E2188">
        <v>30</v>
      </c>
      <c r="F2188" t="s">
        <v>6146</v>
      </c>
      <c r="G2188" t="s">
        <v>787</v>
      </c>
      <c r="H2188" t="s">
        <v>930</v>
      </c>
      <c r="I2188" t="s">
        <v>789</v>
      </c>
      <c r="J2188">
        <f t="shared" ca="1" si="138"/>
        <v>250000</v>
      </c>
      <c r="K2188">
        <f t="shared" ca="1" si="139"/>
        <v>72</v>
      </c>
      <c r="N2188" t="str">
        <f t="shared" si="136"/>
        <v>Somerset5Intermediate CareHome Care or Domiciliary CareDomiciliary care to support hospital discharge (Discharge to Assess pathway 1)</v>
      </c>
      <c r="O2188" t="s">
        <v>287</v>
      </c>
      <c r="P2188" t="s">
        <v>976</v>
      </c>
      <c r="Q2188">
        <v>5</v>
      </c>
      <c r="R2188" t="s">
        <v>964</v>
      </c>
      <c r="S2188" t="s">
        <v>6144</v>
      </c>
      <c r="T2188" t="s">
        <v>842</v>
      </c>
      <c r="U2188" t="s">
        <v>856</v>
      </c>
      <c r="W2188">
        <v>133400</v>
      </c>
      <c r="X2188">
        <v>120100</v>
      </c>
      <c r="Y2188" t="s">
        <v>844</v>
      </c>
      <c r="Z2188" t="s">
        <v>792</v>
      </c>
      <c r="AB2188" t="s">
        <v>793</v>
      </c>
      <c r="AD2188" t="s">
        <v>794</v>
      </c>
      <c r="AE2188" t="s">
        <v>795</v>
      </c>
      <c r="AF2188" t="s">
        <v>796</v>
      </c>
      <c r="AG2188" t="s">
        <v>797</v>
      </c>
      <c r="AH2188">
        <v>3602000</v>
      </c>
      <c r="AI2188">
        <v>3602000</v>
      </c>
      <c r="AJ2188">
        <v>4.306292862752361E-2</v>
      </c>
    </row>
    <row r="2189" spans="1:36" x14ac:dyDescent="0.3">
      <c r="A2189">
        <f>COUNTIF($D$2:D2189,D2189)</f>
        <v>19</v>
      </c>
      <c r="B2189" t="str">
        <f t="shared" si="137"/>
        <v>19Suffolk</v>
      </c>
      <c r="C2189" t="s">
        <v>6147</v>
      </c>
      <c r="D2189" t="s">
        <v>309</v>
      </c>
      <c r="E2189">
        <v>34</v>
      </c>
      <c r="F2189" t="s">
        <v>6148</v>
      </c>
      <c r="G2189" t="s">
        <v>842</v>
      </c>
      <c r="H2189" t="s">
        <v>843</v>
      </c>
      <c r="I2189" t="s">
        <v>844</v>
      </c>
      <c r="J2189">
        <f t="shared" ca="1" si="138"/>
        <v>581200</v>
      </c>
      <c r="K2189">
        <f t="shared" ca="1" si="139"/>
        <v>25751</v>
      </c>
      <c r="N2189" t="str">
        <f t="shared" si="136"/>
        <v>Somerset7Community bed based care (short stays,  hospital avoidance)Bed based intermediate Care Services (Reablement, rehabilitation, wider short-term services supporting recovery)Other</v>
      </c>
      <c r="O2189" t="s">
        <v>287</v>
      </c>
      <c r="P2189" t="s">
        <v>976</v>
      </c>
      <c r="Q2189">
        <v>7</v>
      </c>
      <c r="R2189" t="s">
        <v>5633</v>
      </c>
      <c r="S2189" t="s">
        <v>6149</v>
      </c>
      <c r="T2189" t="s">
        <v>877</v>
      </c>
      <c r="U2189" t="s">
        <v>812</v>
      </c>
      <c r="V2189" t="s">
        <v>6150</v>
      </c>
      <c r="W2189">
        <v>35</v>
      </c>
      <c r="X2189">
        <v>35</v>
      </c>
      <c r="Y2189" t="s">
        <v>879</v>
      </c>
      <c r="Z2189" t="s">
        <v>792</v>
      </c>
      <c r="AB2189" t="s">
        <v>793</v>
      </c>
      <c r="AD2189" t="s">
        <v>794</v>
      </c>
      <c r="AE2189" t="s">
        <v>804</v>
      </c>
      <c r="AF2189" t="s">
        <v>796</v>
      </c>
      <c r="AG2189" t="s">
        <v>797</v>
      </c>
      <c r="AH2189">
        <v>2279700</v>
      </c>
      <c r="AI2189">
        <v>2279700</v>
      </c>
      <c r="AJ2189">
        <v>2.7254458187719485E-2</v>
      </c>
    </row>
    <row r="2190" spans="1:36" x14ac:dyDescent="0.3">
      <c r="A2190">
        <f>COUNTIF($D$2:D2190,D2190)</f>
        <v>20</v>
      </c>
      <c r="B2190" t="str">
        <f t="shared" si="137"/>
        <v>20Suffolk</v>
      </c>
      <c r="C2190" t="s">
        <v>6151</v>
      </c>
      <c r="D2190" t="s">
        <v>309</v>
      </c>
      <c r="E2190">
        <v>36</v>
      </c>
      <c r="F2190" t="s">
        <v>6148</v>
      </c>
      <c r="G2190" t="s">
        <v>842</v>
      </c>
      <c r="H2190" t="s">
        <v>856</v>
      </c>
      <c r="I2190" t="s">
        <v>844</v>
      </c>
      <c r="J2190">
        <f t="shared" ca="1" si="138"/>
        <v>3775807</v>
      </c>
      <c r="K2190">
        <f t="shared" ca="1" si="139"/>
        <v>167293</v>
      </c>
      <c r="N2190" t="str">
        <f t="shared" si="136"/>
        <v>Somerset8Community Equipment ServiceDFG Related SchemesOther</v>
      </c>
      <c r="O2190" t="s">
        <v>287</v>
      </c>
      <c r="P2190" t="s">
        <v>976</v>
      </c>
      <c r="Q2190">
        <v>8</v>
      </c>
      <c r="R2190" t="s">
        <v>1881</v>
      </c>
      <c r="S2190" t="s">
        <v>6152</v>
      </c>
      <c r="T2190" t="s">
        <v>834</v>
      </c>
      <c r="U2190" t="s">
        <v>812</v>
      </c>
      <c r="V2190" t="s">
        <v>1816</v>
      </c>
      <c r="W2190">
        <v>20000</v>
      </c>
      <c r="X2190">
        <v>20000</v>
      </c>
      <c r="Y2190" t="s">
        <v>836</v>
      </c>
      <c r="Z2190" t="s">
        <v>792</v>
      </c>
      <c r="AB2190" t="s">
        <v>793</v>
      </c>
      <c r="AD2190" t="s">
        <v>794</v>
      </c>
      <c r="AE2190" t="s">
        <v>804</v>
      </c>
      <c r="AF2190" t="s">
        <v>796</v>
      </c>
      <c r="AG2190" t="s">
        <v>797</v>
      </c>
      <c r="AH2190">
        <v>1200000</v>
      </c>
      <c r="AI2190">
        <v>1200000</v>
      </c>
      <c r="AJ2190">
        <v>1.4346339353977885E-2</v>
      </c>
    </row>
    <row r="2191" spans="1:36" x14ac:dyDescent="0.3">
      <c r="A2191">
        <f>COUNTIF($D$2:D2191,D2191)</f>
        <v>21</v>
      </c>
      <c r="B2191" t="str">
        <f t="shared" si="137"/>
        <v>21Suffolk</v>
      </c>
      <c r="C2191" t="s">
        <v>6153</v>
      </c>
      <c r="D2191" t="s">
        <v>309</v>
      </c>
      <c r="E2191">
        <v>38</v>
      </c>
      <c r="F2191" t="s">
        <v>6154</v>
      </c>
      <c r="G2191" t="s">
        <v>842</v>
      </c>
      <c r="H2191" t="s">
        <v>843</v>
      </c>
      <c r="I2191" t="s">
        <v>844</v>
      </c>
      <c r="J2191">
        <f t="shared" ca="1" si="138"/>
        <v>388200</v>
      </c>
      <c r="K2191">
        <f t="shared" ca="1" si="139"/>
        <v>17200</v>
      </c>
      <c r="N2191" t="str">
        <f t="shared" si="136"/>
        <v>Somerset9Support for carersCarers ServicesOther</v>
      </c>
      <c r="O2191" t="s">
        <v>287</v>
      </c>
      <c r="P2191" t="s">
        <v>976</v>
      </c>
      <c r="Q2191">
        <v>9</v>
      </c>
      <c r="R2191" t="s">
        <v>1636</v>
      </c>
      <c r="S2191" t="s">
        <v>6155</v>
      </c>
      <c r="T2191" t="s">
        <v>811</v>
      </c>
      <c r="U2191" t="s">
        <v>812</v>
      </c>
      <c r="V2191" t="s">
        <v>6156</v>
      </c>
      <c r="W2191">
        <v>2188</v>
      </c>
      <c r="X2191">
        <v>2188</v>
      </c>
      <c r="Y2191" t="s">
        <v>813</v>
      </c>
      <c r="Z2191" t="s">
        <v>792</v>
      </c>
      <c r="AB2191" t="s">
        <v>793</v>
      </c>
      <c r="AD2191" t="s">
        <v>794</v>
      </c>
      <c r="AE2191" t="s">
        <v>825</v>
      </c>
      <c r="AF2191" t="s">
        <v>796</v>
      </c>
      <c r="AG2191" t="s">
        <v>797</v>
      </c>
      <c r="AH2191">
        <v>203500</v>
      </c>
      <c r="AI2191">
        <v>203500</v>
      </c>
      <c r="AJ2191">
        <v>2.4329000487787493E-3</v>
      </c>
    </row>
    <row r="2192" spans="1:36" x14ac:dyDescent="0.3">
      <c r="A2192">
        <f>COUNTIF($D$2:D2192,D2192)</f>
        <v>22</v>
      </c>
      <c r="B2192" t="str">
        <f t="shared" si="137"/>
        <v>22Suffolk</v>
      </c>
      <c r="C2192" t="s">
        <v>6157</v>
      </c>
      <c r="D2192" t="s">
        <v>309</v>
      </c>
      <c r="E2192">
        <v>39</v>
      </c>
      <c r="F2192" t="s">
        <v>6158</v>
      </c>
      <c r="G2192" t="s">
        <v>834</v>
      </c>
      <c r="H2192" t="s">
        <v>835</v>
      </c>
      <c r="I2192" t="s">
        <v>836</v>
      </c>
      <c r="J2192">
        <f t="shared" ca="1" si="138"/>
        <v>3600399</v>
      </c>
      <c r="K2192">
        <f t="shared" ca="1" si="139"/>
        <v>180</v>
      </c>
      <c r="N2192" t="str">
        <f t="shared" si="136"/>
        <v>Somerset14Market SupportHome Care or Domiciliary CareDomiciliary care workforce development</v>
      </c>
      <c r="O2192" t="s">
        <v>287</v>
      </c>
      <c r="P2192" t="s">
        <v>976</v>
      </c>
      <c r="Q2192">
        <v>14</v>
      </c>
      <c r="R2192" t="s">
        <v>5638</v>
      </c>
      <c r="S2192" t="s">
        <v>6159</v>
      </c>
      <c r="T2192" t="s">
        <v>842</v>
      </c>
      <c r="U2192" t="s">
        <v>1594</v>
      </c>
      <c r="W2192">
        <v>16000</v>
      </c>
      <c r="X2192">
        <v>14300</v>
      </c>
      <c r="Y2192" t="s">
        <v>844</v>
      </c>
      <c r="Z2192" t="s">
        <v>792</v>
      </c>
      <c r="AB2192" t="s">
        <v>793</v>
      </c>
      <c r="AD2192" t="s">
        <v>794</v>
      </c>
      <c r="AE2192" t="s">
        <v>804</v>
      </c>
      <c r="AF2192" t="s">
        <v>845</v>
      </c>
      <c r="AG2192" t="s">
        <v>797</v>
      </c>
      <c r="AH2192">
        <v>400000</v>
      </c>
      <c r="AI2192">
        <v>400000</v>
      </c>
      <c r="AJ2192">
        <v>4.782113117992628E-3</v>
      </c>
    </row>
    <row r="2193" spans="1:36" x14ac:dyDescent="0.3">
      <c r="A2193">
        <f>COUNTIF($D$2:D2193,D2193)</f>
        <v>23</v>
      </c>
      <c r="B2193" t="str">
        <f t="shared" si="137"/>
        <v>23Suffolk</v>
      </c>
      <c r="C2193" t="s">
        <v>6160</v>
      </c>
      <c r="D2193" t="s">
        <v>309</v>
      </c>
      <c r="E2193">
        <v>40</v>
      </c>
      <c r="F2193" t="s">
        <v>6161</v>
      </c>
      <c r="G2193" t="s">
        <v>834</v>
      </c>
      <c r="H2193" t="s">
        <v>835</v>
      </c>
      <c r="I2193" t="s">
        <v>836</v>
      </c>
      <c r="J2193">
        <f t="shared" ca="1" si="138"/>
        <v>1803520</v>
      </c>
      <c r="K2193">
        <f t="shared" ca="1" si="139"/>
        <v>90</v>
      </c>
      <c r="N2193" t="str">
        <f t="shared" si="136"/>
        <v>South Gloucestershire1Alcohol Interface NurseCommunity Based SchemesOther</v>
      </c>
      <c r="O2193" t="s">
        <v>289</v>
      </c>
      <c r="P2193" t="s">
        <v>976</v>
      </c>
      <c r="Q2193">
        <v>1</v>
      </c>
      <c r="R2193" t="s">
        <v>5641</v>
      </c>
      <c r="S2193" t="s">
        <v>5641</v>
      </c>
      <c r="T2193" t="s">
        <v>1453</v>
      </c>
      <c r="U2193" t="s">
        <v>812</v>
      </c>
      <c r="V2193" t="s">
        <v>6162</v>
      </c>
      <c r="W2193">
        <v>322</v>
      </c>
      <c r="X2193">
        <v>322</v>
      </c>
      <c r="Y2193" t="s">
        <v>794</v>
      </c>
      <c r="Z2193" t="s">
        <v>823</v>
      </c>
      <c r="AB2193" t="s">
        <v>793</v>
      </c>
      <c r="AD2193" t="s">
        <v>794</v>
      </c>
      <c r="AE2193" t="s">
        <v>804</v>
      </c>
      <c r="AF2193" t="s">
        <v>796</v>
      </c>
      <c r="AG2193" t="s">
        <v>797</v>
      </c>
      <c r="AH2193">
        <v>27842</v>
      </c>
      <c r="AI2193">
        <v>29418</v>
      </c>
      <c r="AJ2193">
        <v>9.2298556957379164E-4</v>
      </c>
    </row>
    <row r="2194" spans="1:36" x14ac:dyDescent="0.3">
      <c r="A2194">
        <f>COUNTIF($D$2:D2194,D2194)</f>
        <v>24</v>
      </c>
      <c r="B2194" t="str">
        <f t="shared" si="137"/>
        <v>24Suffolk</v>
      </c>
      <c r="C2194" t="s">
        <v>6163</v>
      </c>
      <c r="D2194" t="s">
        <v>309</v>
      </c>
      <c r="E2194">
        <v>41</v>
      </c>
      <c r="F2194" t="s">
        <v>6164</v>
      </c>
      <c r="G2194" t="s">
        <v>834</v>
      </c>
      <c r="H2194" t="s">
        <v>835</v>
      </c>
      <c r="I2194" t="s">
        <v>836</v>
      </c>
      <c r="J2194">
        <f t="shared" ca="1" si="138"/>
        <v>1597581</v>
      </c>
      <c r="K2194">
        <f t="shared" ca="1" si="139"/>
        <v>80</v>
      </c>
      <c r="N2194" t="str">
        <f t="shared" si="136"/>
        <v>South Gloucestershire2SGC Care Home &amp; Residential PlacementsResidential PlacementsCare home</v>
      </c>
      <c r="O2194" t="s">
        <v>289</v>
      </c>
      <c r="P2194" t="s">
        <v>976</v>
      </c>
      <c r="Q2194">
        <v>2</v>
      </c>
      <c r="R2194" t="s">
        <v>5643</v>
      </c>
      <c r="S2194" t="s">
        <v>5643</v>
      </c>
      <c r="T2194" t="s">
        <v>806</v>
      </c>
      <c r="U2194" t="s">
        <v>807</v>
      </c>
      <c r="W2194">
        <v>49</v>
      </c>
      <c r="X2194">
        <v>49</v>
      </c>
      <c r="Y2194" t="s">
        <v>808</v>
      </c>
      <c r="Z2194" t="s">
        <v>792</v>
      </c>
      <c r="AB2194" t="s">
        <v>793</v>
      </c>
      <c r="AD2194" t="s">
        <v>794</v>
      </c>
      <c r="AE2194" t="s">
        <v>804</v>
      </c>
      <c r="AF2194" t="s">
        <v>796</v>
      </c>
      <c r="AG2194" t="s">
        <v>797</v>
      </c>
      <c r="AH2194">
        <v>3082396</v>
      </c>
      <c r="AI2194">
        <v>3256860</v>
      </c>
      <c r="AJ2194">
        <v>0.10218400358135107</v>
      </c>
    </row>
    <row r="2195" spans="1:36" x14ac:dyDescent="0.3">
      <c r="A2195">
        <f>COUNTIF($D$2:D2195,D2195)</f>
        <v>25</v>
      </c>
      <c r="B2195" t="str">
        <f t="shared" si="137"/>
        <v>25Suffolk</v>
      </c>
      <c r="C2195" t="s">
        <v>6165</v>
      </c>
      <c r="D2195" t="s">
        <v>309</v>
      </c>
      <c r="E2195">
        <v>42</v>
      </c>
      <c r="F2195" t="s">
        <v>6166</v>
      </c>
      <c r="G2195" t="s">
        <v>877</v>
      </c>
      <c r="H2195" t="s">
        <v>1259</v>
      </c>
      <c r="I2195" t="s">
        <v>879</v>
      </c>
      <c r="J2195">
        <f t="shared" ca="1" si="138"/>
        <v>1439400</v>
      </c>
      <c r="K2195">
        <f t="shared" ca="1" si="139"/>
        <v>403</v>
      </c>
      <c r="N2195" t="str">
        <f t="shared" si="136"/>
        <v>South Gloucestershire3Carers Breaks ContributionCarers ServicesOther</v>
      </c>
      <c r="O2195" t="s">
        <v>289</v>
      </c>
      <c r="P2195" t="s">
        <v>976</v>
      </c>
      <c r="Q2195">
        <v>3</v>
      </c>
      <c r="R2195" t="s">
        <v>4610</v>
      </c>
      <c r="S2195" t="s">
        <v>4610</v>
      </c>
      <c r="T2195" t="s">
        <v>811</v>
      </c>
      <c r="U2195" t="s">
        <v>812</v>
      </c>
      <c r="V2195" t="s">
        <v>6167</v>
      </c>
      <c r="W2195">
        <v>5231</v>
      </c>
      <c r="X2195">
        <v>5629</v>
      </c>
      <c r="Y2195" t="s">
        <v>813</v>
      </c>
      <c r="Z2195" t="s">
        <v>823</v>
      </c>
      <c r="AB2195" t="s">
        <v>793</v>
      </c>
      <c r="AD2195" t="s">
        <v>794</v>
      </c>
      <c r="AE2195" t="s">
        <v>804</v>
      </c>
      <c r="AF2195" t="s">
        <v>796</v>
      </c>
      <c r="AG2195" t="s">
        <v>797</v>
      </c>
      <c r="AH2195">
        <v>200512</v>
      </c>
      <c r="AI2195">
        <v>211861</v>
      </c>
      <c r="AJ2195">
        <v>6.6471403823856086E-3</v>
      </c>
    </row>
    <row r="2196" spans="1:36" x14ac:dyDescent="0.3">
      <c r="A2196">
        <f>COUNTIF($D$2:D2196,D2196)</f>
        <v>26</v>
      </c>
      <c r="B2196" t="str">
        <f t="shared" si="137"/>
        <v>26Suffolk</v>
      </c>
      <c r="C2196" t="s">
        <v>6168</v>
      </c>
      <c r="D2196" t="s">
        <v>309</v>
      </c>
      <c r="E2196">
        <v>43</v>
      </c>
      <c r="F2196" t="s">
        <v>6166</v>
      </c>
      <c r="G2196" t="s">
        <v>877</v>
      </c>
      <c r="H2196" t="s">
        <v>1259</v>
      </c>
      <c r="I2196" t="s">
        <v>879</v>
      </c>
      <c r="J2196">
        <f t="shared" ca="1" si="138"/>
        <v>1857721</v>
      </c>
      <c r="K2196">
        <f t="shared" ca="1" si="139"/>
        <v>28</v>
      </c>
      <c r="N2196" t="str">
        <f t="shared" si="136"/>
        <v>South Gloucestershire5SGC ReablementHome-based intermediate care servicesReablement at home (accepting step up and step down users)</v>
      </c>
      <c r="O2196" t="s">
        <v>289</v>
      </c>
      <c r="P2196" t="s">
        <v>976</v>
      </c>
      <c r="Q2196">
        <v>5</v>
      </c>
      <c r="R2196" t="s">
        <v>5647</v>
      </c>
      <c r="S2196" t="s">
        <v>5647</v>
      </c>
      <c r="T2196" t="s">
        <v>787</v>
      </c>
      <c r="U2196" t="s">
        <v>930</v>
      </c>
      <c r="W2196">
        <v>826</v>
      </c>
      <c r="X2196">
        <v>873</v>
      </c>
      <c r="Y2196" t="s">
        <v>789</v>
      </c>
      <c r="Z2196" t="s">
        <v>823</v>
      </c>
      <c r="AB2196" t="s">
        <v>793</v>
      </c>
      <c r="AD2196" t="s">
        <v>794</v>
      </c>
      <c r="AE2196" t="s">
        <v>804</v>
      </c>
      <c r="AF2196" t="s">
        <v>796</v>
      </c>
      <c r="AG2196" t="s">
        <v>797</v>
      </c>
      <c r="AH2196">
        <v>1425941</v>
      </c>
      <c r="AI2196">
        <v>1506649</v>
      </c>
      <c r="AJ2196">
        <v>4.7271135912061703E-2</v>
      </c>
    </row>
    <row r="2197" spans="1:36" x14ac:dyDescent="0.3">
      <c r="A2197">
        <f>COUNTIF($D$2:D2197,D2197)</f>
        <v>27</v>
      </c>
      <c r="B2197" t="str">
        <f t="shared" si="137"/>
        <v>27Suffolk</v>
      </c>
      <c r="C2197" t="s">
        <v>6169</v>
      </c>
      <c r="D2197" t="s">
        <v>309</v>
      </c>
      <c r="E2197">
        <v>44</v>
      </c>
      <c r="F2197" t="s">
        <v>6166</v>
      </c>
      <c r="G2197" t="s">
        <v>877</v>
      </c>
      <c r="H2197" t="s">
        <v>1015</v>
      </c>
      <c r="I2197" t="s">
        <v>879</v>
      </c>
      <c r="J2197">
        <f t="shared" ca="1" si="138"/>
        <v>953852</v>
      </c>
      <c r="K2197">
        <f t="shared" ca="1" si="139"/>
        <v>316</v>
      </c>
      <c r="N2197" t="str">
        <f t="shared" si="136"/>
        <v>South Gloucestershire6Sirona Community Rehab CapacityHome-based intermediate care servicesRehabilitation at home (to support discharge)</v>
      </c>
      <c r="O2197" t="s">
        <v>289</v>
      </c>
      <c r="P2197" t="s">
        <v>976</v>
      </c>
      <c r="Q2197">
        <v>6</v>
      </c>
      <c r="R2197" t="s">
        <v>5650</v>
      </c>
      <c r="S2197" t="s">
        <v>5650</v>
      </c>
      <c r="T2197" t="s">
        <v>787</v>
      </c>
      <c r="U2197" t="s">
        <v>1195</v>
      </c>
      <c r="V2197" t="s">
        <v>3829</v>
      </c>
      <c r="W2197">
        <v>146</v>
      </c>
      <c r="X2197">
        <v>146</v>
      </c>
      <c r="Y2197" t="s">
        <v>789</v>
      </c>
      <c r="Z2197" t="s">
        <v>823</v>
      </c>
      <c r="AB2197" t="s">
        <v>824</v>
      </c>
      <c r="AD2197" t="s">
        <v>794</v>
      </c>
      <c r="AE2197" t="s">
        <v>832</v>
      </c>
      <c r="AF2197" t="s">
        <v>796</v>
      </c>
      <c r="AG2197" t="s">
        <v>797</v>
      </c>
      <c r="AH2197">
        <v>372776</v>
      </c>
      <c r="AI2197">
        <v>393875</v>
      </c>
      <c r="AJ2197">
        <v>1.235783595587385E-2</v>
      </c>
    </row>
    <row r="2198" spans="1:36" x14ac:dyDescent="0.3">
      <c r="A2198">
        <f>COUNTIF($D$2:D2198,D2198)</f>
        <v>28</v>
      </c>
      <c r="B2198" t="str">
        <f t="shared" si="137"/>
        <v>28Suffolk</v>
      </c>
      <c r="C2198" t="s">
        <v>6170</v>
      </c>
      <c r="D2198" t="s">
        <v>309</v>
      </c>
      <c r="E2198">
        <v>49</v>
      </c>
      <c r="F2198" t="s">
        <v>6166</v>
      </c>
      <c r="G2198" t="s">
        <v>877</v>
      </c>
      <c r="H2198" t="s">
        <v>1259</v>
      </c>
      <c r="I2198" t="s">
        <v>879</v>
      </c>
      <c r="J2198">
        <f t="shared" ca="1" si="138"/>
        <v>172799</v>
      </c>
      <c r="K2198">
        <f t="shared" ca="1" si="139"/>
        <v>48</v>
      </c>
      <c r="N2198" t="str">
        <f t="shared" si="136"/>
        <v>South Gloucestershire7Impact of social care reformsCare Act Implementation Related DutiesIndependent Mental Health Advocacy</v>
      </c>
      <c r="O2198" t="s">
        <v>289</v>
      </c>
      <c r="P2198" t="s">
        <v>976</v>
      </c>
      <c r="Q2198">
        <v>7</v>
      </c>
      <c r="R2198" t="s">
        <v>5653</v>
      </c>
      <c r="S2198" t="s">
        <v>5653</v>
      </c>
      <c r="T2198" t="s">
        <v>5154</v>
      </c>
      <c r="U2198" t="s">
        <v>5654</v>
      </c>
      <c r="W2198">
        <v>17</v>
      </c>
      <c r="X2198">
        <v>17</v>
      </c>
      <c r="Y2198" t="s">
        <v>794</v>
      </c>
      <c r="Z2198" t="s">
        <v>792</v>
      </c>
      <c r="AB2198" t="s">
        <v>793</v>
      </c>
      <c r="AC2198">
        <v>0</v>
      </c>
      <c r="AD2198" t="s">
        <v>794</v>
      </c>
      <c r="AE2198" t="s">
        <v>795</v>
      </c>
      <c r="AF2198" t="s">
        <v>796</v>
      </c>
      <c r="AG2198" t="s">
        <v>797</v>
      </c>
      <c r="AH2198">
        <v>676553</v>
      </c>
      <c r="AI2198">
        <v>714845</v>
      </c>
      <c r="AJ2198">
        <v>2.2428297394291263E-2</v>
      </c>
    </row>
    <row r="2199" spans="1:36" x14ac:dyDescent="0.3">
      <c r="A2199">
        <f>COUNTIF($D$2:D2199,D2199)</f>
        <v>29</v>
      </c>
      <c r="B2199" t="str">
        <f t="shared" si="137"/>
        <v>29Suffolk</v>
      </c>
      <c r="C2199" t="s">
        <v>6171</v>
      </c>
      <c r="D2199" t="s">
        <v>309</v>
      </c>
      <c r="E2199">
        <v>53</v>
      </c>
      <c r="F2199" t="s">
        <v>6107</v>
      </c>
      <c r="G2199" t="s">
        <v>811</v>
      </c>
      <c r="H2199" t="s">
        <v>895</v>
      </c>
      <c r="I2199" t="s">
        <v>813</v>
      </c>
      <c r="J2199">
        <f t="shared" ca="1" si="138"/>
        <v>873013</v>
      </c>
      <c r="K2199">
        <f t="shared" ca="1" si="139"/>
        <v>6221</v>
      </c>
      <c r="N2199" t="str">
        <f t="shared" si="136"/>
        <v>South Gloucestershire9SGC Community based support (Homecare)Home Care or Domiciliary CareDomiciliary care packages</v>
      </c>
      <c r="O2199" t="s">
        <v>289</v>
      </c>
      <c r="P2199" t="s">
        <v>976</v>
      </c>
      <c r="Q2199">
        <v>9</v>
      </c>
      <c r="R2199" t="s">
        <v>5657</v>
      </c>
      <c r="S2199" t="s">
        <v>5657</v>
      </c>
      <c r="T2199" t="s">
        <v>842</v>
      </c>
      <c r="U2199" t="s">
        <v>843</v>
      </c>
      <c r="W2199">
        <v>77000</v>
      </c>
      <c r="X2199">
        <v>77000</v>
      </c>
      <c r="Y2199" t="s">
        <v>844</v>
      </c>
      <c r="Z2199" t="s">
        <v>792</v>
      </c>
      <c r="AB2199" t="s">
        <v>793</v>
      </c>
      <c r="AD2199" t="s">
        <v>794</v>
      </c>
      <c r="AE2199" t="s">
        <v>795</v>
      </c>
      <c r="AF2199" t="s">
        <v>796</v>
      </c>
      <c r="AG2199" t="s">
        <v>797</v>
      </c>
      <c r="AH2199">
        <v>2005959</v>
      </c>
      <c r="AI2199">
        <v>2119497</v>
      </c>
      <c r="AJ2199">
        <v>6.6499217375069086E-2</v>
      </c>
    </row>
    <row r="2200" spans="1:36" x14ac:dyDescent="0.3">
      <c r="A2200">
        <f>COUNTIF($D$2:D2200,D2200)</f>
        <v>30</v>
      </c>
      <c r="B2200" t="str">
        <f t="shared" si="137"/>
        <v>30Suffolk</v>
      </c>
      <c r="C2200" t="s">
        <v>6172</v>
      </c>
      <c r="D2200" t="s">
        <v>309</v>
      </c>
      <c r="E2200">
        <v>54</v>
      </c>
      <c r="F2200" t="s">
        <v>6107</v>
      </c>
      <c r="G2200" t="s">
        <v>811</v>
      </c>
      <c r="H2200" t="s">
        <v>895</v>
      </c>
      <c r="I2200" t="s">
        <v>813</v>
      </c>
      <c r="J2200">
        <f t="shared" ca="1" si="138"/>
        <v>355496</v>
      </c>
      <c r="K2200">
        <f t="shared" ca="1" si="139"/>
        <v>2533</v>
      </c>
      <c r="N2200" t="str">
        <f t="shared" si="136"/>
        <v>South Gloucestershire11Community EquipmentAssistive Technologies and EquipmentCommunity based equipment</v>
      </c>
      <c r="O2200" t="s">
        <v>289</v>
      </c>
      <c r="P2200" t="s">
        <v>976</v>
      </c>
      <c r="Q2200">
        <v>11</v>
      </c>
      <c r="R2200" t="s">
        <v>1051</v>
      </c>
      <c r="S2200" t="s">
        <v>1051</v>
      </c>
      <c r="T2200" t="s">
        <v>800</v>
      </c>
      <c r="U2200" t="s">
        <v>903</v>
      </c>
      <c r="V2200" t="s">
        <v>3829</v>
      </c>
      <c r="W2200">
        <v>6192</v>
      </c>
      <c r="X2200">
        <v>6192</v>
      </c>
      <c r="Y2200" t="s">
        <v>802</v>
      </c>
      <c r="Z2200" t="s">
        <v>823</v>
      </c>
      <c r="AB2200" t="s">
        <v>1739</v>
      </c>
      <c r="AC2200">
        <v>0</v>
      </c>
      <c r="AD2200">
        <v>1</v>
      </c>
      <c r="AE2200" t="s">
        <v>832</v>
      </c>
      <c r="AF2200" t="s">
        <v>796</v>
      </c>
      <c r="AG2200" t="s">
        <v>797</v>
      </c>
      <c r="AH2200">
        <v>1670841</v>
      </c>
      <c r="AI2200">
        <v>1765410</v>
      </c>
      <c r="AJ2200">
        <v>5.5389775592710425E-2</v>
      </c>
    </row>
    <row r="2201" spans="1:36" x14ac:dyDescent="0.3">
      <c r="A2201">
        <f>COUNTIF($D$2:D2201,D2201)</f>
        <v>31</v>
      </c>
      <c r="B2201" t="str">
        <f t="shared" si="137"/>
        <v>31Suffolk</v>
      </c>
      <c r="C2201" t="s">
        <v>6173</v>
      </c>
      <c r="D2201" t="s">
        <v>309</v>
      </c>
      <c r="E2201">
        <v>55</v>
      </c>
      <c r="F2201" t="s">
        <v>6174</v>
      </c>
      <c r="G2201" t="s">
        <v>877</v>
      </c>
      <c r="H2201" t="s">
        <v>1259</v>
      </c>
      <c r="I2201" t="s">
        <v>879</v>
      </c>
      <c r="J2201">
        <f t="shared" ca="1" si="138"/>
        <v>928424</v>
      </c>
      <c r="K2201">
        <f t="shared" ca="1" si="139"/>
        <v>260</v>
      </c>
      <c r="N2201" t="str">
        <f t="shared" si="136"/>
        <v>South Gloucestershire12Disabled Facilities Grant (DFG)DFG Related SchemesAdaptations, including statutory DFG grants</v>
      </c>
      <c r="O2201" t="s">
        <v>289</v>
      </c>
      <c r="P2201" t="s">
        <v>976</v>
      </c>
      <c r="Q2201">
        <v>12</v>
      </c>
      <c r="R2201" t="s">
        <v>1844</v>
      </c>
      <c r="S2201" t="s">
        <v>1844</v>
      </c>
      <c r="T2201" t="s">
        <v>834</v>
      </c>
      <c r="U2201" t="s">
        <v>835</v>
      </c>
      <c r="W2201">
        <v>230</v>
      </c>
      <c r="X2201">
        <v>230</v>
      </c>
      <c r="Y2201" t="s">
        <v>836</v>
      </c>
      <c r="Z2201" t="s">
        <v>792</v>
      </c>
      <c r="AB2201" t="s">
        <v>793</v>
      </c>
      <c r="AD2201" t="s">
        <v>794</v>
      </c>
      <c r="AE2201" t="s">
        <v>795</v>
      </c>
      <c r="AF2201" t="s">
        <v>840</v>
      </c>
      <c r="AG2201" t="s">
        <v>797</v>
      </c>
      <c r="AH2201">
        <v>2339081</v>
      </c>
      <c r="AI2201">
        <v>2339081</v>
      </c>
      <c r="AJ2201">
        <v>7.7542490089226132E-2</v>
      </c>
    </row>
    <row r="2202" spans="1:36" x14ac:dyDescent="0.3">
      <c r="A2202">
        <f>COUNTIF($D$2:D2202,D2202)</f>
        <v>32</v>
      </c>
      <c r="B2202" t="str">
        <f t="shared" si="137"/>
        <v>32Suffolk</v>
      </c>
      <c r="C2202" t="s">
        <v>6175</v>
      </c>
      <c r="D2202" t="s">
        <v>309</v>
      </c>
      <c r="E2202">
        <v>56</v>
      </c>
      <c r="F2202" t="s">
        <v>6174</v>
      </c>
      <c r="G2202" t="s">
        <v>877</v>
      </c>
      <c r="H2202" t="s">
        <v>1015</v>
      </c>
      <c r="I2202" t="s">
        <v>879</v>
      </c>
      <c r="J2202">
        <f t="shared" ca="1" si="138"/>
        <v>615242</v>
      </c>
      <c r="K2202">
        <f t="shared" ca="1" si="139"/>
        <v>204</v>
      </c>
      <c r="N2202" t="str">
        <f t="shared" si="136"/>
        <v>South Gloucestershire17Long term care including mental illnessPersonalised Budgeting and CommissioningSupport plans for long term including mental health</v>
      </c>
      <c r="O2202" t="s">
        <v>289</v>
      </c>
      <c r="P2202" t="s">
        <v>976</v>
      </c>
      <c r="Q2202">
        <v>17</v>
      </c>
      <c r="R2202" t="s">
        <v>5665</v>
      </c>
      <c r="S2202" t="s">
        <v>5665</v>
      </c>
      <c r="T2202" t="s">
        <v>5666</v>
      </c>
      <c r="U2202" t="s">
        <v>5667</v>
      </c>
      <c r="W2202">
        <v>19</v>
      </c>
      <c r="X2202">
        <v>19</v>
      </c>
      <c r="Y2202" t="s">
        <v>794</v>
      </c>
      <c r="Z2202" t="s">
        <v>1006</v>
      </c>
      <c r="AB2202" t="s">
        <v>793</v>
      </c>
      <c r="AC2202">
        <v>0</v>
      </c>
      <c r="AD2202" t="s">
        <v>794</v>
      </c>
      <c r="AE2202" t="s">
        <v>795</v>
      </c>
      <c r="AF2202" t="s">
        <v>796</v>
      </c>
      <c r="AG2202" t="s">
        <v>797</v>
      </c>
      <c r="AH2202">
        <v>1204506</v>
      </c>
      <c r="AI2202">
        <v>1272681</v>
      </c>
      <c r="AJ2202">
        <v>3.9930380592811197E-2</v>
      </c>
    </row>
    <row r="2203" spans="1:36" x14ac:dyDescent="0.3">
      <c r="A2203">
        <f>COUNTIF($D$2:D2203,D2203)</f>
        <v>33</v>
      </c>
      <c r="B2203" t="str">
        <f t="shared" si="137"/>
        <v>33Suffolk</v>
      </c>
      <c r="C2203" t="s">
        <v>6176</v>
      </c>
      <c r="D2203" t="s">
        <v>309</v>
      </c>
      <c r="E2203">
        <v>61</v>
      </c>
      <c r="F2203" t="s">
        <v>6122</v>
      </c>
      <c r="G2203" t="s">
        <v>811</v>
      </c>
      <c r="H2203" t="s">
        <v>895</v>
      </c>
      <c r="I2203" t="s">
        <v>813</v>
      </c>
      <c r="J2203">
        <f t="shared" ca="1" si="138"/>
        <v>540525</v>
      </c>
      <c r="K2203">
        <f t="shared" ca="1" si="139"/>
        <v>3852</v>
      </c>
      <c r="N2203" t="str">
        <f t="shared" si="136"/>
        <v>South Gloucestershire19Social Work input to Integrated Discharge Service (IDS)High Impact Change Model for Managing Transfer of CareMulti-Disciplinary/Multi-Agency Discharge Teams supporting discharge</v>
      </c>
      <c r="O2203" t="s">
        <v>289</v>
      </c>
      <c r="P2203" t="s">
        <v>976</v>
      </c>
      <c r="Q2203">
        <v>19</v>
      </c>
      <c r="R2203" t="s">
        <v>5670</v>
      </c>
      <c r="S2203" t="s">
        <v>5670</v>
      </c>
      <c r="T2203" t="s">
        <v>1402</v>
      </c>
      <c r="U2203" t="s">
        <v>1403</v>
      </c>
      <c r="W2203">
        <v>56</v>
      </c>
      <c r="X2203">
        <v>56</v>
      </c>
      <c r="Y2203" t="s">
        <v>794</v>
      </c>
      <c r="Z2203" t="s">
        <v>1118</v>
      </c>
      <c r="AB2203" t="s">
        <v>793</v>
      </c>
      <c r="AC2203">
        <v>0</v>
      </c>
      <c r="AD2203" t="s">
        <v>794</v>
      </c>
      <c r="AE2203" t="s">
        <v>795</v>
      </c>
      <c r="AF2203" t="s">
        <v>796</v>
      </c>
      <c r="AG2203" t="s">
        <v>797</v>
      </c>
      <c r="AH2203">
        <v>72998</v>
      </c>
      <c r="AI2203">
        <v>77130</v>
      </c>
      <c r="AJ2203">
        <v>2.4199447097100653E-3</v>
      </c>
    </row>
    <row r="2204" spans="1:36" x14ac:dyDescent="0.3">
      <c r="A2204">
        <f>COUNTIF($D$2:D2204,D2204)</f>
        <v>34</v>
      </c>
      <c r="B2204" t="str">
        <f t="shared" si="137"/>
        <v>34Suffolk</v>
      </c>
      <c r="C2204" t="s">
        <v>6177</v>
      </c>
      <c r="D2204" t="s">
        <v>309</v>
      </c>
      <c r="E2204">
        <v>62</v>
      </c>
      <c r="F2204" t="s">
        <v>6122</v>
      </c>
      <c r="G2204" t="s">
        <v>811</v>
      </c>
      <c r="H2204" t="s">
        <v>895</v>
      </c>
      <c r="I2204" t="s">
        <v>813</v>
      </c>
      <c r="J2204">
        <f t="shared" ca="1" si="138"/>
        <v>208260</v>
      </c>
      <c r="K2204">
        <f t="shared" ca="1" si="139"/>
        <v>1484</v>
      </c>
      <c r="N2204" t="str">
        <f t="shared" si="136"/>
        <v>South Gloucestershire21Discharge to Assess High Impact Change Model for Managing Transfer of CareHome First/Discharge to Assess - process support/core costs</v>
      </c>
      <c r="O2204" t="s">
        <v>289</v>
      </c>
      <c r="P2204" t="s">
        <v>976</v>
      </c>
      <c r="Q2204">
        <v>21</v>
      </c>
      <c r="R2204" t="s">
        <v>5673</v>
      </c>
      <c r="S2204" t="s">
        <v>5673</v>
      </c>
      <c r="T2204" t="s">
        <v>1402</v>
      </c>
      <c r="U2204" t="s">
        <v>1411</v>
      </c>
      <c r="W2204">
        <v>299</v>
      </c>
      <c r="X2204">
        <v>299</v>
      </c>
      <c r="Y2204" t="s">
        <v>794</v>
      </c>
      <c r="Z2204" t="s">
        <v>792</v>
      </c>
      <c r="AB2204" t="s">
        <v>793</v>
      </c>
      <c r="AC2204">
        <v>0</v>
      </c>
      <c r="AD2204" t="s">
        <v>794</v>
      </c>
      <c r="AE2204" t="s">
        <v>795</v>
      </c>
      <c r="AF2204" t="s">
        <v>796</v>
      </c>
      <c r="AG2204" t="s">
        <v>797</v>
      </c>
      <c r="AH2204">
        <v>180827</v>
      </c>
      <c r="AI2204">
        <v>191061</v>
      </c>
      <c r="AJ2204">
        <v>5.9945661802068822E-3</v>
      </c>
    </row>
    <row r="2205" spans="1:36" x14ac:dyDescent="0.3">
      <c r="A2205">
        <f>COUNTIF($D$2:D2205,D2205)</f>
        <v>35</v>
      </c>
      <c r="B2205" t="str">
        <f t="shared" si="137"/>
        <v>35Suffolk</v>
      </c>
      <c r="C2205" t="s">
        <v>6178</v>
      </c>
      <c r="D2205" t="s">
        <v>309</v>
      </c>
      <c r="E2205">
        <v>63</v>
      </c>
      <c r="F2205" t="s">
        <v>6179</v>
      </c>
      <c r="G2205" t="s">
        <v>877</v>
      </c>
      <c r="H2205" t="s">
        <v>1259</v>
      </c>
      <c r="I2205" t="s">
        <v>879</v>
      </c>
      <c r="J2205">
        <f t="shared" ca="1" si="138"/>
        <v>1198243</v>
      </c>
      <c r="K2205">
        <f t="shared" ca="1" si="139"/>
        <v>336</v>
      </c>
      <c r="N2205" t="str">
        <f t="shared" si="136"/>
        <v>South Gloucestershire22SGC Assessment &amp; CareIntegrated Care Planning and NavigationCare navigation and planning</v>
      </c>
      <c r="O2205" t="s">
        <v>289</v>
      </c>
      <c r="P2205" t="s">
        <v>976</v>
      </c>
      <c r="Q2205">
        <v>22</v>
      </c>
      <c r="R2205" t="s">
        <v>5676</v>
      </c>
      <c r="S2205" t="s">
        <v>5676</v>
      </c>
      <c r="T2205" t="s">
        <v>2031</v>
      </c>
      <c r="U2205" t="s">
        <v>2032</v>
      </c>
      <c r="W2205">
        <v>725</v>
      </c>
      <c r="X2205">
        <v>725</v>
      </c>
      <c r="Y2205" t="s">
        <v>794</v>
      </c>
      <c r="Z2205" t="s">
        <v>792</v>
      </c>
      <c r="AB2205" t="s">
        <v>793</v>
      </c>
      <c r="AC2205">
        <v>0</v>
      </c>
      <c r="AD2205" t="s">
        <v>794</v>
      </c>
      <c r="AE2205" t="s">
        <v>795</v>
      </c>
      <c r="AF2205" t="s">
        <v>796</v>
      </c>
      <c r="AG2205" t="s">
        <v>797</v>
      </c>
      <c r="AH2205">
        <v>492807</v>
      </c>
      <c r="AI2205">
        <v>520700</v>
      </c>
      <c r="AJ2205">
        <v>1.6336963924464893E-2</v>
      </c>
    </row>
    <row r="2206" spans="1:36" x14ac:dyDescent="0.3">
      <c r="A2206">
        <f>COUNTIF($D$2:D2206,D2206)</f>
        <v>36</v>
      </c>
      <c r="B2206" t="str">
        <f t="shared" si="137"/>
        <v>36Suffolk</v>
      </c>
      <c r="C2206" t="s">
        <v>6180</v>
      </c>
      <c r="D2206" t="s">
        <v>309</v>
      </c>
      <c r="E2206">
        <v>65</v>
      </c>
      <c r="F2206" t="s">
        <v>6181</v>
      </c>
      <c r="G2206" t="s">
        <v>800</v>
      </c>
      <c r="H2206" t="s">
        <v>903</v>
      </c>
      <c r="I2206" t="s">
        <v>802</v>
      </c>
      <c r="J2206">
        <f t="shared" ca="1" si="138"/>
        <v>1063663</v>
      </c>
      <c r="K2206">
        <f t="shared" ca="1" si="139"/>
        <v>886</v>
      </c>
      <c r="N2206" t="str">
        <f t="shared" si="136"/>
        <v>South Gloucestershire23Funding for schemes to meet system pressuresCommunity Based SchemesLow level support for simple hospital discharges (Discharge to Assess pathway 0)</v>
      </c>
      <c r="O2206" t="s">
        <v>289</v>
      </c>
      <c r="P2206" t="s">
        <v>976</v>
      </c>
      <c r="Q2206">
        <v>23</v>
      </c>
      <c r="R2206" t="s">
        <v>5679</v>
      </c>
      <c r="S2206" t="s">
        <v>5679</v>
      </c>
      <c r="T2206" t="s">
        <v>1453</v>
      </c>
      <c r="U2206" t="s">
        <v>4677</v>
      </c>
      <c r="W2206">
        <v>15757</v>
      </c>
      <c r="X2206">
        <v>15757</v>
      </c>
      <c r="Y2206" t="s">
        <v>794</v>
      </c>
      <c r="Z2206" t="s">
        <v>792</v>
      </c>
      <c r="AB2206" t="s">
        <v>793</v>
      </c>
      <c r="AD2206" t="s">
        <v>794</v>
      </c>
      <c r="AE2206" t="s">
        <v>795</v>
      </c>
      <c r="AF2206" t="s">
        <v>796</v>
      </c>
      <c r="AG2206" t="s">
        <v>797</v>
      </c>
      <c r="AH2206">
        <v>410466</v>
      </c>
      <c r="AI2206">
        <v>433698</v>
      </c>
      <c r="AJ2206">
        <v>1.3607290956133751E-2</v>
      </c>
    </row>
    <row r="2207" spans="1:36" x14ac:dyDescent="0.3">
      <c r="A2207">
        <f>COUNTIF($D$2:D2207,D2207)</f>
        <v>37</v>
      </c>
      <c r="B2207" t="str">
        <f t="shared" si="137"/>
        <v>37Suffolk</v>
      </c>
      <c r="C2207" t="s">
        <v>6182</v>
      </c>
      <c r="D2207" t="s">
        <v>309</v>
      </c>
      <c r="E2207">
        <v>76</v>
      </c>
      <c r="F2207" t="s">
        <v>6183</v>
      </c>
      <c r="G2207" t="s">
        <v>811</v>
      </c>
      <c r="H2207" t="s">
        <v>895</v>
      </c>
      <c r="I2207" t="s">
        <v>813</v>
      </c>
      <c r="J2207">
        <f t="shared" ca="1" si="138"/>
        <v>36750</v>
      </c>
      <c r="K2207">
        <f t="shared" ca="1" si="139"/>
        <v>262</v>
      </c>
      <c r="N2207" t="str">
        <f t="shared" si="136"/>
        <v>South Gloucestershire24Resiliance TeamHigh Impact Change Model for Managing Transfer of CareEarly Discharge Planning</v>
      </c>
      <c r="O2207" t="s">
        <v>289</v>
      </c>
      <c r="P2207" t="s">
        <v>976</v>
      </c>
      <c r="Q2207">
        <v>24</v>
      </c>
      <c r="R2207" t="s">
        <v>5682</v>
      </c>
      <c r="S2207" t="s">
        <v>5682</v>
      </c>
      <c r="T2207" t="s">
        <v>1402</v>
      </c>
      <c r="U2207" t="s">
        <v>1441</v>
      </c>
      <c r="W2207">
        <v>517</v>
      </c>
      <c r="X2207">
        <v>517</v>
      </c>
      <c r="Y2207" t="s">
        <v>794</v>
      </c>
      <c r="Z2207" t="s">
        <v>792</v>
      </c>
      <c r="AB2207" t="s">
        <v>793</v>
      </c>
      <c r="AC2207">
        <v>0</v>
      </c>
      <c r="AD2207" t="s">
        <v>794</v>
      </c>
      <c r="AE2207" t="s">
        <v>795</v>
      </c>
      <c r="AF2207" t="s">
        <v>845</v>
      </c>
      <c r="AG2207" t="s">
        <v>797</v>
      </c>
      <c r="AH2207">
        <v>330000</v>
      </c>
      <c r="AI2207">
        <v>330000</v>
      </c>
      <c r="AJ2207">
        <v>1.0939775804875772E-2</v>
      </c>
    </row>
    <row r="2208" spans="1:36" x14ac:dyDescent="0.3">
      <c r="A2208">
        <f>COUNTIF($D$2:D2208,D2208)</f>
        <v>38</v>
      </c>
      <c r="B2208" t="str">
        <f t="shared" si="137"/>
        <v>38Suffolk</v>
      </c>
      <c r="C2208" t="s">
        <v>6184</v>
      </c>
      <c r="D2208" t="s">
        <v>309</v>
      </c>
      <c r="E2208">
        <v>77</v>
      </c>
      <c r="F2208" t="s">
        <v>6185</v>
      </c>
      <c r="G2208" t="s">
        <v>842</v>
      </c>
      <c r="H2208" t="s">
        <v>812</v>
      </c>
      <c r="I2208" t="s">
        <v>844</v>
      </c>
      <c r="J2208">
        <f t="shared" ca="1" si="138"/>
        <v>2348063</v>
      </c>
      <c r="K2208">
        <f t="shared" ca="1" si="139"/>
        <v>124842</v>
      </c>
      <c r="N2208" t="str">
        <f t="shared" si="136"/>
        <v>South Gloucestershire25Support for Community Based Support packages of careHome Care or Domiciliary CareDomiciliary care packages</v>
      </c>
      <c r="O2208" t="s">
        <v>289</v>
      </c>
      <c r="P2208" t="s">
        <v>976</v>
      </c>
      <c r="Q2208">
        <v>25</v>
      </c>
      <c r="R2208" t="s">
        <v>5685</v>
      </c>
      <c r="S2208" t="s">
        <v>5685</v>
      </c>
      <c r="T2208" t="s">
        <v>842</v>
      </c>
      <c r="U2208" t="s">
        <v>843</v>
      </c>
      <c r="W2208">
        <v>24313</v>
      </c>
      <c r="X2208">
        <v>23371</v>
      </c>
      <c r="Y2208" t="s">
        <v>844</v>
      </c>
      <c r="Z2208" t="s">
        <v>792</v>
      </c>
      <c r="AB2208" t="s">
        <v>793</v>
      </c>
      <c r="AD2208" t="s">
        <v>794</v>
      </c>
      <c r="AE2208" t="s">
        <v>795</v>
      </c>
      <c r="AF2208" t="s">
        <v>845</v>
      </c>
      <c r="AG2208" t="s">
        <v>797</v>
      </c>
      <c r="AH2208">
        <v>633365</v>
      </c>
      <c r="AI2208">
        <v>633365</v>
      </c>
      <c r="AJ2208">
        <v>2.0996579098954981E-2</v>
      </c>
    </row>
    <row r="2209" spans="1:36" x14ac:dyDescent="0.3">
      <c r="A2209">
        <f>COUNTIF($D$2:D2209,D2209)</f>
        <v>39</v>
      </c>
      <c r="B2209" t="str">
        <f t="shared" si="137"/>
        <v>39Suffolk</v>
      </c>
      <c r="C2209" t="s">
        <v>6186</v>
      </c>
      <c r="D2209" t="s">
        <v>309</v>
      </c>
      <c r="E2209">
        <v>78</v>
      </c>
      <c r="F2209" t="s">
        <v>6185</v>
      </c>
      <c r="G2209" t="s">
        <v>806</v>
      </c>
      <c r="H2209" t="s">
        <v>812</v>
      </c>
      <c r="I2209" t="s">
        <v>808</v>
      </c>
      <c r="J2209">
        <f t="shared" ca="1" si="138"/>
        <v>1092796</v>
      </c>
      <c r="K2209">
        <f t="shared" ca="1" si="139"/>
        <v>28</v>
      </c>
      <c r="N2209" t="str">
        <f t="shared" si="136"/>
        <v>South Gloucestershire26Frontline SW Teams to support DTOCIntegrated Care Planning and NavigationAssessment teams/joint assessment</v>
      </c>
      <c r="O2209" t="s">
        <v>289</v>
      </c>
      <c r="P2209" t="s">
        <v>976</v>
      </c>
      <c r="Q2209">
        <v>26</v>
      </c>
      <c r="R2209" t="s">
        <v>5689</v>
      </c>
      <c r="S2209" t="s">
        <v>5689</v>
      </c>
      <c r="T2209" t="s">
        <v>2031</v>
      </c>
      <c r="U2209" t="s">
        <v>2318</v>
      </c>
      <c r="W2209">
        <v>580</v>
      </c>
      <c r="X2209">
        <v>580</v>
      </c>
      <c r="Y2209" t="s">
        <v>794</v>
      </c>
      <c r="Z2209" t="s">
        <v>792</v>
      </c>
      <c r="AB2209" t="s">
        <v>793</v>
      </c>
      <c r="AC2209">
        <v>0</v>
      </c>
      <c r="AD2209" t="s">
        <v>794</v>
      </c>
      <c r="AE2209" t="s">
        <v>795</v>
      </c>
      <c r="AF2209" t="s">
        <v>845</v>
      </c>
      <c r="AG2209" t="s">
        <v>797</v>
      </c>
      <c r="AH2209">
        <v>347207</v>
      </c>
      <c r="AI2209">
        <v>347207</v>
      </c>
      <c r="AJ2209">
        <v>1.1510202236010613E-2</v>
      </c>
    </row>
    <row r="2210" spans="1:36" x14ac:dyDescent="0.3">
      <c r="A2210">
        <f>COUNTIF($D$2:D2210,D2210)</f>
        <v>40</v>
      </c>
      <c r="B2210" t="str">
        <f t="shared" si="137"/>
        <v>40Suffolk</v>
      </c>
      <c r="C2210" t="s">
        <v>6187</v>
      </c>
      <c r="D2210" t="s">
        <v>309</v>
      </c>
      <c r="E2210">
        <v>79</v>
      </c>
      <c r="F2210" t="s">
        <v>6188</v>
      </c>
      <c r="G2210" t="s">
        <v>787</v>
      </c>
      <c r="H2210" t="s">
        <v>1195</v>
      </c>
      <c r="I2210" t="s">
        <v>789</v>
      </c>
      <c r="J2210">
        <f t="shared" ca="1" si="138"/>
        <v>823042</v>
      </c>
      <c r="K2210">
        <f t="shared" ca="1" si="139"/>
        <v>236</v>
      </c>
      <c r="N2210" t="str">
        <f t="shared" si="136"/>
        <v>South Gloucestershire27Supporting demographic, price and makret sustainability pressures in Community Based Support servicesHome Care or Domiciliary CareDomiciliary care packages</v>
      </c>
      <c r="O2210" t="s">
        <v>289</v>
      </c>
      <c r="P2210" t="s">
        <v>976</v>
      </c>
      <c r="Q2210">
        <v>27</v>
      </c>
      <c r="R2210" t="s">
        <v>5692</v>
      </c>
      <c r="S2210" t="s">
        <v>5692</v>
      </c>
      <c r="T2210" t="s">
        <v>842</v>
      </c>
      <c r="U2210" t="s">
        <v>843</v>
      </c>
      <c r="W2210">
        <v>81964</v>
      </c>
      <c r="X2210">
        <v>78789</v>
      </c>
      <c r="Y2210" t="s">
        <v>844</v>
      </c>
      <c r="Z2210" t="s">
        <v>792</v>
      </c>
      <c r="AB2210" t="s">
        <v>793</v>
      </c>
      <c r="AD2210" t="s">
        <v>794</v>
      </c>
      <c r="AE2210" t="s">
        <v>795</v>
      </c>
      <c r="AF2210" t="s">
        <v>845</v>
      </c>
      <c r="AG2210" t="s">
        <v>797</v>
      </c>
      <c r="AH2210">
        <v>2135175</v>
      </c>
      <c r="AI2210">
        <v>2135175</v>
      </c>
      <c r="AJ2210">
        <v>7.0782835770229174E-2</v>
      </c>
    </row>
    <row r="2211" spans="1:36" x14ac:dyDescent="0.3">
      <c r="A2211">
        <f>COUNTIF($D$2:D2211,D2211)</f>
        <v>41</v>
      </c>
      <c r="B2211" t="str">
        <f t="shared" si="137"/>
        <v>41Suffolk</v>
      </c>
      <c r="C2211" t="s">
        <v>6189</v>
      </c>
      <c r="D2211" t="s">
        <v>309</v>
      </c>
      <c r="E2211">
        <v>81</v>
      </c>
      <c r="F2211" t="s">
        <v>6190</v>
      </c>
      <c r="G2211" t="s">
        <v>787</v>
      </c>
      <c r="H2211" t="s">
        <v>1195</v>
      </c>
      <c r="I2211" t="s">
        <v>789</v>
      </c>
      <c r="J2211">
        <f t="shared" ca="1" si="138"/>
        <v>473196</v>
      </c>
      <c r="K2211">
        <f t="shared" ca="1" si="139"/>
        <v>136</v>
      </c>
      <c r="N2211" t="str">
        <f t="shared" si="136"/>
        <v>South Gloucestershire28DOLS and MCACare Act Implementation Related DutiesSafeguarding</v>
      </c>
      <c r="O2211" t="s">
        <v>289</v>
      </c>
      <c r="P2211" t="s">
        <v>976</v>
      </c>
      <c r="Q2211">
        <v>28</v>
      </c>
      <c r="R2211" t="s">
        <v>5694</v>
      </c>
      <c r="S2211" t="s">
        <v>5694</v>
      </c>
      <c r="T2211" t="s">
        <v>5154</v>
      </c>
      <c r="U2211" t="s">
        <v>5695</v>
      </c>
      <c r="W2211">
        <v>218</v>
      </c>
      <c r="X2211">
        <v>218</v>
      </c>
      <c r="Y2211" t="s">
        <v>794</v>
      </c>
      <c r="Z2211" t="s">
        <v>792</v>
      </c>
      <c r="AB2211" t="s">
        <v>793</v>
      </c>
      <c r="AC2211">
        <v>0</v>
      </c>
      <c r="AD2211" t="s">
        <v>794</v>
      </c>
      <c r="AE2211" t="s">
        <v>795</v>
      </c>
      <c r="AF2211" t="s">
        <v>845</v>
      </c>
      <c r="AG2211" t="s">
        <v>797</v>
      </c>
      <c r="AH2211">
        <v>383267</v>
      </c>
      <c r="AI2211">
        <v>383267</v>
      </c>
      <c r="AJ2211">
        <v>1.2705621373961582E-2</v>
      </c>
    </row>
    <row r="2212" spans="1:36" x14ac:dyDescent="0.3">
      <c r="A2212">
        <f>COUNTIF($D$2:D2212,D2212)</f>
        <v>42</v>
      </c>
      <c r="B2212" t="str">
        <f t="shared" si="137"/>
        <v>42Suffolk</v>
      </c>
      <c r="C2212" t="s">
        <v>6191</v>
      </c>
      <c r="D2212" t="s">
        <v>309</v>
      </c>
      <c r="E2212">
        <v>82</v>
      </c>
      <c r="F2212" t="s">
        <v>6192</v>
      </c>
      <c r="G2212" t="s">
        <v>877</v>
      </c>
      <c r="H2212" t="s">
        <v>878</v>
      </c>
      <c r="I2212" t="s">
        <v>879</v>
      </c>
      <c r="J2212" t="e">
        <f t="shared" si="138"/>
        <v>#VALUE!</v>
      </c>
      <c r="K2212" t="e">
        <f t="shared" si="139"/>
        <v>#VALUE!</v>
      </c>
      <c r="N2212" t="str">
        <f t="shared" si="136"/>
        <v>South Gloucestershire29Increasing the capacity within the Rapid Response TeamHigh Impact Change Model for Managing Transfer of CareEarly Discharge Planning</v>
      </c>
      <c r="O2212" t="s">
        <v>289</v>
      </c>
      <c r="P2212" t="s">
        <v>976</v>
      </c>
      <c r="Q2212">
        <v>29</v>
      </c>
      <c r="R2212" t="s">
        <v>5697</v>
      </c>
      <c r="S2212" t="s">
        <v>5697</v>
      </c>
      <c r="T2212" t="s">
        <v>1402</v>
      </c>
      <c r="U2212" t="s">
        <v>1441</v>
      </c>
      <c r="W2212">
        <v>3395</v>
      </c>
      <c r="X2212">
        <v>3395</v>
      </c>
      <c r="Y2212" t="s">
        <v>794</v>
      </c>
      <c r="Z2212" t="s">
        <v>792</v>
      </c>
      <c r="AB2212" t="s">
        <v>793</v>
      </c>
      <c r="AC2212">
        <v>0</v>
      </c>
      <c r="AD2212" t="s">
        <v>794</v>
      </c>
      <c r="AE2212" t="s">
        <v>795</v>
      </c>
      <c r="AF2212" t="s">
        <v>845</v>
      </c>
      <c r="AG2212" t="s">
        <v>797</v>
      </c>
      <c r="AH2212">
        <v>92726</v>
      </c>
      <c r="AI2212">
        <v>92726</v>
      </c>
      <c r="AJ2212">
        <v>3.0739443978270026E-3</v>
      </c>
    </row>
    <row r="2213" spans="1:36" x14ac:dyDescent="0.3">
      <c r="A2213">
        <f>COUNTIF($D$2:D2213,D2213)</f>
        <v>43</v>
      </c>
      <c r="B2213" t="str">
        <f t="shared" si="137"/>
        <v>43Suffolk</v>
      </c>
      <c r="C2213" t="s">
        <v>6193</v>
      </c>
      <c r="D2213" t="s">
        <v>309</v>
      </c>
      <c r="E2213">
        <v>84</v>
      </c>
      <c r="F2213" t="s">
        <v>6194</v>
      </c>
      <c r="G2213" t="s">
        <v>877</v>
      </c>
      <c r="H2213" t="s">
        <v>968</v>
      </c>
      <c r="I2213" t="s">
        <v>879</v>
      </c>
      <c r="J2213">
        <f t="shared" ca="1" si="138"/>
        <v>1560385.7142857146</v>
      </c>
      <c r="K2213">
        <f t="shared" ca="1" si="139"/>
        <v>135</v>
      </c>
      <c r="N2213" t="str">
        <f t="shared" si="136"/>
        <v>South Gloucestershire31Increasing reslilience in the AMHP rotaHigh Impact Change Model for Managing Transfer of CareEarly Discharge Planning</v>
      </c>
      <c r="O2213" t="s">
        <v>289</v>
      </c>
      <c r="P2213" t="s">
        <v>976</v>
      </c>
      <c r="Q2213">
        <v>31</v>
      </c>
      <c r="R2213" t="s">
        <v>5700</v>
      </c>
      <c r="S2213" t="s">
        <v>5700</v>
      </c>
      <c r="T2213" t="s">
        <v>1402</v>
      </c>
      <c r="U2213" t="s">
        <v>1441</v>
      </c>
      <c r="W2213">
        <v>120</v>
      </c>
      <c r="X2213">
        <v>120</v>
      </c>
      <c r="Y2213" t="s">
        <v>794</v>
      </c>
      <c r="Z2213" t="s">
        <v>792</v>
      </c>
      <c r="AB2213" t="s">
        <v>793</v>
      </c>
      <c r="AC2213">
        <v>0</v>
      </c>
      <c r="AD2213" t="s">
        <v>794</v>
      </c>
      <c r="AE2213" t="s">
        <v>795</v>
      </c>
      <c r="AF2213" t="s">
        <v>845</v>
      </c>
      <c r="AG2213" t="s">
        <v>797</v>
      </c>
      <c r="AH2213">
        <v>92726</v>
      </c>
      <c r="AI2213">
        <v>92726</v>
      </c>
      <c r="AJ2213">
        <v>3.0739443978270026E-3</v>
      </c>
    </row>
    <row r="2214" spans="1:36" x14ac:dyDescent="0.3">
      <c r="A2214">
        <f>COUNTIF($D$2:D2214,D2214)</f>
        <v>44</v>
      </c>
      <c r="B2214" t="str">
        <f t="shared" si="137"/>
        <v>44Suffolk</v>
      </c>
      <c r="C2214" t="s">
        <v>6195</v>
      </c>
      <c r="D2214" t="s">
        <v>309</v>
      </c>
      <c r="E2214">
        <v>85</v>
      </c>
      <c r="F2214" t="s">
        <v>6196</v>
      </c>
      <c r="G2214" t="s">
        <v>787</v>
      </c>
      <c r="H2214" t="s">
        <v>1195</v>
      </c>
      <c r="I2214" t="s">
        <v>789</v>
      </c>
      <c r="J2214">
        <f t="shared" ca="1" si="138"/>
        <v>155072</v>
      </c>
      <c r="K2214">
        <f t="shared" ca="1" si="139"/>
        <v>45</v>
      </c>
      <c r="N2214" t="str">
        <f t="shared" si="136"/>
        <v>South Gloucestershire32Residential bed places for short breaksCarers ServicesRespite services</v>
      </c>
      <c r="O2214" t="s">
        <v>289</v>
      </c>
      <c r="P2214" t="s">
        <v>976</v>
      </c>
      <c r="Q2214">
        <v>32</v>
      </c>
      <c r="R2214" t="s">
        <v>5702</v>
      </c>
      <c r="S2214" t="s">
        <v>5702</v>
      </c>
      <c r="T2214" t="s">
        <v>811</v>
      </c>
      <c r="U2214" t="s">
        <v>830</v>
      </c>
      <c r="W2214">
        <v>114</v>
      </c>
      <c r="X2214">
        <v>110</v>
      </c>
      <c r="Y2214" t="s">
        <v>813</v>
      </c>
      <c r="Z2214" t="s">
        <v>792</v>
      </c>
      <c r="AB2214" t="s">
        <v>793</v>
      </c>
      <c r="AD2214" t="s">
        <v>794</v>
      </c>
      <c r="AE2214" t="s">
        <v>795</v>
      </c>
      <c r="AF2214" t="s">
        <v>845</v>
      </c>
      <c r="AG2214" t="s">
        <v>797</v>
      </c>
      <c r="AH2214">
        <v>412115</v>
      </c>
      <c r="AI2214">
        <v>412115</v>
      </c>
      <c r="AJ2214">
        <v>1.366195668432236E-2</v>
      </c>
    </row>
    <row r="2215" spans="1:36" x14ac:dyDescent="0.3">
      <c r="A2215">
        <f>COUNTIF($D$2:D2215,D2215)</f>
        <v>45</v>
      </c>
      <c r="B2215" t="str">
        <f t="shared" si="137"/>
        <v>45Suffolk</v>
      </c>
      <c r="C2215" t="s">
        <v>6197</v>
      </c>
      <c r="D2215" t="s">
        <v>309</v>
      </c>
      <c r="E2215">
        <v>86</v>
      </c>
      <c r="F2215" t="s">
        <v>6198</v>
      </c>
      <c r="G2215" t="s">
        <v>787</v>
      </c>
      <c r="H2215" t="s">
        <v>1195</v>
      </c>
      <c r="I2215" t="s">
        <v>789</v>
      </c>
      <c r="J2215">
        <f t="shared" ca="1" si="138"/>
        <v>592806</v>
      </c>
      <c r="K2215">
        <f t="shared" ca="1" si="139"/>
        <v>170</v>
      </c>
      <c r="N2215" t="str">
        <f t="shared" si="136"/>
        <v>South Gloucestershire35Discharge to Assess High Impact Change Model for Managing Transfer of CareHome First/Discharge to Assess - process support/core costs</v>
      </c>
      <c r="O2215" t="s">
        <v>289</v>
      </c>
      <c r="P2215" t="s">
        <v>976</v>
      </c>
      <c r="Q2215">
        <v>35</v>
      </c>
      <c r="R2215" t="s">
        <v>5673</v>
      </c>
      <c r="S2215" t="s">
        <v>5673</v>
      </c>
      <c r="T2215" t="s">
        <v>1402</v>
      </c>
      <c r="U2215" t="s">
        <v>1411</v>
      </c>
      <c r="W2215">
        <v>20384</v>
      </c>
      <c r="X2215">
        <v>20384</v>
      </c>
      <c r="Y2215" t="s">
        <v>794</v>
      </c>
      <c r="Z2215" t="s">
        <v>792</v>
      </c>
      <c r="AB2215" t="s">
        <v>824</v>
      </c>
      <c r="AC2215">
        <v>1</v>
      </c>
      <c r="AD2215" t="s">
        <v>794</v>
      </c>
      <c r="AE2215" t="s">
        <v>795</v>
      </c>
      <c r="AF2215" t="s">
        <v>1042</v>
      </c>
      <c r="AG2215" t="s">
        <v>861</v>
      </c>
      <c r="AH2215">
        <v>767002</v>
      </c>
      <c r="AI2215">
        <v>780808</v>
      </c>
      <c r="AJ2215">
        <v>2.5426757339064628E-2</v>
      </c>
    </row>
    <row r="2216" spans="1:36" x14ac:dyDescent="0.3">
      <c r="A2216">
        <f>COUNTIF($D$2:D2216,D2216)</f>
        <v>46</v>
      </c>
      <c r="B2216" t="str">
        <f t="shared" si="137"/>
        <v>46Suffolk</v>
      </c>
      <c r="C2216" t="s">
        <v>6199</v>
      </c>
      <c r="D2216" t="s">
        <v>309</v>
      </c>
      <c r="E2216">
        <v>88</v>
      </c>
      <c r="F2216" t="s">
        <v>6200</v>
      </c>
      <c r="G2216" t="s">
        <v>877</v>
      </c>
      <c r="H2216" t="s">
        <v>878</v>
      </c>
      <c r="I2216" t="s">
        <v>879</v>
      </c>
      <c r="J2216">
        <f t="shared" ca="1" si="138"/>
        <v>1260000</v>
      </c>
      <c r="K2216">
        <f t="shared" ca="1" si="139"/>
        <v>156</v>
      </c>
      <c r="N2216" t="str">
        <f t="shared" si="136"/>
        <v>South Gloucestershire36Link Workers / Care NavigatorsIntegrated Care Planning and NavigationCare navigation and planning</v>
      </c>
      <c r="O2216" t="s">
        <v>289</v>
      </c>
      <c r="P2216" t="s">
        <v>976</v>
      </c>
      <c r="Q2216">
        <v>36</v>
      </c>
      <c r="R2216" t="s">
        <v>5707</v>
      </c>
      <c r="S2216" t="s">
        <v>5707</v>
      </c>
      <c r="T2216" t="s">
        <v>2031</v>
      </c>
      <c r="U2216" t="s">
        <v>2032</v>
      </c>
      <c r="W2216">
        <v>420</v>
      </c>
      <c r="X2216">
        <v>420</v>
      </c>
      <c r="Y2216" t="s">
        <v>794</v>
      </c>
      <c r="Z2216" t="s">
        <v>792</v>
      </c>
      <c r="AB2216" t="s">
        <v>793</v>
      </c>
      <c r="AC2216">
        <v>0</v>
      </c>
      <c r="AD2216" t="s">
        <v>794</v>
      </c>
      <c r="AE2216" t="s">
        <v>825</v>
      </c>
      <c r="AF2216" t="s">
        <v>864</v>
      </c>
      <c r="AG2216" t="s">
        <v>861</v>
      </c>
      <c r="AH2216">
        <v>100000</v>
      </c>
      <c r="AI2216">
        <v>166000</v>
      </c>
      <c r="AJ2216">
        <v>3.3150835772350826E-3</v>
      </c>
    </row>
    <row r="2217" spans="1:36" x14ac:dyDescent="0.3">
      <c r="A2217">
        <f>COUNTIF($D$2:D2217,D2217)</f>
        <v>47</v>
      </c>
      <c r="B2217" t="str">
        <f t="shared" si="137"/>
        <v>47Suffolk</v>
      </c>
      <c r="C2217" t="s">
        <v>6201</v>
      </c>
      <c r="D2217" t="s">
        <v>309</v>
      </c>
      <c r="E2217">
        <v>89</v>
      </c>
      <c r="F2217" t="s">
        <v>6202</v>
      </c>
      <c r="G2217" t="s">
        <v>787</v>
      </c>
      <c r="H2217" t="s">
        <v>1195</v>
      </c>
      <c r="I2217" t="s">
        <v>789</v>
      </c>
      <c r="J2217">
        <f t="shared" ca="1" si="138"/>
        <v>77536</v>
      </c>
      <c r="K2217">
        <f t="shared" ca="1" si="139"/>
        <v>22</v>
      </c>
      <c r="N2217" t="str">
        <f t="shared" si="136"/>
        <v>South Gloucestershire37Social Work assessment capacityIntegrated Care Planning and NavigationAssessment teams/joint assessment</v>
      </c>
      <c r="O2217" t="s">
        <v>289</v>
      </c>
      <c r="P2217" t="s">
        <v>976</v>
      </c>
      <c r="Q2217">
        <v>37</v>
      </c>
      <c r="R2217" t="s">
        <v>5709</v>
      </c>
      <c r="S2217" t="s">
        <v>5709</v>
      </c>
      <c r="T2217" t="s">
        <v>2031</v>
      </c>
      <c r="U2217" t="s">
        <v>2318</v>
      </c>
      <c r="V2217" t="s">
        <v>6203</v>
      </c>
      <c r="W2217">
        <v>600</v>
      </c>
      <c r="X2217">
        <v>600</v>
      </c>
      <c r="Y2217" t="s">
        <v>794</v>
      </c>
      <c r="Z2217" t="s">
        <v>792</v>
      </c>
      <c r="AB2217" t="s">
        <v>793</v>
      </c>
      <c r="AC2217">
        <v>0</v>
      </c>
      <c r="AD2217" t="s">
        <v>794</v>
      </c>
      <c r="AE2217" t="s">
        <v>795</v>
      </c>
      <c r="AF2217" t="s">
        <v>864</v>
      </c>
      <c r="AG2217" t="s">
        <v>861</v>
      </c>
      <c r="AH2217">
        <v>285000</v>
      </c>
      <c r="AI2217">
        <v>473100</v>
      </c>
      <c r="AJ2217">
        <v>9.4479881951199853E-3</v>
      </c>
    </row>
    <row r="2218" spans="1:36" x14ac:dyDescent="0.3">
      <c r="A2218">
        <f>COUNTIF($D$2:D2218,D2218)</f>
        <v>48</v>
      </c>
      <c r="B2218" t="str">
        <f t="shared" si="137"/>
        <v>48Suffolk</v>
      </c>
      <c r="C2218" t="s">
        <v>6204</v>
      </c>
      <c r="D2218" t="s">
        <v>309</v>
      </c>
      <c r="E2218">
        <v>92</v>
      </c>
      <c r="F2218" t="s">
        <v>6205</v>
      </c>
      <c r="G2218" t="s">
        <v>806</v>
      </c>
      <c r="H2218" t="s">
        <v>807</v>
      </c>
      <c r="I2218" t="s">
        <v>808</v>
      </c>
      <c r="J2218">
        <f t="shared" ca="1" si="138"/>
        <v>137918</v>
      </c>
      <c r="K2218">
        <f t="shared" ca="1" si="139"/>
        <v>3</v>
      </c>
      <c r="N2218" t="str">
        <f t="shared" si="136"/>
        <v>South Gloucestershire38Dom Care Block + 2 BrokersHome Care or Domiciliary CareDomiciliary care packages</v>
      </c>
      <c r="O2218" t="s">
        <v>289</v>
      </c>
      <c r="P2218" t="s">
        <v>976</v>
      </c>
      <c r="Q2218">
        <v>38</v>
      </c>
      <c r="R2218" t="s">
        <v>5712</v>
      </c>
      <c r="S2218" t="s">
        <v>5712</v>
      </c>
      <c r="T2218" t="s">
        <v>842</v>
      </c>
      <c r="U2218" t="s">
        <v>843</v>
      </c>
      <c r="W2218">
        <v>19485</v>
      </c>
      <c r="X2218">
        <v>18735</v>
      </c>
      <c r="Y2218" t="s">
        <v>844</v>
      </c>
      <c r="Z2218" t="s">
        <v>792</v>
      </c>
      <c r="AB2218" t="s">
        <v>793</v>
      </c>
      <c r="AD2218" t="s">
        <v>794</v>
      </c>
      <c r="AE2218" t="s">
        <v>795</v>
      </c>
      <c r="AF2218" t="s">
        <v>860</v>
      </c>
      <c r="AG2218" t="s">
        <v>861</v>
      </c>
      <c r="AH2218">
        <v>620000</v>
      </c>
      <c r="AI2218">
        <v>620000</v>
      </c>
      <c r="AJ2218">
        <v>2.0553518178857512E-2</v>
      </c>
    </row>
    <row r="2219" spans="1:36" x14ac:dyDescent="0.3">
      <c r="A2219">
        <f>COUNTIF($D$2:D2219,D2219)</f>
        <v>49</v>
      </c>
      <c r="B2219" t="str">
        <f t="shared" si="137"/>
        <v>49Suffolk</v>
      </c>
      <c r="C2219" t="s">
        <v>6206</v>
      </c>
      <c r="D2219" t="s">
        <v>309</v>
      </c>
      <c r="E2219">
        <v>93</v>
      </c>
      <c r="F2219" t="s">
        <v>6207</v>
      </c>
      <c r="G2219" t="s">
        <v>787</v>
      </c>
      <c r="H2219" t="s">
        <v>788</v>
      </c>
      <c r="I2219" t="s">
        <v>789</v>
      </c>
      <c r="J2219">
        <f t="shared" ca="1" si="138"/>
        <v>80000</v>
      </c>
      <c r="K2219">
        <f t="shared" ca="1" si="139"/>
        <v>35</v>
      </c>
      <c r="N2219" t="str">
        <f t="shared" si="136"/>
        <v>South Gloucestershire39Contribution ot Dom Care BlockHome Care or Domiciliary CareDomiciliary care packages</v>
      </c>
      <c r="O2219" t="s">
        <v>289</v>
      </c>
      <c r="P2219" t="s">
        <v>976</v>
      </c>
      <c r="Q2219">
        <v>39</v>
      </c>
      <c r="R2219" t="s">
        <v>5715</v>
      </c>
      <c r="S2219" t="s">
        <v>6208</v>
      </c>
      <c r="T2219" t="s">
        <v>842</v>
      </c>
      <c r="U2219" t="s">
        <v>843</v>
      </c>
      <c r="W2219">
        <v>6415</v>
      </c>
      <c r="X2219">
        <v>10239</v>
      </c>
      <c r="Y2219" t="s">
        <v>844</v>
      </c>
      <c r="Z2219" t="s">
        <v>792</v>
      </c>
      <c r="AB2219" t="s">
        <v>793</v>
      </c>
      <c r="AD2219" t="s">
        <v>794</v>
      </c>
      <c r="AE2219" t="s">
        <v>804</v>
      </c>
      <c r="AF2219" t="s">
        <v>864</v>
      </c>
      <c r="AG2219" t="s">
        <v>861</v>
      </c>
      <c r="AH2219">
        <v>174489</v>
      </c>
      <c r="AI2219">
        <v>289652</v>
      </c>
      <c r="AJ2219">
        <v>5.7844561830817228E-3</v>
      </c>
    </row>
    <row r="2220" spans="1:36" x14ac:dyDescent="0.3">
      <c r="A2220">
        <f>COUNTIF($D$2:D2220,D2220)</f>
        <v>50</v>
      </c>
      <c r="B2220" t="str">
        <f t="shared" si="137"/>
        <v>50Suffolk</v>
      </c>
      <c r="C2220" t="s">
        <v>6209</v>
      </c>
      <c r="D2220" t="s">
        <v>309</v>
      </c>
      <c r="E2220">
        <v>94</v>
      </c>
      <c r="F2220" t="s">
        <v>6210</v>
      </c>
      <c r="G2220" t="s">
        <v>787</v>
      </c>
      <c r="H2220" t="s">
        <v>1195</v>
      </c>
      <c r="I2220" t="s">
        <v>789</v>
      </c>
      <c r="J2220">
        <f t="shared" ca="1" si="138"/>
        <v>220113</v>
      </c>
      <c r="K2220">
        <f t="shared" ca="1" si="139"/>
        <v>63</v>
      </c>
      <c r="N2220" t="str">
        <f t="shared" si="136"/>
        <v>South Gloucestershire40OT Tech WorkerAssistive Technologies and EquipmentAssistive technologies including telecare</v>
      </c>
      <c r="O2220" t="s">
        <v>289</v>
      </c>
      <c r="P2220" t="s">
        <v>976</v>
      </c>
      <c r="Q2220">
        <v>40</v>
      </c>
      <c r="R2220" t="s">
        <v>5718</v>
      </c>
      <c r="S2220" t="s">
        <v>6211</v>
      </c>
      <c r="T2220" t="s">
        <v>800</v>
      </c>
      <c r="U2220" t="s">
        <v>850</v>
      </c>
      <c r="W2220">
        <v>320</v>
      </c>
      <c r="X2220">
        <v>320</v>
      </c>
      <c r="Y2220" t="s">
        <v>802</v>
      </c>
      <c r="Z2220" t="s">
        <v>792</v>
      </c>
      <c r="AB2220" t="s">
        <v>793</v>
      </c>
      <c r="AC2220">
        <v>0</v>
      </c>
      <c r="AD2220" t="s">
        <v>794</v>
      </c>
      <c r="AE2220" t="s">
        <v>795</v>
      </c>
      <c r="AF2220" t="s">
        <v>864</v>
      </c>
      <c r="AG2220" t="s">
        <v>861</v>
      </c>
      <c r="AH2220">
        <v>90000</v>
      </c>
      <c r="AI2220">
        <v>149400</v>
      </c>
      <c r="AJ2220">
        <v>2.9835752195115743E-3</v>
      </c>
    </row>
    <row r="2221" spans="1:36" x14ac:dyDescent="0.3">
      <c r="A2221">
        <f>COUNTIF($D$2:D2221,D2221)</f>
        <v>51</v>
      </c>
      <c r="B2221" t="str">
        <f t="shared" si="137"/>
        <v>51Suffolk</v>
      </c>
      <c r="C2221" t="s">
        <v>6212</v>
      </c>
      <c r="D2221" t="s">
        <v>309</v>
      </c>
      <c r="E2221">
        <v>95</v>
      </c>
      <c r="F2221" t="s">
        <v>6210</v>
      </c>
      <c r="G2221" t="s">
        <v>787</v>
      </c>
      <c r="H2221" t="s">
        <v>1195</v>
      </c>
      <c r="I2221" t="s">
        <v>789</v>
      </c>
      <c r="J2221">
        <f t="shared" ca="1" si="138"/>
        <v>306000</v>
      </c>
      <c r="K2221">
        <f t="shared" ca="1" si="139"/>
        <v>88</v>
      </c>
      <c r="N2221" t="str">
        <f t="shared" si="136"/>
        <v>South Gloucestershire41Substance Misuse: ICB contribution to larger service, outputs are total for whole serviceCommunity Based SchemesMultidisciplinary teams that are supporting independence, such as anticipatory care</v>
      </c>
      <c r="O2221" t="s">
        <v>289</v>
      </c>
      <c r="P2221" t="s">
        <v>976</v>
      </c>
      <c r="Q2221">
        <v>41</v>
      </c>
      <c r="R2221" t="s">
        <v>5721</v>
      </c>
      <c r="S2221" t="s">
        <v>6213</v>
      </c>
      <c r="T2221" t="s">
        <v>1453</v>
      </c>
      <c r="U2221" t="s">
        <v>1454</v>
      </c>
      <c r="W2221">
        <v>835</v>
      </c>
      <c r="X2221">
        <v>835</v>
      </c>
      <c r="Y2221" t="s">
        <v>794</v>
      </c>
      <c r="Z2221" t="s">
        <v>1006</v>
      </c>
      <c r="AB2221" t="s">
        <v>793</v>
      </c>
      <c r="AD2221" t="s">
        <v>794</v>
      </c>
      <c r="AE2221" t="s">
        <v>795</v>
      </c>
      <c r="AF2221" t="s">
        <v>1042</v>
      </c>
      <c r="AG2221" t="s">
        <v>861</v>
      </c>
      <c r="AH2221">
        <v>142000</v>
      </c>
      <c r="AI2221">
        <v>142000</v>
      </c>
      <c r="AJ2221">
        <v>4.7074186796738169E-3</v>
      </c>
    </row>
    <row r="2222" spans="1:36" x14ac:dyDescent="0.3">
      <c r="A2222">
        <f>COUNTIF($D$2:D2222,D2222)</f>
        <v>52</v>
      </c>
      <c r="B2222" t="str">
        <f t="shared" si="137"/>
        <v>52Suffolk</v>
      </c>
      <c r="C2222" t="s">
        <v>6214</v>
      </c>
      <c r="D2222" t="s">
        <v>309</v>
      </c>
      <c r="E2222">
        <v>96</v>
      </c>
      <c r="F2222" t="s">
        <v>6215</v>
      </c>
      <c r="G2222" t="s">
        <v>806</v>
      </c>
      <c r="H2222" t="s">
        <v>807</v>
      </c>
      <c r="I2222" t="s">
        <v>808</v>
      </c>
      <c r="J2222">
        <f t="shared" ca="1" si="138"/>
        <v>50000</v>
      </c>
      <c r="K2222">
        <f t="shared" ca="1" si="139"/>
        <v>9</v>
      </c>
      <c r="N2222" t="str">
        <f t="shared" si="136"/>
        <v>South Gloucestershire42Transfer of Care HubIntegrated Care Planning and NavigationCare navigation and planning</v>
      </c>
      <c r="O2222" t="s">
        <v>289</v>
      </c>
      <c r="P2222" t="s">
        <v>976</v>
      </c>
      <c r="Q2222">
        <v>42</v>
      </c>
      <c r="R2222" t="s">
        <v>5724</v>
      </c>
      <c r="S2222" t="s">
        <v>5724</v>
      </c>
      <c r="T2222" t="s">
        <v>2031</v>
      </c>
      <c r="U2222" t="s">
        <v>2032</v>
      </c>
      <c r="W2222">
        <v>480</v>
      </c>
      <c r="X2222">
        <v>480</v>
      </c>
      <c r="Y2222" t="s">
        <v>794</v>
      </c>
      <c r="Z2222" t="s">
        <v>1118</v>
      </c>
      <c r="AB2222" t="s">
        <v>824</v>
      </c>
      <c r="AD2222" t="s">
        <v>794</v>
      </c>
      <c r="AE2222" t="s">
        <v>1119</v>
      </c>
      <c r="AF2222" t="s">
        <v>860</v>
      </c>
      <c r="AG2222" t="s">
        <v>861</v>
      </c>
      <c r="AH2222">
        <v>397000</v>
      </c>
      <c r="AI2222">
        <v>397000</v>
      </c>
      <c r="AJ2222">
        <v>1.3160881801623276E-2</v>
      </c>
    </row>
    <row r="2223" spans="1:36" x14ac:dyDescent="0.3">
      <c r="A2223">
        <f>COUNTIF($D$2:D2223,D2223)</f>
        <v>53</v>
      </c>
      <c r="B2223" t="str">
        <f t="shared" si="137"/>
        <v>53Suffolk</v>
      </c>
      <c r="C2223" t="s">
        <v>6216</v>
      </c>
      <c r="D2223" t="s">
        <v>309</v>
      </c>
      <c r="E2223">
        <v>97</v>
      </c>
      <c r="F2223" t="s">
        <v>6217</v>
      </c>
      <c r="G2223" t="s">
        <v>877</v>
      </c>
      <c r="H2223" t="s">
        <v>878</v>
      </c>
      <c r="I2223" t="s">
        <v>879</v>
      </c>
      <c r="J2223">
        <f t="shared" ca="1" si="138"/>
        <v>59000</v>
      </c>
      <c r="K2223">
        <f t="shared" ca="1" si="139"/>
        <v>21</v>
      </c>
      <c r="N2223" t="str">
        <f t="shared" si="136"/>
        <v>South Gloucestershire44P2/P3 Beds reprocurementBed based intermediate Care Services (Reablement, rehabilitation, wider short-term services supporting recovery)Bed-based intermediate care with rehabilitation (to support discharge)</v>
      </c>
      <c r="O2223" t="s">
        <v>289</v>
      </c>
      <c r="P2223" t="s">
        <v>976</v>
      </c>
      <c r="Q2223">
        <v>44</v>
      </c>
      <c r="R2223" t="s">
        <v>5727</v>
      </c>
      <c r="S2223" t="s">
        <v>5727</v>
      </c>
      <c r="T2223" t="s">
        <v>877</v>
      </c>
      <c r="U2223" t="s">
        <v>968</v>
      </c>
      <c r="W2223">
        <v>84</v>
      </c>
      <c r="X2223">
        <v>168</v>
      </c>
      <c r="Y2223" t="s">
        <v>879</v>
      </c>
      <c r="Z2223" t="s">
        <v>823</v>
      </c>
      <c r="AB2223" t="s">
        <v>824</v>
      </c>
      <c r="AD2223" t="s">
        <v>794</v>
      </c>
      <c r="AE2223" t="s">
        <v>804</v>
      </c>
      <c r="AF2223" t="s">
        <v>860</v>
      </c>
      <c r="AG2223" t="s">
        <v>861</v>
      </c>
      <c r="AH2223">
        <v>662000</v>
      </c>
      <c r="AI2223">
        <v>662000</v>
      </c>
      <c r="AJ2223">
        <v>2.1945853281296245E-2</v>
      </c>
    </row>
    <row r="2224" spans="1:36" x14ac:dyDescent="0.3">
      <c r="A2224">
        <f>COUNTIF($D$2:D2224,D2224)</f>
        <v>54</v>
      </c>
      <c r="B2224" t="str">
        <f t="shared" si="137"/>
        <v>54Suffolk</v>
      </c>
      <c r="C2224" t="s">
        <v>6218</v>
      </c>
      <c r="D2224" t="s">
        <v>309</v>
      </c>
      <c r="E2224">
        <v>98</v>
      </c>
      <c r="F2224" t="s">
        <v>6219</v>
      </c>
      <c r="G2224" t="s">
        <v>877</v>
      </c>
      <c r="H2224" t="s">
        <v>878</v>
      </c>
      <c r="I2224" t="s">
        <v>879</v>
      </c>
      <c r="J2224">
        <f t="shared" ca="1" si="138"/>
        <v>61500</v>
      </c>
      <c r="K2224">
        <f t="shared" ca="1" si="139"/>
        <v>21</v>
      </c>
      <c r="N2224" t="str">
        <f t="shared" si="136"/>
        <v>South Gloucestershire45P2/P3 Beds reprocurementBed based intermediate Care Services (Reablement, rehabilitation, wider short-term services supporting recovery)Bed-based intermediate care with rehabilitation (to support discharge)</v>
      </c>
      <c r="O2224" t="s">
        <v>289</v>
      </c>
      <c r="P2224" t="s">
        <v>976</v>
      </c>
      <c r="Q2224">
        <v>45</v>
      </c>
      <c r="R2224" t="s">
        <v>5727</v>
      </c>
      <c r="S2224" t="s">
        <v>5727</v>
      </c>
      <c r="T2224" t="s">
        <v>877</v>
      </c>
      <c r="U2224" t="s">
        <v>968</v>
      </c>
      <c r="W2224">
        <v>79</v>
      </c>
      <c r="X2224">
        <v>157</v>
      </c>
      <c r="Y2224" t="s">
        <v>879</v>
      </c>
      <c r="Z2224" t="s">
        <v>823</v>
      </c>
      <c r="AB2224" t="s">
        <v>824</v>
      </c>
      <c r="AD2224" t="s">
        <v>794</v>
      </c>
      <c r="AE2224" t="s">
        <v>804</v>
      </c>
      <c r="AF2224" t="s">
        <v>1042</v>
      </c>
      <c r="AG2224" t="s">
        <v>861</v>
      </c>
      <c r="AH2224">
        <v>620000</v>
      </c>
      <c r="AI2224">
        <v>620000</v>
      </c>
      <c r="AJ2224">
        <v>2.0553518178857512E-2</v>
      </c>
    </row>
    <row r="2225" spans="1:36" x14ac:dyDescent="0.3">
      <c r="A2225">
        <f>COUNTIF($D$2:D2225,D2225)</f>
        <v>55</v>
      </c>
      <c r="B2225" t="str">
        <f t="shared" si="137"/>
        <v>55Suffolk</v>
      </c>
      <c r="C2225" t="s">
        <v>6220</v>
      </c>
      <c r="D2225" t="s">
        <v>309</v>
      </c>
      <c r="E2225">
        <v>99</v>
      </c>
      <c r="F2225" t="s">
        <v>6221</v>
      </c>
      <c r="G2225" t="s">
        <v>806</v>
      </c>
      <c r="H2225" t="s">
        <v>807</v>
      </c>
      <c r="I2225" t="s">
        <v>808</v>
      </c>
      <c r="J2225">
        <f t="shared" ca="1" si="138"/>
        <v>19500</v>
      </c>
      <c r="K2225">
        <f t="shared" ca="1" si="139"/>
        <v>4</v>
      </c>
      <c r="N2225" t="str">
        <f t="shared" si="136"/>
        <v>South Gloucestershire46Therapy Bed supportBed based intermediate Care Services (Reablement, rehabilitation, wider short-term services supporting recovery)Bed-based intermediate care with reablement (to support discharge)</v>
      </c>
      <c r="O2225" t="s">
        <v>289</v>
      </c>
      <c r="P2225" t="s">
        <v>976</v>
      </c>
      <c r="Q2225">
        <v>46</v>
      </c>
      <c r="R2225" t="s">
        <v>1610</v>
      </c>
      <c r="S2225" t="s">
        <v>1729</v>
      </c>
      <c r="T2225" t="s">
        <v>877</v>
      </c>
      <c r="U2225" t="s">
        <v>878</v>
      </c>
      <c r="V2225" t="s">
        <v>3829</v>
      </c>
      <c r="W2225">
        <v>12</v>
      </c>
      <c r="X2225">
        <v>12</v>
      </c>
      <c r="Y2225" t="s">
        <v>879</v>
      </c>
      <c r="Z2225" t="s">
        <v>823</v>
      </c>
      <c r="AB2225" t="s">
        <v>824</v>
      </c>
      <c r="AD2225" t="s">
        <v>794</v>
      </c>
      <c r="AE2225" t="s">
        <v>832</v>
      </c>
      <c r="AF2225" t="s">
        <v>860</v>
      </c>
      <c r="AG2225" t="s">
        <v>861</v>
      </c>
      <c r="AH2225">
        <v>139000</v>
      </c>
      <c r="AI2225">
        <v>139000</v>
      </c>
      <c r="AJ2225">
        <v>4.6079661723567649E-3</v>
      </c>
    </row>
    <row r="2226" spans="1:36" x14ac:dyDescent="0.3">
      <c r="A2226">
        <f>COUNTIF($D$2:D2226,D2226)</f>
        <v>56</v>
      </c>
      <c r="B2226" t="str">
        <f t="shared" si="137"/>
        <v>56Suffolk</v>
      </c>
      <c r="C2226" t="s">
        <v>6222</v>
      </c>
      <c r="D2226" t="s">
        <v>309</v>
      </c>
      <c r="E2226">
        <v>100</v>
      </c>
      <c r="F2226" t="s">
        <v>6223</v>
      </c>
      <c r="G2226" t="s">
        <v>877</v>
      </c>
      <c r="H2226" t="s">
        <v>878</v>
      </c>
      <c r="I2226" t="s">
        <v>879</v>
      </c>
      <c r="J2226">
        <f t="shared" ca="1" si="138"/>
        <v>12500</v>
      </c>
      <c r="K2226">
        <f t="shared" ca="1" si="139"/>
        <v>42</v>
      </c>
      <c r="N2226" t="str">
        <f t="shared" si="136"/>
        <v>South Tyneside1Community Equipment ServiceAssistive Technologies and EquipmentAssistive technologies including telecare</v>
      </c>
      <c r="O2226" t="s">
        <v>291</v>
      </c>
      <c r="P2226" t="s">
        <v>2195</v>
      </c>
      <c r="Q2226">
        <v>1</v>
      </c>
      <c r="R2226" t="s">
        <v>1881</v>
      </c>
      <c r="S2226" t="s">
        <v>6224</v>
      </c>
      <c r="T2226" t="s">
        <v>800</v>
      </c>
      <c r="U2226" t="s">
        <v>850</v>
      </c>
      <c r="W2226">
        <v>1720</v>
      </c>
      <c r="X2226">
        <v>1802</v>
      </c>
      <c r="Y2226" t="s">
        <v>802</v>
      </c>
      <c r="Z2226" t="s">
        <v>792</v>
      </c>
      <c r="AB2226" t="s">
        <v>1739</v>
      </c>
      <c r="AC2226">
        <v>0.51</v>
      </c>
      <c r="AD2226">
        <v>0.49</v>
      </c>
      <c r="AE2226" t="s">
        <v>795</v>
      </c>
      <c r="AF2226" t="s">
        <v>796</v>
      </c>
      <c r="AG2226" t="s">
        <v>797</v>
      </c>
      <c r="AH2226">
        <v>1181000</v>
      </c>
      <c r="AI2226">
        <v>1247844.6000000001</v>
      </c>
      <c r="AJ2226">
        <v>0.72</v>
      </c>
    </row>
    <row r="2227" spans="1:36" x14ac:dyDescent="0.3">
      <c r="A2227">
        <f>COUNTIF($D$2:D2227,D2227)</f>
        <v>57</v>
      </c>
      <c r="B2227" t="str">
        <f t="shared" si="137"/>
        <v>57Suffolk</v>
      </c>
      <c r="C2227" t="s">
        <v>6225</v>
      </c>
      <c r="D2227" t="s">
        <v>309</v>
      </c>
      <c r="E2227">
        <v>102</v>
      </c>
      <c r="F2227" t="s">
        <v>6226</v>
      </c>
      <c r="G2227" t="s">
        <v>787</v>
      </c>
      <c r="H2227" t="s">
        <v>1195</v>
      </c>
      <c r="I2227" t="s">
        <v>789</v>
      </c>
      <c r="J2227">
        <f t="shared" ca="1" si="138"/>
        <v>136435</v>
      </c>
      <c r="K2227">
        <f t="shared" ca="1" si="139"/>
        <v>39</v>
      </c>
      <c r="N2227" t="str">
        <f t="shared" si="136"/>
        <v>South Tyneside2Front Door Model / Assistive TechnologyAssistive Technologies and EquipmentAssistive technologies including telecare</v>
      </c>
      <c r="O2227" t="s">
        <v>291</v>
      </c>
      <c r="P2227" t="s">
        <v>2195</v>
      </c>
      <c r="Q2227">
        <v>2</v>
      </c>
      <c r="R2227" t="s">
        <v>5736</v>
      </c>
      <c r="S2227" t="s">
        <v>6227</v>
      </c>
      <c r="T2227" t="s">
        <v>800</v>
      </c>
      <c r="U2227" t="s">
        <v>850</v>
      </c>
      <c r="W2227">
        <v>1036</v>
      </c>
      <c r="X2227">
        <v>1086</v>
      </c>
      <c r="Y2227" t="s">
        <v>802</v>
      </c>
      <c r="Z2227" t="s">
        <v>792</v>
      </c>
      <c r="AB2227" t="s">
        <v>793</v>
      </c>
      <c r="AD2227" t="s">
        <v>794</v>
      </c>
      <c r="AE2227" t="s">
        <v>795</v>
      </c>
      <c r="AF2227" t="s">
        <v>845</v>
      </c>
      <c r="AG2227" t="s">
        <v>797</v>
      </c>
      <c r="AH2227">
        <v>751920</v>
      </c>
      <c r="AI2227">
        <v>751920</v>
      </c>
      <c r="AJ2227">
        <v>0.56999999999999995</v>
      </c>
    </row>
    <row r="2228" spans="1:36" x14ac:dyDescent="0.3">
      <c r="A2228">
        <f>COUNTIF($D$2:D2228,D2228)</f>
        <v>1</v>
      </c>
      <c r="B2228" t="str">
        <f t="shared" si="137"/>
        <v>1Sunderland</v>
      </c>
      <c r="C2228" t="s">
        <v>6228</v>
      </c>
      <c r="D2228" t="s">
        <v>311</v>
      </c>
      <c r="E2228">
        <v>3</v>
      </c>
      <c r="F2228" t="s">
        <v>6229</v>
      </c>
      <c r="G2228" t="s">
        <v>800</v>
      </c>
      <c r="H2228" t="s">
        <v>850</v>
      </c>
      <c r="I2228" t="s">
        <v>802</v>
      </c>
      <c r="J2228">
        <f t="shared" ca="1" si="138"/>
        <v>1317301</v>
      </c>
      <c r="K2228">
        <f t="shared" ca="1" si="139"/>
        <v>2635</v>
      </c>
      <c r="N2228" t="str">
        <f t="shared" si="136"/>
        <v>South Tyneside3Telecare / TelehealthAssistive Technologies and EquipmentAssistive technologies including telecare</v>
      </c>
      <c r="O2228" t="s">
        <v>291</v>
      </c>
      <c r="P2228" t="s">
        <v>2195</v>
      </c>
      <c r="Q2228">
        <v>3</v>
      </c>
      <c r="R2228" t="s">
        <v>5739</v>
      </c>
      <c r="S2228" t="s">
        <v>6227</v>
      </c>
      <c r="T2228" t="s">
        <v>800</v>
      </c>
      <c r="U2228" t="s">
        <v>850</v>
      </c>
      <c r="W2228">
        <v>826</v>
      </c>
      <c r="X2228">
        <v>865</v>
      </c>
      <c r="Y2228" t="s">
        <v>802</v>
      </c>
      <c r="Z2228" t="s">
        <v>792</v>
      </c>
      <c r="AB2228" t="s">
        <v>1739</v>
      </c>
      <c r="AC2228">
        <v>0.43</v>
      </c>
      <c r="AD2228">
        <v>0.57000000000000006</v>
      </c>
      <c r="AE2228" t="s">
        <v>795</v>
      </c>
      <c r="AF2228" t="s">
        <v>796</v>
      </c>
      <c r="AG2228" t="s">
        <v>797</v>
      </c>
      <c r="AH2228">
        <v>567237</v>
      </c>
      <c r="AI2228">
        <v>599342.61419999995</v>
      </c>
      <c r="AJ2228">
        <v>0.43</v>
      </c>
    </row>
    <row r="2229" spans="1:36" x14ac:dyDescent="0.3">
      <c r="A2229">
        <f>COUNTIF($D$2:D2229,D2229)</f>
        <v>2</v>
      </c>
      <c r="B2229" t="str">
        <f t="shared" si="137"/>
        <v>2Sunderland</v>
      </c>
      <c r="C2229" t="s">
        <v>6230</v>
      </c>
      <c r="D2229" t="s">
        <v>311</v>
      </c>
      <c r="E2229">
        <v>3</v>
      </c>
      <c r="F2229" t="s">
        <v>6229</v>
      </c>
      <c r="G2229" t="s">
        <v>800</v>
      </c>
      <c r="H2229" t="s">
        <v>903</v>
      </c>
      <c r="I2229" t="s">
        <v>802</v>
      </c>
      <c r="J2229">
        <f t="shared" ca="1" si="138"/>
        <v>3456506</v>
      </c>
      <c r="K2229">
        <f t="shared" ca="1" si="139"/>
        <v>34565</v>
      </c>
      <c r="N2229" t="str">
        <f t="shared" si="136"/>
        <v>South Tyneside4Respite CareBed based intermediate Care Services (Reablement, rehabilitation, wider short-term services supporting recovery)Bed-based intermediate care with rehabilitation (to support discharge)</v>
      </c>
      <c r="O2229" t="s">
        <v>291</v>
      </c>
      <c r="P2229" t="s">
        <v>2195</v>
      </c>
      <c r="Q2229">
        <v>4</v>
      </c>
      <c r="R2229" t="s">
        <v>5743</v>
      </c>
      <c r="S2229" t="s">
        <v>6231</v>
      </c>
      <c r="T2229" t="s">
        <v>877</v>
      </c>
      <c r="U2229" t="s">
        <v>968</v>
      </c>
      <c r="W2229">
        <v>1100</v>
      </c>
      <c r="X2229">
        <v>1100</v>
      </c>
      <c r="Y2229" t="s">
        <v>879</v>
      </c>
      <c r="Z2229" t="s">
        <v>792</v>
      </c>
      <c r="AB2229" t="s">
        <v>1739</v>
      </c>
      <c r="AC2229">
        <v>0.1</v>
      </c>
      <c r="AD2229">
        <v>0.9</v>
      </c>
      <c r="AE2229" t="s">
        <v>795</v>
      </c>
      <c r="AF2229" t="s">
        <v>796</v>
      </c>
      <c r="AG2229" t="s">
        <v>797</v>
      </c>
      <c r="AH2229">
        <v>2200000</v>
      </c>
      <c r="AI2229">
        <v>2324520</v>
      </c>
      <c r="AJ2229">
        <v>0.44</v>
      </c>
    </row>
    <row r="2230" spans="1:36" x14ac:dyDescent="0.3">
      <c r="A2230">
        <f>COUNTIF($D$2:D2230,D2230)</f>
        <v>3</v>
      </c>
      <c r="B2230" t="str">
        <f t="shared" si="137"/>
        <v>3Sunderland</v>
      </c>
      <c r="C2230" t="s">
        <v>6232</v>
      </c>
      <c r="D2230" t="s">
        <v>311</v>
      </c>
      <c r="E2230">
        <v>3</v>
      </c>
      <c r="F2230" t="s">
        <v>6229</v>
      </c>
      <c r="G2230" t="s">
        <v>811</v>
      </c>
      <c r="H2230" t="s">
        <v>895</v>
      </c>
      <c r="I2230" t="s">
        <v>813</v>
      </c>
      <c r="J2230">
        <f t="shared" ca="1" si="138"/>
        <v>372000</v>
      </c>
      <c r="K2230">
        <f t="shared" ca="1" si="139"/>
        <v>1175</v>
      </c>
      <c r="N2230" t="str">
        <f t="shared" si="136"/>
        <v>South Tyneside5Carers Funding (Care Act)Carers ServicesOther</v>
      </c>
      <c r="O2230" t="s">
        <v>291</v>
      </c>
      <c r="P2230" t="s">
        <v>2195</v>
      </c>
      <c r="Q2230">
        <v>5</v>
      </c>
      <c r="R2230" t="s">
        <v>5746</v>
      </c>
      <c r="S2230" t="s">
        <v>6233</v>
      </c>
      <c r="T2230" t="s">
        <v>811</v>
      </c>
      <c r="U2230" t="s">
        <v>812</v>
      </c>
      <c r="V2230" t="s">
        <v>6234</v>
      </c>
      <c r="W2230">
        <v>1200</v>
      </c>
      <c r="X2230">
        <v>1200</v>
      </c>
      <c r="Y2230" t="s">
        <v>813</v>
      </c>
      <c r="Z2230" t="s">
        <v>823</v>
      </c>
      <c r="AB2230" t="s">
        <v>824</v>
      </c>
      <c r="AD2230" t="s">
        <v>794</v>
      </c>
      <c r="AE2230" t="s">
        <v>795</v>
      </c>
      <c r="AF2230" t="s">
        <v>796</v>
      </c>
      <c r="AG2230" t="s">
        <v>797</v>
      </c>
      <c r="AH2230">
        <v>483293</v>
      </c>
      <c r="AI2230">
        <v>510647.38380000001</v>
      </c>
      <c r="AJ2230">
        <v>0.28000000000000003</v>
      </c>
    </row>
    <row r="2231" spans="1:36" x14ac:dyDescent="0.3">
      <c r="A2231">
        <f>COUNTIF($D$2:D2231,D2231)</f>
        <v>4</v>
      </c>
      <c r="B2231" t="str">
        <f t="shared" si="137"/>
        <v>4Sunderland</v>
      </c>
      <c r="C2231" t="s">
        <v>6235</v>
      </c>
      <c r="D2231" t="s">
        <v>311</v>
      </c>
      <c r="E2231">
        <v>4</v>
      </c>
      <c r="F2231" t="s">
        <v>6236</v>
      </c>
      <c r="G2231" t="s">
        <v>842</v>
      </c>
      <c r="H2231" t="s">
        <v>843</v>
      </c>
      <c r="I2231" t="s">
        <v>844</v>
      </c>
      <c r="J2231">
        <f t="shared" ca="1" si="138"/>
        <v>6729498</v>
      </c>
      <c r="K2231">
        <f t="shared" ca="1" si="139"/>
        <v>353098</v>
      </c>
      <c r="N2231" t="str">
        <f t="shared" si="136"/>
        <v>South Tyneside6Domiciliary CareHome Care or Domiciliary CareDomiciliary care to support hospital discharge (Discharge to Assess pathway 1)</v>
      </c>
      <c r="O2231" t="s">
        <v>291</v>
      </c>
      <c r="P2231" t="s">
        <v>2195</v>
      </c>
      <c r="Q2231">
        <v>6</v>
      </c>
      <c r="R2231" t="s">
        <v>1806</v>
      </c>
      <c r="S2231" t="s">
        <v>6237</v>
      </c>
      <c r="T2231" t="s">
        <v>842</v>
      </c>
      <c r="U2231" t="s">
        <v>856</v>
      </c>
      <c r="W2231">
        <v>22887</v>
      </c>
      <c r="X2231">
        <v>22887</v>
      </c>
      <c r="Y2231" t="s">
        <v>844</v>
      </c>
      <c r="Z2231" t="s">
        <v>792</v>
      </c>
      <c r="AB2231" t="s">
        <v>793</v>
      </c>
      <c r="AD2231" t="s">
        <v>794</v>
      </c>
      <c r="AE2231" t="s">
        <v>804</v>
      </c>
      <c r="AF2231" t="s">
        <v>845</v>
      </c>
      <c r="AG2231" t="s">
        <v>797</v>
      </c>
      <c r="AH2231">
        <v>3000000</v>
      </c>
      <c r="AI2231">
        <v>3000000</v>
      </c>
      <c r="AJ2231">
        <v>0.23</v>
      </c>
    </row>
    <row r="2232" spans="1:36" x14ac:dyDescent="0.3">
      <c r="A2232">
        <f>COUNTIF($D$2:D2232,D2232)</f>
        <v>5</v>
      </c>
      <c r="B2232" t="str">
        <f t="shared" si="137"/>
        <v>5Sunderland</v>
      </c>
      <c r="C2232" t="s">
        <v>6238</v>
      </c>
      <c r="D2232" t="s">
        <v>311</v>
      </c>
      <c r="E2232">
        <v>3</v>
      </c>
      <c r="F2232" t="s">
        <v>6229</v>
      </c>
      <c r="G2232" t="s">
        <v>877</v>
      </c>
      <c r="H2232" t="s">
        <v>878</v>
      </c>
      <c r="I2232" t="s">
        <v>879</v>
      </c>
      <c r="J2232">
        <f t="shared" ca="1" si="138"/>
        <v>60349</v>
      </c>
      <c r="K2232">
        <f t="shared" ca="1" si="139"/>
        <v>12</v>
      </c>
      <c r="N2232" t="str">
        <f t="shared" si="136"/>
        <v>South Tyneside9Haven CourtResidential PlacementsCare home</v>
      </c>
      <c r="O2232" t="s">
        <v>291</v>
      </c>
      <c r="P2232" t="s">
        <v>2195</v>
      </c>
      <c r="Q2232">
        <v>9</v>
      </c>
      <c r="R2232" t="s">
        <v>5751</v>
      </c>
      <c r="S2232" t="s">
        <v>5751</v>
      </c>
      <c r="T2232" t="s">
        <v>806</v>
      </c>
      <c r="U2232" t="s">
        <v>807</v>
      </c>
      <c r="W2232">
        <v>37</v>
      </c>
      <c r="X2232">
        <v>37</v>
      </c>
      <c r="Y2232" t="s">
        <v>808</v>
      </c>
      <c r="Z2232" t="s">
        <v>792</v>
      </c>
      <c r="AB2232" t="s">
        <v>793</v>
      </c>
      <c r="AD2232" t="s">
        <v>794</v>
      </c>
      <c r="AE2232" t="s">
        <v>804</v>
      </c>
      <c r="AF2232" t="s">
        <v>845</v>
      </c>
      <c r="AG2232" t="s">
        <v>797</v>
      </c>
      <c r="AH2232">
        <v>2808000</v>
      </c>
      <c r="AI2232">
        <v>2808000</v>
      </c>
      <c r="AJ2232">
        <v>0.68</v>
      </c>
    </row>
    <row r="2233" spans="1:36" x14ac:dyDescent="0.3">
      <c r="A2233">
        <f>COUNTIF($D$2:D2233,D2233)</f>
        <v>6</v>
      </c>
      <c r="B2233" t="str">
        <f t="shared" si="137"/>
        <v>6Sunderland</v>
      </c>
      <c r="C2233" t="s">
        <v>6239</v>
      </c>
      <c r="D2233" t="s">
        <v>311</v>
      </c>
      <c r="E2233">
        <v>3</v>
      </c>
      <c r="F2233" t="s">
        <v>6229</v>
      </c>
      <c r="G2233" t="s">
        <v>877</v>
      </c>
      <c r="H2233" t="s">
        <v>1015</v>
      </c>
      <c r="I2233" t="s">
        <v>879</v>
      </c>
      <c r="J2233">
        <f t="shared" ca="1" si="138"/>
        <v>662301</v>
      </c>
      <c r="K2233">
        <f t="shared" ca="1" si="139"/>
        <v>6</v>
      </c>
      <c r="N2233" t="str">
        <f t="shared" si="136"/>
        <v>South Tyneside10Haven CourtBed based intermediate Care Services (Reablement, rehabilitation, wider short-term services supporting recovery)Bed-based intermediate care with reablement (to support discharge)</v>
      </c>
      <c r="O2233" t="s">
        <v>291</v>
      </c>
      <c r="P2233" t="s">
        <v>2195</v>
      </c>
      <c r="Q2233">
        <v>10</v>
      </c>
      <c r="R2233" t="s">
        <v>5751</v>
      </c>
      <c r="S2233" t="s">
        <v>5751</v>
      </c>
      <c r="T2233" t="s">
        <v>877</v>
      </c>
      <c r="U2233" t="s">
        <v>878</v>
      </c>
      <c r="W2233">
        <v>249</v>
      </c>
      <c r="X2233">
        <v>249</v>
      </c>
      <c r="Y2233" t="s">
        <v>879</v>
      </c>
      <c r="Z2233" t="s">
        <v>792</v>
      </c>
      <c r="AB2233" t="s">
        <v>1739</v>
      </c>
      <c r="AC2233">
        <v>0.22</v>
      </c>
      <c r="AD2233">
        <v>0.78</v>
      </c>
      <c r="AE2233" t="s">
        <v>804</v>
      </c>
      <c r="AF2233" t="s">
        <v>1042</v>
      </c>
      <c r="AG2233" t="s">
        <v>797</v>
      </c>
      <c r="AH2233">
        <v>1310594</v>
      </c>
      <c r="AI2233">
        <v>1310594</v>
      </c>
      <c r="AJ2233">
        <v>0.32</v>
      </c>
    </row>
    <row r="2234" spans="1:36" x14ac:dyDescent="0.3">
      <c r="A2234">
        <f>COUNTIF($D$2:D2234,D2234)</f>
        <v>7</v>
      </c>
      <c r="B2234" t="str">
        <f t="shared" si="137"/>
        <v>7Sunderland</v>
      </c>
      <c r="C2234" t="s">
        <v>6240</v>
      </c>
      <c r="D2234" t="s">
        <v>311</v>
      </c>
      <c r="E2234">
        <v>4</v>
      </c>
      <c r="F2234" t="s">
        <v>6236</v>
      </c>
      <c r="G2234" t="s">
        <v>787</v>
      </c>
      <c r="H2234" t="s">
        <v>788</v>
      </c>
      <c r="I2234" t="s">
        <v>789</v>
      </c>
      <c r="J2234">
        <f t="shared" ca="1" si="138"/>
        <v>1009605</v>
      </c>
      <c r="K2234">
        <f t="shared" ca="1" si="139"/>
        <v>1565</v>
      </c>
      <c r="N2234" t="str">
        <f t="shared" si="136"/>
        <v>South Tyneside11Intensive Home Care ServiceHome Care or Domiciliary CareDomiciliary care to support hospital discharge (Discharge to Assess pathway 1)</v>
      </c>
      <c r="O2234" t="s">
        <v>291</v>
      </c>
      <c r="P2234" t="s">
        <v>2195</v>
      </c>
      <c r="Q2234">
        <v>11</v>
      </c>
      <c r="R2234" t="s">
        <v>5756</v>
      </c>
      <c r="S2234" t="s">
        <v>6241</v>
      </c>
      <c r="T2234" t="s">
        <v>842</v>
      </c>
      <c r="U2234" t="s">
        <v>856</v>
      </c>
      <c r="W2234">
        <v>16792</v>
      </c>
      <c r="X2234">
        <v>16792</v>
      </c>
      <c r="Y2234" t="s">
        <v>844</v>
      </c>
      <c r="Z2234" t="s">
        <v>792</v>
      </c>
      <c r="AB2234" t="s">
        <v>1739</v>
      </c>
      <c r="AC2234">
        <v>0.06</v>
      </c>
      <c r="AD2234">
        <v>0.94</v>
      </c>
      <c r="AE2234" t="s">
        <v>804</v>
      </c>
      <c r="AF2234" t="s">
        <v>796</v>
      </c>
      <c r="AG2234" t="s">
        <v>797</v>
      </c>
      <c r="AH2234">
        <v>2075000</v>
      </c>
      <c r="AI2234">
        <v>2192445</v>
      </c>
      <c r="AJ2234">
        <v>1</v>
      </c>
    </row>
    <row r="2235" spans="1:36" x14ac:dyDescent="0.3">
      <c r="A2235">
        <f>COUNTIF($D$2:D2235,D2235)</f>
        <v>8</v>
      </c>
      <c r="B2235" t="str">
        <f t="shared" si="137"/>
        <v>8Sunderland</v>
      </c>
      <c r="C2235" t="s">
        <v>6242</v>
      </c>
      <c r="D2235" t="s">
        <v>311</v>
      </c>
      <c r="E2235">
        <v>4</v>
      </c>
      <c r="F2235" t="s">
        <v>6236</v>
      </c>
      <c r="G2235" t="s">
        <v>806</v>
      </c>
      <c r="H2235" t="s">
        <v>934</v>
      </c>
      <c r="I2235" t="s">
        <v>808</v>
      </c>
      <c r="J2235">
        <f t="shared" ca="1" si="138"/>
        <v>2852805</v>
      </c>
      <c r="K2235">
        <f t="shared" ca="1" si="139"/>
        <v>167</v>
      </c>
      <c r="N2235" t="str">
        <f t="shared" si="136"/>
        <v>South Tyneside17Disabled Facilities GrantsDFG Related SchemesAdaptations, including statutory DFG grants</v>
      </c>
      <c r="O2235" t="s">
        <v>291</v>
      </c>
      <c r="P2235" t="s">
        <v>2195</v>
      </c>
      <c r="Q2235">
        <v>17</v>
      </c>
      <c r="R2235" t="s">
        <v>1341</v>
      </c>
      <c r="S2235" t="s">
        <v>6243</v>
      </c>
      <c r="T2235" t="s">
        <v>834</v>
      </c>
      <c r="U2235" t="s">
        <v>835</v>
      </c>
      <c r="W2235">
        <v>337</v>
      </c>
      <c r="X2235">
        <v>374</v>
      </c>
      <c r="Y2235" t="s">
        <v>836</v>
      </c>
      <c r="Z2235" t="s">
        <v>792</v>
      </c>
      <c r="AB2235" t="s">
        <v>793</v>
      </c>
      <c r="AD2235" t="s">
        <v>794</v>
      </c>
      <c r="AE2235" t="s">
        <v>804</v>
      </c>
      <c r="AF2235" t="s">
        <v>840</v>
      </c>
      <c r="AG2235" t="s">
        <v>797</v>
      </c>
      <c r="AH2235">
        <v>1918457</v>
      </c>
      <c r="AI2235">
        <v>1918457</v>
      </c>
      <c r="AJ2235">
        <v>1</v>
      </c>
    </row>
    <row r="2236" spans="1:36" x14ac:dyDescent="0.3">
      <c r="A2236">
        <f>COUNTIF($D$2:D2236,D2236)</f>
        <v>9</v>
      </c>
      <c r="B2236" t="str">
        <f t="shared" si="137"/>
        <v>9Sunderland</v>
      </c>
      <c r="C2236" t="s">
        <v>6244</v>
      </c>
      <c r="D2236" t="s">
        <v>311</v>
      </c>
      <c r="E2236">
        <v>1</v>
      </c>
      <c r="F2236" t="s">
        <v>6245</v>
      </c>
      <c r="G2236" t="s">
        <v>806</v>
      </c>
      <c r="H2236" t="s">
        <v>812</v>
      </c>
      <c r="I2236" t="s">
        <v>808</v>
      </c>
      <c r="J2236">
        <f t="shared" ca="1" si="138"/>
        <v>4630618</v>
      </c>
      <c r="K2236">
        <f t="shared" ca="1" si="139"/>
        <v>144</v>
      </c>
      <c r="N2236" t="str">
        <f t="shared" si="136"/>
        <v>South Tyneside20Adult PlacementsResidential PlacementsCare home</v>
      </c>
      <c r="O2236" t="s">
        <v>291</v>
      </c>
      <c r="P2236" t="s">
        <v>2195</v>
      </c>
      <c r="Q2236">
        <v>20</v>
      </c>
      <c r="R2236" t="s">
        <v>5762</v>
      </c>
      <c r="S2236" t="s">
        <v>806</v>
      </c>
      <c r="T2236" t="s">
        <v>806</v>
      </c>
      <c r="U2236" t="s">
        <v>807</v>
      </c>
      <c r="W2236">
        <v>200</v>
      </c>
      <c r="X2236">
        <v>200</v>
      </c>
      <c r="Y2236" t="s">
        <v>808</v>
      </c>
      <c r="Z2236" t="s">
        <v>792</v>
      </c>
      <c r="AB2236" t="s">
        <v>1739</v>
      </c>
      <c r="AC2236">
        <v>0.14000000000000001</v>
      </c>
      <c r="AD2236">
        <v>0.86</v>
      </c>
      <c r="AE2236" t="s">
        <v>795</v>
      </c>
      <c r="AF2236" t="s">
        <v>1042</v>
      </c>
      <c r="AG2236" t="s">
        <v>797</v>
      </c>
      <c r="AH2236">
        <v>5733806</v>
      </c>
      <c r="AI2236">
        <v>5733806</v>
      </c>
      <c r="AJ2236">
        <v>0.14000000000000001</v>
      </c>
    </row>
    <row r="2237" spans="1:36" x14ac:dyDescent="0.3">
      <c r="A2237">
        <f>COUNTIF($D$2:D2237,D2237)</f>
        <v>10</v>
      </c>
      <c r="B2237" t="str">
        <f t="shared" si="137"/>
        <v>10Sunderland</v>
      </c>
      <c r="C2237" t="s">
        <v>6246</v>
      </c>
      <c r="D2237" t="s">
        <v>311</v>
      </c>
      <c r="E2237">
        <v>3</v>
      </c>
      <c r="F2237" t="s">
        <v>6229</v>
      </c>
      <c r="G2237" t="s">
        <v>834</v>
      </c>
      <c r="H2237" t="s">
        <v>835</v>
      </c>
      <c r="I2237" t="s">
        <v>836</v>
      </c>
      <c r="J2237">
        <f t="shared" ca="1" si="138"/>
        <v>3562517</v>
      </c>
      <c r="K2237">
        <f t="shared" ca="1" si="139"/>
        <v>742</v>
      </c>
      <c r="N2237" t="str">
        <f t="shared" si="136"/>
        <v>South Tyneside20Adult PlacementsResidential PlacementsCare home</v>
      </c>
      <c r="O2237" t="s">
        <v>291</v>
      </c>
      <c r="P2237" t="s">
        <v>2195</v>
      </c>
      <c r="Q2237">
        <v>20</v>
      </c>
      <c r="R2237" t="s">
        <v>5762</v>
      </c>
      <c r="S2237" t="s">
        <v>806</v>
      </c>
      <c r="T2237" t="s">
        <v>806</v>
      </c>
      <c r="U2237" t="s">
        <v>807</v>
      </c>
      <c r="W2237">
        <v>17</v>
      </c>
      <c r="X2237">
        <v>17</v>
      </c>
      <c r="Y2237" t="s">
        <v>808</v>
      </c>
      <c r="Z2237" t="s">
        <v>792</v>
      </c>
      <c r="AB2237" t="s">
        <v>793</v>
      </c>
      <c r="AD2237" t="s">
        <v>794</v>
      </c>
      <c r="AE2237" t="s">
        <v>795</v>
      </c>
      <c r="AF2237" t="s">
        <v>845</v>
      </c>
      <c r="AG2237" t="s">
        <v>797</v>
      </c>
      <c r="AH2237">
        <v>233080</v>
      </c>
      <c r="AI2237">
        <v>233080</v>
      </c>
      <c r="AJ2237">
        <v>1</v>
      </c>
    </row>
    <row r="2238" spans="1:36" x14ac:dyDescent="0.3">
      <c r="A2238">
        <f>COUNTIF($D$2:D2238,D2238)</f>
        <v>11</v>
      </c>
      <c r="B2238" t="str">
        <f t="shared" si="137"/>
        <v>11Sunderland</v>
      </c>
      <c r="C2238" t="s">
        <v>6247</v>
      </c>
      <c r="D2238" t="s">
        <v>311</v>
      </c>
      <c r="E2238">
        <v>3</v>
      </c>
      <c r="F2238" t="s">
        <v>6229</v>
      </c>
      <c r="G2238" t="s">
        <v>834</v>
      </c>
      <c r="H2238" t="s">
        <v>1732</v>
      </c>
      <c r="I2238" t="s">
        <v>836</v>
      </c>
      <c r="J2238">
        <f t="shared" ca="1" si="138"/>
        <v>442882</v>
      </c>
      <c r="K2238">
        <f t="shared" ca="1" si="139"/>
        <v>2750</v>
      </c>
      <c r="N2238" t="str">
        <f t="shared" si="136"/>
        <v>South Tyneside21Wheelchair ServicesAssistive Technologies and EquipmentCommunity based equipment</v>
      </c>
      <c r="O2238" t="s">
        <v>291</v>
      </c>
      <c r="P2238" t="s">
        <v>2195</v>
      </c>
      <c r="Q2238">
        <v>21</v>
      </c>
      <c r="R2238" t="s">
        <v>1180</v>
      </c>
      <c r="S2238" t="s">
        <v>6248</v>
      </c>
      <c r="T2238" t="s">
        <v>800</v>
      </c>
      <c r="U2238" t="s">
        <v>903</v>
      </c>
      <c r="W2238">
        <v>1</v>
      </c>
      <c r="X2238">
        <v>1</v>
      </c>
      <c r="Y2238" t="s">
        <v>802</v>
      </c>
      <c r="Z2238" t="s">
        <v>823</v>
      </c>
      <c r="AB2238" t="s">
        <v>824</v>
      </c>
      <c r="AD2238" t="s">
        <v>794</v>
      </c>
      <c r="AE2238" t="s">
        <v>832</v>
      </c>
      <c r="AF2238" t="s">
        <v>796</v>
      </c>
      <c r="AG2238" t="s">
        <v>797</v>
      </c>
      <c r="AH2238">
        <v>466000</v>
      </c>
      <c r="AI2238">
        <v>492375.6</v>
      </c>
      <c r="AJ2238">
        <v>0.02</v>
      </c>
    </row>
    <row r="2239" spans="1:36" x14ac:dyDescent="0.3">
      <c r="A2239">
        <f>COUNTIF($D$2:D2239,D2239)</f>
        <v>12</v>
      </c>
      <c r="B2239" t="str">
        <f t="shared" si="137"/>
        <v>12Sunderland</v>
      </c>
      <c r="C2239" t="s">
        <v>6249</v>
      </c>
      <c r="D2239" t="s">
        <v>311</v>
      </c>
      <c r="E2239">
        <v>3</v>
      </c>
      <c r="F2239" t="s">
        <v>6229</v>
      </c>
      <c r="G2239" t="s">
        <v>834</v>
      </c>
      <c r="H2239" t="s">
        <v>812</v>
      </c>
      <c r="I2239" t="s">
        <v>836</v>
      </c>
      <c r="J2239">
        <f t="shared" ca="1" si="138"/>
        <v>50000</v>
      </c>
      <c r="K2239">
        <f t="shared" ca="1" si="139"/>
        <v>100</v>
      </c>
      <c r="N2239" t="str">
        <f t="shared" si="136"/>
        <v>South Tyneside24Home careHome Care or Domiciliary CareDomiciliary care to support hospital discharge (Discharge to Assess pathway 1)</v>
      </c>
      <c r="O2239" t="s">
        <v>291</v>
      </c>
      <c r="P2239" t="s">
        <v>2195</v>
      </c>
      <c r="Q2239">
        <v>24</v>
      </c>
      <c r="R2239" t="s">
        <v>1386</v>
      </c>
      <c r="S2239" t="s">
        <v>6237</v>
      </c>
      <c r="T2239" t="s">
        <v>842</v>
      </c>
      <c r="U2239" t="s">
        <v>856</v>
      </c>
      <c r="W2239">
        <v>2102</v>
      </c>
      <c r="X2239">
        <v>2102</v>
      </c>
      <c r="Y2239" t="s">
        <v>844</v>
      </c>
      <c r="Z2239" t="s">
        <v>792</v>
      </c>
      <c r="AB2239" t="s">
        <v>793</v>
      </c>
      <c r="AD2239" t="s">
        <v>794</v>
      </c>
      <c r="AE2239" t="s">
        <v>795</v>
      </c>
      <c r="AF2239" t="s">
        <v>1042</v>
      </c>
      <c r="AG2239" t="s">
        <v>797</v>
      </c>
      <c r="AH2239">
        <v>275600</v>
      </c>
      <c r="AI2239">
        <v>275600</v>
      </c>
      <c r="AJ2239">
        <v>0.02</v>
      </c>
    </row>
    <row r="2240" spans="1:36" x14ac:dyDescent="0.3">
      <c r="A2240">
        <f>COUNTIF($D$2:D2240,D2240)</f>
        <v>13</v>
      </c>
      <c r="B2240" t="str">
        <f t="shared" si="137"/>
        <v>13Sunderland</v>
      </c>
      <c r="C2240" t="s">
        <v>6250</v>
      </c>
      <c r="D2240" t="s">
        <v>311</v>
      </c>
      <c r="E2240">
        <v>4</v>
      </c>
      <c r="F2240" t="s">
        <v>6236</v>
      </c>
      <c r="G2240" t="s">
        <v>842</v>
      </c>
      <c r="H2240" t="s">
        <v>856</v>
      </c>
      <c r="I2240" t="s">
        <v>844</v>
      </c>
      <c r="J2240">
        <f t="shared" ca="1" si="138"/>
        <v>937399</v>
      </c>
      <c r="K2240">
        <f t="shared" ca="1" si="139"/>
        <v>49182</v>
      </c>
      <c r="N2240" t="str">
        <f t="shared" si="136"/>
        <v>South Tyneside28Home CareHome Care or Domiciliary CareDomiciliary care packages</v>
      </c>
      <c r="O2240" t="s">
        <v>291</v>
      </c>
      <c r="P2240" t="s">
        <v>2195</v>
      </c>
      <c r="Q2240">
        <v>28</v>
      </c>
      <c r="R2240" t="s">
        <v>1447</v>
      </c>
      <c r="S2240" t="s">
        <v>6237</v>
      </c>
      <c r="T2240" t="s">
        <v>842</v>
      </c>
      <c r="U2240" t="s">
        <v>843</v>
      </c>
      <c r="W2240">
        <v>469456</v>
      </c>
      <c r="X2240">
        <v>469456</v>
      </c>
      <c r="Y2240" t="s">
        <v>844</v>
      </c>
      <c r="Z2240" t="s">
        <v>792</v>
      </c>
      <c r="AB2240" t="s">
        <v>793</v>
      </c>
      <c r="AD2240" t="s">
        <v>794</v>
      </c>
      <c r="AE2240" t="s">
        <v>804</v>
      </c>
      <c r="AF2240" t="s">
        <v>1029</v>
      </c>
      <c r="AG2240" t="s">
        <v>797</v>
      </c>
      <c r="AH2240">
        <v>9960400</v>
      </c>
      <c r="AI2240">
        <v>9960400</v>
      </c>
      <c r="AJ2240">
        <v>0.75</v>
      </c>
    </row>
    <row r="2241" spans="1:36" x14ac:dyDescent="0.3">
      <c r="A2241">
        <f>COUNTIF($D$2:D2241,D2241)</f>
        <v>14</v>
      </c>
      <c r="B2241" t="str">
        <f t="shared" si="137"/>
        <v>14Sunderland</v>
      </c>
      <c r="C2241" t="s">
        <v>6251</v>
      </c>
      <c r="D2241" t="s">
        <v>311</v>
      </c>
      <c r="E2241">
        <v>3</v>
      </c>
      <c r="F2241" t="s">
        <v>6229</v>
      </c>
      <c r="G2241" t="s">
        <v>877</v>
      </c>
      <c r="H2241" t="s">
        <v>968</v>
      </c>
      <c r="I2241" t="s">
        <v>879</v>
      </c>
      <c r="J2241">
        <f t="shared" ca="1" si="138"/>
        <v>250000</v>
      </c>
      <c r="K2241">
        <f t="shared" ca="1" si="139"/>
        <v>50</v>
      </c>
      <c r="N2241" t="str">
        <f t="shared" si="136"/>
        <v>South Tyneside31Community Equipment ServiceAssistive Technologies and EquipmentCommunity based equipment</v>
      </c>
      <c r="O2241" t="s">
        <v>291</v>
      </c>
      <c r="P2241" t="s">
        <v>2195</v>
      </c>
      <c r="Q2241">
        <v>31</v>
      </c>
      <c r="R2241" t="s">
        <v>1881</v>
      </c>
      <c r="S2241" t="s">
        <v>6224</v>
      </c>
      <c r="T2241" t="s">
        <v>800</v>
      </c>
      <c r="U2241" t="s">
        <v>903</v>
      </c>
      <c r="W2241">
        <v>6150</v>
      </c>
      <c r="X2241">
        <v>6750</v>
      </c>
      <c r="Y2241" t="s">
        <v>802</v>
      </c>
      <c r="Z2241" t="s">
        <v>792</v>
      </c>
      <c r="AB2241" t="s">
        <v>793</v>
      </c>
      <c r="AD2241" t="s">
        <v>794</v>
      </c>
      <c r="AE2241" t="s">
        <v>795</v>
      </c>
      <c r="AF2241" t="s">
        <v>864</v>
      </c>
      <c r="AG2241" t="s">
        <v>861</v>
      </c>
      <c r="AH2241">
        <v>200000</v>
      </c>
      <c r="AI2241">
        <v>200000</v>
      </c>
      <c r="AJ2241">
        <v>0.12</v>
      </c>
    </row>
    <row r="2242" spans="1:36" x14ac:dyDescent="0.3">
      <c r="A2242">
        <f>COUNTIF($D$2:D2242,D2242)</f>
        <v>15</v>
      </c>
      <c r="B2242" t="str">
        <f t="shared" si="137"/>
        <v>15Sunderland</v>
      </c>
      <c r="C2242" t="s">
        <v>6252</v>
      </c>
      <c r="D2242" t="s">
        <v>311</v>
      </c>
      <c r="E2242">
        <v>5</v>
      </c>
      <c r="F2242" t="s">
        <v>6253</v>
      </c>
      <c r="G2242" t="s">
        <v>787</v>
      </c>
      <c r="H2242" t="s">
        <v>886</v>
      </c>
      <c r="I2242" t="s">
        <v>789</v>
      </c>
      <c r="J2242">
        <f t="shared" ca="1" si="138"/>
        <v>2780723</v>
      </c>
      <c r="K2242">
        <f t="shared" ca="1" si="139"/>
        <v>5505</v>
      </c>
      <c r="N2242" t="str">
        <f t="shared" ref="N2242:N2305" si="140">O2242&amp;Q2242&amp;R2242&amp;T2242&amp;U2242</f>
        <v>South Tyneside32Borrowdale Extra CareBed based intermediate Care Services (Reablement, rehabilitation, wider short-term services supporting recovery)Bed-based intermediate care with reablement (to support discharge)</v>
      </c>
      <c r="O2242" t="s">
        <v>291</v>
      </c>
      <c r="P2242" t="s">
        <v>2195</v>
      </c>
      <c r="Q2242">
        <v>32</v>
      </c>
      <c r="R2242" t="s">
        <v>5772</v>
      </c>
      <c r="S2242" t="s">
        <v>6254</v>
      </c>
      <c r="T2242" t="s">
        <v>877</v>
      </c>
      <c r="U2242" t="s">
        <v>878</v>
      </c>
      <c r="V2242" t="s">
        <v>6255</v>
      </c>
      <c r="W2242">
        <v>162</v>
      </c>
      <c r="X2242">
        <v>324</v>
      </c>
      <c r="Y2242" t="s">
        <v>879</v>
      </c>
      <c r="Z2242" t="s">
        <v>792</v>
      </c>
      <c r="AB2242" t="s">
        <v>793</v>
      </c>
      <c r="AD2242" t="s">
        <v>794</v>
      </c>
      <c r="AE2242" t="s">
        <v>795</v>
      </c>
      <c r="AF2242" t="s">
        <v>864</v>
      </c>
      <c r="AG2242" t="s">
        <v>861</v>
      </c>
      <c r="AH2242">
        <v>869985</v>
      </c>
      <c r="AI2242">
        <v>869985</v>
      </c>
      <c r="AJ2242">
        <v>0.61</v>
      </c>
    </row>
    <row r="2243" spans="1:36" x14ac:dyDescent="0.3">
      <c r="A2243">
        <f>COUNTIF($D$2:D2243,D2243)</f>
        <v>16</v>
      </c>
      <c r="B2243" t="str">
        <f t="shared" ref="B2243:B2306" si="141">A2243&amp;D2243</f>
        <v>16Sunderland</v>
      </c>
      <c r="C2243" t="s">
        <v>6256</v>
      </c>
      <c r="D2243" t="s">
        <v>311</v>
      </c>
      <c r="E2243">
        <v>4</v>
      </c>
      <c r="F2243" t="s">
        <v>6236</v>
      </c>
      <c r="G2243" t="s">
        <v>811</v>
      </c>
      <c r="H2243" t="s">
        <v>812</v>
      </c>
      <c r="I2243" t="s">
        <v>813</v>
      </c>
      <c r="J2243">
        <f t="shared" ref="J2243:J2306" ca="1" si="142">SUMIF($N:$AI,C2243,AH:AH)</f>
        <v>45275</v>
      </c>
      <c r="K2243">
        <f t="shared" ref="K2243:K2306" ca="1" si="143">SUMIF($N:$AI,C2243,W:W)</f>
        <v>100</v>
      </c>
      <c r="N2243" t="str">
        <f t="shared" si="140"/>
        <v>South Tyneside33Borrowdale Extra CareBed based intermediate Care Services (Reablement, rehabilitation, wider short-term services supporting recovery)Bed-based intermediate care with reablement (to support discharge)</v>
      </c>
      <c r="O2243" t="s">
        <v>291</v>
      </c>
      <c r="P2243" t="s">
        <v>2195</v>
      </c>
      <c r="Q2243">
        <v>33</v>
      </c>
      <c r="R2243" t="s">
        <v>5772</v>
      </c>
      <c r="S2243" t="s">
        <v>6257</v>
      </c>
      <c r="T2243" t="s">
        <v>877</v>
      </c>
      <c r="U2243" t="s">
        <v>878</v>
      </c>
      <c r="W2243">
        <v>162</v>
      </c>
      <c r="X2243">
        <v>324</v>
      </c>
      <c r="Y2243" t="s">
        <v>879</v>
      </c>
      <c r="Z2243" t="s">
        <v>823</v>
      </c>
      <c r="AB2243" t="s">
        <v>824</v>
      </c>
      <c r="AD2243" t="s">
        <v>794</v>
      </c>
      <c r="AE2243" t="s">
        <v>824</v>
      </c>
      <c r="AF2243" t="s">
        <v>860</v>
      </c>
      <c r="AG2243" t="s">
        <v>861</v>
      </c>
      <c r="AH2243">
        <v>150000</v>
      </c>
      <c r="AI2243">
        <v>249000</v>
      </c>
      <c r="AJ2243">
        <v>0.11</v>
      </c>
    </row>
    <row r="2244" spans="1:36" x14ac:dyDescent="0.3">
      <c r="A2244">
        <f>COUNTIF($D$2:D2244,D2244)</f>
        <v>17</v>
      </c>
      <c r="B2244" t="str">
        <f t="shared" si="141"/>
        <v>17Sunderland</v>
      </c>
      <c r="C2244" t="s">
        <v>6258</v>
      </c>
      <c r="D2244" t="s">
        <v>311</v>
      </c>
      <c r="E2244">
        <v>5</v>
      </c>
      <c r="F2244" t="s">
        <v>6253</v>
      </c>
      <c r="G2244" t="s">
        <v>877</v>
      </c>
      <c r="H2244" t="s">
        <v>1259</v>
      </c>
      <c r="I2244" t="s">
        <v>879</v>
      </c>
      <c r="J2244">
        <f t="shared" ca="1" si="142"/>
        <v>4060146</v>
      </c>
      <c r="K2244">
        <f t="shared" ca="1" si="143"/>
        <v>1319</v>
      </c>
      <c r="N2244" t="str">
        <f t="shared" si="140"/>
        <v>South Tyneside34Community Equipment ServiceAssistive Technologies and EquipmentCommunity based equipment</v>
      </c>
      <c r="O2244" t="s">
        <v>291</v>
      </c>
      <c r="P2244" t="s">
        <v>2195</v>
      </c>
      <c r="Q2244">
        <v>34</v>
      </c>
      <c r="R2244" t="s">
        <v>1881</v>
      </c>
      <c r="S2244" t="s">
        <v>1051</v>
      </c>
      <c r="T2244" t="s">
        <v>800</v>
      </c>
      <c r="U2244" t="s">
        <v>903</v>
      </c>
      <c r="W2244">
        <v>6150</v>
      </c>
      <c r="X2244">
        <v>6750</v>
      </c>
      <c r="Y2244" t="s">
        <v>802</v>
      </c>
      <c r="Z2244" t="s">
        <v>792</v>
      </c>
      <c r="AB2244" t="s">
        <v>793</v>
      </c>
      <c r="AD2244" t="s">
        <v>794</v>
      </c>
      <c r="AE2244" t="s">
        <v>795</v>
      </c>
      <c r="AF2244" t="s">
        <v>860</v>
      </c>
      <c r="AG2244" t="s">
        <v>861</v>
      </c>
      <c r="AH2244">
        <v>200000</v>
      </c>
      <c r="AI2244">
        <v>332000</v>
      </c>
      <c r="AJ2244">
        <v>0.12</v>
      </c>
    </row>
    <row r="2245" spans="1:36" x14ac:dyDescent="0.3">
      <c r="A2245">
        <f>COUNTIF($D$2:D2245,D2245)</f>
        <v>18</v>
      </c>
      <c r="B2245" t="str">
        <f t="shared" si="141"/>
        <v>18Sunderland</v>
      </c>
      <c r="C2245" t="s">
        <v>6259</v>
      </c>
      <c r="D2245" t="s">
        <v>311</v>
      </c>
      <c r="E2245">
        <v>2</v>
      </c>
      <c r="F2245" t="s">
        <v>6245</v>
      </c>
      <c r="G2245" t="s">
        <v>806</v>
      </c>
      <c r="H2245" t="s">
        <v>873</v>
      </c>
      <c r="I2245" t="s">
        <v>808</v>
      </c>
      <c r="J2245">
        <f t="shared" ca="1" si="142"/>
        <v>876810</v>
      </c>
      <c r="K2245">
        <f t="shared" ca="1" si="143"/>
        <v>27</v>
      </c>
      <c r="N2245" t="str">
        <f t="shared" si="140"/>
        <v>Southampton7Live WellCarers ServicesRespite services</v>
      </c>
      <c r="O2245" t="s">
        <v>293</v>
      </c>
      <c r="P2245" t="s">
        <v>1437</v>
      </c>
      <c r="Q2245">
        <v>7</v>
      </c>
      <c r="R2245" t="s">
        <v>5779</v>
      </c>
      <c r="S2245" t="s">
        <v>6260</v>
      </c>
      <c r="T2245" t="s">
        <v>811</v>
      </c>
      <c r="U2245" t="s">
        <v>830</v>
      </c>
      <c r="W2245">
        <v>113</v>
      </c>
      <c r="X2245">
        <v>113</v>
      </c>
      <c r="Y2245" t="s">
        <v>813</v>
      </c>
      <c r="Z2245" t="s">
        <v>1061</v>
      </c>
      <c r="AB2245" t="s">
        <v>824</v>
      </c>
      <c r="AD2245" t="s">
        <v>794</v>
      </c>
      <c r="AE2245" t="s">
        <v>804</v>
      </c>
      <c r="AF2245" t="s">
        <v>796</v>
      </c>
      <c r="AG2245" t="s">
        <v>797</v>
      </c>
      <c r="AH2245">
        <v>13538842</v>
      </c>
      <c r="AI2245">
        <v>13538842</v>
      </c>
      <c r="AJ2245">
        <v>1</v>
      </c>
    </row>
    <row r="2246" spans="1:36" x14ac:dyDescent="0.3">
      <c r="A2246">
        <f>COUNTIF($D$2:D2246,D2246)</f>
        <v>19</v>
      </c>
      <c r="B2246" t="str">
        <f t="shared" si="141"/>
        <v>19Sunderland</v>
      </c>
      <c r="C2246" t="s">
        <v>6261</v>
      </c>
      <c r="D2246" t="s">
        <v>311</v>
      </c>
      <c r="E2246">
        <v>3</v>
      </c>
      <c r="F2246" t="s">
        <v>6229</v>
      </c>
      <c r="G2246" t="s">
        <v>787</v>
      </c>
      <c r="H2246" t="s">
        <v>886</v>
      </c>
      <c r="I2246" t="s">
        <v>789</v>
      </c>
      <c r="J2246">
        <f t="shared" ca="1" si="142"/>
        <v>290510</v>
      </c>
      <c r="K2246">
        <f t="shared" ca="1" si="143"/>
        <v>642</v>
      </c>
      <c r="N2246" t="str">
        <f t="shared" si="140"/>
        <v>Southampton18Live WellCarers ServicesRespite services</v>
      </c>
      <c r="O2246" t="s">
        <v>293</v>
      </c>
      <c r="P2246" t="s">
        <v>1437</v>
      </c>
      <c r="Q2246">
        <v>18</v>
      </c>
      <c r="R2246" t="s">
        <v>5779</v>
      </c>
      <c r="S2246" t="s">
        <v>6260</v>
      </c>
      <c r="T2246" t="s">
        <v>811</v>
      </c>
      <c r="U2246" t="s">
        <v>830</v>
      </c>
      <c r="W2246">
        <v>200</v>
      </c>
      <c r="X2246">
        <v>200</v>
      </c>
      <c r="Y2246" t="s">
        <v>813</v>
      </c>
      <c r="Z2246" t="s">
        <v>792</v>
      </c>
      <c r="AB2246" t="s">
        <v>793</v>
      </c>
      <c r="AD2246" t="s">
        <v>794</v>
      </c>
      <c r="AE2246" t="s">
        <v>804</v>
      </c>
      <c r="AF2246" t="s">
        <v>1029</v>
      </c>
      <c r="AG2246" t="s">
        <v>797</v>
      </c>
      <c r="AH2246">
        <v>24965900</v>
      </c>
      <c r="AI2246">
        <v>24965900</v>
      </c>
      <c r="AJ2246">
        <v>1</v>
      </c>
    </row>
    <row r="2247" spans="1:36" x14ac:dyDescent="0.3">
      <c r="A2247">
        <f>COUNTIF($D$2:D2247,D2247)</f>
        <v>20</v>
      </c>
      <c r="B2247" t="str">
        <f t="shared" si="141"/>
        <v>20Sunderland</v>
      </c>
      <c r="C2247" t="s">
        <v>6262</v>
      </c>
      <c r="D2247" t="s">
        <v>311</v>
      </c>
      <c r="E2247">
        <v>5</v>
      </c>
      <c r="F2247" t="s">
        <v>6253</v>
      </c>
      <c r="G2247" t="s">
        <v>787</v>
      </c>
      <c r="H2247" t="s">
        <v>788</v>
      </c>
      <c r="I2247" t="s">
        <v>789</v>
      </c>
      <c r="J2247">
        <f t="shared" ca="1" si="142"/>
        <v>564011</v>
      </c>
      <c r="K2247">
        <f t="shared" ca="1" si="143"/>
        <v>1244</v>
      </c>
      <c r="N2247" t="str">
        <f t="shared" si="140"/>
        <v>Southampton19Live WellCarers ServicesCarer advice and support related to Care Act duties</v>
      </c>
      <c r="O2247" t="s">
        <v>293</v>
      </c>
      <c r="P2247" t="s">
        <v>1437</v>
      </c>
      <c r="Q2247">
        <v>19</v>
      </c>
      <c r="R2247" t="s">
        <v>5779</v>
      </c>
      <c r="S2247" t="s">
        <v>6263</v>
      </c>
      <c r="T2247" t="s">
        <v>811</v>
      </c>
      <c r="U2247" t="s">
        <v>895</v>
      </c>
      <c r="W2247">
        <v>250</v>
      </c>
      <c r="X2247">
        <v>250</v>
      </c>
      <c r="Y2247" t="s">
        <v>813</v>
      </c>
      <c r="Z2247" t="s">
        <v>792</v>
      </c>
      <c r="AB2247" t="s">
        <v>793</v>
      </c>
      <c r="AD2247" t="s">
        <v>794</v>
      </c>
      <c r="AE2247" t="s">
        <v>825</v>
      </c>
      <c r="AF2247" t="s">
        <v>1029</v>
      </c>
      <c r="AG2247" t="s">
        <v>797</v>
      </c>
      <c r="AH2247">
        <v>183115</v>
      </c>
      <c r="AI2247">
        <v>183115</v>
      </c>
      <c r="AJ2247">
        <v>1</v>
      </c>
    </row>
    <row r="2248" spans="1:36" x14ac:dyDescent="0.3">
      <c r="A2248">
        <f>COUNTIF($D$2:D2248,D2248)</f>
        <v>21</v>
      </c>
      <c r="B2248" t="str">
        <f t="shared" si="141"/>
        <v>21Sunderland</v>
      </c>
      <c r="C2248" t="s">
        <v>6264</v>
      </c>
      <c r="D2248" t="s">
        <v>311</v>
      </c>
      <c r="E2248">
        <v>2</v>
      </c>
      <c r="F2248" t="s">
        <v>6245</v>
      </c>
      <c r="G2248" t="s">
        <v>877</v>
      </c>
      <c r="H2248" t="s">
        <v>968</v>
      </c>
      <c r="I2248" t="s">
        <v>879</v>
      </c>
      <c r="J2248">
        <f t="shared" ca="1" si="142"/>
        <v>529379</v>
      </c>
      <c r="K2248">
        <f t="shared" ca="1" si="143"/>
        <v>209</v>
      </c>
      <c r="N2248" t="str">
        <f t="shared" si="140"/>
        <v>Southampton26Age WellAssistive Technologies and EquipmentCommunity based equipment</v>
      </c>
      <c r="O2248" t="s">
        <v>293</v>
      </c>
      <c r="P2248" t="s">
        <v>1437</v>
      </c>
      <c r="Q2248">
        <v>26</v>
      </c>
      <c r="R2248" t="s">
        <v>5785</v>
      </c>
      <c r="S2248" t="s">
        <v>6265</v>
      </c>
      <c r="T2248" t="s">
        <v>800</v>
      </c>
      <c r="U2248" t="s">
        <v>903</v>
      </c>
      <c r="W2248">
        <v>6162</v>
      </c>
      <c r="X2248">
        <v>6162</v>
      </c>
      <c r="Y2248" t="s">
        <v>802</v>
      </c>
      <c r="Z2248" t="s">
        <v>792</v>
      </c>
      <c r="AB2248" t="s">
        <v>793</v>
      </c>
      <c r="AD2248" t="s">
        <v>794</v>
      </c>
      <c r="AE2248" t="s">
        <v>795</v>
      </c>
      <c r="AF2248" t="s">
        <v>1029</v>
      </c>
      <c r="AG2248" t="s">
        <v>797</v>
      </c>
      <c r="AH2248">
        <v>803959</v>
      </c>
      <c r="AI2248">
        <v>803959</v>
      </c>
      <c r="AJ2248">
        <v>1</v>
      </c>
    </row>
    <row r="2249" spans="1:36" x14ac:dyDescent="0.3">
      <c r="A2249">
        <f>COUNTIF($D$2:D2249,D2249)</f>
        <v>22</v>
      </c>
      <c r="B2249" t="str">
        <f t="shared" si="141"/>
        <v>22Sunderland</v>
      </c>
      <c r="C2249" t="s">
        <v>6266</v>
      </c>
      <c r="D2249" t="s">
        <v>311</v>
      </c>
      <c r="E2249">
        <v>2</v>
      </c>
      <c r="F2249" t="s">
        <v>6245</v>
      </c>
      <c r="G2249" t="s">
        <v>806</v>
      </c>
      <c r="H2249" t="s">
        <v>812</v>
      </c>
      <c r="I2249" t="s">
        <v>808</v>
      </c>
      <c r="J2249">
        <f t="shared" ca="1" si="142"/>
        <v>132502</v>
      </c>
      <c r="K2249">
        <f t="shared" ca="1" si="143"/>
        <v>55</v>
      </c>
      <c r="N2249" t="str">
        <f t="shared" si="140"/>
        <v>Southampton27Age WellDFG Related SchemesAdaptations, including statutory DFG grants</v>
      </c>
      <c r="O2249" t="s">
        <v>293</v>
      </c>
      <c r="P2249" t="s">
        <v>1437</v>
      </c>
      <c r="Q2249">
        <v>27</v>
      </c>
      <c r="R2249" t="s">
        <v>5785</v>
      </c>
      <c r="S2249" t="s">
        <v>6267</v>
      </c>
      <c r="T2249" t="s">
        <v>834</v>
      </c>
      <c r="U2249" t="s">
        <v>835</v>
      </c>
      <c r="W2249">
        <v>120</v>
      </c>
      <c r="X2249">
        <v>120</v>
      </c>
      <c r="Y2249" t="s">
        <v>836</v>
      </c>
      <c r="Z2249" t="s">
        <v>792</v>
      </c>
      <c r="AB2249" t="s">
        <v>793</v>
      </c>
      <c r="AD2249" t="s">
        <v>794</v>
      </c>
      <c r="AE2249" t="s">
        <v>795</v>
      </c>
      <c r="AF2249" t="s">
        <v>840</v>
      </c>
      <c r="AG2249" t="s">
        <v>797</v>
      </c>
      <c r="AH2249">
        <v>2513314</v>
      </c>
      <c r="AI2249">
        <v>2513314</v>
      </c>
      <c r="AJ2249">
        <v>1</v>
      </c>
    </row>
    <row r="2250" spans="1:36" x14ac:dyDescent="0.3">
      <c r="A2250">
        <f>COUNTIF($D$2:D2250,D2250)</f>
        <v>23</v>
      </c>
      <c r="B2250" t="str">
        <f t="shared" si="141"/>
        <v>23Sunderland</v>
      </c>
      <c r="C2250" t="s">
        <v>6268</v>
      </c>
      <c r="D2250" t="s">
        <v>311</v>
      </c>
      <c r="E2250">
        <v>4</v>
      </c>
      <c r="F2250" t="s">
        <v>6236</v>
      </c>
      <c r="G2250" t="s">
        <v>787</v>
      </c>
      <c r="H2250" t="s">
        <v>886</v>
      </c>
      <c r="I2250" t="s">
        <v>789</v>
      </c>
      <c r="J2250">
        <f t="shared" ca="1" si="142"/>
        <v>73041</v>
      </c>
      <c r="K2250">
        <f t="shared" ca="1" si="143"/>
        <v>161</v>
      </c>
      <c r="N2250" t="str">
        <f t="shared" si="140"/>
        <v>Southampton28EnablersHome Care or Domiciliary CareDomiciliary care packages</v>
      </c>
      <c r="O2250" t="s">
        <v>293</v>
      </c>
      <c r="P2250" t="s">
        <v>1437</v>
      </c>
      <c r="Q2250">
        <v>28</v>
      </c>
      <c r="R2250" t="s">
        <v>5790</v>
      </c>
      <c r="S2250" t="s">
        <v>6269</v>
      </c>
      <c r="T2250" t="s">
        <v>842</v>
      </c>
      <c r="U2250" t="s">
        <v>843</v>
      </c>
      <c r="W2250">
        <v>509752</v>
      </c>
      <c r="X2250">
        <v>509752</v>
      </c>
      <c r="Y2250" t="s">
        <v>844</v>
      </c>
      <c r="Z2250" t="s">
        <v>792</v>
      </c>
      <c r="AB2250" t="s">
        <v>793</v>
      </c>
      <c r="AD2250" t="s">
        <v>794</v>
      </c>
      <c r="AE2250" t="s">
        <v>804</v>
      </c>
      <c r="AF2250" t="s">
        <v>845</v>
      </c>
      <c r="AG2250" t="s">
        <v>797</v>
      </c>
      <c r="AH2250">
        <v>10704789</v>
      </c>
      <c r="AI2250">
        <v>10704789</v>
      </c>
      <c r="AJ2250">
        <v>1</v>
      </c>
    </row>
    <row r="2251" spans="1:36" x14ac:dyDescent="0.3">
      <c r="A2251">
        <f>COUNTIF($D$2:D2251,D2251)</f>
        <v>24</v>
      </c>
      <c r="B2251" t="str">
        <f t="shared" si="141"/>
        <v>24Sunderland</v>
      </c>
      <c r="C2251" t="s">
        <v>6270</v>
      </c>
      <c r="D2251" t="s">
        <v>311</v>
      </c>
      <c r="E2251">
        <v>4</v>
      </c>
      <c r="F2251" t="s">
        <v>6236</v>
      </c>
      <c r="G2251" t="s">
        <v>806</v>
      </c>
      <c r="H2251" t="s">
        <v>807</v>
      </c>
      <c r="I2251" t="s">
        <v>808</v>
      </c>
      <c r="J2251">
        <f t="shared" ca="1" si="142"/>
        <v>2983491</v>
      </c>
      <c r="K2251">
        <f t="shared" ca="1" si="143"/>
        <v>70</v>
      </c>
      <c r="N2251" t="str">
        <f t="shared" si="140"/>
        <v>Southampton33Live WellCarers ServicesRespite services</v>
      </c>
      <c r="O2251" t="s">
        <v>293</v>
      </c>
      <c r="P2251" t="s">
        <v>1437</v>
      </c>
      <c r="Q2251">
        <v>33</v>
      </c>
      <c r="R2251" t="s">
        <v>5779</v>
      </c>
      <c r="S2251" t="s">
        <v>2055</v>
      </c>
      <c r="T2251" t="s">
        <v>811</v>
      </c>
      <c r="U2251" t="s">
        <v>830</v>
      </c>
      <c r="W2251">
        <v>333</v>
      </c>
      <c r="X2251">
        <v>333</v>
      </c>
      <c r="Y2251" t="s">
        <v>813</v>
      </c>
      <c r="Z2251" t="s">
        <v>823</v>
      </c>
      <c r="AB2251" t="s">
        <v>824</v>
      </c>
      <c r="AD2251" t="s">
        <v>794</v>
      </c>
      <c r="AE2251" t="s">
        <v>804</v>
      </c>
      <c r="AF2251" t="s">
        <v>1042</v>
      </c>
      <c r="AG2251" t="s">
        <v>797</v>
      </c>
      <c r="AH2251">
        <v>1238000</v>
      </c>
      <c r="AI2251">
        <v>1238000</v>
      </c>
      <c r="AJ2251">
        <v>1</v>
      </c>
    </row>
    <row r="2252" spans="1:36" x14ac:dyDescent="0.3">
      <c r="A2252">
        <f>COUNTIF($D$2:D2252,D2252)</f>
        <v>25</v>
      </c>
      <c r="B2252" t="str">
        <f t="shared" si="141"/>
        <v>25Sunderland</v>
      </c>
      <c r="C2252" t="s">
        <v>6271</v>
      </c>
      <c r="D2252" t="s">
        <v>311</v>
      </c>
      <c r="E2252">
        <v>4</v>
      </c>
      <c r="F2252" t="s">
        <v>6253</v>
      </c>
      <c r="G2252" t="s">
        <v>787</v>
      </c>
      <c r="H2252" t="s">
        <v>788</v>
      </c>
      <c r="I2252" t="s">
        <v>789</v>
      </c>
      <c r="J2252">
        <f t="shared" ca="1" si="142"/>
        <v>1203835</v>
      </c>
      <c r="K2252">
        <f t="shared" ca="1" si="143"/>
        <v>2500</v>
      </c>
      <c r="N2252" t="str">
        <f t="shared" si="140"/>
        <v>Southampton34Age WellAssistive Technologies and EquipmentCommunity based equipment</v>
      </c>
      <c r="O2252" t="s">
        <v>293</v>
      </c>
      <c r="P2252" t="s">
        <v>1437</v>
      </c>
      <c r="Q2252">
        <v>34</v>
      </c>
      <c r="R2252" t="s">
        <v>5785</v>
      </c>
      <c r="S2252" t="s">
        <v>6272</v>
      </c>
      <c r="T2252" t="s">
        <v>800</v>
      </c>
      <c r="U2252" t="s">
        <v>903</v>
      </c>
      <c r="W2252">
        <v>7462</v>
      </c>
      <c r="X2252">
        <v>7462</v>
      </c>
      <c r="Y2252" t="s">
        <v>802</v>
      </c>
      <c r="Z2252" t="s">
        <v>823</v>
      </c>
      <c r="AB2252" t="s">
        <v>824</v>
      </c>
      <c r="AD2252" t="s">
        <v>794</v>
      </c>
      <c r="AE2252" t="s">
        <v>804</v>
      </c>
      <c r="AF2252" t="s">
        <v>1042</v>
      </c>
      <c r="AG2252" t="s">
        <v>797</v>
      </c>
      <c r="AH2252">
        <v>1497184</v>
      </c>
      <c r="AI2252">
        <v>1497184</v>
      </c>
      <c r="AJ2252">
        <v>1</v>
      </c>
    </row>
    <row r="2253" spans="1:36" x14ac:dyDescent="0.3">
      <c r="A2253">
        <f>COUNTIF($D$2:D2253,D2253)</f>
        <v>1</v>
      </c>
      <c r="B2253" t="str">
        <f t="shared" si="141"/>
        <v>1Surrey</v>
      </c>
      <c r="C2253" t="s">
        <v>6273</v>
      </c>
      <c r="D2253" t="s">
        <v>313</v>
      </c>
      <c r="E2253">
        <v>4</v>
      </c>
      <c r="F2253" t="s">
        <v>6274</v>
      </c>
      <c r="G2253" t="s">
        <v>811</v>
      </c>
      <c r="H2253" t="s">
        <v>830</v>
      </c>
      <c r="I2253" t="s">
        <v>813</v>
      </c>
      <c r="J2253">
        <f t="shared" ca="1" si="142"/>
        <v>380000</v>
      </c>
      <c r="K2253">
        <f t="shared" ca="1" si="143"/>
        <v>502</v>
      </c>
      <c r="N2253" t="str">
        <f t="shared" si="140"/>
        <v>Southend-on-Sea2Intermediate Care Beds (Brook Meadows)Bed based intermediate Care Services (Reablement, rehabilitation, wider short-term services supporting recovery)Bed-based intermediate care with rehabilitation accepting step up and step down users</v>
      </c>
      <c r="O2253" t="s">
        <v>295</v>
      </c>
      <c r="P2253" t="s">
        <v>1056</v>
      </c>
      <c r="Q2253">
        <v>2</v>
      </c>
      <c r="R2253" t="s">
        <v>5794</v>
      </c>
      <c r="S2253" t="s">
        <v>6275</v>
      </c>
      <c r="T2253" t="s">
        <v>877</v>
      </c>
      <c r="U2253" t="s">
        <v>1015</v>
      </c>
      <c r="W2253">
        <v>30</v>
      </c>
      <c r="X2253">
        <v>30</v>
      </c>
      <c r="Y2253" t="s">
        <v>808</v>
      </c>
      <c r="Z2253" t="s">
        <v>792</v>
      </c>
      <c r="AB2253" t="s">
        <v>793</v>
      </c>
      <c r="AD2253" t="s">
        <v>794</v>
      </c>
      <c r="AE2253" t="s">
        <v>795</v>
      </c>
      <c r="AF2253" t="s">
        <v>796</v>
      </c>
      <c r="AG2253" t="s">
        <v>797</v>
      </c>
      <c r="AH2253">
        <v>2009460.5</v>
      </c>
      <c r="AI2253">
        <v>2029556</v>
      </c>
      <c r="AJ2253">
        <v>0.7</v>
      </c>
    </row>
    <row r="2254" spans="1:36" x14ac:dyDescent="0.3">
      <c r="A2254">
        <f>COUNTIF($D$2:D2254,D2254)</f>
        <v>2</v>
      </c>
      <c r="B2254" t="str">
        <f t="shared" si="141"/>
        <v>2Surrey</v>
      </c>
      <c r="C2254" t="s">
        <v>6276</v>
      </c>
      <c r="D2254" t="s">
        <v>313</v>
      </c>
      <c r="E2254">
        <v>9</v>
      </c>
      <c r="F2254" t="s">
        <v>6277</v>
      </c>
      <c r="G2254" t="s">
        <v>800</v>
      </c>
      <c r="H2254" t="s">
        <v>907</v>
      </c>
      <c r="I2254" t="s">
        <v>802</v>
      </c>
      <c r="J2254">
        <f t="shared" ca="1" si="142"/>
        <v>67479</v>
      </c>
      <c r="K2254">
        <f t="shared" ca="1" si="143"/>
        <v>508</v>
      </c>
      <c r="N2254" t="str">
        <f t="shared" si="140"/>
        <v>Southend-on-Sea3Home CareHome Care or Domiciliary CareDomiciliary care packages</v>
      </c>
      <c r="O2254" t="s">
        <v>295</v>
      </c>
      <c r="P2254" t="s">
        <v>1056</v>
      </c>
      <c r="Q2254">
        <v>3</v>
      </c>
      <c r="R2254" t="s">
        <v>1447</v>
      </c>
      <c r="S2254" t="s">
        <v>6278</v>
      </c>
      <c r="T2254" t="s">
        <v>842</v>
      </c>
      <c r="U2254" t="s">
        <v>843</v>
      </c>
      <c r="W2254">
        <v>141100</v>
      </c>
      <c r="X2254">
        <v>141100</v>
      </c>
      <c r="Y2254" t="s">
        <v>844</v>
      </c>
      <c r="Z2254" t="s">
        <v>792</v>
      </c>
      <c r="AB2254" t="s">
        <v>793</v>
      </c>
      <c r="AD2254" t="s">
        <v>794</v>
      </c>
      <c r="AE2254" t="s">
        <v>795</v>
      </c>
      <c r="AF2254" t="s">
        <v>796</v>
      </c>
      <c r="AG2254" t="s">
        <v>797</v>
      </c>
      <c r="AH2254">
        <v>2551111</v>
      </c>
      <c r="AI2254">
        <v>2940455</v>
      </c>
      <c r="AJ2254">
        <v>0.34</v>
      </c>
    </row>
    <row r="2255" spans="1:36" x14ac:dyDescent="0.3">
      <c r="A2255">
        <f>COUNTIF($D$2:D2255,D2255)</f>
        <v>3</v>
      </c>
      <c r="B2255" t="str">
        <f t="shared" si="141"/>
        <v>3Surrey</v>
      </c>
      <c r="C2255" t="s">
        <v>6279</v>
      </c>
      <c r="D2255" t="s">
        <v>313</v>
      </c>
      <c r="E2255">
        <v>13</v>
      </c>
      <c r="F2255" t="s">
        <v>6280</v>
      </c>
      <c r="G2255" t="s">
        <v>800</v>
      </c>
      <c r="H2255" t="s">
        <v>850</v>
      </c>
      <c r="I2255" t="s">
        <v>802</v>
      </c>
      <c r="J2255">
        <f t="shared" ca="1" si="142"/>
        <v>120000</v>
      </c>
      <c r="K2255">
        <f t="shared" ca="1" si="143"/>
        <v>70</v>
      </c>
      <c r="N2255" t="str">
        <f t="shared" si="140"/>
        <v>Southend-on-Sea7Dementia SupportCarers ServicesCarer advice and support related to Care Act duties</v>
      </c>
      <c r="O2255" t="s">
        <v>295</v>
      </c>
      <c r="P2255" t="s">
        <v>1056</v>
      </c>
      <c r="Q2255">
        <v>7</v>
      </c>
      <c r="R2255" t="s">
        <v>2321</v>
      </c>
      <c r="S2255" t="s">
        <v>6281</v>
      </c>
      <c r="T2255" t="s">
        <v>811</v>
      </c>
      <c r="U2255" t="s">
        <v>895</v>
      </c>
      <c r="W2255">
        <v>1320</v>
      </c>
      <c r="X2255">
        <v>1320</v>
      </c>
      <c r="Y2255" t="s">
        <v>813</v>
      </c>
      <c r="Z2255" t="s">
        <v>792</v>
      </c>
      <c r="AB2255" t="s">
        <v>793</v>
      </c>
      <c r="AD2255" t="s">
        <v>794</v>
      </c>
      <c r="AE2255" t="s">
        <v>795</v>
      </c>
      <c r="AF2255" t="s">
        <v>796</v>
      </c>
      <c r="AG2255" t="s">
        <v>797</v>
      </c>
      <c r="AH2255">
        <v>250000</v>
      </c>
      <c r="AI2255">
        <v>250000</v>
      </c>
      <c r="AJ2255">
        <v>0.65</v>
      </c>
    </row>
    <row r="2256" spans="1:36" x14ac:dyDescent="0.3">
      <c r="A2256">
        <f>COUNTIF($D$2:D2256,D2256)</f>
        <v>4</v>
      </c>
      <c r="B2256" t="str">
        <f t="shared" si="141"/>
        <v>4Surrey</v>
      </c>
      <c r="C2256" t="s">
        <v>6282</v>
      </c>
      <c r="D2256" t="s">
        <v>313</v>
      </c>
      <c r="E2256">
        <v>18</v>
      </c>
      <c r="F2256" t="s">
        <v>6283</v>
      </c>
      <c r="G2256" t="s">
        <v>800</v>
      </c>
      <c r="H2256" t="s">
        <v>903</v>
      </c>
      <c r="I2256" t="s">
        <v>802</v>
      </c>
      <c r="J2256">
        <f t="shared" ca="1" si="142"/>
        <v>570610</v>
      </c>
      <c r="K2256">
        <f t="shared" ca="1" si="143"/>
        <v>1942</v>
      </c>
      <c r="N2256" t="str">
        <f t="shared" si="140"/>
        <v>Southend-on-Sea8Carers ContractCarers ServicesCarer advice and support related to Care Act duties</v>
      </c>
      <c r="O2256" t="s">
        <v>295</v>
      </c>
      <c r="P2256" t="s">
        <v>1056</v>
      </c>
      <c r="Q2256">
        <v>8</v>
      </c>
      <c r="R2256" t="s">
        <v>5800</v>
      </c>
      <c r="S2256" t="s">
        <v>6284</v>
      </c>
      <c r="T2256" t="s">
        <v>811</v>
      </c>
      <c r="U2256" t="s">
        <v>895</v>
      </c>
      <c r="W2256">
        <v>7371</v>
      </c>
      <c r="X2256">
        <v>7371</v>
      </c>
      <c r="Y2256" t="s">
        <v>813</v>
      </c>
      <c r="Z2256" t="s">
        <v>792</v>
      </c>
      <c r="AB2256" t="s">
        <v>793</v>
      </c>
      <c r="AD2256" t="s">
        <v>794</v>
      </c>
      <c r="AE2256" t="s">
        <v>795</v>
      </c>
      <c r="AF2256" t="s">
        <v>796</v>
      </c>
      <c r="AG2256" t="s">
        <v>797</v>
      </c>
      <c r="AH2256">
        <v>150000</v>
      </c>
      <c r="AI2256">
        <v>150000</v>
      </c>
      <c r="AJ2256">
        <v>0.47</v>
      </c>
    </row>
    <row r="2257" spans="1:36" x14ac:dyDescent="0.3">
      <c r="A2257">
        <f>COUNTIF($D$2:D2257,D2257)</f>
        <v>5</v>
      </c>
      <c r="B2257" t="str">
        <f t="shared" si="141"/>
        <v>5Surrey</v>
      </c>
      <c r="C2257" t="s">
        <v>6285</v>
      </c>
      <c r="D2257" t="s">
        <v>313</v>
      </c>
      <c r="E2257">
        <v>21</v>
      </c>
      <c r="F2257" t="s">
        <v>6286</v>
      </c>
      <c r="G2257" t="s">
        <v>834</v>
      </c>
      <c r="H2257" t="s">
        <v>835</v>
      </c>
      <c r="I2257" t="s">
        <v>836</v>
      </c>
      <c r="J2257">
        <f t="shared" ca="1" si="142"/>
        <v>1268237</v>
      </c>
      <c r="K2257">
        <f t="shared" ca="1" si="143"/>
        <v>224</v>
      </c>
      <c r="N2257" t="str">
        <f t="shared" si="140"/>
        <v>Southend-on-Sea11Residential ProvisionResidential PlacementsCare home</v>
      </c>
      <c r="O2257" t="s">
        <v>295</v>
      </c>
      <c r="P2257" t="s">
        <v>1056</v>
      </c>
      <c r="Q2257">
        <v>11</v>
      </c>
      <c r="R2257" t="s">
        <v>5803</v>
      </c>
      <c r="S2257" t="s">
        <v>6287</v>
      </c>
      <c r="T2257" t="s">
        <v>806</v>
      </c>
      <c r="U2257" t="s">
        <v>807</v>
      </c>
      <c r="W2257">
        <v>2500</v>
      </c>
      <c r="X2257">
        <v>2500</v>
      </c>
      <c r="Y2257" t="s">
        <v>808</v>
      </c>
      <c r="Z2257" t="s">
        <v>792</v>
      </c>
      <c r="AB2257" t="s">
        <v>793</v>
      </c>
      <c r="AD2257" t="s">
        <v>794</v>
      </c>
      <c r="AE2257" t="s">
        <v>795</v>
      </c>
      <c r="AF2257" t="s">
        <v>845</v>
      </c>
      <c r="AG2257" t="s">
        <v>797</v>
      </c>
      <c r="AH2257">
        <v>2087000</v>
      </c>
      <c r="AI2257">
        <v>2087000</v>
      </c>
      <c r="AJ2257">
        <v>0.18</v>
      </c>
    </row>
    <row r="2258" spans="1:36" x14ac:dyDescent="0.3">
      <c r="A2258">
        <f>COUNTIF($D$2:D2258,D2258)</f>
        <v>6</v>
      </c>
      <c r="B2258" t="str">
        <f t="shared" si="141"/>
        <v>6Surrey</v>
      </c>
      <c r="C2258" t="s">
        <v>6288</v>
      </c>
      <c r="D2258" t="s">
        <v>313</v>
      </c>
      <c r="E2258">
        <v>22</v>
      </c>
      <c r="F2258" t="s">
        <v>6289</v>
      </c>
      <c r="G2258" t="s">
        <v>806</v>
      </c>
      <c r="H2258" t="s">
        <v>812</v>
      </c>
      <c r="I2258" t="s">
        <v>808</v>
      </c>
      <c r="J2258">
        <f t="shared" ca="1" si="142"/>
        <v>1729975</v>
      </c>
      <c r="K2258">
        <f t="shared" ca="1" si="143"/>
        <v>38</v>
      </c>
      <c r="N2258" t="str">
        <f t="shared" si="140"/>
        <v>Southend-on-Sea12Home CareHome Care or Domiciliary CareDomiciliary care packages</v>
      </c>
      <c r="O2258" t="s">
        <v>295</v>
      </c>
      <c r="P2258" t="s">
        <v>1056</v>
      </c>
      <c r="Q2258">
        <v>12</v>
      </c>
      <c r="R2258" t="s">
        <v>1447</v>
      </c>
      <c r="S2258" t="s">
        <v>6278</v>
      </c>
      <c r="T2258" t="s">
        <v>842</v>
      </c>
      <c r="U2258" t="s">
        <v>843</v>
      </c>
      <c r="W2258">
        <v>81575</v>
      </c>
      <c r="X2258">
        <v>81575</v>
      </c>
      <c r="Y2258" t="s">
        <v>844</v>
      </c>
      <c r="Z2258" t="s">
        <v>792</v>
      </c>
      <c r="AB2258" t="s">
        <v>793</v>
      </c>
      <c r="AD2258" t="s">
        <v>794</v>
      </c>
      <c r="AE2258" t="s">
        <v>795</v>
      </c>
      <c r="AF2258" t="s">
        <v>845</v>
      </c>
      <c r="AG2258" t="s">
        <v>797</v>
      </c>
      <c r="AH2258">
        <v>2087000</v>
      </c>
      <c r="AI2258">
        <v>2087000</v>
      </c>
      <c r="AJ2258">
        <v>0.22</v>
      </c>
    </row>
    <row r="2259" spans="1:36" x14ac:dyDescent="0.3">
      <c r="A2259">
        <f>COUNTIF($D$2:D2259,D2259)</f>
        <v>7</v>
      </c>
      <c r="B2259" t="str">
        <f t="shared" si="141"/>
        <v>7Surrey</v>
      </c>
      <c r="C2259" t="s">
        <v>6290</v>
      </c>
      <c r="D2259" t="s">
        <v>313</v>
      </c>
      <c r="E2259">
        <v>23</v>
      </c>
      <c r="F2259" t="s">
        <v>6291</v>
      </c>
      <c r="G2259" t="s">
        <v>842</v>
      </c>
      <c r="H2259" t="s">
        <v>856</v>
      </c>
      <c r="I2259" t="s">
        <v>844</v>
      </c>
      <c r="J2259">
        <f t="shared" ca="1" si="142"/>
        <v>760755</v>
      </c>
      <c r="K2259">
        <f t="shared" ca="1" si="143"/>
        <v>31711</v>
      </c>
      <c r="N2259" t="str">
        <f t="shared" si="140"/>
        <v>Southend-on-Sea13Southend Reablement ServiceHome-based intermediate care servicesReablement at home (accepting step up and step down users)</v>
      </c>
      <c r="O2259" t="s">
        <v>295</v>
      </c>
      <c r="P2259" t="s">
        <v>1056</v>
      </c>
      <c r="Q2259">
        <v>13</v>
      </c>
      <c r="R2259" t="s">
        <v>5807</v>
      </c>
      <c r="S2259" t="s">
        <v>6292</v>
      </c>
      <c r="T2259" t="s">
        <v>787</v>
      </c>
      <c r="U2259" t="s">
        <v>930</v>
      </c>
      <c r="W2259">
        <v>30</v>
      </c>
      <c r="X2259">
        <v>30</v>
      </c>
      <c r="Y2259" t="s">
        <v>789</v>
      </c>
      <c r="Z2259" t="s">
        <v>792</v>
      </c>
      <c r="AB2259" t="s">
        <v>793</v>
      </c>
      <c r="AD2259" t="s">
        <v>794</v>
      </c>
      <c r="AE2259" t="s">
        <v>795</v>
      </c>
      <c r="AF2259" t="s">
        <v>845</v>
      </c>
      <c r="AG2259" t="s">
        <v>797</v>
      </c>
      <c r="AH2259">
        <v>770012</v>
      </c>
      <c r="AI2259">
        <v>770012</v>
      </c>
      <c r="AJ2259">
        <v>0.5</v>
      </c>
    </row>
    <row r="2260" spans="1:36" x14ac:dyDescent="0.3">
      <c r="A2260">
        <f>COUNTIF($D$2:D2260,D2260)</f>
        <v>8</v>
      </c>
      <c r="B2260" t="str">
        <f t="shared" si="141"/>
        <v>8Surrey</v>
      </c>
      <c r="C2260" t="s">
        <v>6293</v>
      </c>
      <c r="D2260" t="s">
        <v>313</v>
      </c>
      <c r="E2260">
        <v>25</v>
      </c>
      <c r="F2260" t="s">
        <v>6294</v>
      </c>
      <c r="G2260" t="s">
        <v>842</v>
      </c>
      <c r="H2260" t="s">
        <v>856</v>
      </c>
      <c r="I2260" t="s">
        <v>844</v>
      </c>
      <c r="J2260">
        <f t="shared" ca="1" si="142"/>
        <v>472253</v>
      </c>
      <c r="K2260">
        <f t="shared" ca="1" si="143"/>
        <v>19685</v>
      </c>
      <c r="N2260" t="str">
        <f t="shared" si="140"/>
        <v>Southend-on-Sea16Disabled Facilities GrantAssistive Technologies and EquipmentAssistive technologies including telecare</v>
      </c>
      <c r="O2260" t="s">
        <v>295</v>
      </c>
      <c r="P2260" t="s">
        <v>1056</v>
      </c>
      <c r="Q2260">
        <v>16</v>
      </c>
      <c r="R2260" t="s">
        <v>891</v>
      </c>
      <c r="S2260" t="s">
        <v>6295</v>
      </c>
      <c r="T2260" t="s">
        <v>800</v>
      </c>
      <c r="U2260" t="s">
        <v>850</v>
      </c>
      <c r="W2260">
        <v>90</v>
      </c>
      <c r="X2260">
        <v>90</v>
      </c>
      <c r="Y2260" t="s">
        <v>802</v>
      </c>
      <c r="Z2260" t="s">
        <v>792</v>
      </c>
      <c r="AB2260" t="s">
        <v>793</v>
      </c>
      <c r="AD2260" t="s">
        <v>794</v>
      </c>
      <c r="AE2260" t="s">
        <v>795</v>
      </c>
      <c r="AF2260" t="s">
        <v>840</v>
      </c>
      <c r="AG2260" t="s">
        <v>797</v>
      </c>
      <c r="AH2260">
        <v>1721065</v>
      </c>
      <c r="AI2260">
        <v>1721065</v>
      </c>
      <c r="AJ2260">
        <v>1</v>
      </c>
    </row>
    <row r="2261" spans="1:36" x14ac:dyDescent="0.3">
      <c r="A2261">
        <f>COUNTIF($D$2:D2261,D2261)</f>
        <v>9</v>
      </c>
      <c r="B2261" t="str">
        <f t="shared" si="141"/>
        <v>9Surrey</v>
      </c>
      <c r="C2261" t="s">
        <v>6296</v>
      </c>
      <c r="D2261" t="s">
        <v>313</v>
      </c>
      <c r="E2261">
        <v>29</v>
      </c>
      <c r="F2261" t="s">
        <v>6297</v>
      </c>
      <c r="G2261" t="s">
        <v>811</v>
      </c>
      <c r="H2261" t="s">
        <v>830</v>
      </c>
      <c r="I2261" t="s">
        <v>813</v>
      </c>
      <c r="J2261">
        <f t="shared" ca="1" si="142"/>
        <v>435000</v>
      </c>
      <c r="K2261">
        <f t="shared" ca="1" si="143"/>
        <v>575</v>
      </c>
      <c r="N2261" t="str">
        <f t="shared" si="140"/>
        <v>Southend-on-Sea23Southend Care Ltd Enhanced Reablement Capacity Home Care or Domiciliary CareDomiciliary care packages</v>
      </c>
      <c r="O2261" t="s">
        <v>295</v>
      </c>
      <c r="P2261" t="s">
        <v>1056</v>
      </c>
      <c r="Q2261">
        <v>23</v>
      </c>
      <c r="R2261" t="s">
        <v>5810</v>
      </c>
      <c r="S2261" t="s">
        <v>6292</v>
      </c>
      <c r="T2261" t="s">
        <v>842</v>
      </c>
      <c r="U2261" t="s">
        <v>843</v>
      </c>
      <c r="W2261">
        <v>3870</v>
      </c>
      <c r="X2261">
        <v>3870</v>
      </c>
      <c r="Y2261" t="s">
        <v>844</v>
      </c>
      <c r="Z2261" t="s">
        <v>792</v>
      </c>
      <c r="AB2261" t="s">
        <v>793</v>
      </c>
      <c r="AD2261" t="s">
        <v>794</v>
      </c>
      <c r="AE2261" t="s">
        <v>795</v>
      </c>
      <c r="AF2261" t="s">
        <v>864</v>
      </c>
      <c r="AG2261" t="s">
        <v>797</v>
      </c>
      <c r="AH2261">
        <v>100000</v>
      </c>
      <c r="AI2261">
        <v>100000</v>
      </c>
      <c r="AJ2261">
        <v>1</v>
      </c>
    </row>
    <row r="2262" spans="1:36" x14ac:dyDescent="0.3">
      <c r="A2262">
        <f>COUNTIF($D$2:D2262,D2262)</f>
        <v>10</v>
      </c>
      <c r="B2262" t="str">
        <f t="shared" si="141"/>
        <v>10Surrey</v>
      </c>
      <c r="C2262" t="s">
        <v>6298</v>
      </c>
      <c r="D2262" t="s">
        <v>313</v>
      </c>
      <c r="E2262">
        <v>38</v>
      </c>
      <c r="F2262" t="s">
        <v>6299</v>
      </c>
      <c r="G2262" t="s">
        <v>842</v>
      </c>
      <c r="H2262" t="s">
        <v>856</v>
      </c>
      <c r="I2262" t="s">
        <v>844</v>
      </c>
      <c r="J2262">
        <f t="shared" ca="1" si="142"/>
        <v>194190</v>
      </c>
      <c r="K2262">
        <f t="shared" ca="1" si="143"/>
        <v>8095</v>
      </c>
      <c r="N2262" t="str">
        <f t="shared" si="140"/>
        <v>Southend-on-Sea28MSE ICB - Community ServicesBed based intermediate Care Services (Reablement, rehabilitation, wider short-term services supporting recovery)Bed-based intermediate care with reablement accepting step up and step down users</v>
      </c>
      <c r="O2262" t="s">
        <v>295</v>
      </c>
      <c r="P2262" t="s">
        <v>1056</v>
      </c>
      <c r="Q2262">
        <v>28</v>
      </c>
      <c r="R2262" t="s">
        <v>5812</v>
      </c>
      <c r="S2262" t="s">
        <v>1183</v>
      </c>
      <c r="T2262" t="s">
        <v>877</v>
      </c>
      <c r="U2262" t="s">
        <v>1259</v>
      </c>
      <c r="W2262">
        <v>14</v>
      </c>
      <c r="X2262">
        <v>14</v>
      </c>
      <c r="Y2262" t="s">
        <v>808</v>
      </c>
      <c r="Z2262" t="s">
        <v>823</v>
      </c>
      <c r="AB2262" t="s">
        <v>824</v>
      </c>
      <c r="AD2262" t="s">
        <v>794</v>
      </c>
      <c r="AE2262" t="s">
        <v>832</v>
      </c>
      <c r="AF2262" t="s">
        <v>796</v>
      </c>
      <c r="AG2262" t="s">
        <v>797</v>
      </c>
      <c r="AH2262">
        <v>1502737</v>
      </c>
      <c r="AI2262">
        <v>1587792</v>
      </c>
      <c r="AJ2262">
        <v>1</v>
      </c>
    </row>
    <row r="2263" spans="1:36" x14ac:dyDescent="0.3">
      <c r="A2263">
        <f>COUNTIF($D$2:D2263,D2263)</f>
        <v>11</v>
      </c>
      <c r="B2263" t="str">
        <f t="shared" si="141"/>
        <v>11Surrey</v>
      </c>
      <c r="C2263" t="s">
        <v>6300</v>
      </c>
      <c r="D2263" t="s">
        <v>313</v>
      </c>
      <c r="E2263">
        <v>45</v>
      </c>
      <c r="F2263" t="s">
        <v>6301</v>
      </c>
      <c r="G2263" t="s">
        <v>800</v>
      </c>
      <c r="H2263" t="s">
        <v>850</v>
      </c>
      <c r="I2263" t="s">
        <v>802</v>
      </c>
      <c r="J2263">
        <f t="shared" ca="1" si="142"/>
        <v>107000</v>
      </c>
      <c r="K2263">
        <f t="shared" ca="1" si="143"/>
        <v>63</v>
      </c>
      <c r="N2263" t="str">
        <f t="shared" si="140"/>
        <v>Southend-on-Sea30MSE ICB - Community ServicesHome-based intermediate care servicesRehabilitation at home (accepting step up and step down users)</v>
      </c>
      <c r="O2263" t="s">
        <v>295</v>
      </c>
      <c r="P2263" t="s">
        <v>1056</v>
      </c>
      <c r="Q2263">
        <v>30</v>
      </c>
      <c r="R2263" t="s">
        <v>5812</v>
      </c>
      <c r="S2263" t="s">
        <v>3071</v>
      </c>
      <c r="T2263" t="s">
        <v>787</v>
      </c>
      <c r="U2263" t="s">
        <v>1688</v>
      </c>
      <c r="W2263">
        <v>29</v>
      </c>
      <c r="X2263">
        <v>29</v>
      </c>
      <c r="Y2263" t="s">
        <v>789</v>
      </c>
      <c r="Z2263" t="s">
        <v>823</v>
      </c>
      <c r="AB2263" t="s">
        <v>824</v>
      </c>
      <c r="AD2263" t="s">
        <v>794</v>
      </c>
      <c r="AE2263" t="s">
        <v>832</v>
      </c>
      <c r="AF2263" t="s">
        <v>796</v>
      </c>
      <c r="AG2263" t="s">
        <v>797</v>
      </c>
      <c r="AH2263">
        <v>769186</v>
      </c>
      <c r="AI2263">
        <v>812722</v>
      </c>
      <c r="AJ2263">
        <v>1</v>
      </c>
    </row>
    <row r="2264" spans="1:36" x14ac:dyDescent="0.3">
      <c r="A2264">
        <f>COUNTIF($D$2:D2264,D2264)</f>
        <v>12</v>
      </c>
      <c r="B2264" t="str">
        <f t="shared" si="141"/>
        <v>12Surrey</v>
      </c>
      <c r="C2264" t="s">
        <v>6302</v>
      </c>
      <c r="D2264" t="s">
        <v>313</v>
      </c>
      <c r="E2264">
        <v>50</v>
      </c>
      <c r="F2264" t="s">
        <v>6303</v>
      </c>
      <c r="G2264" t="s">
        <v>800</v>
      </c>
      <c r="H2264" t="s">
        <v>903</v>
      </c>
      <c r="I2264" t="s">
        <v>802</v>
      </c>
      <c r="J2264">
        <f t="shared" ca="1" si="142"/>
        <v>675568</v>
      </c>
      <c r="K2264">
        <f t="shared" ca="1" si="143"/>
        <v>2299</v>
      </c>
      <c r="N2264" t="str">
        <f t="shared" si="140"/>
        <v>Southwark2Admissions avoidance - ERR and @home  Home-based intermediate care servicesRehabilitation at home (accepting step up and step down users)</v>
      </c>
      <c r="O2264" t="s">
        <v>297</v>
      </c>
      <c r="P2264" t="s">
        <v>790</v>
      </c>
      <c r="Q2264">
        <v>2</v>
      </c>
      <c r="R2264" t="s">
        <v>5816</v>
      </c>
      <c r="S2264" t="s">
        <v>6304</v>
      </c>
      <c r="T2264" t="s">
        <v>787</v>
      </c>
      <c r="U2264" t="s">
        <v>1688</v>
      </c>
      <c r="W2264">
        <v>2100</v>
      </c>
      <c r="X2264">
        <v>2100</v>
      </c>
      <c r="Y2264" t="s">
        <v>789</v>
      </c>
      <c r="Z2264" t="s">
        <v>823</v>
      </c>
      <c r="AB2264" t="s">
        <v>824</v>
      </c>
      <c r="AD2264" t="s">
        <v>794</v>
      </c>
      <c r="AE2264" t="s">
        <v>832</v>
      </c>
      <c r="AF2264" t="s">
        <v>796</v>
      </c>
      <c r="AG2264" t="s">
        <v>797</v>
      </c>
      <c r="AH2264">
        <v>5044499</v>
      </c>
      <c r="AI2264">
        <v>5330018</v>
      </c>
      <c r="AJ2264">
        <v>0.48649999999999999</v>
      </c>
    </row>
    <row r="2265" spans="1:36" x14ac:dyDescent="0.3">
      <c r="A2265">
        <f>COUNTIF($D$2:D2265,D2265)</f>
        <v>13</v>
      </c>
      <c r="B2265" t="str">
        <f t="shared" si="141"/>
        <v>13Surrey</v>
      </c>
      <c r="C2265" t="s">
        <v>6305</v>
      </c>
      <c r="D2265" t="s">
        <v>313</v>
      </c>
      <c r="E2265">
        <v>54</v>
      </c>
      <c r="F2265" t="s">
        <v>6306</v>
      </c>
      <c r="G2265" t="s">
        <v>834</v>
      </c>
      <c r="H2265" t="s">
        <v>835</v>
      </c>
      <c r="I2265" t="s">
        <v>836</v>
      </c>
      <c r="J2265">
        <f t="shared" ca="1" si="142"/>
        <v>1253448</v>
      </c>
      <c r="K2265">
        <f t="shared" ca="1" si="143"/>
        <v>222</v>
      </c>
      <c r="N2265" t="str">
        <f t="shared" si="140"/>
        <v>Southwark14Community Equipment ServiceAssistive Technologies and EquipmentCommunity based equipment</v>
      </c>
      <c r="O2265" t="s">
        <v>297</v>
      </c>
      <c r="P2265" t="s">
        <v>790</v>
      </c>
      <c r="Q2265">
        <v>14</v>
      </c>
      <c r="R2265" t="s">
        <v>1881</v>
      </c>
      <c r="S2265" t="s">
        <v>6307</v>
      </c>
      <c r="T2265" t="s">
        <v>800</v>
      </c>
      <c r="U2265" t="s">
        <v>903</v>
      </c>
      <c r="W2265">
        <v>2862</v>
      </c>
      <c r="X2265">
        <v>3120</v>
      </c>
      <c r="Y2265" t="s">
        <v>802</v>
      </c>
      <c r="Z2265" t="s">
        <v>823</v>
      </c>
      <c r="AB2265" t="s">
        <v>824</v>
      </c>
      <c r="AD2265" t="s">
        <v>794</v>
      </c>
      <c r="AE2265" t="s">
        <v>804</v>
      </c>
      <c r="AF2265" t="s">
        <v>1042</v>
      </c>
      <c r="AG2265" t="s">
        <v>797</v>
      </c>
      <c r="AH2265">
        <v>1200520</v>
      </c>
      <c r="AI2265">
        <v>1200520</v>
      </c>
      <c r="AJ2265">
        <v>1</v>
      </c>
    </row>
    <row r="2266" spans="1:36" x14ac:dyDescent="0.3">
      <c r="A2266">
        <f>COUNTIF($D$2:D2266,D2266)</f>
        <v>14</v>
      </c>
      <c r="B2266" t="str">
        <f t="shared" si="141"/>
        <v>14Surrey</v>
      </c>
      <c r="C2266" t="s">
        <v>6308</v>
      </c>
      <c r="D2266" t="s">
        <v>313</v>
      </c>
      <c r="E2266">
        <v>55</v>
      </c>
      <c r="F2266" t="s">
        <v>6309</v>
      </c>
      <c r="G2266" t="s">
        <v>806</v>
      </c>
      <c r="H2266" t="s">
        <v>812</v>
      </c>
      <c r="I2266" t="s">
        <v>808</v>
      </c>
      <c r="J2266">
        <f t="shared" ca="1" si="142"/>
        <v>1981153</v>
      </c>
      <c r="K2266">
        <f t="shared" ca="1" si="143"/>
        <v>43</v>
      </c>
      <c r="N2266" t="str">
        <f t="shared" si="140"/>
        <v>Southwark15Community Equipment ServiceAssistive Technologies and EquipmentCommunity based equipment</v>
      </c>
      <c r="O2266" t="s">
        <v>297</v>
      </c>
      <c r="P2266" t="s">
        <v>790</v>
      </c>
      <c r="Q2266">
        <v>15</v>
      </c>
      <c r="R2266" t="s">
        <v>1881</v>
      </c>
      <c r="S2266" t="s">
        <v>6310</v>
      </c>
      <c r="T2266" t="s">
        <v>800</v>
      </c>
      <c r="U2266" t="s">
        <v>903</v>
      </c>
      <c r="W2266">
        <v>807</v>
      </c>
      <c r="X2266">
        <v>880</v>
      </c>
      <c r="Y2266" t="s">
        <v>802</v>
      </c>
      <c r="Z2266" t="s">
        <v>823</v>
      </c>
      <c r="AB2266" t="s">
        <v>824</v>
      </c>
      <c r="AD2266" t="s">
        <v>794</v>
      </c>
      <c r="AE2266" t="s">
        <v>804</v>
      </c>
      <c r="AF2266" t="s">
        <v>796</v>
      </c>
      <c r="AG2266" t="s">
        <v>797</v>
      </c>
      <c r="AH2266">
        <v>296427</v>
      </c>
      <c r="AI2266">
        <v>313205</v>
      </c>
      <c r="AJ2266">
        <v>1</v>
      </c>
    </row>
    <row r="2267" spans="1:36" x14ac:dyDescent="0.3">
      <c r="A2267">
        <f>COUNTIF($D$2:D2267,D2267)</f>
        <v>15</v>
      </c>
      <c r="B2267" t="str">
        <f t="shared" si="141"/>
        <v>15Surrey</v>
      </c>
      <c r="C2267" t="s">
        <v>6311</v>
      </c>
      <c r="D2267" t="s">
        <v>313</v>
      </c>
      <c r="E2267">
        <v>56</v>
      </c>
      <c r="F2267" t="s">
        <v>6312</v>
      </c>
      <c r="G2267" t="s">
        <v>877</v>
      </c>
      <c r="H2267" t="s">
        <v>968</v>
      </c>
      <c r="I2267" t="s">
        <v>879</v>
      </c>
      <c r="J2267">
        <f t="shared" ca="1" si="142"/>
        <v>3686198</v>
      </c>
      <c r="K2267">
        <f t="shared" ca="1" si="143"/>
        <v>614</v>
      </c>
      <c r="N2267" t="str">
        <f t="shared" si="140"/>
        <v>Southwark18Homecare Quality ImprovementHome Care or Domiciliary CareDomiciliary care packages</v>
      </c>
      <c r="O2267" t="s">
        <v>297</v>
      </c>
      <c r="P2267" t="s">
        <v>790</v>
      </c>
      <c r="Q2267">
        <v>18</v>
      </c>
      <c r="R2267" t="s">
        <v>5822</v>
      </c>
      <c r="S2267" t="s">
        <v>842</v>
      </c>
      <c r="T2267" t="s">
        <v>842</v>
      </c>
      <c r="U2267" t="s">
        <v>843</v>
      </c>
      <c r="W2267">
        <v>107309</v>
      </c>
      <c r="X2267">
        <v>113699</v>
      </c>
      <c r="Y2267" t="s">
        <v>844</v>
      </c>
      <c r="Z2267" t="s">
        <v>792</v>
      </c>
      <c r="AB2267" t="s">
        <v>793</v>
      </c>
      <c r="AD2267" t="s">
        <v>794</v>
      </c>
      <c r="AE2267" t="s">
        <v>804</v>
      </c>
      <c r="AF2267" t="s">
        <v>796</v>
      </c>
      <c r="AG2267" t="s">
        <v>797</v>
      </c>
      <c r="AH2267">
        <v>2114000</v>
      </c>
      <c r="AI2267">
        <v>2330840</v>
      </c>
      <c r="AJ2267">
        <v>0.10675958892003132</v>
      </c>
    </row>
    <row r="2268" spans="1:36" x14ac:dyDescent="0.3">
      <c r="A2268">
        <f>COUNTIF($D$2:D2268,D2268)</f>
        <v>16</v>
      </c>
      <c r="B2268" t="str">
        <f t="shared" si="141"/>
        <v>16Surrey</v>
      </c>
      <c r="C2268" t="s">
        <v>6313</v>
      </c>
      <c r="D2268" t="s">
        <v>313</v>
      </c>
      <c r="E2268">
        <v>61</v>
      </c>
      <c r="F2268" t="s">
        <v>6314</v>
      </c>
      <c r="G2268" t="s">
        <v>811</v>
      </c>
      <c r="H2268" t="s">
        <v>830</v>
      </c>
      <c r="I2268" t="s">
        <v>813</v>
      </c>
      <c r="J2268">
        <f t="shared" ca="1" si="142"/>
        <v>621000</v>
      </c>
      <c r="K2268">
        <f t="shared" ca="1" si="143"/>
        <v>821</v>
      </c>
      <c r="N2268" t="str">
        <f t="shared" si="140"/>
        <v>Southwark19Residential &amp; Nursing Residential PlacementsCare home</v>
      </c>
      <c r="O2268" t="s">
        <v>297</v>
      </c>
      <c r="P2268" t="s">
        <v>790</v>
      </c>
      <c r="Q2268">
        <v>19</v>
      </c>
      <c r="R2268" t="s">
        <v>5825</v>
      </c>
      <c r="S2268" t="s">
        <v>6315</v>
      </c>
      <c r="T2268" t="s">
        <v>806</v>
      </c>
      <c r="U2268" t="s">
        <v>807</v>
      </c>
      <c r="W2268">
        <v>55</v>
      </c>
      <c r="X2268">
        <v>55</v>
      </c>
      <c r="Y2268" t="s">
        <v>808</v>
      </c>
      <c r="Z2268" t="s">
        <v>792</v>
      </c>
      <c r="AB2268" t="s">
        <v>793</v>
      </c>
      <c r="AD2268" t="s">
        <v>794</v>
      </c>
      <c r="AE2268" t="s">
        <v>804</v>
      </c>
      <c r="AF2268" t="s">
        <v>796</v>
      </c>
      <c r="AG2268" t="s">
        <v>797</v>
      </c>
      <c r="AH2268">
        <v>2691938.5061123762</v>
      </c>
      <c r="AI2268">
        <v>2943454.816479119</v>
      </c>
      <c r="AJ2268">
        <v>0.12433321814753943</v>
      </c>
    </row>
    <row r="2269" spans="1:36" x14ac:dyDescent="0.3">
      <c r="A2269">
        <f>COUNTIF($D$2:D2269,D2269)</f>
        <v>17</v>
      </c>
      <c r="B2269" t="str">
        <f t="shared" si="141"/>
        <v>17Surrey</v>
      </c>
      <c r="C2269" t="s">
        <v>6316</v>
      </c>
      <c r="D2269" t="s">
        <v>313</v>
      </c>
      <c r="E2269">
        <v>70</v>
      </c>
      <c r="F2269" t="s">
        <v>6317</v>
      </c>
      <c r="G2269" t="s">
        <v>842</v>
      </c>
      <c r="H2269" t="s">
        <v>856</v>
      </c>
      <c r="I2269" t="s">
        <v>844</v>
      </c>
      <c r="J2269">
        <f t="shared" ca="1" si="142"/>
        <v>790512</v>
      </c>
      <c r="K2269">
        <f t="shared" ca="1" si="143"/>
        <v>32952</v>
      </c>
      <c r="N2269" t="str">
        <f t="shared" si="140"/>
        <v>Southwark20Protect Adult Social Care - Residential CareResidential PlacementsCare home</v>
      </c>
      <c r="O2269" t="s">
        <v>297</v>
      </c>
      <c r="P2269" t="s">
        <v>790</v>
      </c>
      <c r="Q2269">
        <v>20</v>
      </c>
      <c r="R2269" t="s">
        <v>5829</v>
      </c>
      <c r="S2269" t="s">
        <v>2262</v>
      </c>
      <c r="T2269" t="s">
        <v>806</v>
      </c>
      <c r="U2269" t="s">
        <v>807</v>
      </c>
      <c r="W2269">
        <v>48</v>
      </c>
      <c r="X2269">
        <v>48</v>
      </c>
      <c r="Y2269" t="s">
        <v>808</v>
      </c>
      <c r="Z2269" t="s">
        <v>792</v>
      </c>
      <c r="AB2269" t="s">
        <v>793</v>
      </c>
      <c r="AD2269" t="s">
        <v>794</v>
      </c>
      <c r="AE2269" t="s">
        <v>804</v>
      </c>
      <c r="AF2269" t="s">
        <v>796</v>
      </c>
      <c r="AG2269" t="s">
        <v>797</v>
      </c>
      <c r="AH2269">
        <v>2254876.6</v>
      </c>
      <c r="AI2269">
        <v>2479452.196</v>
      </c>
      <c r="AJ2269">
        <v>0.2212398547880691</v>
      </c>
    </row>
    <row r="2270" spans="1:36" x14ac:dyDescent="0.3">
      <c r="A2270">
        <f>COUNTIF($D$2:D2270,D2270)</f>
        <v>18</v>
      </c>
      <c r="B2270" t="str">
        <f t="shared" si="141"/>
        <v>18Surrey</v>
      </c>
      <c r="C2270" t="s">
        <v>6318</v>
      </c>
      <c r="D2270" t="s">
        <v>313</v>
      </c>
      <c r="E2270">
        <v>71</v>
      </c>
      <c r="F2270" t="s">
        <v>6319</v>
      </c>
      <c r="G2270" t="s">
        <v>800</v>
      </c>
      <c r="H2270" t="s">
        <v>907</v>
      </c>
      <c r="I2270" t="s">
        <v>802</v>
      </c>
      <c r="J2270">
        <f t="shared" ca="1" si="142"/>
        <v>62443</v>
      </c>
      <c r="K2270">
        <f t="shared" ca="1" si="143"/>
        <v>470</v>
      </c>
      <c r="N2270" t="str">
        <f t="shared" si="140"/>
        <v>Southwark21Mobilisation - Intermediate and Nursing CareResidential PlacementsCare home</v>
      </c>
      <c r="O2270" t="s">
        <v>297</v>
      </c>
      <c r="P2270" t="s">
        <v>790</v>
      </c>
      <c r="Q2270">
        <v>21</v>
      </c>
      <c r="R2270" t="s">
        <v>5831</v>
      </c>
      <c r="S2270" t="s">
        <v>6320</v>
      </c>
      <c r="T2270" t="s">
        <v>806</v>
      </c>
      <c r="U2270" t="s">
        <v>807</v>
      </c>
      <c r="W2270">
        <v>2</v>
      </c>
      <c r="X2270">
        <v>2</v>
      </c>
      <c r="Y2270" t="s">
        <v>808</v>
      </c>
      <c r="Z2270" t="s">
        <v>792</v>
      </c>
      <c r="AB2270" t="s">
        <v>793</v>
      </c>
      <c r="AD2270" t="s">
        <v>794</v>
      </c>
      <c r="AE2270" t="s">
        <v>804</v>
      </c>
      <c r="AF2270" t="s">
        <v>796</v>
      </c>
      <c r="AG2270" t="s">
        <v>861</v>
      </c>
      <c r="AH2270">
        <v>100000</v>
      </c>
      <c r="AI2270">
        <v>100000</v>
      </c>
      <c r="AJ2270">
        <v>7.4194984419053284E-3</v>
      </c>
    </row>
    <row r="2271" spans="1:36" x14ac:dyDescent="0.3">
      <c r="A2271">
        <f>COUNTIF($D$2:D2271,D2271)</f>
        <v>19</v>
      </c>
      <c r="B2271" t="str">
        <f t="shared" si="141"/>
        <v>19Surrey</v>
      </c>
      <c r="C2271" t="s">
        <v>6321</v>
      </c>
      <c r="D2271" t="s">
        <v>313</v>
      </c>
      <c r="E2271">
        <v>76</v>
      </c>
      <c r="F2271" t="s">
        <v>6322</v>
      </c>
      <c r="G2271" t="s">
        <v>800</v>
      </c>
      <c r="H2271" t="s">
        <v>850</v>
      </c>
      <c r="I2271" t="s">
        <v>802</v>
      </c>
      <c r="J2271">
        <f t="shared" ca="1" si="142"/>
        <v>225000</v>
      </c>
      <c r="K2271">
        <f t="shared" ca="1" si="143"/>
        <v>132</v>
      </c>
      <c r="N2271" t="str">
        <f t="shared" si="140"/>
        <v>Southwark26Intermediate Care Home-based intermediate care servicesReablement at home (accepting step up and step down users)</v>
      </c>
      <c r="O2271" t="s">
        <v>297</v>
      </c>
      <c r="P2271" t="s">
        <v>790</v>
      </c>
      <c r="Q2271">
        <v>26</v>
      </c>
      <c r="R2271" t="s">
        <v>1550</v>
      </c>
      <c r="S2271" t="s">
        <v>969</v>
      </c>
      <c r="T2271" t="s">
        <v>787</v>
      </c>
      <c r="U2271" t="s">
        <v>930</v>
      </c>
      <c r="W2271">
        <v>300</v>
      </c>
      <c r="X2271">
        <v>300</v>
      </c>
      <c r="Y2271" t="s">
        <v>789</v>
      </c>
      <c r="Z2271" t="s">
        <v>792</v>
      </c>
      <c r="AB2271" t="s">
        <v>793</v>
      </c>
      <c r="AD2271" t="s">
        <v>794</v>
      </c>
      <c r="AE2271" t="s">
        <v>795</v>
      </c>
      <c r="AF2271" t="s">
        <v>796</v>
      </c>
      <c r="AG2271" t="s">
        <v>797</v>
      </c>
      <c r="AH2271">
        <v>1205816.78</v>
      </c>
      <c r="AI2271">
        <v>1278165.7867999999</v>
      </c>
      <c r="AJ2271">
        <v>0.83689806833038149</v>
      </c>
    </row>
    <row r="2272" spans="1:36" x14ac:dyDescent="0.3">
      <c r="A2272">
        <f>COUNTIF($D$2:D2272,D2272)</f>
        <v>20</v>
      </c>
      <c r="B2272" t="str">
        <f t="shared" si="141"/>
        <v>20Surrey</v>
      </c>
      <c r="C2272" t="s">
        <v>6323</v>
      </c>
      <c r="D2272" t="s">
        <v>313</v>
      </c>
      <c r="E2272">
        <v>81</v>
      </c>
      <c r="F2272" t="s">
        <v>6324</v>
      </c>
      <c r="G2272" t="s">
        <v>800</v>
      </c>
      <c r="H2272" t="s">
        <v>903</v>
      </c>
      <c r="I2272" t="s">
        <v>802</v>
      </c>
      <c r="J2272">
        <f t="shared" ca="1" si="142"/>
        <v>968268</v>
      </c>
      <c r="K2272">
        <f t="shared" ca="1" si="143"/>
        <v>3295</v>
      </c>
      <c r="N2272" t="str">
        <f t="shared" si="140"/>
        <v>Southwark27Night Owls -  overnight intensive homecareHome Care or Domiciliary CareDomiciliary care to support hospital discharge (Discharge to Assess pathway 1)</v>
      </c>
      <c r="O2272" t="s">
        <v>297</v>
      </c>
      <c r="P2272" t="s">
        <v>790</v>
      </c>
      <c r="Q2272">
        <v>27</v>
      </c>
      <c r="R2272" t="s">
        <v>5835</v>
      </c>
      <c r="S2272" t="s">
        <v>842</v>
      </c>
      <c r="T2272" t="s">
        <v>842</v>
      </c>
      <c r="U2272" t="s">
        <v>856</v>
      </c>
      <c r="W2272">
        <v>13000</v>
      </c>
      <c r="X2272">
        <v>13000</v>
      </c>
      <c r="Y2272" t="s">
        <v>844</v>
      </c>
      <c r="Z2272" t="s">
        <v>792</v>
      </c>
      <c r="AB2272" t="s">
        <v>1739</v>
      </c>
      <c r="AC2272">
        <v>0.5</v>
      </c>
      <c r="AD2272">
        <v>0.5</v>
      </c>
      <c r="AE2272" t="s">
        <v>795</v>
      </c>
      <c r="AF2272" t="s">
        <v>796</v>
      </c>
      <c r="AG2272" t="s">
        <v>797</v>
      </c>
      <c r="AH2272">
        <v>241000</v>
      </c>
      <c r="AI2272">
        <v>241000</v>
      </c>
      <c r="AJ2272">
        <v>0.99381443298969074</v>
      </c>
    </row>
    <row r="2273" spans="1:36" x14ac:dyDescent="0.3">
      <c r="A2273">
        <f>COUNTIF($D$2:D2273,D2273)</f>
        <v>21</v>
      </c>
      <c r="B2273" t="str">
        <f t="shared" si="141"/>
        <v>21Surrey</v>
      </c>
      <c r="C2273" t="s">
        <v>6325</v>
      </c>
      <c r="D2273" t="s">
        <v>313</v>
      </c>
      <c r="E2273">
        <v>84</v>
      </c>
      <c r="F2273" t="s">
        <v>6326</v>
      </c>
      <c r="G2273" t="s">
        <v>834</v>
      </c>
      <c r="H2273" t="s">
        <v>835</v>
      </c>
      <c r="I2273" t="s">
        <v>836</v>
      </c>
      <c r="J2273">
        <f t="shared" ca="1" si="142"/>
        <v>2763648</v>
      </c>
      <c r="K2273">
        <f t="shared" ca="1" si="143"/>
        <v>489</v>
      </c>
      <c r="N2273" t="str">
        <f t="shared" si="140"/>
        <v>Southwark28Reablement TeamHome-based intermediate care servicesReablement at home (accepting step up and step down users)</v>
      </c>
      <c r="O2273" t="s">
        <v>297</v>
      </c>
      <c r="P2273" t="s">
        <v>790</v>
      </c>
      <c r="Q2273">
        <v>28</v>
      </c>
      <c r="R2273" t="s">
        <v>3699</v>
      </c>
      <c r="S2273" t="s">
        <v>969</v>
      </c>
      <c r="T2273" t="s">
        <v>787</v>
      </c>
      <c r="U2273" t="s">
        <v>930</v>
      </c>
      <c r="W2273">
        <v>525</v>
      </c>
      <c r="X2273">
        <v>525</v>
      </c>
      <c r="Y2273" t="s">
        <v>789</v>
      </c>
      <c r="Z2273" t="s">
        <v>792</v>
      </c>
      <c r="AB2273" t="s">
        <v>793</v>
      </c>
      <c r="AD2273" t="s">
        <v>794</v>
      </c>
      <c r="AE2273" t="s">
        <v>795</v>
      </c>
      <c r="AF2273" t="s">
        <v>796</v>
      </c>
      <c r="AG2273" t="s">
        <v>797</v>
      </c>
      <c r="AH2273">
        <v>2033574.9</v>
      </c>
      <c r="AI2273">
        <v>2135253.645</v>
      </c>
      <c r="AJ2273">
        <v>1</v>
      </c>
    </row>
    <row r="2274" spans="1:36" x14ac:dyDescent="0.3">
      <c r="A2274">
        <f>COUNTIF($D$2:D2274,D2274)</f>
        <v>22</v>
      </c>
      <c r="B2274" t="str">
        <f t="shared" si="141"/>
        <v>22Surrey</v>
      </c>
      <c r="C2274" t="s">
        <v>6327</v>
      </c>
      <c r="D2274" t="s">
        <v>313</v>
      </c>
      <c r="E2274">
        <v>85</v>
      </c>
      <c r="F2274" t="s">
        <v>6328</v>
      </c>
      <c r="G2274" t="s">
        <v>806</v>
      </c>
      <c r="H2274" t="s">
        <v>812</v>
      </c>
      <c r="I2274" t="s">
        <v>808</v>
      </c>
      <c r="J2274">
        <f t="shared" ca="1" si="142"/>
        <v>2827262</v>
      </c>
      <c r="K2274">
        <f t="shared" ca="1" si="143"/>
        <v>62</v>
      </c>
      <c r="N2274" t="str">
        <f t="shared" si="140"/>
        <v>Southwark40Carers StrategyCarers ServicesRespite services</v>
      </c>
      <c r="O2274" t="s">
        <v>297</v>
      </c>
      <c r="P2274" t="s">
        <v>790</v>
      </c>
      <c r="Q2274">
        <v>40</v>
      </c>
      <c r="R2274" t="s">
        <v>5840</v>
      </c>
      <c r="S2274" t="s">
        <v>811</v>
      </c>
      <c r="T2274" t="s">
        <v>811</v>
      </c>
      <c r="U2274" t="s">
        <v>830</v>
      </c>
      <c r="W2274">
        <v>125</v>
      </c>
      <c r="X2274">
        <v>125</v>
      </c>
      <c r="Y2274" t="s">
        <v>813</v>
      </c>
      <c r="Z2274" t="s">
        <v>792</v>
      </c>
      <c r="AB2274" t="s">
        <v>793</v>
      </c>
      <c r="AD2274" t="s">
        <v>794</v>
      </c>
      <c r="AE2274" t="s">
        <v>825</v>
      </c>
      <c r="AF2274" t="s">
        <v>796</v>
      </c>
      <c r="AG2274" t="s">
        <v>797</v>
      </c>
      <c r="AH2274">
        <v>450000</v>
      </c>
      <c r="AI2274">
        <v>450000</v>
      </c>
      <c r="AJ2274">
        <v>0.86538461538461531</v>
      </c>
    </row>
    <row r="2275" spans="1:36" x14ac:dyDescent="0.3">
      <c r="A2275">
        <f>COUNTIF($D$2:D2275,D2275)</f>
        <v>23</v>
      </c>
      <c r="B2275" t="str">
        <f t="shared" si="141"/>
        <v>23Surrey</v>
      </c>
      <c r="C2275" t="s">
        <v>6329</v>
      </c>
      <c r="D2275" t="s">
        <v>313</v>
      </c>
      <c r="E2275">
        <v>91</v>
      </c>
      <c r="F2275" t="s">
        <v>6330</v>
      </c>
      <c r="G2275" t="s">
        <v>811</v>
      </c>
      <c r="H2275" t="s">
        <v>830</v>
      </c>
      <c r="I2275" t="s">
        <v>813</v>
      </c>
      <c r="J2275">
        <f t="shared" ca="1" si="142"/>
        <v>747000</v>
      </c>
      <c r="K2275">
        <f t="shared" ca="1" si="143"/>
        <v>988</v>
      </c>
      <c r="N2275" t="str">
        <f t="shared" si="140"/>
        <v>Southwark41Unpaid CarersCarers ServicesRespite services</v>
      </c>
      <c r="O2275" t="s">
        <v>297</v>
      </c>
      <c r="P2275" t="s">
        <v>790</v>
      </c>
      <c r="Q2275">
        <v>41</v>
      </c>
      <c r="R2275" t="s">
        <v>5844</v>
      </c>
      <c r="S2275" t="s">
        <v>6331</v>
      </c>
      <c r="T2275" t="s">
        <v>811</v>
      </c>
      <c r="U2275" t="s">
        <v>830</v>
      </c>
      <c r="W2275">
        <v>30</v>
      </c>
      <c r="X2275">
        <v>30</v>
      </c>
      <c r="Y2275" t="s">
        <v>813</v>
      </c>
      <c r="Z2275" t="s">
        <v>792</v>
      </c>
      <c r="AB2275" t="s">
        <v>793</v>
      </c>
      <c r="AD2275" t="s">
        <v>794</v>
      </c>
      <c r="AE2275" t="s">
        <v>825</v>
      </c>
      <c r="AF2275" t="s">
        <v>796</v>
      </c>
      <c r="AG2275" t="s">
        <v>797</v>
      </c>
      <c r="AH2275">
        <v>100000</v>
      </c>
      <c r="AI2275">
        <v>100000</v>
      </c>
      <c r="AJ2275">
        <v>1</v>
      </c>
    </row>
    <row r="2276" spans="1:36" x14ac:dyDescent="0.3">
      <c r="A2276">
        <f>COUNTIF($D$2:D2276,D2276)</f>
        <v>24</v>
      </c>
      <c r="B2276" t="str">
        <f t="shared" si="141"/>
        <v>24Surrey</v>
      </c>
      <c r="C2276" t="s">
        <v>6332</v>
      </c>
      <c r="D2276" t="s">
        <v>313</v>
      </c>
      <c r="E2276">
        <v>96</v>
      </c>
      <c r="F2276" t="s">
        <v>6333</v>
      </c>
      <c r="G2276" t="s">
        <v>842</v>
      </c>
      <c r="H2276" t="s">
        <v>856</v>
      </c>
      <c r="I2276" t="s">
        <v>844</v>
      </c>
      <c r="J2276">
        <f t="shared" ca="1" si="142"/>
        <v>1035761</v>
      </c>
      <c r="K2276">
        <f t="shared" ca="1" si="143"/>
        <v>43175</v>
      </c>
      <c r="N2276" t="str">
        <f t="shared" si="140"/>
        <v>Southwark42Community EquipmentAssistive Technologies and EquipmentCommunity based equipment</v>
      </c>
      <c r="O2276" t="s">
        <v>297</v>
      </c>
      <c r="P2276" t="s">
        <v>790</v>
      </c>
      <c r="Q2276">
        <v>42</v>
      </c>
      <c r="R2276" t="s">
        <v>1051</v>
      </c>
      <c r="S2276" t="s">
        <v>800</v>
      </c>
      <c r="T2276" t="s">
        <v>800</v>
      </c>
      <c r="U2276" t="s">
        <v>903</v>
      </c>
      <c r="W2276">
        <v>250</v>
      </c>
      <c r="X2276">
        <v>280</v>
      </c>
      <c r="Y2276" t="s">
        <v>802</v>
      </c>
      <c r="Z2276" t="s">
        <v>792</v>
      </c>
      <c r="AB2276" t="s">
        <v>793</v>
      </c>
      <c r="AD2276" t="s">
        <v>794</v>
      </c>
      <c r="AE2276" t="s">
        <v>804</v>
      </c>
      <c r="AF2276" t="s">
        <v>796</v>
      </c>
      <c r="AG2276" t="s">
        <v>797</v>
      </c>
      <c r="AH2276">
        <v>562000</v>
      </c>
      <c r="AI2276">
        <v>562000</v>
      </c>
      <c r="AJ2276">
        <v>0.2203921568627451</v>
      </c>
    </row>
    <row r="2277" spans="1:36" x14ac:dyDescent="0.3">
      <c r="A2277">
        <f>COUNTIF($D$2:D2277,D2277)</f>
        <v>25</v>
      </c>
      <c r="B2277" t="str">
        <f t="shared" si="141"/>
        <v>25Surrey</v>
      </c>
      <c r="C2277" t="s">
        <v>6334</v>
      </c>
      <c r="D2277" t="s">
        <v>313</v>
      </c>
      <c r="E2277">
        <v>101</v>
      </c>
      <c r="F2277" t="s">
        <v>6335</v>
      </c>
      <c r="G2277" t="s">
        <v>800</v>
      </c>
      <c r="H2277" t="s">
        <v>850</v>
      </c>
      <c r="I2277" t="s">
        <v>802</v>
      </c>
      <c r="J2277">
        <f t="shared" ca="1" si="142"/>
        <v>210000</v>
      </c>
      <c r="K2277">
        <f t="shared" ca="1" si="143"/>
        <v>123</v>
      </c>
      <c r="N2277" t="str">
        <f t="shared" si="140"/>
        <v>Southwark43TelecareAssistive Technologies and EquipmentAssistive technologies including telecare</v>
      </c>
      <c r="O2277" t="s">
        <v>297</v>
      </c>
      <c r="P2277" t="s">
        <v>790</v>
      </c>
      <c r="Q2277">
        <v>43</v>
      </c>
      <c r="R2277" t="s">
        <v>2108</v>
      </c>
      <c r="S2277" t="s">
        <v>800</v>
      </c>
      <c r="T2277" t="s">
        <v>800</v>
      </c>
      <c r="U2277" t="s">
        <v>850</v>
      </c>
      <c r="W2277">
        <v>98</v>
      </c>
      <c r="X2277">
        <v>105</v>
      </c>
      <c r="Y2277" t="s">
        <v>802</v>
      </c>
      <c r="Z2277" t="s">
        <v>792</v>
      </c>
      <c r="AB2277" t="s">
        <v>793</v>
      </c>
      <c r="AD2277" t="s">
        <v>794</v>
      </c>
      <c r="AE2277" t="s">
        <v>804</v>
      </c>
      <c r="AF2277" t="s">
        <v>796</v>
      </c>
      <c r="AG2277" t="s">
        <v>797</v>
      </c>
      <c r="AH2277">
        <v>623995</v>
      </c>
      <c r="AI2277">
        <v>623995</v>
      </c>
      <c r="AJ2277">
        <v>0.58701317027281275</v>
      </c>
    </row>
    <row r="2278" spans="1:36" x14ac:dyDescent="0.3">
      <c r="A2278">
        <f>COUNTIF($D$2:D2278,D2278)</f>
        <v>26</v>
      </c>
      <c r="B2278" t="str">
        <f t="shared" si="141"/>
        <v>26Surrey</v>
      </c>
      <c r="C2278" t="s">
        <v>6336</v>
      </c>
      <c r="D2278" t="s">
        <v>313</v>
      </c>
      <c r="E2278">
        <v>106</v>
      </c>
      <c r="F2278" t="s">
        <v>6337</v>
      </c>
      <c r="G2278" t="s">
        <v>800</v>
      </c>
      <c r="H2278" t="s">
        <v>903</v>
      </c>
      <c r="I2278" t="s">
        <v>802</v>
      </c>
      <c r="J2278">
        <f t="shared" ca="1" si="142"/>
        <v>934082</v>
      </c>
      <c r="K2278">
        <f t="shared" ca="1" si="143"/>
        <v>3179</v>
      </c>
      <c r="N2278" t="str">
        <f t="shared" si="140"/>
        <v>Southwark46iBCF funding plans -  home care Home Care or Domiciliary CareDomiciliary care packages</v>
      </c>
      <c r="O2278" t="s">
        <v>297</v>
      </c>
      <c r="P2278" t="s">
        <v>790</v>
      </c>
      <c r="Q2278">
        <v>46</v>
      </c>
      <c r="R2278" t="s">
        <v>5851</v>
      </c>
      <c r="S2278" t="s">
        <v>842</v>
      </c>
      <c r="T2278" t="s">
        <v>842</v>
      </c>
      <c r="U2278" t="s">
        <v>843</v>
      </c>
      <c r="W2278">
        <v>523990</v>
      </c>
      <c r="X2278">
        <v>521608</v>
      </c>
      <c r="Y2278" t="s">
        <v>844</v>
      </c>
      <c r="Z2278" t="s">
        <v>792</v>
      </c>
      <c r="AB2278" t="s">
        <v>793</v>
      </c>
      <c r="AD2278" t="s">
        <v>794</v>
      </c>
      <c r="AE2278" t="s">
        <v>804</v>
      </c>
      <c r="AF2278" t="s">
        <v>845</v>
      </c>
      <c r="AG2278" t="s">
        <v>797</v>
      </c>
      <c r="AH2278">
        <v>10327850</v>
      </c>
      <c r="AI2278">
        <v>10327850</v>
      </c>
      <c r="AJ2278">
        <v>0.41949025182778221</v>
      </c>
    </row>
    <row r="2279" spans="1:36" x14ac:dyDescent="0.3">
      <c r="A2279">
        <f>COUNTIF($D$2:D2279,D2279)</f>
        <v>27</v>
      </c>
      <c r="B2279" t="str">
        <f t="shared" si="141"/>
        <v>27Surrey</v>
      </c>
      <c r="C2279" t="s">
        <v>6338</v>
      </c>
      <c r="D2279" t="s">
        <v>313</v>
      </c>
      <c r="E2279">
        <v>108</v>
      </c>
      <c r="F2279" t="s">
        <v>6339</v>
      </c>
      <c r="G2279" t="s">
        <v>834</v>
      </c>
      <c r="H2279" t="s">
        <v>835</v>
      </c>
      <c r="I2279" t="s">
        <v>836</v>
      </c>
      <c r="J2279">
        <f t="shared" ca="1" si="142"/>
        <v>3622770</v>
      </c>
      <c r="K2279">
        <f t="shared" ca="1" si="143"/>
        <v>641</v>
      </c>
      <c r="N2279" t="str">
        <f t="shared" si="140"/>
        <v>Southwark47iBCF funding plans -   nursing care homesResidential PlacementsNursing home</v>
      </c>
      <c r="O2279" t="s">
        <v>297</v>
      </c>
      <c r="P2279" t="s">
        <v>790</v>
      </c>
      <c r="Q2279">
        <v>47</v>
      </c>
      <c r="R2279" t="s">
        <v>5854</v>
      </c>
      <c r="S2279" t="s">
        <v>806</v>
      </c>
      <c r="T2279" t="s">
        <v>806</v>
      </c>
      <c r="U2279" t="s">
        <v>917</v>
      </c>
      <c r="W2279">
        <v>79</v>
      </c>
      <c r="X2279">
        <v>79</v>
      </c>
      <c r="Y2279" t="s">
        <v>808</v>
      </c>
      <c r="Z2279" t="s">
        <v>792</v>
      </c>
      <c r="AB2279" t="s">
        <v>793</v>
      </c>
      <c r="AD2279" t="s">
        <v>794</v>
      </c>
      <c r="AE2279" t="s">
        <v>804</v>
      </c>
      <c r="AF2279" t="s">
        <v>845</v>
      </c>
      <c r="AG2279" t="s">
        <v>797</v>
      </c>
      <c r="AH2279">
        <v>4174334</v>
      </c>
      <c r="AI2279">
        <v>4174334</v>
      </c>
      <c r="AJ2279">
        <v>0.17320887966804979</v>
      </c>
    </row>
    <row r="2280" spans="1:36" x14ac:dyDescent="0.3">
      <c r="A2280">
        <f>COUNTIF($D$2:D2280,D2280)</f>
        <v>28</v>
      </c>
      <c r="B2280" t="str">
        <f t="shared" si="141"/>
        <v>28Surrey</v>
      </c>
      <c r="C2280" t="s">
        <v>6340</v>
      </c>
      <c r="D2280" t="s">
        <v>313</v>
      </c>
      <c r="E2280">
        <v>109</v>
      </c>
      <c r="F2280" t="s">
        <v>6341</v>
      </c>
      <c r="G2280" t="s">
        <v>806</v>
      </c>
      <c r="H2280" t="s">
        <v>812</v>
      </c>
      <c r="I2280" t="s">
        <v>808</v>
      </c>
      <c r="J2280">
        <f t="shared" ca="1" si="142"/>
        <v>3400298</v>
      </c>
      <c r="K2280">
        <f t="shared" ca="1" si="143"/>
        <v>74</v>
      </c>
      <c r="N2280" t="str">
        <f t="shared" si="140"/>
        <v>Southwark49IBCF Reablement and Intermediate bed based careBed based intermediate Care Services (Reablement, rehabilitation, wider short-term services supporting recovery)Bed-based intermediate care with reablement accepting step up and step down users</v>
      </c>
      <c r="O2280" t="s">
        <v>297</v>
      </c>
      <c r="P2280" t="s">
        <v>790</v>
      </c>
      <c r="Q2280">
        <v>49</v>
      </c>
      <c r="R2280" t="s">
        <v>5857</v>
      </c>
      <c r="S2280" t="s">
        <v>969</v>
      </c>
      <c r="T2280" t="s">
        <v>877</v>
      </c>
      <c r="U2280" t="s">
        <v>1259</v>
      </c>
      <c r="W2280">
        <v>151</v>
      </c>
      <c r="X2280">
        <v>151</v>
      </c>
      <c r="Y2280" t="s">
        <v>879</v>
      </c>
      <c r="Z2280" t="s">
        <v>792</v>
      </c>
      <c r="AB2280" t="s">
        <v>793</v>
      </c>
      <c r="AD2280" t="s">
        <v>794</v>
      </c>
      <c r="AE2280" t="s">
        <v>804</v>
      </c>
      <c r="AF2280" t="s">
        <v>845</v>
      </c>
      <c r="AG2280" t="s">
        <v>797</v>
      </c>
      <c r="AH2280">
        <v>999749</v>
      </c>
      <c r="AI2280">
        <v>999749</v>
      </c>
      <c r="AJ2280">
        <v>1</v>
      </c>
    </row>
    <row r="2281" spans="1:36" x14ac:dyDescent="0.3">
      <c r="A2281">
        <f>COUNTIF($D$2:D2281,D2281)</f>
        <v>29</v>
      </c>
      <c r="B2281" t="str">
        <f t="shared" si="141"/>
        <v>29Surrey</v>
      </c>
      <c r="C2281" t="s">
        <v>6342</v>
      </c>
      <c r="D2281" t="s">
        <v>313</v>
      </c>
      <c r="E2281">
        <v>112</v>
      </c>
      <c r="F2281" t="s">
        <v>6343</v>
      </c>
      <c r="G2281" t="s">
        <v>842</v>
      </c>
      <c r="H2281" t="s">
        <v>856</v>
      </c>
      <c r="I2281" t="s">
        <v>844</v>
      </c>
      <c r="J2281">
        <f t="shared" ca="1" si="142"/>
        <v>214643</v>
      </c>
      <c r="K2281">
        <f t="shared" ca="1" si="143"/>
        <v>8947</v>
      </c>
      <c r="N2281" t="str">
        <f t="shared" si="140"/>
        <v>Southwark50Residential care for older peopleResidential PlacementsCare home</v>
      </c>
      <c r="O2281" t="s">
        <v>297</v>
      </c>
      <c r="P2281" t="s">
        <v>790</v>
      </c>
      <c r="Q2281">
        <v>50</v>
      </c>
      <c r="R2281" t="s">
        <v>5860</v>
      </c>
      <c r="S2281" t="s">
        <v>806</v>
      </c>
      <c r="T2281" t="s">
        <v>806</v>
      </c>
      <c r="U2281" t="s">
        <v>807</v>
      </c>
      <c r="W2281">
        <v>8</v>
      </c>
      <c r="X2281">
        <v>8</v>
      </c>
      <c r="Y2281" t="s">
        <v>808</v>
      </c>
      <c r="Z2281" t="s">
        <v>792</v>
      </c>
      <c r="AB2281" t="s">
        <v>793</v>
      </c>
      <c r="AD2281" t="s">
        <v>794</v>
      </c>
      <c r="AE2281" t="s">
        <v>804</v>
      </c>
      <c r="AF2281" t="s">
        <v>845</v>
      </c>
      <c r="AG2281" t="s">
        <v>797</v>
      </c>
      <c r="AH2281">
        <v>400000</v>
      </c>
      <c r="AI2281">
        <v>400000</v>
      </c>
      <c r="AJ2281">
        <v>1.6574127786525235E-2</v>
      </c>
    </row>
    <row r="2282" spans="1:36" x14ac:dyDescent="0.3">
      <c r="A2282">
        <f>COUNTIF($D$2:D2282,D2282)</f>
        <v>30</v>
      </c>
      <c r="B2282" t="str">
        <f t="shared" si="141"/>
        <v>30Surrey</v>
      </c>
      <c r="C2282" t="s">
        <v>6344</v>
      </c>
      <c r="D2282" t="s">
        <v>313</v>
      </c>
      <c r="E2282">
        <v>113</v>
      </c>
      <c r="F2282" t="s">
        <v>6343</v>
      </c>
      <c r="G2282" t="s">
        <v>877</v>
      </c>
      <c r="H2282" t="s">
        <v>968</v>
      </c>
      <c r="I2282" t="s">
        <v>879</v>
      </c>
      <c r="J2282">
        <f t="shared" ca="1" si="142"/>
        <v>1040035</v>
      </c>
      <c r="K2282">
        <f t="shared" ca="1" si="143"/>
        <v>173</v>
      </c>
      <c r="N2282" t="str">
        <f t="shared" si="140"/>
        <v>Southwark51Nursing Care for older PeopleResidential PlacementsNursing home</v>
      </c>
      <c r="O2282" t="s">
        <v>297</v>
      </c>
      <c r="P2282" t="s">
        <v>790</v>
      </c>
      <c r="Q2282">
        <v>51</v>
      </c>
      <c r="R2282" t="s">
        <v>5862</v>
      </c>
      <c r="S2282" t="s">
        <v>806</v>
      </c>
      <c r="T2282" t="s">
        <v>806</v>
      </c>
      <c r="U2282" t="s">
        <v>917</v>
      </c>
      <c r="W2282">
        <v>6</v>
      </c>
      <c r="X2282">
        <v>6</v>
      </c>
      <c r="Y2282" t="s">
        <v>808</v>
      </c>
      <c r="Z2282" t="s">
        <v>792</v>
      </c>
      <c r="AB2282" t="s">
        <v>793</v>
      </c>
      <c r="AD2282" t="s">
        <v>794</v>
      </c>
      <c r="AE2282" t="s">
        <v>804</v>
      </c>
      <c r="AF2282" t="s">
        <v>845</v>
      </c>
      <c r="AG2282" t="s">
        <v>797</v>
      </c>
      <c r="AH2282">
        <v>300000</v>
      </c>
      <c r="AI2282">
        <v>300000</v>
      </c>
      <c r="AJ2282">
        <v>2.5113008538422903E-2</v>
      </c>
    </row>
    <row r="2283" spans="1:36" x14ac:dyDescent="0.3">
      <c r="A2283">
        <f>COUNTIF($D$2:D2283,D2283)</f>
        <v>31</v>
      </c>
      <c r="B2283" t="str">
        <f t="shared" si="141"/>
        <v>31Surrey</v>
      </c>
      <c r="C2283" t="s">
        <v>6345</v>
      </c>
      <c r="D2283" t="s">
        <v>313</v>
      </c>
      <c r="E2283">
        <v>116</v>
      </c>
      <c r="F2283" t="s">
        <v>6346</v>
      </c>
      <c r="G2283" t="s">
        <v>842</v>
      </c>
      <c r="H2283" t="s">
        <v>856</v>
      </c>
      <c r="I2283" t="s">
        <v>844</v>
      </c>
      <c r="J2283">
        <f t="shared" ca="1" si="142"/>
        <v>335050</v>
      </c>
      <c r="K2283">
        <f t="shared" ca="1" si="143"/>
        <v>13966</v>
      </c>
      <c r="N2283" t="str">
        <f t="shared" si="140"/>
        <v>Southwark52Home care for older peopleHome Care or Domiciliary CareDomiciliary care packages</v>
      </c>
      <c r="O2283" t="s">
        <v>297</v>
      </c>
      <c r="P2283" t="s">
        <v>790</v>
      </c>
      <c r="Q2283">
        <v>52</v>
      </c>
      <c r="R2283" t="s">
        <v>5865</v>
      </c>
      <c r="S2283" t="s">
        <v>842</v>
      </c>
      <c r="T2283" t="s">
        <v>842</v>
      </c>
      <c r="U2283" t="s">
        <v>843</v>
      </c>
      <c r="W2283">
        <v>44420</v>
      </c>
      <c r="X2283">
        <v>44083</v>
      </c>
      <c r="Y2283" t="s">
        <v>844</v>
      </c>
      <c r="Z2283" t="s">
        <v>792</v>
      </c>
      <c r="AB2283" t="s">
        <v>793</v>
      </c>
      <c r="AD2283" t="s">
        <v>794</v>
      </c>
      <c r="AE2283" t="s">
        <v>804</v>
      </c>
      <c r="AF2283" t="s">
        <v>845</v>
      </c>
      <c r="AG2283" t="s">
        <v>797</v>
      </c>
      <c r="AH2283">
        <v>870648</v>
      </c>
      <c r="AI2283">
        <v>870648</v>
      </c>
      <c r="AJ2283">
        <v>4.3972121212121219E-2</v>
      </c>
    </row>
    <row r="2284" spans="1:36" x14ac:dyDescent="0.3">
      <c r="A2284">
        <f>COUNTIF($D$2:D2284,D2284)</f>
        <v>32</v>
      </c>
      <c r="B2284" t="str">
        <f t="shared" si="141"/>
        <v>32Surrey</v>
      </c>
      <c r="C2284" t="s">
        <v>6347</v>
      </c>
      <c r="D2284" t="s">
        <v>313</v>
      </c>
      <c r="E2284">
        <v>117</v>
      </c>
      <c r="F2284" t="s">
        <v>6346</v>
      </c>
      <c r="G2284" t="s">
        <v>877</v>
      </c>
      <c r="H2284" t="s">
        <v>968</v>
      </c>
      <c r="I2284" t="s">
        <v>879</v>
      </c>
      <c r="J2284">
        <f t="shared" ca="1" si="142"/>
        <v>171471</v>
      </c>
      <c r="K2284">
        <f t="shared" ca="1" si="143"/>
        <v>29</v>
      </c>
      <c r="N2284" t="str">
        <f t="shared" si="140"/>
        <v>Southwark53Flexicare - Housing Based SchemeResidential PlacementsExtra care</v>
      </c>
      <c r="O2284" t="s">
        <v>297</v>
      </c>
      <c r="P2284" t="s">
        <v>790</v>
      </c>
      <c r="Q2284">
        <v>53</v>
      </c>
      <c r="R2284" t="s">
        <v>5868</v>
      </c>
      <c r="S2284" t="s">
        <v>6348</v>
      </c>
      <c r="T2284" t="s">
        <v>806</v>
      </c>
      <c r="U2284" t="s">
        <v>934</v>
      </c>
      <c r="W2284">
        <v>22</v>
      </c>
      <c r="X2284">
        <v>22</v>
      </c>
      <c r="Y2284" t="s">
        <v>808</v>
      </c>
      <c r="Z2284" t="s">
        <v>792</v>
      </c>
      <c r="AB2284" t="s">
        <v>793</v>
      </c>
      <c r="AD2284" t="s">
        <v>794</v>
      </c>
      <c r="AE2284" t="s">
        <v>804</v>
      </c>
      <c r="AF2284" t="s">
        <v>845</v>
      </c>
      <c r="AG2284" t="s">
        <v>797</v>
      </c>
      <c r="AH2284">
        <v>524768</v>
      </c>
      <c r="AI2284">
        <v>524768</v>
      </c>
      <c r="AJ2284">
        <v>0.2385309090909091</v>
      </c>
    </row>
    <row r="2285" spans="1:36" x14ac:dyDescent="0.3">
      <c r="A2285">
        <f>COUNTIF($D$2:D2285,D2285)</f>
        <v>33</v>
      </c>
      <c r="B2285" t="str">
        <f t="shared" si="141"/>
        <v>33Surrey</v>
      </c>
      <c r="C2285" t="s">
        <v>6349</v>
      </c>
      <c r="D2285" t="s">
        <v>313</v>
      </c>
      <c r="E2285">
        <v>118</v>
      </c>
      <c r="F2285" t="s">
        <v>6350</v>
      </c>
      <c r="G2285" t="s">
        <v>842</v>
      </c>
      <c r="H2285" t="s">
        <v>856</v>
      </c>
      <c r="I2285" t="s">
        <v>844</v>
      </c>
      <c r="J2285">
        <f t="shared" ca="1" si="142"/>
        <v>124327</v>
      </c>
      <c r="K2285">
        <f t="shared" ca="1" si="143"/>
        <v>5182</v>
      </c>
      <c r="N2285" t="str">
        <f t="shared" si="140"/>
        <v>Southwark54Disabled Facilities GrantsDFG Related SchemesAdaptations, including statutory DFG grants</v>
      </c>
      <c r="O2285" t="s">
        <v>297</v>
      </c>
      <c r="P2285" t="s">
        <v>790</v>
      </c>
      <c r="Q2285">
        <v>54</v>
      </c>
      <c r="R2285" t="s">
        <v>1341</v>
      </c>
      <c r="S2285" t="s">
        <v>834</v>
      </c>
      <c r="T2285" t="s">
        <v>834</v>
      </c>
      <c r="U2285" t="s">
        <v>835</v>
      </c>
      <c r="W2285">
        <v>150</v>
      </c>
      <c r="X2285">
        <v>150</v>
      </c>
      <c r="Y2285" t="s">
        <v>836</v>
      </c>
      <c r="Z2285" t="s">
        <v>792</v>
      </c>
      <c r="AB2285" t="s">
        <v>793</v>
      </c>
      <c r="AD2285" t="s">
        <v>794</v>
      </c>
      <c r="AE2285" t="s">
        <v>795</v>
      </c>
      <c r="AF2285" t="s">
        <v>840</v>
      </c>
      <c r="AG2285" t="s">
        <v>797</v>
      </c>
      <c r="AH2285">
        <v>1686144</v>
      </c>
      <c r="AI2285">
        <v>1686144</v>
      </c>
      <c r="AJ2285">
        <v>1</v>
      </c>
    </row>
    <row r="2286" spans="1:36" x14ac:dyDescent="0.3">
      <c r="A2286">
        <f>COUNTIF($D$2:D2286,D2286)</f>
        <v>34</v>
      </c>
      <c r="B2286" t="str">
        <f t="shared" si="141"/>
        <v>34Surrey</v>
      </c>
      <c r="C2286" t="s">
        <v>6351</v>
      </c>
      <c r="D2286" t="s">
        <v>313</v>
      </c>
      <c r="E2286">
        <v>119</v>
      </c>
      <c r="F2286" t="s">
        <v>6350</v>
      </c>
      <c r="G2286" t="s">
        <v>877</v>
      </c>
      <c r="H2286" t="s">
        <v>968</v>
      </c>
      <c r="I2286" t="s">
        <v>879</v>
      </c>
      <c r="J2286">
        <f t="shared" ca="1" si="142"/>
        <v>63628</v>
      </c>
      <c r="K2286">
        <f t="shared" ca="1" si="143"/>
        <v>11</v>
      </c>
      <c r="N2286" t="str">
        <f t="shared" si="140"/>
        <v>Southwark55Community EquipmentAssistive Technologies and EquipmentCommunity based equipment</v>
      </c>
      <c r="O2286" t="s">
        <v>297</v>
      </c>
      <c r="P2286" t="s">
        <v>790</v>
      </c>
      <c r="Q2286">
        <v>55</v>
      </c>
      <c r="R2286" t="s">
        <v>1051</v>
      </c>
      <c r="S2286" t="s">
        <v>800</v>
      </c>
      <c r="T2286" t="s">
        <v>800</v>
      </c>
      <c r="U2286" t="s">
        <v>903</v>
      </c>
      <c r="W2286">
        <v>250</v>
      </c>
      <c r="X2286">
        <v>280</v>
      </c>
      <c r="Y2286" t="s">
        <v>802</v>
      </c>
      <c r="Z2286" t="s">
        <v>792</v>
      </c>
      <c r="AB2286" t="s">
        <v>793</v>
      </c>
      <c r="AD2286" t="s">
        <v>794</v>
      </c>
      <c r="AE2286" t="s">
        <v>795</v>
      </c>
      <c r="AF2286" t="s">
        <v>1029</v>
      </c>
      <c r="AG2286" t="s">
        <v>797</v>
      </c>
      <c r="AH2286">
        <v>246850</v>
      </c>
      <c r="AI2286">
        <v>246850</v>
      </c>
      <c r="AJ2286">
        <v>9.6803921568627452E-2</v>
      </c>
    </row>
    <row r="2287" spans="1:36" x14ac:dyDescent="0.3">
      <c r="A2287">
        <f>COUNTIF($D$2:D2287,D2287)</f>
        <v>35</v>
      </c>
      <c r="B2287" t="str">
        <f t="shared" si="141"/>
        <v>35Surrey</v>
      </c>
      <c r="C2287" t="s">
        <v>6352</v>
      </c>
      <c r="D2287" t="s">
        <v>313</v>
      </c>
      <c r="E2287">
        <v>120</v>
      </c>
      <c r="F2287" t="s">
        <v>6353</v>
      </c>
      <c r="G2287" t="s">
        <v>842</v>
      </c>
      <c r="H2287" t="s">
        <v>856</v>
      </c>
      <c r="I2287" t="s">
        <v>844</v>
      </c>
      <c r="J2287">
        <f t="shared" ca="1" si="142"/>
        <v>728068</v>
      </c>
      <c r="K2287">
        <f t="shared" ca="1" si="143"/>
        <v>30349</v>
      </c>
      <c r="N2287" t="str">
        <f t="shared" si="140"/>
        <v>Southwark56TelecareAssistive Technologies and EquipmentAssistive technologies including telecare</v>
      </c>
      <c r="O2287" t="s">
        <v>297</v>
      </c>
      <c r="P2287" t="s">
        <v>790</v>
      </c>
      <c r="Q2287">
        <v>56</v>
      </c>
      <c r="R2287" t="s">
        <v>2108</v>
      </c>
      <c r="S2287" t="s">
        <v>800</v>
      </c>
      <c r="T2287" t="s">
        <v>800</v>
      </c>
      <c r="U2287" t="s">
        <v>850</v>
      </c>
      <c r="W2287">
        <v>98</v>
      </c>
      <c r="X2287">
        <v>105</v>
      </c>
      <c r="Y2287" t="s">
        <v>802</v>
      </c>
      <c r="Z2287" t="s">
        <v>792</v>
      </c>
      <c r="AB2287" t="s">
        <v>793</v>
      </c>
      <c r="AD2287" t="s">
        <v>794</v>
      </c>
      <c r="AE2287" t="s">
        <v>795</v>
      </c>
      <c r="AF2287" t="s">
        <v>1029</v>
      </c>
      <c r="AG2287" t="s">
        <v>797</v>
      </c>
      <c r="AH2287">
        <v>444626</v>
      </c>
      <c r="AI2287">
        <v>444626</v>
      </c>
      <c r="AJ2287">
        <v>0.41827469426152403</v>
      </c>
    </row>
    <row r="2288" spans="1:36" x14ac:dyDescent="0.3">
      <c r="A2288">
        <f>COUNTIF($D$2:D2288,D2288)</f>
        <v>36</v>
      </c>
      <c r="B2288" t="str">
        <f t="shared" si="141"/>
        <v>36Surrey</v>
      </c>
      <c r="C2288" t="s">
        <v>6354</v>
      </c>
      <c r="D2288" t="s">
        <v>313</v>
      </c>
      <c r="E2288">
        <v>124</v>
      </c>
      <c r="F2288" t="s">
        <v>6355</v>
      </c>
      <c r="G2288" t="s">
        <v>811</v>
      </c>
      <c r="H2288" t="s">
        <v>830</v>
      </c>
      <c r="I2288" t="s">
        <v>813</v>
      </c>
      <c r="J2288">
        <f t="shared" ca="1" si="142"/>
        <v>204000</v>
      </c>
      <c r="K2288">
        <f t="shared" ca="1" si="143"/>
        <v>270</v>
      </c>
      <c r="N2288" t="str">
        <f t="shared" si="140"/>
        <v>Southwark59Further investment into Nursing CareResidential PlacementsNursing home</v>
      </c>
      <c r="O2288" t="s">
        <v>297</v>
      </c>
      <c r="P2288" t="s">
        <v>790</v>
      </c>
      <c r="Q2288">
        <v>59</v>
      </c>
      <c r="R2288" t="s">
        <v>5875</v>
      </c>
      <c r="S2288" t="s">
        <v>6356</v>
      </c>
      <c r="T2288" t="s">
        <v>806</v>
      </c>
      <c r="U2288" t="s">
        <v>917</v>
      </c>
      <c r="W2288">
        <v>22</v>
      </c>
      <c r="X2288">
        <v>22</v>
      </c>
      <c r="Y2288" t="s">
        <v>808</v>
      </c>
      <c r="Z2288" t="s">
        <v>792</v>
      </c>
      <c r="AB2288" t="s">
        <v>793</v>
      </c>
      <c r="AD2288" t="s">
        <v>794</v>
      </c>
      <c r="AE2288" t="s">
        <v>795</v>
      </c>
      <c r="AF2288" t="s">
        <v>864</v>
      </c>
      <c r="AG2288" t="s">
        <v>797</v>
      </c>
      <c r="AH2288">
        <v>713000</v>
      </c>
      <c r="AI2288">
        <v>1183580.0398933566</v>
      </c>
      <c r="AJ2288">
        <v>2.954338277948123E-2</v>
      </c>
    </row>
    <row r="2289" spans="1:36" x14ac:dyDescent="0.3">
      <c r="A2289">
        <f>COUNTIF($D$2:D2289,D2289)</f>
        <v>37</v>
      </c>
      <c r="B2289" t="str">
        <f t="shared" si="141"/>
        <v>37Surrey</v>
      </c>
      <c r="C2289" t="s">
        <v>6357</v>
      </c>
      <c r="D2289" t="s">
        <v>313</v>
      </c>
      <c r="E2289">
        <v>140</v>
      </c>
      <c r="F2289" t="s">
        <v>6358</v>
      </c>
      <c r="G2289" t="s">
        <v>800</v>
      </c>
      <c r="H2289" t="s">
        <v>850</v>
      </c>
      <c r="I2289" t="s">
        <v>802</v>
      </c>
      <c r="J2289">
        <f t="shared" ca="1" si="142"/>
        <v>45833</v>
      </c>
      <c r="K2289">
        <f t="shared" ca="1" si="143"/>
        <v>345</v>
      </c>
      <c r="N2289" t="str">
        <f t="shared" si="140"/>
        <v xml:space="preserve">Southwark60Improvements in Reablement OutcomesHome-based intermediate care servicesReablement at home (to support discharge) </v>
      </c>
      <c r="O2289" t="s">
        <v>297</v>
      </c>
      <c r="P2289" t="s">
        <v>790</v>
      </c>
      <c r="Q2289">
        <v>60</v>
      </c>
      <c r="R2289" t="s">
        <v>5877</v>
      </c>
      <c r="S2289" t="s">
        <v>6359</v>
      </c>
      <c r="T2289" t="s">
        <v>787</v>
      </c>
      <c r="U2289" t="s">
        <v>788</v>
      </c>
      <c r="W2289">
        <v>44</v>
      </c>
      <c r="X2289">
        <v>44</v>
      </c>
      <c r="Y2289" t="s">
        <v>789</v>
      </c>
      <c r="Z2289" t="s">
        <v>792</v>
      </c>
      <c r="AB2289" t="s">
        <v>793</v>
      </c>
      <c r="AD2289" t="s">
        <v>794</v>
      </c>
      <c r="AE2289" t="s">
        <v>795</v>
      </c>
      <c r="AF2289" t="s">
        <v>864</v>
      </c>
      <c r="AG2289" t="s">
        <v>797</v>
      </c>
      <c r="AH2289">
        <v>200000</v>
      </c>
      <c r="AI2289">
        <v>332000.01119028236</v>
      </c>
      <c r="AJ2289">
        <v>9.7228974234321822E-2</v>
      </c>
    </row>
    <row r="2290" spans="1:36" x14ac:dyDescent="0.3">
      <c r="A2290">
        <f>COUNTIF($D$2:D2290,D2290)</f>
        <v>38</v>
      </c>
      <c r="B2290" t="str">
        <f t="shared" si="141"/>
        <v>38Surrey</v>
      </c>
      <c r="C2290" t="s">
        <v>6360</v>
      </c>
      <c r="D2290" t="s">
        <v>313</v>
      </c>
      <c r="E2290">
        <v>145</v>
      </c>
      <c r="F2290" t="s">
        <v>6361</v>
      </c>
      <c r="G2290" t="s">
        <v>800</v>
      </c>
      <c r="H2290" t="s">
        <v>850</v>
      </c>
      <c r="I2290" t="s">
        <v>802</v>
      </c>
      <c r="J2290">
        <f t="shared" ca="1" si="142"/>
        <v>55000</v>
      </c>
      <c r="K2290">
        <f t="shared" ca="1" si="143"/>
        <v>32</v>
      </c>
      <c r="N2290" t="str">
        <f t="shared" si="140"/>
        <v>Southwark61Enhanced resources into HomecareHome Care or Domiciliary CareDomiciliary care packages</v>
      </c>
      <c r="O2290" t="s">
        <v>297</v>
      </c>
      <c r="P2290" t="s">
        <v>790</v>
      </c>
      <c r="Q2290">
        <v>61</v>
      </c>
      <c r="R2290" t="s">
        <v>5879</v>
      </c>
      <c r="S2290" t="s">
        <v>6362</v>
      </c>
      <c r="T2290" t="s">
        <v>842</v>
      </c>
      <c r="U2290" t="s">
        <v>843</v>
      </c>
      <c r="W2290">
        <v>9238</v>
      </c>
      <c r="X2290">
        <v>9328</v>
      </c>
      <c r="Y2290" t="s">
        <v>844</v>
      </c>
      <c r="Z2290" t="s">
        <v>792</v>
      </c>
      <c r="AB2290" t="s">
        <v>793</v>
      </c>
      <c r="AD2290" t="s">
        <v>794</v>
      </c>
      <c r="AE2290" t="s">
        <v>795</v>
      </c>
      <c r="AF2290" t="s">
        <v>864</v>
      </c>
      <c r="AG2290" t="s">
        <v>797</v>
      </c>
      <c r="AH2290">
        <v>220673</v>
      </c>
      <c r="AI2290">
        <v>366317.19234696589</v>
      </c>
      <c r="AJ2290">
        <v>1.1144538154638657E-2</v>
      </c>
    </row>
    <row r="2291" spans="1:36" x14ac:dyDescent="0.3">
      <c r="A2291">
        <f>COUNTIF($D$2:D2291,D2291)</f>
        <v>39</v>
      </c>
      <c r="B2291" t="str">
        <f t="shared" si="141"/>
        <v>39Surrey</v>
      </c>
      <c r="C2291" t="s">
        <v>6363</v>
      </c>
      <c r="D2291" t="s">
        <v>313</v>
      </c>
      <c r="E2291">
        <v>150</v>
      </c>
      <c r="F2291" t="s">
        <v>6364</v>
      </c>
      <c r="G2291" t="s">
        <v>800</v>
      </c>
      <c r="H2291" t="s">
        <v>903</v>
      </c>
      <c r="I2291" t="s">
        <v>802</v>
      </c>
      <c r="J2291">
        <f t="shared" ca="1" si="142"/>
        <v>362636</v>
      </c>
      <c r="K2291">
        <f t="shared" ca="1" si="143"/>
        <v>1234</v>
      </c>
      <c r="N2291" t="str">
        <f t="shared" si="140"/>
        <v>Southwark68Step Down FlatsBed based intermediate Care Services (Reablement, rehabilitation, wider short-term services supporting recovery)Bed-based intermediate care with rehabilitation (to support discharge)</v>
      </c>
      <c r="O2291" t="s">
        <v>297</v>
      </c>
      <c r="P2291" t="s">
        <v>790</v>
      </c>
      <c r="Q2291">
        <v>68</v>
      </c>
      <c r="R2291" t="s">
        <v>5882</v>
      </c>
      <c r="S2291" t="s">
        <v>6365</v>
      </c>
      <c r="T2291" t="s">
        <v>877</v>
      </c>
      <c r="U2291" t="s">
        <v>968</v>
      </c>
      <c r="W2291">
        <v>35</v>
      </c>
      <c r="X2291">
        <v>35</v>
      </c>
      <c r="Y2291" t="s">
        <v>879</v>
      </c>
      <c r="Z2291" t="s">
        <v>792</v>
      </c>
      <c r="AB2291" t="s">
        <v>793</v>
      </c>
      <c r="AD2291" t="s">
        <v>794</v>
      </c>
      <c r="AE2291" t="s">
        <v>795</v>
      </c>
      <c r="AF2291" t="s">
        <v>864</v>
      </c>
      <c r="AG2291" t="s">
        <v>797</v>
      </c>
      <c r="AH2291">
        <v>188998</v>
      </c>
      <c r="AI2291">
        <v>313736.6905747049</v>
      </c>
      <c r="AJ2291">
        <v>0.25199733333333335</v>
      </c>
    </row>
    <row r="2292" spans="1:36" x14ac:dyDescent="0.3">
      <c r="A2292">
        <f>COUNTIF($D$2:D2292,D2292)</f>
        <v>40</v>
      </c>
      <c r="B2292" t="str">
        <f t="shared" si="141"/>
        <v>40Surrey</v>
      </c>
      <c r="C2292" t="s">
        <v>6366</v>
      </c>
      <c r="D2292" t="s">
        <v>313</v>
      </c>
      <c r="E2292">
        <v>152</v>
      </c>
      <c r="F2292" t="s">
        <v>6367</v>
      </c>
      <c r="G2292" t="s">
        <v>834</v>
      </c>
      <c r="H2292" t="s">
        <v>835</v>
      </c>
      <c r="I2292" t="s">
        <v>836</v>
      </c>
      <c r="J2292">
        <f t="shared" ca="1" si="142"/>
        <v>882488</v>
      </c>
      <c r="K2292">
        <f t="shared" ca="1" si="143"/>
        <v>156</v>
      </c>
      <c r="N2292" t="str">
        <f t="shared" si="140"/>
        <v>Southwark71Further Investment into Residential CareResidential PlacementsCare home</v>
      </c>
      <c r="O2292" t="s">
        <v>297</v>
      </c>
      <c r="P2292" t="s">
        <v>790</v>
      </c>
      <c r="Q2292">
        <v>71</v>
      </c>
      <c r="R2292" t="s">
        <v>5885</v>
      </c>
      <c r="S2292" t="s">
        <v>6368</v>
      </c>
      <c r="T2292" t="s">
        <v>806</v>
      </c>
      <c r="U2292" t="s">
        <v>807</v>
      </c>
      <c r="W2292">
        <v>11</v>
      </c>
      <c r="X2292">
        <v>11</v>
      </c>
      <c r="Y2292" t="s">
        <v>808</v>
      </c>
      <c r="Z2292" t="s">
        <v>792</v>
      </c>
      <c r="AB2292" t="s">
        <v>793</v>
      </c>
      <c r="AD2292" t="s">
        <v>794</v>
      </c>
      <c r="AE2292" t="s">
        <v>795</v>
      </c>
      <c r="AF2292" t="s">
        <v>864</v>
      </c>
      <c r="AG2292" t="s">
        <v>861</v>
      </c>
      <c r="AH2292">
        <v>600000</v>
      </c>
      <c r="AI2292">
        <v>996000.03357084701</v>
      </c>
      <c r="AJ2292">
        <v>2.4851923953112705E-2</v>
      </c>
    </row>
    <row r="2293" spans="1:36" x14ac:dyDescent="0.3">
      <c r="A2293">
        <f>COUNTIF($D$2:D2293,D2293)</f>
        <v>41</v>
      </c>
      <c r="B2293" t="str">
        <f t="shared" si="141"/>
        <v>41Surrey</v>
      </c>
      <c r="C2293" t="s">
        <v>6369</v>
      </c>
      <c r="D2293" t="s">
        <v>313</v>
      </c>
      <c r="E2293">
        <v>153</v>
      </c>
      <c r="F2293" t="s">
        <v>6370</v>
      </c>
      <c r="G2293" t="s">
        <v>806</v>
      </c>
      <c r="H2293" t="s">
        <v>812</v>
      </c>
      <c r="I2293" t="s">
        <v>808</v>
      </c>
      <c r="J2293">
        <f t="shared" ca="1" si="142"/>
        <v>927309</v>
      </c>
      <c r="K2293">
        <f t="shared" ca="1" si="143"/>
        <v>20</v>
      </c>
      <c r="N2293" t="str">
        <f t="shared" si="140"/>
        <v>St. Helens1001CarelineAssistive Technologies and EquipmentAssistive technologies including telecare</v>
      </c>
      <c r="O2293" t="s">
        <v>299</v>
      </c>
      <c r="P2293" t="s">
        <v>1201</v>
      </c>
      <c r="Q2293">
        <v>1001</v>
      </c>
      <c r="R2293" t="s">
        <v>5888</v>
      </c>
      <c r="S2293" t="s">
        <v>6371</v>
      </c>
      <c r="T2293" t="s">
        <v>800</v>
      </c>
      <c r="U2293" t="s">
        <v>850</v>
      </c>
      <c r="W2293">
        <v>1050</v>
      </c>
      <c r="X2293">
        <v>1050</v>
      </c>
      <c r="Y2293" t="s">
        <v>802</v>
      </c>
      <c r="Z2293" t="s">
        <v>792</v>
      </c>
      <c r="AB2293" t="s">
        <v>793</v>
      </c>
      <c r="AD2293" t="s">
        <v>794</v>
      </c>
      <c r="AE2293" t="s">
        <v>795</v>
      </c>
      <c r="AF2293" t="s">
        <v>796</v>
      </c>
      <c r="AG2293" t="s">
        <v>797</v>
      </c>
      <c r="AH2293">
        <v>116000</v>
      </c>
      <c r="AI2293">
        <v>123000</v>
      </c>
      <c r="AJ2293">
        <v>0.29899999999999999</v>
      </c>
    </row>
    <row r="2294" spans="1:36" x14ac:dyDescent="0.3">
      <c r="A2294">
        <f>COUNTIF($D$2:D2294,D2294)</f>
        <v>42</v>
      </c>
      <c r="B2294" t="str">
        <f t="shared" si="141"/>
        <v>42Surrey</v>
      </c>
      <c r="C2294" t="s">
        <v>6372</v>
      </c>
      <c r="D2294" t="s">
        <v>313</v>
      </c>
      <c r="E2294">
        <v>159</v>
      </c>
      <c r="F2294" t="s">
        <v>6373</v>
      </c>
      <c r="G2294" t="s">
        <v>811</v>
      </c>
      <c r="H2294" t="s">
        <v>830</v>
      </c>
      <c r="I2294" t="s">
        <v>813</v>
      </c>
      <c r="J2294">
        <f t="shared" ca="1" si="142"/>
        <v>94000</v>
      </c>
      <c r="K2294">
        <f t="shared" ca="1" si="143"/>
        <v>124</v>
      </c>
      <c r="N2294" t="str">
        <f t="shared" si="140"/>
        <v>St. Helens1002Low Vision Support Service Assistive Technologies and EquipmentCommunity based equipment</v>
      </c>
      <c r="O2294" t="s">
        <v>299</v>
      </c>
      <c r="P2294" t="s">
        <v>1201</v>
      </c>
      <c r="Q2294">
        <v>1002</v>
      </c>
      <c r="R2294" t="s">
        <v>5890</v>
      </c>
      <c r="S2294" t="s">
        <v>6374</v>
      </c>
      <c r="T2294" t="s">
        <v>800</v>
      </c>
      <c r="U2294" t="s">
        <v>903</v>
      </c>
      <c r="W2294">
        <v>83</v>
      </c>
      <c r="X2294">
        <v>83</v>
      </c>
      <c r="Y2294" t="s">
        <v>802</v>
      </c>
      <c r="Z2294" t="s">
        <v>823</v>
      </c>
      <c r="AB2294" t="s">
        <v>793</v>
      </c>
      <c r="AD2294" t="s">
        <v>794</v>
      </c>
      <c r="AE2294" t="s">
        <v>795</v>
      </c>
      <c r="AF2294" t="s">
        <v>796</v>
      </c>
      <c r="AG2294" t="s">
        <v>797</v>
      </c>
      <c r="AH2294">
        <v>60000</v>
      </c>
      <c r="AI2294">
        <v>63000</v>
      </c>
      <c r="AJ2294">
        <v>0.22500000000000001</v>
      </c>
    </row>
    <row r="2295" spans="1:36" x14ac:dyDescent="0.3">
      <c r="A2295">
        <f>COUNTIF($D$2:D2295,D2295)</f>
        <v>43</v>
      </c>
      <c r="B2295" t="str">
        <f t="shared" si="141"/>
        <v>43Surrey</v>
      </c>
      <c r="C2295" t="s">
        <v>6375</v>
      </c>
      <c r="D2295" t="s">
        <v>313</v>
      </c>
      <c r="E2295">
        <v>167</v>
      </c>
      <c r="F2295" t="s">
        <v>6376</v>
      </c>
      <c r="G2295" t="s">
        <v>800</v>
      </c>
      <c r="H2295" t="s">
        <v>850</v>
      </c>
      <c r="I2295" t="s">
        <v>802</v>
      </c>
      <c r="J2295">
        <f t="shared" ca="1" si="142"/>
        <v>24000</v>
      </c>
      <c r="K2295">
        <f t="shared" ca="1" si="143"/>
        <v>14</v>
      </c>
      <c r="N2295" t="str">
        <f t="shared" si="140"/>
        <v>St. Helens2001Transitional BedsBed based intermediate Care Services (Reablement, rehabilitation, wider short-term services supporting recovery)Bed-based intermediate care with reablement accepting step up and step down users</v>
      </c>
      <c r="O2295" t="s">
        <v>299</v>
      </c>
      <c r="P2295" t="s">
        <v>1201</v>
      </c>
      <c r="Q2295">
        <v>2001</v>
      </c>
      <c r="R2295" t="s">
        <v>3701</v>
      </c>
      <c r="S2295" t="s">
        <v>6377</v>
      </c>
      <c r="T2295" t="s">
        <v>877</v>
      </c>
      <c r="U2295" t="s">
        <v>1259</v>
      </c>
      <c r="W2295">
        <v>12</v>
      </c>
      <c r="X2295">
        <v>12</v>
      </c>
      <c r="Y2295" t="s">
        <v>879</v>
      </c>
      <c r="Z2295" t="s">
        <v>792</v>
      </c>
      <c r="AB2295" t="s">
        <v>1739</v>
      </c>
      <c r="AC2295">
        <v>0.72</v>
      </c>
      <c r="AD2295">
        <v>0.28000000000000003</v>
      </c>
      <c r="AE2295" t="s">
        <v>795</v>
      </c>
      <c r="AF2295" t="s">
        <v>796</v>
      </c>
      <c r="AG2295" t="s">
        <v>797</v>
      </c>
      <c r="AH2295">
        <v>35000</v>
      </c>
      <c r="AI2295">
        <v>37000</v>
      </c>
      <c r="AJ2295">
        <v>0.01</v>
      </c>
    </row>
    <row r="2296" spans="1:36" x14ac:dyDescent="0.3">
      <c r="A2296">
        <f>COUNTIF($D$2:D2296,D2296)</f>
        <v>44</v>
      </c>
      <c r="B2296" t="str">
        <f t="shared" si="141"/>
        <v>44Surrey</v>
      </c>
      <c r="C2296" t="s">
        <v>6378</v>
      </c>
      <c r="D2296" t="s">
        <v>313</v>
      </c>
      <c r="E2296">
        <v>172</v>
      </c>
      <c r="F2296" t="s">
        <v>6379</v>
      </c>
      <c r="G2296" t="s">
        <v>800</v>
      </c>
      <c r="H2296" t="s">
        <v>903</v>
      </c>
      <c r="I2296" t="s">
        <v>802</v>
      </c>
      <c r="J2296">
        <f t="shared" ca="1" si="142"/>
        <v>216817</v>
      </c>
      <c r="K2296">
        <f t="shared" ca="1" si="143"/>
        <v>738</v>
      </c>
      <c r="N2296" t="str">
        <f t="shared" si="140"/>
        <v>St. Helens2001Transitional BedsBed based intermediate Care Services (Reablement, rehabilitation, wider short-term services supporting recovery)Bed-based intermediate care with reablement accepting step up and step down users</v>
      </c>
      <c r="O2296" t="s">
        <v>299</v>
      </c>
      <c r="P2296" t="s">
        <v>1201</v>
      </c>
      <c r="Q2296">
        <v>2001</v>
      </c>
      <c r="R2296" t="s">
        <v>3701</v>
      </c>
      <c r="S2296" t="s">
        <v>6377</v>
      </c>
      <c r="T2296" t="s">
        <v>877</v>
      </c>
      <c r="U2296" t="s">
        <v>1259</v>
      </c>
      <c r="W2296">
        <v>38</v>
      </c>
      <c r="X2296">
        <v>38</v>
      </c>
      <c r="Y2296" t="s">
        <v>879</v>
      </c>
      <c r="Z2296" t="s">
        <v>792</v>
      </c>
      <c r="AB2296" t="s">
        <v>1739</v>
      </c>
      <c r="AC2296">
        <v>0.72</v>
      </c>
      <c r="AD2296">
        <v>0.28000000000000003</v>
      </c>
      <c r="AE2296" t="s">
        <v>795</v>
      </c>
      <c r="AF2296" t="s">
        <v>796</v>
      </c>
      <c r="AG2296" t="s">
        <v>797</v>
      </c>
      <c r="AH2296">
        <v>113000</v>
      </c>
      <c r="AI2296">
        <v>119000</v>
      </c>
      <c r="AJ2296">
        <v>3.1699999999999999E-2</v>
      </c>
    </row>
    <row r="2297" spans="1:36" x14ac:dyDescent="0.3">
      <c r="A2297">
        <f>COUNTIF($D$2:D2297,D2297)</f>
        <v>45</v>
      </c>
      <c r="B2297" t="str">
        <f t="shared" si="141"/>
        <v>45Surrey</v>
      </c>
      <c r="C2297" t="s">
        <v>6380</v>
      </c>
      <c r="D2297" t="s">
        <v>313</v>
      </c>
      <c r="E2297">
        <v>174</v>
      </c>
      <c r="F2297" t="s">
        <v>6381</v>
      </c>
      <c r="G2297" t="s">
        <v>834</v>
      </c>
      <c r="H2297" t="s">
        <v>835</v>
      </c>
      <c r="I2297" t="s">
        <v>836</v>
      </c>
      <c r="J2297">
        <f t="shared" ca="1" si="142"/>
        <v>282969</v>
      </c>
      <c r="K2297">
        <f t="shared" ca="1" si="143"/>
        <v>50</v>
      </c>
      <c r="N2297" t="str">
        <f t="shared" si="140"/>
        <v>St. Helens1003Carers CentreCarers ServicesCarer advice and support related to Care Act duties</v>
      </c>
      <c r="O2297" t="s">
        <v>299</v>
      </c>
      <c r="P2297" t="s">
        <v>1201</v>
      </c>
      <c r="Q2297">
        <v>1003</v>
      </c>
      <c r="R2297" t="s">
        <v>3023</v>
      </c>
      <c r="S2297" t="s">
        <v>6382</v>
      </c>
      <c r="T2297" t="s">
        <v>811</v>
      </c>
      <c r="U2297" t="s">
        <v>895</v>
      </c>
      <c r="W2297">
        <v>798</v>
      </c>
      <c r="X2297">
        <v>831</v>
      </c>
      <c r="Y2297" t="s">
        <v>813</v>
      </c>
      <c r="Z2297" t="s">
        <v>792</v>
      </c>
      <c r="AB2297" t="s">
        <v>793</v>
      </c>
      <c r="AD2297" t="s">
        <v>794</v>
      </c>
      <c r="AE2297" t="s">
        <v>825</v>
      </c>
      <c r="AF2297" t="s">
        <v>796</v>
      </c>
      <c r="AG2297" t="s">
        <v>797</v>
      </c>
      <c r="AH2297">
        <v>40300</v>
      </c>
      <c r="AI2297">
        <v>43000</v>
      </c>
      <c r="AJ2297">
        <v>5.0999999999999997E-2</v>
      </c>
    </row>
    <row r="2298" spans="1:36" x14ac:dyDescent="0.3">
      <c r="A2298">
        <f>COUNTIF($D$2:D2298,D2298)</f>
        <v>46</v>
      </c>
      <c r="B2298" t="str">
        <f t="shared" si="141"/>
        <v>46Surrey</v>
      </c>
      <c r="C2298" t="s">
        <v>6383</v>
      </c>
      <c r="D2298" t="s">
        <v>313</v>
      </c>
      <c r="E2298">
        <v>181</v>
      </c>
      <c r="F2298" t="s">
        <v>6384</v>
      </c>
      <c r="G2298" t="s">
        <v>811</v>
      </c>
      <c r="H2298" t="s">
        <v>830</v>
      </c>
      <c r="I2298" t="s">
        <v>813</v>
      </c>
      <c r="J2298">
        <f t="shared" ca="1" si="142"/>
        <v>25000</v>
      </c>
      <c r="K2298">
        <f t="shared" ca="1" si="143"/>
        <v>33</v>
      </c>
      <c r="N2298" t="str">
        <f t="shared" si="140"/>
        <v>St. Helens1004Carers Respite SupportCarers ServicesRespite services</v>
      </c>
      <c r="O2298" t="s">
        <v>299</v>
      </c>
      <c r="P2298" t="s">
        <v>1201</v>
      </c>
      <c r="Q2298">
        <v>1004</v>
      </c>
      <c r="R2298" t="s">
        <v>5896</v>
      </c>
      <c r="S2298" t="s">
        <v>6382</v>
      </c>
      <c r="T2298" t="s">
        <v>811</v>
      </c>
      <c r="U2298" t="s">
        <v>830</v>
      </c>
      <c r="W2298">
        <v>134</v>
      </c>
      <c r="X2298">
        <v>134</v>
      </c>
      <c r="Y2298" t="s">
        <v>813</v>
      </c>
      <c r="Z2298" t="s">
        <v>792</v>
      </c>
      <c r="AB2298" t="s">
        <v>793</v>
      </c>
      <c r="AD2298" t="s">
        <v>794</v>
      </c>
      <c r="AE2298" t="s">
        <v>804</v>
      </c>
      <c r="AF2298" t="s">
        <v>796</v>
      </c>
      <c r="AG2298" t="s">
        <v>797</v>
      </c>
      <c r="AH2298">
        <v>375000</v>
      </c>
      <c r="AI2298">
        <v>396000</v>
      </c>
      <c r="AJ2298">
        <v>0.1052</v>
      </c>
    </row>
    <row r="2299" spans="1:36" x14ac:dyDescent="0.3">
      <c r="A2299">
        <f>COUNTIF($D$2:D2299,D2299)</f>
        <v>47</v>
      </c>
      <c r="B2299" t="str">
        <f t="shared" si="141"/>
        <v>47Surrey</v>
      </c>
      <c r="C2299" t="s">
        <v>6385</v>
      </c>
      <c r="D2299" t="s">
        <v>313</v>
      </c>
      <c r="E2299">
        <v>190</v>
      </c>
      <c r="F2299" t="s">
        <v>6386</v>
      </c>
      <c r="G2299" t="s">
        <v>800</v>
      </c>
      <c r="H2299" t="s">
        <v>850</v>
      </c>
      <c r="I2299" t="s">
        <v>802</v>
      </c>
      <c r="J2299">
        <f t="shared" ca="1" si="142"/>
        <v>8000</v>
      </c>
      <c r="K2299">
        <f t="shared" ca="1" si="143"/>
        <v>5</v>
      </c>
      <c r="N2299" t="str">
        <f t="shared" si="140"/>
        <v>St. Helens1003Carers CentreCarers ServicesCarer advice and support related to Care Act duties</v>
      </c>
      <c r="O2299" t="s">
        <v>299</v>
      </c>
      <c r="P2299" t="s">
        <v>1201</v>
      </c>
      <c r="Q2299">
        <v>1003</v>
      </c>
      <c r="R2299" t="s">
        <v>3023</v>
      </c>
      <c r="S2299" t="s">
        <v>6382</v>
      </c>
      <c r="T2299" t="s">
        <v>811</v>
      </c>
      <c r="U2299" t="s">
        <v>895</v>
      </c>
      <c r="W2299">
        <v>14489</v>
      </c>
      <c r="X2299">
        <v>15923</v>
      </c>
      <c r="Y2299" t="s">
        <v>813</v>
      </c>
      <c r="Z2299" t="s">
        <v>792</v>
      </c>
      <c r="AB2299" t="s">
        <v>793</v>
      </c>
      <c r="AD2299" t="s">
        <v>794</v>
      </c>
      <c r="AE2299" t="s">
        <v>825</v>
      </c>
      <c r="AF2299" t="s">
        <v>796</v>
      </c>
      <c r="AG2299" t="s">
        <v>797</v>
      </c>
      <c r="AH2299">
        <v>731700</v>
      </c>
      <c r="AI2299">
        <v>773000</v>
      </c>
      <c r="AJ2299">
        <v>0.93300000000000005</v>
      </c>
    </row>
    <row r="2300" spans="1:36" x14ac:dyDescent="0.3">
      <c r="A2300">
        <f>COUNTIF($D$2:D2300,D2300)</f>
        <v>48</v>
      </c>
      <c r="B2300" t="str">
        <f t="shared" si="141"/>
        <v>48Surrey</v>
      </c>
      <c r="C2300" t="s">
        <v>6387</v>
      </c>
      <c r="D2300" t="s">
        <v>313</v>
      </c>
      <c r="E2300">
        <v>195</v>
      </c>
      <c r="F2300" t="s">
        <v>6388</v>
      </c>
      <c r="G2300" t="s">
        <v>800</v>
      </c>
      <c r="H2300" t="s">
        <v>903</v>
      </c>
      <c r="I2300" t="s">
        <v>802</v>
      </c>
      <c r="J2300">
        <f t="shared" ca="1" si="142"/>
        <v>52378</v>
      </c>
      <c r="K2300">
        <f t="shared" ca="1" si="143"/>
        <v>178</v>
      </c>
      <c r="N2300" t="str">
        <f t="shared" si="140"/>
        <v>St. Helens1006Direct Payment Suppport for carersCarers ServicesOther</v>
      </c>
      <c r="O2300" t="s">
        <v>299</v>
      </c>
      <c r="P2300" t="s">
        <v>1201</v>
      </c>
      <c r="Q2300">
        <v>1006</v>
      </c>
      <c r="R2300" t="s">
        <v>5898</v>
      </c>
      <c r="S2300" t="s">
        <v>6382</v>
      </c>
      <c r="T2300" t="s">
        <v>811</v>
      </c>
      <c r="U2300" t="s">
        <v>812</v>
      </c>
      <c r="V2300" t="s">
        <v>6382</v>
      </c>
      <c r="W2300">
        <v>75</v>
      </c>
      <c r="X2300">
        <v>75</v>
      </c>
      <c r="Y2300" t="s">
        <v>813</v>
      </c>
      <c r="Z2300" t="s">
        <v>792</v>
      </c>
      <c r="AB2300" t="s">
        <v>793</v>
      </c>
      <c r="AD2300" t="s">
        <v>794</v>
      </c>
      <c r="AE2300" t="s">
        <v>795</v>
      </c>
      <c r="AF2300" t="s">
        <v>796</v>
      </c>
      <c r="AG2300" t="s">
        <v>797</v>
      </c>
      <c r="AH2300">
        <v>209914</v>
      </c>
      <c r="AI2300">
        <v>222000</v>
      </c>
      <c r="AJ2300">
        <v>1.72E-2</v>
      </c>
    </row>
    <row r="2301" spans="1:36" x14ac:dyDescent="0.3">
      <c r="A2301">
        <f>COUNTIF($D$2:D2301,D2301)</f>
        <v>49</v>
      </c>
      <c r="B2301" t="str">
        <f t="shared" si="141"/>
        <v>49Surrey</v>
      </c>
      <c r="C2301" t="s">
        <v>6389</v>
      </c>
      <c r="D2301" t="s">
        <v>313</v>
      </c>
      <c r="E2301">
        <v>197</v>
      </c>
      <c r="F2301" t="s">
        <v>6390</v>
      </c>
      <c r="G2301" t="s">
        <v>834</v>
      </c>
      <c r="H2301" t="s">
        <v>835</v>
      </c>
      <c r="I2301" t="s">
        <v>836</v>
      </c>
      <c r="J2301">
        <f t="shared" ca="1" si="142"/>
        <v>82287</v>
      </c>
      <c r="K2301">
        <f t="shared" ca="1" si="143"/>
        <v>15</v>
      </c>
      <c r="N2301" t="str">
        <f t="shared" si="140"/>
        <v>St. Helens1007Respite SupportCarers ServicesRespite services</v>
      </c>
      <c r="O2301" t="s">
        <v>299</v>
      </c>
      <c r="P2301" t="s">
        <v>1201</v>
      </c>
      <c r="Q2301">
        <v>1007</v>
      </c>
      <c r="R2301" t="s">
        <v>5900</v>
      </c>
      <c r="S2301" t="s">
        <v>6391</v>
      </c>
      <c r="T2301" t="s">
        <v>811</v>
      </c>
      <c r="U2301" t="s">
        <v>830</v>
      </c>
      <c r="W2301">
        <v>14</v>
      </c>
      <c r="X2301">
        <v>14</v>
      </c>
      <c r="Y2301" t="s">
        <v>813</v>
      </c>
      <c r="Z2301" t="s">
        <v>792</v>
      </c>
      <c r="AB2301" t="s">
        <v>793</v>
      </c>
      <c r="AD2301" t="s">
        <v>794</v>
      </c>
      <c r="AE2301" t="s">
        <v>804</v>
      </c>
      <c r="AF2301" t="s">
        <v>845</v>
      </c>
      <c r="AG2301" t="s">
        <v>797</v>
      </c>
      <c r="AH2301">
        <v>38000</v>
      </c>
      <c r="AI2301">
        <v>38000</v>
      </c>
      <c r="AJ2301">
        <v>1.38E-2</v>
      </c>
    </row>
    <row r="2302" spans="1:36" x14ac:dyDescent="0.3">
      <c r="A2302">
        <f>COUNTIF($D$2:D2302,D2302)</f>
        <v>50</v>
      </c>
      <c r="B2302" t="str">
        <f t="shared" si="141"/>
        <v>50Surrey</v>
      </c>
      <c r="C2302" t="s">
        <v>6392</v>
      </c>
      <c r="D2302" t="s">
        <v>313</v>
      </c>
      <c r="E2302">
        <v>203</v>
      </c>
      <c r="F2302" t="s">
        <v>6393</v>
      </c>
      <c r="G2302" t="s">
        <v>811</v>
      </c>
      <c r="H2302" t="s">
        <v>830</v>
      </c>
      <c r="I2302" t="s">
        <v>813</v>
      </c>
      <c r="J2302">
        <f t="shared" ca="1" si="142"/>
        <v>7791119</v>
      </c>
      <c r="K2302">
        <f t="shared" ca="1" si="143"/>
        <v>10302</v>
      </c>
      <c r="N2302" t="str">
        <f t="shared" si="140"/>
        <v>St. Helens1013DFG'S Capital Grant for home adaptationsDFG Related SchemesAdaptations, including statutory DFG grants</v>
      </c>
      <c r="O2302" t="s">
        <v>299</v>
      </c>
      <c r="P2302" t="s">
        <v>1201</v>
      </c>
      <c r="Q2302">
        <v>1013</v>
      </c>
      <c r="R2302" t="s">
        <v>5903</v>
      </c>
      <c r="S2302" t="s">
        <v>6394</v>
      </c>
      <c r="T2302" t="s">
        <v>834</v>
      </c>
      <c r="U2302" t="s">
        <v>835</v>
      </c>
      <c r="W2302">
        <v>615</v>
      </c>
      <c r="X2302">
        <v>615</v>
      </c>
      <c r="Y2302" t="s">
        <v>836</v>
      </c>
      <c r="Z2302" t="s">
        <v>792</v>
      </c>
      <c r="AB2302" t="s">
        <v>793</v>
      </c>
      <c r="AD2302" t="s">
        <v>794</v>
      </c>
      <c r="AE2302" t="s">
        <v>795</v>
      </c>
      <c r="AF2302" t="s">
        <v>840</v>
      </c>
      <c r="AG2302" t="s">
        <v>797</v>
      </c>
      <c r="AH2302">
        <v>3147755</v>
      </c>
      <c r="AI2302">
        <v>3147755</v>
      </c>
      <c r="AJ2302">
        <v>1</v>
      </c>
    </row>
    <row r="2303" spans="1:36" x14ac:dyDescent="0.3">
      <c r="A2303">
        <f>COUNTIF($D$2:D2303,D2303)</f>
        <v>51</v>
      </c>
      <c r="B2303" t="str">
        <f t="shared" si="141"/>
        <v>51Surrey</v>
      </c>
      <c r="C2303" t="s">
        <v>6395</v>
      </c>
      <c r="D2303" t="s">
        <v>313</v>
      </c>
      <c r="E2303">
        <v>204</v>
      </c>
      <c r="F2303" t="s">
        <v>6396</v>
      </c>
      <c r="G2303" t="s">
        <v>800</v>
      </c>
      <c r="H2303" t="s">
        <v>903</v>
      </c>
      <c r="I2303" t="s">
        <v>802</v>
      </c>
      <c r="J2303">
        <f t="shared" ca="1" si="142"/>
        <v>2100000</v>
      </c>
      <c r="K2303">
        <f t="shared" ca="1" si="143"/>
        <v>7147</v>
      </c>
      <c r="N2303" t="str">
        <f t="shared" si="140"/>
        <v>St. Helens1025 Community Based Dom Care PackagesHome Care or Domiciliary CareDomiciliary care packages</v>
      </c>
      <c r="O2303" t="s">
        <v>299</v>
      </c>
      <c r="P2303" t="s">
        <v>1201</v>
      </c>
      <c r="Q2303">
        <v>1025</v>
      </c>
      <c r="R2303" t="s">
        <v>5905</v>
      </c>
      <c r="S2303" t="s">
        <v>6397</v>
      </c>
      <c r="T2303" t="s">
        <v>842</v>
      </c>
      <c r="U2303" t="s">
        <v>843</v>
      </c>
      <c r="W2303">
        <v>129464</v>
      </c>
      <c r="X2303">
        <v>129464</v>
      </c>
      <c r="Y2303" t="s">
        <v>844</v>
      </c>
      <c r="Z2303" t="s">
        <v>792</v>
      </c>
      <c r="AB2303" t="s">
        <v>793</v>
      </c>
      <c r="AD2303" t="s">
        <v>794</v>
      </c>
      <c r="AE2303" t="s">
        <v>804</v>
      </c>
      <c r="AF2303" t="s">
        <v>796</v>
      </c>
      <c r="AG2303" t="s">
        <v>797</v>
      </c>
      <c r="AH2303">
        <v>2620352</v>
      </c>
      <c r="AI2303">
        <v>2769000</v>
      </c>
      <c r="AJ2303">
        <v>0.20599999999999999</v>
      </c>
    </row>
    <row r="2304" spans="1:36" x14ac:dyDescent="0.3">
      <c r="A2304">
        <f>COUNTIF($D$2:D2304,D2304)</f>
        <v>52</v>
      </c>
      <c r="B2304" t="str">
        <f t="shared" si="141"/>
        <v>52Surrey</v>
      </c>
      <c r="C2304" t="s">
        <v>6398</v>
      </c>
      <c r="D2304" t="s">
        <v>313</v>
      </c>
      <c r="E2304">
        <v>207</v>
      </c>
      <c r="F2304" t="s">
        <v>6399</v>
      </c>
      <c r="G2304" t="s">
        <v>842</v>
      </c>
      <c r="H2304" t="s">
        <v>843</v>
      </c>
      <c r="I2304" t="s">
        <v>844</v>
      </c>
      <c r="J2304">
        <f t="shared" ca="1" si="142"/>
        <v>11121707</v>
      </c>
      <c r="K2304">
        <f t="shared" ca="1" si="143"/>
        <v>463598</v>
      </c>
      <c r="N2304" t="str">
        <f t="shared" si="140"/>
        <v>St. Helens1025 Community Based Dom Care PackagesHome Care or Domiciliary CareDomiciliary care packages</v>
      </c>
      <c r="O2304" t="s">
        <v>299</v>
      </c>
      <c r="P2304" t="s">
        <v>1201</v>
      </c>
      <c r="Q2304">
        <v>1025</v>
      </c>
      <c r="R2304" t="s">
        <v>5905</v>
      </c>
      <c r="S2304" t="s">
        <v>6397</v>
      </c>
      <c r="T2304" t="s">
        <v>842</v>
      </c>
      <c r="U2304" t="s">
        <v>843</v>
      </c>
      <c r="W2304">
        <v>228638</v>
      </c>
      <c r="X2304">
        <v>228638</v>
      </c>
      <c r="Y2304" t="s">
        <v>844</v>
      </c>
      <c r="Z2304" t="s">
        <v>792</v>
      </c>
      <c r="AB2304" t="s">
        <v>793</v>
      </c>
      <c r="AD2304" t="s">
        <v>794</v>
      </c>
      <c r="AE2304" t="s">
        <v>804</v>
      </c>
      <c r="AF2304" t="s">
        <v>845</v>
      </c>
      <c r="AG2304" t="s">
        <v>797</v>
      </c>
      <c r="AH2304">
        <v>4627647</v>
      </c>
      <c r="AI2304">
        <v>4627647</v>
      </c>
      <c r="AJ2304">
        <v>0.36399999999999999</v>
      </c>
    </row>
    <row r="2305" spans="1:36" x14ac:dyDescent="0.3">
      <c r="A2305">
        <f>COUNTIF($D$2:D2305,D2305)</f>
        <v>1</v>
      </c>
      <c r="B2305" t="str">
        <f t="shared" si="141"/>
        <v>1Sutton</v>
      </c>
      <c r="C2305" t="s">
        <v>6400</v>
      </c>
      <c r="D2305" t="s">
        <v>315</v>
      </c>
      <c r="E2305">
        <v>4</v>
      </c>
      <c r="F2305" t="s">
        <v>1183</v>
      </c>
      <c r="G2305" t="s">
        <v>877</v>
      </c>
      <c r="H2305" t="s">
        <v>1015</v>
      </c>
      <c r="I2305" t="s">
        <v>879</v>
      </c>
      <c r="J2305">
        <f t="shared" ca="1" si="142"/>
        <v>590000</v>
      </c>
      <c r="K2305">
        <f t="shared" ca="1" si="143"/>
        <v>168</v>
      </c>
      <c r="N2305" t="str">
        <f t="shared" si="140"/>
        <v>St. Helens1025 Community Based Dom Care PackagesHome Care or Domiciliary CareDomiciliary care packages</v>
      </c>
      <c r="O2305" t="s">
        <v>299</v>
      </c>
      <c r="P2305" t="s">
        <v>1201</v>
      </c>
      <c r="Q2305">
        <v>1025</v>
      </c>
      <c r="R2305" t="s">
        <v>5905</v>
      </c>
      <c r="S2305" t="s">
        <v>6397</v>
      </c>
      <c r="T2305" t="s">
        <v>842</v>
      </c>
      <c r="U2305" t="s">
        <v>843</v>
      </c>
      <c r="W2305">
        <v>32411</v>
      </c>
      <c r="X2305">
        <v>32411</v>
      </c>
      <c r="Y2305" t="s">
        <v>844</v>
      </c>
      <c r="Z2305" t="s">
        <v>792</v>
      </c>
      <c r="AB2305" t="s">
        <v>793</v>
      </c>
      <c r="AD2305" t="s">
        <v>794</v>
      </c>
      <c r="AE2305" t="s">
        <v>804</v>
      </c>
      <c r="AF2305" t="s">
        <v>845</v>
      </c>
      <c r="AG2305" t="s">
        <v>797</v>
      </c>
      <c r="AH2305">
        <v>656000</v>
      </c>
      <c r="AI2305">
        <v>656000</v>
      </c>
      <c r="AJ2305">
        <v>5.1200000000000002E-2</v>
      </c>
    </row>
    <row r="2306" spans="1:36" x14ac:dyDescent="0.3">
      <c r="A2306">
        <f>COUNTIF($D$2:D2306,D2306)</f>
        <v>2</v>
      </c>
      <c r="B2306" t="str">
        <f t="shared" si="141"/>
        <v>2Sutton</v>
      </c>
      <c r="C2306" t="s">
        <v>6401</v>
      </c>
      <c r="D2306" t="s">
        <v>315</v>
      </c>
      <c r="E2306">
        <v>7</v>
      </c>
      <c r="F2306" t="s">
        <v>6402</v>
      </c>
      <c r="G2306" t="s">
        <v>877</v>
      </c>
      <c r="H2306" t="s">
        <v>968</v>
      </c>
      <c r="I2306" t="s">
        <v>879</v>
      </c>
      <c r="J2306">
        <f t="shared" ca="1" si="142"/>
        <v>486000</v>
      </c>
      <c r="K2306">
        <f t="shared" ca="1" si="143"/>
        <v>72</v>
      </c>
      <c r="N2306" t="str">
        <f t="shared" ref="N2306:N2369" si="144">O2306&amp;Q2306&amp;R2306&amp;T2306&amp;U2306</f>
        <v>St. Helens1030Integrated Community Equipment StoreAssistive Technologies and EquipmentCommunity based equipment</v>
      </c>
      <c r="O2306" t="s">
        <v>299</v>
      </c>
      <c r="P2306" t="s">
        <v>1201</v>
      </c>
      <c r="Q2306">
        <v>1030</v>
      </c>
      <c r="R2306" t="s">
        <v>1923</v>
      </c>
      <c r="S2306" t="s">
        <v>1816</v>
      </c>
      <c r="T2306" t="s">
        <v>800</v>
      </c>
      <c r="U2306" t="s">
        <v>903</v>
      </c>
      <c r="W2306">
        <v>9600</v>
      </c>
      <c r="X2306">
        <v>9600</v>
      </c>
      <c r="Y2306" t="s">
        <v>802</v>
      </c>
      <c r="Z2306" t="s">
        <v>792</v>
      </c>
      <c r="AB2306" t="s">
        <v>793</v>
      </c>
      <c r="AD2306" t="s">
        <v>794</v>
      </c>
      <c r="AE2306" t="s">
        <v>832</v>
      </c>
      <c r="AF2306" t="s">
        <v>796</v>
      </c>
      <c r="AG2306" t="s">
        <v>797</v>
      </c>
      <c r="AH2306">
        <v>609000</v>
      </c>
      <c r="AI2306">
        <v>643000</v>
      </c>
      <c r="AJ2306">
        <v>0.91400000000000003</v>
      </c>
    </row>
    <row r="2307" spans="1:36" x14ac:dyDescent="0.3">
      <c r="A2307">
        <f>COUNTIF($D$2:D2307,D2307)</f>
        <v>3</v>
      </c>
      <c r="B2307" t="str">
        <f t="shared" ref="B2307:B2370" si="145">A2307&amp;D2307</f>
        <v>3Sutton</v>
      </c>
      <c r="C2307" t="s">
        <v>6403</v>
      </c>
      <c r="D2307" t="s">
        <v>315</v>
      </c>
      <c r="E2307">
        <v>8</v>
      </c>
      <c r="F2307" t="s">
        <v>6404</v>
      </c>
      <c r="G2307" t="s">
        <v>842</v>
      </c>
      <c r="H2307" t="s">
        <v>843</v>
      </c>
      <c r="I2307" t="s">
        <v>844</v>
      </c>
      <c r="J2307">
        <f t="shared" ref="J2307:J2370" ca="1" si="146">SUMIF($N:$AI,C2307,AH:AH)</f>
        <v>2351407</v>
      </c>
      <c r="K2307">
        <f t="shared" ref="K2307:K2370" ca="1" si="147">SUMIF($N:$AI,C2307,W:W)</f>
        <v>85671</v>
      </c>
      <c r="N2307" t="str">
        <f t="shared" si="144"/>
        <v>St. Helens1031Assistive technology - Aids &amp; AdaptationsAssistive Technologies and EquipmentCommunity based equipment</v>
      </c>
      <c r="O2307" t="s">
        <v>299</v>
      </c>
      <c r="P2307" t="s">
        <v>1201</v>
      </c>
      <c r="Q2307">
        <v>1031</v>
      </c>
      <c r="R2307" t="s">
        <v>5909</v>
      </c>
      <c r="S2307" t="s">
        <v>6405</v>
      </c>
      <c r="T2307" t="s">
        <v>800</v>
      </c>
      <c r="U2307" t="s">
        <v>903</v>
      </c>
      <c r="W2307">
        <v>605</v>
      </c>
      <c r="X2307">
        <v>605</v>
      </c>
      <c r="Y2307" t="s">
        <v>802</v>
      </c>
      <c r="Z2307" t="s">
        <v>792</v>
      </c>
      <c r="AB2307" t="s">
        <v>793</v>
      </c>
      <c r="AD2307" t="s">
        <v>794</v>
      </c>
      <c r="AE2307" t="s">
        <v>795</v>
      </c>
      <c r="AF2307" t="s">
        <v>796</v>
      </c>
      <c r="AG2307" t="s">
        <v>797</v>
      </c>
      <c r="AH2307">
        <v>242000</v>
      </c>
      <c r="AI2307">
        <v>256000</v>
      </c>
      <c r="AJ2307">
        <v>0.72</v>
      </c>
    </row>
    <row r="2308" spans="1:36" x14ac:dyDescent="0.3">
      <c r="A2308">
        <f>COUNTIF($D$2:D2308,D2308)</f>
        <v>4</v>
      </c>
      <c r="B2308" t="str">
        <f t="shared" si="145"/>
        <v>4Sutton</v>
      </c>
      <c r="C2308" t="s">
        <v>6406</v>
      </c>
      <c r="D2308" t="s">
        <v>315</v>
      </c>
      <c r="E2308">
        <v>11</v>
      </c>
      <c r="F2308" t="s">
        <v>6407</v>
      </c>
      <c r="G2308" t="s">
        <v>842</v>
      </c>
      <c r="H2308" t="s">
        <v>843</v>
      </c>
      <c r="I2308" t="s">
        <v>844</v>
      </c>
      <c r="J2308">
        <f t="shared" ca="1" si="146"/>
        <v>759416</v>
      </c>
      <c r="K2308">
        <f t="shared" ca="1" si="147"/>
        <v>27668</v>
      </c>
      <c r="N2308" t="str">
        <f t="shared" si="144"/>
        <v xml:space="preserve">St. Helens1039Resources for the Reablement ServiceHome-based intermediate care servicesReablement at home (to support discharge) </v>
      </c>
      <c r="O2308" t="s">
        <v>299</v>
      </c>
      <c r="P2308" t="s">
        <v>1201</v>
      </c>
      <c r="Q2308">
        <v>1039</v>
      </c>
      <c r="R2308" t="s">
        <v>5911</v>
      </c>
      <c r="S2308" t="s">
        <v>2087</v>
      </c>
      <c r="T2308" t="s">
        <v>787</v>
      </c>
      <c r="U2308" t="s">
        <v>788</v>
      </c>
      <c r="W2308">
        <v>346</v>
      </c>
      <c r="X2308">
        <v>346</v>
      </c>
      <c r="Y2308" t="s">
        <v>789</v>
      </c>
      <c r="Z2308" t="s">
        <v>792</v>
      </c>
      <c r="AB2308" t="s">
        <v>793</v>
      </c>
      <c r="AD2308" t="s">
        <v>794</v>
      </c>
      <c r="AE2308" t="s">
        <v>795</v>
      </c>
      <c r="AF2308" t="s">
        <v>796</v>
      </c>
      <c r="AG2308" t="s">
        <v>797</v>
      </c>
      <c r="AH2308">
        <v>333000</v>
      </c>
      <c r="AI2308">
        <v>352000</v>
      </c>
      <c r="AJ2308">
        <v>0.20200000000000001</v>
      </c>
    </row>
    <row r="2309" spans="1:36" x14ac:dyDescent="0.3">
      <c r="A2309">
        <f>COUNTIF($D$2:D2309,D2309)</f>
        <v>5</v>
      </c>
      <c r="B2309" t="str">
        <f t="shared" si="145"/>
        <v>5Sutton</v>
      </c>
      <c r="C2309" t="s">
        <v>6408</v>
      </c>
      <c r="D2309" t="s">
        <v>315</v>
      </c>
      <c r="E2309">
        <v>18</v>
      </c>
      <c r="F2309" t="s">
        <v>3489</v>
      </c>
      <c r="G2309" t="s">
        <v>800</v>
      </c>
      <c r="H2309" t="s">
        <v>903</v>
      </c>
      <c r="I2309" t="s">
        <v>802</v>
      </c>
      <c r="J2309">
        <f t="shared" ca="1" si="146"/>
        <v>2111000</v>
      </c>
      <c r="K2309">
        <f t="shared" ca="1" si="147"/>
        <v>3461</v>
      </c>
      <c r="N2309" t="str">
        <f t="shared" si="144"/>
        <v>St. Helens1040Transitional BedsBed based intermediate Care Services (Reablement, rehabilitation, wider short-term services supporting recovery)Bed-based intermediate care with reablement accepting step up and step down users</v>
      </c>
      <c r="O2309" t="s">
        <v>299</v>
      </c>
      <c r="P2309" t="s">
        <v>1201</v>
      </c>
      <c r="Q2309">
        <v>1040</v>
      </c>
      <c r="R2309" t="s">
        <v>3701</v>
      </c>
      <c r="S2309" t="s">
        <v>6409</v>
      </c>
      <c r="T2309" t="s">
        <v>877</v>
      </c>
      <c r="U2309" t="s">
        <v>1259</v>
      </c>
      <c r="W2309">
        <v>137</v>
      </c>
      <c r="X2309">
        <v>137</v>
      </c>
      <c r="Y2309" t="s">
        <v>879</v>
      </c>
      <c r="Z2309" t="s">
        <v>792</v>
      </c>
      <c r="AB2309" t="s">
        <v>1739</v>
      </c>
      <c r="AC2309">
        <v>0.72</v>
      </c>
      <c r="AD2309">
        <v>0.28000000000000003</v>
      </c>
      <c r="AE2309" t="s">
        <v>795</v>
      </c>
      <c r="AF2309" t="s">
        <v>796</v>
      </c>
      <c r="AG2309" t="s">
        <v>797</v>
      </c>
      <c r="AH2309">
        <v>410000</v>
      </c>
      <c r="AI2309">
        <v>433000</v>
      </c>
      <c r="AJ2309">
        <v>0.115</v>
      </c>
    </row>
    <row r="2310" spans="1:36" x14ac:dyDescent="0.3">
      <c r="A2310">
        <f>COUNTIF($D$2:D2310,D2310)</f>
        <v>6</v>
      </c>
      <c r="B2310" t="str">
        <f t="shared" si="145"/>
        <v>6Sutton</v>
      </c>
      <c r="C2310" t="s">
        <v>6410</v>
      </c>
      <c r="D2310" t="s">
        <v>315</v>
      </c>
      <c r="E2310">
        <v>19</v>
      </c>
      <c r="F2310" t="s">
        <v>2207</v>
      </c>
      <c r="G2310" t="s">
        <v>811</v>
      </c>
      <c r="H2310" t="s">
        <v>830</v>
      </c>
      <c r="I2310" t="s">
        <v>813</v>
      </c>
      <c r="J2310">
        <f t="shared" ca="1" si="146"/>
        <v>534000</v>
      </c>
      <c r="K2310">
        <f t="shared" ca="1" si="147"/>
        <v>331</v>
      </c>
      <c r="N2310" t="str">
        <f t="shared" si="144"/>
        <v>St. Helens2003Community Falls Prevention ServiceHome-based intermediate care servicesReablement at home (to prevent admission to hospital or residential care)</v>
      </c>
      <c r="O2310" t="s">
        <v>299</v>
      </c>
      <c r="P2310" t="s">
        <v>1201</v>
      </c>
      <c r="Q2310">
        <v>2003</v>
      </c>
      <c r="R2310" t="s">
        <v>5914</v>
      </c>
      <c r="S2310" t="s">
        <v>6411</v>
      </c>
      <c r="T2310" t="s">
        <v>787</v>
      </c>
      <c r="U2310" t="s">
        <v>886</v>
      </c>
      <c r="W2310">
        <v>1</v>
      </c>
      <c r="X2310">
        <v>1</v>
      </c>
      <c r="Y2310" t="s">
        <v>789</v>
      </c>
      <c r="Z2310" t="s">
        <v>823</v>
      </c>
      <c r="AB2310" t="s">
        <v>824</v>
      </c>
      <c r="AD2310" t="s">
        <v>794</v>
      </c>
      <c r="AE2310" t="s">
        <v>795</v>
      </c>
      <c r="AF2310" t="s">
        <v>796</v>
      </c>
      <c r="AG2310" t="s">
        <v>797</v>
      </c>
      <c r="AH2310">
        <v>118000</v>
      </c>
      <c r="AI2310">
        <v>125000</v>
      </c>
      <c r="AJ2310">
        <v>0.58699999999999997</v>
      </c>
    </row>
    <row r="2311" spans="1:36" x14ac:dyDescent="0.3">
      <c r="A2311">
        <f>COUNTIF($D$2:D2311,D2311)</f>
        <v>7</v>
      </c>
      <c r="B2311" t="str">
        <f t="shared" si="145"/>
        <v>7Sutton</v>
      </c>
      <c r="C2311" t="s">
        <v>6412</v>
      </c>
      <c r="D2311" t="s">
        <v>315</v>
      </c>
      <c r="E2311">
        <v>20</v>
      </c>
      <c r="F2311" t="s">
        <v>2207</v>
      </c>
      <c r="G2311" t="s">
        <v>811</v>
      </c>
      <c r="H2311" t="s">
        <v>895</v>
      </c>
      <c r="I2311" t="s">
        <v>813</v>
      </c>
      <c r="J2311">
        <f t="shared" ca="1" si="146"/>
        <v>319000</v>
      </c>
      <c r="K2311">
        <f t="shared" ca="1" si="147"/>
        <v>915</v>
      </c>
      <c r="N2311" t="str">
        <f t="shared" si="144"/>
        <v>St. Helens2004Reablement - Planned ResponseHome-based intermediate care servicesReablement at home (to prevent admission to hospital or residential care)</v>
      </c>
      <c r="O2311" t="s">
        <v>299</v>
      </c>
      <c r="P2311" t="s">
        <v>1201</v>
      </c>
      <c r="Q2311">
        <v>2004</v>
      </c>
      <c r="R2311" t="s">
        <v>5916</v>
      </c>
      <c r="S2311" t="s">
        <v>6413</v>
      </c>
      <c r="T2311" t="s">
        <v>787</v>
      </c>
      <c r="U2311" t="s">
        <v>886</v>
      </c>
      <c r="W2311">
        <v>405</v>
      </c>
      <c r="X2311">
        <v>405</v>
      </c>
      <c r="Y2311" t="s">
        <v>789</v>
      </c>
      <c r="Z2311" t="s">
        <v>1061</v>
      </c>
      <c r="AB2311" t="s">
        <v>793</v>
      </c>
      <c r="AD2311" t="s">
        <v>794</v>
      </c>
      <c r="AE2311" t="s">
        <v>795</v>
      </c>
      <c r="AF2311" t="s">
        <v>796</v>
      </c>
      <c r="AG2311" t="s">
        <v>797</v>
      </c>
      <c r="AH2311">
        <v>390000</v>
      </c>
      <c r="AI2311">
        <v>412000</v>
      </c>
      <c r="AJ2311">
        <v>0.23699999999999999</v>
      </c>
    </row>
    <row r="2312" spans="1:36" x14ac:dyDescent="0.3">
      <c r="A2312">
        <f>COUNTIF($D$2:D2312,D2312)</f>
        <v>8</v>
      </c>
      <c r="B2312" t="str">
        <f t="shared" si="145"/>
        <v>8Sutton</v>
      </c>
      <c r="C2312" t="s">
        <v>6414</v>
      </c>
      <c r="D2312" t="s">
        <v>315</v>
      </c>
      <c r="E2312">
        <v>27</v>
      </c>
      <c r="F2312" t="s">
        <v>1341</v>
      </c>
      <c r="G2312" t="s">
        <v>834</v>
      </c>
      <c r="H2312" t="s">
        <v>835</v>
      </c>
      <c r="I2312" t="s">
        <v>836</v>
      </c>
      <c r="J2312">
        <f t="shared" ca="1" si="146"/>
        <v>1607785</v>
      </c>
      <c r="K2312">
        <f t="shared" ca="1" si="147"/>
        <v>120</v>
      </c>
      <c r="N2312" t="str">
        <f t="shared" si="144"/>
        <v>St. Helens2007Maple Unit (Brookfields)Bed based intermediate Care Services (Reablement, rehabilitation, wider short-term services supporting recovery)Bed-based intermediate care with rehabilitation (to support discharge)</v>
      </c>
      <c r="O2312" t="s">
        <v>299</v>
      </c>
      <c r="P2312" t="s">
        <v>1201</v>
      </c>
      <c r="Q2312">
        <v>2007</v>
      </c>
      <c r="R2312" t="s">
        <v>5920</v>
      </c>
      <c r="S2312" t="s">
        <v>2087</v>
      </c>
      <c r="T2312" t="s">
        <v>877</v>
      </c>
      <c r="U2312" t="s">
        <v>968</v>
      </c>
      <c r="W2312">
        <v>60</v>
      </c>
      <c r="X2312">
        <v>60</v>
      </c>
      <c r="Y2312" t="s">
        <v>879</v>
      </c>
      <c r="Z2312" t="s">
        <v>792</v>
      </c>
      <c r="AB2312" t="s">
        <v>793</v>
      </c>
      <c r="AD2312" t="s">
        <v>794</v>
      </c>
      <c r="AE2312" t="s">
        <v>795</v>
      </c>
      <c r="AF2312" t="s">
        <v>796</v>
      </c>
      <c r="AG2312" t="s">
        <v>797</v>
      </c>
      <c r="AH2312">
        <v>389000</v>
      </c>
      <c r="AI2312">
        <v>411000</v>
      </c>
      <c r="AJ2312">
        <v>0.16220000000000001</v>
      </c>
    </row>
    <row r="2313" spans="1:36" x14ac:dyDescent="0.3">
      <c r="A2313">
        <f>COUNTIF($D$2:D2313,D2313)</f>
        <v>9</v>
      </c>
      <c r="B2313" t="str">
        <f t="shared" si="145"/>
        <v>9Sutton</v>
      </c>
      <c r="C2313" t="s">
        <v>6415</v>
      </c>
      <c r="D2313" t="s">
        <v>315</v>
      </c>
      <c r="E2313">
        <v>31</v>
      </c>
      <c r="F2313" t="s">
        <v>6416</v>
      </c>
      <c r="G2313" t="s">
        <v>877</v>
      </c>
      <c r="H2313" t="s">
        <v>968</v>
      </c>
      <c r="I2313" t="s">
        <v>879</v>
      </c>
      <c r="J2313">
        <f t="shared" ca="1" si="146"/>
        <v>390877</v>
      </c>
      <c r="K2313">
        <f t="shared" ca="1" si="147"/>
        <v>45</v>
      </c>
      <c r="N2313" t="str">
        <f t="shared" si="144"/>
        <v xml:space="preserve">St. Helens1041ReablementHome-based intermediate care servicesReablement at home (to support discharge) </v>
      </c>
      <c r="O2313" t="s">
        <v>299</v>
      </c>
      <c r="P2313" t="s">
        <v>1201</v>
      </c>
      <c r="Q2313">
        <v>1041</v>
      </c>
      <c r="R2313" t="s">
        <v>434</v>
      </c>
      <c r="S2313" t="s">
        <v>2087</v>
      </c>
      <c r="T2313" t="s">
        <v>787</v>
      </c>
      <c r="U2313" t="s">
        <v>788</v>
      </c>
      <c r="W2313">
        <v>133</v>
      </c>
      <c r="X2313">
        <v>133</v>
      </c>
      <c r="Y2313" t="s">
        <v>789</v>
      </c>
      <c r="Z2313" t="s">
        <v>792</v>
      </c>
      <c r="AB2313" t="s">
        <v>793</v>
      </c>
      <c r="AD2313" t="s">
        <v>794</v>
      </c>
      <c r="AE2313" t="s">
        <v>795</v>
      </c>
      <c r="AF2313" t="s">
        <v>796</v>
      </c>
      <c r="AG2313" t="s">
        <v>797</v>
      </c>
      <c r="AH2313">
        <v>128000</v>
      </c>
      <c r="AI2313">
        <v>135000</v>
      </c>
      <c r="AJ2313">
        <v>7.8E-2</v>
      </c>
    </row>
    <row r="2314" spans="1:36" x14ac:dyDescent="0.3">
      <c r="A2314">
        <f>COUNTIF($D$2:D2314,D2314)</f>
        <v>10</v>
      </c>
      <c r="B2314" t="str">
        <f t="shared" si="145"/>
        <v>10Sutton</v>
      </c>
      <c r="C2314" t="s">
        <v>6417</v>
      </c>
      <c r="D2314" t="s">
        <v>315</v>
      </c>
      <c r="E2314">
        <v>32</v>
      </c>
      <c r="F2314" t="s">
        <v>6418</v>
      </c>
      <c r="G2314" t="s">
        <v>842</v>
      </c>
      <c r="H2314" t="s">
        <v>856</v>
      </c>
      <c r="I2314" t="s">
        <v>844</v>
      </c>
      <c r="J2314">
        <f t="shared" ca="1" si="146"/>
        <v>480328</v>
      </c>
      <c r="K2314">
        <f t="shared" ca="1" si="147"/>
        <v>17500</v>
      </c>
      <c r="N2314" t="str">
        <f t="shared" si="144"/>
        <v>St. Helens2001Transitional BedsBed based intermediate Care Services (Reablement, rehabilitation, wider short-term services supporting recovery)Bed-based intermediate care with rehabilitation (to support discharge)</v>
      </c>
      <c r="O2314" t="s">
        <v>299</v>
      </c>
      <c r="P2314" t="s">
        <v>1201</v>
      </c>
      <c r="Q2314">
        <v>2001</v>
      </c>
      <c r="R2314" t="s">
        <v>3701</v>
      </c>
      <c r="S2314" t="s">
        <v>6409</v>
      </c>
      <c r="T2314" t="s">
        <v>877</v>
      </c>
      <c r="U2314" t="s">
        <v>968</v>
      </c>
      <c r="W2314">
        <v>211</v>
      </c>
      <c r="X2314">
        <v>211</v>
      </c>
      <c r="Y2314" t="s">
        <v>879</v>
      </c>
      <c r="Z2314" t="s">
        <v>792</v>
      </c>
      <c r="AB2314" t="s">
        <v>1739</v>
      </c>
      <c r="AC2314">
        <v>0.72</v>
      </c>
      <c r="AD2314">
        <v>0.28000000000000003</v>
      </c>
      <c r="AE2314" t="s">
        <v>795</v>
      </c>
      <c r="AF2314" t="s">
        <v>796</v>
      </c>
      <c r="AG2314" t="s">
        <v>797</v>
      </c>
      <c r="AH2314">
        <v>634000</v>
      </c>
      <c r="AI2314">
        <v>670000</v>
      </c>
      <c r="AJ2314">
        <v>0.17799999999999999</v>
      </c>
    </row>
    <row r="2315" spans="1:36" x14ac:dyDescent="0.3">
      <c r="A2315">
        <f>COUNTIF($D$2:D2315,D2315)</f>
        <v>1</v>
      </c>
      <c r="B2315" t="str">
        <f t="shared" si="145"/>
        <v>1Swindon</v>
      </c>
      <c r="C2315" t="s">
        <v>6419</v>
      </c>
      <c r="D2315" t="s">
        <v>317</v>
      </c>
      <c r="E2315">
        <v>1</v>
      </c>
      <c r="F2315" t="s">
        <v>6420</v>
      </c>
      <c r="G2315" t="s">
        <v>806</v>
      </c>
      <c r="H2315" t="s">
        <v>807</v>
      </c>
      <c r="I2315" t="s">
        <v>808</v>
      </c>
      <c r="J2315">
        <f t="shared" ca="1" si="146"/>
        <v>1372400</v>
      </c>
      <c r="K2315">
        <f t="shared" ca="1" si="147"/>
        <v>35</v>
      </c>
      <c r="N2315" t="str">
        <f t="shared" si="144"/>
        <v>St. Helens2009Falls Car - LAHome-based intermediate care servicesReablement at home (to prevent admission to hospital or residential care)</v>
      </c>
      <c r="O2315" t="s">
        <v>299</v>
      </c>
      <c r="P2315" t="s">
        <v>1201</v>
      </c>
      <c r="Q2315">
        <v>2009</v>
      </c>
      <c r="R2315" t="s">
        <v>5926</v>
      </c>
      <c r="S2315" t="s">
        <v>6413</v>
      </c>
      <c r="T2315" t="s">
        <v>787</v>
      </c>
      <c r="U2315" t="s">
        <v>886</v>
      </c>
      <c r="W2315">
        <v>1228</v>
      </c>
      <c r="X2315">
        <v>1228</v>
      </c>
      <c r="Y2315" t="s">
        <v>789</v>
      </c>
      <c r="Z2315" t="s">
        <v>792</v>
      </c>
      <c r="AB2315" t="s">
        <v>824</v>
      </c>
      <c r="AD2315" t="s">
        <v>794</v>
      </c>
      <c r="AE2315" t="s">
        <v>795</v>
      </c>
      <c r="AF2315" t="s">
        <v>796</v>
      </c>
      <c r="AG2315" t="s">
        <v>797</v>
      </c>
      <c r="AH2315">
        <v>87000</v>
      </c>
      <c r="AI2315">
        <v>92000</v>
      </c>
      <c r="AJ2315">
        <v>0.25</v>
      </c>
    </row>
    <row r="2316" spans="1:36" x14ac:dyDescent="0.3">
      <c r="A2316">
        <f>COUNTIF($D$2:D2316,D2316)</f>
        <v>2</v>
      </c>
      <c r="B2316" t="str">
        <f t="shared" si="145"/>
        <v>2Swindon</v>
      </c>
      <c r="C2316" t="s">
        <v>6421</v>
      </c>
      <c r="D2316" t="s">
        <v>317</v>
      </c>
      <c r="E2316">
        <v>2</v>
      </c>
      <c r="F2316" t="s">
        <v>6422</v>
      </c>
      <c r="G2316" t="s">
        <v>842</v>
      </c>
      <c r="H2316" t="s">
        <v>843</v>
      </c>
      <c r="I2316" t="s">
        <v>844</v>
      </c>
      <c r="J2316">
        <f t="shared" ca="1" si="146"/>
        <v>2193100</v>
      </c>
      <c r="K2316">
        <f t="shared" ca="1" si="147"/>
        <v>93244</v>
      </c>
      <c r="N2316" t="str">
        <f t="shared" si="144"/>
        <v>St. Helens1050 Residential/Nursing PlacementsResidential PlacementsCare home</v>
      </c>
      <c r="O2316" t="s">
        <v>299</v>
      </c>
      <c r="P2316" t="s">
        <v>1201</v>
      </c>
      <c r="Q2316">
        <v>1050</v>
      </c>
      <c r="R2316" t="s">
        <v>5928</v>
      </c>
      <c r="S2316" t="s">
        <v>1412</v>
      </c>
      <c r="T2316" t="s">
        <v>806</v>
      </c>
      <c r="U2316" t="s">
        <v>807</v>
      </c>
      <c r="W2316">
        <v>38</v>
      </c>
      <c r="X2316">
        <v>38</v>
      </c>
      <c r="Y2316" t="s">
        <v>808</v>
      </c>
      <c r="Z2316" t="s">
        <v>792</v>
      </c>
      <c r="AB2316" t="s">
        <v>1739</v>
      </c>
      <c r="AC2316">
        <v>0.72</v>
      </c>
      <c r="AD2316">
        <v>0.28000000000000003</v>
      </c>
      <c r="AE2316" t="s">
        <v>804</v>
      </c>
      <c r="AF2316" t="s">
        <v>796</v>
      </c>
      <c r="AG2316" t="s">
        <v>797</v>
      </c>
      <c r="AH2316">
        <v>1387988</v>
      </c>
      <c r="AI2316">
        <v>1466000</v>
      </c>
      <c r="AJ2316">
        <v>4.9000000000000002E-2</v>
      </c>
    </row>
    <row r="2317" spans="1:36" x14ac:dyDescent="0.3">
      <c r="A2317">
        <f>COUNTIF($D$2:D2317,D2317)</f>
        <v>3</v>
      </c>
      <c r="B2317" t="str">
        <f t="shared" si="145"/>
        <v>3Swindon</v>
      </c>
      <c r="C2317" t="s">
        <v>6423</v>
      </c>
      <c r="D2317" t="s">
        <v>317</v>
      </c>
      <c r="E2317">
        <v>8</v>
      </c>
      <c r="F2317" t="s">
        <v>1781</v>
      </c>
      <c r="G2317" t="s">
        <v>811</v>
      </c>
      <c r="H2317" t="s">
        <v>830</v>
      </c>
      <c r="I2317" t="s">
        <v>813</v>
      </c>
      <c r="J2317">
        <f t="shared" ca="1" si="146"/>
        <v>143589</v>
      </c>
      <c r="K2317">
        <f t="shared" ca="1" si="147"/>
        <v>192</v>
      </c>
      <c r="N2317" t="str">
        <f t="shared" si="144"/>
        <v>St. Helens1051Care packages for service users with health related conditions - scheme 1Residential PlacementsSupported housing</v>
      </c>
      <c r="O2317" t="s">
        <v>299</v>
      </c>
      <c r="P2317" t="s">
        <v>1201</v>
      </c>
      <c r="Q2317">
        <v>1051</v>
      </c>
      <c r="R2317" t="s">
        <v>5930</v>
      </c>
      <c r="S2317" t="s">
        <v>6424</v>
      </c>
      <c r="T2317" t="s">
        <v>806</v>
      </c>
      <c r="U2317" t="s">
        <v>873</v>
      </c>
      <c r="W2317">
        <v>21</v>
      </c>
      <c r="X2317">
        <v>21</v>
      </c>
      <c r="Y2317" t="s">
        <v>808</v>
      </c>
      <c r="Z2317" t="s">
        <v>1061</v>
      </c>
      <c r="AB2317" t="s">
        <v>1739</v>
      </c>
      <c r="AC2317">
        <v>0.72</v>
      </c>
      <c r="AD2317">
        <v>0.28000000000000003</v>
      </c>
      <c r="AE2317" t="s">
        <v>804</v>
      </c>
      <c r="AF2317" t="s">
        <v>796</v>
      </c>
      <c r="AG2317" t="s">
        <v>797</v>
      </c>
      <c r="AH2317">
        <v>2293506</v>
      </c>
      <c r="AI2317">
        <v>2423000</v>
      </c>
      <c r="AJ2317">
        <v>0.11700000000000001</v>
      </c>
    </row>
    <row r="2318" spans="1:36" x14ac:dyDescent="0.3">
      <c r="A2318">
        <f>COUNTIF($D$2:D2318,D2318)</f>
        <v>4</v>
      </c>
      <c r="B2318" t="str">
        <f t="shared" si="145"/>
        <v>4Swindon</v>
      </c>
      <c r="C2318" t="s">
        <v>6425</v>
      </c>
      <c r="D2318" t="s">
        <v>317</v>
      </c>
      <c r="E2318">
        <v>9</v>
      </c>
      <c r="F2318" t="s">
        <v>6426</v>
      </c>
      <c r="G2318" t="s">
        <v>806</v>
      </c>
      <c r="H2318" t="s">
        <v>917</v>
      </c>
      <c r="I2318" t="s">
        <v>808</v>
      </c>
      <c r="J2318">
        <f t="shared" ca="1" si="146"/>
        <v>1100000</v>
      </c>
      <c r="K2318">
        <f t="shared" ca="1" si="147"/>
        <v>28</v>
      </c>
      <c r="N2318" t="str">
        <f t="shared" si="144"/>
        <v>St. Helens1052Supported accommodation for service users with disabilities Residential PlacementsSupported housing</v>
      </c>
      <c r="O2318" t="s">
        <v>299</v>
      </c>
      <c r="P2318" t="s">
        <v>1201</v>
      </c>
      <c r="Q2318">
        <v>1052</v>
      </c>
      <c r="R2318" t="s">
        <v>5932</v>
      </c>
      <c r="S2318" t="s">
        <v>6424</v>
      </c>
      <c r="T2318" t="s">
        <v>806</v>
      </c>
      <c r="U2318" t="s">
        <v>873</v>
      </c>
      <c r="W2318">
        <v>3</v>
      </c>
      <c r="X2318">
        <v>3</v>
      </c>
      <c r="Y2318" t="s">
        <v>808</v>
      </c>
      <c r="Z2318" t="s">
        <v>792</v>
      </c>
      <c r="AB2318" t="s">
        <v>1739</v>
      </c>
      <c r="AC2318">
        <v>0.72</v>
      </c>
      <c r="AD2318">
        <v>0.28000000000000003</v>
      </c>
      <c r="AE2318" t="s">
        <v>804</v>
      </c>
      <c r="AF2318" t="s">
        <v>796</v>
      </c>
      <c r="AG2318" t="s">
        <v>797</v>
      </c>
      <c r="AH2318">
        <v>561000</v>
      </c>
      <c r="AI2318">
        <v>593000</v>
      </c>
      <c r="AJ2318">
        <v>0.14099999999999999</v>
      </c>
    </row>
    <row r="2319" spans="1:36" x14ac:dyDescent="0.3">
      <c r="A2319">
        <f>COUNTIF($D$2:D2319,D2319)</f>
        <v>5</v>
      </c>
      <c r="B2319" t="str">
        <f t="shared" si="145"/>
        <v>5Swindon</v>
      </c>
      <c r="C2319" t="s">
        <v>6427</v>
      </c>
      <c r="D2319" t="s">
        <v>317</v>
      </c>
      <c r="E2319">
        <v>10</v>
      </c>
      <c r="F2319" t="s">
        <v>840</v>
      </c>
      <c r="G2319" t="s">
        <v>834</v>
      </c>
      <c r="H2319" t="s">
        <v>835</v>
      </c>
      <c r="I2319" t="s">
        <v>836</v>
      </c>
      <c r="J2319">
        <f t="shared" ca="1" si="146"/>
        <v>1306397</v>
      </c>
      <c r="K2319">
        <f t="shared" ca="1" si="147"/>
        <v>131</v>
      </c>
      <c r="N2319" t="str">
        <f t="shared" si="144"/>
        <v>St. Helens1053PS Residential and Nursing Support ServicesResidential PlacementsCare home</v>
      </c>
      <c r="O2319" t="s">
        <v>299</v>
      </c>
      <c r="P2319" t="s">
        <v>1201</v>
      </c>
      <c r="Q2319">
        <v>1053</v>
      </c>
      <c r="R2319" t="s">
        <v>5934</v>
      </c>
      <c r="S2319" t="s">
        <v>1412</v>
      </c>
      <c r="T2319" t="s">
        <v>806</v>
      </c>
      <c r="U2319" t="s">
        <v>807</v>
      </c>
      <c r="W2319">
        <v>8</v>
      </c>
      <c r="X2319">
        <v>8</v>
      </c>
      <c r="Y2319" t="s">
        <v>808</v>
      </c>
      <c r="Z2319" t="s">
        <v>1061</v>
      </c>
      <c r="AB2319" t="s">
        <v>1739</v>
      </c>
      <c r="AC2319">
        <v>0.72</v>
      </c>
      <c r="AD2319">
        <v>0.28000000000000003</v>
      </c>
      <c r="AE2319" t="s">
        <v>804</v>
      </c>
      <c r="AF2319" t="s">
        <v>845</v>
      </c>
      <c r="AG2319" t="s">
        <v>797</v>
      </c>
      <c r="AH2319">
        <v>306755</v>
      </c>
      <c r="AI2319">
        <v>306755</v>
      </c>
      <c r="AJ2319">
        <v>1.0500000000000001E-2</v>
      </c>
    </row>
    <row r="2320" spans="1:36" x14ac:dyDescent="0.3">
      <c r="A2320">
        <f>COUNTIF($D$2:D2320,D2320)</f>
        <v>6</v>
      </c>
      <c r="B2320" t="str">
        <f t="shared" si="145"/>
        <v>6Swindon</v>
      </c>
      <c r="C2320" t="s">
        <v>6428</v>
      </c>
      <c r="D2320" t="s">
        <v>317</v>
      </c>
      <c r="E2320">
        <v>11</v>
      </c>
      <c r="F2320" t="s">
        <v>6422</v>
      </c>
      <c r="G2320" t="s">
        <v>842</v>
      </c>
      <c r="H2320" t="s">
        <v>843</v>
      </c>
      <c r="I2320" t="s">
        <v>844</v>
      </c>
      <c r="J2320">
        <f t="shared" ca="1" si="146"/>
        <v>233200</v>
      </c>
      <c r="K2320">
        <f t="shared" ca="1" si="147"/>
        <v>9915</v>
      </c>
      <c r="N2320" t="str">
        <f t="shared" si="144"/>
        <v>St. Helens1054Supported accommodation for service users with disabilitiesResidential PlacementsSupported housing</v>
      </c>
      <c r="O2320" t="s">
        <v>299</v>
      </c>
      <c r="P2320" t="s">
        <v>1201</v>
      </c>
      <c r="Q2320">
        <v>1054</v>
      </c>
      <c r="R2320" t="s">
        <v>5936</v>
      </c>
      <c r="S2320" t="s">
        <v>6424</v>
      </c>
      <c r="T2320" t="s">
        <v>806</v>
      </c>
      <c r="U2320" t="s">
        <v>873</v>
      </c>
      <c r="W2320">
        <v>31</v>
      </c>
      <c r="X2320">
        <v>31</v>
      </c>
      <c r="Y2320" t="s">
        <v>808</v>
      </c>
      <c r="Z2320" t="s">
        <v>1061</v>
      </c>
      <c r="AB2320" t="s">
        <v>1739</v>
      </c>
      <c r="AC2320">
        <v>0.72</v>
      </c>
      <c r="AD2320">
        <v>0.28000000000000003</v>
      </c>
      <c r="AE2320" t="s">
        <v>804</v>
      </c>
      <c r="AF2320" t="s">
        <v>845</v>
      </c>
      <c r="AG2320" t="s">
        <v>797</v>
      </c>
      <c r="AH2320">
        <v>1062402</v>
      </c>
      <c r="AI2320">
        <v>1062402</v>
      </c>
      <c r="AJ2320">
        <v>7.3999999999999996E-2</v>
      </c>
    </row>
    <row r="2321" spans="1:36" x14ac:dyDescent="0.3">
      <c r="A2321">
        <f>COUNTIF($D$2:D2321,D2321)</f>
        <v>7</v>
      </c>
      <c r="B2321" t="str">
        <f t="shared" si="145"/>
        <v>7Swindon</v>
      </c>
      <c r="C2321" t="s">
        <v>6429</v>
      </c>
      <c r="D2321" t="s">
        <v>317</v>
      </c>
      <c r="E2321">
        <v>12</v>
      </c>
      <c r="F2321" t="s">
        <v>6420</v>
      </c>
      <c r="G2321" t="s">
        <v>806</v>
      </c>
      <c r="H2321" t="s">
        <v>807</v>
      </c>
      <c r="I2321" t="s">
        <v>808</v>
      </c>
      <c r="J2321">
        <f t="shared" ca="1" si="146"/>
        <v>224239</v>
      </c>
      <c r="K2321">
        <f t="shared" ca="1" si="147"/>
        <v>6</v>
      </c>
      <c r="N2321" t="str">
        <f t="shared" si="144"/>
        <v>St. Helens1055Residential/Nursing PlacementsResidential PlacementsCare home</v>
      </c>
      <c r="O2321" t="s">
        <v>299</v>
      </c>
      <c r="P2321" t="s">
        <v>1201</v>
      </c>
      <c r="Q2321">
        <v>1055</v>
      </c>
      <c r="R2321" t="s">
        <v>5938</v>
      </c>
      <c r="S2321" t="s">
        <v>1412</v>
      </c>
      <c r="T2321" t="s">
        <v>806</v>
      </c>
      <c r="U2321" t="s">
        <v>807</v>
      </c>
      <c r="W2321">
        <v>31</v>
      </c>
      <c r="X2321">
        <v>31</v>
      </c>
      <c r="Y2321" t="s">
        <v>808</v>
      </c>
      <c r="Z2321" t="s">
        <v>1061</v>
      </c>
      <c r="AB2321" t="s">
        <v>1739</v>
      </c>
      <c r="AC2321">
        <v>0.72</v>
      </c>
      <c r="AD2321">
        <v>0.28000000000000003</v>
      </c>
      <c r="AE2321" t="s">
        <v>804</v>
      </c>
      <c r="AF2321" t="s">
        <v>845</v>
      </c>
      <c r="AG2321" t="s">
        <v>797</v>
      </c>
      <c r="AH2321">
        <v>1114000</v>
      </c>
      <c r="AI2321">
        <v>1114000</v>
      </c>
      <c r="AJ2321">
        <v>3.9E-2</v>
      </c>
    </row>
    <row r="2322" spans="1:36" x14ac:dyDescent="0.3">
      <c r="A2322">
        <f>COUNTIF($D$2:D2322,D2322)</f>
        <v>8</v>
      </c>
      <c r="B2322" t="str">
        <f t="shared" si="145"/>
        <v>8Swindon</v>
      </c>
      <c r="C2322" t="s">
        <v>6430</v>
      </c>
      <c r="D2322" t="s">
        <v>317</v>
      </c>
      <c r="E2322">
        <v>13</v>
      </c>
      <c r="F2322" t="s">
        <v>6426</v>
      </c>
      <c r="G2322" t="s">
        <v>806</v>
      </c>
      <c r="H2322" t="s">
        <v>917</v>
      </c>
      <c r="I2322" t="s">
        <v>808</v>
      </c>
      <c r="J2322">
        <f t="shared" ca="1" si="146"/>
        <v>299000</v>
      </c>
      <c r="K2322">
        <f t="shared" ca="1" si="147"/>
        <v>8</v>
      </c>
      <c r="N2322" t="str">
        <f t="shared" si="144"/>
        <v>St. Helens2010Residential/Nursing PlacementsResidential PlacementsCare home</v>
      </c>
      <c r="O2322" t="s">
        <v>299</v>
      </c>
      <c r="P2322" t="s">
        <v>1201</v>
      </c>
      <c r="Q2322">
        <v>2010</v>
      </c>
      <c r="R2322" t="s">
        <v>5938</v>
      </c>
      <c r="S2322" t="s">
        <v>1412</v>
      </c>
      <c r="T2322" t="s">
        <v>806</v>
      </c>
      <c r="U2322" t="s">
        <v>807</v>
      </c>
      <c r="W2322">
        <v>7</v>
      </c>
      <c r="X2322">
        <v>7</v>
      </c>
      <c r="Y2322" t="s">
        <v>808</v>
      </c>
      <c r="Z2322" t="s">
        <v>792</v>
      </c>
      <c r="AB2322" t="s">
        <v>1739</v>
      </c>
      <c r="AC2322">
        <v>0.72</v>
      </c>
      <c r="AD2322">
        <v>0.28000000000000003</v>
      </c>
      <c r="AE2322" t="s">
        <v>804</v>
      </c>
      <c r="AF2322" t="s">
        <v>796</v>
      </c>
      <c r="AG2322" t="s">
        <v>861</v>
      </c>
      <c r="AH2322">
        <v>246000</v>
      </c>
      <c r="AI2322">
        <v>260000</v>
      </c>
      <c r="AJ2322">
        <v>0.01</v>
      </c>
    </row>
    <row r="2323" spans="1:36" x14ac:dyDescent="0.3">
      <c r="A2323">
        <f>COUNTIF($D$2:D2323,D2323)</f>
        <v>9</v>
      </c>
      <c r="B2323" t="str">
        <f t="shared" si="145"/>
        <v>9Swindon</v>
      </c>
      <c r="C2323" t="s">
        <v>6431</v>
      </c>
      <c r="D2323" t="s">
        <v>317</v>
      </c>
      <c r="E2323">
        <v>14</v>
      </c>
      <c r="F2323" t="s">
        <v>6432</v>
      </c>
      <c r="G2323" t="s">
        <v>800</v>
      </c>
      <c r="H2323" t="s">
        <v>850</v>
      </c>
      <c r="I2323" t="s">
        <v>802</v>
      </c>
      <c r="J2323">
        <f t="shared" ca="1" si="146"/>
        <v>206000</v>
      </c>
      <c r="K2323">
        <f t="shared" ca="1" si="147"/>
        <v>356</v>
      </c>
      <c r="N2323" t="str">
        <f t="shared" si="144"/>
        <v>St. Helens3004End of Life SupportHome Care or Domiciliary CareDomiciliary care workforce development</v>
      </c>
      <c r="O2323" t="s">
        <v>299</v>
      </c>
      <c r="P2323" t="s">
        <v>1201</v>
      </c>
      <c r="Q2323">
        <v>3004</v>
      </c>
      <c r="R2323" t="s">
        <v>5941</v>
      </c>
      <c r="S2323" t="s">
        <v>6433</v>
      </c>
      <c r="T2323" t="s">
        <v>842</v>
      </c>
      <c r="U2323" t="s">
        <v>1594</v>
      </c>
      <c r="W2323">
        <v>12500</v>
      </c>
      <c r="X2323">
        <v>12500</v>
      </c>
      <c r="Y2323" t="s">
        <v>844</v>
      </c>
      <c r="AB2323" t="s">
        <v>824</v>
      </c>
      <c r="AD2323" t="s">
        <v>794</v>
      </c>
      <c r="AE2323" t="s">
        <v>795</v>
      </c>
      <c r="AF2323" t="s">
        <v>864</v>
      </c>
      <c r="AG2323" t="s">
        <v>861</v>
      </c>
      <c r="AH2323">
        <v>300000</v>
      </c>
      <c r="AI2323">
        <v>300000</v>
      </c>
      <c r="AJ2323">
        <v>1</v>
      </c>
    </row>
    <row r="2324" spans="1:36" x14ac:dyDescent="0.3">
      <c r="A2324">
        <f>COUNTIF($D$2:D2324,D2324)</f>
        <v>10</v>
      </c>
      <c r="B2324" t="str">
        <f t="shared" si="145"/>
        <v>10Swindon</v>
      </c>
      <c r="C2324" t="s">
        <v>6434</v>
      </c>
      <c r="D2324" t="s">
        <v>317</v>
      </c>
      <c r="E2324">
        <v>15</v>
      </c>
      <c r="F2324" t="s">
        <v>6435</v>
      </c>
      <c r="G2324" t="s">
        <v>800</v>
      </c>
      <c r="H2324" t="s">
        <v>903</v>
      </c>
      <c r="I2324" t="s">
        <v>802</v>
      </c>
      <c r="J2324">
        <f t="shared" ca="1" si="146"/>
        <v>1274600</v>
      </c>
      <c r="K2324">
        <f t="shared" ca="1" si="147"/>
        <v>1404</v>
      </c>
      <c r="N2324" t="str">
        <f t="shared" si="144"/>
        <v>Staffordshire1Community EquipmentAssistive Technologies and EquipmentCommunity based equipment</v>
      </c>
      <c r="O2324" t="s">
        <v>301</v>
      </c>
      <c r="P2324" t="s">
        <v>1172</v>
      </c>
      <c r="Q2324">
        <v>1</v>
      </c>
      <c r="R2324" t="s">
        <v>1051</v>
      </c>
      <c r="S2324" t="s">
        <v>6436</v>
      </c>
      <c r="T2324" t="s">
        <v>800</v>
      </c>
      <c r="U2324" t="s">
        <v>903</v>
      </c>
      <c r="W2324">
        <v>910</v>
      </c>
      <c r="X2324">
        <v>910</v>
      </c>
      <c r="Y2324" t="s">
        <v>802</v>
      </c>
      <c r="Z2324" t="s">
        <v>792</v>
      </c>
      <c r="AB2324" t="s">
        <v>1739</v>
      </c>
      <c r="AC2324">
        <v>0</v>
      </c>
      <c r="AD2324">
        <v>1</v>
      </c>
      <c r="AE2324" t="s">
        <v>804</v>
      </c>
      <c r="AF2324" t="s">
        <v>796</v>
      </c>
      <c r="AG2324" t="s">
        <v>797</v>
      </c>
      <c r="AH2324">
        <v>1363864.5630000001</v>
      </c>
      <c r="AI2324">
        <v>1441059.2972657999</v>
      </c>
      <c r="AJ2324">
        <v>9.8257275454444876E-3</v>
      </c>
    </row>
    <row r="2325" spans="1:36" x14ac:dyDescent="0.3">
      <c r="A2325">
        <f>COUNTIF($D$2:D2325,D2325)</f>
        <v>11</v>
      </c>
      <c r="B2325" t="str">
        <f t="shared" si="145"/>
        <v>11Swindon</v>
      </c>
      <c r="C2325" t="s">
        <v>6437</v>
      </c>
      <c r="D2325" t="s">
        <v>317</v>
      </c>
      <c r="E2325">
        <v>16</v>
      </c>
      <c r="F2325" t="s">
        <v>6435</v>
      </c>
      <c r="G2325" t="s">
        <v>800</v>
      </c>
      <c r="H2325" t="s">
        <v>812</v>
      </c>
      <c r="I2325" t="s">
        <v>802</v>
      </c>
      <c r="J2325">
        <f t="shared" ca="1" si="146"/>
        <v>27900</v>
      </c>
      <c r="K2325">
        <f t="shared" ca="1" si="147"/>
        <v>960</v>
      </c>
      <c r="N2325" t="str">
        <f t="shared" si="144"/>
        <v>Staffordshire2Community EquipmentAssistive Technologies and EquipmentCommunity based equipment</v>
      </c>
      <c r="O2325" t="s">
        <v>301</v>
      </c>
      <c r="P2325" t="s">
        <v>1172</v>
      </c>
      <c r="Q2325">
        <v>2</v>
      </c>
      <c r="R2325" t="s">
        <v>1051</v>
      </c>
      <c r="S2325" t="s">
        <v>6438</v>
      </c>
      <c r="T2325" t="s">
        <v>800</v>
      </c>
      <c r="U2325" t="s">
        <v>903</v>
      </c>
      <c r="W2325">
        <v>3421</v>
      </c>
      <c r="X2325">
        <v>3421</v>
      </c>
      <c r="Y2325" t="s">
        <v>802</v>
      </c>
      <c r="Z2325" t="s">
        <v>823</v>
      </c>
      <c r="AB2325" t="s">
        <v>1739</v>
      </c>
      <c r="AC2325">
        <v>1</v>
      </c>
      <c r="AD2325">
        <v>0</v>
      </c>
      <c r="AE2325" t="s">
        <v>804</v>
      </c>
      <c r="AF2325" t="s">
        <v>796</v>
      </c>
      <c r="AG2325" t="s">
        <v>797</v>
      </c>
      <c r="AH2325">
        <v>5120588.9573999997</v>
      </c>
      <c r="AI2325">
        <v>5410414.2923888396</v>
      </c>
      <c r="AJ2325">
        <v>3.689040197433742E-2</v>
      </c>
    </row>
    <row r="2326" spans="1:36" x14ac:dyDescent="0.3">
      <c r="A2326">
        <f>COUNTIF($D$2:D2326,D2326)</f>
        <v>12</v>
      </c>
      <c r="B2326" t="str">
        <f t="shared" si="145"/>
        <v>12Swindon</v>
      </c>
      <c r="C2326" t="s">
        <v>6439</v>
      </c>
      <c r="D2326" t="s">
        <v>317</v>
      </c>
      <c r="E2326">
        <v>18</v>
      </c>
      <c r="F2326" t="s">
        <v>1781</v>
      </c>
      <c r="G2326" t="s">
        <v>811</v>
      </c>
      <c r="H2326" t="s">
        <v>830</v>
      </c>
      <c r="I2326" t="s">
        <v>813</v>
      </c>
      <c r="J2326">
        <f t="shared" ca="1" si="146"/>
        <v>905739</v>
      </c>
      <c r="K2326">
        <f t="shared" ca="1" si="147"/>
        <v>1212</v>
      </c>
      <c r="N2326" t="str">
        <f t="shared" si="144"/>
        <v xml:space="preserve">Staffordshire16Enablement Teams (LIS)Home-based intermediate care servicesReablement at home (to support discharge) </v>
      </c>
      <c r="O2326" t="s">
        <v>301</v>
      </c>
      <c r="P2326" t="s">
        <v>1172</v>
      </c>
      <c r="Q2326">
        <v>16</v>
      </c>
      <c r="R2326" t="s">
        <v>5945</v>
      </c>
      <c r="S2326" t="s">
        <v>6440</v>
      </c>
      <c r="T2326" t="s">
        <v>787</v>
      </c>
      <c r="U2326" t="s">
        <v>788</v>
      </c>
      <c r="W2326">
        <v>8190</v>
      </c>
      <c r="X2326">
        <v>8190</v>
      </c>
      <c r="Y2326" t="s">
        <v>789</v>
      </c>
      <c r="Z2326" t="s">
        <v>792</v>
      </c>
      <c r="AB2326" t="s">
        <v>793</v>
      </c>
      <c r="AD2326" t="s">
        <v>794</v>
      </c>
      <c r="AE2326" t="s">
        <v>832</v>
      </c>
      <c r="AF2326" t="s">
        <v>796</v>
      </c>
      <c r="AG2326" t="s">
        <v>797</v>
      </c>
      <c r="AH2326">
        <v>6551988.2226</v>
      </c>
      <c r="AI2326">
        <v>6922830.75599916</v>
      </c>
      <c r="AJ2326">
        <v>4.7202671660168845E-2</v>
      </c>
    </row>
    <row r="2327" spans="1:36" x14ac:dyDescent="0.3">
      <c r="A2327">
        <f>COUNTIF($D$2:D2327,D2327)</f>
        <v>13</v>
      </c>
      <c r="B2327" t="str">
        <f t="shared" si="145"/>
        <v>13Swindon</v>
      </c>
      <c r="C2327" t="s">
        <v>6441</v>
      </c>
      <c r="D2327" t="s">
        <v>317</v>
      </c>
      <c r="E2327">
        <v>19</v>
      </c>
      <c r="F2327" t="s">
        <v>6442</v>
      </c>
      <c r="G2327" t="s">
        <v>811</v>
      </c>
      <c r="H2327" t="s">
        <v>895</v>
      </c>
      <c r="I2327" t="s">
        <v>813</v>
      </c>
      <c r="J2327">
        <f t="shared" ca="1" si="146"/>
        <v>437200</v>
      </c>
      <c r="K2327">
        <f t="shared" ca="1" si="147"/>
        <v>4926</v>
      </c>
      <c r="N2327" t="str">
        <f t="shared" si="144"/>
        <v>Staffordshire23Home CareHome Care or Domiciliary CareDomiciliary care packages</v>
      </c>
      <c r="O2327" t="s">
        <v>301</v>
      </c>
      <c r="P2327" t="s">
        <v>1172</v>
      </c>
      <c r="Q2327">
        <v>23</v>
      </c>
      <c r="R2327" t="s">
        <v>1447</v>
      </c>
      <c r="S2327" t="s">
        <v>6443</v>
      </c>
      <c r="T2327" t="s">
        <v>842</v>
      </c>
      <c r="U2327" t="s">
        <v>843</v>
      </c>
      <c r="W2327">
        <v>303656</v>
      </c>
      <c r="X2327">
        <v>303656</v>
      </c>
      <c r="Y2327" t="s">
        <v>844</v>
      </c>
      <c r="Z2327" t="s">
        <v>792</v>
      </c>
      <c r="AB2327" t="s">
        <v>793</v>
      </c>
      <c r="AD2327" t="s">
        <v>794</v>
      </c>
      <c r="AE2327" t="s">
        <v>804</v>
      </c>
      <c r="AF2327" t="s">
        <v>796</v>
      </c>
      <c r="AG2327" t="s">
        <v>797</v>
      </c>
      <c r="AH2327">
        <v>6619702.5467999997</v>
      </c>
      <c r="AI2327">
        <v>6994377.7109488798</v>
      </c>
      <c r="AJ2327">
        <v>4.7690507856344808E-2</v>
      </c>
    </row>
    <row r="2328" spans="1:36" x14ac:dyDescent="0.3">
      <c r="A2328">
        <f>COUNTIF($D$2:D2328,D2328)</f>
        <v>14</v>
      </c>
      <c r="B2328" t="str">
        <f t="shared" si="145"/>
        <v>14Swindon</v>
      </c>
      <c r="C2328" t="s">
        <v>6444</v>
      </c>
      <c r="D2328" t="s">
        <v>317</v>
      </c>
      <c r="E2328">
        <v>22</v>
      </c>
      <c r="F2328" t="s">
        <v>6422</v>
      </c>
      <c r="G2328" t="s">
        <v>842</v>
      </c>
      <c r="H2328" t="s">
        <v>843</v>
      </c>
      <c r="I2328" t="s">
        <v>844</v>
      </c>
      <c r="J2328">
        <f t="shared" ca="1" si="146"/>
        <v>925400</v>
      </c>
      <c r="K2328">
        <f t="shared" ca="1" si="147"/>
        <v>39345</v>
      </c>
      <c r="N2328" t="str">
        <f t="shared" si="144"/>
        <v>Staffordshire24Home CareHome Care or Domiciliary CareDomiciliary care packages</v>
      </c>
      <c r="O2328" t="s">
        <v>301</v>
      </c>
      <c r="P2328" t="s">
        <v>1172</v>
      </c>
      <c r="Q2328">
        <v>24</v>
      </c>
      <c r="R2328" t="s">
        <v>1447</v>
      </c>
      <c r="S2328" t="s">
        <v>6445</v>
      </c>
      <c r="T2328" t="s">
        <v>842</v>
      </c>
      <c r="U2328" t="s">
        <v>843</v>
      </c>
      <c r="W2328">
        <v>1162750</v>
      </c>
      <c r="X2328">
        <v>1162750</v>
      </c>
      <c r="Y2328" t="s">
        <v>844</v>
      </c>
      <c r="Z2328" t="s">
        <v>792</v>
      </c>
      <c r="AB2328" t="s">
        <v>793</v>
      </c>
      <c r="AD2328" t="s">
        <v>794</v>
      </c>
      <c r="AE2328" t="s">
        <v>804</v>
      </c>
      <c r="AF2328" t="s">
        <v>845</v>
      </c>
      <c r="AG2328" t="s">
        <v>797</v>
      </c>
      <c r="AH2328">
        <v>25347969</v>
      </c>
      <c r="AI2328">
        <v>25347969</v>
      </c>
      <c r="AJ2328">
        <v>0.18261508069139043</v>
      </c>
    </row>
    <row r="2329" spans="1:36" x14ac:dyDescent="0.3">
      <c r="A2329">
        <f>COUNTIF($D$2:D2329,D2329)</f>
        <v>15</v>
      </c>
      <c r="B2329" t="str">
        <f t="shared" si="145"/>
        <v>15Swindon</v>
      </c>
      <c r="C2329" t="s">
        <v>6446</v>
      </c>
      <c r="D2329" t="s">
        <v>317</v>
      </c>
      <c r="E2329">
        <v>23</v>
      </c>
      <c r="F2329" t="s">
        <v>4095</v>
      </c>
      <c r="G2329" t="s">
        <v>842</v>
      </c>
      <c r="H2329" t="s">
        <v>856</v>
      </c>
      <c r="I2329" t="s">
        <v>844</v>
      </c>
      <c r="J2329">
        <f t="shared" ca="1" si="146"/>
        <v>517400</v>
      </c>
      <c r="K2329">
        <f t="shared" ca="1" si="147"/>
        <v>21998</v>
      </c>
      <c r="N2329" t="str">
        <f t="shared" si="144"/>
        <v>Staffordshire25Home CareHome Care or Domiciliary CareDomiciliary care packages</v>
      </c>
      <c r="O2329" t="s">
        <v>301</v>
      </c>
      <c r="P2329" t="s">
        <v>1172</v>
      </c>
      <c r="Q2329">
        <v>25</v>
      </c>
      <c r="R2329" t="s">
        <v>1447</v>
      </c>
      <c r="S2329" t="s">
        <v>6447</v>
      </c>
      <c r="T2329" t="s">
        <v>842</v>
      </c>
      <c r="U2329" t="s">
        <v>843</v>
      </c>
      <c r="W2329">
        <v>15123</v>
      </c>
      <c r="X2329">
        <v>15123</v>
      </c>
      <c r="Y2329" t="s">
        <v>844</v>
      </c>
      <c r="Z2329" t="s">
        <v>792</v>
      </c>
      <c r="AB2329" t="s">
        <v>793</v>
      </c>
      <c r="AD2329" t="s">
        <v>794</v>
      </c>
      <c r="AE2329" t="s">
        <v>804</v>
      </c>
      <c r="AF2329" t="s">
        <v>845</v>
      </c>
      <c r="AG2329" t="s">
        <v>797</v>
      </c>
      <c r="AH2329">
        <v>329694</v>
      </c>
      <c r="AI2329">
        <v>329694</v>
      </c>
      <c r="AJ2329">
        <v>2.3752236880780183E-3</v>
      </c>
    </row>
    <row r="2330" spans="1:36" x14ac:dyDescent="0.3">
      <c r="A2330">
        <f>COUNTIF($D$2:D2330,D2330)</f>
        <v>16</v>
      </c>
      <c r="B2330" t="str">
        <f t="shared" si="145"/>
        <v>16Swindon</v>
      </c>
      <c r="C2330" t="s">
        <v>6448</v>
      </c>
      <c r="D2330" t="s">
        <v>317</v>
      </c>
      <c r="E2330">
        <v>24</v>
      </c>
      <c r="F2330" t="s">
        <v>1786</v>
      </c>
      <c r="G2330" t="s">
        <v>877</v>
      </c>
      <c r="H2330" t="s">
        <v>878</v>
      </c>
      <c r="I2330" t="s">
        <v>879</v>
      </c>
      <c r="J2330">
        <f t="shared" ca="1" si="146"/>
        <v>411100</v>
      </c>
      <c r="K2330">
        <f t="shared" ca="1" si="147"/>
        <v>11</v>
      </c>
      <c r="N2330" t="str">
        <f t="shared" si="144"/>
        <v>Staffordshire26Disabled Facilities GrantDFG Related SchemesOther</v>
      </c>
      <c r="O2330" t="s">
        <v>301</v>
      </c>
      <c r="P2330" t="s">
        <v>1172</v>
      </c>
      <c r="Q2330">
        <v>26</v>
      </c>
      <c r="R2330" t="s">
        <v>891</v>
      </c>
      <c r="S2330" t="s">
        <v>6449</v>
      </c>
      <c r="T2330" t="s">
        <v>834</v>
      </c>
      <c r="U2330" t="s">
        <v>812</v>
      </c>
      <c r="V2330" t="s">
        <v>6450</v>
      </c>
      <c r="W2330">
        <v>400</v>
      </c>
      <c r="X2330">
        <v>400</v>
      </c>
      <c r="Y2330" t="s">
        <v>836</v>
      </c>
      <c r="Z2330" t="s">
        <v>812</v>
      </c>
      <c r="AA2330" t="s">
        <v>4779</v>
      </c>
      <c r="AB2330" t="s">
        <v>793</v>
      </c>
      <c r="AD2330" t="s">
        <v>794</v>
      </c>
      <c r="AE2330" t="s">
        <v>804</v>
      </c>
      <c r="AF2330" t="s">
        <v>840</v>
      </c>
      <c r="AG2330" t="s">
        <v>797</v>
      </c>
      <c r="AH2330">
        <v>10005367</v>
      </c>
      <c r="AI2330">
        <v>10005367</v>
      </c>
      <c r="AJ2330">
        <v>7.2081944792183342E-2</v>
      </c>
    </row>
    <row r="2331" spans="1:36" x14ac:dyDescent="0.3">
      <c r="A2331">
        <f>COUNTIF($D$2:D2331,D2331)</f>
        <v>17</v>
      </c>
      <c r="B2331" t="str">
        <f t="shared" si="145"/>
        <v>17Swindon</v>
      </c>
      <c r="C2331" t="s">
        <v>6451</v>
      </c>
      <c r="D2331" t="s">
        <v>317</v>
      </c>
      <c r="E2331">
        <v>25</v>
      </c>
      <c r="F2331" t="s">
        <v>6422</v>
      </c>
      <c r="G2331" t="s">
        <v>787</v>
      </c>
      <c r="H2331" t="s">
        <v>788</v>
      </c>
      <c r="I2331" t="s">
        <v>789</v>
      </c>
      <c r="J2331">
        <f t="shared" ca="1" si="146"/>
        <v>1203800</v>
      </c>
      <c r="K2331">
        <f t="shared" ca="1" si="147"/>
        <v>360</v>
      </c>
      <c r="N2331" t="str">
        <f t="shared" si="144"/>
        <v>Staffordshire30Intermediate Care Beds BartonBed based intermediate Care Services (Reablement, rehabilitation, wider short-term services supporting recovery)Bed-based intermediate care with rehabilitation accepting step up and step down users</v>
      </c>
      <c r="O2331" t="s">
        <v>301</v>
      </c>
      <c r="P2331" t="s">
        <v>1172</v>
      </c>
      <c r="Q2331">
        <v>30</v>
      </c>
      <c r="R2331" t="s">
        <v>5956</v>
      </c>
      <c r="S2331" t="s">
        <v>6452</v>
      </c>
      <c r="T2331" t="s">
        <v>877</v>
      </c>
      <c r="U2331" t="s">
        <v>1015</v>
      </c>
      <c r="W2331">
        <v>10</v>
      </c>
      <c r="X2331">
        <v>10</v>
      </c>
      <c r="Y2331" t="s">
        <v>879</v>
      </c>
      <c r="Z2331" t="s">
        <v>823</v>
      </c>
      <c r="AB2331" t="s">
        <v>824</v>
      </c>
      <c r="AD2331" t="s">
        <v>794</v>
      </c>
      <c r="AE2331" t="s">
        <v>804</v>
      </c>
      <c r="AF2331" t="s">
        <v>796</v>
      </c>
      <c r="AG2331" t="s">
        <v>797</v>
      </c>
      <c r="AH2331">
        <v>1237396.9391999999</v>
      </c>
      <c r="AI2331">
        <v>1307433.60595872</v>
      </c>
      <c r="AJ2331">
        <v>8.9146133127781368E-3</v>
      </c>
    </row>
    <row r="2332" spans="1:36" x14ac:dyDescent="0.3">
      <c r="A2332">
        <f>COUNTIF($D$2:D2332,D2332)</f>
        <v>18</v>
      </c>
      <c r="B2332" t="str">
        <f t="shared" si="145"/>
        <v>18Swindon</v>
      </c>
      <c r="C2332" t="s">
        <v>6453</v>
      </c>
      <c r="D2332" t="s">
        <v>317</v>
      </c>
      <c r="E2332">
        <v>28</v>
      </c>
      <c r="F2332" t="s">
        <v>6420</v>
      </c>
      <c r="G2332" t="s">
        <v>806</v>
      </c>
      <c r="H2332" t="s">
        <v>807</v>
      </c>
      <c r="I2332" t="s">
        <v>808</v>
      </c>
      <c r="J2332">
        <f t="shared" ca="1" si="146"/>
        <v>1325500</v>
      </c>
      <c r="K2332">
        <f t="shared" ca="1" si="147"/>
        <v>34</v>
      </c>
      <c r="N2332" t="str">
        <f t="shared" si="144"/>
        <v>Staffordshire31Intermediate Care Beds (MPFT)Bed based intermediate Care Services (Reablement, rehabilitation, wider short-term services supporting recovery)Bed-based intermediate care with rehabilitation accepting step up and step down users</v>
      </c>
      <c r="O2332" t="s">
        <v>301</v>
      </c>
      <c r="P2332" t="s">
        <v>1172</v>
      </c>
      <c r="Q2332">
        <v>31</v>
      </c>
      <c r="R2332" t="s">
        <v>5959</v>
      </c>
      <c r="S2332" t="s">
        <v>6454</v>
      </c>
      <c r="T2332" t="s">
        <v>877</v>
      </c>
      <c r="U2332" t="s">
        <v>1015</v>
      </c>
      <c r="W2332">
        <v>70</v>
      </c>
      <c r="X2332">
        <v>70</v>
      </c>
      <c r="Y2332" t="s">
        <v>879</v>
      </c>
      <c r="Z2332" t="s">
        <v>823</v>
      </c>
      <c r="AB2332" t="s">
        <v>824</v>
      </c>
      <c r="AD2332" t="s">
        <v>794</v>
      </c>
      <c r="AE2332" t="s">
        <v>832</v>
      </c>
      <c r="AF2332" t="s">
        <v>796</v>
      </c>
      <c r="AG2332" t="s">
        <v>797</v>
      </c>
      <c r="AH2332">
        <v>2208581.3952000001</v>
      </c>
      <c r="AI2332">
        <v>2333587.1021683202</v>
      </c>
      <c r="AJ2332">
        <v>1.5911344601137536E-2</v>
      </c>
    </row>
    <row r="2333" spans="1:36" x14ac:dyDescent="0.3">
      <c r="A2333">
        <f>COUNTIF($D$2:D2333,D2333)</f>
        <v>19</v>
      </c>
      <c r="B2333" t="str">
        <f t="shared" si="145"/>
        <v>19Swindon</v>
      </c>
      <c r="C2333" t="s">
        <v>6455</v>
      </c>
      <c r="D2333" t="s">
        <v>317</v>
      </c>
      <c r="E2333">
        <v>32</v>
      </c>
      <c r="F2333" t="s">
        <v>6456</v>
      </c>
      <c r="G2333" t="s">
        <v>800</v>
      </c>
      <c r="H2333" t="s">
        <v>903</v>
      </c>
      <c r="I2333" t="s">
        <v>802</v>
      </c>
      <c r="J2333">
        <f t="shared" ca="1" si="146"/>
        <v>46500</v>
      </c>
      <c r="K2333">
        <f t="shared" ca="1" si="147"/>
        <v>51</v>
      </c>
      <c r="N2333" t="str">
        <f t="shared" si="144"/>
        <v>Staffordshire32Intermediate Care Beds (Private)Bed based intermediate Care Services (Reablement, rehabilitation, wider short-term services supporting recovery)Bed-based intermediate care with reablement accepting step up and step down users</v>
      </c>
      <c r="O2333" t="s">
        <v>301</v>
      </c>
      <c r="P2333" t="s">
        <v>1172</v>
      </c>
      <c r="Q2333">
        <v>32</v>
      </c>
      <c r="R2333" t="s">
        <v>5962</v>
      </c>
      <c r="S2333" t="s">
        <v>6457</v>
      </c>
      <c r="T2333" t="s">
        <v>877</v>
      </c>
      <c r="U2333" t="s">
        <v>1259</v>
      </c>
      <c r="W2333">
        <v>55</v>
      </c>
      <c r="X2333">
        <v>55</v>
      </c>
      <c r="Y2333" t="s">
        <v>879</v>
      </c>
      <c r="Z2333" t="s">
        <v>823</v>
      </c>
      <c r="AB2333" t="s">
        <v>824</v>
      </c>
      <c r="AD2333" t="s">
        <v>794</v>
      </c>
      <c r="AE2333" t="s">
        <v>804</v>
      </c>
      <c r="AF2333" t="s">
        <v>796</v>
      </c>
      <c r="AG2333" t="s">
        <v>797</v>
      </c>
      <c r="AH2333">
        <v>5435024.6645999998</v>
      </c>
      <c r="AI2333">
        <v>5742647.06061636</v>
      </c>
      <c r="AJ2333">
        <v>3.9155699917639411E-2</v>
      </c>
    </row>
    <row r="2334" spans="1:36" x14ac:dyDescent="0.3">
      <c r="A2334">
        <f>COUNTIF($D$2:D2334,D2334)</f>
        <v>1</v>
      </c>
      <c r="B2334" t="str">
        <f t="shared" si="145"/>
        <v>1Tameside</v>
      </c>
      <c r="C2334" t="s">
        <v>6458</v>
      </c>
      <c r="D2334" t="s">
        <v>319</v>
      </c>
      <c r="E2334">
        <v>1</v>
      </c>
      <c r="F2334" t="s">
        <v>6459</v>
      </c>
      <c r="G2334" t="s">
        <v>800</v>
      </c>
      <c r="H2334" t="s">
        <v>850</v>
      </c>
      <c r="I2334" t="s">
        <v>802</v>
      </c>
      <c r="J2334">
        <f t="shared" ca="1" si="146"/>
        <v>126924.07802405996</v>
      </c>
      <c r="K2334">
        <f t="shared" ca="1" si="147"/>
        <v>130</v>
      </c>
      <c r="N2334" t="str">
        <f t="shared" si="144"/>
        <v>Staffordshire35Health Care TasksHome Care or Domiciliary CareDomiciliary care packages</v>
      </c>
      <c r="O2334" t="s">
        <v>301</v>
      </c>
      <c r="P2334" t="s">
        <v>1172</v>
      </c>
      <c r="Q2334">
        <v>35</v>
      </c>
      <c r="R2334" t="s">
        <v>5964</v>
      </c>
      <c r="S2334" t="s">
        <v>6460</v>
      </c>
      <c r="T2334" t="s">
        <v>842</v>
      </c>
      <c r="U2334" t="s">
        <v>843</v>
      </c>
      <c r="W2334">
        <v>76781</v>
      </c>
      <c r="X2334">
        <v>76781</v>
      </c>
      <c r="Y2334" t="s">
        <v>844</v>
      </c>
      <c r="Z2334" t="s">
        <v>792</v>
      </c>
      <c r="AB2334" t="s">
        <v>824</v>
      </c>
      <c r="AD2334" t="s">
        <v>794</v>
      </c>
      <c r="AE2334" t="s">
        <v>795</v>
      </c>
      <c r="AF2334" t="s">
        <v>1042</v>
      </c>
      <c r="AG2334" t="s">
        <v>797</v>
      </c>
      <c r="AH2334">
        <v>1673834.0220000001</v>
      </c>
      <c r="AI2334">
        <v>1673834.0220000001</v>
      </c>
      <c r="AJ2334">
        <v>1.2058849172157524E-2</v>
      </c>
    </row>
    <row r="2335" spans="1:36" x14ac:dyDescent="0.3">
      <c r="A2335">
        <f>COUNTIF($D$2:D2335,D2335)</f>
        <v>2</v>
      </c>
      <c r="B2335" t="str">
        <f t="shared" si="145"/>
        <v>2Tameside</v>
      </c>
      <c r="C2335" t="s">
        <v>6461</v>
      </c>
      <c r="D2335" t="s">
        <v>319</v>
      </c>
      <c r="E2335">
        <v>4</v>
      </c>
      <c r="F2335" t="s">
        <v>1084</v>
      </c>
      <c r="G2335" t="s">
        <v>800</v>
      </c>
      <c r="H2335" t="s">
        <v>903</v>
      </c>
      <c r="I2335" t="s">
        <v>802</v>
      </c>
      <c r="J2335">
        <f t="shared" ca="1" si="146"/>
        <v>1016164.998810882</v>
      </c>
      <c r="K2335">
        <f t="shared" ca="1" si="147"/>
        <v>16000</v>
      </c>
      <c r="N2335" t="str">
        <f t="shared" si="144"/>
        <v>Staffordshire38Residential CareResidential PlacementsCare home</v>
      </c>
      <c r="O2335" t="s">
        <v>301</v>
      </c>
      <c r="P2335" t="s">
        <v>1172</v>
      </c>
      <c r="Q2335">
        <v>38</v>
      </c>
      <c r="R2335" t="s">
        <v>2262</v>
      </c>
      <c r="S2335" t="s">
        <v>6462</v>
      </c>
      <c r="T2335" t="s">
        <v>806</v>
      </c>
      <c r="U2335" t="s">
        <v>807</v>
      </c>
      <c r="W2335">
        <v>118</v>
      </c>
      <c r="X2335">
        <v>118</v>
      </c>
      <c r="Y2335" t="s">
        <v>808</v>
      </c>
      <c r="Z2335" t="s">
        <v>792</v>
      </c>
      <c r="AB2335" t="s">
        <v>793</v>
      </c>
      <c r="AD2335" t="s">
        <v>794</v>
      </c>
      <c r="AE2335" t="s">
        <v>804</v>
      </c>
      <c r="AF2335" t="s">
        <v>845</v>
      </c>
      <c r="AG2335" t="s">
        <v>797</v>
      </c>
      <c r="AH2335">
        <v>4949526</v>
      </c>
      <c r="AI2335">
        <v>4949526</v>
      </c>
      <c r="AJ2335">
        <v>3.5658008334874279E-2</v>
      </c>
    </row>
    <row r="2336" spans="1:36" x14ac:dyDescent="0.3">
      <c r="A2336">
        <f>COUNTIF($D$2:D2336,D2336)</f>
        <v>3</v>
      </c>
      <c r="B2336" t="str">
        <f t="shared" si="145"/>
        <v>3Tameside</v>
      </c>
      <c r="C2336" t="s">
        <v>6463</v>
      </c>
      <c r="D2336" t="s">
        <v>319</v>
      </c>
      <c r="E2336">
        <v>9</v>
      </c>
      <c r="F2336" t="s">
        <v>6464</v>
      </c>
      <c r="G2336" t="s">
        <v>811</v>
      </c>
      <c r="H2336" t="s">
        <v>830</v>
      </c>
      <c r="I2336" t="s">
        <v>813</v>
      </c>
      <c r="J2336">
        <f t="shared" ca="1" si="146"/>
        <v>151519.61341006678</v>
      </c>
      <c r="K2336">
        <f t="shared" ca="1" si="147"/>
        <v>384</v>
      </c>
      <c r="N2336" t="str">
        <f t="shared" si="144"/>
        <v>Staffordshire39LD PlacementsResidential PlacementsLearning disability</v>
      </c>
      <c r="O2336" t="s">
        <v>301</v>
      </c>
      <c r="P2336" t="s">
        <v>1172</v>
      </c>
      <c r="Q2336">
        <v>39</v>
      </c>
      <c r="R2336" t="s">
        <v>5969</v>
      </c>
      <c r="S2336" t="s">
        <v>6465</v>
      </c>
      <c r="T2336" t="s">
        <v>806</v>
      </c>
      <c r="U2336" t="s">
        <v>854</v>
      </c>
      <c r="W2336">
        <v>6</v>
      </c>
      <c r="X2336">
        <v>6</v>
      </c>
      <c r="Y2336" t="s">
        <v>808</v>
      </c>
      <c r="Z2336" t="s">
        <v>792</v>
      </c>
      <c r="AB2336" t="s">
        <v>793</v>
      </c>
      <c r="AD2336" t="s">
        <v>794</v>
      </c>
      <c r="AE2336" t="s">
        <v>804</v>
      </c>
      <c r="AF2336" t="s">
        <v>845</v>
      </c>
      <c r="AG2336" t="s">
        <v>797</v>
      </c>
      <c r="AH2336">
        <v>391511</v>
      </c>
      <c r="AI2336">
        <v>391511</v>
      </c>
      <c r="AJ2336">
        <v>2.8205736268876987E-3</v>
      </c>
    </row>
    <row r="2337" spans="1:36" x14ac:dyDescent="0.3">
      <c r="A2337">
        <f>COUNTIF($D$2:D2337,D2337)</f>
        <v>4</v>
      </c>
      <c r="B2337" t="str">
        <f t="shared" si="145"/>
        <v>4Tameside</v>
      </c>
      <c r="C2337" t="s">
        <v>6466</v>
      </c>
      <c r="D2337" t="s">
        <v>319</v>
      </c>
      <c r="E2337">
        <v>17</v>
      </c>
      <c r="F2337" t="s">
        <v>6459</v>
      </c>
      <c r="G2337" t="s">
        <v>800</v>
      </c>
      <c r="H2337" t="s">
        <v>903</v>
      </c>
      <c r="I2337" t="s">
        <v>802</v>
      </c>
      <c r="J2337">
        <f t="shared" ca="1" si="146"/>
        <v>52830.001258713826</v>
      </c>
      <c r="K2337">
        <f t="shared" ca="1" si="147"/>
        <v>60</v>
      </c>
      <c r="N2337" t="str">
        <f t="shared" si="144"/>
        <v>Staffordshire40DementiaResidential PlacementsCare home</v>
      </c>
      <c r="O2337" t="s">
        <v>301</v>
      </c>
      <c r="P2337" t="s">
        <v>1172</v>
      </c>
      <c r="Q2337">
        <v>40</v>
      </c>
      <c r="R2337" t="s">
        <v>2093</v>
      </c>
      <c r="S2337" t="s">
        <v>6467</v>
      </c>
      <c r="T2337" t="s">
        <v>806</v>
      </c>
      <c r="U2337" t="s">
        <v>807</v>
      </c>
      <c r="W2337">
        <v>12</v>
      </c>
      <c r="X2337">
        <v>12</v>
      </c>
      <c r="Y2337" t="s">
        <v>808</v>
      </c>
      <c r="Z2337" t="s">
        <v>792</v>
      </c>
      <c r="AB2337" t="s">
        <v>793</v>
      </c>
      <c r="AD2337" t="s">
        <v>794</v>
      </c>
      <c r="AE2337" t="s">
        <v>804</v>
      </c>
      <c r="AF2337" t="s">
        <v>845</v>
      </c>
      <c r="AG2337" t="s">
        <v>797</v>
      </c>
      <c r="AH2337">
        <v>554297</v>
      </c>
      <c r="AI2337">
        <v>554297</v>
      </c>
      <c r="AJ2337">
        <v>3.9933373510909545E-3</v>
      </c>
    </row>
    <row r="2338" spans="1:36" x14ac:dyDescent="0.3">
      <c r="A2338">
        <f>COUNTIF($D$2:D2338,D2338)</f>
        <v>5</v>
      </c>
      <c r="B2338" t="str">
        <f t="shared" si="145"/>
        <v>5Tameside</v>
      </c>
      <c r="C2338" t="s">
        <v>6468</v>
      </c>
      <c r="D2338" t="s">
        <v>319</v>
      </c>
      <c r="E2338">
        <v>18</v>
      </c>
      <c r="F2338" t="s">
        <v>891</v>
      </c>
      <c r="G2338" t="s">
        <v>834</v>
      </c>
      <c r="H2338" t="s">
        <v>835</v>
      </c>
      <c r="I2338" t="s">
        <v>836</v>
      </c>
      <c r="J2338">
        <f t="shared" ca="1" si="146"/>
        <v>2849319</v>
      </c>
      <c r="K2338">
        <f t="shared" ca="1" si="147"/>
        <v>240</v>
      </c>
      <c r="N2338" t="str">
        <f t="shared" si="144"/>
        <v>Staffordshire41DementiaResidential PlacementsNursing home</v>
      </c>
      <c r="O2338" t="s">
        <v>301</v>
      </c>
      <c r="P2338" t="s">
        <v>1172</v>
      </c>
      <c r="Q2338">
        <v>41</v>
      </c>
      <c r="R2338" t="s">
        <v>2093</v>
      </c>
      <c r="S2338" t="s">
        <v>6469</v>
      </c>
      <c r="T2338" t="s">
        <v>806</v>
      </c>
      <c r="U2338" t="s">
        <v>917</v>
      </c>
      <c r="W2338">
        <v>323</v>
      </c>
      <c r="X2338">
        <v>323</v>
      </c>
      <c r="Y2338" t="s">
        <v>808</v>
      </c>
      <c r="Z2338" t="s">
        <v>1061</v>
      </c>
      <c r="AB2338" t="s">
        <v>824</v>
      </c>
      <c r="AD2338" t="s">
        <v>794</v>
      </c>
      <c r="AE2338" t="s">
        <v>804</v>
      </c>
      <c r="AF2338" t="s">
        <v>1042</v>
      </c>
      <c r="AG2338" t="s">
        <v>797</v>
      </c>
      <c r="AH2338">
        <v>12654378.3528</v>
      </c>
      <c r="AI2338">
        <v>12654378.3528</v>
      </c>
      <c r="AJ2338">
        <v>9.1166291232088706E-2</v>
      </c>
    </row>
    <row r="2339" spans="1:36" x14ac:dyDescent="0.3">
      <c r="A2339">
        <f>COUNTIF($D$2:D2339,D2339)</f>
        <v>6</v>
      </c>
      <c r="B2339" t="str">
        <f t="shared" si="145"/>
        <v>6Tameside</v>
      </c>
      <c r="C2339" t="s">
        <v>6470</v>
      </c>
      <c r="D2339" t="s">
        <v>319</v>
      </c>
      <c r="E2339">
        <v>19</v>
      </c>
      <c r="F2339" t="s">
        <v>6471</v>
      </c>
      <c r="G2339" t="s">
        <v>842</v>
      </c>
      <c r="H2339" t="s">
        <v>843</v>
      </c>
      <c r="I2339" t="s">
        <v>844</v>
      </c>
      <c r="J2339">
        <f t="shared" ca="1" si="146"/>
        <v>419296</v>
      </c>
      <c r="K2339">
        <f t="shared" ca="1" si="147"/>
        <v>19866</v>
      </c>
      <c r="N2339" t="str">
        <f t="shared" si="144"/>
        <v xml:space="preserve">Staffordshire48Independence at Home ServiceHome-based intermediate care servicesReablement at home (to support discharge) </v>
      </c>
      <c r="O2339" t="s">
        <v>301</v>
      </c>
      <c r="P2339" t="s">
        <v>1172</v>
      </c>
      <c r="Q2339">
        <v>48</v>
      </c>
      <c r="R2339" t="s">
        <v>5974</v>
      </c>
      <c r="S2339" t="s">
        <v>6472</v>
      </c>
      <c r="T2339" t="s">
        <v>787</v>
      </c>
      <c r="U2339" t="s">
        <v>788</v>
      </c>
      <c r="W2339">
        <v>580</v>
      </c>
      <c r="X2339">
        <v>580</v>
      </c>
      <c r="Y2339" t="s">
        <v>789</v>
      </c>
      <c r="Z2339" t="s">
        <v>792</v>
      </c>
      <c r="AB2339" t="s">
        <v>793</v>
      </c>
      <c r="AD2339" t="s">
        <v>794</v>
      </c>
      <c r="AE2339" t="s">
        <v>795</v>
      </c>
      <c r="AF2339" t="s">
        <v>864</v>
      </c>
      <c r="AG2339" t="s">
        <v>797</v>
      </c>
      <c r="AH2339">
        <v>2100000</v>
      </c>
      <c r="AI2339">
        <v>2800000</v>
      </c>
      <c r="AJ2339">
        <v>1.5129088624493737E-2</v>
      </c>
    </row>
    <row r="2340" spans="1:36" x14ac:dyDescent="0.3">
      <c r="A2340">
        <f>COUNTIF($D$2:D2340,D2340)</f>
        <v>7</v>
      </c>
      <c r="B2340" t="str">
        <f t="shared" si="145"/>
        <v>7Tameside</v>
      </c>
      <c r="C2340" t="s">
        <v>6473</v>
      </c>
      <c r="D2340" t="s">
        <v>319</v>
      </c>
      <c r="E2340">
        <v>24</v>
      </c>
      <c r="F2340" t="s">
        <v>6474</v>
      </c>
      <c r="G2340" t="s">
        <v>806</v>
      </c>
      <c r="H2340" t="s">
        <v>807</v>
      </c>
      <c r="I2340" t="s">
        <v>808</v>
      </c>
      <c r="J2340">
        <f t="shared" ca="1" si="146"/>
        <v>3058787</v>
      </c>
      <c r="K2340">
        <f t="shared" ca="1" si="147"/>
        <v>92</v>
      </c>
      <c r="N2340" t="str">
        <f t="shared" si="144"/>
        <v>Stockport2ReablementHome-based intermediate care servicesReablement at home (accepting step up and step down users)</v>
      </c>
      <c r="O2340" t="s">
        <v>303</v>
      </c>
      <c r="P2340" t="s">
        <v>1201</v>
      </c>
      <c r="Q2340">
        <v>2</v>
      </c>
      <c r="R2340" t="s">
        <v>434</v>
      </c>
      <c r="S2340" t="s">
        <v>6475</v>
      </c>
      <c r="T2340" t="s">
        <v>787</v>
      </c>
      <c r="U2340" t="s">
        <v>930</v>
      </c>
      <c r="W2340">
        <v>196</v>
      </c>
      <c r="X2340">
        <v>216</v>
      </c>
      <c r="Y2340" t="s">
        <v>789</v>
      </c>
      <c r="Z2340" t="s">
        <v>792</v>
      </c>
      <c r="AB2340" t="s">
        <v>793</v>
      </c>
      <c r="AD2340" t="s">
        <v>794</v>
      </c>
      <c r="AE2340" t="s">
        <v>795</v>
      </c>
      <c r="AF2340" t="s">
        <v>796</v>
      </c>
      <c r="AG2340" t="s">
        <v>797</v>
      </c>
      <c r="AH2340">
        <v>1225552</v>
      </c>
      <c r="AI2340">
        <v>1225552</v>
      </c>
      <c r="AJ2340">
        <v>2.8639378485255568E-2</v>
      </c>
    </row>
    <row r="2341" spans="1:36" x14ac:dyDescent="0.3">
      <c r="A2341">
        <f>COUNTIF($D$2:D2341,D2341)</f>
        <v>8</v>
      </c>
      <c r="B2341" t="str">
        <f t="shared" si="145"/>
        <v>8Tameside</v>
      </c>
      <c r="C2341" t="s">
        <v>6476</v>
      </c>
      <c r="D2341" t="s">
        <v>319</v>
      </c>
      <c r="E2341">
        <v>25</v>
      </c>
      <c r="F2341" t="s">
        <v>6477</v>
      </c>
      <c r="G2341" t="s">
        <v>806</v>
      </c>
      <c r="H2341" t="s">
        <v>807</v>
      </c>
      <c r="I2341" t="s">
        <v>808</v>
      </c>
      <c r="J2341">
        <f t="shared" ca="1" si="146"/>
        <v>609006</v>
      </c>
      <c r="K2341">
        <f t="shared" ca="1" si="147"/>
        <v>18</v>
      </c>
      <c r="N2341" t="str">
        <f t="shared" si="144"/>
        <v>Stockport3EquipmentAssistive Technologies and EquipmentCommunity based equipment</v>
      </c>
      <c r="O2341" t="s">
        <v>303</v>
      </c>
      <c r="P2341" t="s">
        <v>1201</v>
      </c>
      <c r="Q2341">
        <v>3</v>
      </c>
      <c r="R2341" t="s">
        <v>1034</v>
      </c>
      <c r="S2341" t="s">
        <v>6478</v>
      </c>
      <c r="T2341" t="s">
        <v>800</v>
      </c>
      <c r="U2341" t="s">
        <v>903</v>
      </c>
      <c r="W2341">
        <v>3788</v>
      </c>
      <c r="X2341">
        <v>3978</v>
      </c>
      <c r="Y2341" t="s">
        <v>802</v>
      </c>
      <c r="Z2341" t="s">
        <v>792</v>
      </c>
      <c r="AB2341" t="s">
        <v>793</v>
      </c>
      <c r="AD2341" t="s">
        <v>794</v>
      </c>
      <c r="AE2341" t="s">
        <v>804</v>
      </c>
      <c r="AF2341" t="s">
        <v>796</v>
      </c>
      <c r="AG2341" t="s">
        <v>797</v>
      </c>
      <c r="AH2341">
        <v>699635</v>
      </c>
      <c r="AI2341">
        <v>734617</v>
      </c>
      <c r="AJ2341">
        <v>1.6758197886027996E-2</v>
      </c>
    </row>
    <row r="2342" spans="1:36" x14ac:dyDescent="0.3">
      <c r="A2342">
        <f>COUNTIF($D$2:D2342,D2342)</f>
        <v>9</v>
      </c>
      <c r="B2342" t="str">
        <f t="shared" si="145"/>
        <v>9Tameside</v>
      </c>
      <c r="C2342" t="s">
        <v>6479</v>
      </c>
      <c r="D2342" t="s">
        <v>319</v>
      </c>
      <c r="E2342">
        <v>33</v>
      </c>
      <c r="F2342" t="s">
        <v>6480</v>
      </c>
      <c r="G2342" t="s">
        <v>806</v>
      </c>
      <c r="H2342" t="s">
        <v>807</v>
      </c>
      <c r="I2342" t="s">
        <v>808</v>
      </c>
      <c r="J2342">
        <f t="shared" ca="1" si="146"/>
        <v>70343</v>
      </c>
      <c r="K2342">
        <f t="shared" ca="1" si="147"/>
        <v>2</v>
      </c>
      <c r="N2342" t="str">
        <f t="shared" si="144"/>
        <v>Stockport5Carers ServicesCarers ServicesOther</v>
      </c>
      <c r="O2342" t="s">
        <v>303</v>
      </c>
      <c r="P2342" t="s">
        <v>1201</v>
      </c>
      <c r="Q2342">
        <v>5</v>
      </c>
      <c r="R2342" t="s">
        <v>811</v>
      </c>
      <c r="S2342" t="s">
        <v>6481</v>
      </c>
      <c r="T2342" t="s">
        <v>811</v>
      </c>
      <c r="U2342" t="s">
        <v>812</v>
      </c>
      <c r="V2342" t="s">
        <v>6481</v>
      </c>
      <c r="W2342">
        <v>848</v>
      </c>
      <c r="X2342">
        <v>933.00000000000011</v>
      </c>
      <c r="Y2342" t="s">
        <v>813</v>
      </c>
      <c r="Z2342" t="s">
        <v>792</v>
      </c>
      <c r="AB2342" t="s">
        <v>793</v>
      </c>
      <c r="AD2342" t="s">
        <v>794</v>
      </c>
      <c r="AE2342" t="s">
        <v>795</v>
      </c>
      <c r="AF2342" t="s">
        <v>796</v>
      </c>
      <c r="AG2342" t="s">
        <v>797</v>
      </c>
      <c r="AH2342">
        <v>743190</v>
      </c>
      <c r="AI2342">
        <v>756380</v>
      </c>
      <c r="AJ2342">
        <v>1.7521391501598746E-2</v>
      </c>
    </row>
    <row r="2343" spans="1:36" x14ac:dyDescent="0.3">
      <c r="A2343">
        <f>COUNTIF($D$2:D2343,D2343)</f>
        <v>10</v>
      </c>
      <c r="B2343" t="str">
        <f t="shared" si="145"/>
        <v>10Tameside</v>
      </c>
      <c r="C2343" t="s">
        <v>6482</v>
      </c>
      <c r="D2343" t="s">
        <v>319</v>
      </c>
      <c r="E2343">
        <v>42</v>
      </c>
      <c r="F2343" t="s">
        <v>6474</v>
      </c>
      <c r="G2343" t="s">
        <v>806</v>
      </c>
      <c r="H2343" t="s">
        <v>807</v>
      </c>
      <c r="I2343" t="s">
        <v>808</v>
      </c>
      <c r="J2343">
        <f t="shared" ca="1" si="146"/>
        <v>588141</v>
      </c>
      <c r="K2343">
        <f t="shared" ca="1" si="147"/>
        <v>18</v>
      </c>
      <c r="N2343" t="str">
        <f t="shared" si="144"/>
        <v>Stockport6LD Tenancy - Stockport Road ApartmentsResidential PlacementsSupported housing</v>
      </c>
      <c r="O2343" t="s">
        <v>303</v>
      </c>
      <c r="P2343" t="s">
        <v>1201</v>
      </c>
      <c r="Q2343">
        <v>6</v>
      </c>
      <c r="R2343" t="s">
        <v>5983</v>
      </c>
      <c r="S2343" t="s">
        <v>6483</v>
      </c>
      <c r="T2343" t="s">
        <v>806</v>
      </c>
      <c r="U2343" t="s">
        <v>873</v>
      </c>
      <c r="W2343">
        <v>5</v>
      </c>
      <c r="X2343">
        <v>5</v>
      </c>
      <c r="Y2343" t="s">
        <v>808</v>
      </c>
      <c r="Z2343" t="s">
        <v>792</v>
      </c>
      <c r="AB2343" t="s">
        <v>793</v>
      </c>
      <c r="AD2343" t="s">
        <v>794</v>
      </c>
      <c r="AE2343" t="s">
        <v>795</v>
      </c>
      <c r="AF2343" t="s">
        <v>796</v>
      </c>
      <c r="AG2343" t="s">
        <v>797</v>
      </c>
      <c r="AH2343">
        <v>668574</v>
      </c>
      <c r="AI2343">
        <v>699148</v>
      </c>
      <c r="AJ2343">
        <v>1.5980842926538702E-2</v>
      </c>
    </row>
    <row r="2344" spans="1:36" x14ac:dyDescent="0.3">
      <c r="A2344">
        <f>COUNTIF($D$2:D2344,D2344)</f>
        <v>11</v>
      </c>
      <c r="B2344" t="str">
        <f t="shared" si="145"/>
        <v>11Tameside</v>
      </c>
      <c r="C2344" t="s">
        <v>6484</v>
      </c>
      <c r="D2344" t="s">
        <v>319</v>
      </c>
      <c r="E2344">
        <v>43</v>
      </c>
      <c r="F2344" t="s">
        <v>6485</v>
      </c>
      <c r="G2344" t="s">
        <v>806</v>
      </c>
      <c r="H2344" t="s">
        <v>917</v>
      </c>
      <c r="I2344" t="s">
        <v>808</v>
      </c>
      <c r="J2344">
        <f t="shared" ca="1" si="146"/>
        <v>588141</v>
      </c>
      <c r="K2344">
        <f t="shared" ca="1" si="147"/>
        <v>16</v>
      </c>
      <c r="N2344" t="str">
        <f t="shared" si="144"/>
        <v>Stockport9TelecareAssistive Technologies and EquipmentAssistive technologies including telecare</v>
      </c>
      <c r="O2344" t="s">
        <v>303</v>
      </c>
      <c r="P2344" t="s">
        <v>1201</v>
      </c>
      <c r="Q2344">
        <v>9</v>
      </c>
      <c r="R2344" t="s">
        <v>2108</v>
      </c>
      <c r="S2344" t="s">
        <v>6486</v>
      </c>
      <c r="T2344" t="s">
        <v>800</v>
      </c>
      <c r="U2344" t="s">
        <v>850</v>
      </c>
      <c r="W2344">
        <v>736</v>
      </c>
      <c r="X2344">
        <v>809</v>
      </c>
      <c r="Y2344" t="s">
        <v>802</v>
      </c>
      <c r="Z2344" t="s">
        <v>792</v>
      </c>
      <c r="AB2344" t="s">
        <v>793</v>
      </c>
      <c r="AD2344" t="s">
        <v>794</v>
      </c>
      <c r="AE2344" t="s">
        <v>795</v>
      </c>
      <c r="AF2344" t="s">
        <v>796</v>
      </c>
      <c r="AG2344" t="s">
        <v>797</v>
      </c>
      <c r="AH2344">
        <v>93000</v>
      </c>
      <c r="AI2344">
        <v>93000</v>
      </c>
      <c r="AJ2344">
        <v>2.173275551856443E-3</v>
      </c>
    </row>
    <row r="2345" spans="1:36" x14ac:dyDescent="0.3">
      <c r="A2345">
        <f>COUNTIF($D$2:D2345,D2345)</f>
        <v>12</v>
      </c>
      <c r="B2345" t="str">
        <f t="shared" si="145"/>
        <v>12Tameside</v>
      </c>
      <c r="C2345" t="s">
        <v>6487</v>
      </c>
      <c r="D2345" t="s">
        <v>319</v>
      </c>
      <c r="E2345">
        <v>44</v>
      </c>
      <c r="F2345" t="s">
        <v>6488</v>
      </c>
      <c r="G2345" t="s">
        <v>842</v>
      </c>
      <c r="H2345" t="s">
        <v>843</v>
      </c>
      <c r="I2345" t="s">
        <v>844</v>
      </c>
      <c r="J2345">
        <f t="shared" ca="1" si="146"/>
        <v>588142</v>
      </c>
      <c r="K2345">
        <f t="shared" ca="1" si="147"/>
        <v>27819</v>
      </c>
      <c r="N2345" t="str">
        <f t="shared" si="144"/>
        <v>Stockport11Disabled Facilities Grant (CAPITAL) (Housing)DFG Related SchemesAdaptations, including statutory DFG grants</v>
      </c>
      <c r="O2345" t="s">
        <v>303</v>
      </c>
      <c r="P2345" t="s">
        <v>1201</v>
      </c>
      <c r="Q2345">
        <v>11</v>
      </c>
      <c r="R2345" t="s">
        <v>5986</v>
      </c>
      <c r="S2345" t="s">
        <v>6489</v>
      </c>
      <c r="T2345" t="s">
        <v>834</v>
      </c>
      <c r="U2345" t="s">
        <v>835</v>
      </c>
      <c r="W2345">
        <v>271</v>
      </c>
      <c r="X2345">
        <v>298</v>
      </c>
      <c r="Y2345" t="s">
        <v>836</v>
      </c>
      <c r="Z2345" t="s">
        <v>792</v>
      </c>
      <c r="AB2345" t="s">
        <v>793</v>
      </c>
      <c r="AD2345" t="s">
        <v>794</v>
      </c>
      <c r="AE2345" t="s">
        <v>795</v>
      </c>
      <c r="AF2345" t="s">
        <v>840</v>
      </c>
      <c r="AG2345" t="s">
        <v>797</v>
      </c>
      <c r="AH2345">
        <v>2885856</v>
      </c>
      <c r="AI2345">
        <v>2885856</v>
      </c>
      <c r="AJ2345">
        <v>6.7438282698690621E-2</v>
      </c>
    </row>
    <row r="2346" spans="1:36" x14ac:dyDescent="0.3">
      <c r="A2346">
        <f>COUNTIF($D$2:D2346,D2346)</f>
        <v>13</v>
      </c>
      <c r="B2346" t="str">
        <f t="shared" si="145"/>
        <v>13Tameside</v>
      </c>
      <c r="C2346" t="s">
        <v>6490</v>
      </c>
      <c r="D2346" t="s">
        <v>319</v>
      </c>
      <c r="E2346">
        <v>48</v>
      </c>
      <c r="F2346" t="s">
        <v>6491</v>
      </c>
      <c r="G2346" t="s">
        <v>877</v>
      </c>
      <c r="H2346" t="s">
        <v>1259</v>
      </c>
      <c r="I2346" t="s">
        <v>879</v>
      </c>
      <c r="J2346">
        <f t="shared" ca="1" si="146"/>
        <v>347830</v>
      </c>
      <c r="K2346">
        <f t="shared" ca="1" si="147"/>
        <v>7</v>
      </c>
      <c r="N2346" t="str">
        <f t="shared" si="144"/>
        <v>Stockport12ASC Discharge FundingBed based intermediate Care Services (Reablement, rehabilitation, wider short-term services supporting recovery)Bed-based intermediate care with reablement (to support discharge)</v>
      </c>
      <c r="O2346" t="s">
        <v>303</v>
      </c>
      <c r="P2346" t="s">
        <v>1201</v>
      </c>
      <c r="Q2346">
        <v>12</v>
      </c>
      <c r="R2346" t="s">
        <v>5989</v>
      </c>
      <c r="S2346" t="s">
        <v>6492</v>
      </c>
      <c r="T2346" t="s">
        <v>877</v>
      </c>
      <c r="U2346" t="s">
        <v>878</v>
      </c>
      <c r="W2346">
        <v>173</v>
      </c>
      <c r="X2346">
        <v>419</v>
      </c>
      <c r="Y2346" t="s">
        <v>879</v>
      </c>
      <c r="Z2346" t="s">
        <v>792</v>
      </c>
      <c r="AB2346" t="s">
        <v>793</v>
      </c>
      <c r="AD2346" t="s">
        <v>794</v>
      </c>
      <c r="AE2346" t="s">
        <v>795</v>
      </c>
      <c r="AF2346" t="s">
        <v>864</v>
      </c>
      <c r="AG2346" t="s">
        <v>861</v>
      </c>
      <c r="AH2346">
        <v>901338</v>
      </c>
      <c r="AI2346">
        <v>2260101</v>
      </c>
      <c r="AJ2346">
        <v>3.6939129502072482E-2</v>
      </c>
    </row>
    <row r="2347" spans="1:36" x14ac:dyDescent="0.3">
      <c r="A2347">
        <f>COUNTIF($D$2:D2347,D2347)</f>
        <v>14</v>
      </c>
      <c r="B2347" t="str">
        <f t="shared" si="145"/>
        <v>14Tameside</v>
      </c>
      <c r="C2347" t="s">
        <v>6493</v>
      </c>
      <c r="D2347" t="s">
        <v>319</v>
      </c>
      <c r="E2347">
        <v>51</v>
      </c>
      <c r="F2347" t="s">
        <v>6485</v>
      </c>
      <c r="G2347" t="s">
        <v>806</v>
      </c>
      <c r="H2347" t="s">
        <v>917</v>
      </c>
      <c r="I2347" t="s">
        <v>808</v>
      </c>
      <c r="J2347">
        <f t="shared" ca="1" si="146"/>
        <v>3058787</v>
      </c>
      <c r="K2347">
        <f t="shared" ca="1" si="147"/>
        <v>84</v>
      </c>
      <c r="N2347" t="str">
        <f t="shared" si="144"/>
        <v>Stockport13CarersCarers ServicesRespite services</v>
      </c>
      <c r="O2347" t="s">
        <v>303</v>
      </c>
      <c r="P2347" t="s">
        <v>1201</v>
      </c>
      <c r="Q2347">
        <v>13</v>
      </c>
      <c r="R2347" t="s">
        <v>1250</v>
      </c>
      <c r="S2347" t="s">
        <v>6494</v>
      </c>
      <c r="T2347" t="s">
        <v>811</v>
      </c>
      <c r="U2347" t="s">
        <v>830</v>
      </c>
      <c r="W2347">
        <v>158</v>
      </c>
      <c r="X2347">
        <v>158</v>
      </c>
      <c r="Y2347" t="s">
        <v>813</v>
      </c>
      <c r="Z2347" t="s">
        <v>1061</v>
      </c>
      <c r="AB2347" t="s">
        <v>824</v>
      </c>
      <c r="AD2347" t="s">
        <v>794</v>
      </c>
      <c r="AE2347" t="s">
        <v>804</v>
      </c>
      <c r="AF2347" t="s">
        <v>796</v>
      </c>
      <c r="AG2347" t="s">
        <v>797</v>
      </c>
      <c r="AH2347">
        <v>316281</v>
      </c>
      <c r="AI2347">
        <v>322607</v>
      </c>
      <c r="AJ2347">
        <v>7.464944466529351E-3</v>
      </c>
    </row>
    <row r="2348" spans="1:36" x14ac:dyDescent="0.3">
      <c r="A2348">
        <f>COUNTIF($D$2:D2348,D2348)</f>
        <v>15</v>
      </c>
      <c r="B2348" t="str">
        <f t="shared" si="145"/>
        <v>15Tameside</v>
      </c>
      <c r="C2348" t="s">
        <v>6495</v>
      </c>
      <c r="D2348" t="s">
        <v>319</v>
      </c>
      <c r="E2348">
        <v>52</v>
      </c>
      <c r="F2348" t="s">
        <v>6488</v>
      </c>
      <c r="G2348" t="s">
        <v>842</v>
      </c>
      <c r="H2348" t="s">
        <v>843</v>
      </c>
      <c r="I2348" t="s">
        <v>844</v>
      </c>
      <c r="J2348">
        <f t="shared" ca="1" si="146"/>
        <v>3058787</v>
      </c>
      <c r="K2348">
        <f t="shared" ca="1" si="147"/>
        <v>144678</v>
      </c>
      <c r="N2348" t="str">
        <f t="shared" si="144"/>
        <v>Stockport14Saffron Ward MH - Step Up / Step Down bedsBed based intermediate Care Services (Reablement, rehabilitation, wider short-term services supporting recovery)Bed-based intermediate care with rehabilitation accepting step up and step down users</v>
      </c>
      <c r="O2348" t="s">
        <v>303</v>
      </c>
      <c r="P2348" t="s">
        <v>1201</v>
      </c>
      <c r="Q2348">
        <v>14</v>
      </c>
      <c r="R2348" t="s">
        <v>5994</v>
      </c>
      <c r="S2348" t="s">
        <v>6496</v>
      </c>
      <c r="T2348" t="s">
        <v>877</v>
      </c>
      <c r="U2348" t="s">
        <v>1015</v>
      </c>
      <c r="W2348">
        <v>126</v>
      </c>
      <c r="X2348">
        <v>126</v>
      </c>
      <c r="Y2348" t="s">
        <v>879</v>
      </c>
      <c r="Z2348" t="s">
        <v>1006</v>
      </c>
      <c r="AB2348" t="s">
        <v>824</v>
      </c>
      <c r="AD2348" t="s">
        <v>794</v>
      </c>
      <c r="AE2348" t="s">
        <v>1107</v>
      </c>
      <c r="AF2348" t="s">
        <v>796</v>
      </c>
      <c r="AG2348" t="s">
        <v>797</v>
      </c>
      <c r="AH2348">
        <v>989753</v>
      </c>
      <c r="AI2348">
        <v>1009548</v>
      </c>
      <c r="AJ2348">
        <v>2.336038701130182E-2</v>
      </c>
    </row>
    <row r="2349" spans="1:36" x14ac:dyDescent="0.3">
      <c r="A2349">
        <f>COUNTIF($D$2:D2349,D2349)</f>
        <v>1</v>
      </c>
      <c r="B2349" t="str">
        <f t="shared" si="145"/>
        <v>1Telford and Wrekin</v>
      </c>
      <c r="C2349" t="s">
        <v>6497</v>
      </c>
      <c r="D2349" t="s">
        <v>321</v>
      </c>
      <c r="E2349">
        <v>2</v>
      </c>
      <c r="F2349" t="s">
        <v>6498</v>
      </c>
      <c r="G2349" t="s">
        <v>787</v>
      </c>
      <c r="H2349" t="s">
        <v>1011</v>
      </c>
      <c r="I2349" t="s">
        <v>789</v>
      </c>
      <c r="J2349">
        <f t="shared" ca="1" si="146"/>
        <v>147000</v>
      </c>
      <c r="K2349">
        <f t="shared" ca="1" si="147"/>
        <v>121</v>
      </c>
      <c r="N2349" t="str">
        <f t="shared" si="144"/>
        <v>Stockport18Continuing Health CareBed based intermediate Care Services (Reablement, rehabilitation, wider short-term services supporting recovery)Bed-based intermediate care with rehabilitation (to support discharge)</v>
      </c>
      <c r="O2349" t="s">
        <v>303</v>
      </c>
      <c r="P2349" t="s">
        <v>1201</v>
      </c>
      <c r="Q2349">
        <v>18</v>
      </c>
      <c r="R2349" t="s">
        <v>5996</v>
      </c>
      <c r="S2349" t="s">
        <v>6499</v>
      </c>
      <c r="T2349" t="s">
        <v>877</v>
      </c>
      <c r="U2349" t="s">
        <v>968</v>
      </c>
      <c r="W2349">
        <v>282</v>
      </c>
      <c r="X2349">
        <v>345</v>
      </c>
      <c r="Y2349" t="s">
        <v>879</v>
      </c>
      <c r="Z2349" t="s">
        <v>1061</v>
      </c>
      <c r="AB2349" t="s">
        <v>824</v>
      </c>
      <c r="AD2349" t="s">
        <v>794</v>
      </c>
      <c r="AE2349" t="s">
        <v>804</v>
      </c>
      <c r="AF2349" t="s">
        <v>796</v>
      </c>
      <c r="AG2349" t="s">
        <v>797</v>
      </c>
      <c r="AH2349">
        <v>1436288.5</v>
      </c>
      <c r="AI2349">
        <v>1759464</v>
      </c>
      <c r="AJ2349">
        <v>3.7340057946419938E-2</v>
      </c>
    </row>
    <row r="2350" spans="1:36" x14ac:dyDescent="0.3">
      <c r="A2350">
        <f>COUNTIF($D$2:D2350,D2350)</f>
        <v>2</v>
      </c>
      <c r="B2350" t="str">
        <f t="shared" si="145"/>
        <v>2Telford and Wrekin</v>
      </c>
      <c r="C2350" t="s">
        <v>6500</v>
      </c>
      <c r="D2350" t="s">
        <v>321</v>
      </c>
      <c r="E2350">
        <v>3</v>
      </c>
      <c r="F2350" t="s">
        <v>6498</v>
      </c>
      <c r="G2350" t="s">
        <v>877</v>
      </c>
      <c r="H2350" t="s">
        <v>1018</v>
      </c>
      <c r="I2350" t="s">
        <v>879</v>
      </c>
      <c r="J2350">
        <f t="shared" ca="1" si="146"/>
        <v>47346</v>
      </c>
      <c r="K2350">
        <f t="shared" ca="1" si="147"/>
        <v>15</v>
      </c>
      <c r="N2350" t="str">
        <f t="shared" si="144"/>
        <v>Stockport19Bluebell Ward - New Model of care for wardBed based intermediate Care Services (Reablement, rehabilitation, wider short-term services supporting recovery)Bed-based intermediate care with rehabilitation (to support discharge)</v>
      </c>
      <c r="O2350" t="s">
        <v>303</v>
      </c>
      <c r="P2350" t="s">
        <v>1201</v>
      </c>
      <c r="Q2350">
        <v>19</v>
      </c>
      <c r="R2350" t="s">
        <v>5999</v>
      </c>
      <c r="S2350" t="s">
        <v>6501</v>
      </c>
      <c r="T2350" t="s">
        <v>877</v>
      </c>
      <c r="U2350" t="s">
        <v>968</v>
      </c>
      <c r="W2350">
        <v>326</v>
      </c>
      <c r="X2350">
        <v>326</v>
      </c>
      <c r="Y2350" t="s">
        <v>879</v>
      </c>
      <c r="Z2350" t="s">
        <v>823</v>
      </c>
      <c r="AB2350" t="s">
        <v>824</v>
      </c>
      <c r="AD2350" t="s">
        <v>794</v>
      </c>
      <c r="AE2350" t="s">
        <v>832</v>
      </c>
      <c r="AF2350" t="s">
        <v>796</v>
      </c>
      <c r="AG2350" t="s">
        <v>797</v>
      </c>
      <c r="AH2350">
        <v>2547442</v>
      </c>
      <c r="AI2350">
        <v>2582391</v>
      </c>
      <c r="AJ2350">
        <v>5.9938390559174159E-2</v>
      </c>
    </row>
    <row r="2351" spans="1:36" x14ac:dyDescent="0.3">
      <c r="A2351">
        <f>COUNTIF($D$2:D2351,D2351)</f>
        <v>3</v>
      </c>
      <c r="B2351" t="str">
        <f t="shared" si="145"/>
        <v>3Telford and Wrekin</v>
      </c>
      <c r="C2351" t="s">
        <v>6502</v>
      </c>
      <c r="D2351" t="s">
        <v>321</v>
      </c>
      <c r="E2351">
        <v>4</v>
      </c>
      <c r="F2351" t="s">
        <v>6498</v>
      </c>
      <c r="G2351" t="s">
        <v>877</v>
      </c>
      <c r="H2351" t="s">
        <v>878</v>
      </c>
      <c r="I2351" t="s">
        <v>879</v>
      </c>
      <c r="J2351">
        <f t="shared" ca="1" si="146"/>
        <v>40245</v>
      </c>
      <c r="K2351">
        <f t="shared" ca="1" si="147"/>
        <v>5</v>
      </c>
      <c r="N2351" t="str">
        <f t="shared" si="144"/>
        <v>Stockport24Commissioning of D2A BedsBed based intermediate Care Services (Reablement, rehabilitation, wider short-term services supporting recovery)Bed-based intermediate care with rehabilitation (to support discharge)</v>
      </c>
      <c r="O2351" t="s">
        <v>303</v>
      </c>
      <c r="P2351" t="s">
        <v>1201</v>
      </c>
      <c r="Q2351">
        <v>24</v>
      </c>
      <c r="R2351" t="s">
        <v>6002</v>
      </c>
      <c r="S2351" t="s">
        <v>6503</v>
      </c>
      <c r="T2351" t="s">
        <v>877</v>
      </c>
      <c r="U2351" t="s">
        <v>968</v>
      </c>
      <c r="W2351">
        <v>216</v>
      </c>
      <c r="X2351">
        <v>346</v>
      </c>
      <c r="Y2351" t="s">
        <v>879</v>
      </c>
      <c r="Z2351" t="s">
        <v>823</v>
      </c>
      <c r="AB2351" t="s">
        <v>824</v>
      </c>
      <c r="AD2351" t="s">
        <v>794</v>
      </c>
      <c r="AE2351" t="s">
        <v>804</v>
      </c>
      <c r="AF2351" t="s">
        <v>860</v>
      </c>
      <c r="AG2351" t="s">
        <v>861</v>
      </c>
      <c r="AH2351">
        <v>1232927</v>
      </c>
      <c r="AI2351">
        <v>1896673</v>
      </c>
      <c r="AJ2351">
        <v>3.6567113801558734E-2</v>
      </c>
    </row>
    <row r="2352" spans="1:36" x14ac:dyDescent="0.3">
      <c r="A2352">
        <f>COUNTIF($D$2:D2352,D2352)</f>
        <v>4</v>
      </c>
      <c r="B2352" t="str">
        <f t="shared" si="145"/>
        <v>4Telford and Wrekin</v>
      </c>
      <c r="C2352" t="s">
        <v>6504</v>
      </c>
      <c r="D2352" t="s">
        <v>321</v>
      </c>
      <c r="E2352">
        <v>5</v>
      </c>
      <c r="F2352" t="s">
        <v>6498</v>
      </c>
      <c r="G2352" t="s">
        <v>877</v>
      </c>
      <c r="H2352" t="s">
        <v>878</v>
      </c>
      <c r="I2352" t="s">
        <v>879</v>
      </c>
      <c r="J2352">
        <f t="shared" ca="1" si="146"/>
        <v>733749</v>
      </c>
      <c r="K2352">
        <f t="shared" ca="1" si="147"/>
        <v>85</v>
      </c>
      <c r="N2352" t="str">
        <f t="shared" si="144"/>
        <v>Stockton-on-Tees1Rosedale ServiceBed based intermediate Care Services (Reablement, rehabilitation, wider short-term services supporting recovery)Bed-based intermediate care with rehabilitation (to support discharge)</v>
      </c>
      <c r="O2352" t="s">
        <v>305</v>
      </c>
      <c r="P2352" t="s">
        <v>2195</v>
      </c>
      <c r="Q2352">
        <v>1</v>
      </c>
      <c r="R2352" t="s">
        <v>6004</v>
      </c>
      <c r="S2352" t="s">
        <v>6505</v>
      </c>
      <c r="T2352" t="s">
        <v>877</v>
      </c>
      <c r="U2352" t="s">
        <v>968</v>
      </c>
      <c r="W2352">
        <v>305</v>
      </c>
      <c r="X2352">
        <v>305</v>
      </c>
      <c r="Y2352" t="s">
        <v>879</v>
      </c>
      <c r="Z2352" t="s">
        <v>792</v>
      </c>
      <c r="AB2352" t="s">
        <v>1739</v>
      </c>
      <c r="AC2352">
        <v>0.5</v>
      </c>
      <c r="AD2352">
        <v>0.5</v>
      </c>
      <c r="AE2352" t="s">
        <v>795</v>
      </c>
      <c r="AF2352" t="s">
        <v>796</v>
      </c>
      <c r="AG2352" t="s">
        <v>797</v>
      </c>
      <c r="AH2352">
        <v>2204000</v>
      </c>
      <c r="AI2352">
        <v>2328746.4</v>
      </c>
      <c r="AJ2352">
        <v>1</v>
      </c>
    </row>
    <row r="2353" spans="1:36" x14ac:dyDescent="0.3">
      <c r="A2353">
        <f>COUNTIF($D$2:D2353,D2353)</f>
        <v>5</v>
      </c>
      <c r="B2353" t="str">
        <f t="shared" si="145"/>
        <v>5Telford and Wrekin</v>
      </c>
      <c r="C2353" t="s">
        <v>6506</v>
      </c>
      <c r="D2353" t="s">
        <v>321</v>
      </c>
      <c r="E2353">
        <v>6</v>
      </c>
      <c r="F2353" t="s">
        <v>6498</v>
      </c>
      <c r="G2353" t="s">
        <v>877</v>
      </c>
      <c r="H2353" t="s">
        <v>878</v>
      </c>
      <c r="I2353" t="s">
        <v>879</v>
      </c>
      <c r="J2353">
        <f t="shared" ca="1" si="146"/>
        <v>341000</v>
      </c>
      <c r="K2353">
        <f t="shared" ca="1" si="147"/>
        <v>39</v>
      </c>
      <c r="N2353" t="str">
        <f t="shared" si="144"/>
        <v xml:space="preserve">Stockton-on-Tees3Reablement ServiceHome-based intermediate care servicesReablement at home (to support discharge) </v>
      </c>
      <c r="O2353" t="s">
        <v>305</v>
      </c>
      <c r="P2353" t="s">
        <v>2195</v>
      </c>
      <c r="Q2353">
        <v>3</v>
      </c>
      <c r="R2353" t="s">
        <v>1396</v>
      </c>
      <c r="S2353" t="s">
        <v>6507</v>
      </c>
      <c r="T2353" t="s">
        <v>787</v>
      </c>
      <c r="U2353" t="s">
        <v>788</v>
      </c>
      <c r="W2353">
        <v>600</v>
      </c>
      <c r="X2353">
        <v>600</v>
      </c>
      <c r="Y2353" t="s">
        <v>789</v>
      </c>
      <c r="Z2353" t="s">
        <v>792</v>
      </c>
      <c r="AB2353" t="s">
        <v>1739</v>
      </c>
      <c r="AC2353">
        <v>0.5</v>
      </c>
      <c r="AD2353">
        <v>0.5</v>
      </c>
      <c r="AE2353" t="s">
        <v>795</v>
      </c>
      <c r="AF2353" t="s">
        <v>796</v>
      </c>
      <c r="AG2353" t="s">
        <v>797</v>
      </c>
      <c r="AH2353">
        <v>944000</v>
      </c>
      <c r="AI2353">
        <v>997430.4</v>
      </c>
      <c r="AJ2353">
        <v>1</v>
      </c>
    </row>
    <row r="2354" spans="1:36" x14ac:dyDescent="0.3">
      <c r="A2354">
        <f>COUNTIF($D$2:D2354,D2354)</f>
        <v>6</v>
      </c>
      <c r="B2354" t="str">
        <f t="shared" si="145"/>
        <v>6Telford and Wrekin</v>
      </c>
      <c r="C2354" t="s">
        <v>6508</v>
      </c>
      <c r="D2354" t="s">
        <v>321</v>
      </c>
      <c r="E2354">
        <v>7</v>
      </c>
      <c r="F2354" t="s">
        <v>840</v>
      </c>
      <c r="G2354" t="s">
        <v>834</v>
      </c>
      <c r="H2354" t="s">
        <v>835</v>
      </c>
      <c r="I2354" t="s">
        <v>836</v>
      </c>
      <c r="J2354">
        <f t="shared" ca="1" si="146"/>
        <v>2306755</v>
      </c>
      <c r="K2354">
        <f t="shared" ca="1" si="147"/>
        <v>200</v>
      </c>
      <c r="N2354" t="str">
        <f t="shared" si="144"/>
        <v>Stockton-on-Tees22Services for CarersCarers ServicesCarer advice and support related to Care Act duties</v>
      </c>
      <c r="O2354" t="s">
        <v>305</v>
      </c>
      <c r="P2354" t="s">
        <v>2195</v>
      </c>
      <c r="Q2354">
        <v>22</v>
      </c>
      <c r="R2354" t="s">
        <v>6008</v>
      </c>
      <c r="S2354" t="s">
        <v>5099</v>
      </c>
      <c r="T2354" t="s">
        <v>811</v>
      </c>
      <c r="U2354" t="s">
        <v>895</v>
      </c>
      <c r="W2354">
        <v>2627</v>
      </c>
      <c r="X2354">
        <v>2627</v>
      </c>
      <c r="Y2354" t="s">
        <v>813</v>
      </c>
      <c r="Z2354" t="s">
        <v>792</v>
      </c>
      <c r="AB2354" t="s">
        <v>793</v>
      </c>
      <c r="AD2354" t="s">
        <v>794</v>
      </c>
      <c r="AE2354" t="s">
        <v>795</v>
      </c>
      <c r="AF2354" t="s">
        <v>796</v>
      </c>
      <c r="AG2354" t="s">
        <v>797</v>
      </c>
      <c r="AH2354">
        <v>381000</v>
      </c>
      <c r="AI2354">
        <v>381000</v>
      </c>
      <c r="AJ2354">
        <v>1</v>
      </c>
    </row>
    <row r="2355" spans="1:36" x14ac:dyDescent="0.3">
      <c r="A2355">
        <f>COUNTIF($D$2:D2355,D2355)</f>
        <v>7</v>
      </c>
      <c r="B2355" t="str">
        <f t="shared" si="145"/>
        <v>7Telford and Wrekin</v>
      </c>
      <c r="C2355" t="s">
        <v>6509</v>
      </c>
      <c r="D2355" t="s">
        <v>321</v>
      </c>
      <c r="E2355">
        <v>8</v>
      </c>
      <c r="F2355" t="s">
        <v>845</v>
      </c>
      <c r="G2355" t="s">
        <v>806</v>
      </c>
      <c r="H2355" t="s">
        <v>807</v>
      </c>
      <c r="I2355" t="s">
        <v>808</v>
      </c>
      <c r="J2355">
        <f t="shared" ca="1" si="146"/>
        <v>1856608</v>
      </c>
      <c r="K2355">
        <f t="shared" ca="1" si="147"/>
        <v>43</v>
      </c>
      <c r="N2355" t="str">
        <f t="shared" si="144"/>
        <v>Stockton-on-Tees23Services for CarersCarers ServicesCarer advice and support related to Care Act duties</v>
      </c>
      <c r="O2355" t="s">
        <v>305</v>
      </c>
      <c r="P2355" t="s">
        <v>2195</v>
      </c>
      <c r="Q2355">
        <v>23</v>
      </c>
      <c r="R2355" t="s">
        <v>6008</v>
      </c>
      <c r="S2355" t="s">
        <v>6510</v>
      </c>
      <c r="T2355" t="s">
        <v>811</v>
      </c>
      <c r="U2355" t="s">
        <v>895</v>
      </c>
      <c r="W2355">
        <v>319</v>
      </c>
      <c r="X2355">
        <v>319</v>
      </c>
      <c r="Y2355" t="s">
        <v>813</v>
      </c>
      <c r="Z2355" t="s">
        <v>792</v>
      </c>
      <c r="AB2355" t="s">
        <v>793</v>
      </c>
      <c r="AD2355" t="s">
        <v>794</v>
      </c>
      <c r="AE2355" t="s">
        <v>825</v>
      </c>
      <c r="AF2355" t="s">
        <v>796</v>
      </c>
      <c r="AG2355" t="s">
        <v>797</v>
      </c>
      <c r="AH2355">
        <v>105000</v>
      </c>
      <c r="AI2355">
        <v>105000</v>
      </c>
      <c r="AJ2355">
        <v>1</v>
      </c>
    </row>
    <row r="2356" spans="1:36" x14ac:dyDescent="0.3">
      <c r="A2356">
        <f>COUNTIF($D$2:D2356,D2356)</f>
        <v>8</v>
      </c>
      <c r="B2356" t="str">
        <f t="shared" si="145"/>
        <v>8Telford and Wrekin</v>
      </c>
      <c r="C2356" t="s">
        <v>6511</v>
      </c>
      <c r="D2356" t="s">
        <v>321</v>
      </c>
      <c r="E2356">
        <v>11</v>
      </c>
      <c r="F2356" t="s">
        <v>6512</v>
      </c>
      <c r="G2356" t="s">
        <v>806</v>
      </c>
      <c r="H2356" t="s">
        <v>854</v>
      </c>
      <c r="I2356" t="s">
        <v>808</v>
      </c>
      <c r="J2356">
        <f t="shared" ca="1" si="146"/>
        <v>910607</v>
      </c>
      <c r="K2356">
        <f t="shared" ca="1" si="147"/>
        <v>8</v>
      </c>
      <c r="N2356" t="str">
        <f t="shared" si="144"/>
        <v>Stockton-on-Tees25Services for CarersCarers ServicesRespite services</v>
      </c>
      <c r="O2356" t="s">
        <v>305</v>
      </c>
      <c r="P2356" t="s">
        <v>2195</v>
      </c>
      <c r="Q2356">
        <v>25</v>
      </c>
      <c r="R2356" t="s">
        <v>6008</v>
      </c>
      <c r="S2356" t="s">
        <v>2205</v>
      </c>
      <c r="T2356" t="s">
        <v>811</v>
      </c>
      <c r="U2356" t="s">
        <v>830</v>
      </c>
      <c r="W2356">
        <v>156</v>
      </c>
      <c r="X2356">
        <v>156</v>
      </c>
      <c r="Y2356" t="s">
        <v>813</v>
      </c>
      <c r="Z2356" t="s">
        <v>792</v>
      </c>
      <c r="AB2356" t="s">
        <v>793</v>
      </c>
      <c r="AD2356" t="s">
        <v>794</v>
      </c>
      <c r="AE2356" t="s">
        <v>804</v>
      </c>
      <c r="AF2356" t="s">
        <v>796</v>
      </c>
      <c r="AG2356" t="s">
        <v>797</v>
      </c>
      <c r="AH2356">
        <v>277000</v>
      </c>
      <c r="AI2356">
        <v>292678.2</v>
      </c>
      <c r="AJ2356">
        <v>1</v>
      </c>
    </row>
    <row r="2357" spans="1:36" x14ac:dyDescent="0.3">
      <c r="A2357">
        <f>COUNTIF($D$2:D2357,D2357)</f>
        <v>9</v>
      </c>
      <c r="B2357" t="str">
        <f t="shared" si="145"/>
        <v>9Telford and Wrekin</v>
      </c>
      <c r="C2357" t="s">
        <v>6513</v>
      </c>
      <c r="D2357" t="s">
        <v>321</v>
      </c>
      <c r="E2357">
        <v>15</v>
      </c>
      <c r="F2357" t="s">
        <v>6514</v>
      </c>
      <c r="G2357" t="s">
        <v>811</v>
      </c>
      <c r="H2357" t="s">
        <v>895</v>
      </c>
      <c r="I2357" t="s">
        <v>813</v>
      </c>
      <c r="J2357">
        <f t="shared" ca="1" si="146"/>
        <v>221921</v>
      </c>
      <c r="K2357">
        <f t="shared" ca="1" si="147"/>
        <v>140</v>
      </c>
      <c r="N2357" t="str">
        <f t="shared" si="144"/>
        <v>Stockton-on-Tees26Protection of Social CareAssistive Technologies and EquipmentCommunity based equipment</v>
      </c>
      <c r="O2357" t="s">
        <v>305</v>
      </c>
      <c r="P2357" t="s">
        <v>2195</v>
      </c>
      <c r="Q2357">
        <v>26</v>
      </c>
      <c r="R2357" t="s">
        <v>975</v>
      </c>
      <c r="S2357" t="s">
        <v>903</v>
      </c>
      <c r="T2357" t="s">
        <v>800</v>
      </c>
      <c r="U2357" t="s">
        <v>903</v>
      </c>
      <c r="W2357">
        <v>3700</v>
      </c>
      <c r="X2357">
        <v>3700</v>
      </c>
      <c r="Y2357" t="s">
        <v>802</v>
      </c>
      <c r="Z2357" t="s">
        <v>792</v>
      </c>
      <c r="AB2357" t="s">
        <v>793</v>
      </c>
      <c r="AD2357" t="s">
        <v>794</v>
      </c>
      <c r="AE2357" t="s">
        <v>795</v>
      </c>
      <c r="AF2357" t="s">
        <v>796</v>
      </c>
      <c r="AG2357" t="s">
        <v>797</v>
      </c>
      <c r="AH2357">
        <v>1136000</v>
      </c>
      <c r="AI2357">
        <v>1200297.6000000001</v>
      </c>
      <c r="AJ2357">
        <v>1</v>
      </c>
    </row>
    <row r="2358" spans="1:36" x14ac:dyDescent="0.3">
      <c r="A2358">
        <f>COUNTIF($D$2:D2358,D2358)</f>
        <v>10</v>
      </c>
      <c r="B2358" t="str">
        <f t="shared" si="145"/>
        <v>10Telford and Wrekin</v>
      </c>
      <c r="C2358" t="s">
        <v>6515</v>
      </c>
      <c r="D2358" t="s">
        <v>321</v>
      </c>
      <c r="E2358">
        <v>16</v>
      </c>
      <c r="F2358" t="s">
        <v>6514</v>
      </c>
      <c r="G2358" t="s">
        <v>811</v>
      </c>
      <c r="H2358" t="s">
        <v>895</v>
      </c>
      <c r="I2358" t="s">
        <v>813</v>
      </c>
      <c r="J2358">
        <f t="shared" ca="1" si="146"/>
        <v>326584</v>
      </c>
      <c r="K2358">
        <f t="shared" ca="1" si="147"/>
        <v>140</v>
      </c>
      <c r="N2358" t="str">
        <f t="shared" si="144"/>
        <v>Stockton-on-Tees27Protection of Social CareAssistive Technologies and EquipmentAssistive technologies including telecare</v>
      </c>
      <c r="O2358" t="s">
        <v>305</v>
      </c>
      <c r="P2358" t="s">
        <v>2195</v>
      </c>
      <c r="Q2358">
        <v>27</v>
      </c>
      <c r="R2358" t="s">
        <v>975</v>
      </c>
      <c r="S2358" t="s">
        <v>6516</v>
      </c>
      <c r="T2358" t="s">
        <v>800</v>
      </c>
      <c r="U2358" t="s">
        <v>850</v>
      </c>
      <c r="W2358">
        <v>2216</v>
      </c>
      <c r="X2358">
        <v>2216</v>
      </c>
      <c r="Y2358" t="s">
        <v>802</v>
      </c>
      <c r="Z2358" t="s">
        <v>792</v>
      </c>
      <c r="AB2358" t="s">
        <v>793</v>
      </c>
      <c r="AD2358" t="s">
        <v>794</v>
      </c>
      <c r="AE2358" t="s">
        <v>795</v>
      </c>
      <c r="AF2358" t="s">
        <v>796</v>
      </c>
      <c r="AG2358" t="s">
        <v>797</v>
      </c>
      <c r="AH2358">
        <v>455000</v>
      </c>
      <c r="AI2358">
        <v>480753</v>
      </c>
      <c r="AJ2358">
        <v>1</v>
      </c>
    </row>
    <row r="2359" spans="1:36" x14ac:dyDescent="0.3">
      <c r="A2359">
        <f>COUNTIF($D$2:D2359,D2359)</f>
        <v>11</v>
      </c>
      <c r="B2359" t="str">
        <f t="shared" si="145"/>
        <v>11Telford and Wrekin</v>
      </c>
      <c r="C2359" t="s">
        <v>6517</v>
      </c>
      <c r="D2359" t="s">
        <v>321</v>
      </c>
      <c r="E2359">
        <v>19</v>
      </c>
      <c r="F2359" t="s">
        <v>2431</v>
      </c>
      <c r="G2359" t="s">
        <v>800</v>
      </c>
      <c r="H2359" t="s">
        <v>903</v>
      </c>
      <c r="I2359" t="s">
        <v>802</v>
      </c>
      <c r="J2359">
        <f t="shared" ca="1" si="146"/>
        <v>464909</v>
      </c>
      <c r="K2359">
        <f t="shared" ca="1" si="147"/>
        <v>165</v>
      </c>
      <c r="N2359" t="str">
        <f t="shared" si="144"/>
        <v>Stockton-on-Tees30Protection of Social CareHome Care or Domiciliary CareDomiciliary care packages</v>
      </c>
      <c r="O2359" t="s">
        <v>305</v>
      </c>
      <c r="P2359" t="s">
        <v>2195</v>
      </c>
      <c r="Q2359">
        <v>30</v>
      </c>
      <c r="R2359" t="s">
        <v>975</v>
      </c>
      <c r="S2359" t="s">
        <v>6518</v>
      </c>
      <c r="T2359" t="s">
        <v>842</v>
      </c>
      <c r="U2359" t="s">
        <v>843</v>
      </c>
      <c r="W2359">
        <v>44000</v>
      </c>
      <c r="X2359">
        <v>44000</v>
      </c>
      <c r="Y2359" t="s">
        <v>844</v>
      </c>
      <c r="Z2359" t="s">
        <v>792</v>
      </c>
      <c r="AB2359" t="s">
        <v>793</v>
      </c>
      <c r="AD2359" t="s">
        <v>794</v>
      </c>
      <c r="AE2359" t="s">
        <v>804</v>
      </c>
      <c r="AF2359" t="s">
        <v>796</v>
      </c>
      <c r="AG2359" t="s">
        <v>797</v>
      </c>
      <c r="AH2359">
        <v>818000</v>
      </c>
      <c r="AI2359">
        <v>864298.8</v>
      </c>
      <c r="AJ2359">
        <v>0.05</v>
      </c>
    </row>
    <row r="2360" spans="1:36" x14ac:dyDescent="0.3">
      <c r="A2360">
        <f>COUNTIF($D$2:D2360,D2360)</f>
        <v>12</v>
      </c>
      <c r="B2360" t="str">
        <f t="shared" si="145"/>
        <v>12Telford and Wrekin</v>
      </c>
      <c r="C2360" t="s">
        <v>6519</v>
      </c>
      <c r="D2360" t="s">
        <v>321</v>
      </c>
      <c r="E2360">
        <v>25</v>
      </c>
      <c r="F2360" t="s">
        <v>6512</v>
      </c>
      <c r="G2360" t="s">
        <v>806</v>
      </c>
      <c r="H2360" t="s">
        <v>917</v>
      </c>
      <c r="I2360" t="s">
        <v>808</v>
      </c>
      <c r="J2360">
        <f t="shared" ca="1" si="146"/>
        <v>1068956</v>
      </c>
      <c r="K2360">
        <f t="shared" ca="1" si="147"/>
        <v>17</v>
      </c>
      <c r="N2360" t="str">
        <f t="shared" si="144"/>
        <v>Stockton-on-Tees31Protection of Social CareResidential PlacementsExtra care</v>
      </c>
      <c r="O2360" t="s">
        <v>305</v>
      </c>
      <c r="P2360" t="s">
        <v>2195</v>
      </c>
      <c r="Q2360">
        <v>31</v>
      </c>
      <c r="R2360" t="s">
        <v>975</v>
      </c>
      <c r="S2360" t="s">
        <v>6520</v>
      </c>
      <c r="T2360" t="s">
        <v>806</v>
      </c>
      <c r="U2360" t="s">
        <v>934</v>
      </c>
      <c r="W2360">
        <v>15000</v>
      </c>
      <c r="X2360">
        <v>15000</v>
      </c>
      <c r="Y2360" t="s">
        <v>808</v>
      </c>
      <c r="Z2360" t="s">
        <v>792</v>
      </c>
      <c r="AB2360" t="s">
        <v>793</v>
      </c>
      <c r="AD2360" t="s">
        <v>794</v>
      </c>
      <c r="AE2360" t="s">
        <v>804</v>
      </c>
      <c r="AF2360" t="s">
        <v>796</v>
      </c>
      <c r="AG2360" t="s">
        <v>797</v>
      </c>
      <c r="AH2360">
        <v>259000</v>
      </c>
      <c r="AI2360">
        <v>273659.40000000002</v>
      </c>
      <c r="AJ2360">
        <v>0.11</v>
      </c>
    </row>
    <row r="2361" spans="1:36" x14ac:dyDescent="0.3">
      <c r="A2361">
        <f>COUNTIF($D$2:D2361,D2361)</f>
        <v>13</v>
      </c>
      <c r="B2361" t="str">
        <f t="shared" si="145"/>
        <v>13Telford and Wrekin</v>
      </c>
      <c r="C2361" t="s">
        <v>6521</v>
      </c>
      <c r="D2361" t="s">
        <v>321</v>
      </c>
      <c r="E2361">
        <v>26</v>
      </c>
      <c r="F2361" t="s">
        <v>6512</v>
      </c>
      <c r="G2361" t="s">
        <v>842</v>
      </c>
      <c r="H2361" t="s">
        <v>843</v>
      </c>
      <c r="I2361" t="s">
        <v>844</v>
      </c>
      <c r="J2361">
        <f t="shared" ca="1" si="146"/>
        <v>1462783</v>
      </c>
      <c r="K2361">
        <f t="shared" ca="1" si="147"/>
        <v>74632</v>
      </c>
      <c r="N2361" t="str">
        <f t="shared" si="144"/>
        <v>Stockton-on-Tees36DFGDFG Related SchemesAdaptations, including statutory DFG grants</v>
      </c>
      <c r="O2361" t="s">
        <v>305</v>
      </c>
      <c r="P2361" t="s">
        <v>2195</v>
      </c>
      <c r="Q2361">
        <v>36</v>
      </c>
      <c r="R2361" t="s">
        <v>840</v>
      </c>
      <c r="S2361" t="s">
        <v>834</v>
      </c>
      <c r="T2361" t="s">
        <v>834</v>
      </c>
      <c r="U2361" t="s">
        <v>835</v>
      </c>
      <c r="W2361">
        <v>153</v>
      </c>
      <c r="X2361">
        <v>153</v>
      </c>
      <c r="Y2361" t="s">
        <v>836</v>
      </c>
      <c r="Z2361" t="s">
        <v>792</v>
      </c>
      <c r="AB2361" t="s">
        <v>793</v>
      </c>
      <c r="AD2361" t="s">
        <v>794</v>
      </c>
      <c r="AE2361" t="s">
        <v>795</v>
      </c>
      <c r="AF2361" t="s">
        <v>840</v>
      </c>
      <c r="AG2361" t="s">
        <v>797</v>
      </c>
      <c r="AH2361">
        <v>721862</v>
      </c>
      <c r="AI2361">
        <v>721862</v>
      </c>
      <c r="AJ2361">
        <v>1</v>
      </c>
    </row>
    <row r="2362" spans="1:36" x14ac:dyDescent="0.3">
      <c r="A2362">
        <f>COUNTIF($D$2:D2362,D2362)</f>
        <v>14</v>
      </c>
      <c r="B2362" t="str">
        <f t="shared" si="145"/>
        <v>14Telford and Wrekin</v>
      </c>
      <c r="C2362" t="s">
        <v>6522</v>
      </c>
      <c r="D2362" t="s">
        <v>321</v>
      </c>
      <c r="E2362">
        <v>28</v>
      </c>
      <c r="F2362" t="s">
        <v>6512</v>
      </c>
      <c r="G2362" t="s">
        <v>806</v>
      </c>
      <c r="H2362" t="s">
        <v>807</v>
      </c>
      <c r="I2362" t="s">
        <v>808</v>
      </c>
      <c r="J2362">
        <f t="shared" ca="1" si="146"/>
        <v>122000</v>
      </c>
      <c r="K2362">
        <f t="shared" ca="1" si="147"/>
        <v>3</v>
      </c>
      <c r="N2362" t="str">
        <f t="shared" si="144"/>
        <v>Stockton-on-Tees37DFGDFG Related SchemesDiscretionary use of DFG</v>
      </c>
      <c r="O2362" t="s">
        <v>305</v>
      </c>
      <c r="P2362" t="s">
        <v>2195</v>
      </c>
      <c r="Q2362">
        <v>37</v>
      </c>
      <c r="R2362" t="s">
        <v>840</v>
      </c>
      <c r="S2362" t="s">
        <v>834</v>
      </c>
      <c r="T2362" t="s">
        <v>834</v>
      </c>
      <c r="U2362" t="s">
        <v>1293</v>
      </c>
      <c r="W2362">
        <v>284</v>
      </c>
      <c r="X2362">
        <v>284</v>
      </c>
      <c r="Y2362" t="s">
        <v>836</v>
      </c>
      <c r="Z2362" t="s">
        <v>792</v>
      </c>
      <c r="AB2362" t="s">
        <v>793</v>
      </c>
      <c r="AD2362" t="s">
        <v>794</v>
      </c>
      <c r="AE2362" t="s">
        <v>795</v>
      </c>
      <c r="AF2362" t="s">
        <v>840</v>
      </c>
      <c r="AG2362" t="s">
        <v>797</v>
      </c>
      <c r="AH2362">
        <v>1082793</v>
      </c>
      <c r="AI2362">
        <v>1082793</v>
      </c>
      <c r="AJ2362">
        <v>1</v>
      </c>
    </row>
    <row r="2363" spans="1:36" x14ac:dyDescent="0.3">
      <c r="A2363">
        <f>COUNTIF($D$2:D2363,D2363)</f>
        <v>15</v>
      </c>
      <c r="B2363" t="str">
        <f t="shared" si="145"/>
        <v>15Telford and Wrekin</v>
      </c>
      <c r="C2363" t="s">
        <v>6523</v>
      </c>
      <c r="D2363" t="s">
        <v>321</v>
      </c>
      <c r="E2363">
        <v>33</v>
      </c>
      <c r="F2363" t="s">
        <v>2431</v>
      </c>
      <c r="G2363" t="s">
        <v>800</v>
      </c>
      <c r="H2363" t="s">
        <v>812</v>
      </c>
      <c r="I2363" t="s">
        <v>802</v>
      </c>
      <c r="J2363">
        <f t="shared" ca="1" si="146"/>
        <v>30550</v>
      </c>
      <c r="K2363">
        <f t="shared" ca="1" si="147"/>
        <v>165</v>
      </c>
      <c r="N2363" t="str">
        <f t="shared" si="144"/>
        <v>Stockton-on-Tees42Improved Better Care FundResidential PlacementsCare home</v>
      </c>
      <c r="O2363" t="s">
        <v>305</v>
      </c>
      <c r="P2363" t="s">
        <v>2195</v>
      </c>
      <c r="Q2363">
        <v>42</v>
      </c>
      <c r="R2363" t="s">
        <v>1464</v>
      </c>
      <c r="S2363" t="s">
        <v>6524</v>
      </c>
      <c r="T2363" t="s">
        <v>806</v>
      </c>
      <c r="U2363" t="s">
        <v>807</v>
      </c>
      <c r="W2363">
        <v>52</v>
      </c>
      <c r="X2363">
        <v>52</v>
      </c>
      <c r="Y2363" t="s">
        <v>808</v>
      </c>
      <c r="Z2363" t="s">
        <v>792</v>
      </c>
      <c r="AB2363" t="s">
        <v>793</v>
      </c>
      <c r="AD2363" t="s">
        <v>794</v>
      </c>
      <c r="AE2363" t="s">
        <v>795</v>
      </c>
      <c r="AF2363" t="s">
        <v>845</v>
      </c>
      <c r="AG2363" t="s">
        <v>797</v>
      </c>
      <c r="AH2363">
        <v>2000000</v>
      </c>
      <c r="AI2363">
        <v>2000000</v>
      </c>
      <c r="AJ2363">
        <v>0.1</v>
      </c>
    </row>
    <row r="2364" spans="1:36" x14ac:dyDescent="0.3">
      <c r="A2364">
        <f>COUNTIF($D$2:D2364,D2364)</f>
        <v>16</v>
      </c>
      <c r="B2364" t="str">
        <f t="shared" si="145"/>
        <v>16Telford and Wrekin</v>
      </c>
      <c r="C2364" t="s">
        <v>6525</v>
      </c>
      <c r="D2364" t="s">
        <v>321</v>
      </c>
      <c r="E2364">
        <v>37</v>
      </c>
      <c r="F2364" t="s">
        <v>2431</v>
      </c>
      <c r="G2364" t="s">
        <v>800</v>
      </c>
      <c r="H2364" t="s">
        <v>850</v>
      </c>
      <c r="I2364" t="s">
        <v>802</v>
      </c>
      <c r="J2364">
        <f t="shared" ca="1" si="146"/>
        <v>185013</v>
      </c>
      <c r="K2364">
        <f t="shared" ca="1" si="147"/>
        <v>680</v>
      </c>
      <c r="N2364" t="str">
        <f t="shared" si="144"/>
        <v>Stockton-on-Tees45Safeguarding Social WorkerWorkforce recruitment and retention</v>
      </c>
      <c r="O2364" t="s">
        <v>305</v>
      </c>
      <c r="P2364" t="s">
        <v>2195</v>
      </c>
      <c r="Q2364">
        <v>45</v>
      </c>
      <c r="R2364" t="s">
        <v>6029</v>
      </c>
      <c r="S2364" t="s">
        <v>6526</v>
      </c>
      <c r="T2364" t="s">
        <v>2245</v>
      </c>
      <c r="W2364">
        <v>1</v>
      </c>
      <c r="X2364">
        <v>1</v>
      </c>
      <c r="Y2364" t="s">
        <v>794</v>
      </c>
      <c r="Z2364" t="s">
        <v>792</v>
      </c>
      <c r="AB2364" t="s">
        <v>793</v>
      </c>
      <c r="AD2364" t="s">
        <v>794</v>
      </c>
      <c r="AE2364" t="s">
        <v>795</v>
      </c>
      <c r="AF2364" t="s">
        <v>796</v>
      </c>
      <c r="AG2364" t="s">
        <v>861</v>
      </c>
      <c r="AH2364">
        <v>49000</v>
      </c>
      <c r="AI2364">
        <v>51773.4</v>
      </c>
      <c r="AJ2364">
        <v>1</v>
      </c>
    </row>
    <row r="2365" spans="1:36" x14ac:dyDescent="0.3">
      <c r="A2365">
        <f>COUNTIF($D$2:D2365,D2365)</f>
        <v>17</v>
      </c>
      <c r="B2365" t="str">
        <f t="shared" si="145"/>
        <v>17Telford and Wrekin</v>
      </c>
      <c r="C2365" t="s">
        <v>6527</v>
      </c>
      <c r="D2365" t="s">
        <v>321</v>
      </c>
      <c r="E2365">
        <v>38</v>
      </c>
      <c r="F2365" t="s">
        <v>6498</v>
      </c>
      <c r="G2365" t="s">
        <v>842</v>
      </c>
      <c r="H2365" t="s">
        <v>1102</v>
      </c>
      <c r="I2365" t="s">
        <v>789</v>
      </c>
      <c r="J2365">
        <f t="shared" ca="1" si="146"/>
        <v>141887</v>
      </c>
      <c r="K2365">
        <f t="shared" ca="1" si="147"/>
        <v>247</v>
      </c>
      <c r="N2365" t="str">
        <f t="shared" si="144"/>
        <v>Stockton-on-Tees46Additional support for DOLS assessmentsWorkforce recruitment and retention</v>
      </c>
      <c r="O2365" t="s">
        <v>305</v>
      </c>
      <c r="P2365" t="s">
        <v>2195</v>
      </c>
      <c r="Q2365">
        <v>46</v>
      </c>
      <c r="R2365" t="s">
        <v>6033</v>
      </c>
      <c r="S2365" t="s">
        <v>6526</v>
      </c>
      <c r="T2365" t="s">
        <v>2245</v>
      </c>
      <c r="W2365">
        <v>1</v>
      </c>
      <c r="X2365">
        <v>1</v>
      </c>
      <c r="Y2365" t="s">
        <v>794</v>
      </c>
      <c r="Z2365" t="s">
        <v>792</v>
      </c>
      <c r="AB2365" t="s">
        <v>793</v>
      </c>
      <c r="AD2365" t="s">
        <v>794</v>
      </c>
      <c r="AE2365" t="s">
        <v>795</v>
      </c>
      <c r="AF2365" t="s">
        <v>796</v>
      </c>
      <c r="AG2365" t="s">
        <v>861</v>
      </c>
      <c r="AH2365">
        <v>50000</v>
      </c>
      <c r="AI2365">
        <v>52830</v>
      </c>
      <c r="AJ2365">
        <v>1</v>
      </c>
    </row>
    <row r="2366" spans="1:36" x14ac:dyDescent="0.3">
      <c r="A2366">
        <f>COUNTIF($D$2:D2366,D2366)</f>
        <v>18</v>
      </c>
      <c r="B2366" t="str">
        <f t="shared" si="145"/>
        <v>18Telford and Wrekin</v>
      </c>
      <c r="C2366" t="s">
        <v>6528</v>
      </c>
      <c r="D2366" t="s">
        <v>321</v>
      </c>
      <c r="E2366">
        <v>39</v>
      </c>
      <c r="F2366" t="s">
        <v>6498</v>
      </c>
      <c r="G2366" t="s">
        <v>842</v>
      </c>
      <c r="H2366" t="s">
        <v>856</v>
      </c>
      <c r="I2366" t="s">
        <v>844</v>
      </c>
      <c r="J2366">
        <f t="shared" ca="1" si="146"/>
        <v>345706</v>
      </c>
      <c r="K2366">
        <f t="shared" ca="1" si="147"/>
        <v>12347</v>
      </c>
      <c r="N2366" t="str">
        <f t="shared" si="144"/>
        <v>Stockton-on-Tees47Additional support Complex MH needsWorkforce recruitment and retention</v>
      </c>
      <c r="O2366" t="s">
        <v>305</v>
      </c>
      <c r="P2366" t="s">
        <v>2195</v>
      </c>
      <c r="Q2366">
        <v>47</v>
      </c>
      <c r="R2366" t="s">
        <v>6037</v>
      </c>
      <c r="S2366" t="s">
        <v>6526</v>
      </c>
      <c r="T2366" t="s">
        <v>2245</v>
      </c>
      <c r="W2366">
        <v>1</v>
      </c>
      <c r="X2366">
        <v>1</v>
      </c>
      <c r="Y2366" t="s">
        <v>794</v>
      </c>
      <c r="Z2366" t="s">
        <v>792</v>
      </c>
      <c r="AB2366" t="s">
        <v>793</v>
      </c>
      <c r="AD2366" t="s">
        <v>794</v>
      </c>
      <c r="AE2366" t="s">
        <v>795</v>
      </c>
      <c r="AF2366" t="s">
        <v>796</v>
      </c>
      <c r="AG2366" t="s">
        <v>861</v>
      </c>
      <c r="AH2366">
        <v>49000</v>
      </c>
      <c r="AI2366">
        <v>51773.4</v>
      </c>
      <c r="AJ2366">
        <v>1</v>
      </c>
    </row>
    <row r="2367" spans="1:36" x14ac:dyDescent="0.3">
      <c r="A2367">
        <f>COUNTIF($D$2:D2367,D2367)</f>
        <v>19</v>
      </c>
      <c r="B2367" t="str">
        <f t="shared" si="145"/>
        <v>19Telford and Wrekin</v>
      </c>
      <c r="C2367" t="s">
        <v>6529</v>
      </c>
      <c r="D2367" t="s">
        <v>321</v>
      </c>
      <c r="E2367">
        <v>40</v>
      </c>
      <c r="F2367" t="s">
        <v>6498</v>
      </c>
      <c r="G2367" t="s">
        <v>842</v>
      </c>
      <c r="H2367" t="s">
        <v>856</v>
      </c>
      <c r="I2367" t="s">
        <v>844</v>
      </c>
      <c r="J2367">
        <f t="shared" ca="1" si="146"/>
        <v>381245</v>
      </c>
      <c r="K2367">
        <f t="shared" ca="1" si="147"/>
        <v>13616</v>
      </c>
      <c r="N2367" t="str">
        <f t="shared" si="144"/>
        <v>Stockton-on-Tees48Home care - Discharge ServicesHome Care or Domiciliary CareDomiciliary care to support hospital discharge (Discharge to Assess pathway 1)</v>
      </c>
      <c r="O2367" t="s">
        <v>305</v>
      </c>
      <c r="P2367" t="s">
        <v>2195</v>
      </c>
      <c r="Q2367">
        <v>48</v>
      </c>
      <c r="R2367" t="s">
        <v>6040</v>
      </c>
      <c r="S2367" t="s">
        <v>6040</v>
      </c>
      <c r="T2367" t="s">
        <v>842</v>
      </c>
      <c r="U2367" t="s">
        <v>856</v>
      </c>
      <c r="W2367">
        <v>8340</v>
      </c>
      <c r="X2367">
        <v>8340</v>
      </c>
      <c r="Y2367" t="s">
        <v>844</v>
      </c>
      <c r="Z2367" t="s">
        <v>792</v>
      </c>
      <c r="AB2367" t="s">
        <v>793</v>
      </c>
      <c r="AD2367" t="s">
        <v>794</v>
      </c>
      <c r="AE2367" t="s">
        <v>795</v>
      </c>
      <c r="AF2367" t="s">
        <v>796</v>
      </c>
      <c r="AG2367" t="s">
        <v>797</v>
      </c>
      <c r="AH2367">
        <v>334000</v>
      </c>
      <c r="AI2367">
        <v>352904.4</v>
      </c>
      <c r="AJ2367">
        <v>1</v>
      </c>
    </row>
    <row r="2368" spans="1:36" x14ac:dyDescent="0.3">
      <c r="A2368">
        <f>COUNTIF($D$2:D2368,D2368)</f>
        <v>20</v>
      </c>
      <c r="B2368" t="str">
        <f t="shared" si="145"/>
        <v>20Telford and Wrekin</v>
      </c>
      <c r="C2368" t="s">
        <v>6530</v>
      </c>
      <c r="D2368" t="s">
        <v>321</v>
      </c>
      <c r="E2368">
        <v>41</v>
      </c>
      <c r="F2368" t="s">
        <v>2431</v>
      </c>
      <c r="G2368" t="s">
        <v>800</v>
      </c>
      <c r="H2368" t="s">
        <v>812</v>
      </c>
      <c r="I2368" t="s">
        <v>802</v>
      </c>
      <c r="J2368">
        <f t="shared" ca="1" si="146"/>
        <v>109699</v>
      </c>
      <c r="K2368">
        <f t="shared" ca="1" si="147"/>
        <v>165</v>
      </c>
      <c r="N2368" t="str">
        <f t="shared" si="144"/>
        <v>Stockton-on-Tees50Tees Community Equipment ServicesAssistive Technologies and EquipmentCommunity based equipment</v>
      </c>
      <c r="O2368" t="s">
        <v>305</v>
      </c>
      <c r="P2368" t="s">
        <v>2195</v>
      </c>
      <c r="Q2368">
        <v>50</v>
      </c>
      <c r="R2368" t="s">
        <v>5126</v>
      </c>
      <c r="S2368" t="s">
        <v>6531</v>
      </c>
      <c r="T2368" t="s">
        <v>800</v>
      </c>
      <c r="U2368" t="s">
        <v>903</v>
      </c>
      <c r="W2368">
        <v>160</v>
      </c>
      <c r="X2368">
        <v>160</v>
      </c>
      <c r="Y2368" t="s">
        <v>802</v>
      </c>
      <c r="Z2368" t="s">
        <v>823</v>
      </c>
      <c r="AB2368" t="s">
        <v>1739</v>
      </c>
      <c r="AC2368">
        <v>0.5</v>
      </c>
      <c r="AD2368">
        <v>0.5</v>
      </c>
      <c r="AE2368" t="s">
        <v>795</v>
      </c>
      <c r="AF2368" t="s">
        <v>860</v>
      </c>
      <c r="AG2368" t="s">
        <v>797</v>
      </c>
      <c r="AH2368">
        <v>84040</v>
      </c>
      <c r="AI2368">
        <v>92000</v>
      </c>
      <c r="AJ2368">
        <v>0.01</v>
      </c>
    </row>
    <row r="2369" spans="1:36" x14ac:dyDescent="0.3">
      <c r="A2369">
        <f>COUNTIF($D$2:D2369,D2369)</f>
        <v>21</v>
      </c>
      <c r="B2369" t="str">
        <f t="shared" si="145"/>
        <v>21Telford and Wrekin</v>
      </c>
      <c r="C2369" t="s">
        <v>6532</v>
      </c>
      <c r="D2369" t="s">
        <v>321</v>
      </c>
      <c r="E2369">
        <v>42</v>
      </c>
      <c r="F2369" t="s">
        <v>6498</v>
      </c>
      <c r="G2369" t="s">
        <v>842</v>
      </c>
      <c r="H2369" t="s">
        <v>856</v>
      </c>
      <c r="I2369" t="s">
        <v>844</v>
      </c>
      <c r="J2369">
        <f t="shared" ca="1" si="146"/>
        <v>962880</v>
      </c>
      <c r="K2369">
        <f t="shared" ca="1" si="147"/>
        <v>49126</v>
      </c>
      <c r="N2369" t="str">
        <f t="shared" si="144"/>
        <v>Stockton-on-Tees52Therapy workforce capcityWorkforce recruitment and retention</v>
      </c>
      <c r="O2369" t="s">
        <v>305</v>
      </c>
      <c r="P2369" t="s">
        <v>2195</v>
      </c>
      <c r="Q2369">
        <v>52</v>
      </c>
      <c r="R2369" t="s">
        <v>6044</v>
      </c>
      <c r="S2369" t="s">
        <v>6533</v>
      </c>
      <c r="T2369" t="s">
        <v>2245</v>
      </c>
      <c r="W2369">
        <v>3.6</v>
      </c>
      <c r="X2369">
        <v>3.6</v>
      </c>
      <c r="Y2369" t="s">
        <v>794</v>
      </c>
      <c r="Z2369" t="s">
        <v>823</v>
      </c>
      <c r="AB2369" t="s">
        <v>824</v>
      </c>
      <c r="AD2369" t="s">
        <v>794</v>
      </c>
      <c r="AE2369" t="s">
        <v>832</v>
      </c>
      <c r="AF2369" t="s">
        <v>860</v>
      </c>
      <c r="AG2369" t="s">
        <v>861</v>
      </c>
      <c r="AH2369">
        <v>153004</v>
      </c>
      <c r="AI2369">
        <v>204000</v>
      </c>
      <c r="AJ2369">
        <v>0.01</v>
      </c>
    </row>
    <row r="2370" spans="1:36" x14ac:dyDescent="0.3">
      <c r="A2370">
        <f>COUNTIF($D$2:D2370,D2370)</f>
        <v>22</v>
      </c>
      <c r="B2370" t="str">
        <f t="shared" si="145"/>
        <v>22Telford and Wrekin</v>
      </c>
      <c r="C2370" t="s">
        <v>6534</v>
      </c>
      <c r="D2370" t="s">
        <v>321</v>
      </c>
      <c r="E2370">
        <v>43</v>
      </c>
      <c r="F2370" t="s">
        <v>6498</v>
      </c>
      <c r="G2370" t="s">
        <v>877</v>
      </c>
      <c r="H2370" t="s">
        <v>968</v>
      </c>
      <c r="I2370" t="s">
        <v>879</v>
      </c>
      <c r="J2370">
        <f t="shared" ca="1" si="146"/>
        <v>1096851</v>
      </c>
      <c r="K2370">
        <f t="shared" ca="1" si="147"/>
        <v>127</v>
      </c>
      <c r="N2370" t="str">
        <f t="shared" ref="N2370:N2433" si="148">O2370&amp;Q2370&amp;R2370&amp;T2370&amp;U2370</f>
        <v>Stockton-on-Tees56Discharge bedsBed based intermediate Care Services (Reablement, rehabilitation, wider short-term services supporting recovery)Bed-based intermediate care with rehabilitation (to support discharge)</v>
      </c>
      <c r="O2370" t="s">
        <v>305</v>
      </c>
      <c r="P2370" t="s">
        <v>2195</v>
      </c>
      <c r="Q2370">
        <v>56</v>
      </c>
      <c r="R2370" t="s">
        <v>6046</v>
      </c>
      <c r="S2370" t="s">
        <v>6535</v>
      </c>
      <c r="T2370" t="s">
        <v>877</v>
      </c>
      <c r="U2370" t="s">
        <v>968</v>
      </c>
      <c r="W2370">
        <v>42</v>
      </c>
      <c r="X2370">
        <v>42</v>
      </c>
      <c r="Y2370" t="s">
        <v>879</v>
      </c>
      <c r="Z2370" t="s">
        <v>792</v>
      </c>
      <c r="AB2370" t="s">
        <v>793</v>
      </c>
      <c r="AD2370" t="s">
        <v>794</v>
      </c>
      <c r="AE2370" t="s">
        <v>804</v>
      </c>
      <c r="AF2370" t="s">
        <v>860</v>
      </c>
      <c r="AG2370" t="s">
        <v>797</v>
      </c>
      <c r="AH2370">
        <v>193916</v>
      </c>
      <c r="AI2370">
        <v>124263</v>
      </c>
      <c r="AJ2370">
        <v>1</v>
      </c>
    </row>
    <row r="2371" spans="1:36" x14ac:dyDescent="0.3">
      <c r="A2371">
        <f>COUNTIF($D$2:D2371,D2371)</f>
        <v>23</v>
      </c>
      <c r="B2371" t="str">
        <f t="shared" ref="B2371:B2434" si="149">A2371&amp;D2371</f>
        <v>23Telford and Wrekin</v>
      </c>
      <c r="C2371" t="s">
        <v>6536</v>
      </c>
      <c r="D2371" t="s">
        <v>321</v>
      </c>
      <c r="E2371">
        <v>44</v>
      </c>
      <c r="F2371" t="s">
        <v>6498</v>
      </c>
      <c r="G2371" t="s">
        <v>877</v>
      </c>
      <c r="H2371" t="s">
        <v>968</v>
      </c>
      <c r="I2371" t="s">
        <v>879</v>
      </c>
      <c r="J2371">
        <f t="shared" ref="J2371:J2434" ca="1" si="150">SUMIF($N:$AI,C2371,AH:AH)</f>
        <v>1240396</v>
      </c>
      <c r="K2371">
        <f t="shared" ref="K2371:K2434" ca="1" si="151">SUMIF($N:$AI,C2371,W:W)</f>
        <v>143</v>
      </c>
      <c r="N2371" t="str">
        <f t="shared" si="148"/>
        <v>Stockton-on-Tees57Discharge bedsBed based intermediate Care Services (Reablement, rehabilitation, wider short-term services supporting recovery)Bed-based intermediate care with rehabilitation (to support discharge)</v>
      </c>
      <c r="O2371" t="s">
        <v>305</v>
      </c>
      <c r="P2371" t="s">
        <v>2195</v>
      </c>
      <c r="Q2371">
        <v>57</v>
      </c>
      <c r="R2371" t="s">
        <v>6046</v>
      </c>
      <c r="S2371" t="s">
        <v>6535</v>
      </c>
      <c r="T2371" t="s">
        <v>877</v>
      </c>
      <c r="U2371" t="s">
        <v>968</v>
      </c>
      <c r="W2371">
        <v>197</v>
      </c>
      <c r="X2371">
        <v>197</v>
      </c>
      <c r="Y2371" t="s">
        <v>879</v>
      </c>
      <c r="Z2371" t="s">
        <v>792</v>
      </c>
      <c r="AB2371" t="s">
        <v>793</v>
      </c>
      <c r="AD2371" t="s">
        <v>794</v>
      </c>
      <c r="AE2371" t="s">
        <v>804</v>
      </c>
      <c r="AF2371" t="s">
        <v>864</v>
      </c>
      <c r="AG2371" t="s">
        <v>797</v>
      </c>
      <c r="AH2371">
        <v>918490</v>
      </c>
      <c r="AI2371">
        <v>1000000</v>
      </c>
      <c r="AJ2371">
        <v>1</v>
      </c>
    </row>
    <row r="2372" spans="1:36" x14ac:dyDescent="0.3">
      <c r="A2372">
        <f>COUNTIF($D$2:D2372,D2372)</f>
        <v>24</v>
      </c>
      <c r="B2372" t="str">
        <f t="shared" si="149"/>
        <v>24Telford and Wrekin</v>
      </c>
      <c r="C2372" t="s">
        <v>6537</v>
      </c>
      <c r="D2372" t="s">
        <v>321</v>
      </c>
      <c r="E2372">
        <v>45</v>
      </c>
      <c r="F2372" t="s">
        <v>6498</v>
      </c>
      <c r="G2372" t="s">
        <v>877</v>
      </c>
      <c r="H2372" t="s">
        <v>968</v>
      </c>
      <c r="I2372" t="s">
        <v>879</v>
      </c>
      <c r="J2372">
        <f t="shared" ca="1" si="150"/>
        <v>932024</v>
      </c>
      <c r="K2372">
        <f t="shared" ca="1" si="151"/>
        <v>130</v>
      </c>
      <c r="N2372" t="str">
        <f t="shared" si="148"/>
        <v>Stockton-on-Tees58Home care - Discharge ServicesHome Care or Domiciliary CareDomiciliary care to support hospital discharge (Discharge to Assess pathway 1)</v>
      </c>
      <c r="O2372" t="s">
        <v>305</v>
      </c>
      <c r="P2372" t="s">
        <v>2195</v>
      </c>
      <c r="Q2372">
        <v>58</v>
      </c>
      <c r="R2372" t="s">
        <v>6040</v>
      </c>
      <c r="S2372" t="s">
        <v>6040</v>
      </c>
      <c r="T2372" t="s">
        <v>842</v>
      </c>
      <c r="U2372" t="s">
        <v>856</v>
      </c>
      <c r="W2372">
        <v>1210</v>
      </c>
      <c r="X2372">
        <v>1210</v>
      </c>
      <c r="Y2372" t="s">
        <v>844</v>
      </c>
      <c r="Z2372" t="s">
        <v>792</v>
      </c>
      <c r="AB2372" t="s">
        <v>793</v>
      </c>
      <c r="AD2372" t="s">
        <v>794</v>
      </c>
      <c r="AE2372" t="s">
        <v>804</v>
      </c>
      <c r="AF2372" t="s">
        <v>864</v>
      </c>
      <c r="AG2372" t="s">
        <v>797</v>
      </c>
      <c r="AH2372">
        <v>22000</v>
      </c>
      <c r="AI2372">
        <v>22000</v>
      </c>
      <c r="AJ2372">
        <v>1</v>
      </c>
    </row>
    <row r="2373" spans="1:36" x14ac:dyDescent="0.3">
      <c r="A2373">
        <f>COUNTIF($D$2:D2373,D2373)</f>
        <v>1</v>
      </c>
      <c r="B2373" t="str">
        <f t="shared" si="149"/>
        <v>1Thurrock</v>
      </c>
      <c r="C2373" t="s">
        <v>6538</v>
      </c>
      <c r="D2373" t="s">
        <v>323</v>
      </c>
      <c r="E2373">
        <v>11</v>
      </c>
      <c r="F2373" t="s">
        <v>6539</v>
      </c>
      <c r="G2373" t="s">
        <v>877</v>
      </c>
      <c r="H2373" t="s">
        <v>1259</v>
      </c>
      <c r="I2373" t="s">
        <v>879</v>
      </c>
      <c r="J2373">
        <f t="shared" ca="1" si="150"/>
        <v>1056369.1284417559</v>
      </c>
      <c r="K2373">
        <f t="shared" ca="1" si="151"/>
        <v>9</v>
      </c>
      <c r="N2373" t="str">
        <f t="shared" si="148"/>
        <v>Stockton-on-Tees60Carers Service in hospitalCarers ServicesOther</v>
      </c>
      <c r="O2373" t="s">
        <v>305</v>
      </c>
      <c r="P2373" t="s">
        <v>2195</v>
      </c>
      <c r="Q2373">
        <v>60</v>
      </c>
      <c r="R2373" t="s">
        <v>6052</v>
      </c>
      <c r="S2373" t="s">
        <v>6052</v>
      </c>
      <c r="T2373" t="s">
        <v>811</v>
      </c>
      <c r="U2373" t="s">
        <v>812</v>
      </c>
      <c r="V2373" t="s">
        <v>6540</v>
      </c>
      <c r="W2373">
        <v>50</v>
      </c>
      <c r="X2373">
        <v>50</v>
      </c>
      <c r="Y2373" t="s">
        <v>813</v>
      </c>
      <c r="Z2373" t="s">
        <v>792</v>
      </c>
      <c r="AB2373" t="s">
        <v>793</v>
      </c>
      <c r="AD2373" t="s">
        <v>794</v>
      </c>
      <c r="AE2373" t="s">
        <v>795</v>
      </c>
      <c r="AF2373" t="s">
        <v>864</v>
      </c>
      <c r="AG2373" t="s">
        <v>861</v>
      </c>
      <c r="AH2373">
        <v>20000</v>
      </c>
      <c r="AI2373">
        <v>20000</v>
      </c>
      <c r="AJ2373">
        <v>1</v>
      </c>
    </row>
    <row r="2374" spans="1:36" x14ac:dyDescent="0.3">
      <c r="A2374">
        <f>COUNTIF($D$2:D2374,D2374)</f>
        <v>2</v>
      </c>
      <c r="B2374" t="str">
        <f t="shared" si="149"/>
        <v>2Thurrock</v>
      </c>
      <c r="C2374" t="s">
        <v>6541</v>
      </c>
      <c r="D2374" t="s">
        <v>323</v>
      </c>
      <c r="E2374">
        <v>8</v>
      </c>
      <c r="F2374" t="s">
        <v>6539</v>
      </c>
      <c r="G2374" t="s">
        <v>787</v>
      </c>
      <c r="H2374" t="s">
        <v>1688</v>
      </c>
      <c r="I2374" t="s">
        <v>789</v>
      </c>
      <c r="J2374">
        <f t="shared" ca="1" si="150"/>
        <v>732883.26907319867</v>
      </c>
      <c r="K2374">
        <f t="shared" ca="1" si="151"/>
        <v>28</v>
      </c>
      <c r="N2374" t="str">
        <f t="shared" si="148"/>
        <v>Stockton-on-Tees42Improved Better Care FundResidential PlacementsNursing home</v>
      </c>
      <c r="O2374" t="s">
        <v>305</v>
      </c>
      <c r="P2374" t="s">
        <v>2195</v>
      </c>
      <c r="Q2374">
        <v>42</v>
      </c>
      <c r="R2374" t="s">
        <v>1464</v>
      </c>
      <c r="S2374" t="s">
        <v>6542</v>
      </c>
      <c r="T2374" t="s">
        <v>806</v>
      </c>
      <c r="U2374" t="s">
        <v>917</v>
      </c>
      <c r="W2374">
        <v>52</v>
      </c>
      <c r="X2374">
        <v>52</v>
      </c>
      <c r="Y2374" t="s">
        <v>808</v>
      </c>
      <c r="Z2374" t="s">
        <v>792</v>
      </c>
      <c r="AB2374" t="s">
        <v>793</v>
      </c>
      <c r="AD2374" t="s">
        <v>794</v>
      </c>
      <c r="AE2374" t="s">
        <v>795</v>
      </c>
      <c r="AF2374" t="s">
        <v>845</v>
      </c>
      <c r="AG2374" t="s">
        <v>797</v>
      </c>
      <c r="AH2374">
        <v>2000000</v>
      </c>
      <c r="AI2374">
        <v>2000000</v>
      </c>
      <c r="AJ2374">
        <v>0.1</v>
      </c>
    </row>
    <row r="2375" spans="1:36" x14ac:dyDescent="0.3">
      <c r="A2375">
        <f>COUNTIF($D$2:D2375,D2375)</f>
        <v>1</v>
      </c>
      <c r="B2375" t="str">
        <f t="shared" si="149"/>
        <v>1Torbay</v>
      </c>
      <c r="C2375" t="s">
        <v>6543</v>
      </c>
      <c r="D2375" t="s">
        <v>325</v>
      </c>
      <c r="E2375">
        <v>2</v>
      </c>
      <c r="F2375" t="s">
        <v>891</v>
      </c>
      <c r="G2375" t="s">
        <v>834</v>
      </c>
      <c r="H2375" t="s">
        <v>835</v>
      </c>
      <c r="I2375" t="s">
        <v>836</v>
      </c>
      <c r="J2375">
        <f t="shared" ca="1" si="150"/>
        <v>2128689</v>
      </c>
      <c r="K2375">
        <f t="shared" ca="1" si="151"/>
        <v>250</v>
      </c>
      <c r="N2375" t="str">
        <f t="shared" si="148"/>
        <v>Stockton-on-Tees42Improved Better Care FundHome Care or Domiciliary CareDomiciliary care packages</v>
      </c>
      <c r="O2375" t="s">
        <v>305</v>
      </c>
      <c r="P2375" t="s">
        <v>2195</v>
      </c>
      <c r="Q2375">
        <v>42</v>
      </c>
      <c r="R2375" t="s">
        <v>1464</v>
      </c>
      <c r="S2375" t="s">
        <v>6544</v>
      </c>
      <c r="T2375" t="s">
        <v>842</v>
      </c>
      <c r="U2375" t="s">
        <v>843</v>
      </c>
      <c r="W2375">
        <v>111725</v>
      </c>
      <c r="X2375">
        <v>111725</v>
      </c>
      <c r="Y2375" t="s">
        <v>844</v>
      </c>
      <c r="Z2375" t="s">
        <v>792</v>
      </c>
      <c r="AB2375" t="s">
        <v>793</v>
      </c>
      <c r="AD2375" t="s">
        <v>794</v>
      </c>
      <c r="AE2375" t="s">
        <v>795</v>
      </c>
      <c r="AF2375" t="s">
        <v>845</v>
      </c>
      <c r="AG2375" t="s">
        <v>797</v>
      </c>
      <c r="AH2375">
        <v>2066908</v>
      </c>
      <c r="AI2375">
        <v>2066908</v>
      </c>
      <c r="AJ2375">
        <v>0.1</v>
      </c>
    </row>
    <row r="2376" spans="1:36" x14ac:dyDescent="0.3">
      <c r="A2376">
        <f>COUNTIF($D$2:D2376,D2376)</f>
        <v>2</v>
      </c>
      <c r="B2376" t="str">
        <f t="shared" si="149"/>
        <v>2Torbay</v>
      </c>
      <c r="C2376" t="s">
        <v>6545</v>
      </c>
      <c r="D2376" t="s">
        <v>325</v>
      </c>
      <c r="E2376">
        <v>3</v>
      </c>
      <c r="F2376" t="s">
        <v>811</v>
      </c>
      <c r="G2376" t="s">
        <v>811</v>
      </c>
      <c r="H2376" t="s">
        <v>895</v>
      </c>
      <c r="I2376" t="s">
        <v>813</v>
      </c>
      <c r="J2376">
        <f t="shared" ca="1" si="150"/>
        <v>936925</v>
      </c>
      <c r="K2376">
        <f t="shared" ca="1" si="151"/>
        <v>4656</v>
      </c>
      <c r="N2376" t="str">
        <f t="shared" si="148"/>
        <v>Stoke-on-Trent1Hospital discharge: In-hospital supportBed based intermediate Care Services (Reablement, rehabilitation, wider short-term services supporting recovery)Bed-based intermediate care with reablement (to support discharge)</v>
      </c>
      <c r="O2376" t="s">
        <v>307</v>
      </c>
      <c r="P2376" t="s">
        <v>1172</v>
      </c>
      <c r="Q2376">
        <v>1</v>
      </c>
      <c r="R2376" t="s">
        <v>6058</v>
      </c>
      <c r="S2376" t="s">
        <v>6546</v>
      </c>
      <c r="T2376" t="s">
        <v>877</v>
      </c>
      <c r="U2376" t="s">
        <v>878</v>
      </c>
      <c r="W2376">
        <v>15</v>
      </c>
      <c r="X2376">
        <v>15</v>
      </c>
      <c r="Y2376" t="s">
        <v>879</v>
      </c>
      <c r="Z2376" t="s">
        <v>792</v>
      </c>
      <c r="AB2376" t="s">
        <v>793</v>
      </c>
      <c r="AD2376" t="s">
        <v>794</v>
      </c>
      <c r="AE2376" t="s">
        <v>804</v>
      </c>
      <c r="AF2376" t="s">
        <v>864</v>
      </c>
      <c r="AG2376" t="s">
        <v>861</v>
      </c>
      <c r="AH2376">
        <v>120000</v>
      </c>
      <c r="AI2376">
        <v>120000</v>
      </c>
      <c r="AJ2376">
        <v>2.1954030163520203E-3</v>
      </c>
    </row>
    <row r="2377" spans="1:36" x14ac:dyDescent="0.3">
      <c r="A2377">
        <f>COUNTIF($D$2:D2377,D2377)</f>
        <v>3</v>
      </c>
      <c r="B2377" t="str">
        <f t="shared" si="149"/>
        <v>3Torbay</v>
      </c>
      <c r="C2377" t="s">
        <v>6547</v>
      </c>
      <c r="D2377" t="s">
        <v>325</v>
      </c>
      <c r="E2377">
        <v>6</v>
      </c>
      <c r="F2377" t="s">
        <v>1160</v>
      </c>
      <c r="G2377" t="s">
        <v>800</v>
      </c>
      <c r="H2377" t="s">
        <v>850</v>
      </c>
      <c r="I2377" t="s">
        <v>802</v>
      </c>
      <c r="J2377">
        <f t="shared" ca="1" si="150"/>
        <v>289000</v>
      </c>
      <c r="K2377">
        <f t="shared" ca="1" si="151"/>
        <v>323</v>
      </c>
      <c r="N2377" t="str">
        <f t="shared" si="148"/>
        <v xml:space="preserve">Stoke-on-Trent1Hospital discharge: In-hospital supportHome-based intermediate care servicesReablement at home (to support discharge) </v>
      </c>
      <c r="O2377" t="s">
        <v>307</v>
      </c>
      <c r="P2377" t="s">
        <v>1172</v>
      </c>
      <c r="Q2377">
        <v>1</v>
      </c>
      <c r="R2377" t="s">
        <v>6058</v>
      </c>
      <c r="S2377" t="s">
        <v>6548</v>
      </c>
      <c r="T2377" t="s">
        <v>787</v>
      </c>
      <c r="U2377" t="s">
        <v>788</v>
      </c>
      <c r="W2377">
        <v>563</v>
      </c>
      <c r="X2377">
        <v>563</v>
      </c>
      <c r="Y2377" t="s">
        <v>789</v>
      </c>
      <c r="Z2377" t="s">
        <v>823</v>
      </c>
      <c r="AB2377" t="s">
        <v>824</v>
      </c>
      <c r="AD2377" t="s">
        <v>794</v>
      </c>
      <c r="AE2377" t="s">
        <v>832</v>
      </c>
      <c r="AF2377" t="s">
        <v>796</v>
      </c>
      <c r="AG2377" t="s">
        <v>797</v>
      </c>
      <c r="AH2377">
        <v>5205281</v>
      </c>
      <c r="AI2377">
        <v>5499899</v>
      </c>
      <c r="AJ2377">
        <v>9.7925768594130519E-2</v>
      </c>
    </row>
    <row r="2378" spans="1:36" x14ac:dyDescent="0.3">
      <c r="A2378">
        <f>COUNTIF($D$2:D2378,D2378)</f>
        <v>4</v>
      </c>
      <c r="B2378" t="str">
        <f t="shared" si="149"/>
        <v>4Torbay</v>
      </c>
      <c r="C2378" t="s">
        <v>6549</v>
      </c>
      <c r="D2378" t="s">
        <v>325</v>
      </c>
      <c r="E2378">
        <v>8</v>
      </c>
      <c r="F2378" t="s">
        <v>6550</v>
      </c>
      <c r="G2378" t="s">
        <v>787</v>
      </c>
      <c r="H2378" t="s">
        <v>812</v>
      </c>
      <c r="I2378" t="s">
        <v>789</v>
      </c>
      <c r="J2378">
        <f t="shared" ca="1" si="150"/>
        <v>396000</v>
      </c>
      <c r="K2378">
        <f t="shared" ca="1" si="151"/>
        <v>1200</v>
      </c>
      <c r="N2378" t="str">
        <f t="shared" si="148"/>
        <v>Stoke-on-Trent2Hospital discharge: Out-of-hospital supportHome Care or Domiciliary CareOther</v>
      </c>
      <c r="O2378" t="s">
        <v>307</v>
      </c>
      <c r="P2378" t="s">
        <v>1172</v>
      </c>
      <c r="Q2378">
        <v>2</v>
      </c>
      <c r="R2378" t="s">
        <v>6063</v>
      </c>
      <c r="S2378" t="s">
        <v>6551</v>
      </c>
      <c r="T2378" t="s">
        <v>842</v>
      </c>
      <c r="U2378" t="s">
        <v>812</v>
      </c>
      <c r="V2378" t="s">
        <v>6552</v>
      </c>
      <c r="W2378">
        <v>18348</v>
      </c>
      <c r="X2378">
        <v>16985</v>
      </c>
      <c r="Y2378" t="s">
        <v>844</v>
      </c>
      <c r="Z2378" t="s">
        <v>792</v>
      </c>
      <c r="AB2378" t="s">
        <v>793</v>
      </c>
      <c r="AD2378" t="s">
        <v>794</v>
      </c>
      <c r="AE2378" t="s">
        <v>795</v>
      </c>
      <c r="AF2378" t="s">
        <v>864</v>
      </c>
      <c r="AG2378" t="s">
        <v>861</v>
      </c>
      <c r="AH2378">
        <v>400000</v>
      </c>
      <c r="AI2378">
        <v>400000</v>
      </c>
      <c r="AJ2378">
        <v>7.318010054506734E-3</v>
      </c>
    </row>
    <row r="2379" spans="1:36" x14ac:dyDescent="0.3">
      <c r="A2379">
        <f>COUNTIF($D$2:D2379,D2379)</f>
        <v>5</v>
      </c>
      <c r="B2379" t="str">
        <f t="shared" si="149"/>
        <v>5Torbay</v>
      </c>
      <c r="C2379" t="s">
        <v>6553</v>
      </c>
      <c r="D2379" t="s">
        <v>325</v>
      </c>
      <c r="E2379">
        <v>9</v>
      </c>
      <c r="F2379" t="s">
        <v>6550</v>
      </c>
      <c r="G2379" t="s">
        <v>877</v>
      </c>
      <c r="H2379" t="s">
        <v>812</v>
      </c>
      <c r="I2379" t="s">
        <v>879</v>
      </c>
      <c r="J2379">
        <f t="shared" ca="1" si="150"/>
        <v>396000</v>
      </c>
      <c r="K2379">
        <f t="shared" ca="1" si="151"/>
        <v>480</v>
      </c>
      <c r="N2379" t="str">
        <f t="shared" si="148"/>
        <v xml:space="preserve">Stoke-on-Trent3Reablement, enablement and intermediate careHome-based intermediate care servicesReablement at home (to support discharge) </v>
      </c>
      <c r="O2379" t="s">
        <v>307</v>
      </c>
      <c r="P2379" t="s">
        <v>1172</v>
      </c>
      <c r="Q2379">
        <v>3</v>
      </c>
      <c r="R2379" t="s">
        <v>6066</v>
      </c>
      <c r="S2379" t="s">
        <v>6548</v>
      </c>
      <c r="T2379" t="s">
        <v>787</v>
      </c>
      <c r="U2379" t="s">
        <v>788</v>
      </c>
      <c r="W2379">
        <v>563</v>
      </c>
      <c r="X2379">
        <v>563</v>
      </c>
      <c r="Y2379" t="s">
        <v>789</v>
      </c>
      <c r="Z2379" t="s">
        <v>823</v>
      </c>
      <c r="AB2379" t="s">
        <v>824</v>
      </c>
      <c r="AD2379" t="s">
        <v>794</v>
      </c>
      <c r="AE2379" t="s">
        <v>832</v>
      </c>
      <c r="AF2379" t="s">
        <v>1042</v>
      </c>
      <c r="AG2379" t="s">
        <v>797</v>
      </c>
      <c r="AH2379">
        <v>573535</v>
      </c>
      <c r="AI2379">
        <v>573535</v>
      </c>
      <c r="AJ2379">
        <v>1.04928372415288E-2</v>
      </c>
    </row>
    <row r="2380" spans="1:36" x14ac:dyDescent="0.3">
      <c r="A2380">
        <f>COUNTIF($D$2:D2380,D2380)</f>
        <v>6</v>
      </c>
      <c r="B2380" t="str">
        <f t="shared" si="149"/>
        <v>6Torbay</v>
      </c>
      <c r="C2380" t="s">
        <v>6554</v>
      </c>
      <c r="D2380" t="s">
        <v>325</v>
      </c>
      <c r="E2380">
        <v>11</v>
      </c>
      <c r="F2380" t="s">
        <v>3569</v>
      </c>
      <c r="G2380" t="s">
        <v>787</v>
      </c>
      <c r="H2380" t="s">
        <v>788</v>
      </c>
      <c r="I2380" t="s">
        <v>789</v>
      </c>
      <c r="J2380">
        <f t="shared" ca="1" si="150"/>
        <v>991043</v>
      </c>
      <c r="K2380">
        <f t="shared" ca="1" si="151"/>
        <v>696</v>
      </c>
      <c r="N2380" t="str">
        <f t="shared" si="148"/>
        <v>Stoke-on-Trent3Reablement, enablement and intermediate careHome-based intermediate care servicesReablement at home (to prevent admission to hospital or residential care)</v>
      </c>
      <c r="O2380" t="s">
        <v>307</v>
      </c>
      <c r="P2380" t="s">
        <v>1172</v>
      </c>
      <c r="Q2380">
        <v>3</v>
      </c>
      <c r="R2380" t="s">
        <v>6066</v>
      </c>
      <c r="S2380" t="s">
        <v>6555</v>
      </c>
      <c r="T2380" t="s">
        <v>787</v>
      </c>
      <c r="U2380" t="s">
        <v>886</v>
      </c>
      <c r="W2380">
        <v>11615</v>
      </c>
      <c r="X2380">
        <v>11615</v>
      </c>
      <c r="Y2380" t="s">
        <v>789</v>
      </c>
      <c r="Z2380" t="s">
        <v>792</v>
      </c>
      <c r="AB2380" t="s">
        <v>793</v>
      </c>
      <c r="AD2380" t="s">
        <v>794</v>
      </c>
      <c r="AE2380" t="s">
        <v>795</v>
      </c>
      <c r="AF2380" t="s">
        <v>845</v>
      </c>
      <c r="AG2380" t="s">
        <v>861</v>
      </c>
      <c r="AH2380">
        <v>3300000</v>
      </c>
      <c r="AI2380">
        <v>3300000</v>
      </c>
      <c r="AJ2380">
        <v>6.0373582949680558E-2</v>
      </c>
    </row>
    <row r="2381" spans="1:36" x14ac:dyDescent="0.3">
      <c r="A2381">
        <f>COUNTIF($D$2:D2381,D2381)</f>
        <v>7</v>
      </c>
      <c r="B2381" t="str">
        <f t="shared" si="149"/>
        <v>7Torbay</v>
      </c>
      <c r="C2381" t="s">
        <v>6556</v>
      </c>
      <c r="D2381" t="s">
        <v>325</v>
      </c>
      <c r="E2381">
        <v>13</v>
      </c>
      <c r="F2381" t="s">
        <v>6557</v>
      </c>
      <c r="G2381" t="s">
        <v>877</v>
      </c>
      <c r="H2381" t="s">
        <v>968</v>
      </c>
      <c r="I2381" t="s">
        <v>879</v>
      </c>
      <c r="J2381">
        <f t="shared" ca="1" si="150"/>
        <v>600512</v>
      </c>
      <c r="K2381">
        <f t="shared" ca="1" si="151"/>
        <v>9</v>
      </c>
      <c r="N2381" t="str">
        <f t="shared" si="148"/>
        <v xml:space="preserve">Stoke-on-Trent3Reablement, enablement and intermediate careHome-based intermediate care servicesReablement at home (to support discharge) </v>
      </c>
      <c r="O2381" t="s">
        <v>307</v>
      </c>
      <c r="P2381" t="s">
        <v>1172</v>
      </c>
      <c r="Q2381">
        <v>3</v>
      </c>
      <c r="R2381" t="s">
        <v>6066</v>
      </c>
      <c r="S2381" t="s">
        <v>6548</v>
      </c>
      <c r="T2381" t="s">
        <v>787</v>
      </c>
      <c r="U2381" t="s">
        <v>788</v>
      </c>
      <c r="W2381">
        <v>563</v>
      </c>
      <c r="X2381">
        <v>563</v>
      </c>
      <c r="Y2381" t="s">
        <v>789</v>
      </c>
      <c r="Z2381" t="s">
        <v>823</v>
      </c>
      <c r="AB2381" t="s">
        <v>824</v>
      </c>
      <c r="AD2381" t="s">
        <v>794</v>
      </c>
      <c r="AE2381" t="s">
        <v>832</v>
      </c>
      <c r="AF2381" t="s">
        <v>796</v>
      </c>
      <c r="AG2381" t="s">
        <v>797</v>
      </c>
      <c r="AH2381">
        <v>1514620</v>
      </c>
      <c r="AI2381">
        <v>1600347</v>
      </c>
      <c r="AJ2381">
        <v>2.8494199781820849E-2</v>
      </c>
    </row>
    <row r="2382" spans="1:36" x14ac:dyDescent="0.3">
      <c r="A2382">
        <f>COUNTIF($D$2:D2382,D2382)</f>
        <v>8</v>
      </c>
      <c r="B2382" t="str">
        <f t="shared" si="149"/>
        <v>8Torbay</v>
      </c>
      <c r="C2382" t="s">
        <v>6558</v>
      </c>
      <c r="D2382" t="s">
        <v>325</v>
      </c>
      <c r="E2382">
        <v>14</v>
      </c>
      <c r="F2382" t="s">
        <v>6559</v>
      </c>
      <c r="G2382" t="s">
        <v>877</v>
      </c>
      <c r="H2382" t="s">
        <v>968</v>
      </c>
      <c r="I2382" t="s">
        <v>879</v>
      </c>
      <c r="J2382">
        <f t="shared" ca="1" si="150"/>
        <v>1666489</v>
      </c>
      <c r="K2382">
        <f t="shared" ca="1" si="151"/>
        <v>24</v>
      </c>
      <c r="N2382" t="str">
        <f t="shared" si="148"/>
        <v xml:space="preserve">Stoke-on-Trent3Reablement, enablement and intermediate careHome-based intermediate care servicesReablement at home (to support discharge) </v>
      </c>
      <c r="O2382" t="s">
        <v>307</v>
      </c>
      <c r="P2382" t="s">
        <v>1172</v>
      </c>
      <c r="Q2382">
        <v>3</v>
      </c>
      <c r="R2382" t="s">
        <v>6066</v>
      </c>
      <c r="S2382" t="s">
        <v>6548</v>
      </c>
      <c r="T2382" t="s">
        <v>787</v>
      </c>
      <c r="U2382" t="s">
        <v>788</v>
      </c>
      <c r="W2382">
        <v>563</v>
      </c>
      <c r="X2382">
        <v>563</v>
      </c>
      <c r="Y2382" t="s">
        <v>789</v>
      </c>
      <c r="Z2382" t="s">
        <v>792</v>
      </c>
      <c r="AB2382" t="s">
        <v>824</v>
      </c>
      <c r="AD2382" t="s">
        <v>794</v>
      </c>
      <c r="AE2382" t="s">
        <v>832</v>
      </c>
      <c r="AF2382" t="s">
        <v>796</v>
      </c>
      <c r="AG2382" t="s">
        <v>797</v>
      </c>
      <c r="AH2382">
        <v>2702746</v>
      </c>
      <c r="AI2382">
        <v>2855721</v>
      </c>
      <c r="AJ2382">
        <v>5.0846146742054857E-2</v>
      </c>
    </row>
    <row r="2383" spans="1:36" x14ac:dyDescent="0.3">
      <c r="A2383">
        <f>COUNTIF($D$2:D2383,D2383)</f>
        <v>9</v>
      </c>
      <c r="B2383" t="str">
        <f t="shared" si="149"/>
        <v>9Torbay</v>
      </c>
      <c r="C2383" t="s">
        <v>6560</v>
      </c>
      <c r="D2383" t="s">
        <v>325</v>
      </c>
      <c r="E2383">
        <v>18</v>
      </c>
      <c r="F2383" t="s">
        <v>6561</v>
      </c>
      <c r="G2383" t="s">
        <v>842</v>
      </c>
      <c r="H2383" t="s">
        <v>856</v>
      </c>
      <c r="I2383" t="s">
        <v>844</v>
      </c>
      <c r="J2383">
        <f t="shared" ca="1" si="150"/>
        <v>1239014</v>
      </c>
      <c r="K2383">
        <f t="shared" ca="1" si="151"/>
        <v>950</v>
      </c>
      <c r="N2383" t="str">
        <f t="shared" si="148"/>
        <v>Stoke-on-Trent3Reablement, enablement and intermediate careBed based intermediate Care Services (Reablement, rehabilitation, wider short-term services supporting recovery)Bed-based intermediate care with reablement (to support discharge)</v>
      </c>
      <c r="O2383" t="s">
        <v>307</v>
      </c>
      <c r="P2383" t="s">
        <v>1172</v>
      </c>
      <c r="Q2383">
        <v>3</v>
      </c>
      <c r="R2383" t="s">
        <v>6066</v>
      </c>
      <c r="S2383" t="s">
        <v>6562</v>
      </c>
      <c r="T2383" t="s">
        <v>877</v>
      </c>
      <c r="U2383" t="s">
        <v>878</v>
      </c>
      <c r="W2383">
        <v>50</v>
      </c>
      <c r="X2383">
        <v>50</v>
      </c>
      <c r="Y2383" t="s">
        <v>879</v>
      </c>
      <c r="Z2383" t="s">
        <v>823</v>
      </c>
      <c r="AB2383" t="s">
        <v>824</v>
      </c>
      <c r="AD2383" t="s">
        <v>794</v>
      </c>
      <c r="AE2383" t="s">
        <v>804</v>
      </c>
      <c r="AF2383" t="s">
        <v>1042</v>
      </c>
      <c r="AG2383" t="s">
        <v>861</v>
      </c>
      <c r="AH2383">
        <v>2958480</v>
      </c>
      <c r="AI2383">
        <v>3125929</v>
      </c>
      <c r="AJ2383">
        <v>5.5657207797164078E-2</v>
      </c>
    </row>
    <row r="2384" spans="1:36" x14ac:dyDescent="0.3">
      <c r="A2384">
        <f>COUNTIF($D$2:D2384,D2384)</f>
        <v>10</v>
      </c>
      <c r="B2384" t="str">
        <f t="shared" si="149"/>
        <v>10Torbay</v>
      </c>
      <c r="C2384" t="s">
        <v>6563</v>
      </c>
      <c r="D2384" t="s">
        <v>325</v>
      </c>
      <c r="E2384">
        <v>19</v>
      </c>
      <c r="F2384" t="s">
        <v>6564</v>
      </c>
      <c r="G2384" t="s">
        <v>877</v>
      </c>
      <c r="H2384" t="s">
        <v>968</v>
      </c>
      <c r="I2384" t="s">
        <v>879</v>
      </c>
      <c r="J2384">
        <f t="shared" ca="1" si="150"/>
        <v>1044000</v>
      </c>
      <c r="K2384">
        <f t="shared" ca="1" si="151"/>
        <v>17</v>
      </c>
      <c r="N2384" t="str">
        <f t="shared" si="148"/>
        <v>Stoke-on-Trent4Occupational therapy, equipment, technology and AIDFG Related SchemesAdaptations, including statutory DFG grants</v>
      </c>
      <c r="O2384" t="s">
        <v>307</v>
      </c>
      <c r="P2384" t="s">
        <v>1172</v>
      </c>
      <c r="Q2384">
        <v>4</v>
      </c>
      <c r="R2384" t="s">
        <v>6074</v>
      </c>
      <c r="S2384" t="s">
        <v>6056</v>
      </c>
      <c r="T2384" t="s">
        <v>834</v>
      </c>
      <c r="U2384" t="s">
        <v>835</v>
      </c>
      <c r="W2384">
        <v>140</v>
      </c>
      <c r="X2384">
        <v>160</v>
      </c>
      <c r="Y2384" t="s">
        <v>836</v>
      </c>
      <c r="Z2384" t="s">
        <v>792</v>
      </c>
      <c r="AB2384" t="s">
        <v>793</v>
      </c>
      <c r="AD2384" t="s">
        <v>794</v>
      </c>
      <c r="AE2384" t="s">
        <v>795</v>
      </c>
      <c r="AF2384" t="s">
        <v>840</v>
      </c>
      <c r="AG2384" t="s">
        <v>797</v>
      </c>
      <c r="AH2384">
        <v>2152596</v>
      </c>
      <c r="AI2384">
        <v>2152596</v>
      </c>
      <c r="AJ2384">
        <v>3.9381797928227442E-2</v>
      </c>
    </row>
    <row r="2385" spans="1:36" x14ac:dyDescent="0.3">
      <c r="A2385">
        <f>COUNTIF($D$2:D2385,D2385)</f>
        <v>11</v>
      </c>
      <c r="B2385" t="str">
        <f t="shared" si="149"/>
        <v>11Torbay</v>
      </c>
      <c r="C2385" t="s">
        <v>6565</v>
      </c>
      <c r="D2385" t="s">
        <v>325</v>
      </c>
      <c r="E2385">
        <v>20</v>
      </c>
      <c r="F2385" t="s">
        <v>6566</v>
      </c>
      <c r="G2385" t="s">
        <v>877</v>
      </c>
      <c r="H2385" t="s">
        <v>968</v>
      </c>
      <c r="I2385" t="s">
        <v>879</v>
      </c>
      <c r="J2385" t="e">
        <f t="shared" si="150"/>
        <v>#VALUE!</v>
      </c>
      <c r="K2385" t="e">
        <f t="shared" si="151"/>
        <v>#VALUE!</v>
      </c>
      <c r="N2385" t="str">
        <f t="shared" si="148"/>
        <v>Stoke-on-Trent4Occupational therapy, equipment, technology and AIAssistive Technologies and EquipmentAssistive technologies including telecare</v>
      </c>
      <c r="O2385" t="s">
        <v>307</v>
      </c>
      <c r="P2385" t="s">
        <v>1172</v>
      </c>
      <c r="Q2385">
        <v>4</v>
      </c>
      <c r="R2385" t="s">
        <v>6074</v>
      </c>
      <c r="S2385" t="s">
        <v>6567</v>
      </c>
      <c r="T2385" t="s">
        <v>800</v>
      </c>
      <c r="U2385" t="s">
        <v>850</v>
      </c>
      <c r="W2385">
        <v>400</v>
      </c>
      <c r="X2385">
        <v>400</v>
      </c>
      <c r="Y2385" t="s">
        <v>802</v>
      </c>
      <c r="Z2385" t="s">
        <v>792</v>
      </c>
      <c r="AB2385" t="s">
        <v>793</v>
      </c>
      <c r="AD2385" t="s">
        <v>794</v>
      </c>
      <c r="AE2385" t="s">
        <v>795</v>
      </c>
      <c r="AF2385" t="s">
        <v>864</v>
      </c>
      <c r="AG2385" t="s">
        <v>861</v>
      </c>
      <c r="AH2385">
        <v>80000</v>
      </c>
      <c r="AI2385">
        <v>80000</v>
      </c>
      <c r="AJ2385">
        <v>1.4636020109013467E-3</v>
      </c>
    </row>
    <row r="2386" spans="1:36" x14ac:dyDescent="0.3">
      <c r="A2386">
        <f>COUNTIF($D$2:D2386,D2386)</f>
        <v>12</v>
      </c>
      <c r="B2386" t="str">
        <f t="shared" si="149"/>
        <v>12Torbay</v>
      </c>
      <c r="C2386" t="s">
        <v>6568</v>
      </c>
      <c r="D2386" t="s">
        <v>325</v>
      </c>
      <c r="E2386">
        <v>23</v>
      </c>
      <c r="F2386" t="s">
        <v>6569</v>
      </c>
      <c r="G2386" t="s">
        <v>842</v>
      </c>
      <c r="H2386" t="s">
        <v>843</v>
      </c>
      <c r="I2386" t="s">
        <v>844</v>
      </c>
      <c r="J2386">
        <f t="shared" ca="1" si="150"/>
        <v>779934</v>
      </c>
      <c r="K2386">
        <f t="shared" ca="1" si="151"/>
        <v>614</v>
      </c>
      <c r="N2386" t="str">
        <f t="shared" si="148"/>
        <v>Stoke-on-Trent4Occupational therapy, equipment, technology and AIAssistive Technologies and EquipmentCommunity based equipment</v>
      </c>
      <c r="O2386" t="s">
        <v>307</v>
      </c>
      <c r="P2386" t="s">
        <v>1172</v>
      </c>
      <c r="Q2386">
        <v>4</v>
      </c>
      <c r="R2386" t="s">
        <v>6074</v>
      </c>
      <c r="S2386" t="s">
        <v>6570</v>
      </c>
      <c r="T2386" t="s">
        <v>800</v>
      </c>
      <c r="U2386" t="s">
        <v>903</v>
      </c>
      <c r="W2386">
        <v>1500</v>
      </c>
      <c r="X2386">
        <v>1500</v>
      </c>
      <c r="Y2386" t="s">
        <v>802</v>
      </c>
      <c r="Z2386" t="s">
        <v>792</v>
      </c>
      <c r="AB2386" t="s">
        <v>793</v>
      </c>
      <c r="AD2386" t="s">
        <v>794</v>
      </c>
      <c r="AE2386" t="s">
        <v>804</v>
      </c>
      <c r="AF2386" t="s">
        <v>796</v>
      </c>
      <c r="AG2386" t="s">
        <v>797</v>
      </c>
      <c r="AH2386">
        <v>1101448</v>
      </c>
      <c r="AI2386">
        <v>1116378</v>
      </c>
      <c r="AJ2386">
        <v>2.0287591208933062E-2</v>
      </c>
    </row>
    <row r="2387" spans="1:36" x14ac:dyDescent="0.3">
      <c r="A2387">
        <f>COUNTIF($D$2:D2387,D2387)</f>
        <v>1</v>
      </c>
      <c r="B2387" t="str">
        <f t="shared" si="149"/>
        <v>1Tower Hamlets</v>
      </c>
      <c r="C2387" t="s">
        <v>6571</v>
      </c>
      <c r="D2387" t="s">
        <v>327</v>
      </c>
      <c r="E2387">
        <v>4</v>
      </c>
      <c r="F2387" t="s">
        <v>6572</v>
      </c>
      <c r="G2387" t="s">
        <v>800</v>
      </c>
      <c r="H2387" t="s">
        <v>903</v>
      </c>
      <c r="I2387" t="s">
        <v>802</v>
      </c>
      <c r="J2387">
        <f t="shared" ca="1" si="150"/>
        <v>117048.03479999999</v>
      </c>
      <c r="K2387">
        <f t="shared" ca="1" si="151"/>
        <v>6105</v>
      </c>
      <c r="N2387" t="str">
        <f t="shared" si="148"/>
        <v>Stoke-on-Trent5Enhanced dementia and delirium supportResidential PlacementsCare home</v>
      </c>
      <c r="O2387" t="s">
        <v>307</v>
      </c>
      <c r="P2387" t="s">
        <v>1172</v>
      </c>
      <c r="Q2387">
        <v>5</v>
      </c>
      <c r="R2387" t="s">
        <v>6081</v>
      </c>
      <c r="S2387" t="s">
        <v>6573</v>
      </c>
      <c r="T2387" t="s">
        <v>806</v>
      </c>
      <c r="U2387" t="s">
        <v>807</v>
      </c>
      <c r="W2387">
        <v>136</v>
      </c>
      <c r="X2387">
        <v>136</v>
      </c>
      <c r="Y2387" t="s">
        <v>808</v>
      </c>
      <c r="Z2387" t="s">
        <v>792</v>
      </c>
      <c r="AB2387" t="s">
        <v>793</v>
      </c>
      <c r="AD2387" t="s">
        <v>794</v>
      </c>
      <c r="AE2387" t="s">
        <v>795</v>
      </c>
      <c r="AF2387" t="s">
        <v>845</v>
      </c>
      <c r="AG2387" t="s">
        <v>797</v>
      </c>
      <c r="AH2387">
        <v>1841000</v>
      </c>
      <c r="AI2387">
        <v>1841000</v>
      </c>
      <c r="AJ2387">
        <v>3.3681141275867243E-2</v>
      </c>
    </row>
    <row r="2388" spans="1:36" x14ac:dyDescent="0.3">
      <c r="A2388">
        <f>COUNTIF($D$2:D2388,D2388)</f>
        <v>2</v>
      </c>
      <c r="B2388" t="str">
        <f t="shared" si="149"/>
        <v>2Tower Hamlets</v>
      </c>
      <c r="C2388" t="s">
        <v>6574</v>
      </c>
      <c r="D2388" t="s">
        <v>327</v>
      </c>
      <c r="E2388">
        <v>5</v>
      </c>
      <c r="F2388" t="s">
        <v>1513</v>
      </c>
      <c r="G2388" t="s">
        <v>800</v>
      </c>
      <c r="H2388" t="s">
        <v>903</v>
      </c>
      <c r="I2388" t="s">
        <v>802</v>
      </c>
      <c r="J2388">
        <f t="shared" ca="1" si="150"/>
        <v>454100</v>
      </c>
      <c r="K2388">
        <f t="shared" ca="1" si="151"/>
        <v>1400</v>
      </c>
      <c r="N2388" t="str">
        <f t="shared" si="148"/>
        <v>Stoke-on-Trent6Provider market development and admission avoidanceHome Care or Domiciliary CareDomiciliary care packages</v>
      </c>
      <c r="O2388" t="s">
        <v>307</v>
      </c>
      <c r="P2388" t="s">
        <v>1172</v>
      </c>
      <c r="Q2388">
        <v>6</v>
      </c>
      <c r="R2388" t="s">
        <v>6084</v>
      </c>
      <c r="S2388" t="s">
        <v>6575</v>
      </c>
      <c r="T2388" t="s">
        <v>842</v>
      </c>
      <c r="U2388" t="s">
        <v>843</v>
      </c>
      <c r="W2388">
        <v>83795</v>
      </c>
      <c r="X2388">
        <v>77568</v>
      </c>
      <c r="Y2388" t="s">
        <v>844</v>
      </c>
      <c r="Z2388" t="s">
        <v>792</v>
      </c>
      <c r="AB2388" t="s">
        <v>793</v>
      </c>
      <c r="AD2388" t="s">
        <v>794</v>
      </c>
      <c r="AE2388" t="s">
        <v>804</v>
      </c>
      <c r="AF2388" t="s">
        <v>845</v>
      </c>
      <c r="AG2388" t="s">
        <v>797</v>
      </c>
      <c r="AH2388">
        <v>1826744</v>
      </c>
      <c r="AI2388">
        <v>1826744</v>
      </c>
      <c r="AJ2388">
        <v>3.3420327397524624E-2</v>
      </c>
    </row>
    <row r="2389" spans="1:36" x14ac:dyDescent="0.3">
      <c r="A2389">
        <f>COUNTIF($D$2:D2389,D2389)</f>
        <v>3</v>
      </c>
      <c r="B2389" t="str">
        <f t="shared" si="149"/>
        <v>3Tower Hamlets</v>
      </c>
      <c r="C2389" t="s">
        <v>6576</v>
      </c>
      <c r="D2389" t="s">
        <v>327</v>
      </c>
      <c r="E2389">
        <v>6</v>
      </c>
      <c r="F2389" t="s">
        <v>6577</v>
      </c>
      <c r="G2389" t="s">
        <v>800</v>
      </c>
      <c r="H2389" t="s">
        <v>903</v>
      </c>
      <c r="I2389" t="s">
        <v>802</v>
      </c>
      <c r="J2389">
        <f t="shared" ca="1" si="150"/>
        <v>322000</v>
      </c>
      <c r="K2389">
        <f t="shared" ca="1" si="151"/>
        <v>1400</v>
      </c>
      <c r="N2389" t="str">
        <f t="shared" si="148"/>
        <v>Stoke-on-Trent6Provider market development and admission avoidanceCarers ServicesCarer advice and support related to Care Act duties</v>
      </c>
      <c r="O2389" t="s">
        <v>307</v>
      </c>
      <c r="P2389" t="s">
        <v>1172</v>
      </c>
      <c r="Q2389">
        <v>6</v>
      </c>
      <c r="R2389" t="s">
        <v>6084</v>
      </c>
      <c r="S2389" t="s">
        <v>6578</v>
      </c>
      <c r="T2389" t="s">
        <v>811</v>
      </c>
      <c r="U2389" t="s">
        <v>895</v>
      </c>
      <c r="W2389">
        <v>2100</v>
      </c>
      <c r="X2389">
        <v>2205</v>
      </c>
      <c r="Y2389" t="s">
        <v>813</v>
      </c>
      <c r="Z2389" t="s">
        <v>792</v>
      </c>
      <c r="AB2389" t="s">
        <v>793</v>
      </c>
      <c r="AD2389" t="s">
        <v>794</v>
      </c>
      <c r="AE2389" t="s">
        <v>825</v>
      </c>
      <c r="AF2389" t="s">
        <v>796</v>
      </c>
      <c r="AG2389" t="s">
        <v>797</v>
      </c>
      <c r="AH2389">
        <v>150912</v>
      </c>
      <c r="AI2389">
        <v>150912</v>
      </c>
      <c r="AJ2389">
        <v>2.7609388333643009E-3</v>
      </c>
    </row>
    <row r="2390" spans="1:36" x14ac:dyDescent="0.3">
      <c r="A2390">
        <f>COUNTIF($D$2:D2390,D2390)</f>
        <v>4</v>
      </c>
      <c r="B2390" t="str">
        <f t="shared" si="149"/>
        <v>4Tower Hamlets</v>
      </c>
      <c r="C2390" t="s">
        <v>6579</v>
      </c>
      <c r="D2390" t="s">
        <v>327</v>
      </c>
      <c r="E2390">
        <v>7</v>
      </c>
      <c r="F2390" t="s">
        <v>1513</v>
      </c>
      <c r="G2390" t="s">
        <v>800</v>
      </c>
      <c r="H2390" t="s">
        <v>903</v>
      </c>
      <c r="I2390" t="s">
        <v>802</v>
      </c>
      <c r="J2390">
        <f t="shared" ca="1" si="150"/>
        <v>1846488.8015999999</v>
      </c>
      <c r="K2390">
        <f t="shared" ca="1" si="151"/>
        <v>1400</v>
      </c>
      <c r="N2390" t="str">
        <f t="shared" si="148"/>
        <v>Stoke-on-Trent6Provider market development and admission avoidanceResidential PlacementsCare home</v>
      </c>
      <c r="O2390" t="s">
        <v>307</v>
      </c>
      <c r="P2390" t="s">
        <v>1172</v>
      </c>
      <c r="Q2390">
        <v>6</v>
      </c>
      <c r="R2390" t="s">
        <v>6084</v>
      </c>
      <c r="S2390" t="s">
        <v>6580</v>
      </c>
      <c r="T2390" t="s">
        <v>806</v>
      </c>
      <c r="U2390" t="s">
        <v>807</v>
      </c>
      <c r="W2390">
        <v>128</v>
      </c>
      <c r="X2390">
        <v>128</v>
      </c>
      <c r="Y2390" t="s">
        <v>808</v>
      </c>
      <c r="Z2390" t="s">
        <v>792</v>
      </c>
      <c r="AB2390" t="s">
        <v>793</v>
      </c>
      <c r="AD2390" t="s">
        <v>794</v>
      </c>
      <c r="AE2390" t="s">
        <v>804</v>
      </c>
      <c r="AF2390" t="s">
        <v>796</v>
      </c>
      <c r="AG2390" t="s">
        <v>797</v>
      </c>
      <c r="AH2390">
        <v>6039228</v>
      </c>
      <c r="AI2390">
        <v>6039228</v>
      </c>
      <c r="AJ2390">
        <v>0.11048782806364647</v>
      </c>
    </row>
    <row r="2391" spans="1:36" x14ac:dyDescent="0.3">
      <c r="A2391">
        <f>COUNTIF($D$2:D2391,D2391)</f>
        <v>5</v>
      </c>
      <c r="B2391" t="str">
        <f t="shared" si="149"/>
        <v>5Tower Hamlets</v>
      </c>
      <c r="C2391" t="s">
        <v>6581</v>
      </c>
      <c r="D2391" t="s">
        <v>327</v>
      </c>
      <c r="E2391">
        <v>8</v>
      </c>
      <c r="F2391" t="s">
        <v>1399</v>
      </c>
      <c r="G2391" t="s">
        <v>811</v>
      </c>
      <c r="H2391" t="s">
        <v>830</v>
      </c>
      <c r="I2391" t="s">
        <v>813</v>
      </c>
      <c r="J2391">
        <f t="shared" ca="1" si="150"/>
        <v>699469.2</v>
      </c>
      <c r="K2391">
        <f t="shared" ca="1" si="151"/>
        <v>1700</v>
      </c>
      <c r="N2391" t="str">
        <f t="shared" si="148"/>
        <v>Stoke-on-Trent7Falls response and preventionAssistive Technologies and EquipmentAssistive technologies including telecare</v>
      </c>
      <c r="O2391" t="s">
        <v>307</v>
      </c>
      <c r="P2391" t="s">
        <v>1172</v>
      </c>
      <c r="Q2391">
        <v>7</v>
      </c>
      <c r="R2391" t="s">
        <v>6091</v>
      </c>
      <c r="S2391" t="s">
        <v>6582</v>
      </c>
      <c r="T2391" t="s">
        <v>800</v>
      </c>
      <c r="U2391" t="s">
        <v>850</v>
      </c>
      <c r="W2391">
        <v>3300</v>
      </c>
      <c r="X2391">
        <v>3500</v>
      </c>
      <c r="Y2391" t="s">
        <v>802</v>
      </c>
      <c r="Z2391" t="s">
        <v>792</v>
      </c>
      <c r="AB2391" t="s">
        <v>793</v>
      </c>
      <c r="AD2391" t="s">
        <v>794</v>
      </c>
      <c r="AE2391" t="s">
        <v>795</v>
      </c>
      <c r="AF2391" t="s">
        <v>845</v>
      </c>
      <c r="AG2391" t="s">
        <v>861</v>
      </c>
      <c r="AH2391">
        <v>1540000</v>
      </c>
      <c r="AI2391">
        <v>1540000</v>
      </c>
      <c r="AJ2391">
        <v>2.8174338709850928E-2</v>
      </c>
    </row>
    <row r="2392" spans="1:36" x14ac:dyDescent="0.3">
      <c r="A2392">
        <f>COUNTIF($D$2:D2392,D2392)</f>
        <v>6</v>
      </c>
      <c r="B2392" t="str">
        <f t="shared" si="149"/>
        <v>6Tower Hamlets</v>
      </c>
      <c r="C2392" t="s">
        <v>6583</v>
      </c>
      <c r="D2392" t="s">
        <v>327</v>
      </c>
      <c r="E2392">
        <v>20</v>
      </c>
      <c r="F2392" t="s">
        <v>6584</v>
      </c>
      <c r="G2392" t="s">
        <v>834</v>
      </c>
      <c r="H2392" t="s">
        <v>835</v>
      </c>
      <c r="I2392" t="s">
        <v>836</v>
      </c>
      <c r="J2392">
        <f t="shared" ca="1" si="150"/>
        <v>2320693</v>
      </c>
      <c r="K2392">
        <f t="shared" ca="1" si="151"/>
        <v>220</v>
      </c>
      <c r="N2392" t="str">
        <f t="shared" si="148"/>
        <v>Stoke-on-Trent7Falls response and preventionAssistive Technologies and EquipmentAssistive technologies including telecare</v>
      </c>
      <c r="O2392" t="s">
        <v>307</v>
      </c>
      <c r="P2392" t="s">
        <v>1172</v>
      </c>
      <c r="Q2392">
        <v>7</v>
      </c>
      <c r="R2392" t="s">
        <v>6091</v>
      </c>
      <c r="S2392" t="s">
        <v>6585</v>
      </c>
      <c r="T2392" t="s">
        <v>800</v>
      </c>
      <c r="U2392" t="s">
        <v>850</v>
      </c>
      <c r="W2392">
        <v>1500</v>
      </c>
      <c r="X2392">
        <v>1500</v>
      </c>
      <c r="Y2392" t="s">
        <v>802</v>
      </c>
      <c r="Z2392" t="s">
        <v>792</v>
      </c>
      <c r="AB2392" t="s">
        <v>793</v>
      </c>
      <c r="AD2392" t="s">
        <v>794</v>
      </c>
      <c r="AE2392" t="s">
        <v>795</v>
      </c>
      <c r="AF2392" t="s">
        <v>845</v>
      </c>
      <c r="AG2392" t="s">
        <v>861</v>
      </c>
      <c r="AH2392">
        <v>200000</v>
      </c>
      <c r="AI2392">
        <v>200000</v>
      </c>
      <c r="AJ2392">
        <v>3.659005027253367E-3</v>
      </c>
    </row>
    <row r="2393" spans="1:36" x14ac:dyDescent="0.3">
      <c r="A2393">
        <f>COUNTIF($D$2:D2393,D2393)</f>
        <v>1</v>
      </c>
      <c r="B2393" t="str">
        <f t="shared" si="149"/>
        <v>1Trafford</v>
      </c>
      <c r="C2393" t="s">
        <v>6586</v>
      </c>
      <c r="D2393" t="s">
        <v>329</v>
      </c>
      <c r="E2393">
        <v>1</v>
      </c>
      <c r="F2393" t="s">
        <v>891</v>
      </c>
      <c r="G2393" t="s">
        <v>834</v>
      </c>
      <c r="H2393" t="s">
        <v>835</v>
      </c>
      <c r="I2393" t="s">
        <v>836</v>
      </c>
      <c r="J2393">
        <f t="shared" ca="1" si="150"/>
        <v>2469979</v>
      </c>
      <c r="K2393">
        <f t="shared" ca="1" si="151"/>
        <v>420</v>
      </c>
      <c r="N2393" t="str">
        <f t="shared" si="148"/>
        <v>Stoke-on-Trent8Voluntary, Community and Faith sector developmentAssistive Technologies and EquipmentDigital participation services</v>
      </c>
      <c r="O2393" t="s">
        <v>307</v>
      </c>
      <c r="P2393" t="s">
        <v>1172</v>
      </c>
      <c r="Q2393">
        <v>8</v>
      </c>
      <c r="R2393" t="s">
        <v>6094</v>
      </c>
      <c r="S2393" t="s">
        <v>6587</v>
      </c>
      <c r="T2393" t="s">
        <v>800</v>
      </c>
      <c r="U2393" t="s">
        <v>907</v>
      </c>
      <c r="W2393">
        <v>24</v>
      </c>
      <c r="X2393">
        <v>24</v>
      </c>
      <c r="Y2393" t="s">
        <v>802</v>
      </c>
      <c r="Z2393" t="s">
        <v>792</v>
      </c>
      <c r="AB2393" t="s">
        <v>793</v>
      </c>
      <c r="AD2393" t="s">
        <v>794</v>
      </c>
      <c r="AE2393" t="s">
        <v>825</v>
      </c>
      <c r="AF2393" t="s">
        <v>845</v>
      </c>
      <c r="AG2393" t="s">
        <v>861</v>
      </c>
      <c r="AH2393">
        <v>10000</v>
      </c>
      <c r="AI2393">
        <v>10000</v>
      </c>
      <c r="AJ2393">
        <v>1.8295025136266837E-4</v>
      </c>
    </row>
    <row r="2394" spans="1:36" x14ac:dyDescent="0.3">
      <c r="A2394">
        <f>COUNTIF($D$2:D2394,D2394)</f>
        <v>2</v>
      </c>
      <c r="B2394" t="str">
        <f t="shared" si="149"/>
        <v>2Trafford</v>
      </c>
      <c r="C2394" t="s">
        <v>6588</v>
      </c>
      <c r="D2394" t="s">
        <v>329</v>
      </c>
      <c r="E2394">
        <v>2</v>
      </c>
      <c r="F2394" t="s">
        <v>6589</v>
      </c>
      <c r="G2394" t="s">
        <v>800</v>
      </c>
      <c r="H2394" t="s">
        <v>903</v>
      </c>
      <c r="I2394" t="s">
        <v>802</v>
      </c>
      <c r="J2394">
        <f t="shared" ca="1" si="150"/>
        <v>891000</v>
      </c>
      <c r="K2394">
        <f t="shared" ca="1" si="151"/>
        <v>1398</v>
      </c>
      <c r="N2394" t="str">
        <f t="shared" si="148"/>
        <v>Stoke-on-Trent8Voluntary, Community and Faith sector developmentDFG Related SchemesDiscretionary use of DFG</v>
      </c>
      <c r="O2394" t="s">
        <v>307</v>
      </c>
      <c r="P2394" t="s">
        <v>1172</v>
      </c>
      <c r="Q2394">
        <v>8</v>
      </c>
      <c r="R2394" t="s">
        <v>6094</v>
      </c>
      <c r="S2394" t="s">
        <v>6590</v>
      </c>
      <c r="T2394" t="s">
        <v>834</v>
      </c>
      <c r="U2394" t="s">
        <v>1293</v>
      </c>
      <c r="W2394">
        <v>135</v>
      </c>
      <c r="X2394">
        <v>135</v>
      </c>
      <c r="Y2394" t="s">
        <v>836</v>
      </c>
      <c r="Z2394" t="s">
        <v>792</v>
      </c>
      <c r="AB2394" t="s">
        <v>793</v>
      </c>
      <c r="AD2394" t="s">
        <v>794</v>
      </c>
      <c r="AE2394" t="s">
        <v>825</v>
      </c>
      <c r="AF2394" t="s">
        <v>840</v>
      </c>
      <c r="AG2394" t="s">
        <v>797</v>
      </c>
      <c r="AH2394">
        <v>1241000</v>
      </c>
      <c r="AI2394">
        <v>1241000</v>
      </c>
      <c r="AJ2394">
        <v>2.2704126194107145E-2</v>
      </c>
    </row>
    <row r="2395" spans="1:36" x14ac:dyDescent="0.3">
      <c r="A2395">
        <f>COUNTIF($D$2:D2395,D2395)</f>
        <v>3</v>
      </c>
      <c r="B2395" t="str">
        <f t="shared" si="149"/>
        <v>3Trafford</v>
      </c>
      <c r="C2395" t="s">
        <v>6591</v>
      </c>
      <c r="D2395" t="s">
        <v>329</v>
      </c>
      <c r="E2395">
        <v>5</v>
      </c>
      <c r="F2395" t="s">
        <v>6592</v>
      </c>
      <c r="G2395" t="s">
        <v>806</v>
      </c>
      <c r="H2395" t="s">
        <v>807</v>
      </c>
      <c r="I2395" t="s">
        <v>808</v>
      </c>
      <c r="J2395">
        <f t="shared" ca="1" si="150"/>
        <v>3194552</v>
      </c>
      <c r="K2395">
        <f t="shared" ca="1" si="151"/>
        <v>76</v>
      </c>
      <c r="N2395" t="str">
        <f t="shared" si="148"/>
        <v>Stoke-on-Trent8Voluntary, Community and Faith sector developmentDFG Related SchemesDiscretionary use of DFG</v>
      </c>
      <c r="O2395" t="s">
        <v>307</v>
      </c>
      <c r="P2395" t="s">
        <v>1172</v>
      </c>
      <c r="Q2395">
        <v>8</v>
      </c>
      <c r="R2395" t="s">
        <v>6094</v>
      </c>
      <c r="S2395" t="s">
        <v>6593</v>
      </c>
      <c r="T2395" t="s">
        <v>834</v>
      </c>
      <c r="U2395" t="s">
        <v>1293</v>
      </c>
      <c r="W2395">
        <v>4328</v>
      </c>
      <c r="X2395">
        <v>4328</v>
      </c>
      <c r="Y2395" t="s">
        <v>836</v>
      </c>
      <c r="Z2395" t="s">
        <v>792</v>
      </c>
      <c r="AB2395" t="s">
        <v>793</v>
      </c>
      <c r="AD2395" t="s">
        <v>794</v>
      </c>
      <c r="AE2395" t="s">
        <v>825</v>
      </c>
      <c r="AF2395" t="s">
        <v>840</v>
      </c>
      <c r="AG2395" t="s">
        <v>797</v>
      </c>
      <c r="AH2395">
        <v>50000</v>
      </c>
      <c r="AI2395">
        <v>50000</v>
      </c>
      <c r="AJ2395">
        <v>9.1475125681334175E-4</v>
      </c>
    </row>
    <row r="2396" spans="1:36" x14ac:dyDescent="0.3">
      <c r="A2396">
        <f>COUNTIF($D$2:D2396,D2396)</f>
        <v>4</v>
      </c>
      <c r="B2396" t="str">
        <f t="shared" si="149"/>
        <v>4Trafford</v>
      </c>
      <c r="C2396" t="s">
        <v>6594</v>
      </c>
      <c r="D2396" t="s">
        <v>329</v>
      </c>
      <c r="E2396">
        <v>6</v>
      </c>
      <c r="F2396" t="s">
        <v>6592</v>
      </c>
      <c r="G2396" t="s">
        <v>806</v>
      </c>
      <c r="H2396" t="s">
        <v>807</v>
      </c>
      <c r="I2396" t="s">
        <v>808</v>
      </c>
      <c r="J2396">
        <f t="shared" ca="1" si="150"/>
        <v>1570101</v>
      </c>
      <c r="K2396">
        <f t="shared" ca="1" si="151"/>
        <v>37</v>
      </c>
      <c r="N2396" t="str">
        <f t="shared" si="148"/>
        <v xml:space="preserve">Suffolk2I&amp;E Home FirstHome-based intermediate care servicesReablement at home (to support discharge) </v>
      </c>
      <c r="O2396" t="s">
        <v>309</v>
      </c>
      <c r="P2396" t="s">
        <v>1056</v>
      </c>
      <c r="Q2396">
        <v>2</v>
      </c>
      <c r="R2396" t="s">
        <v>6099</v>
      </c>
      <c r="S2396" t="s">
        <v>6595</v>
      </c>
      <c r="T2396" t="s">
        <v>787</v>
      </c>
      <c r="U2396" t="s">
        <v>788</v>
      </c>
      <c r="W2396">
        <v>1422</v>
      </c>
      <c r="X2396">
        <v>1422</v>
      </c>
      <c r="Y2396" t="s">
        <v>789</v>
      </c>
      <c r="Z2396" t="s">
        <v>792</v>
      </c>
      <c r="AB2396" t="s">
        <v>793</v>
      </c>
      <c r="AD2396" t="s">
        <v>794</v>
      </c>
      <c r="AE2396" t="s">
        <v>795</v>
      </c>
      <c r="AF2396" t="s">
        <v>796</v>
      </c>
      <c r="AG2396" t="s">
        <v>797</v>
      </c>
      <c r="AH2396">
        <v>4953958</v>
      </c>
      <c r="AI2396">
        <v>4953958</v>
      </c>
      <c r="AJ2396">
        <v>0.49025702392660608</v>
      </c>
    </row>
    <row r="2397" spans="1:36" x14ac:dyDescent="0.3">
      <c r="A2397">
        <f>COUNTIF($D$2:D2397,D2397)</f>
        <v>5</v>
      </c>
      <c r="B2397" t="str">
        <f t="shared" si="149"/>
        <v>5Trafford</v>
      </c>
      <c r="C2397" t="s">
        <v>6596</v>
      </c>
      <c r="D2397" t="s">
        <v>329</v>
      </c>
      <c r="E2397">
        <v>8</v>
      </c>
      <c r="F2397" t="s">
        <v>6597</v>
      </c>
      <c r="G2397" t="s">
        <v>811</v>
      </c>
      <c r="H2397" t="s">
        <v>830</v>
      </c>
      <c r="I2397" t="s">
        <v>813</v>
      </c>
      <c r="J2397">
        <f t="shared" ca="1" si="150"/>
        <v>440769</v>
      </c>
      <c r="K2397">
        <f t="shared" ca="1" si="151"/>
        <v>155</v>
      </c>
      <c r="N2397" t="str">
        <f t="shared" si="148"/>
        <v>Suffolk3I&amp;E Residential CareResidential PlacementsCare home</v>
      </c>
      <c r="O2397" t="s">
        <v>309</v>
      </c>
      <c r="P2397" t="s">
        <v>1056</v>
      </c>
      <c r="Q2397">
        <v>3</v>
      </c>
      <c r="R2397" t="s">
        <v>6101</v>
      </c>
      <c r="S2397" t="s">
        <v>6598</v>
      </c>
      <c r="T2397" t="s">
        <v>806</v>
      </c>
      <c r="U2397" t="s">
        <v>807</v>
      </c>
      <c r="W2397">
        <v>73</v>
      </c>
      <c r="X2397">
        <v>73</v>
      </c>
      <c r="Y2397" t="s">
        <v>808</v>
      </c>
      <c r="Z2397" t="s">
        <v>792</v>
      </c>
      <c r="AB2397" t="s">
        <v>793</v>
      </c>
      <c r="AD2397" t="s">
        <v>794</v>
      </c>
      <c r="AE2397" t="s">
        <v>804</v>
      </c>
      <c r="AF2397" t="s">
        <v>796</v>
      </c>
      <c r="AG2397" t="s">
        <v>797</v>
      </c>
      <c r="AH2397">
        <v>3415224</v>
      </c>
      <c r="AI2397">
        <v>3415224</v>
      </c>
      <c r="AJ2397">
        <v>2.8959275956709749E-2</v>
      </c>
    </row>
    <row r="2398" spans="1:36" x14ac:dyDescent="0.3">
      <c r="A2398">
        <f>COUNTIF($D$2:D2398,D2398)</f>
        <v>6</v>
      </c>
      <c r="B2398" t="str">
        <f t="shared" si="149"/>
        <v>6Trafford</v>
      </c>
      <c r="C2398" t="s">
        <v>6599</v>
      </c>
      <c r="D2398" t="s">
        <v>329</v>
      </c>
      <c r="E2398">
        <v>14</v>
      </c>
      <c r="F2398" t="s">
        <v>6592</v>
      </c>
      <c r="G2398" t="s">
        <v>842</v>
      </c>
      <c r="H2398" t="s">
        <v>843</v>
      </c>
      <c r="I2398" t="s">
        <v>844</v>
      </c>
      <c r="J2398">
        <f t="shared" ca="1" si="150"/>
        <v>4487913</v>
      </c>
      <c r="K2398">
        <f t="shared" ca="1" si="151"/>
        <v>228276</v>
      </c>
      <c r="N2398" t="str">
        <f t="shared" si="148"/>
        <v>Suffolk4I&amp;E Support for Carers Carers ServicesCarer advice and support related to Care Act duties</v>
      </c>
      <c r="O2398" t="s">
        <v>309</v>
      </c>
      <c r="P2398" t="s">
        <v>1056</v>
      </c>
      <c r="Q2398">
        <v>4</v>
      </c>
      <c r="R2398" t="s">
        <v>6104</v>
      </c>
      <c r="S2398" t="s">
        <v>6600</v>
      </c>
      <c r="T2398" t="s">
        <v>811</v>
      </c>
      <c r="U2398" t="s">
        <v>895</v>
      </c>
      <c r="W2398">
        <v>844</v>
      </c>
      <c r="X2398">
        <v>844</v>
      </c>
      <c r="Y2398" t="s">
        <v>813</v>
      </c>
      <c r="Z2398" t="s">
        <v>792</v>
      </c>
      <c r="AB2398" t="s">
        <v>793</v>
      </c>
      <c r="AD2398" t="s">
        <v>794</v>
      </c>
      <c r="AE2398" t="s">
        <v>825</v>
      </c>
      <c r="AF2398" t="s">
        <v>796</v>
      </c>
      <c r="AG2398" t="s">
        <v>797</v>
      </c>
      <c r="AH2398">
        <v>118419</v>
      </c>
      <c r="AI2398">
        <v>118419</v>
      </c>
      <c r="AJ2398">
        <v>4.8431247047660726E-2</v>
      </c>
    </row>
    <row r="2399" spans="1:36" x14ac:dyDescent="0.3">
      <c r="A2399">
        <f>COUNTIF($D$2:D2399,D2399)</f>
        <v>7</v>
      </c>
      <c r="B2399" t="str">
        <f t="shared" si="149"/>
        <v>7Trafford</v>
      </c>
      <c r="C2399" t="s">
        <v>6601</v>
      </c>
      <c r="D2399" t="s">
        <v>329</v>
      </c>
      <c r="E2399">
        <v>15</v>
      </c>
      <c r="F2399" t="s">
        <v>6592</v>
      </c>
      <c r="G2399" t="s">
        <v>842</v>
      </c>
      <c r="H2399" t="s">
        <v>843</v>
      </c>
      <c r="I2399" t="s">
        <v>844</v>
      </c>
      <c r="J2399">
        <f t="shared" ca="1" si="150"/>
        <v>1662058</v>
      </c>
      <c r="K2399">
        <f t="shared" ca="1" si="151"/>
        <v>84540</v>
      </c>
      <c r="N2399" t="str">
        <f t="shared" si="148"/>
        <v>Suffolk5I&amp;E Care Act CommitmentsCarers ServicesRespite services</v>
      </c>
      <c r="O2399" t="s">
        <v>309</v>
      </c>
      <c r="P2399" t="s">
        <v>1056</v>
      </c>
      <c r="Q2399">
        <v>5</v>
      </c>
      <c r="R2399" t="s">
        <v>6107</v>
      </c>
      <c r="S2399" t="s">
        <v>6602</v>
      </c>
      <c r="T2399" t="s">
        <v>811</v>
      </c>
      <c r="U2399" t="s">
        <v>830</v>
      </c>
      <c r="W2399">
        <v>2128</v>
      </c>
      <c r="X2399">
        <v>2128</v>
      </c>
      <c r="Y2399" t="s">
        <v>813</v>
      </c>
      <c r="Z2399" t="s">
        <v>792</v>
      </c>
      <c r="AB2399" t="s">
        <v>793</v>
      </c>
      <c r="AD2399" t="s">
        <v>794</v>
      </c>
      <c r="AE2399" t="s">
        <v>804</v>
      </c>
      <c r="AF2399" t="s">
        <v>796</v>
      </c>
      <c r="AG2399" t="s">
        <v>797</v>
      </c>
      <c r="AH2399">
        <v>1064032</v>
      </c>
      <c r="AI2399">
        <v>1064032</v>
      </c>
      <c r="AJ2399">
        <v>0.43517000361949126</v>
      </c>
    </row>
    <row r="2400" spans="1:36" x14ac:dyDescent="0.3">
      <c r="A2400">
        <f>COUNTIF($D$2:D2400,D2400)</f>
        <v>8</v>
      </c>
      <c r="B2400" t="str">
        <f t="shared" si="149"/>
        <v>8Trafford</v>
      </c>
      <c r="C2400" t="s">
        <v>6603</v>
      </c>
      <c r="D2400" t="s">
        <v>329</v>
      </c>
      <c r="E2400">
        <v>19</v>
      </c>
      <c r="F2400" t="s">
        <v>6604</v>
      </c>
      <c r="G2400" t="s">
        <v>877</v>
      </c>
      <c r="H2400" t="s">
        <v>1015</v>
      </c>
      <c r="I2400" t="s">
        <v>879</v>
      </c>
      <c r="J2400">
        <f t="shared" ca="1" si="150"/>
        <v>3489000</v>
      </c>
      <c r="K2400">
        <f t="shared" ca="1" si="151"/>
        <v>432</v>
      </c>
      <c r="N2400" t="str">
        <f t="shared" si="148"/>
        <v>Suffolk7I&amp;E Demand - home careHome Care or Domiciliary CareDomiciliary care packages</v>
      </c>
      <c r="O2400" t="s">
        <v>309</v>
      </c>
      <c r="P2400" t="s">
        <v>1056</v>
      </c>
      <c r="Q2400">
        <v>7</v>
      </c>
      <c r="R2400" t="s">
        <v>6110</v>
      </c>
      <c r="S2400" t="s">
        <v>6605</v>
      </c>
      <c r="T2400" t="s">
        <v>842</v>
      </c>
      <c r="U2400" t="s">
        <v>843</v>
      </c>
      <c r="W2400">
        <v>74961</v>
      </c>
      <c r="X2400">
        <v>10827</v>
      </c>
      <c r="Y2400" t="s">
        <v>844</v>
      </c>
      <c r="Z2400" t="s">
        <v>792</v>
      </c>
      <c r="AB2400" t="s">
        <v>793</v>
      </c>
      <c r="AD2400" t="s">
        <v>794</v>
      </c>
      <c r="AE2400" t="s">
        <v>804</v>
      </c>
      <c r="AF2400" t="s">
        <v>796</v>
      </c>
      <c r="AG2400" t="s">
        <v>797</v>
      </c>
      <c r="AH2400">
        <v>1691866</v>
      </c>
      <c r="AI2400">
        <v>2438172</v>
      </c>
      <c r="AJ2400">
        <v>3.5787846381659466E-2</v>
      </c>
    </row>
    <row r="2401" spans="1:36" x14ac:dyDescent="0.3">
      <c r="A2401">
        <f>COUNTIF($D$2:D2401,D2401)</f>
        <v>9</v>
      </c>
      <c r="B2401" t="str">
        <f t="shared" si="149"/>
        <v>9Trafford</v>
      </c>
      <c r="C2401" t="s">
        <v>6606</v>
      </c>
      <c r="D2401" t="s">
        <v>329</v>
      </c>
      <c r="E2401">
        <v>22</v>
      </c>
      <c r="F2401" t="s">
        <v>6589</v>
      </c>
      <c r="G2401" t="s">
        <v>800</v>
      </c>
      <c r="H2401" t="s">
        <v>903</v>
      </c>
      <c r="I2401" t="s">
        <v>802</v>
      </c>
      <c r="J2401">
        <f t="shared" ca="1" si="150"/>
        <v>987000</v>
      </c>
      <c r="K2401">
        <f t="shared" ca="1" si="151"/>
        <v>3050</v>
      </c>
      <c r="N2401" t="str">
        <f t="shared" si="148"/>
        <v>Suffolk9West Home FirstHome-based intermediate care servicesRehabilitation at home (accepting step up and step down users)</v>
      </c>
      <c r="O2401" t="s">
        <v>309</v>
      </c>
      <c r="P2401" t="s">
        <v>1056</v>
      </c>
      <c r="Q2401">
        <v>9</v>
      </c>
      <c r="R2401" t="s">
        <v>6113</v>
      </c>
      <c r="S2401" t="s">
        <v>6595</v>
      </c>
      <c r="T2401" t="s">
        <v>787</v>
      </c>
      <c r="U2401" t="s">
        <v>1688</v>
      </c>
      <c r="W2401">
        <v>713</v>
      </c>
      <c r="X2401">
        <v>713</v>
      </c>
      <c r="Y2401" t="s">
        <v>789</v>
      </c>
      <c r="Z2401" t="s">
        <v>792</v>
      </c>
      <c r="AB2401" t="s">
        <v>793</v>
      </c>
      <c r="AD2401" t="s">
        <v>794</v>
      </c>
      <c r="AE2401" t="s">
        <v>795</v>
      </c>
      <c r="AF2401" t="s">
        <v>796</v>
      </c>
      <c r="AG2401" t="s">
        <v>797</v>
      </c>
      <c r="AH2401">
        <v>2482042</v>
      </c>
      <c r="AI2401">
        <v>2482042</v>
      </c>
      <c r="AJ2401">
        <v>0.24562956007718295</v>
      </c>
    </row>
    <row r="2402" spans="1:36" x14ac:dyDescent="0.3">
      <c r="A2402">
        <f>COUNTIF($D$2:D2402,D2402)</f>
        <v>10</v>
      </c>
      <c r="B2402" t="str">
        <f t="shared" si="149"/>
        <v>10Trafford</v>
      </c>
      <c r="C2402" t="s">
        <v>6607</v>
      </c>
      <c r="D2402" t="s">
        <v>329</v>
      </c>
      <c r="E2402">
        <v>29</v>
      </c>
      <c r="F2402" t="s">
        <v>1616</v>
      </c>
      <c r="G2402" t="s">
        <v>806</v>
      </c>
      <c r="H2402" t="s">
        <v>955</v>
      </c>
      <c r="I2402" t="s">
        <v>808</v>
      </c>
      <c r="J2402">
        <f t="shared" ca="1" si="150"/>
        <v>153050</v>
      </c>
      <c r="K2402">
        <f t="shared" ca="1" si="151"/>
        <v>4</v>
      </c>
      <c r="N2402" t="str">
        <f t="shared" si="148"/>
        <v>Suffolk10West Residential CareResidential PlacementsCare home</v>
      </c>
      <c r="O2402" t="s">
        <v>309</v>
      </c>
      <c r="P2402" t="s">
        <v>1056</v>
      </c>
      <c r="Q2402">
        <v>10</v>
      </c>
      <c r="R2402" t="s">
        <v>6116</v>
      </c>
      <c r="S2402" t="s">
        <v>6598</v>
      </c>
      <c r="T2402" t="s">
        <v>806</v>
      </c>
      <c r="U2402" t="s">
        <v>807</v>
      </c>
      <c r="W2402">
        <v>40</v>
      </c>
      <c r="X2402">
        <v>40</v>
      </c>
      <c r="Y2402" t="s">
        <v>808</v>
      </c>
      <c r="Z2402" t="s">
        <v>792</v>
      </c>
      <c r="AB2402" t="s">
        <v>793</v>
      </c>
      <c r="AD2402" t="s">
        <v>794</v>
      </c>
      <c r="AE2402" t="s">
        <v>804</v>
      </c>
      <c r="AF2402" t="s">
        <v>796</v>
      </c>
      <c r="AG2402" t="s">
        <v>797</v>
      </c>
      <c r="AH2402">
        <v>1874254</v>
      </c>
      <c r="AI2402">
        <v>1874254</v>
      </c>
      <c r="AJ2402">
        <v>1.5892673159642552E-2</v>
      </c>
    </row>
    <row r="2403" spans="1:36" x14ac:dyDescent="0.3">
      <c r="A2403">
        <f>COUNTIF($D$2:D2403,D2403)</f>
        <v>11</v>
      </c>
      <c r="B2403" t="str">
        <f t="shared" si="149"/>
        <v>11Trafford</v>
      </c>
      <c r="C2403" t="s">
        <v>6608</v>
      </c>
      <c r="D2403" t="s">
        <v>329</v>
      </c>
      <c r="E2403">
        <v>30</v>
      </c>
      <c r="F2403" t="s">
        <v>6609</v>
      </c>
      <c r="G2403" t="s">
        <v>842</v>
      </c>
      <c r="H2403" t="s">
        <v>856</v>
      </c>
      <c r="I2403" t="s">
        <v>844</v>
      </c>
      <c r="J2403">
        <f t="shared" ca="1" si="150"/>
        <v>1000000</v>
      </c>
      <c r="K2403">
        <f t="shared" ca="1" si="151"/>
        <v>50864</v>
      </c>
      <c r="N2403" t="str">
        <f t="shared" si="148"/>
        <v>Suffolk11West Support for CarersCarers ServicesCarer advice and support related to Care Act duties</v>
      </c>
      <c r="O2403" t="s">
        <v>309</v>
      </c>
      <c r="P2403" t="s">
        <v>1056</v>
      </c>
      <c r="Q2403">
        <v>11</v>
      </c>
      <c r="R2403" t="s">
        <v>6119</v>
      </c>
      <c r="S2403" t="s">
        <v>6600</v>
      </c>
      <c r="T2403" t="s">
        <v>811</v>
      </c>
      <c r="U2403" t="s">
        <v>895</v>
      </c>
      <c r="W2403">
        <v>518</v>
      </c>
      <c r="X2403">
        <v>518</v>
      </c>
      <c r="Y2403" t="s">
        <v>813</v>
      </c>
      <c r="Z2403" t="s">
        <v>792</v>
      </c>
      <c r="AB2403" t="s">
        <v>793</v>
      </c>
      <c r="AD2403" t="s">
        <v>794</v>
      </c>
      <c r="AE2403" t="s">
        <v>825</v>
      </c>
      <c r="AF2403" t="s">
        <v>796</v>
      </c>
      <c r="AG2403" t="s">
        <v>797</v>
      </c>
      <c r="AH2403">
        <v>72718</v>
      </c>
      <c r="AI2403">
        <v>72718</v>
      </c>
      <c r="AJ2403">
        <v>2.9740357736611461E-2</v>
      </c>
    </row>
    <row r="2404" spans="1:36" x14ac:dyDescent="0.3">
      <c r="A2404">
        <f>COUNTIF($D$2:D2404,D2404)</f>
        <v>12</v>
      </c>
      <c r="B2404" t="str">
        <f t="shared" si="149"/>
        <v>12Trafford</v>
      </c>
      <c r="C2404" t="s">
        <v>6610</v>
      </c>
      <c r="D2404" t="s">
        <v>329</v>
      </c>
      <c r="E2404">
        <v>31</v>
      </c>
      <c r="F2404" t="s">
        <v>6611</v>
      </c>
      <c r="G2404" t="s">
        <v>806</v>
      </c>
      <c r="H2404" t="s">
        <v>955</v>
      </c>
      <c r="I2404" t="s">
        <v>808</v>
      </c>
      <c r="J2404">
        <f t="shared" ca="1" si="150"/>
        <v>330000</v>
      </c>
      <c r="K2404">
        <f t="shared" ca="1" si="151"/>
        <v>37</v>
      </c>
      <c r="N2404" t="str">
        <f t="shared" si="148"/>
        <v>Suffolk12West Care Act CommitmentsCarers ServicesRespite services</v>
      </c>
      <c r="O2404" t="s">
        <v>309</v>
      </c>
      <c r="P2404" t="s">
        <v>1056</v>
      </c>
      <c r="Q2404">
        <v>12</v>
      </c>
      <c r="R2404" t="s">
        <v>6122</v>
      </c>
      <c r="S2404" t="s">
        <v>6602</v>
      </c>
      <c r="T2404" t="s">
        <v>811</v>
      </c>
      <c r="U2404" t="s">
        <v>830</v>
      </c>
      <c r="W2404">
        <v>1191</v>
      </c>
      <c r="X2404">
        <v>1191</v>
      </c>
      <c r="Y2404" t="s">
        <v>813</v>
      </c>
      <c r="Z2404" t="s">
        <v>792</v>
      </c>
      <c r="AB2404" t="s">
        <v>793</v>
      </c>
      <c r="AD2404" t="s">
        <v>794</v>
      </c>
      <c r="AE2404" t="s">
        <v>825</v>
      </c>
      <c r="AF2404" t="s">
        <v>796</v>
      </c>
      <c r="AG2404" t="s">
        <v>797</v>
      </c>
      <c r="AH2404">
        <v>595681</v>
      </c>
      <c r="AI2404">
        <v>595681</v>
      </c>
      <c r="AJ2404">
        <v>0.24362284492013603</v>
      </c>
    </row>
    <row r="2405" spans="1:36" x14ac:dyDescent="0.3">
      <c r="A2405">
        <f>COUNTIF($D$2:D2405,D2405)</f>
        <v>13</v>
      </c>
      <c r="B2405" t="str">
        <f t="shared" si="149"/>
        <v>13Trafford</v>
      </c>
      <c r="C2405" t="s">
        <v>6612</v>
      </c>
      <c r="D2405" t="s">
        <v>329</v>
      </c>
      <c r="E2405">
        <v>32</v>
      </c>
      <c r="F2405" t="s">
        <v>5705</v>
      </c>
      <c r="G2405" t="s">
        <v>806</v>
      </c>
      <c r="H2405" t="s">
        <v>812</v>
      </c>
      <c r="I2405" t="s">
        <v>808</v>
      </c>
      <c r="J2405">
        <f t="shared" ca="1" si="150"/>
        <v>420000</v>
      </c>
      <c r="K2405">
        <f t="shared" ca="1" si="151"/>
        <v>75</v>
      </c>
      <c r="N2405" t="str">
        <f t="shared" si="148"/>
        <v>Suffolk13West Demand - home careHome Care or Domiciliary CareDomiciliary care to support hospital discharge (Discharge to Assess pathway 1)</v>
      </c>
      <c r="O2405" t="s">
        <v>309</v>
      </c>
      <c r="P2405" t="s">
        <v>1056</v>
      </c>
      <c r="Q2405">
        <v>13</v>
      </c>
      <c r="R2405" t="s">
        <v>6125</v>
      </c>
      <c r="S2405" t="s">
        <v>6613</v>
      </c>
      <c r="T2405" t="s">
        <v>842</v>
      </c>
      <c r="U2405" t="s">
        <v>856</v>
      </c>
      <c r="W2405">
        <v>39761</v>
      </c>
      <c r="X2405">
        <v>56923</v>
      </c>
      <c r="Y2405" t="s">
        <v>844</v>
      </c>
      <c r="Z2405" t="s">
        <v>792</v>
      </c>
      <c r="AB2405" t="s">
        <v>793</v>
      </c>
      <c r="AD2405" t="s">
        <v>794</v>
      </c>
      <c r="AE2405" t="s">
        <v>804</v>
      </c>
      <c r="AF2405" t="s">
        <v>796</v>
      </c>
      <c r="AG2405" t="s">
        <v>797</v>
      </c>
      <c r="AH2405">
        <v>897414</v>
      </c>
      <c r="AI2405">
        <v>1284741</v>
      </c>
      <c r="AJ2405">
        <v>1.8982894846725773E-2</v>
      </c>
    </row>
    <row r="2406" spans="1:36" x14ac:dyDescent="0.3">
      <c r="A2406">
        <f>COUNTIF($D$2:D2406,D2406)</f>
        <v>14</v>
      </c>
      <c r="B2406" t="str">
        <f t="shared" si="149"/>
        <v>14Trafford</v>
      </c>
      <c r="C2406" t="s">
        <v>6614</v>
      </c>
      <c r="D2406" t="s">
        <v>329</v>
      </c>
      <c r="E2406">
        <v>33</v>
      </c>
      <c r="F2406" t="s">
        <v>6615</v>
      </c>
      <c r="G2406" t="s">
        <v>806</v>
      </c>
      <c r="H2406" t="s">
        <v>812</v>
      </c>
      <c r="I2406" t="s">
        <v>808</v>
      </c>
      <c r="J2406">
        <f t="shared" ca="1" si="150"/>
        <v>100000</v>
      </c>
      <c r="K2406">
        <f t="shared" ca="1" si="151"/>
        <v>75</v>
      </c>
      <c r="N2406" t="str">
        <f t="shared" si="148"/>
        <v>Suffolk14N&amp;W Care Act CommitmentsCarers ServicesRespite services</v>
      </c>
      <c r="O2406" t="s">
        <v>309</v>
      </c>
      <c r="P2406" t="s">
        <v>1056</v>
      </c>
      <c r="Q2406">
        <v>14</v>
      </c>
      <c r="R2406" t="s">
        <v>6127</v>
      </c>
      <c r="S2406" t="s">
        <v>6602</v>
      </c>
      <c r="T2406" t="s">
        <v>811</v>
      </c>
      <c r="U2406" t="s">
        <v>830</v>
      </c>
      <c r="W2406">
        <v>742</v>
      </c>
      <c r="X2406">
        <v>742</v>
      </c>
      <c r="Y2406" t="s">
        <v>813</v>
      </c>
      <c r="Z2406" t="s">
        <v>792</v>
      </c>
      <c r="AB2406" t="s">
        <v>793</v>
      </c>
      <c r="AD2406" t="s">
        <v>794</v>
      </c>
      <c r="AE2406" t="s">
        <v>804</v>
      </c>
      <c r="AF2406" t="s">
        <v>796</v>
      </c>
      <c r="AG2406" t="s">
        <v>797</v>
      </c>
      <c r="AH2406">
        <v>371248</v>
      </c>
      <c r="AI2406">
        <v>371248</v>
      </c>
      <c r="AJ2406">
        <v>0.15183377332987061</v>
      </c>
    </row>
    <row r="2407" spans="1:36" x14ac:dyDescent="0.3">
      <c r="A2407">
        <f>COUNTIF($D$2:D2407,D2407)</f>
        <v>15</v>
      </c>
      <c r="B2407" t="str">
        <f t="shared" si="149"/>
        <v>15Trafford</v>
      </c>
      <c r="C2407" t="s">
        <v>6616</v>
      </c>
      <c r="D2407" t="s">
        <v>329</v>
      </c>
      <c r="E2407">
        <v>34</v>
      </c>
      <c r="F2407" t="s">
        <v>1616</v>
      </c>
      <c r="G2407" t="s">
        <v>806</v>
      </c>
      <c r="H2407" t="s">
        <v>955</v>
      </c>
      <c r="I2407" t="s">
        <v>808</v>
      </c>
      <c r="J2407">
        <f t="shared" ca="1" si="150"/>
        <v>194156</v>
      </c>
      <c r="K2407">
        <f t="shared" ca="1" si="151"/>
        <v>4</v>
      </c>
      <c r="N2407" t="str">
        <f t="shared" si="148"/>
        <v>Suffolk15N&amp;W Care at HomeHome Care or Domiciliary CareDomiciliary care packages</v>
      </c>
      <c r="O2407" t="s">
        <v>309</v>
      </c>
      <c r="P2407" t="s">
        <v>1056</v>
      </c>
      <c r="Q2407">
        <v>15</v>
      </c>
      <c r="R2407" t="s">
        <v>6130</v>
      </c>
      <c r="S2407" t="s">
        <v>6613</v>
      </c>
      <c r="T2407" t="s">
        <v>842</v>
      </c>
      <c r="U2407" t="s">
        <v>843</v>
      </c>
      <c r="W2407">
        <v>89815</v>
      </c>
      <c r="X2407">
        <v>97932</v>
      </c>
      <c r="Y2407" t="s">
        <v>844</v>
      </c>
      <c r="Z2407" t="s">
        <v>792</v>
      </c>
      <c r="AB2407" t="s">
        <v>793</v>
      </c>
      <c r="AD2407" t="s">
        <v>794</v>
      </c>
      <c r="AE2407" t="s">
        <v>804</v>
      </c>
      <c r="AF2407" t="s">
        <v>796</v>
      </c>
      <c r="AG2407" t="s">
        <v>797</v>
      </c>
      <c r="AH2407">
        <v>2027123</v>
      </c>
      <c r="AI2407">
        <v>2210326</v>
      </c>
      <c r="AJ2407">
        <v>4.2879499038770613E-2</v>
      </c>
    </row>
    <row r="2408" spans="1:36" x14ac:dyDescent="0.3">
      <c r="A2408">
        <f>COUNTIF($D$2:D2408,D2408)</f>
        <v>16</v>
      </c>
      <c r="B2408" t="str">
        <f t="shared" si="149"/>
        <v>16Trafford</v>
      </c>
      <c r="C2408" t="s">
        <v>6617</v>
      </c>
      <c r="D2408" t="s">
        <v>329</v>
      </c>
      <c r="E2408">
        <v>35</v>
      </c>
      <c r="F2408" t="s">
        <v>1616</v>
      </c>
      <c r="G2408" t="s">
        <v>806</v>
      </c>
      <c r="H2408" t="s">
        <v>955</v>
      </c>
      <c r="I2408" t="s">
        <v>808</v>
      </c>
      <c r="J2408">
        <f t="shared" ca="1" si="150"/>
        <v>1289000</v>
      </c>
      <c r="K2408">
        <f t="shared" ca="1" si="151"/>
        <v>30</v>
      </c>
      <c r="N2408" t="str">
        <f t="shared" si="148"/>
        <v>Suffolk16N&amp;W Residential CareResidential PlacementsCare home</v>
      </c>
      <c r="O2408" t="s">
        <v>309</v>
      </c>
      <c r="P2408" t="s">
        <v>1056</v>
      </c>
      <c r="Q2408">
        <v>16</v>
      </c>
      <c r="R2408" t="s">
        <v>6133</v>
      </c>
      <c r="S2408" t="s">
        <v>6618</v>
      </c>
      <c r="T2408" t="s">
        <v>806</v>
      </c>
      <c r="U2408" t="s">
        <v>807</v>
      </c>
      <c r="W2408">
        <v>3</v>
      </c>
      <c r="X2408">
        <v>3</v>
      </c>
      <c r="Y2408" t="s">
        <v>808</v>
      </c>
      <c r="Z2408" t="s">
        <v>792</v>
      </c>
      <c r="AB2408" t="s">
        <v>793</v>
      </c>
      <c r="AD2408" t="s">
        <v>794</v>
      </c>
      <c r="AE2408" t="s">
        <v>804</v>
      </c>
      <c r="AF2408" t="s">
        <v>796</v>
      </c>
      <c r="AG2408" t="s">
        <v>797</v>
      </c>
      <c r="AH2408">
        <v>124689</v>
      </c>
      <c r="AI2408">
        <v>124689</v>
      </c>
      <c r="AJ2408">
        <v>1.0572961421465128E-3</v>
      </c>
    </row>
    <row r="2409" spans="1:36" x14ac:dyDescent="0.3">
      <c r="A2409">
        <f>COUNTIF($D$2:D2409,D2409)</f>
        <v>17</v>
      </c>
      <c r="B2409" t="str">
        <f t="shared" si="149"/>
        <v>17Trafford</v>
      </c>
      <c r="C2409" t="s">
        <v>6619</v>
      </c>
      <c r="D2409" t="s">
        <v>329</v>
      </c>
      <c r="E2409">
        <v>41</v>
      </c>
      <c r="F2409" t="s">
        <v>6620</v>
      </c>
      <c r="G2409" t="s">
        <v>842</v>
      </c>
      <c r="H2409" t="s">
        <v>1594</v>
      </c>
      <c r="I2409" t="s">
        <v>844</v>
      </c>
      <c r="J2409">
        <f t="shared" ca="1" si="150"/>
        <v>110000</v>
      </c>
      <c r="K2409">
        <f t="shared" ca="1" si="151"/>
        <v>26000</v>
      </c>
      <c r="N2409" t="str">
        <f t="shared" si="148"/>
        <v>Suffolk18N&amp;W Home FirstHome-based intermediate care servicesReablement at home (accepting step up and step down users)</v>
      </c>
      <c r="O2409" t="s">
        <v>309</v>
      </c>
      <c r="P2409" t="s">
        <v>1056</v>
      </c>
      <c r="Q2409">
        <v>18</v>
      </c>
      <c r="R2409" t="s">
        <v>6136</v>
      </c>
      <c r="S2409" t="s">
        <v>6595</v>
      </c>
      <c r="T2409" t="s">
        <v>787</v>
      </c>
      <c r="U2409" t="s">
        <v>930</v>
      </c>
      <c r="W2409">
        <v>126</v>
      </c>
      <c r="X2409">
        <v>126</v>
      </c>
      <c r="Y2409" t="s">
        <v>789</v>
      </c>
      <c r="Z2409" t="s">
        <v>792</v>
      </c>
      <c r="AB2409" t="s">
        <v>793</v>
      </c>
      <c r="AD2409" t="s">
        <v>794</v>
      </c>
      <c r="AE2409" t="s">
        <v>795</v>
      </c>
      <c r="AF2409" t="s">
        <v>796</v>
      </c>
      <c r="AG2409" t="s">
        <v>797</v>
      </c>
      <c r="AH2409">
        <v>437224</v>
      </c>
      <c r="AI2409">
        <v>437224</v>
      </c>
      <c r="AJ2409">
        <v>4.3268864416954371E-2</v>
      </c>
    </row>
    <row r="2410" spans="1:36" x14ac:dyDescent="0.3">
      <c r="A2410">
        <f>COUNTIF($D$2:D2410,D2410)</f>
        <v>1</v>
      </c>
      <c r="B2410" t="str">
        <f t="shared" si="149"/>
        <v>1Wakefield</v>
      </c>
      <c r="C2410" t="s">
        <v>6621</v>
      </c>
      <c r="D2410" t="s">
        <v>331</v>
      </c>
      <c r="E2410">
        <v>3</v>
      </c>
      <c r="F2410" t="s">
        <v>6622</v>
      </c>
      <c r="G2410" t="s">
        <v>806</v>
      </c>
      <c r="H2410" t="s">
        <v>807</v>
      </c>
      <c r="I2410" t="s">
        <v>808</v>
      </c>
      <c r="J2410">
        <f t="shared" ca="1" si="150"/>
        <v>2057991</v>
      </c>
      <c r="K2410">
        <f t="shared" ca="1" si="151"/>
        <v>198</v>
      </c>
      <c r="N2410" t="str">
        <f t="shared" si="148"/>
        <v>Suffolk20I&amp;E Demand - HomecareHome Care or Domiciliary CareDomiciliary care packages</v>
      </c>
      <c r="O2410" t="s">
        <v>309</v>
      </c>
      <c r="P2410" t="s">
        <v>1056</v>
      </c>
      <c r="Q2410">
        <v>20</v>
      </c>
      <c r="R2410" t="s">
        <v>6139</v>
      </c>
      <c r="S2410" t="s">
        <v>6623</v>
      </c>
      <c r="T2410" t="s">
        <v>842</v>
      </c>
      <c r="U2410" t="s">
        <v>843</v>
      </c>
      <c r="W2410">
        <v>524901</v>
      </c>
      <c r="X2410">
        <v>524901</v>
      </c>
      <c r="Y2410" t="s">
        <v>844</v>
      </c>
      <c r="Z2410" t="s">
        <v>792</v>
      </c>
      <c r="AB2410" t="s">
        <v>793</v>
      </c>
      <c r="AD2410" t="s">
        <v>794</v>
      </c>
      <c r="AE2410" t="s">
        <v>804</v>
      </c>
      <c r="AF2410" t="s">
        <v>845</v>
      </c>
      <c r="AG2410" t="s">
        <v>797</v>
      </c>
      <c r="AH2410">
        <v>11847007.66</v>
      </c>
      <c r="AI2410">
        <v>11847007.66</v>
      </c>
      <c r="AJ2410">
        <v>0.25059838676255863</v>
      </c>
    </row>
    <row r="2411" spans="1:36" x14ac:dyDescent="0.3">
      <c r="A2411">
        <f>COUNTIF($D$2:D2411,D2411)</f>
        <v>2</v>
      </c>
      <c r="B2411" t="str">
        <f t="shared" si="149"/>
        <v>2Wakefield</v>
      </c>
      <c r="C2411" t="s">
        <v>6624</v>
      </c>
      <c r="D2411" t="s">
        <v>331</v>
      </c>
      <c r="E2411">
        <v>4</v>
      </c>
      <c r="F2411" t="s">
        <v>6622</v>
      </c>
      <c r="G2411" t="s">
        <v>842</v>
      </c>
      <c r="H2411" t="s">
        <v>812</v>
      </c>
      <c r="I2411" t="s">
        <v>844</v>
      </c>
      <c r="J2411">
        <f t="shared" ca="1" si="150"/>
        <v>850000</v>
      </c>
      <c r="K2411">
        <f t="shared" ca="1" si="151"/>
        <v>53092</v>
      </c>
      <c r="N2411" t="str">
        <f t="shared" si="148"/>
        <v>Suffolk23I&amp;E Local Scheme - Demand - HomecareHome Care or Domiciliary CareDomiciliary care packages</v>
      </c>
      <c r="O2411" t="s">
        <v>309</v>
      </c>
      <c r="P2411" t="s">
        <v>1056</v>
      </c>
      <c r="Q2411">
        <v>23</v>
      </c>
      <c r="R2411" t="s">
        <v>6141</v>
      </c>
      <c r="S2411" t="s">
        <v>6623</v>
      </c>
      <c r="T2411" t="s">
        <v>842</v>
      </c>
      <c r="U2411" t="s">
        <v>843</v>
      </c>
      <c r="W2411">
        <v>22865</v>
      </c>
      <c r="X2411">
        <v>22865</v>
      </c>
      <c r="Y2411" t="s">
        <v>844</v>
      </c>
      <c r="Z2411" t="s">
        <v>792</v>
      </c>
      <c r="AB2411" t="s">
        <v>793</v>
      </c>
      <c r="AD2411" t="s">
        <v>794</v>
      </c>
      <c r="AE2411" t="s">
        <v>804</v>
      </c>
      <c r="AF2411" t="s">
        <v>845</v>
      </c>
      <c r="AG2411" t="s">
        <v>797</v>
      </c>
      <c r="AH2411">
        <v>516053</v>
      </c>
      <c r="AI2411">
        <v>516053</v>
      </c>
      <c r="AJ2411">
        <v>1.0916009594610044E-2</v>
      </c>
    </row>
    <row r="2412" spans="1:36" x14ac:dyDescent="0.3">
      <c r="A2412">
        <f>COUNTIF($D$2:D2412,D2412)</f>
        <v>3</v>
      </c>
      <c r="B2412" t="str">
        <f t="shared" si="149"/>
        <v>3Wakefield</v>
      </c>
      <c r="C2412" t="s">
        <v>6625</v>
      </c>
      <c r="D2412" t="s">
        <v>331</v>
      </c>
      <c r="E2412">
        <v>18</v>
      </c>
      <c r="F2412" t="s">
        <v>6626</v>
      </c>
      <c r="G2412" t="s">
        <v>834</v>
      </c>
      <c r="H2412" t="s">
        <v>812</v>
      </c>
      <c r="I2412" t="s">
        <v>836</v>
      </c>
      <c r="J2412">
        <f t="shared" ca="1" si="150"/>
        <v>4340170</v>
      </c>
      <c r="K2412">
        <f t="shared" ca="1" si="151"/>
        <v>824</v>
      </c>
      <c r="N2412" t="str">
        <f t="shared" si="148"/>
        <v>Suffolk29West Demand - HomecareHome Care or Domiciliary CareDomiciliary care packages</v>
      </c>
      <c r="O2412" t="s">
        <v>309</v>
      </c>
      <c r="P2412" t="s">
        <v>1056</v>
      </c>
      <c r="Q2412">
        <v>29</v>
      </c>
      <c r="R2412" t="s">
        <v>6143</v>
      </c>
      <c r="S2412" t="s">
        <v>6627</v>
      </c>
      <c r="T2412" t="s">
        <v>842</v>
      </c>
      <c r="U2412" t="s">
        <v>843</v>
      </c>
      <c r="W2412">
        <v>263276</v>
      </c>
      <c r="X2412">
        <v>263276</v>
      </c>
      <c r="Y2412" t="s">
        <v>844</v>
      </c>
      <c r="Z2412" t="s">
        <v>792</v>
      </c>
      <c r="AB2412" t="s">
        <v>793</v>
      </c>
      <c r="AD2412" t="s">
        <v>794</v>
      </c>
      <c r="AE2412" t="s">
        <v>804</v>
      </c>
      <c r="AF2412" t="s">
        <v>845</v>
      </c>
      <c r="AG2412" t="s">
        <v>797</v>
      </c>
      <c r="AH2412">
        <v>5942140</v>
      </c>
      <c r="AI2412">
        <v>5942140</v>
      </c>
      <c r="AJ2412">
        <v>0.12569340213605215</v>
      </c>
    </row>
    <row r="2413" spans="1:36" x14ac:dyDescent="0.3">
      <c r="A2413">
        <f>COUNTIF($D$2:D2413,D2413)</f>
        <v>4</v>
      </c>
      <c r="B2413" t="str">
        <f t="shared" si="149"/>
        <v>4Wakefield</v>
      </c>
      <c r="C2413" t="s">
        <v>6628</v>
      </c>
      <c r="D2413" t="s">
        <v>331</v>
      </c>
      <c r="E2413">
        <v>19</v>
      </c>
      <c r="F2413" t="s">
        <v>6626</v>
      </c>
      <c r="G2413" t="s">
        <v>834</v>
      </c>
      <c r="H2413" t="s">
        <v>812</v>
      </c>
      <c r="I2413" t="s">
        <v>836</v>
      </c>
      <c r="J2413">
        <f t="shared" ca="1" si="150"/>
        <v>76940</v>
      </c>
      <c r="K2413">
        <f t="shared" ca="1" si="151"/>
        <v>2</v>
      </c>
      <c r="N2413" t="str">
        <f t="shared" si="148"/>
        <v>Suffolk30West Local Scheme - Reablement SupportHome-based intermediate care servicesReablement at home (accepting step up and step down users)</v>
      </c>
      <c r="O2413" t="s">
        <v>309</v>
      </c>
      <c r="P2413" t="s">
        <v>1056</v>
      </c>
      <c r="Q2413">
        <v>30</v>
      </c>
      <c r="R2413" t="s">
        <v>6146</v>
      </c>
      <c r="S2413" t="s">
        <v>6629</v>
      </c>
      <c r="T2413" t="s">
        <v>787</v>
      </c>
      <c r="U2413" t="s">
        <v>930</v>
      </c>
      <c r="W2413">
        <v>72</v>
      </c>
      <c r="X2413">
        <v>72</v>
      </c>
      <c r="Y2413" t="s">
        <v>789</v>
      </c>
      <c r="Z2413" t="s">
        <v>792</v>
      </c>
      <c r="AB2413" t="s">
        <v>793</v>
      </c>
      <c r="AD2413" t="s">
        <v>794</v>
      </c>
      <c r="AE2413" t="s">
        <v>795</v>
      </c>
      <c r="AF2413" t="s">
        <v>845</v>
      </c>
      <c r="AG2413" t="s">
        <v>797</v>
      </c>
      <c r="AH2413">
        <v>250000</v>
      </c>
      <c r="AI2413">
        <v>250000</v>
      </c>
      <c r="AJ2413">
        <v>2.474067321153137E-2</v>
      </c>
    </row>
    <row r="2414" spans="1:36" x14ac:dyDescent="0.3">
      <c r="A2414">
        <f>COUNTIF($D$2:D2414,D2414)</f>
        <v>5</v>
      </c>
      <c r="B2414" t="str">
        <f t="shared" si="149"/>
        <v>5Wakefield</v>
      </c>
      <c r="C2414" t="s">
        <v>6630</v>
      </c>
      <c r="D2414" t="s">
        <v>331</v>
      </c>
      <c r="E2414">
        <v>20</v>
      </c>
      <c r="F2414" t="s">
        <v>6626</v>
      </c>
      <c r="G2414" t="s">
        <v>800</v>
      </c>
      <c r="H2414" t="s">
        <v>850</v>
      </c>
      <c r="I2414" t="s">
        <v>802</v>
      </c>
      <c r="J2414">
        <f t="shared" ca="1" si="150"/>
        <v>491420</v>
      </c>
      <c r="K2414">
        <f t="shared" ca="1" si="151"/>
        <v>1127</v>
      </c>
      <c r="N2414" t="str">
        <f t="shared" si="148"/>
        <v>Suffolk34N&amp;W Demand - HomecareHome Care or Domiciliary CareDomiciliary care packages</v>
      </c>
      <c r="O2414" t="s">
        <v>309</v>
      </c>
      <c r="P2414" t="s">
        <v>1056</v>
      </c>
      <c r="Q2414">
        <v>34</v>
      </c>
      <c r="R2414" t="s">
        <v>6148</v>
      </c>
      <c r="S2414" t="s">
        <v>6613</v>
      </c>
      <c r="T2414" t="s">
        <v>842</v>
      </c>
      <c r="U2414" t="s">
        <v>843</v>
      </c>
      <c r="W2414">
        <v>25751</v>
      </c>
      <c r="X2414">
        <v>25751</v>
      </c>
      <c r="Y2414" t="s">
        <v>844</v>
      </c>
      <c r="Z2414" t="s">
        <v>792</v>
      </c>
      <c r="AB2414" t="s">
        <v>793</v>
      </c>
      <c r="AD2414" t="s">
        <v>794</v>
      </c>
      <c r="AE2414" t="s">
        <v>804</v>
      </c>
      <c r="AF2414" t="s">
        <v>845</v>
      </c>
      <c r="AG2414" t="s">
        <v>797</v>
      </c>
      <c r="AH2414">
        <v>581200</v>
      </c>
      <c r="AI2414">
        <v>581200</v>
      </c>
      <c r="AJ2414">
        <v>1.2294056572459333E-2</v>
      </c>
    </row>
    <row r="2415" spans="1:36" x14ac:dyDescent="0.3">
      <c r="A2415">
        <f>COUNTIF($D$2:D2415,D2415)</f>
        <v>6</v>
      </c>
      <c r="B2415" t="str">
        <f t="shared" si="149"/>
        <v>6Wakefield</v>
      </c>
      <c r="C2415" t="s">
        <v>6631</v>
      </c>
      <c r="D2415" t="s">
        <v>331</v>
      </c>
      <c r="E2415">
        <v>21</v>
      </c>
      <c r="F2415" t="s">
        <v>6626</v>
      </c>
      <c r="G2415" t="s">
        <v>800</v>
      </c>
      <c r="H2415" t="s">
        <v>850</v>
      </c>
      <c r="I2415" t="s">
        <v>802</v>
      </c>
      <c r="J2415">
        <f t="shared" ca="1" si="150"/>
        <v>1054370</v>
      </c>
      <c r="K2415">
        <f t="shared" ca="1" si="151"/>
        <v>285</v>
      </c>
      <c r="N2415" t="str">
        <f t="shared" si="148"/>
        <v>Suffolk36N&amp;W Demand - HomecareHome Care or Domiciliary CareDomiciliary care to support hospital discharge (Discharge to Assess pathway 1)</v>
      </c>
      <c r="O2415" t="s">
        <v>309</v>
      </c>
      <c r="P2415" t="s">
        <v>1056</v>
      </c>
      <c r="Q2415">
        <v>36</v>
      </c>
      <c r="R2415" t="s">
        <v>6148</v>
      </c>
      <c r="S2415" t="s">
        <v>6632</v>
      </c>
      <c r="T2415" t="s">
        <v>842</v>
      </c>
      <c r="U2415" t="s">
        <v>856</v>
      </c>
      <c r="W2415">
        <v>167293</v>
      </c>
      <c r="X2415">
        <v>167293</v>
      </c>
      <c r="Y2415" t="s">
        <v>844</v>
      </c>
      <c r="Z2415" t="s">
        <v>792</v>
      </c>
      <c r="AB2415" t="s">
        <v>793</v>
      </c>
      <c r="AD2415" t="s">
        <v>794</v>
      </c>
      <c r="AE2415" t="s">
        <v>804</v>
      </c>
      <c r="AF2415" t="s">
        <v>845</v>
      </c>
      <c r="AG2415" t="s">
        <v>797</v>
      </c>
      <c r="AH2415">
        <v>3775807</v>
      </c>
      <c r="AI2415">
        <v>3775807</v>
      </c>
      <c r="AJ2415">
        <v>7.9869210021830631E-2</v>
      </c>
    </row>
    <row r="2416" spans="1:36" x14ac:dyDescent="0.3">
      <c r="A2416">
        <f>COUNTIF($D$2:D2416,D2416)</f>
        <v>7</v>
      </c>
      <c r="B2416" t="str">
        <f t="shared" si="149"/>
        <v>7Wakefield</v>
      </c>
      <c r="C2416" t="s">
        <v>6633</v>
      </c>
      <c r="D2416" t="s">
        <v>331</v>
      </c>
      <c r="E2416">
        <v>57</v>
      </c>
      <c r="F2416" t="s">
        <v>1006</v>
      </c>
      <c r="G2416" t="s">
        <v>806</v>
      </c>
      <c r="H2416" t="s">
        <v>812</v>
      </c>
      <c r="I2416" t="s">
        <v>808</v>
      </c>
      <c r="J2416">
        <f t="shared" ca="1" si="150"/>
        <v>11893</v>
      </c>
      <c r="K2416">
        <f t="shared" ca="1" si="151"/>
        <v>1</v>
      </c>
      <c r="N2416" t="str">
        <f t="shared" si="148"/>
        <v>Suffolk38N&amp;W Local Scheme - Demand - HomecareHome Care or Domiciliary CareDomiciliary care packages</v>
      </c>
      <c r="O2416" t="s">
        <v>309</v>
      </c>
      <c r="P2416" t="s">
        <v>1056</v>
      </c>
      <c r="Q2416">
        <v>38</v>
      </c>
      <c r="R2416" t="s">
        <v>6154</v>
      </c>
      <c r="S2416" t="s">
        <v>6632</v>
      </c>
      <c r="T2416" t="s">
        <v>842</v>
      </c>
      <c r="U2416" t="s">
        <v>843</v>
      </c>
      <c r="W2416">
        <v>17200</v>
      </c>
      <c r="X2416">
        <v>17200</v>
      </c>
      <c r="Y2416" t="s">
        <v>844</v>
      </c>
      <c r="Z2416" t="s">
        <v>792</v>
      </c>
      <c r="AB2416" t="s">
        <v>793</v>
      </c>
      <c r="AD2416" t="s">
        <v>794</v>
      </c>
      <c r="AE2416" t="s">
        <v>804</v>
      </c>
      <c r="AF2416" t="s">
        <v>845</v>
      </c>
      <c r="AG2416" t="s">
        <v>797</v>
      </c>
      <c r="AH2416">
        <v>388200</v>
      </c>
      <c r="AI2416">
        <v>388200</v>
      </c>
      <c r="AJ2416">
        <v>8.2115498304004015E-3</v>
      </c>
    </row>
    <row r="2417" spans="1:36" x14ac:dyDescent="0.3">
      <c r="A2417">
        <f>COUNTIF($D$2:D2417,D2417)</f>
        <v>8</v>
      </c>
      <c r="B2417" t="str">
        <f t="shared" si="149"/>
        <v>8Wakefield</v>
      </c>
      <c r="C2417" t="s">
        <v>6634</v>
      </c>
      <c r="D2417" t="s">
        <v>331</v>
      </c>
      <c r="E2417">
        <v>59</v>
      </c>
      <c r="F2417" t="s">
        <v>1006</v>
      </c>
      <c r="G2417" t="s">
        <v>806</v>
      </c>
      <c r="H2417" t="s">
        <v>812</v>
      </c>
      <c r="I2417" t="s">
        <v>808</v>
      </c>
      <c r="J2417">
        <f t="shared" ca="1" si="150"/>
        <v>2889535</v>
      </c>
      <c r="K2417">
        <f t="shared" ca="1" si="151"/>
        <v>31</v>
      </c>
      <c r="N2417" t="str">
        <f t="shared" si="148"/>
        <v>Suffolk39I&amp;E Disabled Facilities GrantDFG Related SchemesAdaptations, including statutory DFG grants</v>
      </c>
      <c r="O2417" t="s">
        <v>309</v>
      </c>
      <c r="P2417" t="s">
        <v>1056</v>
      </c>
      <c r="Q2417">
        <v>39</v>
      </c>
      <c r="R2417" t="s">
        <v>6158</v>
      </c>
      <c r="S2417" t="s">
        <v>6635</v>
      </c>
      <c r="T2417" t="s">
        <v>834</v>
      </c>
      <c r="U2417" t="s">
        <v>835</v>
      </c>
      <c r="W2417">
        <v>180</v>
      </c>
      <c r="X2417">
        <v>180</v>
      </c>
      <c r="Y2417" t="s">
        <v>836</v>
      </c>
      <c r="Z2417" t="s">
        <v>792</v>
      </c>
      <c r="AB2417" t="s">
        <v>793</v>
      </c>
      <c r="AD2417" t="s">
        <v>794</v>
      </c>
      <c r="AE2417" t="s">
        <v>795</v>
      </c>
      <c r="AF2417" t="s">
        <v>840</v>
      </c>
      <c r="AG2417" t="s">
        <v>797</v>
      </c>
      <c r="AH2417">
        <v>3600399</v>
      </c>
      <c r="AI2417">
        <v>3600399</v>
      </c>
      <c r="AJ2417">
        <v>0.51423252160251376</v>
      </c>
    </row>
    <row r="2418" spans="1:36" x14ac:dyDescent="0.3">
      <c r="A2418">
        <f>COUNTIF($D$2:D2418,D2418)</f>
        <v>9</v>
      </c>
      <c r="B2418" t="str">
        <f t="shared" si="149"/>
        <v>9Wakefield</v>
      </c>
      <c r="C2418" t="s">
        <v>6636</v>
      </c>
      <c r="D2418" t="s">
        <v>331</v>
      </c>
      <c r="E2418">
        <v>63</v>
      </c>
      <c r="F2418" t="s">
        <v>1006</v>
      </c>
      <c r="G2418" t="s">
        <v>806</v>
      </c>
      <c r="H2418" t="s">
        <v>812</v>
      </c>
      <c r="I2418" t="s">
        <v>808</v>
      </c>
      <c r="J2418">
        <f t="shared" ca="1" si="150"/>
        <v>2686083</v>
      </c>
      <c r="K2418">
        <f t="shared" ca="1" si="151"/>
        <v>18</v>
      </c>
      <c r="N2418" t="str">
        <f t="shared" si="148"/>
        <v>Suffolk40West Disabled Facilities GrantDFG Related SchemesAdaptations, including statutory DFG grants</v>
      </c>
      <c r="O2418" t="s">
        <v>309</v>
      </c>
      <c r="P2418" t="s">
        <v>1056</v>
      </c>
      <c r="Q2418">
        <v>40</v>
      </c>
      <c r="R2418" t="s">
        <v>6161</v>
      </c>
      <c r="S2418" t="s">
        <v>6635</v>
      </c>
      <c r="T2418" t="s">
        <v>834</v>
      </c>
      <c r="U2418" t="s">
        <v>835</v>
      </c>
      <c r="W2418">
        <v>90</v>
      </c>
      <c r="X2418">
        <v>90</v>
      </c>
      <c r="Y2418" t="s">
        <v>836</v>
      </c>
      <c r="Z2418" t="s">
        <v>792</v>
      </c>
      <c r="AB2418" t="s">
        <v>793</v>
      </c>
      <c r="AD2418" t="s">
        <v>794</v>
      </c>
      <c r="AE2418" t="s">
        <v>795</v>
      </c>
      <c r="AF2418" t="s">
        <v>840</v>
      </c>
      <c r="AG2418" t="s">
        <v>797</v>
      </c>
      <c r="AH2418">
        <v>1803520</v>
      </c>
      <c r="AI2418">
        <v>1803520</v>
      </c>
      <c r="AJ2418">
        <v>0.25759051631793189</v>
      </c>
    </row>
    <row r="2419" spans="1:36" x14ac:dyDescent="0.3">
      <c r="A2419">
        <f>COUNTIF($D$2:D2419,D2419)</f>
        <v>10</v>
      </c>
      <c r="B2419" t="str">
        <f t="shared" si="149"/>
        <v>10Wakefield</v>
      </c>
      <c r="C2419" t="s">
        <v>6637</v>
      </c>
      <c r="D2419" t="s">
        <v>331</v>
      </c>
      <c r="E2419">
        <v>65</v>
      </c>
      <c r="F2419" t="s">
        <v>1006</v>
      </c>
      <c r="G2419" t="s">
        <v>806</v>
      </c>
      <c r="H2419" t="s">
        <v>812</v>
      </c>
      <c r="I2419" t="s">
        <v>808</v>
      </c>
      <c r="J2419">
        <f t="shared" ca="1" si="150"/>
        <v>4450419</v>
      </c>
      <c r="K2419">
        <f t="shared" ca="1" si="151"/>
        <v>89</v>
      </c>
      <c r="N2419" t="str">
        <f t="shared" si="148"/>
        <v>Suffolk41N&amp;W Disabled Facilities GrantDFG Related SchemesAdaptations, including statutory DFG grants</v>
      </c>
      <c r="O2419" t="s">
        <v>309</v>
      </c>
      <c r="P2419" t="s">
        <v>1056</v>
      </c>
      <c r="Q2419">
        <v>41</v>
      </c>
      <c r="R2419" t="s">
        <v>6164</v>
      </c>
      <c r="S2419" t="s">
        <v>6635</v>
      </c>
      <c r="T2419" t="s">
        <v>834</v>
      </c>
      <c r="U2419" t="s">
        <v>835</v>
      </c>
      <c r="W2419">
        <v>80</v>
      </c>
      <c r="X2419">
        <v>80</v>
      </c>
      <c r="Y2419" t="s">
        <v>836</v>
      </c>
      <c r="Z2419" t="s">
        <v>792</v>
      </c>
      <c r="AB2419" t="s">
        <v>793</v>
      </c>
      <c r="AD2419" t="s">
        <v>794</v>
      </c>
      <c r="AE2419" t="s">
        <v>795</v>
      </c>
      <c r="AF2419" t="s">
        <v>840</v>
      </c>
      <c r="AG2419" t="s">
        <v>797</v>
      </c>
      <c r="AH2419">
        <v>1597581</v>
      </c>
      <c r="AI2419">
        <v>1597581</v>
      </c>
      <c r="AJ2419">
        <v>0.22817696207955435</v>
      </c>
    </row>
    <row r="2420" spans="1:36" x14ac:dyDescent="0.3">
      <c r="A2420">
        <f>COUNTIF($D$2:D2420,D2420)</f>
        <v>11</v>
      </c>
      <c r="B2420" t="str">
        <f t="shared" si="149"/>
        <v>11Wakefield</v>
      </c>
      <c r="C2420" t="s">
        <v>6638</v>
      </c>
      <c r="D2420" t="s">
        <v>331</v>
      </c>
      <c r="E2420">
        <v>79</v>
      </c>
      <c r="F2420" t="s">
        <v>6639</v>
      </c>
      <c r="G2420" t="s">
        <v>800</v>
      </c>
      <c r="H2420" t="s">
        <v>850</v>
      </c>
      <c r="I2420" t="s">
        <v>802</v>
      </c>
      <c r="J2420">
        <f t="shared" ca="1" si="150"/>
        <v>1000551</v>
      </c>
      <c r="K2420">
        <f t="shared" ca="1" si="151"/>
        <v>2458</v>
      </c>
      <c r="N2420" t="str">
        <f t="shared" si="148"/>
        <v>Suffolk42I&amp;E Adult ServicesBed based intermediate Care Services (Reablement, rehabilitation, wider short-term services supporting recovery)Bed-based intermediate care with reablement accepting step up and step down users</v>
      </c>
      <c r="O2420" t="s">
        <v>309</v>
      </c>
      <c r="P2420" t="s">
        <v>1056</v>
      </c>
      <c r="Q2420">
        <v>42</v>
      </c>
      <c r="R2420" t="s">
        <v>6166</v>
      </c>
      <c r="S2420" t="s">
        <v>6640</v>
      </c>
      <c r="T2420" t="s">
        <v>877</v>
      </c>
      <c r="U2420" t="s">
        <v>1259</v>
      </c>
      <c r="W2420">
        <v>403</v>
      </c>
      <c r="X2420">
        <v>403</v>
      </c>
      <c r="Y2420" t="s">
        <v>879</v>
      </c>
      <c r="Z2420" t="s">
        <v>823</v>
      </c>
      <c r="AB2420" t="s">
        <v>824</v>
      </c>
      <c r="AD2420" t="s">
        <v>794</v>
      </c>
      <c r="AE2420" t="s">
        <v>832</v>
      </c>
      <c r="AF2420" t="s">
        <v>796</v>
      </c>
      <c r="AG2420" t="s">
        <v>797</v>
      </c>
      <c r="AH2420">
        <v>1439400</v>
      </c>
      <c r="AI2420">
        <v>1439400</v>
      </c>
      <c r="AJ2420">
        <v>0.02</v>
      </c>
    </row>
    <row r="2421" spans="1:36" x14ac:dyDescent="0.3">
      <c r="A2421">
        <f>COUNTIF($D$2:D2421,D2421)</f>
        <v>12</v>
      </c>
      <c r="B2421" t="str">
        <f t="shared" si="149"/>
        <v>12Wakefield</v>
      </c>
      <c r="C2421" t="s">
        <v>6641</v>
      </c>
      <c r="D2421" t="s">
        <v>331</v>
      </c>
      <c r="E2421">
        <v>80</v>
      </c>
      <c r="F2421" t="s">
        <v>6639</v>
      </c>
      <c r="G2421" t="s">
        <v>800</v>
      </c>
      <c r="H2421" t="s">
        <v>850</v>
      </c>
      <c r="I2421" t="s">
        <v>802</v>
      </c>
      <c r="J2421">
        <f t="shared" ca="1" si="150"/>
        <v>1450221</v>
      </c>
      <c r="K2421">
        <f t="shared" ca="1" si="151"/>
        <v>6132</v>
      </c>
      <c r="N2421" t="str">
        <f t="shared" si="148"/>
        <v>Suffolk43I&amp;E Adult ServicesBed based intermediate Care Services (Reablement, rehabilitation, wider short-term services supporting recovery)Bed-based intermediate care with reablement accepting step up and step down users</v>
      </c>
      <c r="O2421" t="s">
        <v>309</v>
      </c>
      <c r="P2421" t="s">
        <v>1056</v>
      </c>
      <c r="Q2421">
        <v>43</v>
      </c>
      <c r="R2421" t="s">
        <v>6166</v>
      </c>
      <c r="S2421" t="s">
        <v>6642</v>
      </c>
      <c r="T2421" t="s">
        <v>877</v>
      </c>
      <c r="U2421" t="s">
        <v>1259</v>
      </c>
      <c r="W2421">
        <v>28</v>
      </c>
      <c r="X2421">
        <v>29</v>
      </c>
      <c r="Y2421" t="s">
        <v>879</v>
      </c>
      <c r="Z2421" t="s">
        <v>823</v>
      </c>
      <c r="AB2421" t="s">
        <v>824</v>
      </c>
      <c r="AD2421" t="s">
        <v>794</v>
      </c>
      <c r="AE2421" t="s">
        <v>832</v>
      </c>
      <c r="AF2421" t="s">
        <v>796</v>
      </c>
      <c r="AG2421" t="s">
        <v>797</v>
      </c>
      <c r="AH2421">
        <v>1857721</v>
      </c>
      <c r="AI2421">
        <v>1857721</v>
      </c>
      <c r="AJ2421">
        <v>0.02</v>
      </c>
    </row>
    <row r="2422" spans="1:36" x14ac:dyDescent="0.3">
      <c r="A2422">
        <f>COUNTIF($D$2:D2422,D2422)</f>
        <v>13</v>
      </c>
      <c r="B2422" t="str">
        <f t="shared" si="149"/>
        <v>13Wakefield</v>
      </c>
      <c r="C2422" t="s">
        <v>6643</v>
      </c>
      <c r="D2422" t="s">
        <v>331</v>
      </c>
      <c r="E2422">
        <v>81</v>
      </c>
      <c r="F2422" t="s">
        <v>6644</v>
      </c>
      <c r="G2422" t="s">
        <v>800</v>
      </c>
      <c r="H2422" t="s">
        <v>850</v>
      </c>
      <c r="I2422" t="s">
        <v>802</v>
      </c>
      <c r="J2422">
        <f t="shared" ca="1" si="150"/>
        <v>1463552</v>
      </c>
      <c r="K2422">
        <f t="shared" ca="1" si="151"/>
        <v>1138</v>
      </c>
      <c r="N2422" t="str">
        <f t="shared" si="148"/>
        <v>Suffolk44I&amp;E Adult ServicesBed based intermediate Care Services (Reablement, rehabilitation, wider short-term services supporting recovery)Bed-based intermediate care with rehabilitation accepting step up and step down users</v>
      </c>
      <c r="O2422" t="s">
        <v>309</v>
      </c>
      <c r="P2422" t="s">
        <v>1056</v>
      </c>
      <c r="Q2422">
        <v>44</v>
      </c>
      <c r="R2422" t="s">
        <v>6166</v>
      </c>
      <c r="S2422" t="s">
        <v>1023</v>
      </c>
      <c r="T2422" t="s">
        <v>877</v>
      </c>
      <c r="U2422" t="s">
        <v>1015</v>
      </c>
      <c r="W2422">
        <v>316</v>
      </c>
      <c r="X2422">
        <v>316</v>
      </c>
      <c r="Y2422" t="s">
        <v>879</v>
      </c>
      <c r="Z2422" t="s">
        <v>823</v>
      </c>
      <c r="AB2422" t="s">
        <v>824</v>
      </c>
      <c r="AD2422" t="s">
        <v>794</v>
      </c>
      <c r="AE2422" t="s">
        <v>832</v>
      </c>
      <c r="AF2422" t="s">
        <v>796</v>
      </c>
      <c r="AG2422" t="s">
        <v>797</v>
      </c>
      <c r="AH2422">
        <v>953852</v>
      </c>
      <c r="AI2422">
        <v>953852</v>
      </c>
      <c r="AJ2422">
        <v>0.01</v>
      </c>
    </row>
    <row r="2423" spans="1:36" x14ac:dyDescent="0.3">
      <c r="A2423">
        <f>COUNTIF($D$2:D2423,D2423)</f>
        <v>14</v>
      </c>
      <c r="B2423" t="str">
        <f t="shared" si="149"/>
        <v>14Wakefield</v>
      </c>
      <c r="C2423" t="s">
        <v>6645</v>
      </c>
      <c r="D2423" t="s">
        <v>331</v>
      </c>
      <c r="E2423">
        <v>87</v>
      </c>
      <c r="F2423" t="s">
        <v>6646</v>
      </c>
      <c r="G2423" t="s">
        <v>842</v>
      </c>
      <c r="H2423" t="s">
        <v>812</v>
      </c>
      <c r="I2423" t="s">
        <v>844</v>
      </c>
      <c r="J2423">
        <f t="shared" ca="1" si="150"/>
        <v>182868</v>
      </c>
      <c r="K2423">
        <f t="shared" ca="1" si="151"/>
        <v>5440</v>
      </c>
      <c r="N2423" t="str">
        <f t="shared" si="148"/>
        <v>Suffolk49I&amp;E Adult ServicesBed based intermediate Care Services (Reablement, rehabilitation, wider short-term services supporting recovery)Bed-based intermediate care with reablement accepting step up and step down users</v>
      </c>
      <c r="O2423" t="s">
        <v>309</v>
      </c>
      <c r="P2423" t="s">
        <v>1056</v>
      </c>
      <c r="Q2423">
        <v>49</v>
      </c>
      <c r="R2423" t="s">
        <v>6166</v>
      </c>
      <c r="S2423" t="s">
        <v>6647</v>
      </c>
      <c r="T2423" t="s">
        <v>877</v>
      </c>
      <c r="U2423" t="s">
        <v>1259</v>
      </c>
      <c r="W2423">
        <v>48</v>
      </c>
      <c r="X2423">
        <v>48</v>
      </c>
      <c r="Y2423" t="s">
        <v>879</v>
      </c>
      <c r="Z2423" t="s">
        <v>823</v>
      </c>
      <c r="AB2423" t="s">
        <v>824</v>
      </c>
      <c r="AD2423" t="s">
        <v>794</v>
      </c>
      <c r="AE2423" t="s">
        <v>832</v>
      </c>
      <c r="AF2423" t="s">
        <v>796</v>
      </c>
      <c r="AG2423" t="s">
        <v>797</v>
      </c>
      <c r="AH2423">
        <v>172799</v>
      </c>
      <c r="AI2423">
        <v>172799</v>
      </c>
      <c r="AJ2423">
        <v>0</v>
      </c>
    </row>
    <row r="2424" spans="1:36" x14ac:dyDescent="0.3">
      <c r="A2424">
        <f>COUNTIF($D$2:D2424,D2424)</f>
        <v>15</v>
      </c>
      <c r="B2424" t="str">
        <f t="shared" si="149"/>
        <v>15Wakefield</v>
      </c>
      <c r="C2424" t="s">
        <v>6648</v>
      </c>
      <c r="D2424" t="s">
        <v>331</v>
      </c>
      <c r="E2424">
        <v>88</v>
      </c>
      <c r="F2424" t="s">
        <v>6649</v>
      </c>
      <c r="G2424" t="s">
        <v>787</v>
      </c>
      <c r="H2424" t="s">
        <v>812</v>
      </c>
      <c r="I2424" t="s">
        <v>789</v>
      </c>
      <c r="J2424">
        <f t="shared" ca="1" si="150"/>
        <v>101000</v>
      </c>
      <c r="K2424">
        <f t="shared" ca="1" si="151"/>
        <v>14</v>
      </c>
      <c r="N2424" t="str">
        <f t="shared" si="148"/>
        <v>Suffolk53I&amp;E Care Act CommitmentsCarers ServicesCarer advice and support related to Care Act duties</v>
      </c>
      <c r="O2424" t="s">
        <v>309</v>
      </c>
      <c r="P2424" t="s">
        <v>1056</v>
      </c>
      <c r="Q2424">
        <v>53</v>
      </c>
      <c r="R2424" t="s">
        <v>6107</v>
      </c>
      <c r="S2424" t="s">
        <v>1250</v>
      </c>
      <c r="T2424" t="s">
        <v>811</v>
      </c>
      <c r="U2424" t="s">
        <v>895</v>
      </c>
      <c r="W2424">
        <v>6221</v>
      </c>
      <c r="X2424">
        <v>6221</v>
      </c>
      <c r="Y2424" t="s">
        <v>813</v>
      </c>
      <c r="Z2424" t="s">
        <v>792</v>
      </c>
      <c r="AB2424" t="s">
        <v>824</v>
      </c>
      <c r="AD2424" t="s">
        <v>794</v>
      </c>
      <c r="AE2424" t="s">
        <v>832</v>
      </c>
      <c r="AF2424" t="s">
        <v>796</v>
      </c>
      <c r="AG2424" t="s">
        <v>797</v>
      </c>
      <c r="AH2424">
        <v>873013</v>
      </c>
      <c r="AI2424">
        <v>873013</v>
      </c>
      <c r="AJ2424">
        <v>0.67</v>
      </c>
    </row>
    <row r="2425" spans="1:36" x14ac:dyDescent="0.3">
      <c r="A2425">
        <f>COUNTIF($D$2:D2425,D2425)</f>
        <v>16</v>
      </c>
      <c r="B2425" t="str">
        <f t="shared" si="149"/>
        <v>16Wakefield</v>
      </c>
      <c r="C2425" t="s">
        <v>6650</v>
      </c>
      <c r="D2425" t="s">
        <v>331</v>
      </c>
      <c r="E2425">
        <v>89</v>
      </c>
      <c r="F2425" t="s">
        <v>6649</v>
      </c>
      <c r="G2425" t="s">
        <v>787</v>
      </c>
      <c r="H2425" t="s">
        <v>812</v>
      </c>
      <c r="I2425" t="s">
        <v>789</v>
      </c>
      <c r="J2425">
        <f t="shared" ca="1" si="150"/>
        <v>101000</v>
      </c>
      <c r="K2425">
        <f t="shared" ca="1" si="151"/>
        <v>13</v>
      </c>
      <c r="N2425" t="str">
        <f t="shared" si="148"/>
        <v>Suffolk54I&amp;E Care Act CommitmentsCarers ServicesCarer advice and support related to Care Act duties</v>
      </c>
      <c r="O2425" t="s">
        <v>309</v>
      </c>
      <c r="P2425" t="s">
        <v>1056</v>
      </c>
      <c r="Q2425">
        <v>54</v>
      </c>
      <c r="R2425" t="s">
        <v>6107</v>
      </c>
      <c r="S2425" t="s">
        <v>1250</v>
      </c>
      <c r="T2425" t="s">
        <v>811</v>
      </c>
      <c r="U2425" t="s">
        <v>895</v>
      </c>
      <c r="W2425">
        <v>2533</v>
      </c>
      <c r="X2425">
        <v>2533</v>
      </c>
      <c r="Y2425" t="s">
        <v>813</v>
      </c>
      <c r="Z2425" t="s">
        <v>792</v>
      </c>
      <c r="AB2425" t="s">
        <v>824</v>
      </c>
      <c r="AD2425" t="s">
        <v>794</v>
      </c>
      <c r="AE2425" t="s">
        <v>832</v>
      </c>
      <c r="AF2425" t="s">
        <v>796</v>
      </c>
      <c r="AG2425" t="s">
        <v>797</v>
      </c>
      <c r="AH2425">
        <v>355496</v>
      </c>
      <c r="AI2425">
        <v>355496</v>
      </c>
      <c r="AJ2425">
        <v>0.67</v>
      </c>
    </row>
    <row r="2426" spans="1:36" x14ac:dyDescent="0.3">
      <c r="A2426">
        <f>COUNTIF($D$2:D2426,D2426)</f>
        <v>17</v>
      </c>
      <c r="B2426" t="str">
        <f t="shared" si="149"/>
        <v>17Wakefield</v>
      </c>
      <c r="C2426" t="s">
        <v>6651</v>
      </c>
      <c r="D2426" t="s">
        <v>331</v>
      </c>
      <c r="E2426">
        <v>90</v>
      </c>
      <c r="F2426" t="s">
        <v>6652</v>
      </c>
      <c r="G2426" t="s">
        <v>1106</v>
      </c>
      <c r="H2426" t="s">
        <v>812</v>
      </c>
      <c r="I2426" t="s">
        <v>794</v>
      </c>
      <c r="J2426">
        <f t="shared" ca="1" si="150"/>
        <v>310626</v>
      </c>
      <c r="K2426">
        <f t="shared" ca="1" si="151"/>
        <v>24</v>
      </c>
      <c r="N2426" t="str">
        <f t="shared" si="148"/>
        <v>Suffolk55West Adult ServicesBed based intermediate Care Services (Reablement, rehabilitation, wider short-term services supporting recovery)Bed-based intermediate care with reablement accepting step up and step down users</v>
      </c>
      <c r="O2426" t="s">
        <v>309</v>
      </c>
      <c r="P2426" t="s">
        <v>1056</v>
      </c>
      <c r="Q2426">
        <v>55</v>
      </c>
      <c r="R2426" t="s">
        <v>6174</v>
      </c>
      <c r="S2426" t="s">
        <v>6640</v>
      </c>
      <c r="T2426" t="s">
        <v>877</v>
      </c>
      <c r="U2426" t="s">
        <v>1259</v>
      </c>
      <c r="W2426">
        <v>260</v>
      </c>
      <c r="X2426">
        <v>260</v>
      </c>
      <c r="Y2426" t="s">
        <v>879</v>
      </c>
      <c r="Z2426" t="s">
        <v>823</v>
      </c>
      <c r="AB2426" t="s">
        <v>824</v>
      </c>
      <c r="AD2426" t="s">
        <v>794</v>
      </c>
      <c r="AE2426" t="s">
        <v>832</v>
      </c>
      <c r="AF2426" t="s">
        <v>796</v>
      </c>
      <c r="AG2426" t="s">
        <v>797</v>
      </c>
      <c r="AH2426">
        <v>928424</v>
      </c>
      <c r="AI2426">
        <v>928424</v>
      </c>
      <c r="AJ2426">
        <v>0.01</v>
      </c>
    </row>
    <row r="2427" spans="1:36" x14ac:dyDescent="0.3">
      <c r="A2427">
        <f>COUNTIF($D$2:D2427,D2427)</f>
        <v>18</v>
      </c>
      <c r="B2427" t="str">
        <f t="shared" si="149"/>
        <v>18Wakefield</v>
      </c>
      <c r="C2427" t="s">
        <v>6653</v>
      </c>
      <c r="D2427" t="s">
        <v>331</v>
      </c>
      <c r="E2427">
        <v>91</v>
      </c>
      <c r="F2427" t="s">
        <v>6654</v>
      </c>
      <c r="G2427" t="s">
        <v>787</v>
      </c>
      <c r="H2427" t="s">
        <v>812</v>
      </c>
      <c r="I2427" t="s">
        <v>789</v>
      </c>
      <c r="J2427">
        <f t="shared" ca="1" si="150"/>
        <v>50000</v>
      </c>
      <c r="K2427">
        <f t="shared" ca="1" si="151"/>
        <v>1300</v>
      </c>
      <c r="N2427" t="str">
        <f t="shared" si="148"/>
        <v>Suffolk56West Adult ServicesBed based intermediate Care Services (Reablement, rehabilitation, wider short-term services supporting recovery)Bed-based intermediate care with rehabilitation accepting step up and step down users</v>
      </c>
      <c r="O2427" t="s">
        <v>309</v>
      </c>
      <c r="P2427" t="s">
        <v>1056</v>
      </c>
      <c r="Q2427">
        <v>56</v>
      </c>
      <c r="R2427" t="s">
        <v>6174</v>
      </c>
      <c r="S2427" t="s">
        <v>1023</v>
      </c>
      <c r="T2427" t="s">
        <v>877</v>
      </c>
      <c r="U2427" t="s">
        <v>1015</v>
      </c>
      <c r="W2427">
        <v>204</v>
      </c>
      <c r="X2427">
        <v>204</v>
      </c>
      <c r="Y2427" t="s">
        <v>879</v>
      </c>
      <c r="Z2427" t="s">
        <v>823</v>
      </c>
      <c r="AB2427" t="s">
        <v>824</v>
      </c>
      <c r="AD2427" t="s">
        <v>794</v>
      </c>
      <c r="AE2427" t="s">
        <v>832</v>
      </c>
      <c r="AF2427" t="s">
        <v>796</v>
      </c>
      <c r="AG2427" t="s">
        <v>797</v>
      </c>
      <c r="AH2427">
        <v>615242</v>
      </c>
      <c r="AI2427">
        <v>615242</v>
      </c>
      <c r="AJ2427">
        <v>0.01</v>
      </c>
    </row>
    <row r="2428" spans="1:36" x14ac:dyDescent="0.3">
      <c r="A2428">
        <f>COUNTIF($D$2:D2428,D2428)</f>
        <v>19</v>
      </c>
      <c r="B2428" t="str">
        <f t="shared" si="149"/>
        <v>19Wakefield</v>
      </c>
      <c r="C2428" t="s">
        <v>6655</v>
      </c>
      <c r="D2428" t="s">
        <v>331</v>
      </c>
      <c r="E2428">
        <v>107</v>
      </c>
      <c r="F2428" t="s">
        <v>6656</v>
      </c>
      <c r="G2428" t="s">
        <v>806</v>
      </c>
      <c r="H2428" t="s">
        <v>955</v>
      </c>
      <c r="I2428" t="s">
        <v>808</v>
      </c>
      <c r="J2428">
        <f t="shared" ca="1" si="150"/>
        <v>30000</v>
      </c>
      <c r="K2428">
        <f t="shared" ca="1" si="151"/>
        <v>1</v>
      </c>
      <c r="N2428" t="str">
        <f t="shared" si="148"/>
        <v>Suffolk61West Care Act CommitmentsCarers ServicesCarer advice and support related to Care Act duties</v>
      </c>
      <c r="O2428" t="s">
        <v>309</v>
      </c>
      <c r="P2428" t="s">
        <v>1056</v>
      </c>
      <c r="Q2428">
        <v>61</v>
      </c>
      <c r="R2428" t="s">
        <v>6122</v>
      </c>
      <c r="S2428" t="s">
        <v>1250</v>
      </c>
      <c r="T2428" t="s">
        <v>811</v>
      </c>
      <c r="U2428" t="s">
        <v>895</v>
      </c>
      <c r="W2428">
        <v>3852</v>
      </c>
      <c r="X2428">
        <v>3852</v>
      </c>
      <c r="Y2428" t="s">
        <v>813</v>
      </c>
      <c r="Z2428" t="s">
        <v>792</v>
      </c>
      <c r="AB2428" t="s">
        <v>824</v>
      </c>
      <c r="AD2428" t="s">
        <v>794</v>
      </c>
      <c r="AE2428" t="s">
        <v>832</v>
      </c>
      <c r="AF2428" t="s">
        <v>796</v>
      </c>
      <c r="AG2428" t="s">
        <v>797</v>
      </c>
      <c r="AH2428">
        <v>540525</v>
      </c>
      <c r="AI2428">
        <v>540525</v>
      </c>
      <c r="AJ2428">
        <v>0.33</v>
      </c>
    </row>
    <row r="2429" spans="1:36" x14ac:dyDescent="0.3">
      <c r="A2429">
        <f>COUNTIF($D$2:D2429,D2429)</f>
        <v>20</v>
      </c>
      <c r="B2429" t="str">
        <f t="shared" si="149"/>
        <v>20Wakefield</v>
      </c>
      <c r="C2429" t="s">
        <v>6657</v>
      </c>
      <c r="D2429" t="s">
        <v>331</v>
      </c>
      <c r="E2429">
        <v>109</v>
      </c>
      <c r="F2429" t="s">
        <v>6658</v>
      </c>
      <c r="G2429" t="s">
        <v>1106</v>
      </c>
      <c r="H2429" t="s">
        <v>812</v>
      </c>
      <c r="I2429" t="s">
        <v>794</v>
      </c>
      <c r="J2429">
        <f t="shared" ca="1" si="150"/>
        <v>212979</v>
      </c>
      <c r="K2429">
        <f t="shared" ca="1" si="151"/>
        <v>300</v>
      </c>
      <c r="N2429" t="str">
        <f t="shared" si="148"/>
        <v>Suffolk62West Care Act CommitmentsCarers ServicesCarer advice and support related to Care Act duties</v>
      </c>
      <c r="O2429" t="s">
        <v>309</v>
      </c>
      <c r="P2429" t="s">
        <v>1056</v>
      </c>
      <c r="Q2429">
        <v>62</v>
      </c>
      <c r="R2429" t="s">
        <v>6122</v>
      </c>
      <c r="S2429" t="s">
        <v>1250</v>
      </c>
      <c r="T2429" t="s">
        <v>811</v>
      </c>
      <c r="U2429" t="s">
        <v>895</v>
      </c>
      <c r="W2429">
        <v>1484</v>
      </c>
      <c r="X2429">
        <v>1484</v>
      </c>
      <c r="Y2429" t="s">
        <v>813</v>
      </c>
      <c r="Z2429" t="s">
        <v>792</v>
      </c>
      <c r="AB2429" t="s">
        <v>824</v>
      </c>
      <c r="AD2429" t="s">
        <v>794</v>
      </c>
      <c r="AE2429" t="s">
        <v>832</v>
      </c>
      <c r="AF2429" t="s">
        <v>796</v>
      </c>
      <c r="AG2429" t="s">
        <v>797</v>
      </c>
      <c r="AH2429">
        <v>208260</v>
      </c>
      <c r="AI2429">
        <v>208260</v>
      </c>
      <c r="AJ2429">
        <v>0.33</v>
      </c>
    </row>
    <row r="2430" spans="1:36" x14ac:dyDescent="0.3">
      <c r="A2430">
        <f>COUNTIF($D$2:D2430,D2430)</f>
        <v>1</v>
      </c>
      <c r="B2430" t="str">
        <f t="shared" si="149"/>
        <v>1Walsall</v>
      </c>
      <c r="C2430" t="s">
        <v>6659</v>
      </c>
      <c r="D2430" t="s">
        <v>333</v>
      </c>
      <c r="E2430">
        <v>7</v>
      </c>
      <c r="F2430" t="s">
        <v>6660</v>
      </c>
      <c r="G2430" t="s">
        <v>800</v>
      </c>
      <c r="H2430" t="s">
        <v>903</v>
      </c>
      <c r="I2430" t="s">
        <v>802</v>
      </c>
      <c r="J2430">
        <f t="shared" ca="1" si="150"/>
        <v>70312</v>
      </c>
      <c r="K2430">
        <f t="shared" ca="1" si="151"/>
        <v>185</v>
      </c>
      <c r="N2430" t="str">
        <f t="shared" si="148"/>
        <v>Suffolk63West Community BedsBed based intermediate Care Services (Reablement, rehabilitation, wider short-term services supporting recovery)Bed-based intermediate care with reablement accepting step up and step down users</v>
      </c>
      <c r="O2430" t="s">
        <v>309</v>
      </c>
      <c r="P2430" t="s">
        <v>1056</v>
      </c>
      <c r="Q2430">
        <v>63</v>
      </c>
      <c r="R2430" t="s">
        <v>6179</v>
      </c>
      <c r="S2430" t="s">
        <v>6661</v>
      </c>
      <c r="T2430" t="s">
        <v>877</v>
      </c>
      <c r="U2430" t="s">
        <v>1259</v>
      </c>
      <c r="W2430">
        <v>336</v>
      </c>
      <c r="X2430">
        <v>336</v>
      </c>
      <c r="Y2430" t="s">
        <v>879</v>
      </c>
      <c r="Z2430" t="s">
        <v>823</v>
      </c>
      <c r="AB2430" t="s">
        <v>824</v>
      </c>
      <c r="AD2430" t="s">
        <v>794</v>
      </c>
      <c r="AE2430" t="s">
        <v>832</v>
      </c>
      <c r="AF2430" t="s">
        <v>796</v>
      </c>
      <c r="AG2430" t="s">
        <v>797</v>
      </c>
      <c r="AH2430">
        <v>1198243</v>
      </c>
      <c r="AI2430">
        <v>1198243</v>
      </c>
      <c r="AJ2430">
        <v>0.01</v>
      </c>
    </row>
    <row r="2431" spans="1:36" x14ac:dyDescent="0.3">
      <c r="A2431">
        <f>COUNTIF($D$2:D2431,D2431)</f>
        <v>2</v>
      </c>
      <c r="B2431" t="str">
        <f t="shared" si="149"/>
        <v>2Walsall</v>
      </c>
      <c r="C2431" t="s">
        <v>6662</v>
      </c>
      <c r="D2431" t="s">
        <v>333</v>
      </c>
      <c r="E2431">
        <v>8</v>
      </c>
      <c r="F2431" t="s">
        <v>2681</v>
      </c>
      <c r="G2431" t="s">
        <v>834</v>
      </c>
      <c r="H2431" t="s">
        <v>835</v>
      </c>
      <c r="I2431" t="s">
        <v>836</v>
      </c>
      <c r="J2431">
        <f t="shared" ca="1" si="150"/>
        <v>3314771</v>
      </c>
      <c r="K2431">
        <f t="shared" ca="1" si="151"/>
        <v>300</v>
      </c>
      <c r="N2431" t="str">
        <f t="shared" si="148"/>
        <v>Suffolk65N&amp;W Integrated Community Equipment Service (ICES)Assistive Technologies and EquipmentCommunity based equipment</v>
      </c>
      <c r="O2431" t="s">
        <v>309</v>
      </c>
      <c r="P2431" t="s">
        <v>1056</v>
      </c>
      <c r="Q2431">
        <v>65</v>
      </c>
      <c r="R2431" t="s">
        <v>6181</v>
      </c>
      <c r="S2431" t="s">
        <v>6663</v>
      </c>
      <c r="T2431" t="s">
        <v>800</v>
      </c>
      <c r="U2431" t="s">
        <v>903</v>
      </c>
      <c r="W2431">
        <v>886</v>
      </c>
      <c r="X2431">
        <v>937</v>
      </c>
      <c r="Y2431" t="s">
        <v>802</v>
      </c>
      <c r="Z2431" t="s">
        <v>792</v>
      </c>
      <c r="AB2431" t="s">
        <v>824</v>
      </c>
      <c r="AD2431" t="s">
        <v>794</v>
      </c>
      <c r="AE2431" t="s">
        <v>804</v>
      </c>
      <c r="AF2431" t="s">
        <v>796</v>
      </c>
      <c r="AG2431" t="s">
        <v>797</v>
      </c>
      <c r="AH2431">
        <v>1063663</v>
      </c>
      <c r="AI2431">
        <v>1123867</v>
      </c>
      <c r="AJ2431">
        <v>0</v>
      </c>
    </row>
    <row r="2432" spans="1:36" x14ac:dyDescent="0.3">
      <c r="A2432">
        <f>COUNTIF($D$2:D2432,D2432)</f>
        <v>3</v>
      </c>
      <c r="B2432" t="str">
        <f t="shared" si="149"/>
        <v>3Walsall</v>
      </c>
      <c r="C2432" t="s">
        <v>6664</v>
      </c>
      <c r="D2432" t="s">
        <v>333</v>
      </c>
      <c r="E2432">
        <v>9</v>
      </c>
      <c r="F2432" t="s">
        <v>2681</v>
      </c>
      <c r="G2432" t="s">
        <v>834</v>
      </c>
      <c r="H2432" t="s">
        <v>1293</v>
      </c>
      <c r="I2432" t="s">
        <v>836</v>
      </c>
      <c r="J2432">
        <f t="shared" ca="1" si="150"/>
        <v>888000</v>
      </c>
      <c r="K2432">
        <f t="shared" ca="1" si="151"/>
        <v>100</v>
      </c>
      <c r="N2432" t="str">
        <f t="shared" si="148"/>
        <v>Suffolk76N&amp;W Carers respiteCarers ServicesCarer advice and support related to Care Act duties</v>
      </c>
      <c r="O2432" t="s">
        <v>309</v>
      </c>
      <c r="P2432" t="s">
        <v>1056</v>
      </c>
      <c r="Q2432">
        <v>76</v>
      </c>
      <c r="R2432" t="s">
        <v>6183</v>
      </c>
      <c r="S2432" t="s">
        <v>6665</v>
      </c>
      <c r="T2432" t="s">
        <v>811</v>
      </c>
      <c r="U2432" t="s">
        <v>895</v>
      </c>
      <c r="W2432">
        <v>262</v>
      </c>
      <c r="X2432">
        <v>277</v>
      </c>
      <c r="Y2432" t="s">
        <v>813</v>
      </c>
      <c r="Z2432" t="s">
        <v>792</v>
      </c>
      <c r="AB2432" t="s">
        <v>824</v>
      </c>
      <c r="AD2432" t="s">
        <v>794</v>
      </c>
      <c r="AE2432" t="s">
        <v>825</v>
      </c>
      <c r="AF2432" t="s">
        <v>796</v>
      </c>
      <c r="AG2432" t="s">
        <v>797</v>
      </c>
      <c r="AH2432">
        <v>36750</v>
      </c>
      <c r="AI2432">
        <v>38830</v>
      </c>
      <c r="AJ2432">
        <v>0</v>
      </c>
    </row>
    <row r="2433" spans="1:36" x14ac:dyDescent="0.3">
      <c r="A2433">
        <f>COUNTIF($D$2:D2433,D2433)</f>
        <v>4</v>
      </c>
      <c r="B2433" t="str">
        <f t="shared" si="149"/>
        <v>4Walsall</v>
      </c>
      <c r="C2433" t="s">
        <v>6666</v>
      </c>
      <c r="D2433" t="s">
        <v>333</v>
      </c>
      <c r="E2433">
        <v>10</v>
      </c>
      <c r="F2433" t="s">
        <v>4377</v>
      </c>
      <c r="G2433" t="s">
        <v>811</v>
      </c>
      <c r="H2433" t="s">
        <v>895</v>
      </c>
      <c r="I2433" t="s">
        <v>813</v>
      </c>
      <c r="J2433">
        <f t="shared" ca="1" si="150"/>
        <v>440976</v>
      </c>
      <c r="K2433">
        <f t="shared" ca="1" si="151"/>
        <v>500</v>
      </c>
      <c r="N2433" t="str">
        <f t="shared" si="148"/>
        <v>Suffolk77N&amp;W Continuing Health CareHome Care or Domiciliary CareOther</v>
      </c>
      <c r="O2433" t="s">
        <v>309</v>
      </c>
      <c r="P2433" t="s">
        <v>1056</v>
      </c>
      <c r="Q2433">
        <v>77</v>
      </c>
      <c r="R2433" t="s">
        <v>6185</v>
      </c>
      <c r="S2433" t="s">
        <v>6667</v>
      </c>
      <c r="T2433" t="s">
        <v>842</v>
      </c>
      <c r="U2433" t="s">
        <v>812</v>
      </c>
      <c r="V2433" t="s">
        <v>5996</v>
      </c>
      <c r="W2433">
        <v>124842</v>
      </c>
      <c r="X2433">
        <v>131908</v>
      </c>
      <c r="Y2433" t="s">
        <v>844</v>
      </c>
      <c r="Z2433" t="s">
        <v>823</v>
      </c>
      <c r="AB2433" t="s">
        <v>824</v>
      </c>
      <c r="AD2433" t="s">
        <v>794</v>
      </c>
      <c r="AE2433" t="s">
        <v>804</v>
      </c>
      <c r="AF2433" t="s">
        <v>796</v>
      </c>
      <c r="AG2433" t="s">
        <v>797</v>
      </c>
      <c r="AH2433">
        <v>2348063</v>
      </c>
      <c r="AI2433">
        <v>2480963</v>
      </c>
      <c r="AJ2433">
        <v>0</v>
      </c>
    </row>
    <row r="2434" spans="1:36" x14ac:dyDescent="0.3">
      <c r="A2434">
        <f>COUNTIF($D$2:D2434,D2434)</f>
        <v>5</v>
      </c>
      <c r="B2434" t="str">
        <f t="shared" si="149"/>
        <v>5Walsall</v>
      </c>
      <c r="C2434" t="s">
        <v>6668</v>
      </c>
      <c r="D2434" t="s">
        <v>333</v>
      </c>
      <c r="E2434">
        <v>27</v>
      </c>
      <c r="F2434" t="s">
        <v>6669</v>
      </c>
      <c r="G2434" t="s">
        <v>842</v>
      </c>
      <c r="H2434" t="s">
        <v>843</v>
      </c>
      <c r="I2434" t="s">
        <v>844</v>
      </c>
      <c r="J2434">
        <f t="shared" ca="1" si="150"/>
        <v>1835463</v>
      </c>
      <c r="K2434">
        <f t="shared" ca="1" si="151"/>
        <v>1200</v>
      </c>
      <c r="N2434" t="str">
        <f t="shared" ref="N2434:N2497" si="152">O2434&amp;Q2434&amp;R2434&amp;T2434&amp;U2434</f>
        <v>Suffolk78N&amp;W Continuing Health CareResidential PlacementsOther</v>
      </c>
      <c r="O2434" t="s">
        <v>309</v>
      </c>
      <c r="P2434" t="s">
        <v>1056</v>
      </c>
      <c r="Q2434">
        <v>78</v>
      </c>
      <c r="R2434" t="s">
        <v>6185</v>
      </c>
      <c r="S2434" t="s">
        <v>6667</v>
      </c>
      <c r="T2434" t="s">
        <v>806</v>
      </c>
      <c r="U2434" t="s">
        <v>812</v>
      </c>
      <c r="V2434" t="s">
        <v>5996</v>
      </c>
      <c r="W2434">
        <v>28</v>
      </c>
      <c r="X2434">
        <v>29</v>
      </c>
      <c r="Y2434" t="s">
        <v>808</v>
      </c>
      <c r="Z2434" t="s">
        <v>823</v>
      </c>
      <c r="AB2434" t="s">
        <v>824</v>
      </c>
      <c r="AD2434" t="s">
        <v>794</v>
      </c>
      <c r="AE2434" t="s">
        <v>804</v>
      </c>
      <c r="AF2434" t="s">
        <v>796</v>
      </c>
      <c r="AG2434" t="s">
        <v>797</v>
      </c>
      <c r="AH2434">
        <v>1092796</v>
      </c>
      <c r="AI2434">
        <v>1154649</v>
      </c>
      <c r="AJ2434">
        <v>0</v>
      </c>
    </row>
    <row r="2435" spans="1:36" x14ac:dyDescent="0.3">
      <c r="A2435">
        <f>COUNTIF($D$2:D2435,D2435)</f>
        <v>6</v>
      </c>
      <c r="B2435" t="str">
        <f t="shared" ref="B2435:B2498" si="153">A2435&amp;D2435</f>
        <v>6Walsall</v>
      </c>
      <c r="C2435" t="s">
        <v>6670</v>
      </c>
      <c r="D2435" t="s">
        <v>333</v>
      </c>
      <c r="E2435">
        <v>28</v>
      </c>
      <c r="F2435" t="s">
        <v>964</v>
      </c>
      <c r="G2435" t="s">
        <v>787</v>
      </c>
      <c r="H2435" t="s">
        <v>788</v>
      </c>
      <c r="I2435" t="s">
        <v>789</v>
      </c>
      <c r="J2435">
        <f t="shared" ref="J2435:J2498" ca="1" si="154">SUMIF($N:$AI,C2435,AH:AH)</f>
        <v>1125066</v>
      </c>
      <c r="K2435">
        <f t="shared" ref="K2435:K2498" ca="1" si="155">SUMIF($N:$AI,C2435,W:W)</f>
        <v>336</v>
      </c>
      <c r="N2435" t="str">
        <f t="shared" si="152"/>
        <v>Suffolk79i&amp;E HomeFirst expansionHome-based intermediate care servicesRehabilitation at home (to support discharge)</v>
      </c>
      <c r="O2435" t="s">
        <v>309</v>
      </c>
      <c r="P2435" t="s">
        <v>1056</v>
      </c>
      <c r="Q2435">
        <v>79</v>
      </c>
      <c r="R2435" t="s">
        <v>6188</v>
      </c>
      <c r="S2435" t="s">
        <v>2623</v>
      </c>
      <c r="T2435" t="s">
        <v>787</v>
      </c>
      <c r="U2435" t="s">
        <v>1195</v>
      </c>
      <c r="W2435">
        <v>236</v>
      </c>
      <c r="X2435">
        <v>422</v>
      </c>
      <c r="Y2435" t="s">
        <v>789</v>
      </c>
      <c r="Z2435" t="s">
        <v>792</v>
      </c>
      <c r="AB2435" t="s">
        <v>1739</v>
      </c>
      <c r="AC2435">
        <v>0.43765049346028623</v>
      </c>
      <c r="AD2435">
        <v>0.56234950653971372</v>
      </c>
      <c r="AE2435" t="s">
        <v>795</v>
      </c>
      <c r="AF2435" t="s">
        <v>860</v>
      </c>
      <c r="AG2435" t="s">
        <v>861</v>
      </c>
      <c r="AH2435">
        <v>823042</v>
      </c>
      <c r="AI2435">
        <v>1469941.4203915866</v>
      </c>
      <c r="AJ2435">
        <v>8.1450452645460802E-2</v>
      </c>
    </row>
    <row r="2436" spans="1:36" x14ac:dyDescent="0.3">
      <c r="A2436">
        <f>COUNTIF($D$2:D2436,D2436)</f>
        <v>7</v>
      </c>
      <c r="B2436" t="str">
        <f t="shared" si="153"/>
        <v>7Walsall</v>
      </c>
      <c r="C2436" t="s">
        <v>6671</v>
      </c>
      <c r="D2436" t="s">
        <v>333</v>
      </c>
      <c r="E2436">
        <v>29</v>
      </c>
      <c r="F2436" t="s">
        <v>964</v>
      </c>
      <c r="G2436" t="s">
        <v>877</v>
      </c>
      <c r="H2436" t="s">
        <v>878</v>
      </c>
      <c r="I2436" t="s">
        <v>879</v>
      </c>
      <c r="J2436">
        <f t="shared" ca="1" si="154"/>
        <v>863088</v>
      </c>
      <c r="K2436">
        <f t="shared" ca="1" si="155"/>
        <v>336</v>
      </c>
      <c r="N2436" t="str">
        <f t="shared" si="152"/>
        <v>Suffolk81I&amp;E External reablementHome-based intermediate care servicesRehabilitation at home (to support discharge)</v>
      </c>
      <c r="O2436" t="s">
        <v>309</v>
      </c>
      <c r="P2436" t="s">
        <v>1056</v>
      </c>
      <c r="Q2436">
        <v>81</v>
      </c>
      <c r="R2436" t="s">
        <v>6190</v>
      </c>
      <c r="S2436" t="s">
        <v>2623</v>
      </c>
      <c r="T2436" t="s">
        <v>787</v>
      </c>
      <c r="U2436" t="s">
        <v>1195</v>
      </c>
      <c r="W2436">
        <v>136</v>
      </c>
      <c r="X2436">
        <v>243</v>
      </c>
      <c r="Y2436" t="s">
        <v>789</v>
      </c>
      <c r="Z2436" t="s">
        <v>792</v>
      </c>
      <c r="AB2436" t="s">
        <v>1739</v>
      </c>
      <c r="AC2436">
        <v>0.43765049346028623</v>
      </c>
      <c r="AD2436">
        <v>0.56234950653971372</v>
      </c>
      <c r="AE2436" t="s">
        <v>804</v>
      </c>
      <c r="AF2436" t="s">
        <v>860</v>
      </c>
      <c r="AG2436" t="s">
        <v>861</v>
      </c>
      <c r="AH2436">
        <v>473196</v>
      </c>
      <c r="AI2436">
        <v>845121.39157371956</v>
      </c>
      <c r="AJ2436">
        <v>4.6828750404015192E-2</v>
      </c>
    </row>
    <row r="2437" spans="1:36" x14ac:dyDescent="0.3">
      <c r="A2437">
        <f>COUNTIF($D$2:D2437,D2437)</f>
        <v>8</v>
      </c>
      <c r="B2437" t="str">
        <f t="shared" si="153"/>
        <v>8Walsall</v>
      </c>
      <c r="C2437" t="s">
        <v>6672</v>
      </c>
      <c r="D2437" t="s">
        <v>333</v>
      </c>
      <c r="E2437">
        <v>36</v>
      </c>
      <c r="F2437" t="s">
        <v>6673</v>
      </c>
      <c r="G2437" t="s">
        <v>800</v>
      </c>
      <c r="H2437" t="s">
        <v>903</v>
      </c>
      <c r="I2437" t="s">
        <v>802</v>
      </c>
      <c r="J2437">
        <f t="shared" ca="1" si="154"/>
        <v>523534.88</v>
      </c>
      <c r="K2437">
        <f t="shared" ca="1" si="155"/>
        <v>185</v>
      </c>
      <c r="N2437" t="str">
        <f t="shared" si="152"/>
        <v>Suffolk82I&amp;E Commission floating support service to aid reablement activity, aimed at short term bed based offers of care Bed based intermediate Care Services (Reablement, rehabilitation, wider short-term services supporting recovery)Bed-based intermediate care with reablement (to support discharge)</v>
      </c>
      <c r="O2437" t="s">
        <v>309</v>
      </c>
      <c r="P2437" t="s">
        <v>1056</v>
      </c>
      <c r="Q2437">
        <v>82</v>
      </c>
      <c r="R2437" t="s">
        <v>6192</v>
      </c>
      <c r="S2437" t="s">
        <v>6674</v>
      </c>
      <c r="T2437" t="s">
        <v>877</v>
      </c>
      <c r="U2437" t="s">
        <v>878</v>
      </c>
      <c r="W2437">
        <v>135</v>
      </c>
      <c r="X2437">
        <v>135</v>
      </c>
      <c r="Y2437" t="s">
        <v>879</v>
      </c>
      <c r="Z2437" t="s">
        <v>792</v>
      </c>
      <c r="AB2437" t="s">
        <v>1739</v>
      </c>
      <c r="AC2437">
        <v>0.43765049346028623</v>
      </c>
      <c r="AD2437">
        <v>0.56234950653971372</v>
      </c>
      <c r="AE2437" t="s">
        <v>795</v>
      </c>
      <c r="AF2437" t="s">
        <v>860</v>
      </c>
      <c r="AG2437" t="s">
        <v>861</v>
      </c>
      <c r="AH2437">
        <v>443040</v>
      </c>
      <c r="AI2437">
        <v>791263.20028660563</v>
      </c>
      <c r="AJ2437">
        <v>3.7567426382166111E-3</v>
      </c>
    </row>
    <row r="2438" spans="1:36" x14ac:dyDescent="0.3">
      <c r="A2438">
        <f>COUNTIF($D$2:D2438,D2438)</f>
        <v>9</v>
      </c>
      <c r="B2438" t="str">
        <f t="shared" si="153"/>
        <v>9Walsall</v>
      </c>
      <c r="C2438" t="s">
        <v>6675</v>
      </c>
      <c r="D2438" t="s">
        <v>333</v>
      </c>
      <c r="E2438">
        <v>38</v>
      </c>
      <c r="F2438" t="s">
        <v>6676</v>
      </c>
      <c r="G2438" t="s">
        <v>877</v>
      </c>
      <c r="H2438" t="s">
        <v>968</v>
      </c>
      <c r="I2438" t="s">
        <v>879</v>
      </c>
      <c r="J2438">
        <f t="shared" ca="1" si="154"/>
        <v>768873.09400000004</v>
      </c>
      <c r="K2438">
        <f t="shared" ca="1" si="155"/>
        <v>15</v>
      </c>
      <c r="N2438" t="str">
        <f t="shared" si="152"/>
        <v>Suffolk84I&amp;E Avocet Court beds (31 beds Apr-Jun, 25 beds Jul-Mar)Bed based intermediate Care Services (Reablement, rehabilitation, wider short-term services supporting recovery)Bed-based intermediate care with rehabilitation (to support discharge)</v>
      </c>
      <c r="O2438" t="s">
        <v>309</v>
      </c>
      <c r="P2438" t="s">
        <v>1056</v>
      </c>
      <c r="Q2438">
        <v>84</v>
      </c>
      <c r="R2438" t="s">
        <v>6194</v>
      </c>
      <c r="S2438" t="s">
        <v>6674</v>
      </c>
      <c r="T2438" t="s">
        <v>877</v>
      </c>
      <c r="U2438" t="s">
        <v>968</v>
      </c>
      <c r="W2438">
        <v>135</v>
      </c>
      <c r="X2438">
        <v>135</v>
      </c>
      <c r="Y2438" t="s">
        <v>879</v>
      </c>
      <c r="Z2438" t="s">
        <v>792</v>
      </c>
      <c r="AB2438" t="s">
        <v>1739</v>
      </c>
      <c r="AC2438">
        <v>0.43765049346028623</v>
      </c>
      <c r="AD2438">
        <v>0.56234950653971372</v>
      </c>
      <c r="AE2438" t="s">
        <v>804</v>
      </c>
      <c r="AF2438" t="s">
        <v>864</v>
      </c>
      <c r="AG2438" t="s">
        <v>861</v>
      </c>
      <c r="AH2438">
        <v>1560385.7142857146</v>
      </c>
      <c r="AI2438">
        <v>2786826.9094601292</v>
      </c>
      <c r="AJ2438">
        <v>1.3231237687164195E-2</v>
      </c>
    </row>
    <row r="2439" spans="1:36" x14ac:dyDescent="0.3">
      <c r="A2439">
        <f>COUNTIF($D$2:D2439,D2439)</f>
        <v>10</v>
      </c>
      <c r="B2439" t="str">
        <f t="shared" si="153"/>
        <v>10Walsall</v>
      </c>
      <c r="C2439" t="s">
        <v>6677</v>
      </c>
      <c r="D2439" t="s">
        <v>333</v>
      </c>
      <c r="E2439">
        <v>41</v>
      </c>
      <c r="F2439" t="s">
        <v>964</v>
      </c>
      <c r="G2439" t="s">
        <v>787</v>
      </c>
      <c r="H2439" t="s">
        <v>930</v>
      </c>
      <c r="I2439" t="s">
        <v>789</v>
      </c>
      <c r="J2439">
        <f t="shared" ca="1" si="154"/>
        <v>692205.09600000002</v>
      </c>
      <c r="K2439">
        <f t="shared" ca="1" si="155"/>
        <v>336</v>
      </c>
      <c r="N2439" t="str">
        <f t="shared" si="152"/>
        <v>Suffolk85I&amp;E LD&amp;A/MH reablementHome-based intermediate care servicesRehabilitation at home (to support discharge)</v>
      </c>
      <c r="O2439" t="s">
        <v>309</v>
      </c>
      <c r="P2439" t="s">
        <v>1056</v>
      </c>
      <c r="Q2439">
        <v>85</v>
      </c>
      <c r="R2439" t="s">
        <v>6196</v>
      </c>
      <c r="S2439" t="s">
        <v>2623</v>
      </c>
      <c r="T2439" t="s">
        <v>787</v>
      </c>
      <c r="U2439" t="s">
        <v>1195</v>
      </c>
      <c r="W2439">
        <v>45</v>
      </c>
      <c r="X2439">
        <v>97</v>
      </c>
      <c r="Y2439" t="s">
        <v>789</v>
      </c>
      <c r="Z2439" t="s">
        <v>792</v>
      </c>
      <c r="AB2439" t="s">
        <v>1739</v>
      </c>
      <c r="AC2439">
        <v>0.43765049346028623</v>
      </c>
      <c r="AD2439">
        <v>0.56234950653971372</v>
      </c>
      <c r="AE2439" t="s">
        <v>795</v>
      </c>
      <c r="AF2439" t="s">
        <v>864</v>
      </c>
      <c r="AG2439" t="s">
        <v>861</v>
      </c>
      <c r="AH2439">
        <v>155072</v>
      </c>
      <c r="AI2439">
        <v>336189.14117810957</v>
      </c>
      <c r="AJ2439">
        <v>1.8628468688331196E-2</v>
      </c>
    </row>
    <row r="2440" spans="1:36" x14ac:dyDescent="0.3">
      <c r="A2440">
        <f>COUNTIF($D$2:D2440,D2440)</f>
        <v>11</v>
      </c>
      <c r="B2440" t="str">
        <f t="shared" si="153"/>
        <v>11Walsall</v>
      </c>
      <c r="C2440" t="s">
        <v>6678</v>
      </c>
      <c r="D2440" t="s">
        <v>333</v>
      </c>
      <c r="E2440">
        <v>52</v>
      </c>
      <c r="F2440" t="s">
        <v>6660</v>
      </c>
      <c r="G2440" t="s">
        <v>800</v>
      </c>
      <c r="H2440" t="s">
        <v>903</v>
      </c>
      <c r="I2440" t="s">
        <v>802</v>
      </c>
      <c r="J2440">
        <f t="shared" ca="1" si="154"/>
        <v>723488.52800000005</v>
      </c>
      <c r="K2440">
        <f t="shared" ca="1" si="155"/>
        <v>185</v>
      </c>
      <c r="N2440" t="str">
        <f t="shared" si="152"/>
        <v>Suffolk86West HomeFirst expansionHome-based intermediate care servicesRehabilitation at home (to support discharge)</v>
      </c>
      <c r="O2440" t="s">
        <v>309</v>
      </c>
      <c r="P2440" t="s">
        <v>1056</v>
      </c>
      <c r="Q2440">
        <v>86</v>
      </c>
      <c r="R2440" t="s">
        <v>6198</v>
      </c>
      <c r="S2440" t="s">
        <v>2623</v>
      </c>
      <c r="T2440" t="s">
        <v>787</v>
      </c>
      <c r="U2440" t="s">
        <v>1195</v>
      </c>
      <c r="W2440">
        <v>170</v>
      </c>
      <c r="X2440">
        <v>308</v>
      </c>
      <c r="Y2440" t="s">
        <v>789</v>
      </c>
      <c r="Z2440" t="s">
        <v>792</v>
      </c>
      <c r="AB2440" t="s">
        <v>1739</v>
      </c>
      <c r="AC2440">
        <v>0.51406489063864358</v>
      </c>
      <c r="AD2440">
        <v>0.48593510936135642</v>
      </c>
      <c r="AE2440" t="s">
        <v>795</v>
      </c>
      <c r="AF2440" t="s">
        <v>860</v>
      </c>
      <c r="AG2440" t="s">
        <v>861</v>
      </c>
      <c r="AH2440">
        <v>592806</v>
      </c>
      <c r="AI2440">
        <v>1071089.8281724264</v>
      </c>
      <c r="AJ2440">
        <v>5.8665678095340262E-2</v>
      </c>
    </row>
    <row r="2441" spans="1:36" x14ac:dyDescent="0.3">
      <c r="A2441">
        <f>COUNTIF($D$2:D2441,D2441)</f>
        <v>12</v>
      </c>
      <c r="B2441" t="str">
        <f t="shared" si="153"/>
        <v>12Walsall</v>
      </c>
      <c r="C2441" t="s">
        <v>6679</v>
      </c>
      <c r="D2441" t="s">
        <v>333</v>
      </c>
      <c r="E2441">
        <v>58</v>
      </c>
      <c r="F2441" t="s">
        <v>6680</v>
      </c>
      <c r="G2441" t="s">
        <v>806</v>
      </c>
      <c r="H2441" t="s">
        <v>955</v>
      </c>
      <c r="I2441" t="s">
        <v>808</v>
      </c>
      <c r="J2441">
        <f t="shared" ca="1" si="154"/>
        <v>204116</v>
      </c>
      <c r="K2441">
        <f t="shared" ca="1" si="155"/>
        <v>15</v>
      </c>
      <c r="N2441" t="str">
        <f t="shared" si="152"/>
        <v>Suffolk88West x 18 Community Beds including complex beds.Bed based intermediate Care Services (Reablement, rehabilitation, wider short-term services supporting recovery)Bed-based intermediate care with reablement (to support discharge)</v>
      </c>
      <c r="O2441" t="s">
        <v>309</v>
      </c>
      <c r="P2441" t="s">
        <v>1056</v>
      </c>
      <c r="Q2441">
        <v>88</v>
      </c>
      <c r="R2441" t="s">
        <v>6200</v>
      </c>
      <c r="S2441" t="s">
        <v>6674</v>
      </c>
      <c r="T2441" t="s">
        <v>877</v>
      </c>
      <c r="U2441" t="s">
        <v>878</v>
      </c>
      <c r="W2441">
        <v>156</v>
      </c>
      <c r="X2441">
        <v>156</v>
      </c>
      <c r="Y2441" t="s">
        <v>879</v>
      </c>
      <c r="Z2441" t="s">
        <v>792</v>
      </c>
      <c r="AB2441" t="s">
        <v>1739</v>
      </c>
      <c r="AC2441">
        <v>0.51406489063864358</v>
      </c>
      <c r="AD2441">
        <v>0.48593510936135642</v>
      </c>
      <c r="AE2441" t="s">
        <v>804</v>
      </c>
      <c r="AF2441" t="s">
        <v>864</v>
      </c>
      <c r="AG2441" t="s">
        <v>861</v>
      </c>
      <c r="AH2441">
        <v>1260000</v>
      </c>
      <c r="AI2441">
        <v>1237957.8920173801</v>
      </c>
      <c r="AJ2441">
        <v>7.7471200044730883E-3</v>
      </c>
    </row>
    <row r="2442" spans="1:36" x14ac:dyDescent="0.3">
      <c r="A2442">
        <f>COUNTIF($D$2:D2442,D2442)</f>
        <v>1</v>
      </c>
      <c r="B2442" t="str">
        <f t="shared" si="153"/>
        <v>1Waltham Forest</v>
      </c>
      <c r="C2442" t="s">
        <v>6681</v>
      </c>
      <c r="D2442" t="s">
        <v>335</v>
      </c>
      <c r="E2442">
        <v>1</v>
      </c>
      <c r="F2442" t="s">
        <v>6682</v>
      </c>
      <c r="G2442" t="s">
        <v>800</v>
      </c>
      <c r="H2442" t="s">
        <v>903</v>
      </c>
      <c r="I2442" t="s">
        <v>802</v>
      </c>
      <c r="J2442">
        <f t="shared" ca="1" si="154"/>
        <v>592074</v>
      </c>
      <c r="K2442">
        <f t="shared" ca="1" si="155"/>
        <v>18000</v>
      </c>
      <c r="N2442" t="str">
        <f t="shared" si="152"/>
        <v>Suffolk89West LD&amp;A/MH reablementHome-based intermediate care servicesRehabilitation at home (to support discharge)</v>
      </c>
      <c r="O2442" t="s">
        <v>309</v>
      </c>
      <c r="P2442" t="s">
        <v>1056</v>
      </c>
      <c r="Q2442">
        <v>89</v>
      </c>
      <c r="R2442" t="s">
        <v>6202</v>
      </c>
      <c r="S2442" t="s">
        <v>2623</v>
      </c>
      <c r="T2442" t="s">
        <v>787</v>
      </c>
      <c r="U2442" t="s">
        <v>1195</v>
      </c>
      <c r="W2442">
        <v>22</v>
      </c>
      <c r="X2442">
        <v>23</v>
      </c>
      <c r="Y2442" t="s">
        <v>789</v>
      </c>
      <c r="Z2442" t="s">
        <v>792</v>
      </c>
      <c r="AB2442" t="s">
        <v>1739</v>
      </c>
      <c r="AC2442">
        <v>0.51406489063864358</v>
      </c>
      <c r="AD2442">
        <v>0.48593510936135642</v>
      </c>
      <c r="AE2442" t="s">
        <v>795</v>
      </c>
      <c r="AF2442" t="s">
        <v>864</v>
      </c>
      <c r="AG2442" t="s">
        <v>861</v>
      </c>
      <c r="AH2442">
        <v>77536</v>
      </c>
      <c r="AI2442">
        <v>80168.310840326449</v>
      </c>
      <c r="AJ2442">
        <v>4.3909746815825879E-3</v>
      </c>
    </row>
    <row r="2443" spans="1:36" x14ac:dyDescent="0.3">
      <c r="A2443">
        <f>COUNTIF($D$2:D2443,D2443)</f>
        <v>2</v>
      </c>
      <c r="B2443" t="str">
        <f t="shared" si="153"/>
        <v>2Waltham Forest</v>
      </c>
      <c r="C2443" t="s">
        <v>6683</v>
      </c>
      <c r="D2443" t="s">
        <v>335</v>
      </c>
      <c r="E2443">
        <v>7</v>
      </c>
      <c r="F2443" t="s">
        <v>6684</v>
      </c>
      <c r="G2443" t="s">
        <v>842</v>
      </c>
      <c r="H2443" t="s">
        <v>843</v>
      </c>
      <c r="I2443" t="s">
        <v>844</v>
      </c>
      <c r="J2443">
        <f t="shared" ca="1" si="154"/>
        <v>1550000</v>
      </c>
      <c r="K2443">
        <f t="shared" ca="1" si="155"/>
        <v>86100</v>
      </c>
      <c r="N2443" t="str">
        <f t="shared" si="152"/>
        <v>Suffolk92N&amp;W Partnership BedsResidential PlacementsCare home</v>
      </c>
      <c r="O2443" t="s">
        <v>309</v>
      </c>
      <c r="P2443" t="s">
        <v>1056</v>
      </c>
      <c r="Q2443">
        <v>92</v>
      </c>
      <c r="R2443" t="s">
        <v>6205</v>
      </c>
      <c r="S2443" t="s">
        <v>6685</v>
      </c>
      <c r="T2443" t="s">
        <v>806</v>
      </c>
      <c r="U2443" t="s">
        <v>807</v>
      </c>
      <c r="W2443">
        <v>3</v>
      </c>
      <c r="X2443">
        <v>5</v>
      </c>
      <c r="Y2443" t="s">
        <v>808</v>
      </c>
      <c r="Z2443" t="s">
        <v>792</v>
      </c>
      <c r="AB2443" t="s">
        <v>793</v>
      </c>
      <c r="AD2443" t="s">
        <v>794</v>
      </c>
      <c r="AE2443" t="s">
        <v>804</v>
      </c>
      <c r="AF2443" t="s">
        <v>864</v>
      </c>
      <c r="AG2443" t="s">
        <v>861</v>
      </c>
      <c r="AH2443">
        <v>137918</v>
      </c>
      <c r="AI2443">
        <v>229854</v>
      </c>
      <c r="AJ2443">
        <v>1.1694709985047818E-3</v>
      </c>
    </row>
    <row r="2444" spans="1:36" x14ac:dyDescent="0.3">
      <c r="A2444">
        <f>COUNTIF($D$2:D2444,D2444)</f>
        <v>3</v>
      </c>
      <c r="B2444" t="str">
        <f t="shared" si="153"/>
        <v>3Waltham Forest</v>
      </c>
      <c r="C2444" t="s">
        <v>6686</v>
      </c>
      <c r="D2444" t="s">
        <v>335</v>
      </c>
      <c r="E2444">
        <v>13</v>
      </c>
      <c r="F2444" t="s">
        <v>6687</v>
      </c>
      <c r="G2444" t="s">
        <v>787</v>
      </c>
      <c r="H2444" t="s">
        <v>1195</v>
      </c>
      <c r="I2444" t="s">
        <v>789</v>
      </c>
      <c r="J2444">
        <f t="shared" ca="1" si="154"/>
        <v>1828000</v>
      </c>
      <c r="K2444">
        <f t="shared" ca="1" si="155"/>
        <v>101500</v>
      </c>
      <c r="N2444" t="str">
        <f t="shared" si="152"/>
        <v xml:space="preserve">Suffolk93N&amp;W Complex Needs Support at HomeHome-based intermediate care servicesReablement at home (to support discharge) </v>
      </c>
      <c r="O2444" t="s">
        <v>309</v>
      </c>
      <c r="P2444" t="s">
        <v>1056</v>
      </c>
      <c r="Q2444">
        <v>93</v>
      </c>
      <c r="R2444" t="s">
        <v>6207</v>
      </c>
      <c r="S2444" t="s">
        <v>6688</v>
      </c>
      <c r="T2444" t="s">
        <v>787</v>
      </c>
      <c r="U2444" t="s">
        <v>788</v>
      </c>
      <c r="W2444">
        <v>35</v>
      </c>
      <c r="X2444">
        <v>65</v>
      </c>
      <c r="Y2444" t="s">
        <v>789</v>
      </c>
      <c r="Z2444" t="s">
        <v>792</v>
      </c>
      <c r="AB2444" t="s">
        <v>793</v>
      </c>
      <c r="AD2444" t="s">
        <v>794</v>
      </c>
      <c r="AE2444" t="s">
        <v>804</v>
      </c>
      <c r="AF2444" t="s">
        <v>864</v>
      </c>
      <c r="AG2444" t="s">
        <v>861</v>
      </c>
      <c r="AH2444">
        <v>80000</v>
      </c>
      <c r="AI2444">
        <v>133328</v>
      </c>
      <c r="AJ2444">
        <v>7.9170154276900391E-3</v>
      </c>
    </row>
    <row r="2445" spans="1:36" x14ac:dyDescent="0.3">
      <c r="A2445">
        <f>COUNTIF($D$2:D2445,D2445)</f>
        <v>4</v>
      </c>
      <c r="B2445" t="str">
        <f t="shared" si="153"/>
        <v>4Waltham Forest</v>
      </c>
      <c r="C2445" t="s">
        <v>6689</v>
      </c>
      <c r="D2445" t="s">
        <v>335</v>
      </c>
      <c r="E2445">
        <v>16</v>
      </c>
      <c r="F2445" t="s">
        <v>3403</v>
      </c>
      <c r="G2445" t="s">
        <v>877</v>
      </c>
      <c r="H2445" t="s">
        <v>968</v>
      </c>
      <c r="I2445" t="s">
        <v>879</v>
      </c>
      <c r="J2445">
        <f t="shared" ca="1" si="154"/>
        <v>4745000</v>
      </c>
      <c r="K2445">
        <f t="shared" ca="1" si="155"/>
        <v>76</v>
      </c>
      <c r="N2445" t="str">
        <f t="shared" si="152"/>
        <v>Suffolk94N&amp;W Homebased-reablementHome-based intermediate care servicesRehabilitation at home (to support discharge)</v>
      </c>
      <c r="O2445" t="s">
        <v>309</v>
      </c>
      <c r="P2445" t="s">
        <v>1056</v>
      </c>
      <c r="Q2445">
        <v>94</v>
      </c>
      <c r="R2445" t="s">
        <v>6210</v>
      </c>
      <c r="S2445" t="s">
        <v>6690</v>
      </c>
      <c r="T2445" t="s">
        <v>787</v>
      </c>
      <c r="U2445" t="s">
        <v>1195</v>
      </c>
      <c r="W2445">
        <v>63</v>
      </c>
      <c r="X2445">
        <v>105</v>
      </c>
      <c r="Y2445" t="s">
        <v>789</v>
      </c>
      <c r="Z2445" t="s">
        <v>792</v>
      </c>
      <c r="AB2445" t="s">
        <v>793</v>
      </c>
      <c r="AD2445" t="s">
        <v>794</v>
      </c>
      <c r="AE2445" t="s">
        <v>795</v>
      </c>
      <c r="AF2445" t="s">
        <v>864</v>
      </c>
      <c r="AG2445" t="s">
        <v>861</v>
      </c>
      <c r="AH2445">
        <v>220113</v>
      </c>
      <c r="AI2445">
        <v>366840</v>
      </c>
      <c r="AJ2445">
        <v>2.1782975210439218E-2</v>
      </c>
    </row>
    <row r="2446" spans="1:36" x14ac:dyDescent="0.3">
      <c r="A2446">
        <f>COUNTIF($D$2:D2446,D2446)</f>
        <v>5</v>
      </c>
      <c r="B2446" t="str">
        <f t="shared" si="153"/>
        <v>5Waltham Forest</v>
      </c>
      <c r="C2446" t="s">
        <v>6691</v>
      </c>
      <c r="D2446" t="s">
        <v>335</v>
      </c>
      <c r="E2446">
        <v>21</v>
      </c>
      <c r="F2446" t="s">
        <v>6692</v>
      </c>
      <c r="G2446" t="s">
        <v>806</v>
      </c>
      <c r="H2446" t="s">
        <v>934</v>
      </c>
      <c r="I2446" t="s">
        <v>808</v>
      </c>
      <c r="J2446">
        <f t="shared" ca="1" si="154"/>
        <v>235000</v>
      </c>
      <c r="K2446">
        <f t="shared" ca="1" si="155"/>
        <v>10</v>
      </c>
      <c r="N2446" t="str">
        <f t="shared" si="152"/>
        <v>Suffolk95N&amp;W Homebased-reablementHome-based intermediate care servicesRehabilitation at home (to support discharge)</v>
      </c>
      <c r="O2446" t="s">
        <v>309</v>
      </c>
      <c r="P2446" t="s">
        <v>1056</v>
      </c>
      <c r="Q2446">
        <v>95</v>
      </c>
      <c r="R2446" t="s">
        <v>6210</v>
      </c>
      <c r="S2446" t="s">
        <v>6693</v>
      </c>
      <c r="T2446" t="s">
        <v>787</v>
      </c>
      <c r="U2446" t="s">
        <v>1195</v>
      </c>
      <c r="W2446">
        <v>88</v>
      </c>
      <c r="X2446">
        <v>146</v>
      </c>
      <c r="Y2446" t="s">
        <v>789</v>
      </c>
      <c r="Z2446" t="s">
        <v>792</v>
      </c>
      <c r="AB2446" t="s">
        <v>793</v>
      </c>
      <c r="AD2446" t="s">
        <v>794</v>
      </c>
      <c r="AE2446" t="s">
        <v>795</v>
      </c>
      <c r="AF2446" t="s">
        <v>864</v>
      </c>
      <c r="AG2446" t="s">
        <v>861</v>
      </c>
      <c r="AH2446">
        <v>306000</v>
      </c>
      <c r="AI2446">
        <v>509980</v>
      </c>
      <c r="AJ2446">
        <v>3.0282584010914399E-2</v>
      </c>
    </row>
    <row r="2447" spans="1:36" x14ac:dyDescent="0.3">
      <c r="A2447">
        <f>COUNTIF($D$2:D2447,D2447)</f>
        <v>6</v>
      </c>
      <c r="B2447" t="str">
        <f t="shared" si="153"/>
        <v>6Waltham Forest</v>
      </c>
      <c r="C2447" t="s">
        <v>6694</v>
      </c>
      <c r="D2447" t="s">
        <v>335</v>
      </c>
      <c r="E2447">
        <v>22</v>
      </c>
      <c r="F2447" t="s">
        <v>6695</v>
      </c>
      <c r="G2447" t="s">
        <v>806</v>
      </c>
      <c r="H2447" t="s">
        <v>807</v>
      </c>
      <c r="I2447" t="s">
        <v>808</v>
      </c>
      <c r="J2447">
        <f t="shared" ca="1" si="154"/>
        <v>530000</v>
      </c>
      <c r="K2447">
        <f t="shared" ca="1" si="155"/>
        <v>10</v>
      </c>
      <c r="N2447" t="str">
        <f t="shared" si="152"/>
        <v>Suffolk96N&amp;W Short term res bedsResidential PlacementsCare home</v>
      </c>
      <c r="O2447" t="s">
        <v>309</v>
      </c>
      <c r="P2447" t="s">
        <v>1056</v>
      </c>
      <c r="Q2447">
        <v>96</v>
      </c>
      <c r="R2447" t="s">
        <v>6215</v>
      </c>
      <c r="S2447" t="s">
        <v>6696</v>
      </c>
      <c r="T2447" t="s">
        <v>806</v>
      </c>
      <c r="U2447" t="s">
        <v>807</v>
      </c>
      <c r="W2447">
        <v>9</v>
      </c>
      <c r="X2447">
        <v>15</v>
      </c>
      <c r="Y2447" t="s">
        <v>808</v>
      </c>
      <c r="Z2447" t="s">
        <v>792</v>
      </c>
      <c r="AB2447" t="s">
        <v>793</v>
      </c>
      <c r="AD2447" t="s">
        <v>794</v>
      </c>
      <c r="AE2447" t="s">
        <v>804</v>
      </c>
      <c r="AF2447" t="s">
        <v>864</v>
      </c>
      <c r="AG2447" t="s">
        <v>861</v>
      </c>
      <c r="AH2447">
        <v>50000</v>
      </c>
      <c r="AI2447">
        <v>83330</v>
      </c>
      <c r="AJ2447">
        <v>4.239733024350635E-4</v>
      </c>
    </row>
    <row r="2448" spans="1:36" x14ac:dyDescent="0.3">
      <c r="A2448">
        <f>COUNTIF($D$2:D2448,D2448)</f>
        <v>7</v>
      </c>
      <c r="B2448" t="str">
        <f t="shared" si="153"/>
        <v>7Waltham Forest</v>
      </c>
      <c r="C2448" t="s">
        <v>6697</v>
      </c>
      <c r="D2448" t="s">
        <v>335</v>
      </c>
      <c r="E2448">
        <v>23</v>
      </c>
      <c r="F2448" t="s">
        <v>6698</v>
      </c>
      <c r="G2448" t="s">
        <v>806</v>
      </c>
      <c r="H2448" t="s">
        <v>873</v>
      </c>
      <c r="I2448" t="s">
        <v>808</v>
      </c>
      <c r="J2448">
        <f t="shared" ca="1" si="154"/>
        <v>875418</v>
      </c>
      <c r="K2448">
        <f t="shared" ca="1" si="155"/>
        <v>17</v>
      </c>
      <c r="N2448" t="str">
        <f t="shared" si="152"/>
        <v>Suffolk97N&amp;W Kirkley Discharge BedsBed based intermediate Care Services (Reablement, rehabilitation, wider short-term services supporting recovery)Bed-based intermediate care with reablement (to support discharge)</v>
      </c>
      <c r="O2448" t="s">
        <v>309</v>
      </c>
      <c r="P2448" t="s">
        <v>1056</v>
      </c>
      <c r="Q2448">
        <v>97</v>
      </c>
      <c r="R2448" t="s">
        <v>6217</v>
      </c>
      <c r="S2448" t="s">
        <v>6699</v>
      </c>
      <c r="T2448" t="s">
        <v>877</v>
      </c>
      <c r="U2448" t="s">
        <v>878</v>
      </c>
      <c r="W2448">
        <v>21</v>
      </c>
      <c r="X2448">
        <v>21</v>
      </c>
      <c r="Y2448" t="s">
        <v>879</v>
      </c>
      <c r="Z2448" t="s">
        <v>792</v>
      </c>
      <c r="AB2448" t="s">
        <v>793</v>
      </c>
      <c r="AD2448" t="s">
        <v>794</v>
      </c>
      <c r="AE2448" t="s">
        <v>804</v>
      </c>
      <c r="AF2448" t="s">
        <v>860</v>
      </c>
      <c r="AG2448" t="s">
        <v>861</v>
      </c>
      <c r="AH2448">
        <v>59000</v>
      </c>
      <c r="AI2448">
        <v>90428</v>
      </c>
      <c r="AJ2448">
        <v>5.0028849687337501E-4</v>
      </c>
    </row>
    <row r="2449" spans="1:36" x14ac:dyDescent="0.3">
      <c r="A2449">
        <f>COUNTIF($D$2:D2449,D2449)</f>
        <v>8</v>
      </c>
      <c r="B2449" t="str">
        <f t="shared" si="153"/>
        <v>8Waltham Forest</v>
      </c>
      <c r="C2449" t="s">
        <v>6700</v>
      </c>
      <c r="D2449" t="s">
        <v>335</v>
      </c>
      <c r="E2449">
        <v>24</v>
      </c>
      <c r="F2449" t="s">
        <v>6701</v>
      </c>
      <c r="G2449" t="s">
        <v>877</v>
      </c>
      <c r="H2449" t="s">
        <v>1015</v>
      </c>
      <c r="I2449" t="s">
        <v>879</v>
      </c>
      <c r="J2449">
        <f t="shared" ca="1" si="154"/>
        <v>504000</v>
      </c>
      <c r="K2449">
        <f t="shared" ca="1" si="155"/>
        <v>10</v>
      </c>
      <c r="N2449" t="str">
        <f t="shared" si="152"/>
        <v>Suffolk98N&amp;W Ritson Discharge BedsBed based intermediate Care Services (Reablement, rehabilitation, wider short-term services supporting recovery)Bed-based intermediate care with reablement (to support discharge)</v>
      </c>
      <c r="O2449" t="s">
        <v>309</v>
      </c>
      <c r="P2449" t="s">
        <v>1056</v>
      </c>
      <c r="Q2449">
        <v>98</v>
      </c>
      <c r="R2449" t="s">
        <v>6219</v>
      </c>
      <c r="S2449" t="s">
        <v>6702</v>
      </c>
      <c r="T2449" t="s">
        <v>877</v>
      </c>
      <c r="U2449" t="s">
        <v>878</v>
      </c>
      <c r="W2449">
        <v>21</v>
      </c>
      <c r="X2449">
        <v>21</v>
      </c>
      <c r="Y2449" t="s">
        <v>879</v>
      </c>
      <c r="Z2449" t="s">
        <v>792</v>
      </c>
      <c r="AB2449" t="s">
        <v>793</v>
      </c>
      <c r="AD2449" t="s">
        <v>794</v>
      </c>
      <c r="AE2449" t="s">
        <v>804</v>
      </c>
      <c r="AF2449" t="s">
        <v>860</v>
      </c>
      <c r="AG2449" t="s">
        <v>861</v>
      </c>
      <c r="AH2449">
        <v>61500</v>
      </c>
      <c r="AI2449">
        <v>94259</v>
      </c>
      <c r="AJ2449">
        <v>5.2148716199512809E-4</v>
      </c>
    </row>
    <row r="2450" spans="1:36" x14ac:dyDescent="0.3">
      <c r="A2450">
        <f>COUNTIF($D$2:D2450,D2450)</f>
        <v>9</v>
      </c>
      <c r="B2450" t="str">
        <f t="shared" si="153"/>
        <v>9Waltham Forest</v>
      </c>
      <c r="C2450" t="s">
        <v>6703</v>
      </c>
      <c r="D2450" t="s">
        <v>335</v>
      </c>
      <c r="E2450">
        <v>26</v>
      </c>
      <c r="F2450" t="s">
        <v>5800</v>
      </c>
      <c r="G2450" t="s">
        <v>811</v>
      </c>
      <c r="H2450" t="s">
        <v>895</v>
      </c>
      <c r="I2450" t="s">
        <v>813</v>
      </c>
      <c r="J2450">
        <f t="shared" ca="1" si="154"/>
        <v>182000</v>
      </c>
      <c r="K2450">
        <f t="shared" ca="1" si="155"/>
        <v>648</v>
      </c>
      <c r="N2450" t="str">
        <f t="shared" si="152"/>
        <v>Suffolk99N&amp;W Wickham Discharge BedsResidential PlacementsCare home</v>
      </c>
      <c r="O2450" t="s">
        <v>309</v>
      </c>
      <c r="P2450" t="s">
        <v>1056</v>
      </c>
      <c r="Q2450">
        <v>99</v>
      </c>
      <c r="R2450" t="s">
        <v>6221</v>
      </c>
      <c r="S2450" t="s">
        <v>6704</v>
      </c>
      <c r="T2450" t="s">
        <v>806</v>
      </c>
      <c r="U2450" t="s">
        <v>807</v>
      </c>
      <c r="W2450">
        <v>4</v>
      </c>
      <c r="X2450">
        <v>5</v>
      </c>
      <c r="Y2450" t="s">
        <v>808</v>
      </c>
      <c r="Z2450" t="s">
        <v>792</v>
      </c>
      <c r="AB2450" t="s">
        <v>793</v>
      </c>
      <c r="AD2450" t="s">
        <v>794</v>
      </c>
      <c r="AE2450" t="s">
        <v>804</v>
      </c>
      <c r="AF2450" t="s">
        <v>860</v>
      </c>
      <c r="AG2450" t="s">
        <v>861</v>
      </c>
      <c r="AH2450">
        <v>19500</v>
      </c>
      <c r="AI2450">
        <v>29887</v>
      </c>
      <c r="AJ2450">
        <v>1.6534958794967478E-4</v>
      </c>
    </row>
    <row r="2451" spans="1:36" x14ac:dyDescent="0.3">
      <c r="A2451">
        <f>COUNTIF($D$2:D2451,D2451)</f>
        <v>10</v>
      </c>
      <c r="B2451" t="str">
        <f t="shared" si="153"/>
        <v>10Waltham Forest</v>
      </c>
      <c r="C2451" t="s">
        <v>6705</v>
      </c>
      <c r="D2451" t="s">
        <v>335</v>
      </c>
      <c r="E2451">
        <v>27</v>
      </c>
      <c r="F2451" t="s">
        <v>434</v>
      </c>
      <c r="G2451" t="s">
        <v>842</v>
      </c>
      <c r="H2451" t="s">
        <v>843</v>
      </c>
      <c r="I2451" t="s">
        <v>844</v>
      </c>
      <c r="J2451">
        <f t="shared" ca="1" si="154"/>
        <v>0</v>
      </c>
      <c r="K2451">
        <f t="shared" ca="1" si="155"/>
        <v>50000</v>
      </c>
      <c r="N2451" t="str">
        <f t="shared" si="152"/>
        <v>Suffolk100N&amp;W MDT Support for East BedsBed based intermediate Care Services (Reablement, rehabilitation, wider short-term services supporting recovery)Bed-based intermediate care with reablement (to support discharge)</v>
      </c>
      <c r="O2451" t="s">
        <v>309</v>
      </c>
      <c r="P2451" t="s">
        <v>1056</v>
      </c>
      <c r="Q2451">
        <v>100</v>
      </c>
      <c r="R2451" t="s">
        <v>6223</v>
      </c>
      <c r="S2451" t="s">
        <v>6706</v>
      </c>
      <c r="T2451" t="s">
        <v>877</v>
      </c>
      <c r="U2451" t="s">
        <v>878</v>
      </c>
      <c r="W2451">
        <v>42</v>
      </c>
      <c r="X2451">
        <v>42</v>
      </c>
      <c r="Y2451" t="s">
        <v>879</v>
      </c>
      <c r="Z2451" t="s">
        <v>792</v>
      </c>
      <c r="AB2451" t="s">
        <v>793</v>
      </c>
      <c r="AD2451" t="s">
        <v>794</v>
      </c>
      <c r="AE2451" t="s">
        <v>825</v>
      </c>
      <c r="AF2451" t="s">
        <v>860</v>
      </c>
      <c r="AG2451" t="s">
        <v>861</v>
      </c>
      <c r="AH2451">
        <v>12500</v>
      </c>
      <c r="AI2451">
        <v>19158</v>
      </c>
      <c r="AJ2451">
        <v>1.0599332560876587E-4</v>
      </c>
    </row>
    <row r="2452" spans="1:36" x14ac:dyDescent="0.3">
      <c r="A2452">
        <f>COUNTIF($D$2:D2452,D2452)</f>
        <v>11</v>
      </c>
      <c r="B2452" t="str">
        <f t="shared" si="153"/>
        <v>11Waltham Forest</v>
      </c>
      <c r="C2452" t="s">
        <v>6707</v>
      </c>
      <c r="D2452" t="s">
        <v>335</v>
      </c>
      <c r="E2452">
        <v>28</v>
      </c>
      <c r="F2452" t="s">
        <v>1034</v>
      </c>
      <c r="G2452" t="s">
        <v>800</v>
      </c>
      <c r="H2452" t="s">
        <v>903</v>
      </c>
      <c r="I2452" t="s">
        <v>802</v>
      </c>
      <c r="J2452">
        <f t="shared" ca="1" si="154"/>
        <v>0</v>
      </c>
      <c r="K2452">
        <f t="shared" ca="1" si="155"/>
        <v>1500</v>
      </c>
      <c r="N2452" t="str">
        <f t="shared" si="152"/>
        <v>Suffolk102N&amp;W Bridging the Gap EastHome-based intermediate care servicesRehabilitation at home (to support discharge)</v>
      </c>
      <c r="O2452" t="s">
        <v>309</v>
      </c>
      <c r="P2452" t="s">
        <v>1056</v>
      </c>
      <c r="Q2452">
        <v>102</v>
      </c>
      <c r="R2452" t="s">
        <v>6226</v>
      </c>
      <c r="S2452" t="s">
        <v>1113</v>
      </c>
      <c r="T2452" t="s">
        <v>787</v>
      </c>
      <c r="U2452" t="s">
        <v>1195</v>
      </c>
      <c r="W2452">
        <v>39</v>
      </c>
      <c r="X2452">
        <v>94</v>
      </c>
      <c r="Y2452" t="s">
        <v>789</v>
      </c>
      <c r="Z2452" t="s">
        <v>792</v>
      </c>
      <c r="AB2452" t="s">
        <v>793</v>
      </c>
      <c r="AD2452" t="s">
        <v>794</v>
      </c>
      <c r="AE2452" t="s">
        <v>795</v>
      </c>
      <c r="AF2452" t="s">
        <v>860</v>
      </c>
      <c r="AG2452" t="s">
        <v>861</v>
      </c>
      <c r="AH2452">
        <v>136435</v>
      </c>
      <c r="AI2452">
        <v>327819</v>
      </c>
      <c r="AJ2452">
        <v>2.1166833484779241E-2</v>
      </c>
    </row>
    <row r="2453" spans="1:36" x14ac:dyDescent="0.3">
      <c r="A2453">
        <f>COUNTIF($D$2:D2453,D2453)</f>
        <v>12</v>
      </c>
      <c r="B2453" t="str">
        <f t="shared" si="153"/>
        <v>12Waltham Forest</v>
      </c>
      <c r="C2453" t="s">
        <v>6708</v>
      </c>
      <c r="D2453" t="s">
        <v>335</v>
      </c>
      <c r="E2453">
        <v>30</v>
      </c>
      <c r="F2453" t="s">
        <v>840</v>
      </c>
      <c r="G2453" t="s">
        <v>834</v>
      </c>
      <c r="H2453" t="s">
        <v>835</v>
      </c>
      <c r="I2453" t="s">
        <v>836</v>
      </c>
      <c r="J2453">
        <f t="shared" ca="1" si="154"/>
        <v>2362308</v>
      </c>
      <c r="K2453">
        <f t="shared" ca="1" si="155"/>
        <v>118</v>
      </c>
      <c r="N2453" t="str">
        <f t="shared" si="152"/>
        <v>Sunderland3Living WellAssistive Technologies and EquipmentAssistive technologies including telecare</v>
      </c>
      <c r="O2453" t="s">
        <v>311</v>
      </c>
      <c r="P2453" t="s">
        <v>2195</v>
      </c>
      <c r="Q2453">
        <v>3</v>
      </c>
      <c r="R2453" t="s">
        <v>6229</v>
      </c>
      <c r="S2453" t="s">
        <v>6709</v>
      </c>
      <c r="T2453" t="s">
        <v>800</v>
      </c>
      <c r="U2453" t="s">
        <v>850</v>
      </c>
      <c r="V2453" t="s">
        <v>6710</v>
      </c>
      <c r="W2453">
        <v>2235</v>
      </c>
      <c r="X2453">
        <v>2128</v>
      </c>
      <c r="Y2453" t="s">
        <v>802</v>
      </c>
      <c r="Z2453" t="s">
        <v>792</v>
      </c>
      <c r="AB2453" t="s">
        <v>793</v>
      </c>
      <c r="AD2453" t="s">
        <v>794</v>
      </c>
      <c r="AE2453" t="s">
        <v>804</v>
      </c>
      <c r="AF2453" t="s">
        <v>845</v>
      </c>
      <c r="AG2453" t="s">
        <v>797</v>
      </c>
      <c r="AH2453">
        <v>1117301</v>
      </c>
      <c r="AI2453">
        <v>1117301</v>
      </c>
      <c r="AJ2453">
        <v>0.32</v>
      </c>
    </row>
    <row r="2454" spans="1:36" x14ac:dyDescent="0.3">
      <c r="A2454">
        <f>COUNTIF($D$2:D2454,D2454)</f>
        <v>13</v>
      </c>
      <c r="B2454" t="str">
        <f t="shared" si="153"/>
        <v>13Waltham Forest</v>
      </c>
      <c r="C2454" t="s">
        <v>6711</v>
      </c>
      <c r="D2454" t="s">
        <v>335</v>
      </c>
      <c r="E2454">
        <v>31</v>
      </c>
      <c r="F2454" t="s">
        <v>1464</v>
      </c>
      <c r="G2454" t="s">
        <v>806</v>
      </c>
      <c r="H2454" t="s">
        <v>807</v>
      </c>
      <c r="I2454" t="s">
        <v>808</v>
      </c>
      <c r="J2454">
        <f t="shared" ca="1" si="154"/>
        <v>1903900</v>
      </c>
      <c r="K2454">
        <f t="shared" ca="1" si="155"/>
        <v>36</v>
      </c>
      <c r="N2454" t="str">
        <f t="shared" si="152"/>
        <v>Sunderland3Living WellAssistive Technologies and EquipmentCommunity based equipment</v>
      </c>
      <c r="O2454" t="s">
        <v>311</v>
      </c>
      <c r="P2454" t="s">
        <v>2195</v>
      </c>
      <c r="Q2454">
        <v>3</v>
      </c>
      <c r="R2454" t="s">
        <v>6229</v>
      </c>
      <c r="S2454" t="s">
        <v>6712</v>
      </c>
      <c r="T2454" t="s">
        <v>800</v>
      </c>
      <c r="U2454" t="s">
        <v>903</v>
      </c>
      <c r="V2454" t="s">
        <v>6710</v>
      </c>
      <c r="W2454">
        <v>9483</v>
      </c>
      <c r="X2454">
        <v>9031</v>
      </c>
      <c r="Y2454" t="s">
        <v>802</v>
      </c>
      <c r="Z2454" t="s">
        <v>792</v>
      </c>
      <c r="AB2454" t="s">
        <v>793</v>
      </c>
      <c r="AD2454" t="s">
        <v>794</v>
      </c>
      <c r="AE2454" t="s">
        <v>804</v>
      </c>
      <c r="AF2454" t="s">
        <v>845</v>
      </c>
      <c r="AG2454" t="s">
        <v>797</v>
      </c>
      <c r="AH2454">
        <v>948292</v>
      </c>
      <c r="AI2454">
        <v>948292</v>
      </c>
      <c r="AJ2454">
        <v>0.27</v>
      </c>
    </row>
    <row r="2455" spans="1:36" x14ac:dyDescent="0.3">
      <c r="A2455">
        <f>COUNTIF($D$2:D2455,D2455)</f>
        <v>14</v>
      </c>
      <c r="B2455" t="str">
        <f t="shared" si="153"/>
        <v>14Waltham Forest</v>
      </c>
      <c r="C2455" t="s">
        <v>6713</v>
      </c>
      <c r="D2455" t="s">
        <v>335</v>
      </c>
      <c r="E2455">
        <v>33</v>
      </c>
      <c r="F2455" t="s">
        <v>1464</v>
      </c>
      <c r="G2455" t="s">
        <v>806</v>
      </c>
      <c r="H2455" t="s">
        <v>873</v>
      </c>
      <c r="I2455" t="s">
        <v>808</v>
      </c>
      <c r="J2455">
        <f t="shared" ca="1" si="154"/>
        <v>440000</v>
      </c>
      <c r="K2455">
        <f t="shared" ca="1" si="155"/>
        <v>8</v>
      </c>
      <c r="N2455" t="str">
        <f t="shared" si="152"/>
        <v>Sunderland3Living WellCarers ServicesCarer advice and support related to Care Act duties</v>
      </c>
      <c r="O2455" t="s">
        <v>311</v>
      </c>
      <c r="P2455" t="s">
        <v>2195</v>
      </c>
      <c r="Q2455">
        <v>3</v>
      </c>
      <c r="R2455" t="s">
        <v>6229</v>
      </c>
      <c r="S2455" t="s">
        <v>6714</v>
      </c>
      <c r="T2455" t="s">
        <v>811</v>
      </c>
      <c r="U2455" t="s">
        <v>895</v>
      </c>
      <c r="V2455" t="s">
        <v>6710</v>
      </c>
      <c r="W2455">
        <v>175</v>
      </c>
      <c r="X2455">
        <v>166</v>
      </c>
      <c r="Y2455" t="s">
        <v>813</v>
      </c>
      <c r="Z2455" t="s">
        <v>792</v>
      </c>
      <c r="AB2455" t="s">
        <v>793</v>
      </c>
      <c r="AD2455" t="s">
        <v>794</v>
      </c>
      <c r="AE2455" t="s">
        <v>825</v>
      </c>
      <c r="AF2455" t="s">
        <v>845</v>
      </c>
      <c r="AG2455" t="s">
        <v>797</v>
      </c>
      <c r="AH2455">
        <v>280000</v>
      </c>
      <c r="AI2455">
        <v>280000</v>
      </c>
      <c r="AJ2455">
        <v>0.06</v>
      </c>
    </row>
    <row r="2456" spans="1:36" x14ac:dyDescent="0.3">
      <c r="A2456">
        <f>COUNTIF($D$2:D2456,D2456)</f>
        <v>15</v>
      </c>
      <c r="B2456" t="str">
        <f t="shared" si="153"/>
        <v>15Waltham Forest</v>
      </c>
      <c r="C2456" t="s">
        <v>6715</v>
      </c>
      <c r="D2456" t="s">
        <v>335</v>
      </c>
      <c r="E2456">
        <v>34</v>
      </c>
      <c r="F2456" t="s">
        <v>1464</v>
      </c>
      <c r="G2456" t="s">
        <v>806</v>
      </c>
      <c r="H2456" t="s">
        <v>854</v>
      </c>
      <c r="I2456" t="s">
        <v>808</v>
      </c>
      <c r="J2456">
        <f t="shared" ca="1" si="154"/>
        <v>1772300</v>
      </c>
      <c r="K2456">
        <f t="shared" ca="1" si="155"/>
        <v>23</v>
      </c>
      <c r="N2456" t="str">
        <f t="shared" si="152"/>
        <v>Sunderland4Ageing WellHome Care or Domiciliary CareDomiciliary care packages</v>
      </c>
      <c r="O2456" t="s">
        <v>311</v>
      </c>
      <c r="P2456" t="s">
        <v>2195</v>
      </c>
      <c r="Q2456">
        <v>4</v>
      </c>
      <c r="R2456" t="s">
        <v>6236</v>
      </c>
      <c r="S2456" t="s">
        <v>6716</v>
      </c>
      <c r="T2456" t="s">
        <v>842</v>
      </c>
      <c r="U2456" t="s">
        <v>843</v>
      </c>
      <c r="V2456" t="s">
        <v>6710</v>
      </c>
      <c r="W2456">
        <v>146920</v>
      </c>
      <c r="X2456">
        <v>137309</v>
      </c>
      <c r="Y2456" t="s">
        <v>844</v>
      </c>
      <c r="Z2456" t="s">
        <v>792</v>
      </c>
      <c r="AB2456" t="s">
        <v>793</v>
      </c>
      <c r="AD2456" t="s">
        <v>794</v>
      </c>
      <c r="AE2456" t="s">
        <v>804</v>
      </c>
      <c r="AF2456" t="s">
        <v>845</v>
      </c>
      <c r="AG2456" t="s">
        <v>797</v>
      </c>
      <c r="AH2456">
        <v>2800304</v>
      </c>
      <c r="AI2456">
        <v>2800304</v>
      </c>
      <c r="AJ2456">
        <v>0.18</v>
      </c>
    </row>
    <row r="2457" spans="1:36" x14ac:dyDescent="0.3">
      <c r="A2457">
        <f>COUNTIF($D$2:D2457,D2457)</f>
        <v>16</v>
      </c>
      <c r="B2457" t="str">
        <f t="shared" si="153"/>
        <v>16Waltham Forest</v>
      </c>
      <c r="C2457" t="s">
        <v>6717</v>
      </c>
      <c r="D2457" t="s">
        <v>335</v>
      </c>
      <c r="E2457">
        <v>38</v>
      </c>
      <c r="F2457" t="s">
        <v>1464</v>
      </c>
      <c r="G2457" t="s">
        <v>806</v>
      </c>
      <c r="H2457" t="s">
        <v>807</v>
      </c>
      <c r="I2457" t="s">
        <v>808</v>
      </c>
      <c r="J2457">
        <f t="shared" ca="1" si="154"/>
        <v>1450000</v>
      </c>
      <c r="K2457">
        <f t="shared" ca="1" si="155"/>
        <v>28</v>
      </c>
      <c r="N2457" t="str">
        <f t="shared" si="152"/>
        <v>Sunderland3Living WellBed based intermediate Care Services (Reablement, rehabilitation, wider short-term services supporting recovery)Bed-based intermediate care with reablement (to support discharge)</v>
      </c>
      <c r="O2457" t="s">
        <v>311</v>
      </c>
      <c r="P2457" t="s">
        <v>2195</v>
      </c>
      <c r="Q2457">
        <v>3</v>
      </c>
      <c r="R2457" t="s">
        <v>6229</v>
      </c>
      <c r="S2457" t="s">
        <v>6718</v>
      </c>
      <c r="T2457" t="s">
        <v>877</v>
      </c>
      <c r="U2457" t="s">
        <v>878</v>
      </c>
      <c r="V2457" t="s">
        <v>6710</v>
      </c>
      <c r="W2457">
        <v>12</v>
      </c>
      <c r="X2457">
        <v>13</v>
      </c>
      <c r="Y2457" t="s">
        <v>879</v>
      </c>
      <c r="Z2457" t="s">
        <v>792</v>
      </c>
      <c r="AB2457" t="s">
        <v>793</v>
      </c>
      <c r="AD2457" t="s">
        <v>794</v>
      </c>
      <c r="AE2457" t="s">
        <v>804</v>
      </c>
      <c r="AF2457" t="s">
        <v>845</v>
      </c>
      <c r="AG2457" t="s">
        <v>797</v>
      </c>
      <c r="AH2457">
        <v>60349</v>
      </c>
      <c r="AI2457">
        <v>60349</v>
      </c>
      <c r="AJ2457">
        <v>0.03</v>
      </c>
    </row>
    <row r="2458" spans="1:36" x14ac:dyDescent="0.3">
      <c r="A2458">
        <f>COUNTIF($D$2:D2458,D2458)</f>
        <v>17</v>
      </c>
      <c r="B2458" t="str">
        <f t="shared" si="153"/>
        <v>17Waltham Forest</v>
      </c>
      <c r="C2458" t="s">
        <v>6719</v>
      </c>
      <c r="D2458" t="s">
        <v>335</v>
      </c>
      <c r="E2458">
        <v>39</v>
      </c>
      <c r="F2458" t="s">
        <v>1464</v>
      </c>
      <c r="G2458" t="s">
        <v>800</v>
      </c>
      <c r="H2458" t="s">
        <v>903</v>
      </c>
      <c r="I2458" t="s">
        <v>802</v>
      </c>
      <c r="J2458">
        <f t="shared" ca="1" si="154"/>
        <v>408900</v>
      </c>
      <c r="K2458">
        <f t="shared" ca="1" si="155"/>
        <v>250</v>
      </c>
      <c r="N2458" t="str">
        <f t="shared" si="152"/>
        <v>Sunderland3Living WellBed based intermediate Care Services (Reablement, rehabilitation, wider short-term services supporting recovery)Bed-based intermediate care with rehabilitation accepting step up and step down users</v>
      </c>
      <c r="O2458" t="s">
        <v>311</v>
      </c>
      <c r="P2458" t="s">
        <v>2195</v>
      </c>
      <c r="Q2458">
        <v>3</v>
      </c>
      <c r="R2458" t="s">
        <v>6229</v>
      </c>
      <c r="S2458" t="s">
        <v>6720</v>
      </c>
      <c r="T2458" t="s">
        <v>877</v>
      </c>
      <c r="U2458" t="s">
        <v>1015</v>
      </c>
      <c r="V2458" t="s">
        <v>6710</v>
      </c>
      <c r="W2458">
        <v>6</v>
      </c>
      <c r="X2458">
        <v>6</v>
      </c>
      <c r="Y2458" t="s">
        <v>879</v>
      </c>
      <c r="Z2458" t="s">
        <v>792</v>
      </c>
      <c r="AB2458" t="s">
        <v>793</v>
      </c>
      <c r="AD2458" t="s">
        <v>794</v>
      </c>
      <c r="AE2458" t="s">
        <v>804</v>
      </c>
      <c r="AF2458" t="s">
        <v>845</v>
      </c>
      <c r="AG2458" t="s">
        <v>797</v>
      </c>
      <c r="AH2458">
        <v>662301</v>
      </c>
      <c r="AI2458">
        <v>662301</v>
      </c>
      <c r="AJ2458">
        <v>1</v>
      </c>
    </row>
    <row r="2459" spans="1:36" x14ac:dyDescent="0.3">
      <c r="A2459">
        <f>COUNTIF($D$2:D2459,D2459)</f>
        <v>18</v>
      </c>
      <c r="B2459" t="str">
        <f t="shared" si="153"/>
        <v>18Waltham Forest</v>
      </c>
      <c r="C2459" t="s">
        <v>6721</v>
      </c>
      <c r="D2459" t="s">
        <v>335</v>
      </c>
      <c r="E2459">
        <v>40</v>
      </c>
      <c r="F2459" t="s">
        <v>1464</v>
      </c>
      <c r="G2459" t="s">
        <v>842</v>
      </c>
      <c r="H2459" t="s">
        <v>843</v>
      </c>
      <c r="I2459" t="s">
        <v>844</v>
      </c>
      <c r="J2459">
        <f t="shared" ca="1" si="154"/>
        <v>1675887</v>
      </c>
      <c r="K2459">
        <f t="shared" ca="1" si="155"/>
        <v>93100</v>
      </c>
      <c r="N2459" t="str">
        <f t="shared" si="152"/>
        <v xml:space="preserve">Sunderland4Ageing WellHome-based intermediate care servicesReablement at home (to support discharge) </v>
      </c>
      <c r="O2459" t="s">
        <v>311</v>
      </c>
      <c r="P2459" t="s">
        <v>2195</v>
      </c>
      <c r="Q2459">
        <v>4</v>
      </c>
      <c r="R2459" t="s">
        <v>6236</v>
      </c>
      <c r="S2459" t="s">
        <v>1195</v>
      </c>
      <c r="T2459" t="s">
        <v>787</v>
      </c>
      <c r="U2459" t="s">
        <v>788</v>
      </c>
      <c r="V2459" t="s">
        <v>6710</v>
      </c>
      <c r="W2459">
        <v>1215</v>
      </c>
      <c r="X2459">
        <v>1135</v>
      </c>
      <c r="Y2459" t="s">
        <v>789</v>
      </c>
      <c r="Z2459" t="s">
        <v>792</v>
      </c>
      <c r="AB2459" t="s">
        <v>793</v>
      </c>
      <c r="AD2459" t="s">
        <v>794</v>
      </c>
      <c r="AE2459" t="s">
        <v>804</v>
      </c>
      <c r="AF2459" t="s">
        <v>845</v>
      </c>
      <c r="AG2459" t="s">
        <v>797</v>
      </c>
      <c r="AH2459">
        <v>549605</v>
      </c>
      <c r="AI2459">
        <v>549605</v>
      </c>
      <c r="AJ2459">
        <v>0.05</v>
      </c>
    </row>
    <row r="2460" spans="1:36" x14ac:dyDescent="0.3">
      <c r="A2460">
        <f>COUNTIF($D$2:D2460,D2460)</f>
        <v>19</v>
      </c>
      <c r="B2460" t="str">
        <f t="shared" si="153"/>
        <v>19Waltham Forest</v>
      </c>
      <c r="C2460" t="s">
        <v>6722</v>
      </c>
      <c r="D2460" t="s">
        <v>335</v>
      </c>
      <c r="E2460">
        <v>41</v>
      </c>
      <c r="F2460" t="s">
        <v>1464</v>
      </c>
      <c r="G2460" t="s">
        <v>877</v>
      </c>
      <c r="H2460" t="s">
        <v>1015</v>
      </c>
      <c r="I2460" t="s">
        <v>879</v>
      </c>
      <c r="J2460">
        <f t="shared" ca="1" si="154"/>
        <v>55000</v>
      </c>
      <c r="K2460">
        <f t="shared" ca="1" si="155"/>
        <v>5</v>
      </c>
      <c r="N2460" t="str">
        <f t="shared" si="152"/>
        <v>Sunderland4Ageing WellResidential PlacementsExtra care</v>
      </c>
      <c r="O2460" t="s">
        <v>311</v>
      </c>
      <c r="P2460" t="s">
        <v>2195</v>
      </c>
      <c r="Q2460">
        <v>4</v>
      </c>
      <c r="R2460" t="s">
        <v>6236</v>
      </c>
      <c r="S2460" t="s">
        <v>1860</v>
      </c>
      <c r="T2460" t="s">
        <v>806</v>
      </c>
      <c r="U2460" t="s">
        <v>934</v>
      </c>
      <c r="V2460" t="s">
        <v>6710</v>
      </c>
      <c r="W2460">
        <v>59</v>
      </c>
      <c r="X2460">
        <v>55</v>
      </c>
      <c r="Y2460" t="s">
        <v>808</v>
      </c>
      <c r="Z2460" t="s">
        <v>792</v>
      </c>
      <c r="AB2460" t="s">
        <v>793</v>
      </c>
      <c r="AD2460" t="s">
        <v>794</v>
      </c>
      <c r="AE2460" t="s">
        <v>804</v>
      </c>
      <c r="AF2460" t="s">
        <v>845</v>
      </c>
      <c r="AG2460" t="s">
        <v>797</v>
      </c>
      <c r="AH2460">
        <v>1004805</v>
      </c>
      <c r="AI2460">
        <v>1004805</v>
      </c>
      <c r="AJ2460">
        <v>0.14000000000000001</v>
      </c>
    </row>
    <row r="2461" spans="1:36" x14ac:dyDescent="0.3">
      <c r="A2461">
        <f>COUNTIF($D$2:D2461,D2461)</f>
        <v>20</v>
      </c>
      <c r="B2461" t="str">
        <f t="shared" si="153"/>
        <v>20Waltham Forest</v>
      </c>
      <c r="C2461" t="s">
        <v>6723</v>
      </c>
      <c r="D2461" t="s">
        <v>335</v>
      </c>
      <c r="E2461">
        <v>44</v>
      </c>
      <c r="F2461" t="s">
        <v>1464</v>
      </c>
      <c r="G2461" t="s">
        <v>806</v>
      </c>
      <c r="H2461" t="s">
        <v>873</v>
      </c>
      <c r="I2461" t="s">
        <v>808</v>
      </c>
      <c r="J2461">
        <f t="shared" ca="1" si="154"/>
        <v>374400</v>
      </c>
      <c r="K2461">
        <f t="shared" ca="1" si="155"/>
        <v>9</v>
      </c>
      <c r="N2461" t="str">
        <f t="shared" si="152"/>
        <v>Sunderland1Mental Health, Learning Disabilities and AutismResidential PlacementsOther</v>
      </c>
      <c r="O2461" t="s">
        <v>311</v>
      </c>
      <c r="P2461" t="s">
        <v>2195</v>
      </c>
      <c r="Q2461">
        <v>1</v>
      </c>
      <c r="R2461" t="s">
        <v>6245</v>
      </c>
      <c r="S2461" t="s">
        <v>6724</v>
      </c>
      <c r="T2461" t="s">
        <v>806</v>
      </c>
      <c r="U2461" t="s">
        <v>812</v>
      </c>
      <c r="V2461" t="s">
        <v>6725</v>
      </c>
      <c r="W2461">
        <v>144</v>
      </c>
      <c r="X2461">
        <v>134</v>
      </c>
      <c r="Y2461" t="s">
        <v>808</v>
      </c>
      <c r="Z2461" t="s">
        <v>792</v>
      </c>
      <c r="AB2461" t="s">
        <v>793</v>
      </c>
      <c r="AD2461" t="s">
        <v>794</v>
      </c>
      <c r="AE2461" t="s">
        <v>804</v>
      </c>
      <c r="AF2461" t="s">
        <v>845</v>
      </c>
      <c r="AG2461" t="s">
        <v>797</v>
      </c>
      <c r="AH2461">
        <v>4630618</v>
      </c>
      <c r="AI2461">
        <v>4630618</v>
      </c>
      <c r="AJ2461">
        <v>0.11</v>
      </c>
    </row>
    <row r="2462" spans="1:36" x14ac:dyDescent="0.3">
      <c r="A2462">
        <f>COUNTIF($D$2:D2462,D2462)</f>
        <v>21</v>
      </c>
      <c r="B2462" t="str">
        <f t="shared" si="153"/>
        <v>21Waltham Forest</v>
      </c>
      <c r="C2462" t="s">
        <v>6726</v>
      </c>
      <c r="D2462" t="s">
        <v>335</v>
      </c>
      <c r="E2462">
        <v>45</v>
      </c>
      <c r="F2462" t="s">
        <v>6727</v>
      </c>
      <c r="G2462" t="s">
        <v>842</v>
      </c>
      <c r="H2462" t="s">
        <v>856</v>
      </c>
      <c r="I2462" t="s">
        <v>844</v>
      </c>
      <c r="J2462">
        <f t="shared" ca="1" si="154"/>
        <v>1329977</v>
      </c>
      <c r="K2462">
        <f t="shared" ca="1" si="155"/>
        <v>73900</v>
      </c>
      <c r="N2462" t="str">
        <f t="shared" si="152"/>
        <v>Sunderland3Living WellDFG Related SchemesAdaptations, including statutory DFG grants</v>
      </c>
      <c r="O2462" t="s">
        <v>311</v>
      </c>
      <c r="P2462" t="s">
        <v>2195</v>
      </c>
      <c r="Q2462">
        <v>3</v>
      </c>
      <c r="R2462" t="s">
        <v>6229</v>
      </c>
      <c r="S2462" t="s">
        <v>835</v>
      </c>
      <c r="T2462" t="s">
        <v>834</v>
      </c>
      <c r="U2462" t="s">
        <v>835</v>
      </c>
      <c r="V2462" t="s">
        <v>6710</v>
      </c>
      <c r="W2462">
        <v>742</v>
      </c>
      <c r="X2462">
        <v>75</v>
      </c>
      <c r="Y2462" t="s">
        <v>836</v>
      </c>
      <c r="Z2462" t="s">
        <v>792</v>
      </c>
      <c r="AB2462" t="s">
        <v>793</v>
      </c>
      <c r="AD2462" t="s">
        <v>794</v>
      </c>
      <c r="AE2462" t="s">
        <v>804</v>
      </c>
      <c r="AF2462" t="s">
        <v>840</v>
      </c>
      <c r="AG2462" t="s">
        <v>797</v>
      </c>
      <c r="AH2462">
        <v>3562517</v>
      </c>
      <c r="AI2462">
        <v>3562517</v>
      </c>
      <c r="AJ2462">
        <v>0.88</v>
      </c>
    </row>
    <row r="2463" spans="1:36" x14ac:dyDescent="0.3">
      <c r="A2463">
        <f>COUNTIF($D$2:D2463,D2463)</f>
        <v>22</v>
      </c>
      <c r="B2463" t="str">
        <f t="shared" si="153"/>
        <v>22Waltham Forest</v>
      </c>
      <c r="C2463" t="s">
        <v>6728</v>
      </c>
      <c r="D2463" t="s">
        <v>335</v>
      </c>
      <c r="E2463">
        <v>46</v>
      </c>
      <c r="F2463" t="s">
        <v>6729</v>
      </c>
      <c r="G2463" t="s">
        <v>806</v>
      </c>
      <c r="H2463" t="s">
        <v>807</v>
      </c>
      <c r="I2463" t="s">
        <v>808</v>
      </c>
      <c r="J2463">
        <f t="shared" ca="1" si="154"/>
        <v>822654</v>
      </c>
      <c r="K2463">
        <f t="shared" ca="1" si="155"/>
        <v>13</v>
      </c>
      <c r="N2463" t="str">
        <f t="shared" si="152"/>
        <v>Sunderland3Living WellDFG Related SchemesHandyperson services</v>
      </c>
      <c r="O2463" t="s">
        <v>311</v>
      </c>
      <c r="P2463" t="s">
        <v>2195</v>
      </c>
      <c r="Q2463">
        <v>3</v>
      </c>
      <c r="R2463" t="s">
        <v>6229</v>
      </c>
      <c r="S2463" t="s">
        <v>6730</v>
      </c>
      <c r="T2463" t="s">
        <v>834</v>
      </c>
      <c r="U2463" t="s">
        <v>1732</v>
      </c>
      <c r="V2463" t="s">
        <v>6710</v>
      </c>
      <c r="W2463">
        <v>2750</v>
      </c>
      <c r="X2463">
        <v>2612</v>
      </c>
      <c r="Y2463" t="s">
        <v>836</v>
      </c>
      <c r="Z2463" t="s">
        <v>792</v>
      </c>
      <c r="AB2463" t="s">
        <v>793</v>
      </c>
      <c r="AD2463" t="s">
        <v>794</v>
      </c>
      <c r="AE2463" t="s">
        <v>804</v>
      </c>
      <c r="AF2463" t="s">
        <v>840</v>
      </c>
      <c r="AG2463" t="s">
        <v>797</v>
      </c>
      <c r="AH2463">
        <v>442882</v>
      </c>
      <c r="AI2463">
        <v>442882</v>
      </c>
      <c r="AJ2463">
        <v>0.11</v>
      </c>
    </row>
    <row r="2464" spans="1:36" x14ac:dyDescent="0.3">
      <c r="A2464">
        <f>COUNTIF($D$2:D2464,D2464)</f>
        <v>23</v>
      </c>
      <c r="B2464" t="str">
        <f t="shared" si="153"/>
        <v>23Waltham Forest</v>
      </c>
      <c r="C2464" t="s">
        <v>6731</v>
      </c>
      <c r="D2464" t="s">
        <v>335</v>
      </c>
      <c r="E2464">
        <v>47</v>
      </c>
      <c r="F2464" t="s">
        <v>6732</v>
      </c>
      <c r="G2464" t="s">
        <v>842</v>
      </c>
      <c r="H2464" t="s">
        <v>856</v>
      </c>
      <c r="I2464" t="s">
        <v>844</v>
      </c>
      <c r="J2464">
        <f t="shared" ca="1" si="154"/>
        <v>382346</v>
      </c>
      <c r="K2464">
        <f t="shared" ca="1" si="155"/>
        <v>21400</v>
      </c>
      <c r="N2464" t="str">
        <f t="shared" si="152"/>
        <v>Sunderland3Living WellDFG Related SchemesOther</v>
      </c>
      <c r="O2464" t="s">
        <v>311</v>
      </c>
      <c r="P2464" t="s">
        <v>2195</v>
      </c>
      <c r="Q2464">
        <v>3</v>
      </c>
      <c r="R2464" t="s">
        <v>6229</v>
      </c>
      <c r="S2464" t="s">
        <v>6733</v>
      </c>
      <c r="T2464" t="s">
        <v>834</v>
      </c>
      <c r="U2464" t="s">
        <v>812</v>
      </c>
      <c r="V2464" t="s">
        <v>1578</v>
      </c>
      <c r="W2464">
        <v>100</v>
      </c>
      <c r="X2464">
        <v>95</v>
      </c>
      <c r="Y2464" t="s">
        <v>836</v>
      </c>
      <c r="Z2464" t="s">
        <v>792</v>
      </c>
      <c r="AB2464" t="s">
        <v>793</v>
      </c>
      <c r="AD2464" t="s">
        <v>794</v>
      </c>
      <c r="AE2464" t="s">
        <v>804</v>
      </c>
      <c r="AF2464" t="s">
        <v>840</v>
      </c>
      <c r="AG2464" t="s">
        <v>797</v>
      </c>
      <c r="AH2464">
        <v>50000</v>
      </c>
      <c r="AI2464">
        <v>50000</v>
      </c>
      <c r="AJ2464">
        <v>0.01</v>
      </c>
    </row>
    <row r="2465" spans="1:36" x14ac:dyDescent="0.3">
      <c r="A2465">
        <f>COUNTIF($D$2:D2465,D2465)</f>
        <v>1</v>
      </c>
      <c r="B2465" t="str">
        <f t="shared" si="153"/>
        <v>1Wandsworth</v>
      </c>
      <c r="C2465" t="s">
        <v>6734</v>
      </c>
      <c r="D2465" t="s">
        <v>337</v>
      </c>
      <c r="E2465">
        <v>21</v>
      </c>
      <c r="F2465" t="s">
        <v>6735</v>
      </c>
      <c r="G2465" t="s">
        <v>800</v>
      </c>
      <c r="H2465" t="s">
        <v>850</v>
      </c>
      <c r="I2465" t="s">
        <v>802</v>
      </c>
      <c r="J2465">
        <f t="shared" ca="1" si="154"/>
        <v>52830</v>
      </c>
      <c r="K2465">
        <f t="shared" ca="1" si="155"/>
        <v>609</v>
      </c>
      <c r="N2465" t="str">
        <f t="shared" si="152"/>
        <v>Sunderland3Living WellAssistive Technologies and EquipmentCommunity based equipment</v>
      </c>
      <c r="O2465" t="s">
        <v>311</v>
      </c>
      <c r="P2465" t="s">
        <v>2195</v>
      </c>
      <c r="Q2465">
        <v>3</v>
      </c>
      <c r="R2465" t="s">
        <v>6229</v>
      </c>
      <c r="S2465" t="s">
        <v>6712</v>
      </c>
      <c r="T2465" t="s">
        <v>800</v>
      </c>
      <c r="U2465" t="s">
        <v>903</v>
      </c>
      <c r="V2465" t="s">
        <v>6710</v>
      </c>
      <c r="W2465">
        <v>3500</v>
      </c>
      <c r="X2465">
        <v>5533</v>
      </c>
      <c r="Y2465" t="s">
        <v>802</v>
      </c>
      <c r="Z2465" t="s">
        <v>792</v>
      </c>
      <c r="AB2465" t="s">
        <v>793</v>
      </c>
      <c r="AD2465" t="s">
        <v>794</v>
      </c>
      <c r="AE2465" t="s">
        <v>804</v>
      </c>
      <c r="AF2465" t="s">
        <v>864</v>
      </c>
      <c r="AG2465" t="s">
        <v>797</v>
      </c>
      <c r="AH2465">
        <v>350000</v>
      </c>
      <c r="AI2465">
        <v>581000</v>
      </c>
      <c r="AJ2465">
        <v>0.1</v>
      </c>
    </row>
    <row r="2466" spans="1:36" x14ac:dyDescent="0.3">
      <c r="A2466">
        <f>COUNTIF($D$2:D2466,D2466)</f>
        <v>2</v>
      </c>
      <c r="B2466" t="str">
        <f t="shared" si="153"/>
        <v>2Wandsworth</v>
      </c>
      <c r="C2466" t="s">
        <v>6736</v>
      </c>
      <c r="D2466" t="s">
        <v>337</v>
      </c>
      <c r="E2466">
        <v>22</v>
      </c>
      <c r="F2466" t="s">
        <v>6737</v>
      </c>
      <c r="G2466" t="s">
        <v>787</v>
      </c>
      <c r="H2466" t="s">
        <v>886</v>
      </c>
      <c r="I2466" t="s">
        <v>789</v>
      </c>
      <c r="J2466">
        <f t="shared" ca="1" si="154"/>
        <v>843721.16</v>
      </c>
      <c r="K2466">
        <f t="shared" ca="1" si="155"/>
        <v>878</v>
      </c>
      <c r="N2466" t="str">
        <f t="shared" si="152"/>
        <v xml:space="preserve">Sunderland4Ageing WellHome-based intermediate care servicesReablement at home (to support discharge) </v>
      </c>
      <c r="O2466" t="s">
        <v>311</v>
      </c>
      <c r="P2466" t="s">
        <v>2195</v>
      </c>
      <c r="Q2466">
        <v>4</v>
      </c>
      <c r="R2466" t="s">
        <v>6236</v>
      </c>
      <c r="S2466" t="s">
        <v>1195</v>
      </c>
      <c r="T2466" t="s">
        <v>787</v>
      </c>
      <c r="U2466" t="s">
        <v>788</v>
      </c>
      <c r="V2466" t="s">
        <v>6710</v>
      </c>
      <c r="W2466">
        <v>350</v>
      </c>
      <c r="X2466">
        <v>325</v>
      </c>
      <c r="Y2466" t="s">
        <v>789</v>
      </c>
      <c r="Z2466" t="s">
        <v>792</v>
      </c>
      <c r="AB2466" t="s">
        <v>793</v>
      </c>
      <c r="AD2466" t="s">
        <v>794</v>
      </c>
      <c r="AE2466" t="s">
        <v>804</v>
      </c>
      <c r="AF2466" t="s">
        <v>864</v>
      </c>
      <c r="AG2466" t="s">
        <v>797</v>
      </c>
      <c r="AH2466">
        <v>460000</v>
      </c>
      <c r="AI2466">
        <v>763600</v>
      </c>
      <c r="AJ2466">
        <v>0.04</v>
      </c>
    </row>
    <row r="2467" spans="1:36" x14ac:dyDescent="0.3">
      <c r="A2467">
        <f>COUNTIF($D$2:D2467,D2467)</f>
        <v>3</v>
      </c>
      <c r="B2467" t="str">
        <f t="shared" si="153"/>
        <v>3Wandsworth</v>
      </c>
      <c r="C2467" t="s">
        <v>6738</v>
      </c>
      <c r="D2467" t="s">
        <v>337</v>
      </c>
      <c r="E2467">
        <v>23</v>
      </c>
      <c r="F2467" t="s">
        <v>434</v>
      </c>
      <c r="G2467" t="s">
        <v>787</v>
      </c>
      <c r="H2467" t="s">
        <v>1011</v>
      </c>
      <c r="I2467" t="s">
        <v>789</v>
      </c>
      <c r="J2467">
        <f t="shared" ca="1" si="154"/>
        <v>3886494</v>
      </c>
      <c r="K2467">
        <f t="shared" ca="1" si="155"/>
        <v>2345</v>
      </c>
      <c r="N2467" t="str">
        <f t="shared" si="152"/>
        <v>Sunderland3Living WellAssistive Technologies and EquipmentAssistive technologies including telecare</v>
      </c>
      <c r="O2467" t="s">
        <v>311</v>
      </c>
      <c r="P2467" t="s">
        <v>2195</v>
      </c>
      <c r="Q2467">
        <v>3</v>
      </c>
      <c r="R2467" t="s">
        <v>6229</v>
      </c>
      <c r="S2467" t="s">
        <v>6739</v>
      </c>
      <c r="T2467" t="s">
        <v>800</v>
      </c>
      <c r="U2467" t="s">
        <v>850</v>
      </c>
      <c r="V2467" t="s">
        <v>6710</v>
      </c>
      <c r="W2467">
        <v>400</v>
      </c>
      <c r="X2467">
        <v>632</v>
      </c>
      <c r="Y2467" t="s">
        <v>802</v>
      </c>
      <c r="Z2467" t="s">
        <v>792</v>
      </c>
      <c r="AB2467" t="s">
        <v>793</v>
      </c>
      <c r="AD2467" t="s">
        <v>794</v>
      </c>
      <c r="AE2467" t="s">
        <v>804</v>
      </c>
      <c r="AF2467" t="s">
        <v>864</v>
      </c>
      <c r="AG2467" t="s">
        <v>797</v>
      </c>
      <c r="AH2467">
        <v>200000</v>
      </c>
      <c r="AI2467">
        <v>332000</v>
      </c>
      <c r="AJ2467">
        <v>0.06</v>
      </c>
    </row>
    <row r="2468" spans="1:36" x14ac:dyDescent="0.3">
      <c r="A2468">
        <f>COUNTIF($D$2:D2468,D2468)</f>
        <v>4</v>
      </c>
      <c r="B2468" t="str">
        <f t="shared" si="153"/>
        <v>4Wandsworth</v>
      </c>
      <c r="C2468" t="s">
        <v>6740</v>
      </c>
      <c r="D2468" t="s">
        <v>337</v>
      </c>
      <c r="E2468">
        <v>23</v>
      </c>
      <c r="F2468" t="s">
        <v>1051</v>
      </c>
      <c r="G2468" t="s">
        <v>800</v>
      </c>
      <c r="H2468" t="s">
        <v>903</v>
      </c>
      <c r="I2468" t="s">
        <v>802</v>
      </c>
      <c r="J2468">
        <f t="shared" ca="1" si="154"/>
        <v>1431345</v>
      </c>
      <c r="K2468">
        <f t="shared" ca="1" si="155"/>
        <v>780</v>
      </c>
      <c r="N2468" t="str">
        <f t="shared" si="152"/>
        <v>Sunderland4Ageing WellHome Care or Domiciliary CareDomiciliary care to support hospital discharge (Discharge to Assess pathway 1)</v>
      </c>
      <c r="O2468" t="s">
        <v>311</v>
      </c>
      <c r="P2468" t="s">
        <v>2195</v>
      </c>
      <c r="Q2468">
        <v>4</v>
      </c>
      <c r="R2468" t="s">
        <v>6236</v>
      </c>
      <c r="S2468" t="s">
        <v>6741</v>
      </c>
      <c r="T2468" t="s">
        <v>842</v>
      </c>
      <c r="U2468" t="s">
        <v>856</v>
      </c>
      <c r="V2468" t="s">
        <v>6710</v>
      </c>
      <c r="W2468">
        <v>41047</v>
      </c>
      <c r="X2468">
        <v>6368</v>
      </c>
      <c r="Y2468" t="s">
        <v>844</v>
      </c>
      <c r="Z2468" t="s">
        <v>792</v>
      </c>
      <c r="AB2468" t="s">
        <v>793</v>
      </c>
      <c r="AD2468" t="s">
        <v>794</v>
      </c>
      <c r="AE2468" t="s">
        <v>804</v>
      </c>
      <c r="AF2468" t="s">
        <v>864</v>
      </c>
      <c r="AG2468" t="s">
        <v>797</v>
      </c>
      <c r="AH2468">
        <v>782353</v>
      </c>
      <c r="AI2468">
        <v>1298706</v>
      </c>
      <c r="AJ2468">
        <v>0.05</v>
      </c>
    </row>
    <row r="2469" spans="1:36" x14ac:dyDescent="0.3">
      <c r="A2469">
        <f>COUNTIF($D$2:D2469,D2469)</f>
        <v>5</v>
      </c>
      <c r="B2469" t="str">
        <f t="shared" si="153"/>
        <v>5Wandsworth</v>
      </c>
      <c r="C2469" t="s">
        <v>6742</v>
      </c>
      <c r="D2469" t="s">
        <v>337</v>
      </c>
      <c r="E2469">
        <v>25</v>
      </c>
      <c r="F2469" t="s">
        <v>6743</v>
      </c>
      <c r="G2469" t="s">
        <v>787</v>
      </c>
      <c r="H2469" t="s">
        <v>930</v>
      </c>
      <c r="I2469" t="s">
        <v>789</v>
      </c>
      <c r="J2469">
        <f t="shared" ca="1" si="154"/>
        <v>309090</v>
      </c>
      <c r="K2469">
        <f t="shared" ca="1" si="155"/>
        <v>322</v>
      </c>
      <c r="N2469" t="str">
        <f t="shared" si="152"/>
        <v>Sunderland3Living WellBed based intermediate Care Services (Reablement, rehabilitation, wider short-term services supporting recovery)Bed-based intermediate care with rehabilitation (to support discharge)</v>
      </c>
      <c r="O2469" t="s">
        <v>311</v>
      </c>
      <c r="P2469" t="s">
        <v>2195</v>
      </c>
      <c r="Q2469">
        <v>3</v>
      </c>
      <c r="R2469" t="s">
        <v>6229</v>
      </c>
      <c r="S2469" t="s">
        <v>6744</v>
      </c>
      <c r="T2469" t="s">
        <v>877</v>
      </c>
      <c r="U2469" t="s">
        <v>968</v>
      </c>
      <c r="V2469" t="s">
        <v>6710</v>
      </c>
      <c r="W2469">
        <v>50</v>
      </c>
      <c r="X2469">
        <v>53</v>
      </c>
      <c r="Y2469" t="s">
        <v>879</v>
      </c>
      <c r="Z2469" t="s">
        <v>792</v>
      </c>
      <c r="AB2469" t="s">
        <v>793</v>
      </c>
      <c r="AD2469" t="s">
        <v>794</v>
      </c>
      <c r="AE2469" t="s">
        <v>804</v>
      </c>
      <c r="AF2469" t="s">
        <v>864</v>
      </c>
      <c r="AG2469" t="s">
        <v>797</v>
      </c>
      <c r="AH2469">
        <v>250000</v>
      </c>
      <c r="AI2469">
        <v>415000</v>
      </c>
      <c r="AJ2469">
        <v>0.12</v>
      </c>
    </row>
    <row r="2470" spans="1:36" x14ac:dyDescent="0.3">
      <c r="A2470">
        <f>COUNTIF($D$2:D2470,D2470)</f>
        <v>6</v>
      </c>
      <c r="B2470" t="str">
        <f t="shared" si="153"/>
        <v>6Wandsworth</v>
      </c>
      <c r="C2470" t="s">
        <v>6745</v>
      </c>
      <c r="D2470" t="s">
        <v>337</v>
      </c>
      <c r="E2470">
        <v>31</v>
      </c>
      <c r="F2470" t="s">
        <v>6746</v>
      </c>
      <c r="G2470" t="s">
        <v>834</v>
      </c>
      <c r="H2470" t="s">
        <v>835</v>
      </c>
      <c r="I2470" t="s">
        <v>836</v>
      </c>
      <c r="J2470">
        <f t="shared" ca="1" si="154"/>
        <v>86365.04</v>
      </c>
      <c r="K2470">
        <f t="shared" ca="1" si="155"/>
        <v>145</v>
      </c>
      <c r="N2470" t="str">
        <f t="shared" si="152"/>
        <v>Sunderland4Ageing WellHome Care or Domiciliary CareDomiciliary care to support hospital discharge (Discharge to Assess pathway 1)</v>
      </c>
      <c r="O2470" t="s">
        <v>311</v>
      </c>
      <c r="P2470" t="s">
        <v>2195</v>
      </c>
      <c r="Q2470">
        <v>4</v>
      </c>
      <c r="R2470" t="s">
        <v>6236</v>
      </c>
      <c r="S2470" t="s">
        <v>6747</v>
      </c>
      <c r="T2470" t="s">
        <v>842</v>
      </c>
      <c r="U2470" t="s">
        <v>856</v>
      </c>
      <c r="V2470" t="s">
        <v>6710</v>
      </c>
      <c r="W2470">
        <v>8135</v>
      </c>
      <c r="X2470">
        <v>12620</v>
      </c>
      <c r="Y2470" t="s">
        <v>844</v>
      </c>
      <c r="Z2470" t="s">
        <v>792</v>
      </c>
      <c r="AB2470" t="s">
        <v>793</v>
      </c>
      <c r="AD2470" t="s">
        <v>794</v>
      </c>
      <c r="AE2470" t="s">
        <v>804</v>
      </c>
      <c r="AF2470" t="s">
        <v>864</v>
      </c>
      <c r="AG2470" t="s">
        <v>861</v>
      </c>
      <c r="AH2470">
        <v>155046</v>
      </c>
      <c r="AI2470">
        <v>257376</v>
      </c>
      <c r="AJ2470">
        <v>0.01</v>
      </c>
    </row>
    <row r="2471" spans="1:36" x14ac:dyDescent="0.3">
      <c r="A2471">
        <f>COUNTIF($D$2:D2471,D2471)</f>
        <v>7</v>
      </c>
      <c r="B2471" t="str">
        <f t="shared" si="153"/>
        <v>7Wandsworth</v>
      </c>
      <c r="C2471" t="s">
        <v>6748</v>
      </c>
      <c r="D2471" t="s">
        <v>337</v>
      </c>
      <c r="E2471">
        <v>31</v>
      </c>
      <c r="F2471" t="s">
        <v>6749</v>
      </c>
      <c r="G2471" t="s">
        <v>800</v>
      </c>
      <c r="H2471" t="s">
        <v>903</v>
      </c>
      <c r="I2471" t="s">
        <v>802</v>
      </c>
      <c r="J2471">
        <f t="shared" ca="1" si="154"/>
        <v>593000</v>
      </c>
      <c r="K2471">
        <f t="shared" ca="1" si="155"/>
        <v>485</v>
      </c>
      <c r="N2471" t="str">
        <f t="shared" si="152"/>
        <v>Sunderland5Urgent CareHome-based intermediate care servicesReablement at home (to prevent admission to hospital or residential care)</v>
      </c>
      <c r="O2471" t="s">
        <v>311</v>
      </c>
      <c r="P2471" t="s">
        <v>2195</v>
      </c>
      <c r="Q2471">
        <v>5</v>
      </c>
      <c r="R2471" t="s">
        <v>6253</v>
      </c>
      <c r="S2471" t="s">
        <v>6750</v>
      </c>
      <c r="T2471" t="s">
        <v>787</v>
      </c>
      <c r="U2471" t="s">
        <v>886</v>
      </c>
      <c r="V2471" t="s">
        <v>6710</v>
      </c>
      <c r="W2471">
        <v>91</v>
      </c>
      <c r="X2471">
        <v>91</v>
      </c>
      <c r="Y2471" t="s">
        <v>789</v>
      </c>
      <c r="Z2471" t="s">
        <v>823</v>
      </c>
      <c r="AB2471" t="s">
        <v>824</v>
      </c>
      <c r="AD2471" t="s">
        <v>794</v>
      </c>
      <c r="AE2471" t="s">
        <v>825</v>
      </c>
      <c r="AF2471" t="s">
        <v>796</v>
      </c>
      <c r="AG2471" t="s">
        <v>797</v>
      </c>
      <c r="AH2471">
        <v>41530</v>
      </c>
      <c r="AI2471">
        <v>43881</v>
      </c>
      <c r="AJ2471">
        <v>0.02</v>
      </c>
    </row>
    <row r="2472" spans="1:36" x14ac:dyDescent="0.3">
      <c r="A2472">
        <f>COUNTIF($D$2:D2472,D2472)</f>
        <v>8</v>
      </c>
      <c r="B2472" t="str">
        <f t="shared" si="153"/>
        <v>8Wandsworth</v>
      </c>
      <c r="C2472" t="s">
        <v>6751</v>
      </c>
      <c r="D2472" t="s">
        <v>337</v>
      </c>
      <c r="E2472">
        <v>32</v>
      </c>
      <c r="F2472" t="s">
        <v>6752</v>
      </c>
      <c r="G2472" t="s">
        <v>787</v>
      </c>
      <c r="H2472" t="s">
        <v>788</v>
      </c>
      <c r="I2472" t="s">
        <v>789</v>
      </c>
      <c r="J2472">
        <f t="shared" ca="1" si="154"/>
        <v>217390</v>
      </c>
      <c r="K2472">
        <f t="shared" ca="1" si="155"/>
        <v>227</v>
      </c>
      <c r="N2472" t="str">
        <f t="shared" si="152"/>
        <v>Sunderland5Urgent CareHome-based intermediate care servicesReablement at home (to prevent admission to hospital or residential care)</v>
      </c>
      <c r="O2472" t="s">
        <v>311</v>
      </c>
      <c r="P2472" t="s">
        <v>2195</v>
      </c>
      <c r="Q2472">
        <v>5</v>
      </c>
      <c r="R2472" t="s">
        <v>6253</v>
      </c>
      <c r="S2472" t="s">
        <v>6753</v>
      </c>
      <c r="T2472" t="s">
        <v>787</v>
      </c>
      <c r="U2472" t="s">
        <v>886</v>
      </c>
      <c r="V2472" t="s">
        <v>6710</v>
      </c>
      <c r="W2472">
        <v>168</v>
      </c>
      <c r="X2472">
        <v>166</v>
      </c>
      <c r="Y2472" t="s">
        <v>789</v>
      </c>
      <c r="Z2472" t="s">
        <v>823</v>
      </c>
      <c r="AB2472" t="s">
        <v>824</v>
      </c>
      <c r="AD2472" t="s">
        <v>794</v>
      </c>
      <c r="AE2472" t="s">
        <v>795</v>
      </c>
      <c r="AF2472" t="s">
        <v>796</v>
      </c>
      <c r="AG2472" t="s">
        <v>797</v>
      </c>
      <c r="AH2472">
        <v>75999</v>
      </c>
      <c r="AI2472">
        <v>80301</v>
      </c>
      <c r="AJ2472">
        <v>0.01</v>
      </c>
    </row>
    <row r="2473" spans="1:36" x14ac:dyDescent="0.3">
      <c r="A2473">
        <f>COUNTIF($D$2:D2473,D2473)</f>
        <v>9</v>
      </c>
      <c r="B2473" t="str">
        <f t="shared" si="153"/>
        <v>9Wandsworth</v>
      </c>
      <c r="C2473" t="s">
        <v>6754</v>
      </c>
      <c r="D2473" t="s">
        <v>337</v>
      </c>
      <c r="E2473">
        <v>34</v>
      </c>
      <c r="F2473" t="s">
        <v>6755</v>
      </c>
      <c r="G2473" t="s">
        <v>806</v>
      </c>
      <c r="H2473" t="s">
        <v>955</v>
      </c>
      <c r="I2473" t="s">
        <v>808</v>
      </c>
      <c r="J2473">
        <f t="shared" ca="1" si="154"/>
        <v>854021</v>
      </c>
      <c r="K2473">
        <f t="shared" ca="1" si="155"/>
        <v>88</v>
      </c>
      <c r="N2473" t="str">
        <f t="shared" si="152"/>
        <v>Sunderland4Ageing WellCarers ServicesOther</v>
      </c>
      <c r="O2473" t="s">
        <v>311</v>
      </c>
      <c r="P2473" t="s">
        <v>2195</v>
      </c>
      <c r="Q2473">
        <v>4</v>
      </c>
      <c r="R2473" t="s">
        <v>6236</v>
      </c>
      <c r="S2473" t="s">
        <v>6756</v>
      </c>
      <c r="T2473" t="s">
        <v>811</v>
      </c>
      <c r="U2473" t="s">
        <v>812</v>
      </c>
      <c r="V2473" t="s">
        <v>6710</v>
      </c>
      <c r="W2473">
        <v>100</v>
      </c>
      <c r="X2473">
        <v>100</v>
      </c>
      <c r="Y2473" t="s">
        <v>813</v>
      </c>
      <c r="Z2473" t="s">
        <v>792</v>
      </c>
      <c r="AB2473" t="s">
        <v>824</v>
      </c>
      <c r="AD2473" t="s">
        <v>794</v>
      </c>
      <c r="AE2473" t="s">
        <v>825</v>
      </c>
      <c r="AF2473" t="s">
        <v>796</v>
      </c>
      <c r="AG2473" t="s">
        <v>797</v>
      </c>
      <c r="AH2473">
        <v>45275</v>
      </c>
      <c r="AI2473">
        <v>47838</v>
      </c>
      <c r="AJ2473">
        <v>0.33</v>
      </c>
    </row>
    <row r="2474" spans="1:36" x14ac:dyDescent="0.3">
      <c r="A2474">
        <f>COUNTIF($D$2:D2474,D2474)</f>
        <v>10</v>
      </c>
      <c r="B2474" t="str">
        <f t="shared" si="153"/>
        <v>10Wandsworth</v>
      </c>
      <c r="C2474" t="s">
        <v>6757</v>
      </c>
      <c r="D2474" t="s">
        <v>337</v>
      </c>
      <c r="E2474">
        <v>35</v>
      </c>
      <c r="F2474" t="s">
        <v>6758</v>
      </c>
      <c r="G2474" t="s">
        <v>842</v>
      </c>
      <c r="H2474" t="s">
        <v>856</v>
      </c>
      <c r="I2474" t="s">
        <v>844</v>
      </c>
      <c r="J2474">
        <f t="shared" ca="1" si="154"/>
        <v>838890</v>
      </c>
      <c r="K2474">
        <f t="shared" ca="1" si="155"/>
        <v>48021</v>
      </c>
      <c r="N2474" t="str">
        <f t="shared" si="152"/>
        <v>Sunderland3Living WellCarers ServicesCarer advice and support related to Care Act duties</v>
      </c>
      <c r="O2474" t="s">
        <v>311</v>
      </c>
      <c r="P2474" t="s">
        <v>2195</v>
      </c>
      <c r="Q2474">
        <v>3</v>
      </c>
      <c r="R2474" t="s">
        <v>6229</v>
      </c>
      <c r="S2474" t="s">
        <v>811</v>
      </c>
      <c r="T2474" t="s">
        <v>811</v>
      </c>
      <c r="U2474" t="s">
        <v>895</v>
      </c>
      <c r="V2474" t="s">
        <v>6710</v>
      </c>
      <c r="W2474">
        <v>1000</v>
      </c>
      <c r="X2474">
        <v>1000</v>
      </c>
      <c r="Y2474" t="s">
        <v>813</v>
      </c>
      <c r="Z2474" t="s">
        <v>823</v>
      </c>
      <c r="AB2474" t="s">
        <v>824</v>
      </c>
      <c r="AD2474" t="s">
        <v>794</v>
      </c>
      <c r="AE2474" t="s">
        <v>825</v>
      </c>
      <c r="AF2474" t="s">
        <v>796</v>
      </c>
      <c r="AG2474" t="s">
        <v>797</v>
      </c>
      <c r="AH2474">
        <v>92000</v>
      </c>
      <c r="AI2474">
        <v>97207</v>
      </c>
      <c r="AJ2474">
        <v>0.02</v>
      </c>
    </row>
    <row r="2475" spans="1:36" x14ac:dyDescent="0.3">
      <c r="A2475">
        <f>COUNTIF($D$2:D2475,D2475)</f>
        <v>11</v>
      </c>
      <c r="B2475" t="str">
        <f t="shared" si="153"/>
        <v>11Wandsworth</v>
      </c>
      <c r="C2475" t="s">
        <v>6759</v>
      </c>
      <c r="D2475" t="s">
        <v>337</v>
      </c>
      <c r="E2475">
        <v>36</v>
      </c>
      <c r="F2475" t="s">
        <v>6760</v>
      </c>
      <c r="G2475" t="s">
        <v>842</v>
      </c>
      <c r="H2475" t="s">
        <v>856</v>
      </c>
      <c r="I2475" t="s">
        <v>844</v>
      </c>
      <c r="J2475">
        <f t="shared" ca="1" si="154"/>
        <v>199000</v>
      </c>
      <c r="K2475">
        <f t="shared" ca="1" si="155"/>
        <v>8750</v>
      </c>
      <c r="N2475" t="str">
        <f t="shared" si="152"/>
        <v>Sunderland5Urgent CareBed based intermediate Care Services (Reablement, rehabilitation, wider short-term services supporting recovery)Bed-based intermediate care with reablement accepting step up and step down users</v>
      </c>
      <c r="O2475" t="s">
        <v>311</v>
      </c>
      <c r="P2475" t="s">
        <v>2195</v>
      </c>
      <c r="Q2475">
        <v>5</v>
      </c>
      <c r="R2475" t="s">
        <v>6253</v>
      </c>
      <c r="S2475" t="s">
        <v>6761</v>
      </c>
      <c r="T2475" t="s">
        <v>877</v>
      </c>
      <c r="U2475" t="s">
        <v>1259</v>
      </c>
      <c r="V2475" t="s">
        <v>6710</v>
      </c>
      <c r="W2475">
        <v>386</v>
      </c>
      <c r="X2475">
        <v>405</v>
      </c>
      <c r="Y2475" t="s">
        <v>879</v>
      </c>
      <c r="Z2475" t="s">
        <v>823</v>
      </c>
      <c r="AB2475" t="s">
        <v>824</v>
      </c>
      <c r="AD2475" t="s">
        <v>794</v>
      </c>
      <c r="AE2475" t="s">
        <v>795</v>
      </c>
      <c r="AF2475" t="s">
        <v>796</v>
      </c>
      <c r="AG2475" t="s">
        <v>797</v>
      </c>
      <c r="AH2475">
        <v>1916992</v>
      </c>
      <c r="AI2475">
        <v>2025494</v>
      </c>
      <c r="AJ2475">
        <v>0.17</v>
      </c>
    </row>
    <row r="2476" spans="1:36" x14ac:dyDescent="0.3">
      <c r="A2476">
        <f>COUNTIF($D$2:D2476,D2476)</f>
        <v>12</v>
      </c>
      <c r="B2476" t="str">
        <f t="shared" si="153"/>
        <v>12Wandsworth</v>
      </c>
      <c r="C2476" t="s">
        <v>6762</v>
      </c>
      <c r="D2476" t="s">
        <v>337</v>
      </c>
      <c r="E2476">
        <v>37</v>
      </c>
      <c r="F2476" t="s">
        <v>6763</v>
      </c>
      <c r="G2476" t="s">
        <v>806</v>
      </c>
      <c r="H2476" t="s">
        <v>807</v>
      </c>
      <c r="I2476" t="s">
        <v>808</v>
      </c>
      <c r="J2476">
        <f t="shared" ca="1" si="154"/>
        <v>641459</v>
      </c>
      <c r="K2476">
        <f t="shared" ca="1" si="155"/>
        <v>21</v>
      </c>
      <c r="N2476" t="str">
        <f t="shared" si="152"/>
        <v>Sunderland5Urgent CareHome-based intermediate care servicesReablement at home (to prevent admission to hospital or residential care)</v>
      </c>
      <c r="O2476" t="s">
        <v>311</v>
      </c>
      <c r="P2476" t="s">
        <v>2195</v>
      </c>
      <c r="Q2476">
        <v>5</v>
      </c>
      <c r="R2476" t="s">
        <v>6253</v>
      </c>
      <c r="S2476" t="s">
        <v>6753</v>
      </c>
      <c r="T2476" t="s">
        <v>787</v>
      </c>
      <c r="U2476" t="s">
        <v>886</v>
      </c>
      <c r="V2476" t="s">
        <v>6710</v>
      </c>
      <c r="W2476">
        <v>1528</v>
      </c>
      <c r="X2476">
        <v>1509</v>
      </c>
      <c r="Y2476" t="s">
        <v>789</v>
      </c>
      <c r="Z2476" t="s">
        <v>823</v>
      </c>
      <c r="AB2476" t="s">
        <v>824</v>
      </c>
      <c r="AD2476" t="s">
        <v>794</v>
      </c>
      <c r="AE2476" t="s">
        <v>795</v>
      </c>
      <c r="AF2476" t="s">
        <v>796</v>
      </c>
      <c r="AG2476" t="s">
        <v>797</v>
      </c>
      <c r="AH2476">
        <v>691300</v>
      </c>
      <c r="AI2476">
        <v>730428</v>
      </c>
      <c r="AJ2476">
        <v>0.06</v>
      </c>
    </row>
    <row r="2477" spans="1:36" x14ac:dyDescent="0.3">
      <c r="A2477">
        <f>COUNTIF($D$2:D2477,D2477)</f>
        <v>13</v>
      </c>
      <c r="B2477" t="str">
        <f t="shared" si="153"/>
        <v>13Wandsworth</v>
      </c>
      <c r="C2477" t="s">
        <v>6764</v>
      </c>
      <c r="D2477" t="s">
        <v>337</v>
      </c>
      <c r="E2477">
        <v>42</v>
      </c>
      <c r="F2477" t="s">
        <v>6765</v>
      </c>
      <c r="G2477" t="s">
        <v>811</v>
      </c>
      <c r="H2477" t="s">
        <v>895</v>
      </c>
      <c r="I2477" t="s">
        <v>813</v>
      </c>
      <c r="J2477">
        <f t="shared" ca="1" si="154"/>
        <v>273227.25</v>
      </c>
      <c r="K2477">
        <f t="shared" ca="1" si="155"/>
        <v>2250</v>
      </c>
      <c r="N2477" t="str">
        <f t="shared" si="152"/>
        <v>Sunderland5Urgent CareHome-based intermediate care servicesReablement at home (to prevent admission to hospital or residential care)</v>
      </c>
      <c r="O2477" t="s">
        <v>311</v>
      </c>
      <c r="P2477" t="s">
        <v>2195</v>
      </c>
      <c r="Q2477">
        <v>5</v>
      </c>
      <c r="R2477" t="s">
        <v>6253</v>
      </c>
      <c r="S2477" t="s">
        <v>6753</v>
      </c>
      <c r="T2477" t="s">
        <v>787</v>
      </c>
      <c r="U2477" t="s">
        <v>886</v>
      </c>
      <c r="V2477" t="s">
        <v>6710</v>
      </c>
      <c r="W2477">
        <v>575</v>
      </c>
      <c r="X2477">
        <v>567</v>
      </c>
      <c r="Y2477" t="s">
        <v>789</v>
      </c>
      <c r="Z2477" t="s">
        <v>823</v>
      </c>
      <c r="AB2477" t="s">
        <v>824</v>
      </c>
      <c r="AD2477" t="s">
        <v>794</v>
      </c>
      <c r="AE2477" t="s">
        <v>795</v>
      </c>
      <c r="AF2477" t="s">
        <v>796</v>
      </c>
      <c r="AG2477" t="s">
        <v>797</v>
      </c>
      <c r="AH2477">
        <v>260060</v>
      </c>
      <c r="AI2477">
        <v>274779</v>
      </c>
      <c r="AJ2477">
        <v>0.02</v>
      </c>
    </row>
    <row r="2478" spans="1:36" x14ac:dyDescent="0.3">
      <c r="A2478">
        <f>COUNTIF($D$2:D2478,D2478)</f>
        <v>14</v>
      </c>
      <c r="B2478" t="str">
        <f t="shared" si="153"/>
        <v>14Wandsworth</v>
      </c>
      <c r="C2478" t="s">
        <v>6766</v>
      </c>
      <c r="D2478" t="s">
        <v>337</v>
      </c>
      <c r="E2478">
        <v>43</v>
      </c>
      <c r="F2478" t="s">
        <v>4837</v>
      </c>
      <c r="G2478" t="s">
        <v>842</v>
      </c>
      <c r="H2478" t="s">
        <v>843</v>
      </c>
      <c r="I2478" t="s">
        <v>844</v>
      </c>
      <c r="J2478">
        <f t="shared" ca="1" si="154"/>
        <v>2603980</v>
      </c>
      <c r="K2478">
        <f t="shared" ca="1" si="155"/>
        <v>146500</v>
      </c>
      <c r="N2478" t="str">
        <f t="shared" si="152"/>
        <v>Sunderland5Urgent CareHome-based intermediate care servicesReablement at home (to prevent admission to hospital or residential care)</v>
      </c>
      <c r="O2478" t="s">
        <v>311</v>
      </c>
      <c r="P2478" t="s">
        <v>2195</v>
      </c>
      <c r="Q2478">
        <v>5</v>
      </c>
      <c r="R2478" t="s">
        <v>6253</v>
      </c>
      <c r="S2478" t="s">
        <v>6753</v>
      </c>
      <c r="T2478" t="s">
        <v>787</v>
      </c>
      <c r="U2478" t="s">
        <v>886</v>
      </c>
      <c r="V2478" t="s">
        <v>6710</v>
      </c>
      <c r="W2478">
        <v>143</v>
      </c>
      <c r="X2478">
        <v>141</v>
      </c>
      <c r="Y2478" t="s">
        <v>789</v>
      </c>
      <c r="Z2478" t="s">
        <v>823</v>
      </c>
      <c r="AB2478" t="s">
        <v>824</v>
      </c>
      <c r="AD2478" t="s">
        <v>794</v>
      </c>
      <c r="AE2478" t="s">
        <v>795</v>
      </c>
      <c r="AF2478" t="s">
        <v>796</v>
      </c>
      <c r="AG2478" t="s">
        <v>797</v>
      </c>
      <c r="AH2478">
        <v>64550</v>
      </c>
      <c r="AI2478">
        <v>68204</v>
      </c>
      <c r="AJ2478">
        <v>0.01</v>
      </c>
    </row>
    <row r="2479" spans="1:36" x14ac:dyDescent="0.3">
      <c r="A2479">
        <f>COUNTIF($D$2:D2479,D2479)</f>
        <v>15</v>
      </c>
      <c r="B2479" t="str">
        <f t="shared" si="153"/>
        <v>15Wandsworth</v>
      </c>
      <c r="C2479" t="s">
        <v>6767</v>
      </c>
      <c r="D2479" t="s">
        <v>337</v>
      </c>
      <c r="E2479">
        <v>44</v>
      </c>
      <c r="F2479" t="s">
        <v>6768</v>
      </c>
      <c r="G2479" t="s">
        <v>842</v>
      </c>
      <c r="H2479" t="s">
        <v>843</v>
      </c>
      <c r="I2479" t="s">
        <v>844</v>
      </c>
      <c r="J2479">
        <f t="shared" ca="1" si="154"/>
        <v>2694350</v>
      </c>
      <c r="K2479">
        <f t="shared" ca="1" si="155"/>
        <v>151600</v>
      </c>
      <c r="N2479" t="str">
        <f t="shared" si="152"/>
        <v>Sunderland3Living WellAssistive Technologies and EquipmentCommunity based equipment</v>
      </c>
      <c r="O2479" t="s">
        <v>311</v>
      </c>
      <c r="P2479" t="s">
        <v>2195</v>
      </c>
      <c r="Q2479">
        <v>3</v>
      </c>
      <c r="R2479" t="s">
        <v>6229</v>
      </c>
      <c r="S2479" t="s">
        <v>1881</v>
      </c>
      <c r="T2479" t="s">
        <v>800</v>
      </c>
      <c r="U2479" t="s">
        <v>903</v>
      </c>
      <c r="V2479" t="s">
        <v>6710</v>
      </c>
      <c r="W2479">
        <v>21582</v>
      </c>
      <c r="X2479">
        <v>21718</v>
      </c>
      <c r="Y2479" t="s">
        <v>802</v>
      </c>
      <c r="Z2479" t="s">
        <v>792</v>
      </c>
      <c r="AB2479" t="s">
        <v>824</v>
      </c>
      <c r="AD2479" t="s">
        <v>794</v>
      </c>
      <c r="AE2479" t="s">
        <v>795</v>
      </c>
      <c r="AF2479" t="s">
        <v>796</v>
      </c>
      <c r="AG2479" t="s">
        <v>797</v>
      </c>
      <c r="AH2479">
        <v>2158214</v>
      </c>
      <c r="AI2479">
        <v>2280369</v>
      </c>
      <c r="AJ2479">
        <v>0.62</v>
      </c>
    </row>
    <row r="2480" spans="1:36" x14ac:dyDescent="0.3">
      <c r="A2480">
        <f>COUNTIF($D$2:D2480,D2480)</f>
        <v>16</v>
      </c>
      <c r="B2480" t="str">
        <f t="shared" si="153"/>
        <v>16Wandsworth</v>
      </c>
      <c r="C2480" t="s">
        <v>6769</v>
      </c>
      <c r="D2480" t="s">
        <v>337</v>
      </c>
      <c r="E2480">
        <v>46</v>
      </c>
      <c r="F2480" t="s">
        <v>6770</v>
      </c>
      <c r="G2480" t="s">
        <v>806</v>
      </c>
      <c r="H2480" t="s">
        <v>807</v>
      </c>
      <c r="I2480" t="s">
        <v>808</v>
      </c>
      <c r="J2480">
        <f t="shared" ca="1" si="154"/>
        <v>1905331.91</v>
      </c>
      <c r="K2480">
        <f t="shared" ca="1" si="155"/>
        <v>29</v>
      </c>
      <c r="N2480" t="str">
        <f t="shared" si="152"/>
        <v>Sunderland4Ageing WellHome Care or Domiciliary CareDomiciliary care packages</v>
      </c>
      <c r="O2480" t="s">
        <v>311</v>
      </c>
      <c r="P2480" t="s">
        <v>2195</v>
      </c>
      <c r="Q2480">
        <v>4</v>
      </c>
      <c r="R2480" t="s">
        <v>6236</v>
      </c>
      <c r="S2480" t="s">
        <v>6771</v>
      </c>
      <c r="T2480" t="s">
        <v>842</v>
      </c>
      <c r="U2480" t="s">
        <v>843</v>
      </c>
      <c r="V2480" t="s">
        <v>6710</v>
      </c>
      <c r="W2480">
        <v>196858</v>
      </c>
      <c r="X2480">
        <v>194392</v>
      </c>
      <c r="Y2480" t="s">
        <v>844</v>
      </c>
      <c r="Z2480" t="s">
        <v>792</v>
      </c>
      <c r="AB2480" t="s">
        <v>793</v>
      </c>
      <c r="AD2480" t="s">
        <v>794</v>
      </c>
      <c r="AE2480" t="s">
        <v>795</v>
      </c>
      <c r="AF2480" t="s">
        <v>796</v>
      </c>
      <c r="AG2480" t="s">
        <v>797</v>
      </c>
      <c r="AH2480">
        <v>3752106</v>
      </c>
      <c r="AI2480">
        <v>3964475</v>
      </c>
      <c r="AJ2480">
        <v>0.24</v>
      </c>
    </row>
    <row r="2481" spans="1:36" x14ac:dyDescent="0.3">
      <c r="A2481">
        <f>COUNTIF($D$2:D2481,D2481)</f>
        <v>17</v>
      </c>
      <c r="B2481" t="str">
        <f t="shared" si="153"/>
        <v>17Wandsworth</v>
      </c>
      <c r="C2481" t="s">
        <v>6772</v>
      </c>
      <c r="D2481" t="s">
        <v>337</v>
      </c>
      <c r="E2481">
        <v>51</v>
      </c>
      <c r="F2481" t="s">
        <v>1654</v>
      </c>
      <c r="G2481" t="s">
        <v>811</v>
      </c>
      <c r="H2481" t="s">
        <v>830</v>
      </c>
      <c r="I2481" t="s">
        <v>813</v>
      </c>
      <c r="J2481">
        <f t="shared" ca="1" si="154"/>
        <v>753666.44</v>
      </c>
      <c r="K2481">
        <f t="shared" ca="1" si="155"/>
        <v>6120</v>
      </c>
      <c r="N2481" t="str">
        <f t="shared" si="152"/>
        <v>Sunderland2Mental Health, Learning Disabilities and AutismResidential PlacementsSupported housing</v>
      </c>
      <c r="O2481" t="s">
        <v>311</v>
      </c>
      <c r="P2481" t="s">
        <v>2195</v>
      </c>
      <c r="Q2481">
        <v>2</v>
      </c>
      <c r="R2481" t="s">
        <v>6245</v>
      </c>
      <c r="S2481" t="s">
        <v>6771</v>
      </c>
      <c r="T2481" t="s">
        <v>806</v>
      </c>
      <c r="U2481" t="s">
        <v>873</v>
      </c>
      <c r="V2481" t="s">
        <v>6710</v>
      </c>
      <c r="W2481">
        <v>27</v>
      </c>
      <c r="X2481">
        <v>27</v>
      </c>
      <c r="Y2481" t="s">
        <v>808</v>
      </c>
      <c r="Z2481" t="s">
        <v>1006</v>
      </c>
      <c r="AB2481" t="s">
        <v>793</v>
      </c>
      <c r="AD2481" t="s">
        <v>794</v>
      </c>
      <c r="AE2481" t="s">
        <v>795</v>
      </c>
      <c r="AF2481" t="s">
        <v>796</v>
      </c>
      <c r="AG2481" t="s">
        <v>797</v>
      </c>
      <c r="AH2481">
        <v>876810</v>
      </c>
      <c r="AI2481">
        <v>926437</v>
      </c>
      <c r="AJ2481">
        <v>0.02</v>
      </c>
    </row>
    <row r="2482" spans="1:36" x14ac:dyDescent="0.3">
      <c r="A2482">
        <f>COUNTIF($D$2:D2482,D2482)</f>
        <v>18</v>
      </c>
      <c r="B2482" t="str">
        <f t="shared" si="153"/>
        <v>18Wandsworth</v>
      </c>
      <c r="C2482" t="s">
        <v>6773</v>
      </c>
      <c r="D2482" t="s">
        <v>337</v>
      </c>
      <c r="E2482">
        <v>52</v>
      </c>
      <c r="F2482" t="s">
        <v>6774</v>
      </c>
      <c r="G2482" t="s">
        <v>811</v>
      </c>
      <c r="H2482" t="s">
        <v>895</v>
      </c>
      <c r="I2482" t="s">
        <v>813</v>
      </c>
      <c r="J2482">
        <f t="shared" ca="1" si="154"/>
        <v>190200</v>
      </c>
      <c r="K2482">
        <f t="shared" ca="1" si="155"/>
        <v>320</v>
      </c>
      <c r="N2482" t="str">
        <f t="shared" si="152"/>
        <v>Sunderland3Living WellHome-based intermediate care servicesReablement at home (to prevent admission to hospital or residential care)</v>
      </c>
      <c r="O2482" t="s">
        <v>311</v>
      </c>
      <c r="P2482" t="s">
        <v>2195</v>
      </c>
      <c r="Q2482">
        <v>3</v>
      </c>
      <c r="R2482" t="s">
        <v>6229</v>
      </c>
      <c r="S2482" t="s">
        <v>6753</v>
      </c>
      <c r="T2482" t="s">
        <v>787</v>
      </c>
      <c r="U2482" t="s">
        <v>886</v>
      </c>
      <c r="V2482" t="s">
        <v>6710</v>
      </c>
      <c r="W2482">
        <v>642</v>
      </c>
      <c r="X2482">
        <v>642</v>
      </c>
      <c r="Y2482" t="s">
        <v>789</v>
      </c>
      <c r="Z2482" t="s">
        <v>823</v>
      </c>
      <c r="AB2482" t="s">
        <v>824</v>
      </c>
      <c r="AD2482" t="s">
        <v>794</v>
      </c>
      <c r="AE2482" t="s">
        <v>804</v>
      </c>
      <c r="AF2482" t="s">
        <v>796</v>
      </c>
      <c r="AG2482" t="s">
        <v>797</v>
      </c>
      <c r="AH2482">
        <v>290510</v>
      </c>
      <c r="AI2482">
        <v>306953</v>
      </c>
      <c r="AJ2482">
        <v>0.03</v>
      </c>
    </row>
    <row r="2483" spans="1:36" x14ac:dyDescent="0.3">
      <c r="A2483">
        <f>COUNTIF($D$2:D2483,D2483)</f>
        <v>19</v>
      </c>
      <c r="B2483" t="str">
        <f t="shared" si="153"/>
        <v>19Wandsworth</v>
      </c>
      <c r="C2483" t="s">
        <v>6775</v>
      </c>
      <c r="D2483" t="s">
        <v>337</v>
      </c>
      <c r="E2483">
        <v>61</v>
      </c>
      <c r="F2483" t="s">
        <v>3681</v>
      </c>
      <c r="G2483" t="s">
        <v>834</v>
      </c>
      <c r="H2483" t="s">
        <v>835</v>
      </c>
      <c r="I2483" t="s">
        <v>836</v>
      </c>
      <c r="J2483">
        <f t="shared" ca="1" si="154"/>
        <v>1087177</v>
      </c>
      <c r="K2483">
        <f t="shared" ca="1" si="155"/>
        <v>103</v>
      </c>
      <c r="N2483" t="str">
        <f t="shared" si="152"/>
        <v xml:space="preserve">Sunderland5Urgent CareHome-based intermediate care servicesReablement at home (to support discharge) </v>
      </c>
      <c r="O2483" t="s">
        <v>311</v>
      </c>
      <c r="P2483" t="s">
        <v>2195</v>
      </c>
      <c r="Q2483">
        <v>5</v>
      </c>
      <c r="R2483" t="s">
        <v>6253</v>
      </c>
      <c r="S2483" t="s">
        <v>6776</v>
      </c>
      <c r="T2483" t="s">
        <v>787</v>
      </c>
      <c r="U2483" t="s">
        <v>788</v>
      </c>
      <c r="V2483" t="s">
        <v>6710</v>
      </c>
      <c r="W2483">
        <v>30</v>
      </c>
      <c r="X2483">
        <v>32</v>
      </c>
      <c r="Y2483" t="s">
        <v>789</v>
      </c>
      <c r="Z2483" t="s">
        <v>823</v>
      </c>
      <c r="AB2483" t="s">
        <v>824</v>
      </c>
      <c r="AD2483" t="s">
        <v>794</v>
      </c>
      <c r="AE2483" t="s">
        <v>795</v>
      </c>
      <c r="AF2483" t="s">
        <v>796</v>
      </c>
      <c r="AG2483" t="s">
        <v>797</v>
      </c>
      <c r="AH2483">
        <v>147197</v>
      </c>
      <c r="AI2483">
        <v>155528</v>
      </c>
      <c r="AJ2483">
        <v>1</v>
      </c>
    </row>
    <row r="2484" spans="1:36" x14ac:dyDescent="0.3">
      <c r="A2484">
        <f>COUNTIF($D$2:D2484,D2484)</f>
        <v>20</v>
      </c>
      <c r="B2484" t="str">
        <f t="shared" si="153"/>
        <v>20Wandsworth</v>
      </c>
      <c r="C2484" t="s">
        <v>6777</v>
      </c>
      <c r="D2484" t="s">
        <v>337</v>
      </c>
      <c r="E2484">
        <v>62</v>
      </c>
      <c r="F2484" t="s">
        <v>6778</v>
      </c>
      <c r="G2484" t="s">
        <v>834</v>
      </c>
      <c r="H2484" t="s">
        <v>1293</v>
      </c>
      <c r="I2484" t="s">
        <v>836</v>
      </c>
      <c r="J2484">
        <f t="shared" ca="1" si="154"/>
        <v>575727</v>
      </c>
      <c r="K2484">
        <f t="shared" ca="1" si="155"/>
        <v>55</v>
      </c>
      <c r="N2484" t="str">
        <f t="shared" si="152"/>
        <v xml:space="preserve">Sunderland5Urgent CareHome-based intermediate care servicesReablement at home (to support discharge) </v>
      </c>
      <c r="O2484" t="s">
        <v>311</v>
      </c>
      <c r="P2484" t="s">
        <v>2195</v>
      </c>
      <c r="Q2484">
        <v>5</v>
      </c>
      <c r="R2484" t="s">
        <v>6253</v>
      </c>
      <c r="S2484" t="s">
        <v>6753</v>
      </c>
      <c r="T2484" t="s">
        <v>787</v>
      </c>
      <c r="U2484" t="s">
        <v>788</v>
      </c>
      <c r="V2484" t="s">
        <v>6710</v>
      </c>
      <c r="W2484">
        <v>14</v>
      </c>
      <c r="X2484">
        <v>15</v>
      </c>
      <c r="Y2484" t="s">
        <v>789</v>
      </c>
      <c r="Z2484" t="s">
        <v>823</v>
      </c>
      <c r="AB2484" t="s">
        <v>824</v>
      </c>
      <c r="AD2484" t="s">
        <v>794</v>
      </c>
      <c r="AE2484" t="s">
        <v>795</v>
      </c>
      <c r="AF2484" t="s">
        <v>796</v>
      </c>
      <c r="AG2484" t="s">
        <v>797</v>
      </c>
      <c r="AH2484">
        <v>71483</v>
      </c>
      <c r="AI2484">
        <v>75529</v>
      </c>
      <c r="AJ2484">
        <v>0.01</v>
      </c>
    </row>
    <row r="2485" spans="1:36" x14ac:dyDescent="0.3">
      <c r="A2485">
        <f>COUNTIF($D$2:D2485,D2485)</f>
        <v>21</v>
      </c>
      <c r="B2485" t="str">
        <f t="shared" si="153"/>
        <v>21Wandsworth</v>
      </c>
      <c r="C2485" t="s">
        <v>6779</v>
      </c>
      <c r="D2485" t="s">
        <v>337</v>
      </c>
      <c r="E2485">
        <v>63</v>
      </c>
      <c r="F2485" t="s">
        <v>6780</v>
      </c>
      <c r="G2485" t="s">
        <v>834</v>
      </c>
      <c r="H2485" t="s">
        <v>1732</v>
      </c>
      <c r="I2485" t="s">
        <v>836</v>
      </c>
      <c r="J2485">
        <f t="shared" ca="1" si="154"/>
        <v>97110</v>
      </c>
      <c r="K2485">
        <f t="shared" ca="1" si="155"/>
        <v>9</v>
      </c>
      <c r="N2485" t="str">
        <f t="shared" si="152"/>
        <v xml:space="preserve">Sunderland5Urgent CareHome-based intermediate care servicesReablement at home (to support discharge) </v>
      </c>
      <c r="O2485" t="s">
        <v>311</v>
      </c>
      <c r="P2485" t="s">
        <v>2195</v>
      </c>
      <c r="Q2485">
        <v>5</v>
      </c>
      <c r="R2485" t="s">
        <v>6253</v>
      </c>
      <c r="S2485" t="s">
        <v>6753</v>
      </c>
      <c r="T2485" t="s">
        <v>787</v>
      </c>
      <c r="U2485" t="s">
        <v>788</v>
      </c>
      <c r="V2485" t="s">
        <v>6710</v>
      </c>
      <c r="W2485">
        <v>700</v>
      </c>
      <c r="X2485">
        <v>700</v>
      </c>
      <c r="Y2485" t="s">
        <v>789</v>
      </c>
      <c r="Z2485" t="s">
        <v>823</v>
      </c>
      <c r="AB2485" t="s">
        <v>824</v>
      </c>
      <c r="AD2485" t="s">
        <v>794</v>
      </c>
      <c r="AE2485" t="s">
        <v>1119</v>
      </c>
      <c r="AF2485" t="s">
        <v>796</v>
      </c>
      <c r="AG2485" t="s">
        <v>797</v>
      </c>
      <c r="AH2485">
        <v>262917</v>
      </c>
      <c r="AI2485">
        <v>277798</v>
      </c>
      <c r="AJ2485">
        <v>0.02</v>
      </c>
    </row>
    <row r="2486" spans="1:36" x14ac:dyDescent="0.3">
      <c r="A2486">
        <f>COUNTIF($D$2:D2486,D2486)</f>
        <v>22</v>
      </c>
      <c r="B2486" t="str">
        <f t="shared" si="153"/>
        <v>22Wandsworth</v>
      </c>
      <c r="C2486" t="s">
        <v>6781</v>
      </c>
      <c r="D2486" t="s">
        <v>337</v>
      </c>
      <c r="E2486">
        <v>72</v>
      </c>
      <c r="F2486" t="s">
        <v>6782</v>
      </c>
      <c r="G2486" t="s">
        <v>806</v>
      </c>
      <c r="H2486" t="s">
        <v>873</v>
      </c>
      <c r="I2486" t="s">
        <v>808</v>
      </c>
      <c r="J2486">
        <f t="shared" ca="1" si="154"/>
        <v>616901.18999999994</v>
      </c>
      <c r="K2486">
        <f t="shared" ca="1" si="155"/>
        <v>13</v>
      </c>
      <c r="N2486" t="str">
        <f t="shared" si="152"/>
        <v xml:space="preserve">Sunderland5Urgent CareHome-based intermediate care servicesReablement at home (to support discharge) </v>
      </c>
      <c r="O2486" t="s">
        <v>311</v>
      </c>
      <c r="P2486" t="s">
        <v>2195</v>
      </c>
      <c r="Q2486">
        <v>5</v>
      </c>
      <c r="R2486" t="s">
        <v>6253</v>
      </c>
      <c r="S2486" t="s">
        <v>6753</v>
      </c>
      <c r="T2486" t="s">
        <v>787</v>
      </c>
      <c r="U2486" t="s">
        <v>788</v>
      </c>
      <c r="V2486" t="s">
        <v>6710</v>
      </c>
      <c r="W2486">
        <v>500</v>
      </c>
      <c r="X2486">
        <v>500</v>
      </c>
      <c r="Y2486" t="s">
        <v>789</v>
      </c>
      <c r="Z2486" t="s">
        <v>823</v>
      </c>
      <c r="AB2486" t="s">
        <v>824</v>
      </c>
      <c r="AD2486" t="s">
        <v>794</v>
      </c>
      <c r="AE2486" t="s">
        <v>1119</v>
      </c>
      <c r="AF2486" t="s">
        <v>796</v>
      </c>
      <c r="AG2486" t="s">
        <v>797</v>
      </c>
      <c r="AH2486">
        <v>82414</v>
      </c>
      <c r="AI2486">
        <v>87079</v>
      </c>
      <c r="AJ2486">
        <v>0.01</v>
      </c>
    </row>
    <row r="2487" spans="1:36" x14ac:dyDescent="0.3">
      <c r="A2487">
        <f>COUNTIF($D$2:D2487,D2487)</f>
        <v>23</v>
      </c>
      <c r="B2487" t="str">
        <f t="shared" si="153"/>
        <v>23Wandsworth</v>
      </c>
      <c r="C2487" t="s">
        <v>6783</v>
      </c>
      <c r="D2487" t="s">
        <v>337</v>
      </c>
      <c r="E2487">
        <v>73</v>
      </c>
      <c r="F2487" t="s">
        <v>6784</v>
      </c>
      <c r="G2487" t="s">
        <v>806</v>
      </c>
      <c r="H2487" t="s">
        <v>873</v>
      </c>
      <c r="I2487" t="s">
        <v>808</v>
      </c>
      <c r="J2487">
        <f t="shared" ca="1" si="154"/>
        <v>154530</v>
      </c>
      <c r="K2487">
        <f t="shared" ca="1" si="155"/>
        <v>5</v>
      </c>
      <c r="N2487" t="str">
        <f t="shared" si="152"/>
        <v>Sunderland2Mental Health, Learning Disabilities and AutismBed based intermediate Care Services (Reablement, rehabilitation, wider short-term services supporting recovery)Bed-based intermediate care with rehabilitation (to support discharge)</v>
      </c>
      <c r="O2487" t="s">
        <v>311</v>
      </c>
      <c r="P2487" t="s">
        <v>2195</v>
      </c>
      <c r="Q2487">
        <v>2</v>
      </c>
      <c r="R2487" t="s">
        <v>6245</v>
      </c>
      <c r="S2487" t="s">
        <v>6785</v>
      </c>
      <c r="T2487" t="s">
        <v>877</v>
      </c>
      <c r="U2487" t="s">
        <v>968</v>
      </c>
      <c r="V2487" t="s">
        <v>6710</v>
      </c>
      <c r="W2487">
        <v>209</v>
      </c>
      <c r="X2487">
        <v>219</v>
      </c>
      <c r="Y2487" t="s">
        <v>879</v>
      </c>
      <c r="Z2487" t="s">
        <v>1006</v>
      </c>
      <c r="AB2487" t="s">
        <v>824</v>
      </c>
      <c r="AD2487" t="s">
        <v>794</v>
      </c>
      <c r="AE2487" t="s">
        <v>795</v>
      </c>
      <c r="AF2487" t="s">
        <v>796</v>
      </c>
      <c r="AG2487" t="s">
        <v>797</v>
      </c>
      <c r="AH2487">
        <v>529379</v>
      </c>
      <c r="AI2487">
        <v>559342</v>
      </c>
      <c r="AJ2487">
        <v>0.02</v>
      </c>
    </row>
    <row r="2488" spans="1:36" x14ac:dyDescent="0.3">
      <c r="A2488">
        <f>COUNTIF($D$2:D2488,D2488)</f>
        <v>24</v>
      </c>
      <c r="B2488" t="str">
        <f t="shared" si="153"/>
        <v>24Wandsworth</v>
      </c>
      <c r="C2488" t="s">
        <v>6786</v>
      </c>
      <c r="D2488" t="s">
        <v>337</v>
      </c>
      <c r="E2488">
        <v>74</v>
      </c>
      <c r="F2488" t="s">
        <v>6787</v>
      </c>
      <c r="G2488" t="s">
        <v>806</v>
      </c>
      <c r="H2488" t="s">
        <v>807</v>
      </c>
      <c r="I2488" t="s">
        <v>808</v>
      </c>
      <c r="J2488">
        <f t="shared" ca="1" si="154"/>
        <v>8155360</v>
      </c>
      <c r="K2488">
        <f t="shared" ca="1" si="155"/>
        <v>125</v>
      </c>
      <c r="N2488" t="str">
        <f t="shared" si="152"/>
        <v>Sunderland2Mental Health, Learning Disabilities and AutismResidential PlacementsOther</v>
      </c>
      <c r="O2488" t="s">
        <v>311</v>
      </c>
      <c r="P2488" t="s">
        <v>2195</v>
      </c>
      <c r="Q2488">
        <v>2</v>
      </c>
      <c r="R2488" t="s">
        <v>6245</v>
      </c>
      <c r="S2488" t="s">
        <v>6788</v>
      </c>
      <c r="T2488" t="s">
        <v>806</v>
      </c>
      <c r="U2488" t="s">
        <v>812</v>
      </c>
      <c r="V2488" t="s">
        <v>4746</v>
      </c>
      <c r="W2488">
        <v>55</v>
      </c>
      <c r="X2488">
        <v>58</v>
      </c>
      <c r="Y2488" t="s">
        <v>808</v>
      </c>
      <c r="Z2488" t="s">
        <v>1006</v>
      </c>
      <c r="AB2488" t="s">
        <v>824</v>
      </c>
      <c r="AD2488" t="s">
        <v>794</v>
      </c>
      <c r="AE2488" t="s">
        <v>795</v>
      </c>
      <c r="AF2488" t="s">
        <v>796</v>
      </c>
      <c r="AG2488" t="s">
        <v>797</v>
      </c>
      <c r="AH2488">
        <v>132502</v>
      </c>
      <c r="AI2488">
        <v>140002</v>
      </c>
      <c r="AJ2488">
        <v>0</v>
      </c>
    </row>
    <row r="2489" spans="1:36" x14ac:dyDescent="0.3">
      <c r="A2489">
        <f>COUNTIF($D$2:D2489,D2489)</f>
        <v>25</v>
      </c>
      <c r="B2489" t="str">
        <f t="shared" si="153"/>
        <v>25Wandsworth</v>
      </c>
      <c r="C2489" t="s">
        <v>6789</v>
      </c>
      <c r="D2489" t="s">
        <v>337</v>
      </c>
      <c r="E2489">
        <v>75</v>
      </c>
      <c r="F2489" t="s">
        <v>6790</v>
      </c>
      <c r="G2489" t="s">
        <v>806</v>
      </c>
      <c r="H2489" t="s">
        <v>807</v>
      </c>
      <c r="I2489" t="s">
        <v>808</v>
      </c>
      <c r="J2489">
        <f t="shared" ca="1" si="154"/>
        <v>2968290</v>
      </c>
      <c r="K2489">
        <f t="shared" ca="1" si="155"/>
        <v>47</v>
      </c>
      <c r="N2489" t="str">
        <f t="shared" si="152"/>
        <v>Sunderland4Ageing WellHome Care or Domiciliary CareDomiciliary care packages</v>
      </c>
      <c r="O2489" t="s">
        <v>311</v>
      </c>
      <c r="P2489" t="s">
        <v>2195</v>
      </c>
      <c r="Q2489">
        <v>4</v>
      </c>
      <c r="R2489" t="s">
        <v>6236</v>
      </c>
      <c r="S2489" t="s">
        <v>6791</v>
      </c>
      <c r="T2489" t="s">
        <v>842</v>
      </c>
      <c r="U2489" t="s">
        <v>843</v>
      </c>
      <c r="V2489" t="s">
        <v>6710</v>
      </c>
      <c r="W2489">
        <v>9320</v>
      </c>
      <c r="X2489">
        <v>9320</v>
      </c>
      <c r="Y2489" t="s">
        <v>844</v>
      </c>
      <c r="Z2489" t="s">
        <v>823</v>
      </c>
      <c r="AB2489" t="s">
        <v>824</v>
      </c>
      <c r="AD2489" t="s">
        <v>794</v>
      </c>
      <c r="AE2489" t="s">
        <v>825</v>
      </c>
      <c r="AF2489" t="s">
        <v>796</v>
      </c>
      <c r="AG2489" t="s">
        <v>797</v>
      </c>
      <c r="AH2489">
        <v>177088</v>
      </c>
      <c r="AI2489">
        <v>187111</v>
      </c>
      <c r="AJ2489">
        <v>0.03</v>
      </c>
    </row>
    <row r="2490" spans="1:36" x14ac:dyDescent="0.3">
      <c r="A2490">
        <f>COUNTIF($D$2:D2490,D2490)</f>
        <v>1</v>
      </c>
      <c r="B2490" t="str">
        <f t="shared" si="153"/>
        <v>1Warrington</v>
      </c>
      <c r="C2490" t="s">
        <v>6792</v>
      </c>
      <c r="D2490" t="s">
        <v>339</v>
      </c>
      <c r="E2490">
        <v>1001</v>
      </c>
      <c r="F2490" t="s">
        <v>6793</v>
      </c>
      <c r="G2490" t="s">
        <v>787</v>
      </c>
      <c r="H2490" t="s">
        <v>930</v>
      </c>
      <c r="I2490" t="s">
        <v>789</v>
      </c>
      <c r="J2490">
        <f t="shared" ca="1" si="154"/>
        <v>4270670</v>
      </c>
      <c r="K2490">
        <f t="shared" ca="1" si="155"/>
        <v>1344</v>
      </c>
      <c r="N2490" t="str">
        <f t="shared" si="152"/>
        <v>Sunderland4Ageing WellHome-based intermediate care servicesReablement at home (to prevent admission to hospital or residential care)</v>
      </c>
      <c r="O2490" t="s">
        <v>311</v>
      </c>
      <c r="P2490" t="s">
        <v>2195</v>
      </c>
      <c r="Q2490">
        <v>4</v>
      </c>
      <c r="R2490" t="s">
        <v>6236</v>
      </c>
      <c r="S2490" t="s">
        <v>6753</v>
      </c>
      <c r="T2490" t="s">
        <v>787</v>
      </c>
      <c r="U2490" t="s">
        <v>886</v>
      </c>
      <c r="V2490" t="s">
        <v>6710</v>
      </c>
      <c r="W2490">
        <v>161</v>
      </c>
      <c r="X2490">
        <v>161</v>
      </c>
      <c r="Y2490" t="s">
        <v>789</v>
      </c>
      <c r="Z2490" t="s">
        <v>823</v>
      </c>
      <c r="AB2490" t="s">
        <v>824</v>
      </c>
      <c r="AD2490" t="s">
        <v>794</v>
      </c>
      <c r="AE2490" t="s">
        <v>804</v>
      </c>
      <c r="AF2490" t="s">
        <v>796</v>
      </c>
      <c r="AG2490" t="s">
        <v>797</v>
      </c>
      <c r="AH2490">
        <v>73041</v>
      </c>
      <c r="AI2490">
        <v>77175</v>
      </c>
      <c r="AJ2490">
        <v>0.01</v>
      </c>
    </row>
    <row r="2491" spans="1:36" x14ac:dyDescent="0.3">
      <c r="A2491">
        <f>COUNTIF($D$2:D2491,D2491)</f>
        <v>2</v>
      </c>
      <c r="B2491" t="str">
        <f t="shared" si="153"/>
        <v>2Warrington</v>
      </c>
      <c r="C2491" t="s">
        <v>6794</v>
      </c>
      <c r="D2491" t="s">
        <v>339</v>
      </c>
      <c r="E2491">
        <v>1002</v>
      </c>
      <c r="F2491" t="s">
        <v>6793</v>
      </c>
      <c r="G2491" t="s">
        <v>877</v>
      </c>
      <c r="H2491" t="s">
        <v>878</v>
      </c>
      <c r="I2491" t="s">
        <v>879</v>
      </c>
      <c r="J2491">
        <f t="shared" ca="1" si="154"/>
        <v>4338137</v>
      </c>
      <c r="K2491">
        <f t="shared" ca="1" si="155"/>
        <v>312</v>
      </c>
      <c r="N2491" t="str">
        <f t="shared" si="152"/>
        <v>Sunderland5Urgent CareHome-based intermediate care servicesReablement at home (to prevent admission to hospital or residential care)</v>
      </c>
      <c r="O2491" t="s">
        <v>311</v>
      </c>
      <c r="P2491" t="s">
        <v>2195</v>
      </c>
      <c r="Q2491">
        <v>5</v>
      </c>
      <c r="R2491" t="s">
        <v>6253</v>
      </c>
      <c r="S2491" t="s">
        <v>6753</v>
      </c>
      <c r="T2491" t="s">
        <v>787</v>
      </c>
      <c r="U2491" t="s">
        <v>886</v>
      </c>
      <c r="V2491" t="s">
        <v>6710</v>
      </c>
      <c r="W2491">
        <v>3000</v>
      </c>
      <c r="X2491">
        <v>3000</v>
      </c>
      <c r="Y2491" t="s">
        <v>789</v>
      </c>
      <c r="Z2491" t="s">
        <v>823</v>
      </c>
      <c r="AB2491" t="s">
        <v>824</v>
      </c>
      <c r="AD2491" t="s">
        <v>794</v>
      </c>
      <c r="AE2491" t="s">
        <v>1119</v>
      </c>
      <c r="AF2491" t="s">
        <v>796</v>
      </c>
      <c r="AG2491" t="s">
        <v>797</v>
      </c>
      <c r="AH2491">
        <v>1647284</v>
      </c>
      <c r="AI2491">
        <v>1740520</v>
      </c>
      <c r="AJ2491">
        <v>0.14000000000000001</v>
      </c>
    </row>
    <row r="2492" spans="1:36" x14ac:dyDescent="0.3">
      <c r="A2492">
        <f>COUNTIF($D$2:D2492,D2492)</f>
        <v>3</v>
      </c>
      <c r="B2492" t="str">
        <f t="shared" si="153"/>
        <v>3Warrington</v>
      </c>
      <c r="C2492" t="s">
        <v>6795</v>
      </c>
      <c r="D2492" t="s">
        <v>339</v>
      </c>
      <c r="E2492">
        <v>1003</v>
      </c>
      <c r="F2492" t="s">
        <v>6796</v>
      </c>
      <c r="G2492" t="s">
        <v>842</v>
      </c>
      <c r="H2492" t="s">
        <v>843</v>
      </c>
      <c r="I2492" t="s">
        <v>844</v>
      </c>
      <c r="J2492">
        <f t="shared" ca="1" si="154"/>
        <v>350000</v>
      </c>
      <c r="K2492">
        <f t="shared" ca="1" si="155"/>
        <v>14500</v>
      </c>
      <c r="N2492" t="str">
        <f t="shared" si="152"/>
        <v>Sunderland5Urgent CareBed based intermediate Care Services (Reablement, rehabilitation, wider short-term services supporting recovery)Bed-based intermediate care with reablement accepting step up and step down users</v>
      </c>
      <c r="O2492" t="s">
        <v>311</v>
      </c>
      <c r="P2492" t="s">
        <v>2195</v>
      </c>
      <c r="Q2492">
        <v>5</v>
      </c>
      <c r="R2492" t="s">
        <v>6253</v>
      </c>
      <c r="S2492" t="s">
        <v>705</v>
      </c>
      <c r="T2492" t="s">
        <v>877</v>
      </c>
      <c r="U2492" t="s">
        <v>1259</v>
      </c>
      <c r="V2492" t="s">
        <v>6710</v>
      </c>
      <c r="W2492">
        <v>933</v>
      </c>
      <c r="X2492">
        <v>933</v>
      </c>
      <c r="Y2492" t="s">
        <v>879</v>
      </c>
      <c r="Z2492" t="s">
        <v>823</v>
      </c>
      <c r="AB2492" t="s">
        <v>824</v>
      </c>
      <c r="AD2492" t="s">
        <v>794</v>
      </c>
      <c r="AE2492" t="s">
        <v>1119</v>
      </c>
      <c r="AF2492" t="s">
        <v>796</v>
      </c>
      <c r="AG2492" t="s">
        <v>861</v>
      </c>
      <c r="AH2492">
        <v>2143154</v>
      </c>
      <c r="AI2492">
        <v>2264457</v>
      </c>
      <c r="AJ2492">
        <v>0.5</v>
      </c>
    </row>
    <row r="2493" spans="1:36" x14ac:dyDescent="0.3">
      <c r="A2493">
        <f>COUNTIF($D$2:D2493,D2493)</f>
        <v>4</v>
      </c>
      <c r="B2493" t="str">
        <f t="shared" si="153"/>
        <v>4Warrington</v>
      </c>
      <c r="C2493" t="s">
        <v>6797</v>
      </c>
      <c r="D2493" t="s">
        <v>339</v>
      </c>
      <c r="E2493">
        <v>1004</v>
      </c>
      <c r="F2493" t="s">
        <v>1051</v>
      </c>
      <c r="G2493" t="s">
        <v>800</v>
      </c>
      <c r="H2493" t="s">
        <v>903</v>
      </c>
      <c r="I2493" t="s">
        <v>802</v>
      </c>
      <c r="J2493">
        <f t="shared" ca="1" si="154"/>
        <v>704363</v>
      </c>
      <c r="K2493">
        <f t="shared" ca="1" si="155"/>
        <v>2500</v>
      </c>
      <c r="N2493" t="str">
        <f t="shared" si="152"/>
        <v>Sunderland4Ageing WellResidential PlacementsExtra care</v>
      </c>
      <c r="O2493" t="s">
        <v>311</v>
      </c>
      <c r="P2493" t="s">
        <v>2195</v>
      </c>
      <c r="Q2493">
        <v>4</v>
      </c>
      <c r="R2493" t="s">
        <v>6236</v>
      </c>
      <c r="S2493" t="s">
        <v>6771</v>
      </c>
      <c r="T2493" t="s">
        <v>806</v>
      </c>
      <c r="U2493" t="s">
        <v>934</v>
      </c>
      <c r="V2493" t="s">
        <v>6710</v>
      </c>
      <c r="W2493">
        <v>108</v>
      </c>
      <c r="X2493">
        <v>107</v>
      </c>
      <c r="Y2493" t="s">
        <v>808</v>
      </c>
      <c r="Z2493" t="s">
        <v>792</v>
      </c>
      <c r="AB2493" t="s">
        <v>793</v>
      </c>
      <c r="AD2493" t="s">
        <v>794</v>
      </c>
      <c r="AE2493" t="s">
        <v>795</v>
      </c>
      <c r="AF2493" t="s">
        <v>796</v>
      </c>
      <c r="AG2493" t="s">
        <v>797</v>
      </c>
      <c r="AH2493">
        <v>1848000</v>
      </c>
      <c r="AI2493">
        <v>1952597</v>
      </c>
      <c r="AJ2493">
        <v>0.26</v>
      </c>
    </row>
    <row r="2494" spans="1:36" x14ac:dyDescent="0.3">
      <c r="A2494">
        <f>COUNTIF($D$2:D2494,D2494)</f>
        <v>5</v>
      </c>
      <c r="B2494" t="str">
        <f t="shared" si="153"/>
        <v>5Warrington</v>
      </c>
      <c r="C2494" t="s">
        <v>6798</v>
      </c>
      <c r="D2494" t="s">
        <v>339</v>
      </c>
      <c r="E2494">
        <v>1005</v>
      </c>
      <c r="F2494" t="s">
        <v>1051</v>
      </c>
      <c r="G2494" t="s">
        <v>800</v>
      </c>
      <c r="H2494" t="s">
        <v>903</v>
      </c>
      <c r="I2494" t="s">
        <v>802</v>
      </c>
      <c r="J2494">
        <f t="shared" ca="1" si="154"/>
        <v>289849</v>
      </c>
      <c r="K2494">
        <f t="shared" ca="1" si="155"/>
        <v>1000</v>
      </c>
      <c r="N2494" t="str">
        <f t="shared" si="152"/>
        <v>Sunderland4Ageing WellResidential PlacementsCare home</v>
      </c>
      <c r="O2494" t="s">
        <v>311</v>
      </c>
      <c r="P2494" t="s">
        <v>2195</v>
      </c>
      <c r="Q2494">
        <v>4</v>
      </c>
      <c r="R2494" t="s">
        <v>6236</v>
      </c>
      <c r="S2494" t="s">
        <v>6771</v>
      </c>
      <c r="T2494" t="s">
        <v>806</v>
      </c>
      <c r="U2494" t="s">
        <v>807</v>
      </c>
      <c r="V2494" t="s">
        <v>6710</v>
      </c>
      <c r="W2494">
        <v>70</v>
      </c>
      <c r="X2494">
        <v>69</v>
      </c>
      <c r="Y2494" t="s">
        <v>808</v>
      </c>
      <c r="Z2494" t="s">
        <v>792</v>
      </c>
      <c r="AB2494" t="s">
        <v>793</v>
      </c>
      <c r="AD2494" t="s">
        <v>794</v>
      </c>
      <c r="AE2494" t="s">
        <v>795</v>
      </c>
      <c r="AF2494" t="s">
        <v>796</v>
      </c>
      <c r="AG2494" t="s">
        <v>797</v>
      </c>
      <c r="AH2494">
        <v>2983491</v>
      </c>
      <c r="AI2494">
        <v>3152357</v>
      </c>
      <c r="AJ2494">
        <v>0.03</v>
      </c>
    </row>
    <row r="2495" spans="1:36" x14ac:dyDescent="0.3">
      <c r="A2495">
        <f>COUNTIF($D$2:D2495,D2495)</f>
        <v>6</v>
      </c>
      <c r="B2495" t="str">
        <f t="shared" si="153"/>
        <v>6Warrington</v>
      </c>
      <c r="C2495" t="s">
        <v>6799</v>
      </c>
      <c r="D2495" t="s">
        <v>339</v>
      </c>
      <c r="E2495">
        <v>1006</v>
      </c>
      <c r="F2495" t="s">
        <v>2108</v>
      </c>
      <c r="G2495" t="s">
        <v>800</v>
      </c>
      <c r="H2495" t="s">
        <v>850</v>
      </c>
      <c r="I2495" t="s">
        <v>802</v>
      </c>
      <c r="J2495">
        <f t="shared" ca="1" si="154"/>
        <v>380294</v>
      </c>
      <c r="K2495">
        <f t="shared" ca="1" si="155"/>
        <v>640</v>
      </c>
      <c r="N2495" t="str">
        <f t="shared" si="152"/>
        <v xml:space="preserve">Sunderland4Urgent CareHome-based intermediate care servicesReablement at home (to support discharge) </v>
      </c>
      <c r="O2495" t="s">
        <v>311</v>
      </c>
      <c r="P2495" t="s">
        <v>2195</v>
      </c>
      <c r="Q2495">
        <v>4</v>
      </c>
      <c r="R2495" t="s">
        <v>6253</v>
      </c>
      <c r="S2495" t="s">
        <v>6753</v>
      </c>
      <c r="T2495" t="s">
        <v>787</v>
      </c>
      <c r="U2495" t="s">
        <v>788</v>
      </c>
      <c r="V2495" t="s">
        <v>6710</v>
      </c>
      <c r="W2495">
        <v>2500</v>
      </c>
      <c r="X2495">
        <v>2500</v>
      </c>
      <c r="Y2495" t="s">
        <v>789</v>
      </c>
      <c r="Z2495" t="s">
        <v>823</v>
      </c>
      <c r="AB2495" t="s">
        <v>824</v>
      </c>
      <c r="AD2495" t="s">
        <v>794</v>
      </c>
      <c r="AE2495" t="s">
        <v>1119</v>
      </c>
      <c r="AF2495" t="s">
        <v>796</v>
      </c>
      <c r="AG2495" t="s">
        <v>797</v>
      </c>
      <c r="AH2495">
        <v>1203835</v>
      </c>
      <c r="AI2495">
        <v>1271972</v>
      </c>
      <c r="AJ2495">
        <v>0.11</v>
      </c>
    </row>
    <row r="2496" spans="1:36" x14ac:dyDescent="0.3">
      <c r="A2496">
        <f>COUNTIF($D$2:D2496,D2496)</f>
        <v>7</v>
      </c>
      <c r="B2496" t="str">
        <f t="shared" si="153"/>
        <v>7Warrington</v>
      </c>
      <c r="C2496" t="s">
        <v>6800</v>
      </c>
      <c r="D2496" t="s">
        <v>339</v>
      </c>
      <c r="E2496">
        <v>1007</v>
      </c>
      <c r="F2496" t="s">
        <v>2108</v>
      </c>
      <c r="G2496" t="s">
        <v>800</v>
      </c>
      <c r="H2496" t="s">
        <v>850</v>
      </c>
      <c r="I2496" t="s">
        <v>802</v>
      </c>
      <c r="J2496">
        <f t="shared" ca="1" si="154"/>
        <v>144779</v>
      </c>
      <c r="K2496">
        <f t="shared" ca="1" si="155"/>
        <v>320</v>
      </c>
      <c r="N2496" t="str">
        <f t="shared" si="152"/>
        <v>Surrey4ES 2 - Carers FundingCarers ServicesRespite services</v>
      </c>
      <c r="O2496" t="s">
        <v>313</v>
      </c>
      <c r="P2496" t="s">
        <v>1437</v>
      </c>
      <c r="Q2496">
        <v>4</v>
      </c>
      <c r="R2496" t="s">
        <v>6274</v>
      </c>
      <c r="S2496" t="s">
        <v>6801</v>
      </c>
      <c r="T2496" t="s">
        <v>811</v>
      </c>
      <c r="U2496" t="s">
        <v>830</v>
      </c>
      <c r="W2496">
        <v>502</v>
      </c>
      <c r="X2496">
        <v>502</v>
      </c>
      <c r="Y2496" t="s">
        <v>813</v>
      </c>
      <c r="Z2496" t="s">
        <v>792</v>
      </c>
      <c r="AB2496" t="s">
        <v>793</v>
      </c>
      <c r="AD2496" t="s">
        <v>794</v>
      </c>
      <c r="AE2496" t="s">
        <v>795</v>
      </c>
      <c r="AF2496" t="s">
        <v>796</v>
      </c>
      <c r="AG2496" t="s">
        <v>797</v>
      </c>
      <c r="AH2496">
        <v>380000</v>
      </c>
      <c r="AI2496">
        <v>380000</v>
      </c>
      <c r="AJ2496">
        <v>3.6903526122209526E-2</v>
      </c>
    </row>
    <row r="2497" spans="1:36" x14ac:dyDescent="0.3">
      <c r="A2497">
        <f>COUNTIF($D$2:D2497,D2497)</f>
        <v>8</v>
      </c>
      <c r="B2497" t="str">
        <f t="shared" si="153"/>
        <v>8Warrington</v>
      </c>
      <c r="C2497" t="s">
        <v>6802</v>
      </c>
      <c r="D2497" t="s">
        <v>339</v>
      </c>
      <c r="E2497">
        <v>1010</v>
      </c>
      <c r="F2497" t="s">
        <v>6803</v>
      </c>
      <c r="G2497" t="s">
        <v>811</v>
      </c>
      <c r="H2497" t="s">
        <v>812</v>
      </c>
      <c r="I2497" t="s">
        <v>813</v>
      </c>
      <c r="J2497">
        <f t="shared" ca="1" si="154"/>
        <v>187619</v>
      </c>
      <c r="K2497">
        <f t="shared" ca="1" si="155"/>
        <v>1400</v>
      </c>
      <c r="N2497" t="str">
        <f t="shared" si="152"/>
        <v>Surrey9ES 7 - Tech to ConnectAssistive Technologies and EquipmentDigital participation services</v>
      </c>
      <c r="O2497" t="s">
        <v>313</v>
      </c>
      <c r="P2497" t="s">
        <v>1437</v>
      </c>
      <c r="Q2497">
        <v>9</v>
      </c>
      <c r="R2497" t="s">
        <v>6277</v>
      </c>
      <c r="S2497" t="s">
        <v>6804</v>
      </c>
      <c r="T2497" t="s">
        <v>800</v>
      </c>
      <c r="U2497" t="s">
        <v>907</v>
      </c>
      <c r="W2497">
        <v>508</v>
      </c>
      <c r="X2497">
        <v>537</v>
      </c>
      <c r="Y2497" t="s">
        <v>802</v>
      </c>
      <c r="Z2497" t="s">
        <v>812</v>
      </c>
      <c r="AA2497" t="s">
        <v>6805</v>
      </c>
      <c r="AB2497" t="s">
        <v>824</v>
      </c>
      <c r="AD2497" t="s">
        <v>794</v>
      </c>
      <c r="AE2497" t="s">
        <v>825</v>
      </c>
      <c r="AF2497" t="s">
        <v>796</v>
      </c>
      <c r="AG2497" t="s">
        <v>797</v>
      </c>
      <c r="AH2497">
        <v>67479</v>
      </c>
      <c r="AI2497">
        <v>71298</v>
      </c>
      <c r="AJ2497">
        <v>7.174713671732209E-3</v>
      </c>
    </row>
    <row r="2498" spans="1:36" x14ac:dyDescent="0.3">
      <c r="A2498">
        <f>COUNTIF($D$2:D2498,D2498)</f>
        <v>9</v>
      </c>
      <c r="B2498" t="str">
        <f t="shared" si="153"/>
        <v>9Warrington</v>
      </c>
      <c r="C2498" t="s">
        <v>6806</v>
      </c>
      <c r="D2498" t="s">
        <v>339</v>
      </c>
      <c r="E2498">
        <v>2001</v>
      </c>
      <c r="F2498" t="s">
        <v>6807</v>
      </c>
      <c r="G2498" t="s">
        <v>787</v>
      </c>
      <c r="H2498" t="s">
        <v>788</v>
      </c>
      <c r="I2498" t="s">
        <v>789</v>
      </c>
      <c r="J2498">
        <f t="shared" ca="1" si="154"/>
        <v>882795</v>
      </c>
      <c r="K2498">
        <f t="shared" ca="1" si="155"/>
        <v>336</v>
      </c>
      <c r="N2498" t="str">
        <f t="shared" ref="N2498:N2561" si="156">O2498&amp;Q2498&amp;R2498&amp;T2498&amp;U2498</f>
        <v>Surrey13ES 11 - TECSAssistive Technologies and EquipmentAssistive technologies including telecare</v>
      </c>
      <c r="O2498" t="s">
        <v>313</v>
      </c>
      <c r="P2498" t="s">
        <v>1437</v>
      </c>
      <c r="Q2498">
        <v>13</v>
      </c>
      <c r="R2498" t="s">
        <v>6280</v>
      </c>
      <c r="S2498" t="s">
        <v>6808</v>
      </c>
      <c r="T2498" t="s">
        <v>800</v>
      </c>
      <c r="U2498" t="s">
        <v>850</v>
      </c>
      <c r="W2498">
        <v>70</v>
      </c>
      <c r="X2498">
        <v>74</v>
      </c>
      <c r="Y2498" t="s">
        <v>802</v>
      </c>
      <c r="Z2498" t="s">
        <v>792</v>
      </c>
      <c r="AB2498" t="s">
        <v>793</v>
      </c>
      <c r="AD2498" t="s">
        <v>794</v>
      </c>
      <c r="AE2498" t="s">
        <v>795</v>
      </c>
      <c r="AF2498" t="s">
        <v>796</v>
      </c>
      <c r="AG2498" t="s">
        <v>797</v>
      </c>
      <c r="AH2498">
        <v>120000</v>
      </c>
      <c r="AI2498">
        <v>126792</v>
      </c>
      <c r="AJ2498">
        <v>1.2759015999168111E-2</v>
      </c>
    </row>
    <row r="2499" spans="1:36" x14ac:dyDescent="0.3">
      <c r="A2499">
        <f>COUNTIF($D$2:D2499,D2499)</f>
        <v>10</v>
      </c>
      <c r="B2499" t="str">
        <f t="shared" ref="B2499:B2562" si="157">A2499&amp;D2499</f>
        <v>10Warrington</v>
      </c>
      <c r="C2499" t="s">
        <v>6809</v>
      </c>
      <c r="D2499" t="s">
        <v>339</v>
      </c>
      <c r="E2499">
        <v>3001</v>
      </c>
      <c r="F2499" t="s">
        <v>4779</v>
      </c>
      <c r="G2499" t="s">
        <v>834</v>
      </c>
      <c r="H2499" t="s">
        <v>835</v>
      </c>
      <c r="I2499" t="s">
        <v>836</v>
      </c>
      <c r="J2499">
        <f t="shared" ref="J2499:J2562" ca="1" si="158">SUMIF($N:$AI,C2499,AH:AH)</f>
        <v>1522346</v>
      </c>
      <c r="K2499">
        <f t="shared" ref="K2499:K2562" ca="1" si="159">SUMIF($N:$AI,C2499,W:W)</f>
        <v>100</v>
      </c>
      <c r="N2499" t="str">
        <f t="shared" si="156"/>
        <v>Surrey18ES 15 - Community EquipmentAssistive Technologies and EquipmentCommunity based equipment</v>
      </c>
      <c r="O2499" t="s">
        <v>313</v>
      </c>
      <c r="P2499" t="s">
        <v>1437</v>
      </c>
      <c r="Q2499">
        <v>18</v>
      </c>
      <c r="R2499" t="s">
        <v>6283</v>
      </c>
      <c r="S2499" t="s">
        <v>1881</v>
      </c>
      <c r="T2499" t="s">
        <v>800</v>
      </c>
      <c r="U2499" t="s">
        <v>903</v>
      </c>
      <c r="W2499">
        <v>1942</v>
      </c>
      <c r="X2499">
        <v>1954</v>
      </c>
      <c r="Y2499" t="s">
        <v>802</v>
      </c>
      <c r="Z2499" t="s">
        <v>792</v>
      </c>
      <c r="AB2499" t="s">
        <v>1739</v>
      </c>
      <c r="AC2499">
        <v>0.5</v>
      </c>
      <c r="AD2499">
        <v>0.5</v>
      </c>
      <c r="AE2499" t="s">
        <v>804</v>
      </c>
      <c r="AF2499" t="s">
        <v>796</v>
      </c>
      <c r="AG2499" t="s">
        <v>797</v>
      </c>
      <c r="AH2499">
        <v>570610</v>
      </c>
      <c r="AI2499">
        <v>602907</v>
      </c>
      <c r="AJ2499">
        <v>6.0670184327377634E-2</v>
      </c>
    </row>
    <row r="2500" spans="1:36" x14ac:dyDescent="0.3">
      <c r="A2500">
        <f>COUNTIF($D$2:D2500,D2500)</f>
        <v>11</v>
      </c>
      <c r="B2500" t="str">
        <f t="shared" si="157"/>
        <v>11Warrington</v>
      </c>
      <c r="C2500" t="s">
        <v>6810</v>
      </c>
      <c r="D2500" t="s">
        <v>339</v>
      </c>
      <c r="E2500">
        <v>3002</v>
      </c>
      <c r="F2500" t="s">
        <v>4779</v>
      </c>
      <c r="G2500" t="s">
        <v>834</v>
      </c>
      <c r="H2500" t="s">
        <v>1293</v>
      </c>
      <c r="I2500" t="s">
        <v>836</v>
      </c>
      <c r="J2500">
        <f t="shared" ca="1" si="158"/>
        <v>700000</v>
      </c>
      <c r="K2500">
        <f t="shared" ca="1" si="159"/>
        <v>270</v>
      </c>
      <c r="N2500" t="str">
        <f t="shared" si="156"/>
        <v>Surrey21ES 18 - Disabled Facilities GrantDFG Related SchemesAdaptations, including statutory DFG grants</v>
      </c>
      <c r="O2500" t="s">
        <v>313</v>
      </c>
      <c r="P2500" t="s">
        <v>1437</v>
      </c>
      <c r="Q2500">
        <v>21</v>
      </c>
      <c r="R2500" t="s">
        <v>6286</v>
      </c>
      <c r="S2500" t="s">
        <v>6811</v>
      </c>
      <c r="T2500" t="s">
        <v>834</v>
      </c>
      <c r="U2500" t="s">
        <v>835</v>
      </c>
      <c r="W2500">
        <v>224</v>
      </c>
      <c r="X2500">
        <v>224</v>
      </c>
      <c r="Y2500" t="s">
        <v>836</v>
      </c>
      <c r="Z2500" t="s">
        <v>792</v>
      </c>
      <c r="AB2500" t="s">
        <v>793</v>
      </c>
      <c r="AD2500" t="s">
        <v>794</v>
      </c>
      <c r="AE2500" t="s">
        <v>795</v>
      </c>
      <c r="AF2500" t="s">
        <v>840</v>
      </c>
      <c r="AG2500" t="s">
        <v>797</v>
      </c>
      <c r="AH2500">
        <v>1268237</v>
      </c>
      <c r="AI2500">
        <v>1268237</v>
      </c>
      <c r="AJ2500">
        <v>0.1248775212938911</v>
      </c>
    </row>
    <row r="2501" spans="1:36" x14ac:dyDescent="0.3">
      <c r="A2501">
        <f>COUNTIF($D$2:D2501,D2501)</f>
        <v>12</v>
      </c>
      <c r="B2501" t="str">
        <f t="shared" si="157"/>
        <v>12Warrington</v>
      </c>
      <c r="C2501" t="s">
        <v>6812</v>
      </c>
      <c r="D2501" t="s">
        <v>339</v>
      </c>
      <c r="E2501">
        <v>1019</v>
      </c>
      <c r="F2501" t="s">
        <v>6813</v>
      </c>
      <c r="G2501" t="s">
        <v>806</v>
      </c>
      <c r="H2501" t="s">
        <v>807</v>
      </c>
      <c r="I2501" t="s">
        <v>808</v>
      </c>
      <c r="J2501">
        <f t="shared" ca="1" si="158"/>
        <v>1403257</v>
      </c>
      <c r="K2501">
        <f t="shared" ca="1" si="159"/>
        <v>250</v>
      </c>
      <c r="N2501" t="str">
        <f t="shared" si="156"/>
        <v>Surrey22ES 19 - Improve BCF 23/24Residential PlacementsOther</v>
      </c>
      <c r="O2501" t="s">
        <v>313</v>
      </c>
      <c r="P2501" t="s">
        <v>1437</v>
      </c>
      <c r="Q2501">
        <v>22</v>
      </c>
      <c r="R2501" t="s">
        <v>6289</v>
      </c>
      <c r="S2501" t="s">
        <v>6814</v>
      </c>
      <c r="T2501" t="s">
        <v>806</v>
      </c>
      <c r="U2501" t="s">
        <v>812</v>
      </c>
      <c r="V2501" t="s">
        <v>6815</v>
      </c>
      <c r="W2501">
        <v>38</v>
      </c>
      <c r="X2501">
        <v>38</v>
      </c>
      <c r="Y2501" t="s">
        <v>808</v>
      </c>
      <c r="Z2501" t="s">
        <v>792</v>
      </c>
      <c r="AB2501" t="s">
        <v>793</v>
      </c>
      <c r="AD2501" t="s">
        <v>794</v>
      </c>
      <c r="AE2501" t="s">
        <v>795</v>
      </c>
      <c r="AF2501" t="s">
        <v>845</v>
      </c>
      <c r="AG2501" t="s">
        <v>797</v>
      </c>
      <c r="AH2501">
        <v>1729975</v>
      </c>
      <c r="AI2501">
        <v>1729975</v>
      </c>
      <c r="AJ2501">
        <v>1.1166891868907056E-2</v>
      </c>
    </row>
    <row r="2502" spans="1:36" x14ac:dyDescent="0.3">
      <c r="A2502">
        <f>COUNTIF($D$2:D2502,D2502)</f>
        <v>13</v>
      </c>
      <c r="B2502" t="str">
        <f t="shared" si="157"/>
        <v>13Warrington</v>
      </c>
      <c r="C2502" t="s">
        <v>6816</v>
      </c>
      <c r="D2502" t="s">
        <v>339</v>
      </c>
      <c r="E2502">
        <v>1020</v>
      </c>
      <c r="F2502" t="s">
        <v>6813</v>
      </c>
      <c r="G2502" t="s">
        <v>806</v>
      </c>
      <c r="H2502" t="s">
        <v>807</v>
      </c>
      <c r="I2502" t="s">
        <v>808</v>
      </c>
      <c r="J2502">
        <f t="shared" ca="1" si="158"/>
        <v>870761</v>
      </c>
      <c r="K2502">
        <f t="shared" ca="1" si="159"/>
        <v>150</v>
      </c>
      <c r="N2502" t="str">
        <f t="shared" si="156"/>
        <v>Surrey23Discharge Fund - Surrey Heartlands Pathway 1Home Care or Domiciliary CareDomiciliary care to support hospital discharge (Discharge to Assess pathway 1)</v>
      </c>
      <c r="O2502" t="s">
        <v>313</v>
      </c>
      <c r="P2502" t="s">
        <v>1437</v>
      </c>
      <c r="Q2502">
        <v>23</v>
      </c>
      <c r="R2502" t="s">
        <v>6291</v>
      </c>
      <c r="S2502" t="s">
        <v>6817</v>
      </c>
      <c r="T2502" t="s">
        <v>842</v>
      </c>
      <c r="U2502" t="s">
        <v>856</v>
      </c>
      <c r="W2502">
        <v>31711</v>
      </c>
      <c r="X2502">
        <v>52874</v>
      </c>
      <c r="Y2502" t="s">
        <v>844</v>
      </c>
      <c r="Z2502" t="s">
        <v>792</v>
      </c>
      <c r="AB2502" t="s">
        <v>824</v>
      </c>
      <c r="AD2502" t="s">
        <v>794</v>
      </c>
      <c r="AE2502" t="s">
        <v>804</v>
      </c>
      <c r="AF2502" t="s">
        <v>860</v>
      </c>
      <c r="AG2502" t="s">
        <v>861</v>
      </c>
      <c r="AH2502">
        <v>760755</v>
      </c>
      <c r="AI2502">
        <v>1268446</v>
      </c>
      <c r="AJ2502">
        <v>5.7734177429412791E-3</v>
      </c>
    </row>
    <row r="2503" spans="1:36" x14ac:dyDescent="0.3">
      <c r="A2503">
        <f>COUNTIF($D$2:D2503,D2503)</f>
        <v>1</v>
      </c>
      <c r="B2503" t="str">
        <f t="shared" si="157"/>
        <v>1Warwickshire</v>
      </c>
      <c r="C2503" t="s">
        <v>6818</v>
      </c>
      <c r="D2503" t="s">
        <v>341</v>
      </c>
      <c r="E2503">
        <v>1</v>
      </c>
      <c r="F2503" t="s">
        <v>6819</v>
      </c>
      <c r="G2503" t="s">
        <v>842</v>
      </c>
      <c r="H2503" t="s">
        <v>843</v>
      </c>
      <c r="I2503" t="s">
        <v>844</v>
      </c>
      <c r="J2503">
        <f t="shared" ca="1" si="158"/>
        <v>8716497</v>
      </c>
      <c r="K2503">
        <f t="shared" ca="1" si="159"/>
        <v>381208</v>
      </c>
      <c r="N2503" t="str">
        <f t="shared" si="156"/>
        <v>Surrey25ES 22 - D2A contributionHome Care or Domiciliary CareDomiciliary care to support hospital discharge (Discharge to Assess pathway 1)</v>
      </c>
      <c r="O2503" t="s">
        <v>313</v>
      </c>
      <c r="P2503" t="s">
        <v>1437</v>
      </c>
      <c r="Q2503">
        <v>25</v>
      </c>
      <c r="R2503" t="s">
        <v>6294</v>
      </c>
      <c r="S2503" t="s">
        <v>6820</v>
      </c>
      <c r="T2503" t="s">
        <v>842</v>
      </c>
      <c r="U2503" t="s">
        <v>856</v>
      </c>
      <c r="W2503">
        <v>19685</v>
      </c>
      <c r="X2503">
        <v>19540</v>
      </c>
      <c r="Y2503" t="s">
        <v>844</v>
      </c>
      <c r="Z2503" t="s">
        <v>823</v>
      </c>
      <c r="AB2503" t="s">
        <v>824</v>
      </c>
      <c r="AD2503" t="s">
        <v>794</v>
      </c>
      <c r="AE2503" t="s">
        <v>804</v>
      </c>
      <c r="AF2503" t="s">
        <v>796</v>
      </c>
      <c r="AG2503" t="s">
        <v>797</v>
      </c>
      <c r="AH2503">
        <v>472253</v>
      </c>
      <c r="AI2503">
        <v>468758</v>
      </c>
      <c r="AJ2503">
        <v>3.5839578436648437E-3</v>
      </c>
    </row>
    <row r="2504" spans="1:36" x14ac:dyDescent="0.3">
      <c r="A2504">
        <f>COUNTIF($D$2:D2504,D2504)</f>
        <v>2</v>
      </c>
      <c r="B2504" t="str">
        <f t="shared" si="157"/>
        <v>2Warwickshire</v>
      </c>
      <c r="C2504" t="s">
        <v>6821</v>
      </c>
      <c r="D2504" t="s">
        <v>341</v>
      </c>
      <c r="E2504">
        <v>2</v>
      </c>
      <c r="F2504" t="s">
        <v>6822</v>
      </c>
      <c r="G2504" t="s">
        <v>787</v>
      </c>
      <c r="H2504" t="s">
        <v>788</v>
      </c>
      <c r="I2504" t="s">
        <v>789</v>
      </c>
      <c r="J2504">
        <f t="shared" ca="1" si="158"/>
        <v>5206000</v>
      </c>
      <c r="K2504">
        <f t="shared" ca="1" si="159"/>
        <v>1207</v>
      </c>
      <c r="N2504" t="str">
        <f t="shared" si="156"/>
        <v>Surrey29GW 2 - Carers FundingCarers ServicesRespite services</v>
      </c>
      <c r="O2504" t="s">
        <v>313</v>
      </c>
      <c r="P2504" t="s">
        <v>1437</v>
      </c>
      <c r="Q2504">
        <v>29</v>
      </c>
      <c r="R2504" t="s">
        <v>6297</v>
      </c>
      <c r="S2504" t="s">
        <v>6801</v>
      </c>
      <c r="T2504" t="s">
        <v>811</v>
      </c>
      <c r="U2504" t="s">
        <v>830</v>
      </c>
      <c r="W2504">
        <v>575</v>
      </c>
      <c r="X2504">
        <v>575</v>
      </c>
      <c r="Y2504" t="s">
        <v>813</v>
      </c>
      <c r="Z2504" t="s">
        <v>792</v>
      </c>
      <c r="AB2504" t="s">
        <v>793</v>
      </c>
      <c r="AD2504" t="s">
        <v>794</v>
      </c>
      <c r="AE2504" t="s">
        <v>795</v>
      </c>
      <c r="AF2504" t="s">
        <v>796</v>
      </c>
      <c r="AG2504" t="s">
        <v>797</v>
      </c>
      <c r="AH2504">
        <v>435000</v>
      </c>
      <c r="AI2504">
        <v>435000</v>
      </c>
      <c r="AJ2504">
        <v>4.2244825955687217E-2</v>
      </c>
    </row>
    <row r="2505" spans="1:36" x14ac:dyDescent="0.3">
      <c r="A2505">
        <f>COUNTIF($D$2:D2505,D2505)</f>
        <v>3</v>
      </c>
      <c r="B2505" t="str">
        <f t="shared" si="157"/>
        <v>3Warwickshire</v>
      </c>
      <c r="C2505" t="s">
        <v>6823</v>
      </c>
      <c r="D2505" t="s">
        <v>341</v>
      </c>
      <c r="E2505">
        <v>3</v>
      </c>
      <c r="F2505" t="s">
        <v>6824</v>
      </c>
      <c r="G2505" t="s">
        <v>800</v>
      </c>
      <c r="H2505" t="s">
        <v>903</v>
      </c>
      <c r="I2505" t="s">
        <v>802</v>
      </c>
      <c r="J2505">
        <f t="shared" ca="1" si="158"/>
        <v>1720000</v>
      </c>
      <c r="K2505">
        <f t="shared" ca="1" si="159"/>
        <v>4276</v>
      </c>
      <c r="N2505" t="str">
        <f t="shared" si="156"/>
        <v>Surrey38GW 11 - D2A fundingHome Care or Domiciliary CareDomiciliary care to support hospital discharge (Discharge to Assess pathway 1)</v>
      </c>
      <c r="O2505" t="s">
        <v>313</v>
      </c>
      <c r="P2505" t="s">
        <v>1437</v>
      </c>
      <c r="Q2505">
        <v>38</v>
      </c>
      <c r="R2505" t="s">
        <v>6299</v>
      </c>
      <c r="S2505" t="s">
        <v>6825</v>
      </c>
      <c r="T2505" t="s">
        <v>842</v>
      </c>
      <c r="U2505" t="s">
        <v>856</v>
      </c>
      <c r="W2505">
        <v>8095</v>
      </c>
      <c r="X2505">
        <v>9823</v>
      </c>
      <c r="Y2505" t="s">
        <v>844</v>
      </c>
      <c r="Z2505" t="s">
        <v>823</v>
      </c>
      <c r="AB2505" t="s">
        <v>824</v>
      </c>
      <c r="AD2505" t="s">
        <v>794</v>
      </c>
      <c r="AE2505" t="s">
        <v>804</v>
      </c>
      <c r="AF2505" t="s">
        <v>796</v>
      </c>
      <c r="AG2505" t="s">
        <v>797</v>
      </c>
      <c r="AH2505">
        <v>194190</v>
      </c>
      <c r="AI2505">
        <v>235661</v>
      </c>
      <c r="AJ2505">
        <v>1.4737201746971983E-3</v>
      </c>
    </row>
    <row r="2506" spans="1:36" x14ac:dyDescent="0.3">
      <c r="A2506">
        <f>COUNTIF($D$2:D2506,D2506)</f>
        <v>4</v>
      </c>
      <c r="B2506" t="str">
        <f t="shared" si="157"/>
        <v>4Warwickshire</v>
      </c>
      <c r="C2506" t="s">
        <v>6826</v>
      </c>
      <c r="D2506" t="s">
        <v>341</v>
      </c>
      <c r="E2506">
        <v>4</v>
      </c>
      <c r="F2506" t="s">
        <v>6827</v>
      </c>
      <c r="G2506" t="s">
        <v>877</v>
      </c>
      <c r="H2506" t="s">
        <v>968</v>
      </c>
      <c r="I2506" t="s">
        <v>879</v>
      </c>
      <c r="J2506">
        <f t="shared" ca="1" si="158"/>
        <v>496000</v>
      </c>
      <c r="K2506">
        <f t="shared" ca="1" si="159"/>
        <v>16</v>
      </c>
      <c r="N2506" t="str">
        <f t="shared" si="156"/>
        <v>Surrey45GW 18 - TECSAssistive Technologies and EquipmentAssistive technologies including telecare</v>
      </c>
      <c r="O2506" t="s">
        <v>313</v>
      </c>
      <c r="P2506" t="s">
        <v>1437</v>
      </c>
      <c r="Q2506">
        <v>45</v>
      </c>
      <c r="R2506" t="s">
        <v>6301</v>
      </c>
      <c r="S2506" t="s">
        <v>6808</v>
      </c>
      <c r="T2506" t="s">
        <v>800</v>
      </c>
      <c r="U2506" t="s">
        <v>850</v>
      </c>
      <c r="W2506">
        <v>63</v>
      </c>
      <c r="X2506">
        <v>66</v>
      </c>
      <c r="Y2506" t="s">
        <v>802</v>
      </c>
      <c r="Z2506" t="s">
        <v>792</v>
      </c>
      <c r="AB2506" t="s">
        <v>793</v>
      </c>
      <c r="AD2506" t="s">
        <v>794</v>
      </c>
      <c r="AE2506" t="s">
        <v>795</v>
      </c>
      <c r="AF2506" t="s">
        <v>796</v>
      </c>
      <c r="AG2506" t="s">
        <v>797</v>
      </c>
      <c r="AH2506">
        <v>107000</v>
      </c>
      <c r="AI2506">
        <v>113056</v>
      </c>
      <c r="AJ2506">
        <v>1.13767892659249E-2</v>
      </c>
    </row>
    <row r="2507" spans="1:36" x14ac:dyDescent="0.3">
      <c r="A2507">
        <f>COUNTIF($D$2:D2507,D2507)</f>
        <v>5</v>
      </c>
      <c r="B2507" t="str">
        <f t="shared" si="157"/>
        <v>5Warwickshire</v>
      </c>
      <c r="C2507" t="s">
        <v>6828</v>
      </c>
      <c r="D2507" t="s">
        <v>341</v>
      </c>
      <c r="E2507">
        <v>11</v>
      </c>
      <c r="F2507" t="s">
        <v>6829</v>
      </c>
      <c r="G2507" t="s">
        <v>877</v>
      </c>
      <c r="H2507" t="s">
        <v>968</v>
      </c>
      <c r="I2507" t="s">
        <v>879</v>
      </c>
      <c r="J2507">
        <f t="shared" ca="1" si="158"/>
        <v>310000</v>
      </c>
      <c r="K2507">
        <f t="shared" ca="1" si="159"/>
        <v>9</v>
      </c>
      <c r="N2507" t="str">
        <f t="shared" si="156"/>
        <v>Surrey50GW 22 - Community EquipmentAssistive Technologies and EquipmentCommunity based equipment</v>
      </c>
      <c r="O2507" t="s">
        <v>313</v>
      </c>
      <c r="P2507" t="s">
        <v>1437</v>
      </c>
      <c r="Q2507">
        <v>50</v>
      </c>
      <c r="R2507" t="s">
        <v>6303</v>
      </c>
      <c r="S2507" t="s">
        <v>1881</v>
      </c>
      <c r="T2507" t="s">
        <v>800</v>
      </c>
      <c r="U2507" t="s">
        <v>903</v>
      </c>
      <c r="W2507">
        <v>2299</v>
      </c>
      <c r="X2507">
        <v>2314</v>
      </c>
      <c r="Y2507" t="s">
        <v>802</v>
      </c>
      <c r="Z2507" t="s">
        <v>792</v>
      </c>
      <c r="AB2507" t="s">
        <v>1739</v>
      </c>
      <c r="AC2507">
        <v>0.5</v>
      </c>
      <c r="AD2507">
        <v>0.5</v>
      </c>
      <c r="AE2507" t="s">
        <v>804</v>
      </c>
      <c r="AF2507" t="s">
        <v>796</v>
      </c>
      <c r="AG2507" t="s">
        <v>797</v>
      </c>
      <c r="AH2507">
        <v>675568</v>
      </c>
      <c r="AI2507">
        <v>713806</v>
      </c>
      <c r="AJ2507">
        <v>7.1829857671050032E-2</v>
      </c>
    </row>
    <row r="2508" spans="1:36" x14ac:dyDescent="0.3">
      <c r="A2508">
        <f>COUNTIF($D$2:D2508,D2508)</f>
        <v>6</v>
      </c>
      <c r="B2508" t="str">
        <f t="shared" si="157"/>
        <v>6Warwickshire</v>
      </c>
      <c r="C2508" t="s">
        <v>6830</v>
      </c>
      <c r="D2508" t="s">
        <v>341</v>
      </c>
      <c r="E2508">
        <v>12</v>
      </c>
      <c r="F2508" t="s">
        <v>6831</v>
      </c>
      <c r="G2508" t="s">
        <v>800</v>
      </c>
      <c r="H2508" t="s">
        <v>903</v>
      </c>
      <c r="I2508" t="s">
        <v>802</v>
      </c>
      <c r="J2508">
        <f t="shared" ca="1" si="158"/>
        <v>109000</v>
      </c>
      <c r="K2508">
        <f t="shared" ca="1" si="159"/>
        <v>284</v>
      </c>
      <c r="N2508" t="str">
        <f t="shared" si="156"/>
        <v>Surrey54GW 26 - Disabled Facilities GrantDFG Related SchemesAdaptations, including statutory DFG grants</v>
      </c>
      <c r="O2508" t="s">
        <v>313</v>
      </c>
      <c r="P2508" t="s">
        <v>1437</v>
      </c>
      <c r="Q2508">
        <v>54</v>
      </c>
      <c r="R2508" t="s">
        <v>6306</v>
      </c>
      <c r="S2508" t="s">
        <v>6811</v>
      </c>
      <c r="T2508" t="s">
        <v>834</v>
      </c>
      <c r="U2508" t="s">
        <v>835</v>
      </c>
      <c r="W2508">
        <v>222</v>
      </c>
      <c r="X2508">
        <v>222</v>
      </c>
      <c r="Y2508" t="s">
        <v>836</v>
      </c>
      <c r="Z2508" t="s">
        <v>792</v>
      </c>
      <c r="AB2508" t="s">
        <v>793</v>
      </c>
      <c r="AD2508" t="s">
        <v>794</v>
      </c>
      <c r="AE2508" t="s">
        <v>795</v>
      </c>
      <c r="AF2508" t="s">
        <v>840</v>
      </c>
      <c r="AG2508" t="s">
        <v>797</v>
      </c>
      <c r="AH2508">
        <v>1253448</v>
      </c>
      <c r="AI2508">
        <v>1253448</v>
      </c>
      <c r="AJ2508">
        <v>0.12342131581935016</v>
      </c>
    </row>
    <row r="2509" spans="1:36" x14ac:dyDescent="0.3">
      <c r="A2509">
        <f>COUNTIF($D$2:D2509,D2509)</f>
        <v>7</v>
      </c>
      <c r="B2509" t="str">
        <f t="shared" si="157"/>
        <v>7Warwickshire</v>
      </c>
      <c r="C2509" t="s">
        <v>6832</v>
      </c>
      <c r="D2509" t="s">
        <v>341</v>
      </c>
      <c r="E2509">
        <v>13</v>
      </c>
      <c r="F2509" t="s">
        <v>6833</v>
      </c>
      <c r="G2509" t="s">
        <v>811</v>
      </c>
      <c r="H2509" t="s">
        <v>895</v>
      </c>
      <c r="I2509" t="s">
        <v>813</v>
      </c>
      <c r="J2509">
        <f t="shared" ca="1" si="158"/>
        <v>296000</v>
      </c>
      <c r="K2509">
        <f t="shared" ca="1" si="159"/>
        <v>296</v>
      </c>
      <c r="N2509" t="str">
        <f t="shared" si="156"/>
        <v>Surrey55GW 27 - Improve BCF 23/24Residential PlacementsOther</v>
      </c>
      <c r="O2509" t="s">
        <v>313</v>
      </c>
      <c r="P2509" t="s">
        <v>1437</v>
      </c>
      <c r="Q2509">
        <v>55</v>
      </c>
      <c r="R2509" t="s">
        <v>6309</v>
      </c>
      <c r="S2509" t="s">
        <v>6814</v>
      </c>
      <c r="T2509" t="s">
        <v>806</v>
      </c>
      <c r="U2509" t="s">
        <v>812</v>
      </c>
      <c r="V2509" t="s">
        <v>6815</v>
      </c>
      <c r="W2509">
        <v>43</v>
      </c>
      <c r="X2509">
        <v>43</v>
      </c>
      <c r="Y2509" t="s">
        <v>808</v>
      </c>
      <c r="Z2509" t="s">
        <v>792</v>
      </c>
      <c r="AB2509" t="s">
        <v>793</v>
      </c>
      <c r="AD2509" t="s">
        <v>794</v>
      </c>
      <c r="AE2509" t="s">
        <v>795</v>
      </c>
      <c r="AF2509" t="s">
        <v>845</v>
      </c>
      <c r="AG2509" t="s">
        <v>797</v>
      </c>
      <c r="AH2509">
        <v>1981153</v>
      </c>
      <c r="AI2509">
        <v>1981153</v>
      </c>
      <c r="AJ2509">
        <v>1.2788231810726063E-2</v>
      </c>
    </row>
    <row r="2510" spans="1:36" x14ac:dyDescent="0.3">
      <c r="A2510">
        <f>COUNTIF($D$2:D2510,D2510)</f>
        <v>8</v>
      </c>
      <c r="B2510" t="str">
        <f t="shared" si="157"/>
        <v>8Warwickshire</v>
      </c>
      <c r="C2510" t="s">
        <v>6834</v>
      </c>
      <c r="D2510" t="s">
        <v>341</v>
      </c>
      <c r="E2510">
        <v>19</v>
      </c>
      <c r="F2510" t="s">
        <v>6835</v>
      </c>
      <c r="G2510" t="s">
        <v>811</v>
      </c>
      <c r="H2510" t="s">
        <v>830</v>
      </c>
      <c r="I2510" t="s">
        <v>813</v>
      </c>
      <c r="J2510">
        <f t="shared" ca="1" si="158"/>
        <v>250000</v>
      </c>
      <c r="K2510">
        <f t="shared" ca="1" si="159"/>
        <v>400</v>
      </c>
      <c r="N2510" t="str">
        <f t="shared" si="156"/>
        <v>Surrey56Discharge Fund - Surrey Heartlands Pathway 2Bed based intermediate Care Services (Reablement, rehabilitation, wider short-term services supporting recovery)Bed-based intermediate care with rehabilitation (to support discharge)</v>
      </c>
      <c r="O2510" t="s">
        <v>313</v>
      </c>
      <c r="P2510" t="s">
        <v>1437</v>
      </c>
      <c r="Q2510">
        <v>56</v>
      </c>
      <c r="R2510" t="s">
        <v>6312</v>
      </c>
      <c r="S2510" t="s">
        <v>6836</v>
      </c>
      <c r="T2510" t="s">
        <v>877</v>
      </c>
      <c r="U2510" t="s">
        <v>968</v>
      </c>
      <c r="W2510">
        <v>614</v>
      </c>
      <c r="X2510">
        <v>1024</v>
      </c>
      <c r="Y2510" t="s">
        <v>879</v>
      </c>
      <c r="Z2510" t="s">
        <v>792</v>
      </c>
      <c r="AB2510" t="s">
        <v>824</v>
      </c>
      <c r="AD2510" t="s">
        <v>794</v>
      </c>
      <c r="AE2510" t="s">
        <v>804</v>
      </c>
      <c r="AF2510" t="s">
        <v>860</v>
      </c>
      <c r="AG2510" t="s">
        <v>861</v>
      </c>
      <c r="AH2510">
        <v>3686198</v>
      </c>
      <c r="AI2510">
        <v>6146191</v>
      </c>
      <c r="AJ2510">
        <v>0.74298555307324732</v>
      </c>
    </row>
    <row r="2511" spans="1:36" x14ac:dyDescent="0.3">
      <c r="A2511">
        <f>COUNTIF($D$2:D2511,D2511)</f>
        <v>9</v>
      </c>
      <c r="B2511" t="str">
        <f t="shared" si="157"/>
        <v>9Warwickshire</v>
      </c>
      <c r="C2511" t="s">
        <v>6837</v>
      </c>
      <c r="D2511" t="s">
        <v>341</v>
      </c>
      <c r="E2511">
        <v>20</v>
      </c>
      <c r="F2511" t="s">
        <v>6838</v>
      </c>
      <c r="G2511" t="s">
        <v>806</v>
      </c>
      <c r="H2511" t="s">
        <v>807</v>
      </c>
      <c r="I2511" t="s">
        <v>808</v>
      </c>
      <c r="J2511">
        <f t="shared" ca="1" si="158"/>
        <v>3322281</v>
      </c>
      <c r="K2511">
        <f t="shared" ca="1" si="159"/>
        <v>72</v>
      </c>
      <c r="N2511" t="str">
        <f t="shared" si="156"/>
        <v>Surrey61SD 2 - Carers FundingCarers ServicesRespite services</v>
      </c>
      <c r="O2511" t="s">
        <v>313</v>
      </c>
      <c r="P2511" t="s">
        <v>1437</v>
      </c>
      <c r="Q2511">
        <v>61</v>
      </c>
      <c r="R2511" t="s">
        <v>6314</v>
      </c>
      <c r="S2511" t="s">
        <v>6801</v>
      </c>
      <c r="T2511" t="s">
        <v>811</v>
      </c>
      <c r="U2511" t="s">
        <v>830</v>
      </c>
      <c r="W2511">
        <v>821</v>
      </c>
      <c r="X2511">
        <v>821</v>
      </c>
      <c r="Y2511" t="s">
        <v>813</v>
      </c>
      <c r="Z2511" t="s">
        <v>792</v>
      </c>
      <c r="AB2511" t="s">
        <v>793</v>
      </c>
      <c r="AD2511" t="s">
        <v>794</v>
      </c>
      <c r="AE2511" t="s">
        <v>795</v>
      </c>
      <c r="AF2511" t="s">
        <v>796</v>
      </c>
      <c r="AG2511" t="s">
        <v>797</v>
      </c>
      <c r="AH2511">
        <v>621000</v>
      </c>
      <c r="AI2511">
        <v>621000</v>
      </c>
      <c r="AJ2511">
        <v>6.0308130847084515E-2</v>
      </c>
    </row>
    <row r="2512" spans="1:36" x14ac:dyDescent="0.3">
      <c r="A2512">
        <f>COUNTIF($D$2:D2512,D2512)</f>
        <v>10</v>
      </c>
      <c r="B2512" t="str">
        <f t="shared" si="157"/>
        <v>10Warwickshire</v>
      </c>
      <c r="C2512" t="s">
        <v>6839</v>
      </c>
      <c r="D2512" t="s">
        <v>341</v>
      </c>
      <c r="E2512">
        <v>21</v>
      </c>
      <c r="F2512" t="s">
        <v>6840</v>
      </c>
      <c r="G2512" t="s">
        <v>842</v>
      </c>
      <c r="H2512" t="s">
        <v>843</v>
      </c>
      <c r="I2512" t="s">
        <v>844</v>
      </c>
      <c r="J2512">
        <f t="shared" ca="1" si="158"/>
        <v>2450000</v>
      </c>
      <c r="K2512">
        <f t="shared" ca="1" si="159"/>
        <v>107149</v>
      </c>
      <c r="N2512" t="str">
        <f t="shared" si="156"/>
        <v>Surrey70SD 11 - D2A fundingHome Care or Domiciliary CareDomiciliary care to support hospital discharge (Discharge to Assess pathway 1)</v>
      </c>
      <c r="O2512" t="s">
        <v>313</v>
      </c>
      <c r="P2512" t="s">
        <v>1437</v>
      </c>
      <c r="Q2512">
        <v>70</v>
      </c>
      <c r="R2512" t="s">
        <v>6317</v>
      </c>
      <c r="S2512" t="s">
        <v>6825</v>
      </c>
      <c r="T2512" t="s">
        <v>842</v>
      </c>
      <c r="U2512" t="s">
        <v>856</v>
      </c>
      <c r="W2512">
        <v>32952</v>
      </c>
      <c r="X2512">
        <v>34942</v>
      </c>
      <c r="Y2512" t="s">
        <v>844</v>
      </c>
      <c r="Z2512" t="s">
        <v>823</v>
      </c>
      <c r="AB2512" t="s">
        <v>824</v>
      </c>
      <c r="AD2512" t="s">
        <v>794</v>
      </c>
      <c r="AE2512" t="s">
        <v>804</v>
      </c>
      <c r="AF2512" t="s">
        <v>796</v>
      </c>
      <c r="AG2512" t="s">
        <v>797</v>
      </c>
      <c r="AH2512">
        <v>790512</v>
      </c>
      <c r="AI2512">
        <v>838265</v>
      </c>
      <c r="AJ2512">
        <v>5.9992454953408086E-3</v>
      </c>
    </row>
    <row r="2513" spans="1:36" x14ac:dyDescent="0.3">
      <c r="A2513">
        <f>COUNTIF($D$2:D2513,D2513)</f>
        <v>11</v>
      </c>
      <c r="B2513" t="str">
        <f t="shared" si="157"/>
        <v>11Warwickshire</v>
      </c>
      <c r="C2513" t="s">
        <v>6841</v>
      </c>
      <c r="D2513" t="s">
        <v>341</v>
      </c>
      <c r="E2513">
        <v>22</v>
      </c>
      <c r="F2513" t="s">
        <v>6842</v>
      </c>
      <c r="G2513" t="s">
        <v>842</v>
      </c>
      <c r="H2513" t="s">
        <v>843</v>
      </c>
      <c r="I2513" t="s">
        <v>844</v>
      </c>
      <c r="J2513">
        <f t="shared" ca="1" si="158"/>
        <v>530000</v>
      </c>
      <c r="K2513">
        <f t="shared" ca="1" si="159"/>
        <v>31085</v>
      </c>
      <c r="N2513" t="str">
        <f t="shared" si="156"/>
        <v>Surrey71SD 12 - Tech to ConnectAssistive Technologies and EquipmentDigital participation services</v>
      </c>
      <c r="O2513" t="s">
        <v>313</v>
      </c>
      <c r="P2513" t="s">
        <v>1437</v>
      </c>
      <c r="Q2513">
        <v>71</v>
      </c>
      <c r="R2513" t="s">
        <v>6319</v>
      </c>
      <c r="S2513" t="s">
        <v>6804</v>
      </c>
      <c r="T2513" t="s">
        <v>800</v>
      </c>
      <c r="U2513" t="s">
        <v>907</v>
      </c>
      <c r="W2513">
        <v>470</v>
      </c>
      <c r="X2513">
        <v>497</v>
      </c>
      <c r="Y2513" t="s">
        <v>802</v>
      </c>
      <c r="Z2513" t="s">
        <v>812</v>
      </c>
      <c r="AA2513" t="s">
        <v>6843</v>
      </c>
      <c r="AB2513" t="s">
        <v>824</v>
      </c>
      <c r="AD2513" t="s">
        <v>794</v>
      </c>
      <c r="AE2513" t="s">
        <v>825</v>
      </c>
      <c r="AF2513" t="s">
        <v>796</v>
      </c>
      <c r="AG2513" t="s">
        <v>797</v>
      </c>
      <c r="AH2513">
        <v>62443</v>
      </c>
      <c r="AI2513">
        <v>65977</v>
      </c>
      <c r="AJ2513">
        <v>6.6392603003004539E-3</v>
      </c>
    </row>
    <row r="2514" spans="1:36" x14ac:dyDescent="0.3">
      <c r="A2514">
        <f>COUNTIF($D$2:D2514,D2514)</f>
        <v>12</v>
      </c>
      <c r="B2514" t="str">
        <f t="shared" si="157"/>
        <v>12Warwickshire</v>
      </c>
      <c r="C2514" t="s">
        <v>6844</v>
      </c>
      <c r="D2514" t="s">
        <v>341</v>
      </c>
      <c r="E2514">
        <v>28</v>
      </c>
      <c r="F2514" t="s">
        <v>6845</v>
      </c>
      <c r="G2514" t="s">
        <v>811</v>
      </c>
      <c r="H2514" t="s">
        <v>830</v>
      </c>
      <c r="I2514" t="s">
        <v>813</v>
      </c>
      <c r="J2514">
        <f t="shared" ca="1" si="158"/>
        <v>1079845</v>
      </c>
      <c r="K2514">
        <f t="shared" ca="1" si="159"/>
        <v>719</v>
      </c>
      <c r="N2514" t="str">
        <f t="shared" si="156"/>
        <v>Surrey76SD 17 - TECSAssistive Technologies and EquipmentAssistive technologies including telecare</v>
      </c>
      <c r="O2514" t="s">
        <v>313</v>
      </c>
      <c r="P2514" t="s">
        <v>1437</v>
      </c>
      <c r="Q2514">
        <v>76</v>
      </c>
      <c r="R2514" t="s">
        <v>6322</v>
      </c>
      <c r="S2514" t="s">
        <v>6808</v>
      </c>
      <c r="T2514" t="s">
        <v>800</v>
      </c>
      <c r="U2514" t="s">
        <v>850</v>
      </c>
      <c r="W2514">
        <v>132</v>
      </c>
      <c r="X2514">
        <v>140</v>
      </c>
      <c r="Y2514" t="s">
        <v>802</v>
      </c>
      <c r="Z2514" t="s">
        <v>792</v>
      </c>
      <c r="AB2514" t="s">
        <v>793</v>
      </c>
      <c r="AD2514" t="s">
        <v>794</v>
      </c>
      <c r="AE2514" t="s">
        <v>795</v>
      </c>
      <c r="AF2514" t="s">
        <v>796</v>
      </c>
      <c r="AG2514" t="s">
        <v>797</v>
      </c>
      <c r="AH2514">
        <v>225000</v>
      </c>
      <c r="AI2514">
        <v>237735</v>
      </c>
      <c r="AJ2514">
        <v>2.3923154998440211E-2</v>
      </c>
    </row>
    <row r="2515" spans="1:36" x14ac:dyDescent="0.3">
      <c r="A2515">
        <f>COUNTIF($D$2:D2515,D2515)</f>
        <v>13</v>
      </c>
      <c r="B2515" t="str">
        <f t="shared" si="157"/>
        <v>13Warwickshire</v>
      </c>
      <c r="C2515" t="s">
        <v>6846</v>
      </c>
      <c r="D2515" t="s">
        <v>341</v>
      </c>
      <c r="E2515">
        <v>30</v>
      </c>
      <c r="F2515" t="s">
        <v>6847</v>
      </c>
      <c r="G2515" t="s">
        <v>877</v>
      </c>
      <c r="H2515" t="s">
        <v>968</v>
      </c>
      <c r="I2515" t="s">
        <v>879</v>
      </c>
      <c r="J2515">
        <f t="shared" ca="1" si="158"/>
        <v>1287770</v>
      </c>
      <c r="K2515">
        <f t="shared" ca="1" si="159"/>
        <v>439</v>
      </c>
      <c r="N2515" t="str">
        <f t="shared" si="156"/>
        <v>Surrey81SD 21 - Community EquipmentAssistive Technologies and EquipmentCommunity based equipment</v>
      </c>
      <c r="O2515" t="s">
        <v>313</v>
      </c>
      <c r="P2515" t="s">
        <v>1437</v>
      </c>
      <c r="Q2515">
        <v>81</v>
      </c>
      <c r="R2515" t="s">
        <v>6324</v>
      </c>
      <c r="S2515" t="s">
        <v>1881</v>
      </c>
      <c r="T2515" t="s">
        <v>800</v>
      </c>
      <c r="U2515" t="s">
        <v>903</v>
      </c>
      <c r="W2515">
        <v>3295</v>
      </c>
      <c r="X2515">
        <v>3316</v>
      </c>
      <c r="Y2515" t="s">
        <v>802</v>
      </c>
      <c r="Z2515" t="s">
        <v>792</v>
      </c>
      <c r="AB2515" t="s">
        <v>1739</v>
      </c>
      <c r="AC2515">
        <v>0.5</v>
      </c>
      <c r="AD2515">
        <v>0.5</v>
      </c>
      <c r="AE2515" t="s">
        <v>804</v>
      </c>
      <c r="AF2515" t="s">
        <v>796</v>
      </c>
      <c r="AG2515" t="s">
        <v>797</v>
      </c>
      <c r="AH2515">
        <v>968268</v>
      </c>
      <c r="AI2515">
        <v>1023072</v>
      </c>
      <c r="AJ2515">
        <v>0.1029512241956876</v>
      </c>
    </row>
    <row r="2516" spans="1:36" x14ac:dyDescent="0.3">
      <c r="A2516">
        <f>COUNTIF($D$2:D2516,D2516)</f>
        <v>14</v>
      </c>
      <c r="B2516" t="str">
        <f t="shared" si="157"/>
        <v>14Warwickshire</v>
      </c>
      <c r="C2516" t="s">
        <v>6848</v>
      </c>
      <c r="D2516" t="s">
        <v>341</v>
      </c>
      <c r="E2516">
        <v>31</v>
      </c>
      <c r="F2516" t="s">
        <v>6849</v>
      </c>
      <c r="G2516" t="s">
        <v>842</v>
      </c>
      <c r="H2516" t="s">
        <v>843</v>
      </c>
      <c r="I2516" t="s">
        <v>844</v>
      </c>
      <c r="J2516">
        <f t="shared" ca="1" si="158"/>
        <v>2359603</v>
      </c>
      <c r="K2516">
        <f t="shared" ca="1" si="159"/>
        <v>9827</v>
      </c>
      <c r="N2516" t="str">
        <f t="shared" si="156"/>
        <v>Surrey84SD 25 - Disabled Facilities GrantDFG Related SchemesAdaptations, including statutory DFG grants</v>
      </c>
      <c r="O2516" t="s">
        <v>313</v>
      </c>
      <c r="P2516" t="s">
        <v>1437</v>
      </c>
      <c r="Q2516">
        <v>84</v>
      </c>
      <c r="R2516" t="s">
        <v>6326</v>
      </c>
      <c r="S2516" t="s">
        <v>6811</v>
      </c>
      <c r="T2516" t="s">
        <v>834</v>
      </c>
      <c r="U2516" t="s">
        <v>835</v>
      </c>
      <c r="W2516">
        <v>489</v>
      </c>
      <c r="X2516">
        <v>489</v>
      </c>
      <c r="Y2516" t="s">
        <v>836</v>
      </c>
      <c r="Z2516" t="s">
        <v>792</v>
      </c>
      <c r="AB2516" t="s">
        <v>793</v>
      </c>
      <c r="AD2516" t="s">
        <v>794</v>
      </c>
      <c r="AE2516" t="s">
        <v>795</v>
      </c>
      <c r="AF2516" t="s">
        <v>840</v>
      </c>
      <c r="AG2516" t="s">
        <v>797</v>
      </c>
      <c r="AH2516">
        <v>2763648</v>
      </c>
      <c r="AI2516">
        <v>2763648</v>
      </c>
      <c r="AJ2516">
        <v>0.27212383171979648</v>
      </c>
    </row>
    <row r="2517" spans="1:36" x14ac:dyDescent="0.3">
      <c r="A2517">
        <f>COUNTIF($D$2:D2517,D2517)</f>
        <v>15</v>
      </c>
      <c r="B2517" t="str">
        <f t="shared" si="157"/>
        <v>15Warwickshire</v>
      </c>
      <c r="C2517" t="s">
        <v>6850</v>
      </c>
      <c r="D2517" t="s">
        <v>341</v>
      </c>
      <c r="E2517">
        <v>39</v>
      </c>
      <c r="F2517" t="s">
        <v>6851</v>
      </c>
      <c r="G2517" t="s">
        <v>806</v>
      </c>
      <c r="H2517" t="s">
        <v>873</v>
      </c>
      <c r="I2517" t="s">
        <v>808</v>
      </c>
      <c r="J2517">
        <f t="shared" ca="1" si="158"/>
        <v>2201588</v>
      </c>
      <c r="K2517">
        <f t="shared" ca="1" si="159"/>
        <v>1357</v>
      </c>
      <c r="N2517" t="str">
        <f t="shared" si="156"/>
        <v>Surrey85SD 26 - Improve BCF 23/24Residential PlacementsOther</v>
      </c>
      <c r="O2517" t="s">
        <v>313</v>
      </c>
      <c r="P2517" t="s">
        <v>1437</v>
      </c>
      <c r="Q2517">
        <v>85</v>
      </c>
      <c r="R2517" t="s">
        <v>6328</v>
      </c>
      <c r="S2517" t="s">
        <v>6814</v>
      </c>
      <c r="T2517" t="s">
        <v>806</v>
      </c>
      <c r="U2517" t="s">
        <v>812</v>
      </c>
      <c r="V2517" t="s">
        <v>6815</v>
      </c>
      <c r="W2517">
        <v>62</v>
      </c>
      <c r="X2517">
        <v>62</v>
      </c>
      <c r="Y2517" t="s">
        <v>808</v>
      </c>
      <c r="Z2517" t="s">
        <v>792</v>
      </c>
      <c r="AB2517" t="s">
        <v>793</v>
      </c>
      <c r="AD2517" t="s">
        <v>794</v>
      </c>
      <c r="AE2517" t="s">
        <v>795</v>
      </c>
      <c r="AF2517" t="s">
        <v>845</v>
      </c>
      <c r="AG2517" t="s">
        <v>797</v>
      </c>
      <c r="AH2517">
        <v>2827262</v>
      </c>
      <c r="AI2517">
        <v>2827262</v>
      </c>
      <c r="AJ2517">
        <v>1.8249818083538729E-2</v>
      </c>
    </row>
    <row r="2518" spans="1:36" x14ac:dyDescent="0.3">
      <c r="A2518">
        <f>COUNTIF($D$2:D2518,D2518)</f>
        <v>16</v>
      </c>
      <c r="B2518" t="str">
        <f t="shared" si="157"/>
        <v>16Warwickshire</v>
      </c>
      <c r="C2518" t="s">
        <v>6852</v>
      </c>
      <c r="D2518" t="s">
        <v>341</v>
      </c>
      <c r="E2518">
        <v>40</v>
      </c>
      <c r="F2518" t="s">
        <v>6853</v>
      </c>
      <c r="G2518" t="s">
        <v>842</v>
      </c>
      <c r="H2518" t="s">
        <v>843</v>
      </c>
      <c r="I2518" t="s">
        <v>844</v>
      </c>
      <c r="J2518">
        <f t="shared" ca="1" si="158"/>
        <v>23298534</v>
      </c>
      <c r="K2518">
        <f t="shared" ca="1" si="159"/>
        <v>97031</v>
      </c>
      <c r="N2518" t="str">
        <f t="shared" si="156"/>
        <v>Surrey91NW 2 - Carers FundingCarers ServicesRespite services</v>
      </c>
      <c r="O2518" t="s">
        <v>313</v>
      </c>
      <c r="P2518" t="s">
        <v>1437</v>
      </c>
      <c r="Q2518">
        <v>91</v>
      </c>
      <c r="R2518" t="s">
        <v>6330</v>
      </c>
      <c r="S2518" t="s">
        <v>6801</v>
      </c>
      <c r="T2518" t="s">
        <v>811</v>
      </c>
      <c r="U2518" t="s">
        <v>830</v>
      </c>
      <c r="W2518">
        <v>988</v>
      </c>
      <c r="X2518">
        <v>988</v>
      </c>
      <c r="Y2518" t="s">
        <v>813</v>
      </c>
      <c r="Z2518" t="s">
        <v>792</v>
      </c>
      <c r="AB2518" t="s">
        <v>793</v>
      </c>
      <c r="AD2518" t="s">
        <v>794</v>
      </c>
      <c r="AE2518" t="s">
        <v>795</v>
      </c>
      <c r="AF2518" t="s">
        <v>796</v>
      </c>
      <c r="AG2518" t="s">
        <v>797</v>
      </c>
      <c r="AH2518">
        <v>747000</v>
      </c>
      <c r="AI2518">
        <v>747000</v>
      </c>
      <c r="AJ2518">
        <v>7.2544563192869754E-2</v>
      </c>
    </row>
    <row r="2519" spans="1:36" x14ac:dyDescent="0.3">
      <c r="A2519">
        <f>COUNTIF($D$2:D2519,D2519)</f>
        <v>17</v>
      </c>
      <c r="B2519" t="str">
        <f t="shared" si="157"/>
        <v>17Warwickshire</v>
      </c>
      <c r="C2519" t="s">
        <v>6854</v>
      </c>
      <c r="D2519" t="s">
        <v>341</v>
      </c>
      <c r="E2519">
        <v>42</v>
      </c>
      <c r="F2519" t="s">
        <v>6855</v>
      </c>
      <c r="G2519" t="s">
        <v>842</v>
      </c>
      <c r="H2519" t="s">
        <v>843</v>
      </c>
      <c r="I2519" t="s">
        <v>844</v>
      </c>
      <c r="J2519">
        <f t="shared" ca="1" si="158"/>
        <v>18605641</v>
      </c>
      <c r="K2519">
        <f t="shared" ca="1" si="159"/>
        <v>813701</v>
      </c>
      <c r="N2519" t="str">
        <f t="shared" si="156"/>
        <v>Surrey96NW 7 - D2A fundingHome Care or Domiciliary CareDomiciliary care to support hospital discharge (Discharge to Assess pathway 1)</v>
      </c>
      <c r="O2519" t="s">
        <v>313</v>
      </c>
      <c r="P2519" t="s">
        <v>1437</v>
      </c>
      <c r="Q2519">
        <v>96</v>
      </c>
      <c r="R2519" t="s">
        <v>6333</v>
      </c>
      <c r="S2519" t="s">
        <v>6825</v>
      </c>
      <c r="T2519" t="s">
        <v>842</v>
      </c>
      <c r="U2519" t="s">
        <v>856</v>
      </c>
      <c r="W2519">
        <v>43175</v>
      </c>
      <c r="X2519">
        <v>45512</v>
      </c>
      <c r="Y2519" t="s">
        <v>844</v>
      </c>
      <c r="Z2519" t="s">
        <v>823</v>
      </c>
      <c r="AB2519" t="s">
        <v>824</v>
      </c>
      <c r="AD2519" t="s">
        <v>794</v>
      </c>
      <c r="AE2519" t="s">
        <v>804</v>
      </c>
      <c r="AF2519" t="s">
        <v>796</v>
      </c>
      <c r="AG2519" t="s">
        <v>797</v>
      </c>
      <c r="AH2519">
        <v>1035761</v>
      </c>
      <c r="AI2519">
        <v>1091825</v>
      </c>
      <c r="AJ2519">
        <v>7.8604556458342079E-3</v>
      </c>
    </row>
    <row r="2520" spans="1:36" x14ac:dyDescent="0.3">
      <c r="A2520">
        <f>COUNTIF($D$2:D2520,D2520)</f>
        <v>18</v>
      </c>
      <c r="B2520" t="str">
        <f t="shared" si="157"/>
        <v>18Warwickshire</v>
      </c>
      <c r="C2520" t="s">
        <v>6856</v>
      </c>
      <c r="D2520" t="s">
        <v>341</v>
      </c>
      <c r="E2520">
        <v>43</v>
      </c>
      <c r="F2520" t="s">
        <v>6857</v>
      </c>
      <c r="G2520" t="s">
        <v>806</v>
      </c>
      <c r="H2520" t="s">
        <v>807</v>
      </c>
      <c r="I2520" t="s">
        <v>808</v>
      </c>
      <c r="J2520">
        <f t="shared" ca="1" si="158"/>
        <v>72701298</v>
      </c>
      <c r="K2520">
        <f t="shared" ca="1" si="159"/>
        <v>1528</v>
      </c>
      <c r="N2520" t="str">
        <f t="shared" si="156"/>
        <v>Surrey101NW 12 - TECSAssistive Technologies and EquipmentAssistive technologies including telecare</v>
      </c>
      <c r="O2520" t="s">
        <v>313</v>
      </c>
      <c r="P2520" t="s">
        <v>1437</v>
      </c>
      <c r="Q2520">
        <v>101</v>
      </c>
      <c r="R2520" t="s">
        <v>6335</v>
      </c>
      <c r="S2520" t="s">
        <v>6808</v>
      </c>
      <c r="T2520" t="s">
        <v>800</v>
      </c>
      <c r="U2520" t="s">
        <v>850</v>
      </c>
      <c r="W2520">
        <v>123</v>
      </c>
      <c r="X2520">
        <v>130</v>
      </c>
      <c r="Y2520" t="s">
        <v>802</v>
      </c>
      <c r="Z2520" t="s">
        <v>792</v>
      </c>
      <c r="AB2520" t="s">
        <v>793</v>
      </c>
      <c r="AD2520" t="s">
        <v>794</v>
      </c>
      <c r="AE2520" t="s">
        <v>795</v>
      </c>
      <c r="AF2520" t="s">
        <v>796</v>
      </c>
      <c r="AG2520" t="s">
        <v>797</v>
      </c>
      <c r="AH2520">
        <v>210000</v>
      </c>
      <c r="AI2520">
        <v>221886</v>
      </c>
      <c r="AJ2520">
        <v>2.2328277998544196E-2</v>
      </c>
    </row>
    <row r="2521" spans="1:36" x14ac:dyDescent="0.3">
      <c r="A2521">
        <f>COUNTIF($D$2:D2521,D2521)</f>
        <v>19</v>
      </c>
      <c r="B2521" t="str">
        <f t="shared" si="157"/>
        <v>19Warwickshire</v>
      </c>
      <c r="C2521" t="s">
        <v>6858</v>
      </c>
      <c r="D2521" t="s">
        <v>341</v>
      </c>
      <c r="E2521">
        <v>44</v>
      </c>
      <c r="F2521" t="s">
        <v>6859</v>
      </c>
      <c r="G2521" t="s">
        <v>806</v>
      </c>
      <c r="H2521" t="s">
        <v>917</v>
      </c>
      <c r="I2521" t="s">
        <v>808</v>
      </c>
      <c r="J2521">
        <f t="shared" ca="1" si="158"/>
        <v>21131666</v>
      </c>
      <c r="K2521">
        <f t="shared" ca="1" si="159"/>
        <v>475</v>
      </c>
      <c r="N2521" t="str">
        <f t="shared" si="156"/>
        <v>Surrey106NW 16 - Community EquipmentAssistive Technologies and EquipmentCommunity based equipment</v>
      </c>
      <c r="O2521" t="s">
        <v>313</v>
      </c>
      <c r="P2521" t="s">
        <v>1437</v>
      </c>
      <c r="Q2521">
        <v>106</v>
      </c>
      <c r="R2521" t="s">
        <v>6337</v>
      </c>
      <c r="S2521" t="s">
        <v>1881</v>
      </c>
      <c r="T2521" t="s">
        <v>800</v>
      </c>
      <c r="U2521" t="s">
        <v>903</v>
      </c>
      <c r="W2521">
        <v>3179</v>
      </c>
      <c r="X2521">
        <v>3199</v>
      </c>
      <c r="Y2521" t="s">
        <v>802</v>
      </c>
      <c r="Z2521" t="s">
        <v>792</v>
      </c>
      <c r="AB2521" t="s">
        <v>1739</v>
      </c>
      <c r="AC2521">
        <v>0.5</v>
      </c>
      <c r="AD2521">
        <v>0.5</v>
      </c>
      <c r="AE2521" t="s">
        <v>804</v>
      </c>
      <c r="AF2521" t="s">
        <v>796</v>
      </c>
      <c r="AG2521" t="s">
        <v>797</v>
      </c>
      <c r="AH2521">
        <v>934082</v>
      </c>
      <c r="AI2521">
        <v>986951</v>
      </c>
      <c r="AJ2521">
        <v>9.9316393187791244E-2</v>
      </c>
    </row>
    <row r="2522" spans="1:36" x14ac:dyDescent="0.3">
      <c r="A2522">
        <f>COUNTIF($D$2:D2522,D2522)</f>
        <v>20</v>
      </c>
      <c r="B2522" t="str">
        <f t="shared" si="157"/>
        <v>20Warwickshire</v>
      </c>
      <c r="C2522" t="s">
        <v>6860</v>
      </c>
      <c r="D2522" t="s">
        <v>341</v>
      </c>
      <c r="E2522">
        <v>46</v>
      </c>
      <c r="F2522" t="s">
        <v>6861</v>
      </c>
      <c r="G2522" t="s">
        <v>811</v>
      </c>
      <c r="H2522" t="s">
        <v>812</v>
      </c>
      <c r="I2522" t="s">
        <v>813</v>
      </c>
      <c r="J2522">
        <f t="shared" ca="1" si="158"/>
        <v>510000</v>
      </c>
      <c r="K2522">
        <f t="shared" ca="1" si="159"/>
        <v>3317</v>
      </c>
      <c r="N2522" t="str">
        <f t="shared" si="156"/>
        <v>Surrey108NW 18 - Disabled Facilities GrantDFG Related SchemesAdaptations, including statutory DFG grants</v>
      </c>
      <c r="O2522" t="s">
        <v>313</v>
      </c>
      <c r="P2522" t="s">
        <v>1437</v>
      </c>
      <c r="Q2522">
        <v>108</v>
      </c>
      <c r="R2522" t="s">
        <v>6339</v>
      </c>
      <c r="S2522" t="s">
        <v>6811</v>
      </c>
      <c r="T2522" t="s">
        <v>834</v>
      </c>
      <c r="U2522" t="s">
        <v>835</v>
      </c>
      <c r="W2522">
        <v>641</v>
      </c>
      <c r="X2522">
        <v>641</v>
      </c>
      <c r="Y2522" t="s">
        <v>836</v>
      </c>
      <c r="Z2522" t="s">
        <v>792</v>
      </c>
      <c r="AB2522" t="s">
        <v>793</v>
      </c>
      <c r="AD2522" t="s">
        <v>794</v>
      </c>
      <c r="AE2522" t="s">
        <v>795</v>
      </c>
      <c r="AF2522" t="s">
        <v>840</v>
      </c>
      <c r="AG2522" t="s">
        <v>797</v>
      </c>
      <c r="AH2522">
        <v>3622770</v>
      </c>
      <c r="AI2522">
        <v>3622770</v>
      </c>
      <c r="AJ2522">
        <v>0.35671766224914575</v>
      </c>
    </row>
    <row r="2523" spans="1:36" x14ac:dyDescent="0.3">
      <c r="A2523">
        <f>COUNTIF($D$2:D2523,D2523)</f>
        <v>21</v>
      </c>
      <c r="B2523" t="str">
        <f t="shared" si="157"/>
        <v>21Warwickshire</v>
      </c>
      <c r="C2523" t="s">
        <v>6862</v>
      </c>
      <c r="D2523" t="s">
        <v>341</v>
      </c>
      <c r="E2523">
        <v>48</v>
      </c>
      <c r="F2523" t="s">
        <v>6863</v>
      </c>
      <c r="G2523" t="s">
        <v>842</v>
      </c>
      <c r="H2523" t="s">
        <v>1102</v>
      </c>
      <c r="I2523" t="s">
        <v>789</v>
      </c>
      <c r="J2523">
        <f t="shared" ca="1" si="158"/>
        <v>1002363</v>
      </c>
      <c r="K2523">
        <f t="shared" ca="1" si="159"/>
        <v>2905</v>
      </c>
      <c r="N2523" t="str">
        <f t="shared" si="156"/>
        <v>Surrey109NW 19 - Improve BCF 23/24Residential PlacementsOther</v>
      </c>
      <c r="O2523" t="s">
        <v>313</v>
      </c>
      <c r="P2523" t="s">
        <v>1437</v>
      </c>
      <c r="Q2523">
        <v>109</v>
      </c>
      <c r="R2523" t="s">
        <v>6341</v>
      </c>
      <c r="S2523" t="s">
        <v>6814</v>
      </c>
      <c r="T2523" t="s">
        <v>806</v>
      </c>
      <c r="U2523" t="s">
        <v>812</v>
      </c>
      <c r="V2523" t="s">
        <v>6815</v>
      </c>
      <c r="W2523">
        <v>74</v>
      </c>
      <c r="X2523">
        <v>74</v>
      </c>
      <c r="Y2523" t="s">
        <v>808</v>
      </c>
      <c r="Z2523" t="s">
        <v>792</v>
      </c>
      <c r="AB2523" t="s">
        <v>793</v>
      </c>
      <c r="AD2523" t="s">
        <v>794</v>
      </c>
      <c r="AE2523" t="s">
        <v>795</v>
      </c>
      <c r="AF2523" t="s">
        <v>845</v>
      </c>
      <c r="AG2523" t="s">
        <v>797</v>
      </c>
      <c r="AH2523">
        <v>3400298</v>
      </c>
      <c r="AI2523">
        <v>3400298</v>
      </c>
      <c r="AJ2523">
        <v>2.1948733414101897E-2</v>
      </c>
    </row>
    <row r="2524" spans="1:36" x14ac:dyDescent="0.3">
      <c r="A2524">
        <f>COUNTIF($D$2:D2524,D2524)</f>
        <v>22</v>
      </c>
      <c r="B2524" t="str">
        <f t="shared" si="157"/>
        <v>22Warwickshire</v>
      </c>
      <c r="C2524" t="s">
        <v>6864</v>
      </c>
      <c r="D2524" t="s">
        <v>341</v>
      </c>
      <c r="E2524">
        <v>49</v>
      </c>
      <c r="F2524" t="s">
        <v>6865</v>
      </c>
      <c r="G2524" t="s">
        <v>806</v>
      </c>
      <c r="H2524" t="s">
        <v>955</v>
      </c>
      <c r="I2524" t="s">
        <v>808</v>
      </c>
      <c r="J2524">
        <f t="shared" ca="1" si="158"/>
        <v>1119299</v>
      </c>
      <c r="K2524">
        <f t="shared" ca="1" si="159"/>
        <v>23</v>
      </c>
      <c r="N2524" t="str">
        <f t="shared" si="156"/>
        <v>Surrey112Discharge Fund - Heartlands SCCHome Care or Domiciliary CareDomiciliary care to support hospital discharge (Discharge to Assess pathway 1)</v>
      </c>
      <c r="O2524" t="s">
        <v>313</v>
      </c>
      <c r="P2524" t="s">
        <v>1437</v>
      </c>
      <c r="Q2524">
        <v>112</v>
      </c>
      <c r="R2524" t="s">
        <v>6343</v>
      </c>
      <c r="S2524" t="s">
        <v>6817</v>
      </c>
      <c r="T2524" t="s">
        <v>842</v>
      </c>
      <c r="U2524" t="s">
        <v>856</v>
      </c>
      <c r="W2524">
        <v>8947</v>
      </c>
      <c r="X2524">
        <v>14912</v>
      </c>
      <c r="Y2524" t="s">
        <v>844</v>
      </c>
      <c r="Z2524" t="s">
        <v>792</v>
      </c>
      <c r="AB2524" t="s">
        <v>793</v>
      </c>
      <c r="AD2524" t="s">
        <v>794</v>
      </c>
      <c r="AE2524" t="s">
        <v>804</v>
      </c>
      <c r="AF2524" t="s">
        <v>864</v>
      </c>
      <c r="AG2524" t="s">
        <v>861</v>
      </c>
      <c r="AH2524">
        <v>214643</v>
      </c>
      <c r="AI2524">
        <v>357737</v>
      </c>
      <c r="AJ2524">
        <v>1.6289392834725306E-3</v>
      </c>
    </row>
    <row r="2525" spans="1:36" x14ac:dyDescent="0.3">
      <c r="A2525">
        <f>COUNTIF($D$2:D2525,D2525)</f>
        <v>23</v>
      </c>
      <c r="B2525" t="str">
        <f t="shared" si="157"/>
        <v>23Warwickshire</v>
      </c>
      <c r="C2525" t="s">
        <v>6866</v>
      </c>
      <c r="D2525" t="s">
        <v>341</v>
      </c>
      <c r="E2525">
        <v>50</v>
      </c>
      <c r="F2525" t="s">
        <v>6867</v>
      </c>
      <c r="G2525" t="s">
        <v>842</v>
      </c>
      <c r="H2525" t="s">
        <v>1102</v>
      </c>
      <c r="I2525" t="s">
        <v>789</v>
      </c>
      <c r="J2525">
        <f t="shared" ca="1" si="158"/>
        <v>2114454</v>
      </c>
      <c r="K2525">
        <f t="shared" ca="1" si="159"/>
        <v>4877</v>
      </c>
      <c r="N2525" t="str">
        <f t="shared" si="156"/>
        <v>Surrey113Discharge Fund - Heartlands SCCBed based intermediate Care Services (Reablement, rehabilitation, wider short-term services supporting recovery)Bed-based intermediate care with rehabilitation (to support discharge)</v>
      </c>
      <c r="O2525" t="s">
        <v>313</v>
      </c>
      <c r="P2525" t="s">
        <v>1437</v>
      </c>
      <c r="Q2525">
        <v>113</v>
      </c>
      <c r="R2525" t="s">
        <v>6343</v>
      </c>
      <c r="S2525" t="s">
        <v>6836</v>
      </c>
      <c r="T2525" t="s">
        <v>877</v>
      </c>
      <c r="U2525" t="s">
        <v>968</v>
      </c>
      <c r="W2525">
        <v>173</v>
      </c>
      <c r="X2525">
        <v>289</v>
      </c>
      <c r="Y2525" t="s">
        <v>879</v>
      </c>
      <c r="Z2525" t="s">
        <v>792</v>
      </c>
      <c r="AB2525" t="s">
        <v>793</v>
      </c>
      <c r="AD2525" t="s">
        <v>794</v>
      </c>
      <c r="AE2525" t="s">
        <v>804</v>
      </c>
      <c r="AF2525" t="s">
        <v>864</v>
      </c>
      <c r="AG2525" t="s">
        <v>2460</v>
      </c>
      <c r="AH2525">
        <v>1040035</v>
      </c>
      <c r="AI2525">
        <v>1733392</v>
      </c>
      <c r="AJ2525">
        <v>0.20962818049668919</v>
      </c>
    </row>
    <row r="2526" spans="1:36" x14ac:dyDescent="0.3">
      <c r="A2526">
        <f>COUNTIF($D$2:D2526,D2526)</f>
        <v>24</v>
      </c>
      <c r="B2526" t="str">
        <f t="shared" si="157"/>
        <v>24Warwickshire</v>
      </c>
      <c r="C2526" t="s">
        <v>6868</v>
      </c>
      <c r="D2526" t="s">
        <v>341</v>
      </c>
      <c r="E2526">
        <v>51</v>
      </c>
      <c r="F2526" t="s">
        <v>6869</v>
      </c>
      <c r="G2526" t="s">
        <v>806</v>
      </c>
      <c r="H2526" t="s">
        <v>955</v>
      </c>
      <c r="I2526" t="s">
        <v>808</v>
      </c>
      <c r="J2526">
        <f t="shared" ca="1" si="158"/>
        <v>1403546</v>
      </c>
      <c r="K2526">
        <f t="shared" ca="1" si="159"/>
        <v>387</v>
      </c>
      <c r="N2526" t="str">
        <f t="shared" si="156"/>
        <v>Surrey116Discharge Fund - Frimley ICBHome Care or Domiciliary CareDomiciliary care to support hospital discharge (Discharge to Assess pathway 1)</v>
      </c>
      <c r="O2526" t="s">
        <v>313</v>
      </c>
      <c r="P2526" t="s">
        <v>1437</v>
      </c>
      <c r="Q2526">
        <v>116</v>
      </c>
      <c r="R2526" t="s">
        <v>6346</v>
      </c>
      <c r="S2526" t="s">
        <v>6817</v>
      </c>
      <c r="T2526" t="s">
        <v>842</v>
      </c>
      <c r="U2526" t="s">
        <v>856</v>
      </c>
      <c r="W2526">
        <v>13966</v>
      </c>
      <c r="X2526">
        <v>34140</v>
      </c>
      <c r="Y2526" t="s">
        <v>844</v>
      </c>
      <c r="Z2526" t="s">
        <v>823</v>
      </c>
      <c r="AB2526" t="s">
        <v>824</v>
      </c>
      <c r="AD2526" t="s">
        <v>794</v>
      </c>
      <c r="AE2526" t="s">
        <v>804</v>
      </c>
      <c r="AF2526" t="s">
        <v>860</v>
      </c>
      <c r="AG2526" t="s">
        <v>861</v>
      </c>
      <c r="AH2526">
        <v>335050</v>
      </c>
      <c r="AI2526">
        <v>819007</v>
      </c>
      <c r="AJ2526">
        <v>2.5427156111658493E-3</v>
      </c>
    </row>
    <row r="2527" spans="1:36" x14ac:dyDescent="0.3">
      <c r="A2527">
        <f>COUNTIF($D$2:D2527,D2527)</f>
        <v>25</v>
      </c>
      <c r="B2527" t="str">
        <f t="shared" si="157"/>
        <v>25Warwickshire</v>
      </c>
      <c r="C2527" t="s">
        <v>6870</v>
      </c>
      <c r="D2527" t="s">
        <v>341</v>
      </c>
      <c r="E2527">
        <v>52</v>
      </c>
      <c r="F2527" t="s">
        <v>872</v>
      </c>
      <c r="G2527" t="s">
        <v>842</v>
      </c>
      <c r="H2527" t="s">
        <v>843</v>
      </c>
      <c r="I2527" t="s">
        <v>844</v>
      </c>
      <c r="J2527">
        <f t="shared" ca="1" si="158"/>
        <v>41800152</v>
      </c>
      <c r="K2527">
        <f t="shared" ca="1" si="159"/>
        <v>2170309</v>
      </c>
      <c r="N2527" t="str">
        <f t="shared" si="156"/>
        <v>Surrey117Discharge Fund - Frimley ICBBed based intermediate Care Services (Reablement, rehabilitation, wider short-term services supporting recovery)Bed-based intermediate care with rehabilitation (to support discharge)</v>
      </c>
      <c r="O2527" t="s">
        <v>313</v>
      </c>
      <c r="P2527" t="s">
        <v>1437</v>
      </c>
      <c r="Q2527">
        <v>117</v>
      </c>
      <c r="R2527" t="s">
        <v>6346</v>
      </c>
      <c r="S2527" t="s">
        <v>6836</v>
      </c>
      <c r="T2527" t="s">
        <v>877</v>
      </c>
      <c r="U2527" t="s">
        <v>968</v>
      </c>
      <c r="W2527">
        <v>29</v>
      </c>
      <c r="X2527">
        <v>70</v>
      </c>
      <c r="Y2527" t="s">
        <v>879</v>
      </c>
      <c r="Z2527" t="s">
        <v>823</v>
      </c>
      <c r="AB2527" t="s">
        <v>824</v>
      </c>
      <c r="AD2527" t="s">
        <v>794</v>
      </c>
      <c r="AE2527" t="s">
        <v>804</v>
      </c>
      <c r="AF2527" t="s">
        <v>860</v>
      </c>
      <c r="AG2527" t="s">
        <v>861</v>
      </c>
      <c r="AH2527">
        <v>171471</v>
      </c>
      <c r="AI2527">
        <v>419150</v>
      </c>
      <c r="AJ2527">
        <v>3.4561484698060925E-2</v>
      </c>
    </row>
    <row r="2528" spans="1:36" x14ac:dyDescent="0.3">
      <c r="A2528">
        <f>COUNTIF($D$2:D2528,D2528)</f>
        <v>26</v>
      </c>
      <c r="B2528" t="str">
        <f t="shared" si="157"/>
        <v>26Warwickshire</v>
      </c>
      <c r="C2528" t="s">
        <v>6871</v>
      </c>
      <c r="D2528" t="s">
        <v>341</v>
      </c>
      <c r="E2528">
        <v>53</v>
      </c>
      <c r="F2528" t="s">
        <v>6872</v>
      </c>
      <c r="G2528" t="s">
        <v>834</v>
      </c>
      <c r="H2528" t="s">
        <v>835</v>
      </c>
      <c r="I2528" t="s">
        <v>836</v>
      </c>
      <c r="J2528">
        <f t="shared" ca="1" si="158"/>
        <v>5124786</v>
      </c>
      <c r="K2528">
        <f t="shared" ca="1" si="159"/>
        <v>935</v>
      </c>
      <c r="N2528" t="str">
        <f t="shared" si="156"/>
        <v>Surrey118Discharge Fund - Frimley SCCHome Care or Domiciliary CareDomiciliary care to support hospital discharge (Discharge to Assess pathway 1)</v>
      </c>
      <c r="O2528" t="s">
        <v>313</v>
      </c>
      <c r="P2528" t="s">
        <v>1437</v>
      </c>
      <c r="Q2528">
        <v>118</v>
      </c>
      <c r="R2528" t="s">
        <v>6350</v>
      </c>
      <c r="S2528" t="s">
        <v>6817</v>
      </c>
      <c r="T2528" t="s">
        <v>842</v>
      </c>
      <c r="U2528" t="s">
        <v>856</v>
      </c>
      <c r="W2528">
        <v>5182</v>
      </c>
      <c r="X2528">
        <v>8637</v>
      </c>
      <c r="Y2528" t="s">
        <v>844</v>
      </c>
      <c r="Z2528" t="s">
        <v>792</v>
      </c>
      <c r="AB2528" t="s">
        <v>793</v>
      </c>
      <c r="AD2528" t="s">
        <v>794</v>
      </c>
      <c r="AE2528" t="s">
        <v>804</v>
      </c>
      <c r="AF2528" t="s">
        <v>864</v>
      </c>
      <c r="AG2528" t="s">
        <v>861</v>
      </c>
      <c r="AH2528">
        <v>124327</v>
      </c>
      <c r="AI2528">
        <v>207212</v>
      </c>
      <c r="AJ2528">
        <v>9.4352545527359071E-4</v>
      </c>
    </row>
    <row r="2529" spans="1:36" x14ac:dyDescent="0.3">
      <c r="A2529">
        <f>COUNTIF($D$2:D2529,D2529)</f>
        <v>27</v>
      </c>
      <c r="B2529" t="str">
        <f t="shared" si="157"/>
        <v>27Warwickshire</v>
      </c>
      <c r="C2529" t="s">
        <v>6873</v>
      </c>
      <c r="D2529" t="s">
        <v>341</v>
      </c>
      <c r="E2529">
        <v>54</v>
      </c>
      <c r="F2529" t="s">
        <v>6824</v>
      </c>
      <c r="G2529" t="s">
        <v>800</v>
      </c>
      <c r="H2529" t="s">
        <v>903</v>
      </c>
      <c r="I2529" t="s">
        <v>802</v>
      </c>
      <c r="J2529">
        <f t="shared" ca="1" si="158"/>
        <v>4501370</v>
      </c>
      <c r="K2529">
        <f t="shared" ca="1" si="159"/>
        <v>12418</v>
      </c>
      <c r="N2529" t="str">
        <f t="shared" si="156"/>
        <v>Surrey119Discharge Fund - Frimley SCCBed based intermediate Care Services (Reablement, rehabilitation, wider short-term services supporting recovery)Bed-based intermediate care with rehabilitation (to support discharge)</v>
      </c>
      <c r="O2529" t="s">
        <v>313</v>
      </c>
      <c r="P2529" t="s">
        <v>1437</v>
      </c>
      <c r="Q2529">
        <v>119</v>
      </c>
      <c r="R2529" t="s">
        <v>6350</v>
      </c>
      <c r="S2529" t="s">
        <v>6836</v>
      </c>
      <c r="T2529" t="s">
        <v>877</v>
      </c>
      <c r="U2529" t="s">
        <v>968</v>
      </c>
      <c r="W2529">
        <v>11</v>
      </c>
      <c r="X2529">
        <v>18</v>
      </c>
      <c r="Y2529" t="s">
        <v>879</v>
      </c>
      <c r="Z2529" t="s">
        <v>792</v>
      </c>
      <c r="AB2529" t="s">
        <v>793</v>
      </c>
      <c r="AD2529" t="s">
        <v>794</v>
      </c>
      <c r="AE2529" t="s">
        <v>804</v>
      </c>
      <c r="AF2529" t="s">
        <v>864</v>
      </c>
      <c r="AG2529" t="s">
        <v>2460</v>
      </c>
      <c r="AH2529">
        <v>63628</v>
      </c>
      <c r="AI2529">
        <v>106046</v>
      </c>
      <c r="AJ2529">
        <v>1.2824781732002615E-2</v>
      </c>
    </row>
    <row r="2530" spans="1:36" x14ac:dyDescent="0.3">
      <c r="A2530">
        <f>COUNTIF($D$2:D2530,D2530)</f>
        <v>1</v>
      </c>
      <c r="B2530" t="str">
        <f t="shared" si="157"/>
        <v>1West Berkshire</v>
      </c>
      <c r="C2530" t="s">
        <v>6874</v>
      </c>
      <c r="D2530" t="s">
        <v>343</v>
      </c>
      <c r="E2530">
        <v>1</v>
      </c>
      <c r="F2530" t="s">
        <v>6875</v>
      </c>
      <c r="G2530" t="s">
        <v>806</v>
      </c>
      <c r="H2530" t="s">
        <v>807</v>
      </c>
      <c r="I2530" t="s">
        <v>808</v>
      </c>
      <c r="J2530">
        <f t="shared" ca="1" si="158"/>
        <v>1580091</v>
      </c>
      <c r="K2530">
        <f t="shared" ca="1" si="159"/>
        <v>23.7</v>
      </c>
      <c r="N2530" t="str">
        <f t="shared" si="156"/>
        <v>Surrey120GW 30 - Community Schemes / D2AHome Care or Domiciliary CareDomiciliary care to support hospital discharge (Discharge to Assess pathway 1)</v>
      </c>
      <c r="O2530" t="s">
        <v>313</v>
      </c>
      <c r="P2530" t="s">
        <v>1437</v>
      </c>
      <c r="Q2530">
        <v>120</v>
      </c>
      <c r="R2530" t="s">
        <v>6353</v>
      </c>
      <c r="S2530" t="s">
        <v>6820</v>
      </c>
      <c r="T2530" t="s">
        <v>842</v>
      </c>
      <c r="U2530" t="s">
        <v>856</v>
      </c>
      <c r="W2530">
        <v>30349</v>
      </c>
      <c r="X2530">
        <v>30349</v>
      </c>
      <c r="Y2530" t="s">
        <v>844</v>
      </c>
      <c r="Z2530" t="s">
        <v>823</v>
      </c>
      <c r="AB2530" t="s">
        <v>824</v>
      </c>
      <c r="AD2530" t="s">
        <v>794</v>
      </c>
      <c r="AE2530" t="s">
        <v>824</v>
      </c>
      <c r="AF2530" t="s">
        <v>796</v>
      </c>
      <c r="AG2530" t="s">
        <v>861</v>
      </c>
      <c r="AH2530">
        <v>728068</v>
      </c>
      <c r="AI2530">
        <v>728068</v>
      </c>
      <c r="AJ2530">
        <v>5.5253540354881286E-3</v>
      </c>
    </row>
    <row r="2531" spans="1:36" x14ac:dyDescent="0.3">
      <c r="A2531">
        <f>COUNTIF($D$2:D2531,D2531)</f>
        <v>2</v>
      </c>
      <c r="B2531" t="str">
        <f t="shared" si="157"/>
        <v>2West Berkshire</v>
      </c>
      <c r="C2531" t="s">
        <v>6876</v>
      </c>
      <c r="D2531" t="s">
        <v>343</v>
      </c>
      <c r="E2531">
        <v>3</v>
      </c>
      <c r="F2531" t="s">
        <v>434</v>
      </c>
      <c r="G2531" t="s">
        <v>842</v>
      </c>
      <c r="H2531" t="s">
        <v>843</v>
      </c>
      <c r="I2531" t="s">
        <v>844</v>
      </c>
      <c r="J2531">
        <f t="shared" ca="1" si="158"/>
        <v>454734</v>
      </c>
      <c r="K2531">
        <f t="shared" ca="1" si="159"/>
        <v>11131</v>
      </c>
      <c r="N2531" t="str">
        <f t="shared" si="156"/>
        <v>Surrey124SH 2 - Carers FundingCarers ServicesRespite services</v>
      </c>
      <c r="O2531" t="s">
        <v>313</v>
      </c>
      <c r="P2531" t="s">
        <v>1437</v>
      </c>
      <c r="Q2531">
        <v>124</v>
      </c>
      <c r="R2531" t="s">
        <v>6355</v>
      </c>
      <c r="S2531" t="s">
        <v>6801</v>
      </c>
      <c r="T2531" t="s">
        <v>811</v>
      </c>
      <c r="U2531" t="s">
        <v>830</v>
      </c>
      <c r="W2531">
        <v>270</v>
      </c>
      <c r="X2531">
        <v>270</v>
      </c>
      <c r="Y2531" t="s">
        <v>813</v>
      </c>
      <c r="Z2531" t="s">
        <v>792</v>
      </c>
      <c r="AB2531" t="s">
        <v>793</v>
      </c>
      <c r="AD2531" t="s">
        <v>794</v>
      </c>
      <c r="AE2531" t="s">
        <v>795</v>
      </c>
      <c r="AF2531" t="s">
        <v>796</v>
      </c>
      <c r="AG2531" t="s">
        <v>797</v>
      </c>
      <c r="AH2531">
        <v>204000</v>
      </c>
      <c r="AI2531">
        <v>204000</v>
      </c>
      <c r="AJ2531">
        <v>1.9811366655080903E-2</v>
      </c>
    </row>
    <row r="2532" spans="1:36" x14ac:dyDescent="0.3">
      <c r="A2532">
        <f>COUNTIF($D$2:D2532,D2532)</f>
        <v>3</v>
      </c>
      <c r="B2532" t="str">
        <f t="shared" si="157"/>
        <v>3West Berkshire</v>
      </c>
      <c r="C2532" t="s">
        <v>6877</v>
      </c>
      <c r="D2532" t="s">
        <v>343</v>
      </c>
      <c r="E2532">
        <v>31</v>
      </c>
      <c r="F2532" t="s">
        <v>434</v>
      </c>
      <c r="G2532" t="s">
        <v>842</v>
      </c>
      <c r="H2532" t="s">
        <v>843</v>
      </c>
      <c r="I2532" t="s">
        <v>844</v>
      </c>
      <c r="J2532">
        <f t="shared" ca="1" si="158"/>
        <v>307300</v>
      </c>
      <c r="K2532">
        <f t="shared" ca="1" si="159"/>
        <v>7522</v>
      </c>
      <c r="N2532" t="str">
        <f t="shared" si="156"/>
        <v>Surrey140SH 18 - Community Schemes - Tech PostAssistive Technologies and EquipmentAssistive technologies including telecare</v>
      </c>
      <c r="O2532" t="s">
        <v>313</v>
      </c>
      <c r="P2532" t="s">
        <v>1437</v>
      </c>
      <c r="Q2532">
        <v>140</v>
      </c>
      <c r="R2532" t="s">
        <v>6358</v>
      </c>
      <c r="S2532" t="s">
        <v>6878</v>
      </c>
      <c r="T2532" t="s">
        <v>800</v>
      </c>
      <c r="U2532" t="s">
        <v>850</v>
      </c>
      <c r="W2532">
        <v>345</v>
      </c>
      <c r="X2532">
        <v>365</v>
      </c>
      <c r="Y2532" t="s">
        <v>802</v>
      </c>
      <c r="Z2532" t="s">
        <v>823</v>
      </c>
      <c r="AB2532" t="s">
        <v>824</v>
      </c>
      <c r="AD2532" t="s">
        <v>794</v>
      </c>
      <c r="AE2532" t="s">
        <v>824</v>
      </c>
      <c r="AF2532" t="s">
        <v>796</v>
      </c>
      <c r="AG2532" t="s">
        <v>797</v>
      </c>
      <c r="AH2532">
        <v>45833</v>
      </c>
      <c r="AI2532">
        <v>48427</v>
      </c>
      <c r="AJ2532">
        <v>4.8731998357489344E-3</v>
      </c>
    </row>
    <row r="2533" spans="1:36" x14ac:dyDescent="0.3">
      <c r="A2533">
        <f>COUNTIF($D$2:D2533,D2533)</f>
        <v>4</v>
      </c>
      <c r="B2533" t="str">
        <f t="shared" si="157"/>
        <v>4West Berkshire</v>
      </c>
      <c r="C2533" t="s">
        <v>6879</v>
      </c>
      <c r="D2533" t="s">
        <v>343</v>
      </c>
      <c r="E2533">
        <v>42</v>
      </c>
      <c r="F2533" t="s">
        <v>6880</v>
      </c>
      <c r="G2533" t="s">
        <v>806</v>
      </c>
      <c r="H2533" t="s">
        <v>917</v>
      </c>
      <c r="I2533" t="s">
        <v>808</v>
      </c>
      <c r="J2533">
        <f t="shared" ca="1" si="158"/>
        <v>49138</v>
      </c>
      <c r="K2533">
        <f t="shared" ca="1" si="159"/>
        <v>0.9</v>
      </c>
      <c r="N2533" t="str">
        <f t="shared" si="156"/>
        <v>Surrey145SH 23 - TECSAssistive Technologies and EquipmentAssistive technologies including telecare</v>
      </c>
      <c r="O2533" t="s">
        <v>313</v>
      </c>
      <c r="P2533" t="s">
        <v>1437</v>
      </c>
      <c r="Q2533">
        <v>145</v>
      </c>
      <c r="R2533" t="s">
        <v>6361</v>
      </c>
      <c r="S2533" t="s">
        <v>6808</v>
      </c>
      <c r="T2533" t="s">
        <v>800</v>
      </c>
      <c r="U2533" t="s">
        <v>850</v>
      </c>
      <c r="W2533">
        <v>32</v>
      </c>
      <c r="X2533">
        <v>34</v>
      </c>
      <c r="Y2533" t="s">
        <v>802</v>
      </c>
      <c r="Z2533" t="s">
        <v>792</v>
      </c>
      <c r="AB2533" t="s">
        <v>793</v>
      </c>
      <c r="AD2533" t="s">
        <v>794</v>
      </c>
      <c r="AE2533" t="s">
        <v>795</v>
      </c>
      <c r="AF2533" t="s">
        <v>796</v>
      </c>
      <c r="AG2533" t="s">
        <v>797</v>
      </c>
      <c r="AH2533">
        <v>55000</v>
      </c>
      <c r="AI2533">
        <v>58113</v>
      </c>
      <c r="AJ2533">
        <v>5.8478823329520518E-3</v>
      </c>
    </row>
    <row r="2534" spans="1:36" x14ac:dyDescent="0.3">
      <c r="A2534">
        <f>COUNTIF($D$2:D2534,D2534)</f>
        <v>5</v>
      </c>
      <c r="B2534" t="str">
        <f t="shared" si="157"/>
        <v>5West Berkshire</v>
      </c>
      <c r="C2534" t="s">
        <v>6881</v>
      </c>
      <c r="D2534" t="s">
        <v>343</v>
      </c>
      <c r="E2534">
        <v>53</v>
      </c>
      <c r="F2534" t="s">
        <v>6882</v>
      </c>
      <c r="G2534" t="s">
        <v>806</v>
      </c>
      <c r="H2534" t="s">
        <v>917</v>
      </c>
      <c r="I2534" t="s">
        <v>808</v>
      </c>
      <c r="J2534">
        <f t="shared" ca="1" si="158"/>
        <v>65213</v>
      </c>
      <c r="K2534">
        <f t="shared" ca="1" si="159"/>
        <v>1.3</v>
      </c>
      <c r="N2534" t="str">
        <f t="shared" si="156"/>
        <v>Surrey150SH 27 - Community EquipmentAssistive Technologies and EquipmentCommunity based equipment</v>
      </c>
      <c r="O2534" t="s">
        <v>313</v>
      </c>
      <c r="P2534" t="s">
        <v>1437</v>
      </c>
      <c r="Q2534">
        <v>150</v>
      </c>
      <c r="R2534" t="s">
        <v>6364</v>
      </c>
      <c r="S2534" t="s">
        <v>1881</v>
      </c>
      <c r="T2534" t="s">
        <v>800</v>
      </c>
      <c r="U2534" t="s">
        <v>903</v>
      </c>
      <c r="W2534">
        <v>1234</v>
      </c>
      <c r="X2534">
        <v>1242</v>
      </c>
      <c r="Y2534" t="s">
        <v>802</v>
      </c>
      <c r="Z2534" t="s">
        <v>792</v>
      </c>
      <c r="AB2534" t="s">
        <v>1739</v>
      </c>
      <c r="AC2534">
        <v>0.5</v>
      </c>
      <c r="AD2534">
        <v>0.5</v>
      </c>
      <c r="AE2534" t="s">
        <v>804</v>
      </c>
      <c r="AF2534" t="s">
        <v>796</v>
      </c>
      <c r="AG2534" t="s">
        <v>797</v>
      </c>
      <c r="AH2534">
        <v>362636</v>
      </c>
      <c r="AI2534">
        <v>383161</v>
      </c>
      <c r="AJ2534">
        <v>3.8557321048952729E-2</v>
      </c>
    </row>
    <row r="2535" spans="1:36" x14ac:dyDescent="0.3">
      <c r="A2535">
        <f>COUNTIF($D$2:D2535,D2535)</f>
        <v>6</v>
      </c>
      <c r="B2535" t="str">
        <f t="shared" si="157"/>
        <v>6West Berkshire</v>
      </c>
      <c r="C2535" t="s">
        <v>6883</v>
      </c>
      <c r="D2535" t="s">
        <v>343</v>
      </c>
      <c r="E2535">
        <v>54</v>
      </c>
      <c r="F2535" t="s">
        <v>6882</v>
      </c>
      <c r="G2535" t="s">
        <v>806</v>
      </c>
      <c r="H2535" t="s">
        <v>807</v>
      </c>
      <c r="I2535" t="s">
        <v>808</v>
      </c>
      <c r="J2535">
        <f t="shared" ca="1" si="158"/>
        <v>16835</v>
      </c>
      <c r="K2535">
        <f t="shared" ca="1" si="159"/>
        <v>0.3</v>
      </c>
      <c r="N2535" t="str">
        <f t="shared" si="156"/>
        <v>Surrey152SH 29 - Disabled Facilities GrantDFG Related SchemesAdaptations, including statutory DFG grants</v>
      </c>
      <c r="O2535" t="s">
        <v>313</v>
      </c>
      <c r="P2535" t="s">
        <v>1437</v>
      </c>
      <c r="Q2535">
        <v>152</v>
      </c>
      <c r="R2535" t="s">
        <v>6367</v>
      </c>
      <c r="S2535" t="s">
        <v>6811</v>
      </c>
      <c r="T2535" t="s">
        <v>834</v>
      </c>
      <c r="U2535" t="s">
        <v>835</v>
      </c>
      <c r="W2535">
        <v>156</v>
      </c>
      <c r="X2535">
        <v>156</v>
      </c>
      <c r="Y2535" t="s">
        <v>836</v>
      </c>
      <c r="Z2535" t="s">
        <v>792</v>
      </c>
      <c r="AB2535" t="s">
        <v>793</v>
      </c>
      <c r="AD2535" t="s">
        <v>794</v>
      </c>
      <c r="AE2535" t="s">
        <v>795</v>
      </c>
      <c r="AF2535" t="s">
        <v>840</v>
      </c>
      <c r="AG2535" t="s">
        <v>797</v>
      </c>
      <c r="AH2535">
        <v>882488</v>
      </c>
      <c r="AI2535">
        <v>882488</v>
      </c>
      <c r="AJ2535">
        <v>8.6894574130547658E-2</v>
      </c>
    </row>
    <row r="2536" spans="1:36" x14ac:dyDescent="0.3">
      <c r="A2536">
        <f>COUNTIF($D$2:D2536,D2536)</f>
        <v>7</v>
      </c>
      <c r="B2536" t="str">
        <f t="shared" si="157"/>
        <v>7West Berkshire</v>
      </c>
      <c r="C2536" t="s">
        <v>6884</v>
      </c>
      <c r="D2536" t="s">
        <v>343</v>
      </c>
      <c r="E2536">
        <v>6</v>
      </c>
      <c r="F2536" t="s">
        <v>6885</v>
      </c>
      <c r="G2536" t="s">
        <v>842</v>
      </c>
      <c r="H2536" t="s">
        <v>856</v>
      </c>
      <c r="I2536" t="s">
        <v>844</v>
      </c>
      <c r="J2536">
        <f t="shared" ca="1" si="158"/>
        <v>113070</v>
      </c>
      <c r="K2536">
        <f t="shared" ca="1" si="159"/>
        <v>4916</v>
      </c>
      <c r="N2536" t="str">
        <f t="shared" si="156"/>
        <v>Surrey153SH 30 - Improve BCF 23/24Residential PlacementsOther</v>
      </c>
      <c r="O2536" t="s">
        <v>313</v>
      </c>
      <c r="P2536" t="s">
        <v>1437</v>
      </c>
      <c r="Q2536">
        <v>153</v>
      </c>
      <c r="R2536" t="s">
        <v>6370</v>
      </c>
      <c r="S2536" t="s">
        <v>6814</v>
      </c>
      <c r="T2536" t="s">
        <v>806</v>
      </c>
      <c r="U2536" t="s">
        <v>812</v>
      </c>
      <c r="V2536" t="s">
        <v>6815</v>
      </c>
      <c r="W2536">
        <v>20</v>
      </c>
      <c r="X2536">
        <v>20</v>
      </c>
      <c r="Y2536" t="s">
        <v>808</v>
      </c>
      <c r="Z2536" t="s">
        <v>792</v>
      </c>
      <c r="AB2536" t="s">
        <v>793</v>
      </c>
      <c r="AD2536" t="s">
        <v>794</v>
      </c>
      <c r="AE2536" t="s">
        <v>795</v>
      </c>
      <c r="AF2536" t="s">
        <v>845</v>
      </c>
      <c r="AG2536" t="s">
        <v>797</v>
      </c>
      <c r="AH2536">
        <v>927309</v>
      </c>
      <c r="AI2536">
        <v>927309</v>
      </c>
      <c r="AJ2536">
        <v>5.985727731362786E-3</v>
      </c>
    </row>
    <row r="2537" spans="1:36" x14ac:dyDescent="0.3">
      <c r="A2537">
        <f>COUNTIF($D$2:D2537,D2537)</f>
        <v>8</v>
      </c>
      <c r="B2537" t="str">
        <f t="shared" si="157"/>
        <v>8West Berkshire</v>
      </c>
      <c r="C2537" t="s">
        <v>6886</v>
      </c>
      <c r="D2537" t="s">
        <v>343</v>
      </c>
      <c r="E2537">
        <v>62</v>
      </c>
      <c r="F2537" t="s">
        <v>860</v>
      </c>
      <c r="G2537" t="s">
        <v>787</v>
      </c>
      <c r="H2537" t="s">
        <v>788</v>
      </c>
      <c r="I2537" t="s">
        <v>789</v>
      </c>
      <c r="J2537">
        <f t="shared" ca="1" si="158"/>
        <v>773000</v>
      </c>
      <c r="K2537">
        <f t="shared" ca="1" si="159"/>
        <v>164</v>
      </c>
      <c r="N2537" t="str">
        <f t="shared" si="156"/>
        <v>Surrey159NEHF 2 - Carers FundingCarers ServicesRespite services</v>
      </c>
      <c r="O2537" t="s">
        <v>313</v>
      </c>
      <c r="P2537" t="s">
        <v>1437</v>
      </c>
      <c r="Q2537">
        <v>159</v>
      </c>
      <c r="R2537" t="s">
        <v>6373</v>
      </c>
      <c r="S2537" t="s">
        <v>6801</v>
      </c>
      <c r="T2537" t="s">
        <v>811</v>
      </c>
      <c r="U2537" t="s">
        <v>830</v>
      </c>
      <c r="W2537">
        <v>124</v>
      </c>
      <c r="X2537">
        <v>124</v>
      </c>
      <c r="Y2537" t="s">
        <v>813</v>
      </c>
      <c r="Z2537" t="s">
        <v>792</v>
      </c>
      <c r="AB2537" t="s">
        <v>793</v>
      </c>
      <c r="AD2537" t="s">
        <v>794</v>
      </c>
      <c r="AE2537" t="s">
        <v>795</v>
      </c>
      <c r="AF2537" t="s">
        <v>796</v>
      </c>
      <c r="AG2537" t="s">
        <v>797</v>
      </c>
      <c r="AH2537">
        <v>94000</v>
      </c>
      <c r="AI2537">
        <v>94000</v>
      </c>
      <c r="AJ2537">
        <v>9.1287669881255137E-3</v>
      </c>
    </row>
    <row r="2538" spans="1:36" x14ac:dyDescent="0.3">
      <c r="A2538">
        <f>COUNTIF($D$2:D2538,D2538)</f>
        <v>9</v>
      </c>
      <c r="B2538" t="str">
        <f t="shared" si="157"/>
        <v>9West Berkshire</v>
      </c>
      <c r="C2538" t="s">
        <v>6887</v>
      </c>
      <c r="D2538" t="s">
        <v>343</v>
      </c>
      <c r="E2538">
        <v>66</v>
      </c>
      <c r="F2538" t="s">
        <v>6875</v>
      </c>
      <c r="G2538" t="s">
        <v>806</v>
      </c>
      <c r="H2538" t="s">
        <v>807</v>
      </c>
      <c r="I2538" t="s">
        <v>808</v>
      </c>
      <c r="J2538">
        <f t="shared" ca="1" si="158"/>
        <v>946922</v>
      </c>
      <c r="K2538">
        <f t="shared" ca="1" si="159"/>
        <v>14.2</v>
      </c>
      <c r="N2538" t="str">
        <f t="shared" si="156"/>
        <v>Surrey167NEHF 10 - TECSAssistive Technologies and EquipmentAssistive technologies including telecare</v>
      </c>
      <c r="O2538" t="s">
        <v>313</v>
      </c>
      <c r="P2538" t="s">
        <v>1437</v>
      </c>
      <c r="Q2538">
        <v>167</v>
      </c>
      <c r="R2538" t="s">
        <v>6376</v>
      </c>
      <c r="S2538" t="s">
        <v>6808</v>
      </c>
      <c r="T2538" t="s">
        <v>800</v>
      </c>
      <c r="U2538" t="s">
        <v>850</v>
      </c>
      <c r="W2538">
        <v>14</v>
      </c>
      <c r="X2538">
        <v>15</v>
      </c>
      <c r="Y2538" t="s">
        <v>802</v>
      </c>
      <c r="Z2538" t="s">
        <v>792</v>
      </c>
      <c r="AB2538" t="s">
        <v>793</v>
      </c>
      <c r="AD2538" t="s">
        <v>794</v>
      </c>
      <c r="AE2538" t="s">
        <v>795</v>
      </c>
      <c r="AF2538" t="s">
        <v>796</v>
      </c>
      <c r="AG2538" t="s">
        <v>797</v>
      </c>
      <c r="AH2538">
        <v>24000</v>
      </c>
      <c r="AI2538">
        <v>25358</v>
      </c>
      <c r="AJ2538">
        <v>2.5518031998336224E-3</v>
      </c>
    </row>
    <row r="2539" spans="1:36" x14ac:dyDescent="0.3">
      <c r="A2539">
        <f>COUNTIF($D$2:D2539,D2539)</f>
        <v>10</v>
      </c>
      <c r="B2539" t="str">
        <f t="shared" si="157"/>
        <v>10West Berkshire</v>
      </c>
      <c r="C2539" t="s">
        <v>6888</v>
      </c>
      <c r="D2539" t="s">
        <v>343</v>
      </c>
      <c r="E2539">
        <v>7</v>
      </c>
      <c r="F2539" t="s">
        <v>6889</v>
      </c>
      <c r="G2539" t="s">
        <v>806</v>
      </c>
      <c r="H2539" t="s">
        <v>807</v>
      </c>
      <c r="I2539" t="s">
        <v>808</v>
      </c>
      <c r="J2539">
        <f t="shared" ca="1" si="158"/>
        <v>125746</v>
      </c>
      <c r="K2539">
        <f t="shared" ca="1" si="159"/>
        <v>23.7</v>
      </c>
      <c r="N2539" t="str">
        <f t="shared" si="156"/>
        <v>Surrey172NEHF 14 - Community EquipmentAssistive Technologies and EquipmentCommunity based equipment</v>
      </c>
      <c r="O2539" t="s">
        <v>313</v>
      </c>
      <c r="P2539" t="s">
        <v>1437</v>
      </c>
      <c r="Q2539">
        <v>172</v>
      </c>
      <c r="R2539" t="s">
        <v>6379</v>
      </c>
      <c r="S2539" t="s">
        <v>1881</v>
      </c>
      <c r="T2539" t="s">
        <v>800</v>
      </c>
      <c r="U2539" t="s">
        <v>903</v>
      </c>
      <c r="W2539">
        <v>738</v>
      </c>
      <c r="X2539">
        <v>743</v>
      </c>
      <c r="Y2539" t="s">
        <v>802</v>
      </c>
      <c r="Z2539" t="s">
        <v>792</v>
      </c>
      <c r="AB2539" t="s">
        <v>1739</v>
      </c>
      <c r="AC2539">
        <v>0.5</v>
      </c>
      <c r="AD2539">
        <v>0.5</v>
      </c>
      <c r="AE2539" t="s">
        <v>804</v>
      </c>
      <c r="AF2539" t="s">
        <v>796</v>
      </c>
      <c r="AG2539" t="s">
        <v>797</v>
      </c>
      <c r="AH2539">
        <v>216817</v>
      </c>
      <c r="AI2539">
        <v>229089</v>
      </c>
      <c r="AJ2539">
        <v>2.3053096432430271E-2</v>
      </c>
    </row>
    <row r="2540" spans="1:36" x14ac:dyDescent="0.3">
      <c r="A2540">
        <f>COUNTIF($D$2:D2540,D2540)</f>
        <v>11</v>
      </c>
      <c r="B2540" t="str">
        <f t="shared" si="157"/>
        <v>11West Berkshire</v>
      </c>
      <c r="C2540" t="s">
        <v>6890</v>
      </c>
      <c r="D2540" t="s">
        <v>343</v>
      </c>
      <c r="E2540">
        <v>71</v>
      </c>
      <c r="F2540" t="s">
        <v>6889</v>
      </c>
      <c r="G2540" t="s">
        <v>806</v>
      </c>
      <c r="H2540" t="s">
        <v>873</v>
      </c>
      <c r="I2540" t="s">
        <v>808</v>
      </c>
      <c r="J2540">
        <f t="shared" ca="1" si="158"/>
        <v>254344</v>
      </c>
      <c r="K2540">
        <f t="shared" ca="1" si="159"/>
        <v>2.6</v>
      </c>
      <c r="N2540" t="str">
        <f t="shared" si="156"/>
        <v>Surrey174NEHF 16 - Disabled Facilities GrantDFG Related SchemesAdaptations, including statutory DFG grants</v>
      </c>
      <c r="O2540" t="s">
        <v>313</v>
      </c>
      <c r="P2540" t="s">
        <v>1437</v>
      </c>
      <c r="Q2540">
        <v>174</v>
      </c>
      <c r="R2540" t="s">
        <v>6381</v>
      </c>
      <c r="S2540" t="s">
        <v>6811</v>
      </c>
      <c r="T2540" t="s">
        <v>834</v>
      </c>
      <c r="U2540" t="s">
        <v>835</v>
      </c>
      <c r="W2540">
        <v>50</v>
      </c>
      <c r="X2540">
        <v>50</v>
      </c>
      <c r="Y2540" t="s">
        <v>836</v>
      </c>
      <c r="Z2540" t="s">
        <v>792</v>
      </c>
      <c r="AB2540" t="s">
        <v>793</v>
      </c>
      <c r="AD2540" t="s">
        <v>794</v>
      </c>
      <c r="AE2540" t="s">
        <v>795</v>
      </c>
      <c r="AF2540" t="s">
        <v>840</v>
      </c>
      <c r="AG2540" t="s">
        <v>797</v>
      </c>
      <c r="AH2540">
        <v>282969</v>
      </c>
      <c r="AI2540">
        <v>282969</v>
      </c>
      <c r="AJ2540">
        <v>2.7862668667615807E-2</v>
      </c>
    </row>
    <row r="2541" spans="1:36" x14ac:dyDescent="0.3">
      <c r="A2541">
        <f>COUNTIF($D$2:D2541,D2541)</f>
        <v>12</v>
      </c>
      <c r="B2541" t="str">
        <f t="shared" si="157"/>
        <v>12West Berkshire</v>
      </c>
      <c r="C2541" t="s">
        <v>6891</v>
      </c>
      <c r="D2541" t="s">
        <v>343</v>
      </c>
      <c r="E2541">
        <v>8</v>
      </c>
      <c r="F2541" t="s">
        <v>6892</v>
      </c>
      <c r="G2541" t="s">
        <v>842</v>
      </c>
      <c r="H2541" t="s">
        <v>856</v>
      </c>
      <c r="I2541" t="s">
        <v>844</v>
      </c>
      <c r="J2541">
        <f t="shared" ca="1" si="158"/>
        <v>187489</v>
      </c>
      <c r="K2541">
        <f t="shared" ca="1" si="159"/>
        <v>8151</v>
      </c>
      <c r="N2541" t="str">
        <f t="shared" si="156"/>
        <v>Surrey181EB 2 - Carers FundingCarers ServicesRespite services</v>
      </c>
      <c r="O2541" t="s">
        <v>313</v>
      </c>
      <c r="P2541" t="s">
        <v>1437</v>
      </c>
      <c r="Q2541">
        <v>181</v>
      </c>
      <c r="R2541" t="s">
        <v>6384</v>
      </c>
      <c r="S2541" t="s">
        <v>6801</v>
      </c>
      <c r="T2541" t="s">
        <v>811</v>
      </c>
      <c r="U2541" t="s">
        <v>830</v>
      </c>
      <c r="W2541">
        <v>33</v>
      </c>
      <c r="X2541">
        <v>33</v>
      </c>
      <c r="Y2541" t="s">
        <v>813</v>
      </c>
      <c r="Z2541" t="s">
        <v>792</v>
      </c>
      <c r="AB2541" t="s">
        <v>793</v>
      </c>
      <c r="AD2541" t="s">
        <v>794</v>
      </c>
      <c r="AE2541" t="s">
        <v>795</v>
      </c>
      <c r="AF2541" t="s">
        <v>796</v>
      </c>
      <c r="AG2541" t="s">
        <v>797</v>
      </c>
      <c r="AH2541">
        <v>25000</v>
      </c>
      <c r="AI2541">
        <v>25000</v>
      </c>
      <c r="AJ2541">
        <v>2.4278635606716789E-3</v>
      </c>
    </row>
    <row r="2542" spans="1:36" x14ac:dyDescent="0.3">
      <c r="A2542">
        <f>COUNTIF($D$2:D2542,D2542)</f>
        <v>13</v>
      </c>
      <c r="B2542" t="str">
        <f t="shared" si="157"/>
        <v>13West Berkshire</v>
      </c>
      <c r="C2542" t="s">
        <v>6893</v>
      </c>
      <c r="D2542" t="s">
        <v>343</v>
      </c>
      <c r="E2542">
        <v>81</v>
      </c>
      <c r="F2542" t="s">
        <v>6892</v>
      </c>
      <c r="G2542" t="s">
        <v>842</v>
      </c>
      <c r="H2542" t="s">
        <v>856</v>
      </c>
      <c r="I2542" t="s">
        <v>844</v>
      </c>
      <c r="J2542">
        <f t="shared" ca="1" si="158"/>
        <v>264931</v>
      </c>
      <c r="K2542">
        <f t="shared" ca="1" si="159"/>
        <v>11518</v>
      </c>
      <c r="N2542" t="str">
        <f t="shared" si="156"/>
        <v>Surrey190EB 11 - TECSAssistive Technologies and EquipmentAssistive technologies including telecare</v>
      </c>
      <c r="O2542" t="s">
        <v>313</v>
      </c>
      <c r="P2542" t="s">
        <v>1437</v>
      </c>
      <c r="Q2542">
        <v>190</v>
      </c>
      <c r="R2542" t="s">
        <v>6386</v>
      </c>
      <c r="S2542" t="s">
        <v>6808</v>
      </c>
      <c r="T2542" t="s">
        <v>800</v>
      </c>
      <c r="U2542" t="s">
        <v>850</v>
      </c>
      <c r="W2542">
        <v>5</v>
      </c>
      <c r="X2542">
        <v>5</v>
      </c>
      <c r="Y2542" t="s">
        <v>802</v>
      </c>
      <c r="Z2542" t="s">
        <v>792</v>
      </c>
      <c r="AB2542" t="s">
        <v>793</v>
      </c>
      <c r="AD2542" t="s">
        <v>794</v>
      </c>
      <c r="AE2542" t="s">
        <v>795</v>
      </c>
      <c r="AF2542" t="s">
        <v>796</v>
      </c>
      <c r="AG2542" t="s">
        <v>797</v>
      </c>
      <c r="AH2542">
        <v>8000</v>
      </c>
      <c r="AI2542">
        <v>8453</v>
      </c>
      <c r="AJ2542">
        <v>8.5060106661120753E-4</v>
      </c>
    </row>
    <row r="2543" spans="1:36" x14ac:dyDescent="0.3">
      <c r="A2543">
        <f>COUNTIF($D$2:D2543,D2543)</f>
        <v>14</v>
      </c>
      <c r="B2543" t="str">
        <f t="shared" si="157"/>
        <v>14West Berkshire</v>
      </c>
      <c r="C2543" t="s">
        <v>6894</v>
      </c>
      <c r="D2543" t="s">
        <v>343</v>
      </c>
      <c r="E2543">
        <v>82</v>
      </c>
      <c r="F2543" t="s">
        <v>6892</v>
      </c>
      <c r="G2543" t="s">
        <v>842</v>
      </c>
      <c r="H2543" t="s">
        <v>856</v>
      </c>
      <c r="I2543" t="s">
        <v>844</v>
      </c>
      <c r="J2543">
        <f t="shared" ca="1" si="158"/>
        <v>217199</v>
      </c>
      <c r="K2543">
        <f t="shared" ca="1" si="159"/>
        <v>9443</v>
      </c>
      <c r="N2543" t="str">
        <f t="shared" si="156"/>
        <v>Surrey195EB 15 - Community EquipmentAssistive Technologies and EquipmentCommunity based equipment</v>
      </c>
      <c r="O2543" t="s">
        <v>313</v>
      </c>
      <c r="P2543" t="s">
        <v>1437</v>
      </c>
      <c r="Q2543">
        <v>195</v>
      </c>
      <c r="R2543" t="s">
        <v>6388</v>
      </c>
      <c r="S2543" t="s">
        <v>1881</v>
      </c>
      <c r="T2543" t="s">
        <v>800</v>
      </c>
      <c r="U2543" t="s">
        <v>903</v>
      </c>
      <c r="W2543">
        <v>178</v>
      </c>
      <c r="X2543">
        <v>179</v>
      </c>
      <c r="Y2543" t="s">
        <v>802</v>
      </c>
      <c r="Z2543" t="s">
        <v>792</v>
      </c>
      <c r="AB2543" t="s">
        <v>1739</v>
      </c>
      <c r="AC2543">
        <v>0.5</v>
      </c>
      <c r="AD2543">
        <v>0.5</v>
      </c>
      <c r="AE2543" t="s">
        <v>804</v>
      </c>
      <c r="AF2543" t="s">
        <v>796</v>
      </c>
      <c r="AG2543" t="s">
        <v>797</v>
      </c>
      <c r="AH2543">
        <v>52378</v>
      </c>
      <c r="AI2543">
        <v>55343</v>
      </c>
      <c r="AJ2543">
        <v>5.5690978333702281E-3</v>
      </c>
    </row>
    <row r="2544" spans="1:36" x14ac:dyDescent="0.3">
      <c r="A2544">
        <f>COUNTIF($D$2:D2544,D2544)</f>
        <v>15</v>
      </c>
      <c r="B2544" t="str">
        <f t="shared" si="157"/>
        <v>15West Berkshire</v>
      </c>
      <c r="C2544" t="s">
        <v>6895</v>
      </c>
      <c r="D2544" t="s">
        <v>343</v>
      </c>
      <c r="E2544">
        <v>83</v>
      </c>
      <c r="F2544" t="s">
        <v>6892</v>
      </c>
      <c r="G2544" t="s">
        <v>842</v>
      </c>
      <c r="H2544" t="s">
        <v>856</v>
      </c>
      <c r="I2544" t="s">
        <v>844</v>
      </c>
      <c r="J2544">
        <f t="shared" ca="1" si="158"/>
        <v>220600</v>
      </c>
      <c r="K2544">
        <f t="shared" ca="1" si="159"/>
        <v>9591</v>
      </c>
      <c r="N2544" t="str">
        <f t="shared" si="156"/>
        <v>Surrey197EB 17 - Disabled Facilities GrantDFG Related SchemesAdaptations, including statutory DFG grants</v>
      </c>
      <c r="O2544" t="s">
        <v>313</v>
      </c>
      <c r="P2544" t="s">
        <v>1437</v>
      </c>
      <c r="Q2544">
        <v>197</v>
      </c>
      <c r="R2544" t="s">
        <v>6390</v>
      </c>
      <c r="S2544" t="s">
        <v>6811</v>
      </c>
      <c r="T2544" t="s">
        <v>834</v>
      </c>
      <c r="U2544" t="s">
        <v>835</v>
      </c>
      <c r="W2544">
        <v>15</v>
      </c>
      <c r="X2544">
        <v>15</v>
      </c>
      <c r="Y2544" t="s">
        <v>836</v>
      </c>
      <c r="Z2544" t="s">
        <v>792</v>
      </c>
      <c r="AB2544" t="s">
        <v>793</v>
      </c>
      <c r="AD2544" t="s">
        <v>794</v>
      </c>
      <c r="AE2544" t="s">
        <v>795</v>
      </c>
      <c r="AF2544" t="s">
        <v>840</v>
      </c>
      <c r="AG2544" t="s">
        <v>797</v>
      </c>
      <c r="AH2544">
        <v>82287</v>
      </c>
      <c r="AI2544">
        <v>82287</v>
      </c>
      <c r="AJ2544">
        <v>8.1024261196530438E-3</v>
      </c>
    </row>
    <row r="2545" spans="1:36" x14ac:dyDescent="0.3">
      <c r="A2545">
        <f>COUNTIF($D$2:D2545,D2545)</f>
        <v>16</v>
      </c>
      <c r="B2545" t="str">
        <f t="shared" si="157"/>
        <v>16West Berkshire</v>
      </c>
      <c r="C2545" t="s">
        <v>6896</v>
      </c>
      <c r="D2545" t="s">
        <v>343</v>
      </c>
      <c r="E2545">
        <v>84</v>
      </c>
      <c r="F2545" t="s">
        <v>6892</v>
      </c>
      <c r="G2545" t="s">
        <v>842</v>
      </c>
      <c r="H2545" t="s">
        <v>856</v>
      </c>
      <c r="I2545" t="s">
        <v>844</v>
      </c>
      <c r="J2545">
        <f t="shared" ca="1" si="158"/>
        <v>548658</v>
      </c>
      <c r="K2545">
        <f t="shared" ca="1" si="159"/>
        <v>23854</v>
      </c>
      <c r="N2545" t="str">
        <f t="shared" si="156"/>
        <v>Surrey203CW 3 - Protection of Carers ServiceCarers ServicesRespite services</v>
      </c>
      <c r="O2545" t="s">
        <v>313</v>
      </c>
      <c r="P2545" t="s">
        <v>1437</v>
      </c>
      <c r="Q2545">
        <v>203</v>
      </c>
      <c r="R2545" t="s">
        <v>6393</v>
      </c>
      <c r="S2545" t="s">
        <v>6897</v>
      </c>
      <c r="T2545" t="s">
        <v>811</v>
      </c>
      <c r="U2545" t="s">
        <v>830</v>
      </c>
      <c r="W2545">
        <v>10302</v>
      </c>
      <c r="X2545">
        <v>10302</v>
      </c>
      <c r="Y2545" t="s">
        <v>813</v>
      </c>
      <c r="Z2545" t="s">
        <v>792</v>
      </c>
      <c r="AB2545" t="s">
        <v>793</v>
      </c>
      <c r="AD2545" t="s">
        <v>794</v>
      </c>
      <c r="AE2545" t="s">
        <v>795</v>
      </c>
      <c r="AF2545" t="s">
        <v>796</v>
      </c>
      <c r="AG2545" t="s">
        <v>797</v>
      </c>
      <c r="AH2545">
        <v>7791119</v>
      </c>
      <c r="AI2545">
        <v>8232096</v>
      </c>
      <c r="AJ2545">
        <v>0.75663095667827085</v>
      </c>
    </row>
    <row r="2546" spans="1:36" x14ac:dyDescent="0.3">
      <c r="A2546">
        <f>COUNTIF($D$2:D2546,D2546)</f>
        <v>17</v>
      </c>
      <c r="B2546" t="str">
        <f t="shared" si="157"/>
        <v>17West Berkshire</v>
      </c>
      <c r="C2546" t="s">
        <v>6898</v>
      </c>
      <c r="D2546" t="s">
        <v>343</v>
      </c>
      <c r="E2546">
        <v>9</v>
      </c>
      <c r="F2546" t="s">
        <v>840</v>
      </c>
      <c r="G2546" t="s">
        <v>834</v>
      </c>
      <c r="H2546" t="s">
        <v>835</v>
      </c>
      <c r="I2546" t="s">
        <v>836</v>
      </c>
      <c r="J2546">
        <f t="shared" ca="1" si="158"/>
        <v>2065205</v>
      </c>
      <c r="K2546">
        <f t="shared" ca="1" si="159"/>
        <v>325</v>
      </c>
      <c r="N2546" t="str">
        <f t="shared" si="156"/>
        <v>Surrey204CW 4 -  Protection of Community Equipment Assistive Technologies and EquipmentCommunity based equipment</v>
      </c>
      <c r="O2546" t="s">
        <v>313</v>
      </c>
      <c r="P2546" t="s">
        <v>1437</v>
      </c>
      <c r="Q2546">
        <v>204</v>
      </c>
      <c r="R2546" t="s">
        <v>6396</v>
      </c>
      <c r="S2546" t="s">
        <v>6899</v>
      </c>
      <c r="T2546" t="s">
        <v>800</v>
      </c>
      <c r="U2546" t="s">
        <v>903</v>
      </c>
      <c r="W2546">
        <v>7147</v>
      </c>
      <c r="X2546">
        <v>7192</v>
      </c>
      <c r="Y2546" t="s">
        <v>802</v>
      </c>
      <c r="Z2546" t="s">
        <v>792</v>
      </c>
      <c r="AB2546" t="s">
        <v>793</v>
      </c>
      <c r="AD2546" t="s">
        <v>794</v>
      </c>
      <c r="AE2546" t="s">
        <v>795</v>
      </c>
      <c r="AF2546" t="s">
        <v>796</v>
      </c>
      <c r="AG2546" t="s">
        <v>797</v>
      </c>
      <c r="AH2546">
        <v>2100000</v>
      </c>
      <c r="AI2546">
        <v>2218860</v>
      </c>
      <c r="AJ2546">
        <v>0.22328277998544196</v>
      </c>
    </row>
    <row r="2547" spans="1:36" x14ac:dyDescent="0.3">
      <c r="A2547">
        <f>COUNTIF($D$2:D2547,D2547)</f>
        <v>18</v>
      </c>
      <c r="B2547" t="str">
        <f t="shared" si="157"/>
        <v>18West Berkshire</v>
      </c>
      <c r="C2547" t="s">
        <v>6900</v>
      </c>
      <c r="D2547" t="s">
        <v>343</v>
      </c>
      <c r="E2547">
        <v>17</v>
      </c>
      <c r="F2547" t="s">
        <v>6901</v>
      </c>
      <c r="G2547" t="s">
        <v>842</v>
      </c>
      <c r="H2547" t="s">
        <v>856</v>
      </c>
      <c r="I2547" t="s">
        <v>844</v>
      </c>
      <c r="J2547">
        <f t="shared" ca="1" si="158"/>
        <v>1022682</v>
      </c>
      <c r="K2547">
        <f t="shared" ca="1" si="159"/>
        <v>888</v>
      </c>
      <c r="N2547" t="str">
        <f t="shared" si="156"/>
        <v>Surrey207CW 7 - Protection of OP HBCHome Care or Domiciliary CareDomiciliary care packages</v>
      </c>
      <c r="O2547" t="s">
        <v>313</v>
      </c>
      <c r="P2547" t="s">
        <v>1437</v>
      </c>
      <c r="Q2547">
        <v>207</v>
      </c>
      <c r="R2547" t="s">
        <v>6399</v>
      </c>
      <c r="S2547" t="s">
        <v>6902</v>
      </c>
      <c r="T2547" t="s">
        <v>842</v>
      </c>
      <c r="U2547" t="s">
        <v>843</v>
      </c>
      <c r="W2547">
        <v>463598</v>
      </c>
      <c r="X2547">
        <v>504588</v>
      </c>
      <c r="Y2547" t="s">
        <v>844</v>
      </c>
      <c r="Z2547" t="s">
        <v>792</v>
      </c>
      <c r="AB2547" t="s">
        <v>793</v>
      </c>
      <c r="AD2547" t="s">
        <v>794</v>
      </c>
      <c r="AE2547" t="s">
        <v>795</v>
      </c>
      <c r="AF2547" t="s">
        <v>796</v>
      </c>
      <c r="AG2547" t="s">
        <v>797</v>
      </c>
      <c r="AH2547">
        <v>11121707</v>
      </c>
      <c r="AI2547">
        <v>12105061</v>
      </c>
      <c r="AJ2547">
        <v>8.4403336850358182E-2</v>
      </c>
    </row>
    <row r="2548" spans="1:36" x14ac:dyDescent="0.3">
      <c r="A2548">
        <f>COUNTIF($D$2:D2548,D2548)</f>
        <v>19</v>
      </c>
      <c r="B2548" t="str">
        <f t="shared" si="157"/>
        <v>19West Berkshire</v>
      </c>
      <c r="C2548" t="s">
        <v>6903</v>
      </c>
      <c r="D2548" t="s">
        <v>343</v>
      </c>
      <c r="E2548">
        <v>29</v>
      </c>
      <c r="F2548" t="s">
        <v>6904</v>
      </c>
      <c r="G2548" t="s">
        <v>842</v>
      </c>
      <c r="H2548" t="s">
        <v>856</v>
      </c>
      <c r="I2548" t="s">
        <v>844</v>
      </c>
      <c r="J2548">
        <f t="shared" ca="1" si="158"/>
        <v>616231</v>
      </c>
      <c r="K2548">
        <f t="shared" ca="1" si="159"/>
        <v>108</v>
      </c>
      <c r="N2548" t="str">
        <f t="shared" si="156"/>
        <v>Sutton4Intermediate Care BedsBed based intermediate Care Services (Reablement, rehabilitation, wider short-term services supporting recovery)Bed-based intermediate care with rehabilitation accepting step up and step down users</v>
      </c>
      <c r="O2548" t="s">
        <v>315</v>
      </c>
      <c r="P2548" t="s">
        <v>790</v>
      </c>
      <c r="Q2548">
        <v>4</v>
      </c>
      <c r="R2548" t="s">
        <v>1183</v>
      </c>
      <c r="S2548" t="s">
        <v>6905</v>
      </c>
      <c r="T2548" t="s">
        <v>877</v>
      </c>
      <c r="U2548" t="s">
        <v>1015</v>
      </c>
      <c r="W2548">
        <v>168</v>
      </c>
      <c r="X2548">
        <v>168</v>
      </c>
      <c r="Y2548" t="s">
        <v>879</v>
      </c>
      <c r="Z2548" t="s">
        <v>823</v>
      </c>
      <c r="AB2548" t="s">
        <v>824</v>
      </c>
      <c r="AD2548" t="s">
        <v>794</v>
      </c>
      <c r="AE2548" t="s">
        <v>1119</v>
      </c>
      <c r="AF2548" t="s">
        <v>796</v>
      </c>
      <c r="AG2548" t="s">
        <v>797</v>
      </c>
      <c r="AH2548">
        <v>590000</v>
      </c>
      <c r="AI2548">
        <v>607000</v>
      </c>
      <c r="AJ2548">
        <v>1</v>
      </c>
    </row>
    <row r="2549" spans="1:36" x14ac:dyDescent="0.3">
      <c r="A2549">
        <f>COUNTIF($D$2:D2549,D2549)</f>
        <v>20</v>
      </c>
      <c r="B2549" t="str">
        <f t="shared" si="157"/>
        <v>20West Berkshire</v>
      </c>
      <c r="C2549" t="s">
        <v>6906</v>
      </c>
      <c r="D2549" t="s">
        <v>343</v>
      </c>
      <c r="E2549">
        <v>31</v>
      </c>
      <c r="F2549" t="s">
        <v>6907</v>
      </c>
      <c r="G2549" t="s">
        <v>787</v>
      </c>
      <c r="H2549" t="s">
        <v>1195</v>
      </c>
      <c r="I2549" t="s">
        <v>789</v>
      </c>
      <c r="J2549">
        <f t="shared" ca="1" si="158"/>
        <v>852235</v>
      </c>
      <c r="K2549">
        <f t="shared" ca="1" si="159"/>
        <v>181</v>
      </c>
      <c r="N2549" t="str">
        <f t="shared" si="156"/>
        <v>Sutton7Dymond House Reablement ServiceBed based intermediate Care Services (Reablement, rehabilitation, wider short-term services supporting recovery)Bed-based intermediate care with rehabilitation (to support discharge)</v>
      </c>
      <c r="O2549" t="s">
        <v>315</v>
      </c>
      <c r="P2549" t="s">
        <v>790</v>
      </c>
      <c r="Q2549">
        <v>7</v>
      </c>
      <c r="R2549" t="s">
        <v>6402</v>
      </c>
      <c r="S2549" t="s">
        <v>6908</v>
      </c>
      <c r="T2549" t="s">
        <v>877</v>
      </c>
      <c r="U2549" t="s">
        <v>968</v>
      </c>
      <c r="W2549">
        <v>72</v>
      </c>
      <c r="X2549">
        <v>72</v>
      </c>
      <c r="Y2549" t="s">
        <v>879</v>
      </c>
      <c r="Z2549" t="s">
        <v>792</v>
      </c>
      <c r="AB2549" t="s">
        <v>824</v>
      </c>
      <c r="AD2549" t="s">
        <v>794</v>
      </c>
      <c r="AE2549" t="s">
        <v>804</v>
      </c>
      <c r="AF2549" t="s">
        <v>796</v>
      </c>
      <c r="AG2549" t="s">
        <v>797</v>
      </c>
      <c r="AH2549">
        <v>486000</v>
      </c>
      <c r="AI2549">
        <v>500000</v>
      </c>
      <c r="AJ2549">
        <v>1</v>
      </c>
    </row>
    <row r="2550" spans="1:36" x14ac:dyDescent="0.3">
      <c r="A2550">
        <f>COUNTIF($D$2:D2550,D2550)</f>
        <v>1</v>
      </c>
      <c r="B2550" t="str">
        <f t="shared" si="157"/>
        <v>1West Northamptonshire</v>
      </c>
      <c r="C2550" t="s">
        <v>6909</v>
      </c>
      <c r="D2550" t="s">
        <v>345</v>
      </c>
      <c r="E2550">
        <v>12</v>
      </c>
      <c r="F2550" t="s">
        <v>6910</v>
      </c>
      <c r="G2550" t="s">
        <v>787</v>
      </c>
      <c r="H2550" t="s">
        <v>1011</v>
      </c>
      <c r="I2550" t="s">
        <v>789</v>
      </c>
      <c r="J2550">
        <f t="shared" ca="1" si="158"/>
        <v>2204922</v>
      </c>
      <c r="K2550">
        <f t="shared" ca="1" si="159"/>
        <v>537</v>
      </c>
      <c r="N2550" t="str">
        <f t="shared" si="156"/>
        <v>Sutton8Homecare CostsHome Care or Domiciliary CareDomiciliary care packages</v>
      </c>
      <c r="O2550" t="s">
        <v>315</v>
      </c>
      <c r="P2550" t="s">
        <v>790</v>
      </c>
      <c r="Q2550">
        <v>8</v>
      </c>
      <c r="R2550" t="s">
        <v>6404</v>
      </c>
      <c r="S2550" t="s">
        <v>6911</v>
      </c>
      <c r="T2550" t="s">
        <v>842</v>
      </c>
      <c r="U2550" t="s">
        <v>843</v>
      </c>
      <c r="W2550">
        <v>85671</v>
      </c>
      <c r="X2550">
        <v>85671</v>
      </c>
      <c r="Y2550" t="s">
        <v>844</v>
      </c>
      <c r="Z2550" t="s">
        <v>792</v>
      </c>
      <c r="AB2550" t="s">
        <v>793</v>
      </c>
      <c r="AD2550" t="s">
        <v>794</v>
      </c>
      <c r="AE2550" t="s">
        <v>795</v>
      </c>
      <c r="AF2550" t="s">
        <v>845</v>
      </c>
      <c r="AG2550" t="s">
        <v>797</v>
      </c>
      <c r="AH2550">
        <v>2351407</v>
      </c>
      <c r="AI2550">
        <v>2351407</v>
      </c>
      <c r="AJ2550">
        <v>0.1</v>
      </c>
    </row>
    <row r="2551" spans="1:36" x14ac:dyDescent="0.3">
      <c r="A2551">
        <f>COUNTIF($D$2:D2551,D2551)</f>
        <v>2</v>
      </c>
      <c r="B2551" t="str">
        <f t="shared" si="157"/>
        <v>2West Northamptonshire</v>
      </c>
      <c r="C2551" t="s">
        <v>6912</v>
      </c>
      <c r="D2551" t="s">
        <v>345</v>
      </c>
      <c r="E2551">
        <v>11</v>
      </c>
      <c r="F2551" t="s">
        <v>6913</v>
      </c>
      <c r="G2551" t="s">
        <v>877</v>
      </c>
      <c r="H2551" t="s">
        <v>878</v>
      </c>
      <c r="I2551" t="s">
        <v>879</v>
      </c>
      <c r="J2551">
        <f t="shared" ca="1" si="158"/>
        <v>3100000</v>
      </c>
      <c r="K2551">
        <f t="shared" ca="1" si="159"/>
        <v>164</v>
      </c>
      <c r="N2551" t="str">
        <f t="shared" si="156"/>
        <v>Sutton11Winter Pressures AllocationHome Care or Domiciliary CareDomiciliary care packages</v>
      </c>
      <c r="O2551" t="s">
        <v>315</v>
      </c>
      <c r="P2551" t="s">
        <v>790</v>
      </c>
      <c r="Q2551">
        <v>11</v>
      </c>
      <c r="R2551" t="s">
        <v>6407</v>
      </c>
      <c r="S2551" t="s">
        <v>6914</v>
      </c>
      <c r="T2551" t="s">
        <v>842</v>
      </c>
      <c r="U2551" t="s">
        <v>843</v>
      </c>
      <c r="W2551">
        <v>27668</v>
      </c>
      <c r="X2551">
        <v>27668</v>
      </c>
      <c r="Y2551" t="s">
        <v>844</v>
      </c>
      <c r="Z2551" t="s">
        <v>792</v>
      </c>
      <c r="AB2551" t="s">
        <v>793</v>
      </c>
      <c r="AD2551" t="s">
        <v>794</v>
      </c>
      <c r="AE2551" t="s">
        <v>795</v>
      </c>
      <c r="AF2551" t="s">
        <v>845</v>
      </c>
      <c r="AG2551" t="s">
        <v>797</v>
      </c>
      <c r="AH2551">
        <v>759416</v>
      </c>
      <c r="AI2551">
        <v>759416</v>
      </c>
      <c r="AJ2551">
        <v>1</v>
      </c>
    </row>
    <row r="2552" spans="1:36" x14ac:dyDescent="0.3">
      <c r="A2552">
        <f>COUNTIF($D$2:D2552,D2552)</f>
        <v>3</v>
      </c>
      <c r="B2552" t="str">
        <f t="shared" si="157"/>
        <v>3West Northamptonshire</v>
      </c>
      <c r="C2552" t="s">
        <v>6915</v>
      </c>
      <c r="D2552" t="s">
        <v>345</v>
      </c>
      <c r="E2552">
        <v>1</v>
      </c>
      <c r="F2552" t="s">
        <v>4586</v>
      </c>
      <c r="G2552" t="s">
        <v>800</v>
      </c>
      <c r="H2552" t="s">
        <v>850</v>
      </c>
      <c r="I2552" t="s">
        <v>802</v>
      </c>
      <c r="J2552">
        <f t="shared" ca="1" si="158"/>
        <v>448000</v>
      </c>
      <c r="K2552">
        <f t="shared" ca="1" si="159"/>
        <v>3000</v>
      </c>
      <c r="N2552" t="str">
        <f t="shared" si="156"/>
        <v>Sutton18Community Equipment ServicesAssistive Technologies and EquipmentCommunity based equipment</v>
      </c>
      <c r="O2552" t="s">
        <v>315</v>
      </c>
      <c r="P2552" t="s">
        <v>790</v>
      </c>
      <c r="Q2552">
        <v>18</v>
      </c>
      <c r="R2552" t="s">
        <v>3489</v>
      </c>
      <c r="S2552" t="s">
        <v>6916</v>
      </c>
      <c r="T2552" t="s">
        <v>800</v>
      </c>
      <c r="U2552" t="s">
        <v>903</v>
      </c>
      <c r="W2552">
        <v>1108</v>
      </c>
      <c r="X2552">
        <v>1108</v>
      </c>
      <c r="Y2552" t="s">
        <v>802</v>
      </c>
      <c r="Z2552" t="s">
        <v>792</v>
      </c>
      <c r="AB2552" t="s">
        <v>1739</v>
      </c>
      <c r="AC2552">
        <v>0.6</v>
      </c>
      <c r="AD2552">
        <v>0.4</v>
      </c>
      <c r="AE2552" t="s">
        <v>804</v>
      </c>
      <c r="AF2552" t="s">
        <v>1029</v>
      </c>
      <c r="AG2552" t="s">
        <v>797</v>
      </c>
      <c r="AH2552">
        <v>655000</v>
      </c>
      <c r="AI2552">
        <v>655000</v>
      </c>
      <c r="AJ2552">
        <v>1</v>
      </c>
    </row>
    <row r="2553" spans="1:36" x14ac:dyDescent="0.3">
      <c r="A2553">
        <f>COUNTIF($D$2:D2553,D2553)</f>
        <v>4</v>
      </c>
      <c r="B2553" t="str">
        <f t="shared" si="157"/>
        <v>4West Northamptonshire</v>
      </c>
      <c r="C2553" t="s">
        <v>6917</v>
      </c>
      <c r="D2553" t="s">
        <v>345</v>
      </c>
      <c r="E2553">
        <v>17</v>
      </c>
      <c r="F2553" t="s">
        <v>6918</v>
      </c>
      <c r="G2553" t="s">
        <v>806</v>
      </c>
      <c r="H2553" t="s">
        <v>807</v>
      </c>
      <c r="I2553" t="s">
        <v>808</v>
      </c>
      <c r="J2553">
        <f t="shared" ca="1" si="158"/>
        <v>5065165</v>
      </c>
      <c r="K2553">
        <f t="shared" ca="1" si="159"/>
        <v>113</v>
      </c>
      <c r="N2553" t="str">
        <f t="shared" si="156"/>
        <v>Sutton18Community Equipment ServicesAssistive Technologies and EquipmentCommunity based equipment</v>
      </c>
      <c r="O2553" t="s">
        <v>315</v>
      </c>
      <c r="P2553" t="s">
        <v>790</v>
      </c>
      <c r="Q2553">
        <v>18</v>
      </c>
      <c r="R2553" t="s">
        <v>3489</v>
      </c>
      <c r="S2553" t="s">
        <v>6916</v>
      </c>
      <c r="T2553" t="s">
        <v>800</v>
      </c>
      <c r="U2553" t="s">
        <v>903</v>
      </c>
      <c r="W2553">
        <v>2042</v>
      </c>
      <c r="X2553">
        <v>2042</v>
      </c>
      <c r="Y2553" t="s">
        <v>802</v>
      </c>
      <c r="Z2553" t="s">
        <v>792</v>
      </c>
      <c r="AB2553" t="s">
        <v>1739</v>
      </c>
      <c r="AC2553">
        <v>0.6</v>
      </c>
      <c r="AD2553">
        <v>0.4</v>
      </c>
      <c r="AE2553" t="s">
        <v>804</v>
      </c>
      <c r="AF2553" t="s">
        <v>796</v>
      </c>
      <c r="AG2553" t="s">
        <v>797</v>
      </c>
      <c r="AH2553">
        <v>1256000</v>
      </c>
      <c r="AI2553">
        <v>1298000</v>
      </c>
      <c r="AJ2553">
        <v>1</v>
      </c>
    </row>
    <row r="2554" spans="1:36" x14ac:dyDescent="0.3">
      <c r="A2554">
        <f>COUNTIF($D$2:D2554,D2554)</f>
        <v>5</v>
      </c>
      <c r="B2554" t="str">
        <f t="shared" si="157"/>
        <v>5West Northamptonshire</v>
      </c>
      <c r="C2554" t="s">
        <v>6919</v>
      </c>
      <c r="D2554" t="s">
        <v>345</v>
      </c>
      <c r="E2554">
        <v>8</v>
      </c>
      <c r="F2554" t="s">
        <v>6920</v>
      </c>
      <c r="G2554" t="s">
        <v>842</v>
      </c>
      <c r="H2554" t="s">
        <v>843</v>
      </c>
      <c r="I2554" t="s">
        <v>844</v>
      </c>
      <c r="J2554">
        <f t="shared" ca="1" si="158"/>
        <v>4339868</v>
      </c>
      <c r="K2554">
        <f t="shared" ca="1" si="159"/>
        <v>219000</v>
      </c>
      <c r="N2554" t="str">
        <f t="shared" si="156"/>
        <v>Sutton18Community Equipment ServicesAssistive Technologies and EquipmentCommunity based equipment</v>
      </c>
      <c r="O2554" t="s">
        <v>315</v>
      </c>
      <c r="P2554" t="s">
        <v>790</v>
      </c>
      <c r="Q2554">
        <v>18</v>
      </c>
      <c r="R2554" t="s">
        <v>3489</v>
      </c>
      <c r="S2554" t="s">
        <v>6916</v>
      </c>
      <c r="T2554" t="s">
        <v>800</v>
      </c>
      <c r="U2554" t="s">
        <v>903</v>
      </c>
      <c r="W2554">
        <v>311</v>
      </c>
      <c r="X2554">
        <v>311</v>
      </c>
      <c r="Y2554" t="s">
        <v>802</v>
      </c>
      <c r="Z2554" t="s">
        <v>792</v>
      </c>
      <c r="AB2554" t="s">
        <v>1739</v>
      </c>
      <c r="AC2554">
        <v>0.6</v>
      </c>
      <c r="AD2554">
        <v>0.4</v>
      </c>
      <c r="AE2554" t="s">
        <v>804</v>
      </c>
      <c r="AF2554" t="s">
        <v>840</v>
      </c>
      <c r="AG2554" t="s">
        <v>797</v>
      </c>
      <c r="AH2554">
        <v>200000</v>
      </c>
      <c r="AI2554">
        <v>200000</v>
      </c>
      <c r="AJ2554">
        <v>1</v>
      </c>
    </row>
    <row r="2555" spans="1:36" x14ac:dyDescent="0.3">
      <c r="A2555">
        <f>COUNTIF($D$2:D2555,D2555)</f>
        <v>6</v>
      </c>
      <c r="B2555" t="str">
        <f t="shared" si="157"/>
        <v>6West Northamptonshire</v>
      </c>
      <c r="C2555" t="s">
        <v>6921</v>
      </c>
      <c r="D2555" t="s">
        <v>345</v>
      </c>
      <c r="E2555">
        <v>5</v>
      </c>
      <c r="F2555" t="s">
        <v>1341</v>
      </c>
      <c r="G2555" t="s">
        <v>834</v>
      </c>
      <c r="H2555" t="s">
        <v>835</v>
      </c>
      <c r="I2555" t="s">
        <v>836</v>
      </c>
      <c r="J2555">
        <f t="shared" ca="1" si="158"/>
        <v>2558938</v>
      </c>
      <c r="K2555">
        <f t="shared" ca="1" si="159"/>
        <v>352</v>
      </c>
      <c r="N2555" t="str">
        <f t="shared" si="156"/>
        <v>Sutton19Carer SupportCarers ServicesRespite services</v>
      </c>
      <c r="O2555" t="s">
        <v>315</v>
      </c>
      <c r="P2555" t="s">
        <v>790</v>
      </c>
      <c r="Q2555">
        <v>19</v>
      </c>
      <c r="R2555" t="s">
        <v>2207</v>
      </c>
      <c r="S2555" t="s">
        <v>6922</v>
      </c>
      <c r="T2555" t="s">
        <v>811</v>
      </c>
      <c r="U2555" t="s">
        <v>830</v>
      </c>
      <c r="W2555">
        <v>331</v>
      </c>
      <c r="X2555">
        <v>331</v>
      </c>
      <c r="Y2555" t="s">
        <v>813</v>
      </c>
      <c r="Z2555" t="s">
        <v>792</v>
      </c>
      <c r="AB2555" t="s">
        <v>1739</v>
      </c>
      <c r="AC2555">
        <v>0.53</v>
      </c>
      <c r="AD2555">
        <v>0.47</v>
      </c>
      <c r="AE2555" t="s">
        <v>825</v>
      </c>
      <c r="AF2555" t="s">
        <v>796</v>
      </c>
      <c r="AG2555" t="s">
        <v>797</v>
      </c>
      <c r="AH2555">
        <v>534000</v>
      </c>
      <c r="AI2555">
        <v>549000</v>
      </c>
      <c r="AJ2555">
        <v>1</v>
      </c>
    </row>
    <row r="2556" spans="1:36" x14ac:dyDescent="0.3">
      <c r="A2556">
        <f>COUNTIF($D$2:D2556,D2556)</f>
        <v>7</v>
      </c>
      <c r="B2556" t="str">
        <f t="shared" si="157"/>
        <v>7West Northamptonshire</v>
      </c>
      <c r="C2556" t="s">
        <v>6923</v>
      </c>
      <c r="D2556" t="s">
        <v>345</v>
      </c>
      <c r="E2556">
        <v>3</v>
      </c>
      <c r="F2556" t="s">
        <v>4580</v>
      </c>
      <c r="G2556" t="s">
        <v>811</v>
      </c>
      <c r="H2556" t="s">
        <v>830</v>
      </c>
      <c r="I2556" t="s">
        <v>813</v>
      </c>
      <c r="J2556">
        <f t="shared" ca="1" si="158"/>
        <v>381089</v>
      </c>
      <c r="K2556">
        <f t="shared" ca="1" si="159"/>
        <v>65000</v>
      </c>
      <c r="N2556" t="str">
        <f t="shared" si="156"/>
        <v>Sutton20Carer SupportCarers ServicesCarer advice and support related to Care Act duties</v>
      </c>
      <c r="O2556" t="s">
        <v>315</v>
      </c>
      <c r="P2556" t="s">
        <v>790</v>
      </c>
      <c r="Q2556">
        <v>20</v>
      </c>
      <c r="R2556" t="s">
        <v>2207</v>
      </c>
      <c r="S2556" t="s">
        <v>6924</v>
      </c>
      <c r="T2556" t="s">
        <v>811</v>
      </c>
      <c r="U2556" t="s">
        <v>895</v>
      </c>
      <c r="W2556">
        <v>915</v>
      </c>
      <c r="X2556">
        <v>915</v>
      </c>
      <c r="Y2556" t="s">
        <v>813</v>
      </c>
      <c r="Z2556" t="s">
        <v>792</v>
      </c>
      <c r="AB2556" t="s">
        <v>1739</v>
      </c>
      <c r="AC2556">
        <v>0.53</v>
      </c>
      <c r="AD2556">
        <v>0.47</v>
      </c>
      <c r="AE2556" t="s">
        <v>825</v>
      </c>
      <c r="AF2556" t="s">
        <v>1029</v>
      </c>
      <c r="AG2556" t="s">
        <v>797</v>
      </c>
      <c r="AH2556">
        <v>319000</v>
      </c>
      <c r="AI2556">
        <v>319000</v>
      </c>
      <c r="AJ2556">
        <v>1</v>
      </c>
    </row>
    <row r="2557" spans="1:36" x14ac:dyDescent="0.3">
      <c r="A2557">
        <f>COUNTIF($D$2:D2557,D2557)</f>
        <v>8</v>
      </c>
      <c r="B2557" t="str">
        <f t="shared" si="157"/>
        <v>8West Northamptonshire</v>
      </c>
      <c r="C2557" t="s">
        <v>6925</v>
      </c>
      <c r="D2557" t="s">
        <v>345</v>
      </c>
      <c r="E2557">
        <v>4</v>
      </c>
      <c r="F2557" t="s">
        <v>4588</v>
      </c>
      <c r="G2557" t="s">
        <v>787</v>
      </c>
      <c r="H2557" t="s">
        <v>1195</v>
      </c>
      <c r="I2557" t="s">
        <v>789</v>
      </c>
      <c r="J2557">
        <f t="shared" ca="1" si="158"/>
        <v>5093930</v>
      </c>
      <c r="K2557">
        <f t="shared" ca="1" si="159"/>
        <v>1472</v>
      </c>
      <c r="N2557" t="str">
        <f t="shared" si="156"/>
        <v>Sutton27Disabled Facilities GrantsDFG Related SchemesAdaptations, including statutory DFG grants</v>
      </c>
      <c r="O2557" t="s">
        <v>315</v>
      </c>
      <c r="P2557" t="s">
        <v>790</v>
      </c>
      <c r="Q2557">
        <v>27</v>
      </c>
      <c r="R2557" t="s">
        <v>1341</v>
      </c>
      <c r="S2557" t="s">
        <v>1479</v>
      </c>
      <c r="T2557" t="s">
        <v>834</v>
      </c>
      <c r="U2557" t="s">
        <v>835</v>
      </c>
      <c r="W2557">
        <v>120</v>
      </c>
      <c r="X2557">
        <v>120</v>
      </c>
      <c r="Y2557" t="s">
        <v>836</v>
      </c>
      <c r="Z2557" t="s">
        <v>792</v>
      </c>
      <c r="AB2557" t="s">
        <v>793</v>
      </c>
      <c r="AD2557" t="s">
        <v>794</v>
      </c>
      <c r="AE2557" t="s">
        <v>795</v>
      </c>
      <c r="AF2557" t="s">
        <v>840</v>
      </c>
      <c r="AG2557" t="s">
        <v>797</v>
      </c>
      <c r="AH2557">
        <v>1607785</v>
      </c>
      <c r="AI2557">
        <v>1607785</v>
      </c>
      <c r="AJ2557">
        <v>1</v>
      </c>
    </row>
    <row r="2558" spans="1:36" x14ac:dyDescent="0.3">
      <c r="A2558">
        <f>COUNTIF($D$2:D2558,D2558)</f>
        <v>9</v>
      </c>
      <c r="B2558" t="str">
        <f t="shared" si="157"/>
        <v>9West Northamptonshire</v>
      </c>
      <c r="C2558" t="s">
        <v>6926</v>
      </c>
      <c r="D2558" t="s">
        <v>345</v>
      </c>
      <c r="E2558">
        <v>1</v>
      </c>
      <c r="F2558" t="s">
        <v>4591</v>
      </c>
      <c r="G2558" t="s">
        <v>800</v>
      </c>
      <c r="H2558" t="s">
        <v>903</v>
      </c>
      <c r="I2558" t="s">
        <v>802</v>
      </c>
      <c r="J2558">
        <f t="shared" ca="1" si="158"/>
        <v>1048042</v>
      </c>
      <c r="K2558">
        <f t="shared" ca="1" si="159"/>
        <v>9020</v>
      </c>
      <c r="N2558" t="str">
        <f t="shared" si="156"/>
        <v>Sutton31Bed Based CapacityBed based intermediate Care Services (Reablement, rehabilitation, wider short-term services supporting recovery)Bed-based intermediate care with rehabilitation (to support discharge)</v>
      </c>
      <c r="O2558" t="s">
        <v>315</v>
      </c>
      <c r="P2558" t="s">
        <v>790</v>
      </c>
      <c r="Q2558">
        <v>31</v>
      </c>
      <c r="R2558" t="s">
        <v>6416</v>
      </c>
      <c r="S2558" t="s">
        <v>6927</v>
      </c>
      <c r="T2558" t="s">
        <v>877</v>
      </c>
      <c r="U2558" t="s">
        <v>968</v>
      </c>
      <c r="W2558">
        <v>45</v>
      </c>
      <c r="X2558">
        <v>75</v>
      </c>
      <c r="Y2558" t="s">
        <v>879</v>
      </c>
      <c r="Z2558" t="s">
        <v>1118</v>
      </c>
      <c r="AB2558" t="s">
        <v>824</v>
      </c>
      <c r="AD2558" t="s">
        <v>794</v>
      </c>
      <c r="AE2558" t="s">
        <v>824</v>
      </c>
      <c r="AF2558" t="s">
        <v>860</v>
      </c>
      <c r="AG2558" t="s">
        <v>861</v>
      </c>
      <c r="AH2558">
        <v>390877</v>
      </c>
      <c r="AI2558">
        <v>680854</v>
      </c>
      <c r="AJ2558">
        <v>1</v>
      </c>
    </row>
    <row r="2559" spans="1:36" x14ac:dyDescent="0.3">
      <c r="A2559">
        <f>COUNTIF($D$2:D2559,D2559)</f>
        <v>10</v>
      </c>
      <c r="B2559" t="str">
        <f t="shared" si="157"/>
        <v>10West Northamptonshire</v>
      </c>
      <c r="C2559" t="s">
        <v>6928</v>
      </c>
      <c r="D2559" t="s">
        <v>345</v>
      </c>
      <c r="E2559">
        <v>19</v>
      </c>
      <c r="F2559" t="s">
        <v>6929</v>
      </c>
      <c r="G2559" t="s">
        <v>806</v>
      </c>
      <c r="H2559" t="s">
        <v>955</v>
      </c>
      <c r="I2559" t="s">
        <v>808</v>
      </c>
      <c r="J2559">
        <f t="shared" ca="1" si="158"/>
        <v>469426</v>
      </c>
      <c r="K2559">
        <f t="shared" ca="1" si="159"/>
        <v>75</v>
      </c>
      <c r="N2559" t="str">
        <f t="shared" si="156"/>
        <v>Sutton32Home Care CapacityHome Care or Domiciliary CareDomiciliary care to support hospital discharge (Discharge to Assess pathway 1)</v>
      </c>
      <c r="O2559" t="s">
        <v>315</v>
      </c>
      <c r="P2559" t="s">
        <v>790</v>
      </c>
      <c r="Q2559">
        <v>32</v>
      </c>
      <c r="R2559" t="s">
        <v>6418</v>
      </c>
      <c r="S2559" t="s">
        <v>6930</v>
      </c>
      <c r="T2559" t="s">
        <v>842</v>
      </c>
      <c r="U2559" t="s">
        <v>856</v>
      </c>
      <c r="W2559">
        <v>17500</v>
      </c>
      <c r="X2559">
        <v>30500</v>
      </c>
      <c r="Y2559" t="s">
        <v>844</v>
      </c>
      <c r="Z2559" t="s">
        <v>823</v>
      </c>
      <c r="AB2559" t="s">
        <v>793</v>
      </c>
      <c r="AD2559" t="s">
        <v>794</v>
      </c>
      <c r="AE2559" t="s">
        <v>795</v>
      </c>
      <c r="AF2559" t="s">
        <v>864</v>
      </c>
      <c r="AG2559" t="s">
        <v>861</v>
      </c>
      <c r="AH2559">
        <v>480328</v>
      </c>
      <c r="AI2559">
        <v>836665</v>
      </c>
      <c r="AJ2559">
        <v>0.05</v>
      </c>
    </row>
    <row r="2560" spans="1:36" x14ac:dyDescent="0.3">
      <c r="A2560">
        <f>COUNTIF($D$2:D2560,D2560)</f>
        <v>11</v>
      </c>
      <c r="B2560" t="str">
        <f t="shared" si="157"/>
        <v>11West Northamptonshire</v>
      </c>
      <c r="C2560" t="s">
        <v>6931</v>
      </c>
      <c r="D2560" t="s">
        <v>345</v>
      </c>
      <c r="E2560">
        <v>3</v>
      </c>
      <c r="F2560" t="s">
        <v>6932</v>
      </c>
      <c r="G2560" t="s">
        <v>811</v>
      </c>
      <c r="H2560" t="s">
        <v>895</v>
      </c>
      <c r="I2560" t="s">
        <v>813</v>
      </c>
      <c r="J2560">
        <f t="shared" ca="1" si="158"/>
        <v>424508</v>
      </c>
      <c r="K2560">
        <f t="shared" ca="1" si="159"/>
        <v>570</v>
      </c>
      <c r="N2560" t="str">
        <f t="shared" si="156"/>
        <v>Swindon1Discharge from Hospital to Residential HomesResidential PlacementsCare home</v>
      </c>
      <c r="O2560" t="s">
        <v>317</v>
      </c>
      <c r="P2560" t="s">
        <v>976</v>
      </c>
      <c r="Q2560">
        <v>1</v>
      </c>
      <c r="R2560" t="s">
        <v>6420</v>
      </c>
      <c r="S2560" t="s">
        <v>6933</v>
      </c>
      <c r="T2560" t="s">
        <v>806</v>
      </c>
      <c r="U2560" t="s">
        <v>807</v>
      </c>
      <c r="W2560">
        <v>35</v>
      </c>
      <c r="X2560">
        <v>34</v>
      </c>
      <c r="Y2560" t="s">
        <v>808</v>
      </c>
      <c r="Z2560" t="s">
        <v>792</v>
      </c>
      <c r="AB2560" t="s">
        <v>793</v>
      </c>
      <c r="AD2560" t="s">
        <v>794</v>
      </c>
      <c r="AE2560" t="s">
        <v>804</v>
      </c>
      <c r="AF2560" t="s">
        <v>845</v>
      </c>
      <c r="AG2560" t="s">
        <v>797</v>
      </c>
      <c r="AH2560">
        <v>1372400</v>
      </c>
      <c r="AI2560">
        <v>1372400</v>
      </c>
      <c r="AJ2560">
        <v>5.1799999999999999E-2</v>
      </c>
    </row>
    <row r="2561" spans="1:36" x14ac:dyDescent="0.3">
      <c r="A2561">
        <f>COUNTIF($D$2:D2561,D2561)</f>
        <v>12</v>
      </c>
      <c r="B2561" t="str">
        <f t="shared" si="157"/>
        <v>12West Northamptonshire</v>
      </c>
      <c r="C2561" t="s">
        <v>6934</v>
      </c>
      <c r="D2561" t="s">
        <v>345</v>
      </c>
      <c r="E2561">
        <v>11</v>
      </c>
      <c r="F2561" t="s">
        <v>6935</v>
      </c>
      <c r="G2561" t="s">
        <v>877</v>
      </c>
      <c r="H2561" t="s">
        <v>968</v>
      </c>
      <c r="I2561" t="s">
        <v>879</v>
      </c>
      <c r="J2561">
        <f t="shared" ca="1" si="158"/>
        <v>3065168</v>
      </c>
      <c r="K2561">
        <f t="shared" ca="1" si="159"/>
        <v>328</v>
      </c>
      <c r="N2561" t="str">
        <f t="shared" si="156"/>
        <v>Swindon2Effective discharge from hospitalHome Care or Domiciliary CareDomiciliary care packages</v>
      </c>
      <c r="O2561" t="s">
        <v>317</v>
      </c>
      <c r="P2561" t="s">
        <v>976</v>
      </c>
      <c r="Q2561">
        <v>2</v>
      </c>
      <c r="R2561" t="s">
        <v>6422</v>
      </c>
      <c r="S2561" t="s">
        <v>6936</v>
      </c>
      <c r="T2561" t="s">
        <v>842</v>
      </c>
      <c r="U2561" t="s">
        <v>843</v>
      </c>
      <c r="W2561">
        <v>93244</v>
      </c>
      <c r="X2561">
        <v>89259</v>
      </c>
      <c r="Y2561" t="s">
        <v>844</v>
      </c>
      <c r="Z2561" t="s">
        <v>792</v>
      </c>
      <c r="AB2561" t="s">
        <v>793</v>
      </c>
      <c r="AD2561" t="s">
        <v>794</v>
      </c>
      <c r="AE2561" t="s">
        <v>804</v>
      </c>
      <c r="AF2561" t="s">
        <v>845</v>
      </c>
      <c r="AG2561" t="s">
        <v>797</v>
      </c>
      <c r="AH2561">
        <v>2193100</v>
      </c>
      <c r="AI2561">
        <v>2193100</v>
      </c>
      <c r="AJ2561">
        <v>0.08</v>
      </c>
    </row>
    <row r="2562" spans="1:36" x14ac:dyDescent="0.3">
      <c r="A2562">
        <f>COUNTIF($D$2:D2562,D2562)</f>
        <v>13</v>
      </c>
      <c r="B2562" t="str">
        <f t="shared" si="157"/>
        <v>13West Northamptonshire</v>
      </c>
      <c r="C2562" t="s">
        <v>6937</v>
      </c>
      <c r="D2562" t="s">
        <v>345</v>
      </c>
      <c r="E2562">
        <v>12</v>
      </c>
      <c r="F2562" t="s">
        <v>4594</v>
      </c>
      <c r="G2562" t="s">
        <v>787</v>
      </c>
      <c r="H2562" t="s">
        <v>1195</v>
      </c>
      <c r="I2562" t="s">
        <v>789</v>
      </c>
      <c r="J2562">
        <f t="shared" ca="1" si="158"/>
        <v>3408926</v>
      </c>
      <c r="K2562">
        <f t="shared" ca="1" si="159"/>
        <v>1512</v>
      </c>
      <c r="N2562" t="str">
        <f t="shared" ref="N2562:N2625" si="160">O2562&amp;Q2562&amp;R2562&amp;T2562&amp;U2562</f>
        <v>Swindon8Carers SupportCarers ServicesRespite services</v>
      </c>
      <c r="O2562" t="s">
        <v>317</v>
      </c>
      <c r="P2562" t="s">
        <v>976</v>
      </c>
      <c r="Q2562">
        <v>8</v>
      </c>
      <c r="R2562" t="s">
        <v>1781</v>
      </c>
      <c r="S2562" t="s">
        <v>6938</v>
      </c>
      <c r="T2562" t="s">
        <v>811</v>
      </c>
      <c r="U2562" t="s">
        <v>830</v>
      </c>
      <c r="W2562">
        <v>192</v>
      </c>
      <c r="X2562">
        <v>183</v>
      </c>
      <c r="Y2562" t="s">
        <v>813</v>
      </c>
      <c r="Z2562" t="s">
        <v>792</v>
      </c>
      <c r="AB2562" t="s">
        <v>793</v>
      </c>
      <c r="AD2562" t="s">
        <v>794</v>
      </c>
      <c r="AE2562" t="s">
        <v>795</v>
      </c>
      <c r="AF2562" t="s">
        <v>845</v>
      </c>
      <c r="AG2562" t="s">
        <v>797</v>
      </c>
      <c r="AH2562">
        <v>143589</v>
      </c>
      <c r="AI2562">
        <v>143589</v>
      </c>
      <c r="AJ2562">
        <v>0.01</v>
      </c>
    </row>
    <row r="2563" spans="1:36" x14ac:dyDescent="0.3">
      <c r="A2563">
        <f>COUNTIF($D$2:D2563,D2563)</f>
        <v>14</v>
      </c>
      <c r="B2563" t="str">
        <f t="shared" ref="B2563:B2626" si="161">A2563&amp;D2563</f>
        <v>14West Northamptonshire</v>
      </c>
      <c r="C2563" t="s">
        <v>6939</v>
      </c>
      <c r="D2563" t="s">
        <v>345</v>
      </c>
      <c r="E2563">
        <v>12</v>
      </c>
      <c r="F2563" t="s">
        <v>4597</v>
      </c>
      <c r="G2563" t="s">
        <v>787</v>
      </c>
      <c r="H2563" t="s">
        <v>788</v>
      </c>
      <c r="I2563" t="s">
        <v>789</v>
      </c>
      <c r="J2563">
        <f t="shared" ref="J2563:J2626" ca="1" si="162">SUMIF($N:$AI,C2563,AH:AH)</f>
        <v>1138110</v>
      </c>
      <c r="K2563">
        <f t="shared" ref="K2563:K2626" ca="1" si="163">SUMIF($N:$AI,C2563,W:W)</f>
        <v>2250</v>
      </c>
      <c r="N2563" t="str">
        <f t="shared" si="160"/>
        <v>Swindon9Discharge from Hospital to Nursing HomesResidential PlacementsNursing home</v>
      </c>
      <c r="O2563" t="s">
        <v>317</v>
      </c>
      <c r="P2563" t="s">
        <v>976</v>
      </c>
      <c r="Q2563">
        <v>9</v>
      </c>
      <c r="R2563" t="s">
        <v>6426</v>
      </c>
      <c r="S2563" t="s">
        <v>6933</v>
      </c>
      <c r="T2563" t="s">
        <v>806</v>
      </c>
      <c r="U2563" t="s">
        <v>917</v>
      </c>
      <c r="W2563">
        <v>28</v>
      </c>
      <c r="X2563">
        <v>27</v>
      </c>
      <c r="Y2563" t="s">
        <v>808</v>
      </c>
      <c r="Z2563" t="s">
        <v>792</v>
      </c>
      <c r="AB2563" t="s">
        <v>793</v>
      </c>
      <c r="AD2563" t="s">
        <v>794</v>
      </c>
      <c r="AE2563" t="s">
        <v>804</v>
      </c>
      <c r="AF2563" t="s">
        <v>845</v>
      </c>
      <c r="AG2563" t="s">
        <v>797</v>
      </c>
      <c r="AH2563">
        <v>1100000</v>
      </c>
      <c r="AI2563">
        <v>1100000</v>
      </c>
      <c r="AJ2563">
        <v>0.04</v>
      </c>
    </row>
    <row r="2564" spans="1:36" x14ac:dyDescent="0.3">
      <c r="A2564">
        <f>COUNTIF($D$2:D2564,D2564)</f>
        <v>15</v>
      </c>
      <c r="B2564" t="str">
        <f t="shared" si="161"/>
        <v>15West Northamptonshire</v>
      </c>
      <c r="C2564" t="s">
        <v>6940</v>
      </c>
      <c r="D2564" t="s">
        <v>345</v>
      </c>
      <c r="E2564">
        <v>1</v>
      </c>
      <c r="F2564" t="s">
        <v>6941</v>
      </c>
      <c r="G2564" t="s">
        <v>800</v>
      </c>
      <c r="H2564" t="s">
        <v>903</v>
      </c>
      <c r="I2564" t="s">
        <v>802</v>
      </c>
      <c r="J2564">
        <f t="shared" ca="1" si="162"/>
        <v>1447731</v>
      </c>
      <c r="K2564">
        <f t="shared" ca="1" si="163"/>
        <v>8940</v>
      </c>
      <c r="N2564" t="str">
        <f t="shared" si="160"/>
        <v>Swindon10DFGDFG Related SchemesAdaptations, including statutory DFG grants</v>
      </c>
      <c r="O2564" t="s">
        <v>317</v>
      </c>
      <c r="P2564" t="s">
        <v>976</v>
      </c>
      <c r="Q2564">
        <v>10</v>
      </c>
      <c r="R2564" t="s">
        <v>840</v>
      </c>
      <c r="S2564" t="s">
        <v>840</v>
      </c>
      <c r="T2564" t="s">
        <v>834</v>
      </c>
      <c r="U2564" t="s">
        <v>835</v>
      </c>
      <c r="W2564">
        <v>131</v>
      </c>
      <c r="X2564">
        <v>131</v>
      </c>
      <c r="Y2564" t="s">
        <v>836</v>
      </c>
      <c r="Z2564" t="s">
        <v>792</v>
      </c>
      <c r="AB2564" t="s">
        <v>793</v>
      </c>
      <c r="AD2564" t="s">
        <v>794</v>
      </c>
      <c r="AE2564" t="s">
        <v>795</v>
      </c>
      <c r="AF2564" t="s">
        <v>840</v>
      </c>
      <c r="AG2564" t="s">
        <v>797</v>
      </c>
      <c r="AH2564">
        <v>1306397</v>
      </c>
      <c r="AI2564">
        <v>1306397</v>
      </c>
      <c r="AJ2564">
        <v>0.04</v>
      </c>
    </row>
    <row r="2565" spans="1:36" x14ac:dyDescent="0.3">
      <c r="A2565">
        <f>COUNTIF($D$2:D2565,D2565)</f>
        <v>1</v>
      </c>
      <c r="B2565" t="str">
        <f t="shared" si="161"/>
        <v>1West Sussex</v>
      </c>
      <c r="C2565" t="s">
        <v>6942</v>
      </c>
      <c r="D2565" t="s">
        <v>347</v>
      </c>
      <c r="E2565">
        <v>1</v>
      </c>
      <c r="F2565" t="s">
        <v>891</v>
      </c>
      <c r="G2565" t="s">
        <v>834</v>
      </c>
      <c r="H2565" t="s">
        <v>835</v>
      </c>
      <c r="I2565" t="s">
        <v>836</v>
      </c>
      <c r="J2565">
        <f t="shared" ca="1" si="162"/>
        <v>9414970</v>
      </c>
      <c r="K2565">
        <f t="shared" ca="1" si="163"/>
        <v>1300</v>
      </c>
      <c r="N2565" t="str">
        <f t="shared" si="160"/>
        <v>Swindon11Effective discharge from hospitalHome Care or Domiciliary CareDomiciliary care packages</v>
      </c>
      <c r="O2565" t="s">
        <v>317</v>
      </c>
      <c r="P2565" t="s">
        <v>976</v>
      </c>
      <c r="Q2565">
        <v>11</v>
      </c>
      <c r="R2565" t="s">
        <v>6422</v>
      </c>
      <c r="S2565" t="s">
        <v>6936</v>
      </c>
      <c r="T2565" t="s">
        <v>842</v>
      </c>
      <c r="U2565" t="s">
        <v>843</v>
      </c>
      <c r="W2565">
        <v>9915</v>
      </c>
      <c r="X2565">
        <v>15755</v>
      </c>
      <c r="Y2565" t="s">
        <v>844</v>
      </c>
      <c r="Z2565" t="s">
        <v>792</v>
      </c>
      <c r="AB2565" t="s">
        <v>793</v>
      </c>
      <c r="AD2565" t="s">
        <v>794</v>
      </c>
      <c r="AE2565" t="s">
        <v>804</v>
      </c>
      <c r="AF2565" t="s">
        <v>864</v>
      </c>
      <c r="AG2565" t="s">
        <v>797</v>
      </c>
      <c r="AH2565">
        <v>233200</v>
      </c>
      <c r="AI2565">
        <v>387112</v>
      </c>
      <c r="AJ2565">
        <v>0.01</v>
      </c>
    </row>
    <row r="2566" spans="1:36" x14ac:dyDescent="0.3">
      <c r="A2566">
        <f>COUNTIF($D$2:D2566,D2566)</f>
        <v>2</v>
      </c>
      <c r="B2566" t="str">
        <f t="shared" si="161"/>
        <v>2West Sussex</v>
      </c>
      <c r="C2566" t="s">
        <v>6943</v>
      </c>
      <c r="D2566" t="s">
        <v>347</v>
      </c>
      <c r="E2566">
        <v>2</v>
      </c>
      <c r="F2566" t="s">
        <v>6944</v>
      </c>
      <c r="G2566" t="s">
        <v>787</v>
      </c>
      <c r="H2566" t="s">
        <v>886</v>
      </c>
      <c r="I2566" t="s">
        <v>789</v>
      </c>
      <c r="J2566">
        <f t="shared" ca="1" si="162"/>
        <v>3743000</v>
      </c>
      <c r="K2566">
        <f t="shared" ca="1" si="163"/>
        <v>1778</v>
      </c>
      <c r="N2566" t="str">
        <f t="shared" si="160"/>
        <v>Swindon12Discharge from Hospital to Residential HomesResidential PlacementsCare home</v>
      </c>
      <c r="O2566" t="s">
        <v>317</v>
      </c>
      <c r="P2566" t="s">
        <v>976</v>
      </c>
      <c r="Q2566">
        <v>12</v>
      </c>
      <c r="R2566" t="s">
        <v>6420</v>
      </c>
      <c r="S2566" t="s">
        <v>6933</v>
      </c>
      <c r="T2566" t="s">
        <v>806</v>
      </c>
      <c r="U2566" t="s">
        <v>807</v>
      </c>
      <c r="W2566">
        <v>6</v>
      </c>
      <c r="X2566">
        <v>9</v>
      </c>
      <c r="Y2566" t="s">
        <v>808</v>
      </c>
      <c r="Z2566" t="s">
        <v>792</v>
      </c>
      <c r="AB2566" t="s">
        <v>793</v>
      </c>
      <c r="AD2566" t="s">
        <v>794</v>
      </c>
      <c r="AE2566" t="s">
        <v>804</v>
      </c>
      <c r="AF2566" t="s">
        <v>864</v>
      </c>
      <c r="AG2566" t="s">
        <v>797</v>
      </c>
      <c r="AH2566">
        <v>224239</v>
      </c>
      <c r="AI2566">
        <v>372236.74</v>
      </c>
      <c r="AJ2566">
        <v>0.01</v>
      </c>
    </row>
    <row r="2567" spans="1:36" x14ac:dyDescent="0.3">
      <c r="A2567">
        <f>COUNTIF($D$2:D2567,D2567)</f>
        <v>3</v>
      </c>
      <c r="B2567" t="str">
        <f t="shared" si="161"/>
        <v>3West Sussex</v>
      </c>
      <c r="C2567" t="s">
        <v>6945</v>
      </c>
      <c r="D2567" t="s">
        <v>347</v>
      </c>
      <c r="E2567">
        <v>2</v>
      </c>
      <c r="F2567" t="s">
        <v>6944</v>
      </c>
      <c r="G2567" t="s">
        <v>842</v>
      </c>
      <c r="H2567" t="s">
        <v>843</v>
      </c>
      <c r="I2567" t="s">
        <v>844</v>
      </c>
      <c r="J2567">
        <f t="shared" ca="1" si="162"/>
        <v>14600256</v>
      </c>
      <c r="K2567">
        <f t="shared" ca="1" si="163"/>
        <v>581478</v>
      </c>
      <c r="N2567" t="str">
        <f t="shared" si="160"/>
        <v>Swindon13Discharge from Hospital to Nursing HomesResidential PlacementsNursing home</v>
      </c>
      <c r="O2567" t="s">
        <v>317</v>
      </c>
      <c r="P2567" t="s">
        <v>976</v>
      </c>
      <c r="Q2567">
        <v>13</v>
      </c>
      <c r="R2567" t="s">
        <v>6426</v>
      </c>
      <c r="S2567" t="s">
        <v>6933</v>
      </c>
      <c r="T2567" t="s">
        <v>806</v>
      </c>
      <c r="U2567" t="s">
        <v>917</v>
      </c>
      <c r="W2567">
        <v>8</v>
      </c>
      <c r="X2567">
        <v>12</v>
      </c>
      <c r="Y2567" t="s">
        <v>808</v>
      </c>
      <c r="Z2567" t="s">
        <v>792</v>
      </c>
      <c r="AB2567" t="s">
        <v>793</v>
      </c>
      <c r="AD2567" t="s">
        <v>794</v>
      </c>
      <c r="AE2567" t="s">
        <v>804</v>
      </c>
      <c r="AF2567" t="s">
        <v>864</v>
      </c>
      <c r="AG2567" t="s">
        <v>797</v>
      </c>
      <c r="AH2567">
        <v>299000</v>
      </c>
      <c r="AI2567">
        <v>496340</v>
      </c>
      <c r="AJ2567">
        <v>0.01</v>
      </c>
    </row>
    <row r="2568" spans="1:36" x14ac:dyDescent="0.3">
      <c r="A2568">
        <f>COUNTIF($D$2:D2568,D2568)</f>
        <v>4</v>
      </c>
      <c r="B2568" t="str">
        <f t="shared" si="161"/>
        <v>4West Sussex</v>
      </c>
      <c r="C2568" t="s">
        <v>6946</v>
      </c>
      <c r="D2568" t="s">
        <v>347</v>
      </c>
      <c r="E2568">
        <v>3</v>
      </c>
      <c r="F2568" t="s">
        <v>1464</v>
      </c>
      <c r="G2568" t="s">
        <v>842</v>
      </c>
      <c r="H2568" t="s">
        <v>843</v>
      </c>
      <c r="I2568" t="s">
        <v>844</v>
      </c>
      <c r="J2568">
        <f t="shared" ca="1" si="162"/>
        <v>13566666</v>
      </c>
      <c r="K2568">
        <f t="shared" ca="1" si="163"/>
        <v>511371</v>
      </c>
      <c r="N2568" t="str">
        <f t="shared" si="160"/>
        <v>Swindon14Home Line Assistive Technologies and EquipmentAssistive technologies including telecare</v>
      </c>
      <c r="O2568" t="s">
        <v>317</v>
      </c>
      <c r="P2568" t="s">
        <v>976</v>
      </c>
      <c r="Q2568">
        <v>14</v>
      </c>
      <c r="R2568" t="s">
        <v>6432</v>
      </c>
      <c r="S2568" t="s">
        <v>6947</v>
      </c>
      <c r="T2568" t="s">
        <v>800</v>
      </c>
      <c r="U2568" t="s">
        <v>850</v>
      </c>
      <c r="W2568">
        <v>356</v>
      </c>
      <c r="X2568">
        <v>356</v>
      </c>
      <c r="Y2568" t="s">
        <v>802</v>
      </c>
      <c r="Z2568" t="s">
        <v>792</v>
      </c>
      <c r="AB2568" t="s">
        <v>793</v>
      </c>
      <c r="AD2568" t="s">
        <v>794</v>
      </c>
      <c r="AE2568" t="s">
        <v>795</v>
      </c>
      <c r="AF2568" t="s">
        <v>796</v>
      </c>
      <c r="AG2568" t="s">
        <v>797</v>
      </c>
      <c r="AH2568">
        <v>206000</v>
      </c>
      <c r="AI2568">
        <v>217659.6</v>
      </c>
      <c r="AJ2568">
        <v>0.01</v>
      </c>
    </row>
    <row r="2569" spans="1:36" x14ac:dyDescent="0.3">
      <c r="A2569">
        <f>COUNTIF($D$2:D2569,D2569)</f>
        <v>5</v>
      </c>
      <c r="B2569" t="str">
        <f t="shared" si="161"/>
        <v>5West Sussex</v>
      </c>
      <c r="C2569" t="s">
        <v>6948</v>
      </c>
      <c r="D2569" t="s">
        <v>347</v>
      </c>
      <c r="E2569">
        <v>7</v>
      </c>
      <c r="F2569" t="s">
        <v>6949</v>
      </c>
      <c r="G2569" t="s">
        <v>842</v>
      </c>
      <c r="H2569" t="s">
        <v>843</v>
      </c>
      <c r="I2569" t="s">
        <v>844</v>
      </c>
      <c r="J2569">
        <f t="shared" ca="1" si="162"/>
        <v>1054652.2042039903</v>
      </c>
      <c r="K2569">
        <f t="shared" ca="1" si="163"/>
        <v>19613</v>
      </c>
      <c r="N2569" t="str">
        <f t="shared" si="160"/>
        <v>Swindon15Equipment StoresAssistive Technologies and EquipmentCommunity based equipment</v>
      </c>
      <c r="O2569" t="s">
        <v>317</v>
      </c>
      <c r="P2569" t="s">
        <v>976</v>
      </c>
      <c r="Q2569">
        <v>15</v>
      </c>
      <c r="R2569" t="s">
        <v>6435</v>
      </c>
      <c r="S2569" t="s">
        <v>6950</v>
      </c>
      <c r="T2569" t="s">
        <v>800</v>
      </c>
      <c r="U2569" t="s">
        <v>903</v>
      </c>
      <c r="W2569">
        <v>1404</v>
      </c>
      <c r="X2569">
        <v>1482</v>
      </c>
      <c r="Y2569" t="s">
        <v>802</v>
      </c>
      <c r="Z2569" t="s">
        <v>823</v>
      </c>
      <c r="AB2569" t="s">
        <v>793</v>
      </c>
      <c r="AD2569" t="s">
        <v>794</v>
      </c>
      <c r="AE2569" t="s">
        <v>832</v>
      </c>
      <c r="AF2569" t="s">
        <v>796</v>
      </c>
      <c r="AG2569" t="s">
        <v>797</v>
      </c>
      <c r="AH2569">
        <v>1274600</v>
      </c>
      <c r="AI2569">
        <v>1346742.36</v>
      </c>
      <c r="AJ2569">
        <v>0.05</v>
      </c>
    </row>
    <row r="2570" spans="1:36" x14ac:dyDescent="0.3">
      <c r="A2570">
        <f>COUNTIF($D$2:D2570,D2570)</f>
        <v>6</v>
      </c>
      <c r="B2570" t="str">
        <f t="shared" si="161"/>
        <v>6West Sussex</v>
      </c>
      <c r="C2570" t="s">
        <v>6951</v>
      </c>
      <c r="D2570" t="s">
        <v>347</v>
      </c>
      <c r="E2570">
        <v>7</v>
      </c>
      <c r="F2570" t="s">
        <v>6949</v>
      </c>
      <c r="G2570" t="s">
        <v>877</v>
      </c>
      <c r="H2570" t="s">
        <v>968</v>
      </c>
      <c r="I2570" t="s">
        <v>879</v>
      </c>
      <c r="J2570">
        <f t="shared" ca="1" si="162"/>
        <v>1088978.4784108964</v>
      </c>
      <c r="K2570">
        <f t="shared" ca="1" si="163"/>
        <v>2283</v>
      </c>
      <c r="N2570" t="str">
        <f t="shared" si="160"/>
        <v>Swindon16Equipment StoresAssistive Technologies and EquipmentOther</v>
      </c>
      <c r="O2570" t="s">
        <v>317</v>
      </c>
      <c r="P2570" t="s">
        <v>976</v>
      </c>
      <c r="Q2570">
        <v>16</v>
      </c>
      <c r="R2570" t="s">
        <v>6435</v>
      </c>
      <c r="S2570" t="s">
        <v>6952</v>
      </c>
      <c r="T2570" t="s">
        <v>800</v>
      </c>
      <c r="U2570" t="s">
        <v>812</v>
      </c>
      <c r="V2570" t="s">
        <v>6953</v>
      </c>
      <c r="W2570">
        <v>960</v>
      </c>
      <c r="X2570">
        <v>960</v>
      </c>
      <c r="Y2570" t="s">
        <v>802</v>
      </c>
      <c r="Z2570" t="s">
        <v>792</v>
      </c>
      <c r="AB2570" t="s">
        <v>793</v>
      </c>
      <c r="AD2570" t="s">
        <v>794</v>
      </c>
      <c r="AE2570" t="s">
        <v>832</v>
      </c>
      <c r="AF2570" t="s">
        <v>796</v>
      </c>
      <c r="AG2570" t="s">
        <v>797</v>
      </c>
      <c r="AH2570">
        <v>27900</v>
      </c>
      <c r="AI2570">
        <v>29479.14</v>
      </c>
      <c r="AJ2570">
        <v>0.01</v>
      </c>
    </row>
    <row r="2571" spans="1:36" x14ac:dyDescent="0.3">
      <c r="A2571">
        <f>COUNTIF($D$2:D2571,D2571)</f>
        <v>7</v>
      </c>
      <c r="B2571" t="str">
        <f t="shared" si="161"/>
        <v>7West Sussex</v>
      </c>
      <c r="C2571" t="s">
        <v>6954</v>
      </c>
      <c r="D2571" t="s">
        <v>347</v>
      </c>
      <c r="E2571">
        <v>7</v>
      </c>
      <c r="F2571" t="s">
        <v>6949</v>
      </c>
      <c r="G2571" t="s">
        <v>877</v>
      </c>
      <c r="H2571" t="s">
        <v>878</v>
      </c>
      <c r="I2571" t="s">
        <v>879</v>
      </c>
      <c r="J2571">
        <f t="shared" ca="1" si="162"/>
        <v>673053.35239093017</v>
      </c>
      <c r="K2571">
        <f t="shared" ca="1" si="163"/>
        <v>42372</v>
      </c>
      <c r="N2571" t="str">
        <f t="shared" si="160"/>
        <v>Swindon18Carers SupportCarers ServicesRespite services</v>
      </c>
      <c r="O2571" t="s">
        <v>317</v>
      </c>
      <c r="P2571" t="s">
        <v>976</v>
      </c>
      <c r="Q2571">
        <v>18</v>
      </c>
      <c r="R2571" t="s">
        <v>1781</v>
      </c>
      <c r="S2571" t="s">
        <v>6955</v>
      </c>
      <c r="T2571" t="s">
        <v>811</v>
      </c>
      <c r="U2571" t="s">
        <v>830</v>
      </c>
      <c r="W2571">
        <v>1212</v>
      </c>
      <c r="X2571">
        <v>1220</v>
      </c>
      <c r="Y2571" t="s">
        <v>813</v>
      </c>
      <c r="Z2571" t="s">
        <v>792</v>
      </c>
      <c r="AB2571" t="s">
        <v>793</v>
      </c>
      <c r="AD2571" t="s">
        <v>794</v>
      </c>
      <c r="AE2571" t="s">
        <v>795</v>
      </c>
      <c r="AF2571" t="s">
        <v>796</v>
      </c>
      <c r="AG2571" t="s">
        <v>797</v>
      </c>
      <c r="AH2571">
        <v>905739</v>
      </c>
      <c r="AI2571">
        <v>957003.82739999995</v>
      </c>
      <c r="AJ2571">
        <v>0.01</v>
      </c>
    </row>
    <row r="2572" spans="1:36" x14ac:dyDescent="0.3">
      <c r="A2572">
        <f>COUNTIF($D$2:D2572,D2572)</f>
        <v>8</v>
      </c>
      <c r="B2572" t="str">
        <f t="shared" si="161"/>
        <v>8West Sussex</v>
      </c>
      <c r="C2572" t="s">
        <v>6956</v>
      </c>
      <c r="D2572" t="s">
        <v>347</v>
      </c>
      <c r="E2572">
        <v>13</v>
      </c>
      <c r="F2572" t="s">
        <v>811</v>
      </c>
      <c r="G2572" t="s">
        <v>811</v>
      </c>
      <c r="H2572" t="s">
        <v>812</v>
      </c>
      <c r="I2572" t="s">
        <v>813</v>
      </c>
      <c r="J2572">
        <f t="shared" ca="1" si="162"/>
        <v>3448000</v>
      </c>
      <c r="K2572">
        <f t="shared" ca="1" si="163"/>
        <v>13170</v>
      </c>
      <c r="N2572" t="str">
        <f t="shared" si="160"/>
        <v>Swindon19Implementation of responsibilitiesCarers ServicesCarer advice and support related to Care Act duties</v>
      </c>
      <c r="O2572" t="s">
        <v>317</v>
      </c>
      <c r="P2572" t="s">
        <v>976</v>
      </c>
      <c r="Q2572">
        <v>19</v>
      </c>
      <c r="R2572" t="s">
        <v>6442</v>
      </c>
      <c r="S2572" t="s">
        <v>6938</v>
      </c>
      <c r="T2572" t="s">
        <v>811</v>
      </c>
      <c r="U2572" t="s">
        <v>895</v>
      </c>
      <c r="W2572">
        <v>4926</v>
      </c>
      <c r="X2572">
        <v>4926</v>
      </c>
      <c r="Y2572" t="s">
        <v>813</v>
      </c>
      <c r="Z2572" t="s">
        <v>792</v>
      </c>
      <c r="AB2572" t="s">
        <v>793</v>
      </c>
      <c r="AD2572" t="s">
        <v>794</v>
      </c>
      <c r="AE2572" t="s">
        <v>825</v>
      </c>
      <c r="AF2572" t="s">
        <v>796</v>
      </c>
      <c r="AG2572" t="s">
        <v>797</v>
      </c>
      <c r="AH2572">
        <v>437200</v>
      </c>
      <c r="AI2572">
        <v>461945.52</v>
      </c>
      <c r="AJ2572">
        <v>0.03</v>
      </c>
    </row>
    <row r="2573" spans="1:36" x14ac:dyDescent="0.3">
      <c r="A2573">
        <f>COUNTIF($D$2:D2573,D2573)</f>
        <v>9</v>
      </c>
      <c r="B2573" t="str">
        <f t="shared" si="161"/>
        <v>9West Sussex</v>
      </c>
      <c r="C2573" t="s">
        <v>6957</v>
      </c>
      <c r="D2573" t="s">
        <v>347</v>
      </c>
      <c r="E2573">
        <v>14</v>
      </c>
      <c r="F2573" t="s">
        <v>1160</v>
      </c>
      <c r="G2573" t="s">
        <v>800</v>
      </c>
      <c r="H2573" t="s">
        <v>850</v>
      </c>
      <c r="I2573" t="s">
        <v>802</v>
      </c>
      <c r="J2573">
        <f t="shared" ca="1" si="162"/>
        <v>1004900</v>
      </c>
      <c r="K2573">
        <f t="shared" ca="1" si="163"/>
        <v>1768</v>
      </c>
      <c r="N2573" t="str">
        <f t="shared" si="160"/>
        <v>Swindon22Effective discharge from hospitalHome Care or Domiciliary CareDomiciliary care packages</v>
      </c>
      <c r="O2573" t="s">
        <v>317</v>
      </c>
      <c r="P2573" t="s">
        <v>976</v>
      </c>
      <c r="Q2573">
        <v>22</v>
      </c>
      <c r="R2573" t="s">
        <v>6422</v>
      </c>
      <c r="S2573" t="s">
        <v>6936</v>
      </c>
      <c r="T2573" t="s">
        <v>842</v>
      </c>
      <c r="U2573" t="s">
        <v>843</v>
      </c>
      <c r="W2573">
        <v>39345</v>
      </c>
      <c r="X2573">
        <v>39796</v>
      </c>
      <c r="Y2573" t="s">
        <v>844</v>
      </c>
      <c r="Z2573" t="s">
        <v>792</v>
      </c>
      <c r="AB2573" t="s">
        <v>793</v>
      </c>
      <c r="AD2573" t="s">
        <v>794</v>
      </c>
      <c r="AE2573" t="s">
        <v>804</v>
      </c>
      <c r="AF2573" t="s">
        <v>796</v>
      </c>
      <c r="AG2573" t="s">
        <v>797</v>
      </c>
      <c r="AH2573">
        <v>925400</v>
      </c>
      <c r="AI2573">
        <v>977777.64</v>
      </c>
      <c r="AJ2573">
        <v>0.03</v>
      </c>
    </row>
    <row r="2574" spans="1:36" x14ac:dyDescent="0.3">
      <c r="A2574">
        <f>COUNTIF($D$2:D2574,D2574)</f>
        <v>10</v>
      </c>
      <c r="B2574" t="str">
        <f t="shared" si="161"/>
        <v>10West Sussex</v>
      </c>
      <c r="C2574" t="s">
        <v>6958</v>
      </c>
      <c r="D2574" t="s">
        <v>347</v>
      </c>
      <c r="E2574">
        <v>15</v>
      </c>
      <c r="F2574" t="s">
        <v>1051</v>
      </c>
      <c r="G2574" t="s">
        <v>800</v>
      </c>
      <c r="H2574" t="s">
        <v>903</v>
      </c>
      <c r="I2574" t="s">
        <v>802</v>
      </c>
      <c r="J2574">
        <f t="shared" ca="1" si="162"/>
        <v>10496622.359999999</v>
      </c>
      <c r="K2574">
        <f t="shared" ca="1" si="163"/>
        <v>28933</v>
      </c>
      <c r="N2574" t="str">
        <f t="shared" si="160"/>
        <v>Swindon23Home First Home Care or Domiciliary CareDomiciliary care to support hospital discharge (Discharge to Assess pathway 1)</v>
      </c>
      <c r="O2574" t="s">
        <v>317</v>
      </c>
      <c r="P2574" t="s">
        <v>976</v>
      </c>
      <c r="Q2574">
        <v>23</v>
      </c>
      <c r="R2574" t="s">
        <v>4095</v>
      </c>
      <c r="S2574" t="s">
        <v>6959</v>
      </c>
      <c r="T2574" t="s">
        <v>842</v>
      </c>
      <c r="U2574" t="s">
        <v>856</v>
      </c>
      <c r="W2574">
        <v>21998</v>
      </c>
      <c r="X2574">
        <v>22250</v>
      </c>
      <c r="Y2574" t="s">
        <v>844</v>
      </c>
      <c r="Z2574" t="s">
        <v>792</v>
      </c>
      <c r="AB2574" t="s">
        <v>824</v>
      </c>
      <c r="AD2574" t="s">
        <v>794</v>
      </c>
      <c r="AE2574" t="s">
        <v>804</v>
      </c>
      <c r="AF2574" t="s">
        <v>796</v>
      </c>
      <c r="AG2574" t="s">
        <v>797</v>
      </c>
      <c r="AH2574">
        <v>517400</v>
      </c>
      <c r="AI2574">
        <v>546684.84</v>
      </c>
      <c r="AJ2574">
        <v>0.02</v>
      </c>
    </row>
    <row r="2575" spans="1:36" x14ac:dyDescent="0.3">
      <c r="A2575">
        <f>COUNTIF($D$2:D2575,D2575)</f>
        <v>11</v>
      </c>
      <c r="B2575" t="str">
        <f t="shared" si="161"/>
        <v>11West Sussex</v>
      </c>
      <c r="C2575" t="s">
        <v>6960</v>
      </c>
      <c r="D2575" t="s">
        <v>347</v>
      </c>
      <c r="E2575">
        <v>17</v>
      </c>
      <c r="F2575" t="s">
        <v>6961</v>
      </c>
      <c r="G2575" t="s">
        <v>842</v>
      </c>
      <c r="H2575" t="s">
        <v>856</v>
      </c>
      <c r="I2575" t="s">
        <v>844</v>
      </c>
      <c r="J2575">
        <f t="shared" ca="1" si="162"/>
        <v>231923.77</v>
      </c>
      <c r="K2575">
        <f t="shared" ca="1" si="163"/>
        <v>1700</v>
      </c>
      <c r="N2575" t="str">
        <f t="shared" si="160"/>
        <v>Swindon24Discharge to AssessBed based intermediate Care Services (Reablement, rehabilitation, wider short-term services supporting recovery)Bed-based intermediate care with reablement (to support discharge)</v>
      </c>
      <c r="O2575" t="s">
        <v>317</v>
      </c>
      <c r="P2575" t="s">
        <v>976</v>
      </c>
      <c r="Q2575">
        <v>24</v>
      </c>
      <c r="R2575" t="s">
        <v>1786</v>
      </c>
      <c r="S2575" t="s">
        <v>6962</v>
      </c>
      <c r="T2575" t="s">
        <v>877</v>
      </c>
      <c r="U2575" t="s">
        <v>878</v>
      </c>
      <c r="W2575">
        <v>11</v>
      </c>
      <c r="X2575">
        <v>11</v>
      </c>
      <c r="Y2575" t="s">
        <v>879</v>
      </c>
      <c r="Z2575" t="s">
        <v>792</v>
      </c>
      <c r="AB2575" t="s">
        <v>824</v>
      </c>
      <c r="AD2575" t="s">
        <v>794</v>
      </c>
      <c r="AE2575" t="s">
        <v>804</v>
      </c>
      <c r="AF2575" t="s">
        <v>796</v>
      </c>
      <c r="AG2575" t="s">
        <v>797</v>
      </c>
      <c r="AH2575">
        <v>411100</v>
      </c>
      <c r="AI2575">
        <v>434369</v>
      </c>
      <c r="AJ2575">
        <v>0.01</v>
      </c>
    </row>
    <row r="2576" spans="1:36" x14ac:dyDescent="0.3">
      <c r="A2576">
        <f>COUNTIF($D$2:D2576,D2576)</f>
        <v>12</v>
      </c>
      <c r="B2576" t="str">
        <f t="shared" si="161"/>
        <v>12West Sussex</v>
      </c>
      <c r="C2576" t="s">
        <v>6963</v>
      </c>
      <c r="D2576" t="s">
        <v>347</v>
      </c>
      <c r="E2576">
        <v>17</v>
      </c>
      <c r="F2576" t="s">
        <v>6964</v>
      </c>
      <c r="G2576" t="s">
        <v>787</v>
      </c>
      <c r="H2576" t="s">
        <v>1195</v>
      </c>
      <c r="I2576" t="s">
        <v>789</v>
      </c>
      <c r="J2576">
        <f t="shared" ca="1" si="162"/>
        <v>684705.23</v>
      </c>
      <c r="K2576">
        <f t="shared" ca="1" si="163"/>
        <v>40</v>
      </c>
      <c r="N2576" t="str">
        <f t="shared" si="160"/>
        <v xml:space="preserve">Swindon25Effective discharge from hospitalHome-based intermediate care servicesReablement at home (to support discharge) </v>
      </c>
      <c r="O2576" t="s">
        <v>317</v>
      </c>
      <c r="P2576" t="s">
        <v>976</v>
      </c>
      <c r="Q2576">
        <v>25</v>
      </c>
      <c r="R2576" t="s">
        <v>6422</v>
      </c>
      <c r="S2576" t="s">
        <v>720</v>
      </c>
      <c r="T2576" t="s">
        <v>787</v>
      </c>
      <c r="U2576" t="s">
        <v>788</v>
      </c>
      <c r="W2576">
        <v>360</v>
      </c>
      <c r="X2576">
        <v>360</v>
      </c>
      <c r="Y2576" t="s">
        <v>789</v>
      </c>
      <c r="Z2576" t="s">
        <v>792</v>
      </c>
      <c r="AB2576" t="s">
        <v>793</v>
      </c>
      <c r="AD2576" t="s">
        <v>794</v>
      </c>
      <c r="AE2576" t="s">
        <v>804</v>
      </c>
      <c r="AF2576" t="s">
        <v>796</v>
      </c>
      <c r="AG2576" t="s">
        <v>797</v>
      </c>
      <c r="AH2576">
        <v>1203800</v>
      </c>
      <c r="AI2576">
        <v>1271935.08</v>
      </c>
      <c r="AJ2576">
        <v>0.05</v>
      </c>
    </row>
    <row r="2577" spans="1:36" x14ac:dyDescent="0.3">
      <c r="A2577">
        <f>COUNTIF($D$2:D2577,D2577)</f>
        <v>13</v>
      </c>
      <c r="B2577" t="str">
        <f t="shared" si="161"/>
        <v>13West Sussex</v>
      </c>
      <c r="C2577" t="s">
        <v>6965</v>
      </c>
      <c r="D2577" t="s">
        <v>347</v>
      </c>
      <c r="E2577">
        <v>18</v>
      </c>
      <c r="F2577" t="s">
        <v>6966</v>
      </c>
      <c r="G2577" t="s">
        <v>842</v>
      </c>
      <c r="H2577" t="s">
        <v>856</v>
      </c>
      <c r="I2577" t="s">
        <v>844</v>
      </c>
      <c r="J2577">
        <f t="shared" ca="1" si="162"/>
        <v>970000</v>
      </c>
      <c r="K2577">
        <f t="shared" ca="1" si="163"/>
        <v>36400</v>
      </c>
      <c r="N2577" t="str">
        <f t="shared" si="160"/>
        <v>Swindon28Discharge from Hospital to Residential HomesResidential PlacementsCare home</v>
      </c>
      <c r="O2577" t="s">
        <v>317</v>
      </c>
      <c r="P2577" t="s">
        <v>976</v>
      </c>
      <c r="Q2577">
        <v>28</v>
      </c>
      <c r="R2577" t="s">
        <v>6420</v>
      </c>
      <c r="S2577" t="s">
        <v>6933</v>
      </c>
      <c r="T2577" t="s">
        <v>806</v>
      </c>
      <c r="U2577" t="s">
        <v>807</v>
      </c>
      <c r="W2577">
        <v>34</v>
      </c>
      <c r="X2577">
        <v>34</v>
      </c>
      <c r="Y2577" t="s">
        <v>808</v>
      </c>
      <c r="Z2577" t="s">
        <v>792</v>
      </c>
      <c r="AB2577" t="s">
        <v>793</v>
      </c>
      <c r="AD2577" t="s">
        <v>794</v>
      </c>
      <c r="AE2577" t="s">
        <v>804</v>
      </c>
      <c r="AF2577" t="s">
        <v>796</v>
      </c>
      <c r="AG2577" t="s">
        <v>797</v>
      </c>
      <c r="AH2577">
        <v>1325500</v>
      </c>
      <c r="AI2577">
        <v>1400523.3</v>
      </c>
      <c r="AJ2577">
        <v>0.05</v>
      </c>
    </row>
    <row r="2578" spans="1:36" x14ac:dyDescent="0.3">
      <c r="A2578">
        <f>COUNTIF($D$2:D2578,D2578)</f>
        <v>14</v>
      </c>
      <c r="B2578" t="str">
        <f t="shared" si="161"/>
        <v>14West Sussex</v>
      </c>
      <c r="C2578" t="s">
        <v>6967</v>
      </c>
      <c r="D2578" t="s">
        <v>347</v>
      </c>
      <c r="E2578">
        <v>19</v>
      </c>
      <c r="F2578" t="s">
        <v>6968</v>
      </c>
      <c r="G2578" t="s">
        <v>842</v>
      </c>
      <c r="H2578" t="s">
        <v>856</v>
      </c>
      <c r="I2578" t="s">
        <v>844</v>
      </c>
      <c r="J2578">
        <f t="shared" ca="1" si="162"/>
        <v>476068</v>
      </c>
      <c r="K2578">
        <f t="shared" ca="1" si="163"/>
        <v>6778</v>
      </c>
      <c r="N2578" t="str">
        <f t="shared" si="160"/>
        <v>Swindon32Equipment storesAssistive Technologies and EquipmentCommunity based equipment</v>
      </c>
      <c r="O2578" t="s">
        <v>317</v>
      </c>
      <c r="P2578" t="s">
        <v>976</v>
      </c>
      <c r="Q2578">
        <v>32</v>
      </c>
      <c r="R2578" t="s">
        <v>6456</v>
      </c>
      <c r="S2578" t="s">
        <v>6950</v>
      </c>
      <c r="T2578" t="s">
        <v>800</v>
      </c>
      <c r="U2578" t="s">
        <v>903</v>
      </c>
      <c r="W2578">
        <v>51</v>
      </c>
      <c r="X2578">
        <v>54</v>
      </c>
      <c r="Y2578" t="s">
        <v>802</v>
      </c>
      <c r="Z2578" t="s">
        <v>792</v>
      </c>
      <c r="AB2578" t="s">
        <v>793</v>
      </c>
      <c r="AD2578" t="s">
        <v>794</v>
      </c>
      <c r="AE2578" t="s">
        <v>832</v>
      </c>
      <c r="AF2578" t="s">
        <v>796</v>
      </c>
      <c r="AG2578" t="s">
        <v>797</v>
      </c>
      <c r="AH2578">
        <v>46500</v>
      </c>
      <c r="AI2578">
        <v>49131.9</v>
      </c>
      <c r="AJ2578">
        <v>0.01</v>
      </c>
    </row>
    <row r="2579" spans="1:36" x14ac:dyDescent="0.3">
      <c r="A2579">
        <f>COUNTIF($D$2:D2579,D2579)</f>
        <v>15</v>
      </c>
      <c r="B2579" t="str">
        <f t="shared" si="161"/>
        <v>15West Sussex</v>
      </c>
      <c r="C2579" t="s">
        <v>6969</v>
      </c>
      <c r="D2579" t="s">
        <v>347</v>
      </c>
      <c r="E2579">
        <v>19</v>
      </c>
      <c r="F2579" t="s">
        <v>6970</v>
      </c>
      <c r="G2579" t="s">
        <v>787</v>
      </c>
      <c r="H2579" t="s">
        <v>1195</v>
      </c>
      <c r="I2579" t="s">
        <v>789</v>
      </c>
      <c r="J2579">
        <f t="shared" ca="1" si="162"/>
        <v>853680</v>
      </c>
      <c r="K2579">
        <f t="shared" ca="1" si="163"/>
        <v>7665</v>
      </c>
      <c r="N2579" t="str">
        <f t="shared" si="160"/>
        <v>Tameside1Telecare/TelehealthAssistive Technologies and EquipmentAssistive technologies including telecare</v>
      </c>
      <c r="O2579" t="s">
        <v>319</v>
      </c>
      <c r="P2579" t="s">
        <v>1201</v>
      </c>
      <c r="Q2579">
        <v>1</v>
      </c>
      <c r="R2579" t="s">
        <v>6459</v>
      </c>
      <c r="S2579" t="s">
        <v>6971</v>
      </c>
      <c r="T2579" t="s">
        <v>800</v>
      </c>
      <c r="U2579" t="s">
        <v>850</v>
      </c>
      <c r="W2579">
        <v>130</v>
      </c>
      <c r="X2579">
        <v>130</v>
      </c>
      <c r="Y2579" t="s">
        <v>802</v>
      </c>
      <c r="Z2579" t="s">
        <v>823</v>
      </c>
      <c r="AB2579" t="s">
        <v>824</v>
      </c>
      <c r="AD2579" t="s">
        <v>794</v>
      </c>
      <c r="AE2579" t="s">
        <v>804</v>
      </c>
      <c r="AF2579" t="s">
        <v>796</v>
      </c>
      <c r="AG2579" t="s">
        <v>797</v>
      </c>
      <c r="AH2579">
        <v>126924.07802405996</v>
      </c>
      <c r="AI2579">
        <v>134107.98077464843</v>
      </c>
      <c r="AJ2579">
        <v>0</v>
      </c>
    </row>
    <row r="2580" spans="1:36" x14ac:dyDescent="0.3">
      <c r="A2580">
        <f>COUNTIF($D$2:D2580,D2580)</f>
        <v>16</v>
      </c>
      <c r="B2580" t="str">
        <f t="shared" si="161"/>
        <v>16West Sussex</v>
      </c>
      <c r="C2580" t="s">
        <v>6972</v>
      </c>
      <c r="D2580" t="s">
        <v>347</v>
      </c>
      <c r="E2580">
        <v>19</v>
      </c>
      <c r="F2580" t="s">
        <v>6973</v>
      </c>
      <c r="G2580" t="s">
        <v>806</v>
      </c>
      <c r="H2580" t="s">
        <v>807</v>
      </c>
      <c r="I2580" t="s">
        <v>808</v>
      </c>
      <c r="J2580">
        <f t="shared" ca="1" si="162"/>
        <v>345000</v>
      </c>
      <c r="K2580">
        <f t="shared" ca="1" si="163"/>
        <v>300</v>
      </c>
      <c r="N2580" t="str">
        <f t="shared" si="160"/>
        <v>Tameside4Integrated Community Equipment ServiceAssistive Technologies and EquipmentCommunity based equipment</v>
      </c>
      <c r="O2580" t="s">
        <v>319</v>
      </c>
      <c r="P2580" t="s">
        <v>1201</v>
      </c>
      <c r="Q2580">
        <v>4</v>
      </c>
      <c r="R2580" t="s">
        <v>1084</v>
      </c>
      <c r="S2580" t="s">
        <v>6974</v>
      </c>
      <c r="T2580" t="s">
        <v>800</v>
      </c>
      <c r="U2580" t="s">
        <v>903</v>
      </c>
      <c r="W2580">
        <v>16000</v>
      </c>
      <c r="X2580">
        <v>16000</v>
      </c>
      <c r="Y2580" t="s">
        <v>802</v>
      </c>
      <c r="Z2580" t="s">
        <v>823</v>
      </c>
      <c r="AB2580" t="s">
        <v>824</v>
      </c>
      <c r="AD2580" t="s">
        <v>794</v>
      </c>
      <c r="AE2580" t="s">
        <v>804</v>
      </c>
      <c r="AF2580" t="s">
        <v>796</v>
      </c>
      <c r="AG2580" t="s">
        <v>797</v>
      </c>
      <c r="AH2580">
        <v>1016164.998810882</v>
      </c>
      <c r="AI2580">
        <v>1073679.9372185925</v>
      </c>
      <c r="AJ2580">
        <v>0.03</v>
      </c>
    </row>
    <row r="2581" spans="1:36" x14ac:dyDescent="0.3">
      <c r="A2581">
        <f>COUNTIF($D$2:D2581,D2581)</f>
        <v>17</v>
      </c>
      <c r="B2581" t="str">
        <f t="shared" si="161"/>
        <v>17West Sussex</v>
      </c>
      <c r="C2581" t="s">
        <v>6975</v>
      </c>
      <c r="D2581" t="s">
        <v>347</v>
      </c>
      <c r="E2581">
        <v>19</v>
      </c>
      <c r="F2581" t="s">
        <v>6976</v>
      </c>
      <c r="G2581" t="s">
        <v>787</v>
      </c>
      <c r="H2581" t="s">
        <v>1195</v>
      </c>
      <c r="I2581" t="s">
        <v>789</v>
      </c>
      <c r="J2581">
        <f t="shared" ca="1" si="162"/>
        <v>356556</v>
      </c>
      <c r="K2581">
        <f t="shared" ca="1" si="163"/>
        <v>18250</v>
      </c>
      <c r="N2581" t="str">
        <f t="shared" si="160"/>
        <v>Tameside9Carer Breaks (Adults)Carers ServicesRespite services</v>
      </c>
      <c r="O2581" t="s">
        <v>319</v>
      </c>
      <c r="P2581" t="s">
        <v>1201</v>
      </c>
      <c r="Q2581">
        <v>9</v>
      </c>
      <c r="R2581" t="s">
        <v>6464</v>
      </c>
      <c r="S2581" t="s">
        <v>6464</v>
      </c>
      <c r="T2581" t="s">
        <v>811</v>
      </c>
      <c r="U2581" t="s">
        <v>830</v>
      </c>
      <c r="W2581">
        <v>384</v>
      </c>
      <c r="X2581">
        <v>528</v>
      </c>
      <c r="Y2581" t="s">
        <v>813</v>
      </c>
      <c r="Z2581" t="s">
        <v>792</v>
      </c>
      <c r="AB2581" t="s">
        <v>824</v>
      </c>
      <c r="AD2581" t="s">
        <v>794</v>
      </c>
      <c r="AE2581" t="s">
        <v>804</v>
      </c>
      <c r="AF2581" t="s">
        <v>796</v>
      </c>
      <c r="AG2581" t="s">
        <v>797</v>
      </c>
      <c r="AH2581">
        <v>151519.61341006678</v>
      </c>
      <c r="AI2581">
        <v>160095.62345079635</v>
      </c>
      <c r="AJ2581">
        <v>0.69</v>
      </c>
    </row>
    <row r="2582" spans="1:36" x14ac:dyDescent="0.3">
      <c r="A2582">
        <f>COUNTIF($D$2:D2582,D2582)</f>
        <v>18</v>
      </c>
      <c r="B2582" t="str">
        <f t="shared" si="161"/>
        <v>18West Sussex</v>
      </c>
      <c r="C2582" t="s">
        <v>6977</v>
      </c>
      <c r="D2582" t="s">
        <v>347</v>
      </c>
      <c r="E2582">
        <v>19</v>
      </c>
      <c r="F2582" t="s">
        <v>6978</v>
      </c>
      <c r="G2582" t="s">
        <v>800</v>
      </c>
      <c r="H2582" t="s">
        <v>850</v>
      </c>
      <c r="I2582" t="s">
        <v>802</v>
      </c>
      <c r="J2582">
        <f t="shared" ca="1" si="162"/>
        <v>280000</v>
      </c>
      <c r="K2582">
        <f t="shared" ca="1" si="163"/>
        <v>1464</v>
      </c>
      <c r="N2582" t="str">
        <f t="shared" si="160"/>
        <v>Tameside17Telecare/TelehealthAssistive Technologies and EquipmentCommunity based equipment</v>
      </c>
      <c r="O2582" t="s">
        <v>319</v>
      </c>
      <c r="P2582" t="s">
        <v>1201</v>
      </c>
      <c r="Q2582">
        <v>17</v>
      </c>
      <c r="R2582" t="s">
        <v>6459</v>
      </c>
      <c r="S2582" t="s">
        <v>6979</v>
      </c>
      <c r="T2582" t="s">
        <v>800</v>
      </c>
      <c r="U2582" t="s">
        <v>903</v>
      </c>
      <c r="W2582">
        <v>60</v>
      </c>
      <c r="X2582">
        <v>60</v>
      </c>
      <c r="Y2582" t="s">
        <v>802</v>
      </c>
      <c r="Z2582" t="s">
        <v>823</v>
      </c>
      <c r="AB2582" t="s">
        <v>793</v>
      </c>
      <c r="AD2582" t="s">
        <v>794</v>
      </c>
      <c r="AE2582" t="s">
        <v>1119</v>
      </c>
      <c r="AF2582" t="s">
        <v>796</v>
      </c>
      <c r="AG2582" t="s">
        <v>797</v>
      </c>
      <c r="AH2582">
        <v>52830.001258713826</v>
      </c>
      <c r="AI2582">
        <v>55820.179302663251</v>
      </c>
      <c r="AJ2582">
        <v>0</v>
      </c>
    </row>
    <row r="2583" spans="1:36" x14ac:dyDescent="0.3">
      <c r="A2583">
        <f>COUNTIF($D$2:D2583,D2583)</f>
        <v>19</v>
      </c>
      <c r="B2583" t="str">
        <f t="shared" si="161"/>
        <v>19West Sussex</v>
      </c>
      <c r="C2583" t="s">
        <v>6980</v>
      </c>
      <c r="D2583" t="s">
        <v>347</v>
      </c>
      <c r="E2583">
        <v>19</v>
      </c>
      <c r="F2583" t="s">
        <v>6981</v>
      </c>
      <c r="G2583" t="s">
        <v>842</v>
      </c>
      <c r="H2583" t="s">
        <v>856</v>
      </c>
      <c r="I2583" t="s">
        <v>844</v>
      </c>
      <c r="J2583">
        <f t="shared" ca="1" si="162"/>
        <v>799992</v>
      </c>
      <c r="K2583">
        <f t="shared" ca="1" si="163"/>
        <v>6400</v>
      </c>
      <c r="N2583" t="str">
        <f t="shared" si="160"/>
        <v>Tameside18Disabled Facilities GrantDFG Related SchemesAdaptations, including statutory DFG grants</v>
      </c>
      <c r="O2583" t="s">
        <v>319</v>
      </c>
      <c r="P2583" t="s">
        <v>1201</v>
      </c>
      <c r="Q2583">
        <v>18</v>
      </c>
      <c r="R2583" t="s">
        <v>891</v>
      </c>
      <c r="S2583" t="s">
        <v>891</v>
      </c>
      <c r="T2583" t="s">
        <v>834</v>
      </c>
      <c r="U2583" t="s">
        <v>835</v>
      </c>
      <c r="W2583">
        <v>240</v>
      </c>
      <c r="X2583">
        <v>240</v>
      </c>
      <c r="Y2583" t="s">
        <v>836</v>
      </c>
      <c r="Z2583" t="s">
        <v>792</v>
      </c>
      <c r="AB2583" t="s">
        <v>793</v>
      </c>
      <c r="AD2583" t="s">
        <v>794</v>
      </c>
      <c r="AE2583" t="s">
        <v>804</v>
      </c>
      <c r="AF2583" t="s">
        <v>840</v>
      </c>
      <c r="AG2583" t="s">
        <v>797</v>
      </c>
      <c r="AH2583">
        <v>2849319</v>
      </c>
      <c r="AI2583">
        <v>2849319</v>
      </c>
      <c r="AJ2583">
        <v>1</v>
      </c>
    </row>
    <row r="2584" spans="1:36" x14ac:dyDescent="0.3">
      <c r="A2584">
        <f>COUNTIF($D$2:D2584,D2584)</f>
        <v>1</v>
      </c>
      <c r="B2584" t="str">
        <f t="shared" si="161"/>
        <v>1Westminster</v>
      </c>
      <c r="C2584" t="s">
        <v>6982</v>
      </c>
      <c r="D2584" t="s">
        <v>349</v>
      </c>
      <c r="E2584">
        <v>1</v>
      </c>
      <c r="F2584" t="s">
        <v>6983</v>
      </c>
      <c r="G2584" t="s">
        <v>842</v>
      </c>
      <c r="H2584" t="s">
        <v>843</v>
      </c>
      <c r="I2584" t="s">
        <v>844</v>
      </c>
      <c r="J2584">
        <f t="shared" ca="1" si="162"/>
        <v>4835703.1824000003</v>
      </c>
      <c r="K2584">
        <f t="shared" ca="1" si="163"/>
        <v>247985</v>
      </c>
      <c r="N2584" t="str">
        <f t="shared" si="160"/>
        <v>Tameside19In house Home Care ServiceHome Care or Domiciliary CareDomiciliary care packages</v>
      </c>
      <c r="O2584" t="s">
        <v>319</v>
      </c>
      <c r="P2584" t="s">
        <v>1201</v>
      </c>
      <c r="Q2584">
        <v>19</v>
      </c>
      <c r="R2584" t="s">
        <v>6471</v>
      </c>
      <c r="S2584" t="s">
        <v>6984</v>
      </c>
      <c r="T2584" t="s">
        <v>842</v>
      </c>
      <c r="U2584" t="s">
        <v>843</v>
      </c>
      <c r="W2584">
        <v>19866</v>
      </c>
      <c r="X2584">
        <v>19866</v>
      </c>
      <c r="Y2584" t="s">
        <v>844</v>
      </c>
      <c r="Z2584" t="s">
        <v>792</v>
      </c>
      <c r="AB2584" t="s">
        <v>793</v>
      </c>
      <c r="AD2584" t="s">
        <v>794</v>
      </c>
      <c r="AE2584" t="s">
        <v>795</v>
      </c>
      <c r="AF2584" t="s">
        <v>845</v>
      </c>
      <c r="AG2584" t="s">
        <v>797</v>
      </c>
      <c r="AH2584">
        <v>419296</v>
      </c>
      <c r="AI2584">
        <v>419296</v>
      </c>
      <c r="AJ2584">
        <v>0.5</v>
      </c>
    </row>
    <row r="2585" spans="1:36" x14ac:dyDescent="0.3">
      <c r="A2585">
        <f>COUNTIF($D$2:D2585,D2585)</f>
        <v>2</v>
      </c>
      <c r="B2585" t="str">
        <f t="shared" si="161"/>
        <v>2Westminster</v>
      </c>
      <c r="C2585" t="s">
        <v>6985</v>
      </c>
      <c r="D2585" t="s">
        <v>349</v>
      </c>
      <c r="E2585">
        <v>2</v>
      </c>
      <c r="F2585" t="s">
        <v>6986</v>
      </c>
      <c r="G2585" t="s">
        <v>811</v>
      </c>
      <c r="H2585" t="s">
        <v>830</v>
      </c>
      <c r="I2585" t="s">
        <v>813</v>
      </c>
      <c r="J2585">
        <f t="shared" ca="1" si="162"/>
        <v>2075060</v>
      </c>
      <c r="K2585">
        <f t="shared" ca="1" si="163"/>
        <v>1038</v>
      </c>
      <c r="N2585" t="str">
        <f t="shared" si="160"/>
        <v>Tameside24Care Homes - Residential PlacementsResidential PlacementsCare home</v>
      </c>
      <c r="O2585" t="s">
        <v>319</v>
      </c>
      <c r="P2585" t="s">
        <v>1201</v>
      </c>
      <c r="Q2585">
        <v>24</v>
      </c>
      <c r="R2585" t="s">
        <v>6474</v>
      </c>
      <c r="S2585" t="s">
        <v>6987</v>
      </c>
      <c r="T2585" t="s">
        <v>806</v>
      </c>
      <c r="U2585" t="s">
        <v>807</v>
      </c>
      <c r="W2585">
        <v>92</v>
      </c>
      <c r="X2585">
        <v>92</v>
      </c>
      <c r="Y2585" t="s">
        <v>808</v>
      </c>
      <c r="Z2585" t="s">
        <v>792</v>
      </c>
      <c r="AB2585" t="s">
        <v>793</v>
      </c>
      <c r="AD2585" t="s">
        <v>794</v>
      </c>
      <c r="AE2585" t="s">
        <v>804</v>
      </c>
      <c r="AF2585" t="s">
        <v>845</v>
      </c>
      <c r="AG2585" t="s">
        <v>797</v>
      </c>
      <c r="AH2585">
        <v>3058787</v>
      </c>
      <c r="AI2585">
        <v>3058787</v>
      </c>
      <c r="AJ2585">
        <v>0.19</v>
      </c>
    </row>
    <row r="2586" spans="1:36" x14ac:dyDescent="0.3">
      <c r="A2586">
        <f>COUNTIF($D$2:D2586,D2586)</f>
        <v>3</v>
      </c>
      <c r="B2586" t="str">
        <f t="shared" si="161"/>
        <v>3Westminster</v>
      </c>
      <c r="C2586" t="s">
        <v>6988</v>
      </c>
      <c r="D2586" t="s">
        <v>349</v>
      </c>
      <c r="E2586">
        <v>3</v>
      </c>
      <c r="F2586" t="s">
        <v>3489</v>
      </c>
      <c r="G2586" t="s">
        <v>800</v>
      </c>
      <c r="H2586" t="s">
        <v>850</v>
      </c>
      <c r="I2586" t="s">
        <v>802</v>
      </c>
      <c r="J2586">
        <f t="shared" ca="1" si="162"/>
        <v>755127.7182</v>
      </c>
      <c r="K2586">
        <f t="shared" ca="1" si="163"/>
        <v>1302</v>
      </c>
      <c r="N2586" t="str">
        <f t="shared" si="160"/>
        <v>Tameside25Care Home ContractResidential PlacementsCare home</v>
      </c>
      <c r="O2586" t="s">
        <v>319</v>
      </c>
      <c r="P2586" t="s">
        <v>1201</v>
      </c>
      <c r="Q2586">
        <v>25</v>
      </c>
      <c r="R2586" t="s">
        <v>6477</v>
      </c>
      <c r="S2586" t="s">
        <v>6989</v>
      </c>
      <c r="T2586" t="s">
        <v>806</v>
      </c>
      <c r="U2586" t="s">
        <v>807</v>
      </c>
      <c r="V2586" t="s">
        <v>6990</v>
      </c>
      <c r="W2586">
        <v>18</v>
      </c>
      <c r="X2586">
        <v>18</v>
      </c>
      <c r="Y2586" t="s">
        <v>808</v>
      </c>
      <c r="Z2586" t="s">
        <v>792</v>
      </c>
      <c r="AB2586" t="s">
        <v>793</v>
      </c>
      <c r="AD2586" t="s">
        <v>794</v>
      </c>
      <c r="AE2586" t="s">
        <v>804</v>
      </c>
      <c r="AF2586" t="s">
        <v>845</v>
      </c>
      <c r="AG2586" t="s">
        <v>797</v>
      </c>
      <c r="AH2586">
        <v>609006</v>
      </c>
      <c r="AI2586">
        <v>609006</v>
      </c>
      <c r="AJ2586">
        <v>0.04</v>
      </c>
    </row>
    <row r="2587" spans="1:36" x14ac:dyDescent="0.3">
      <c r="A2587">
        <f>COUNTIF($D$2:D2587,D2587)</f>
        <v>4</v>
      </c>
      <c r="B2587" t="str">
        <f t="shared" si="161"/>
        <v>4Westminster</v>
      </c>
      <c r="C2587" t="s">
        <v>6991</v>
      </c>
      <c r="D2587" t="s">
        <v>349</v>
      </c>
      <c r="E2587">
        <v>5</v>
      </c>
      <c r="F2587" t="s">
        <v>6992</v>
      </c>
      <c r="G2587" t="s">
        <v>806</v>
      </c>
      <c r="H2587" t="s">
        <v>873</v>
      </c>
      <c r="I2587" t="s">
        <v>808</v>
      </c>
      <c r="J2587">
        <f t="shared" ca="1" si="162"/>
        <v>135980.19360000003</v>
      </c>
      <c r="K2587">
        <f t="shared" ca="1" si="163"/>
        <v>2</v>
      </c>
      <c r="N2587" t="str">
        <f t="shared" si="160"/>
        <v>Tameside33Demographic PressuresResidential PlacementsCare home</v>
      </c>
      <c r="O2587" t="s">
        <v>319</v>
      </c>
      <c r="P2587" t="s">
        <v>1201</v>
      </c>
      <c r="Q2587">
        <v>33</v>
      </c>
      <c r="R2587" t="s">
        <v>6480</v>
      </c>
      <c r="S2587" t="s">
        <v>6480</v>
      </c>
      <c r="T2587" t="s">
        <v>806</v>
      </c>
      <c r="U2587" t="s">
        <v>807</v>
      </c>
      <c r="W2587">
        <v>2</v>
      </c>
      <c r="X2587">
        <v>2</v>
      </c>
      <c r="Y2587" t="s">
        <v>808</v>
      </c>
      <c r="Z2587" t="s">
        <v>792</v>
      </c>
      <c r="AB2587" t="s">
        <v>793</v>
      </c>
      <c r="AD2587" t="s">
        <v>794</v>
      </c>
      <c r="AE2587" t="s">
        <v>804</v>
      </c>
      <c r="AF2587" t="s">
        <v>845</v>
      </c>
      <c r="AG2587" t="s">
        <v>797</v>
      </c>
      <c r="AH2587">
        <v>70343</v>
      </c>
      <c r="AI2587">
        <v>70343</v>
      </c>
      <c r="AJ2587">
        <v>0</v>
      </c>
    </row>
    <row r="2588" spans="1:36" x14ac:dyDescent="0.3">
      <c r="A2588">
        <f>COUNTIF($D$2:D2588,D2588)</f>
        <v>5</v>
      </c>
      <c r="B2588" t="str">
        <f t="shared" si="161"/>
        <v>5Westminster</v>
      </c>
      <c r="C2588" t="s">
        <v>6993</v>
      </c>
      <c r="D2588" t="s">
        <v>349</v>
      </c>
      <c r="E2588">
        <v>6</v>
      </c>
      <c r="F2588" t="s">
        <v>6994</v>
      </c>
      <c r="G2588" t="s">
        <v>811</v>
      </c>
      <c r="H2588" t="s">
        <v>812</v>
      </c>
      <c r="I2588" t="s">
        <v>813</v>
      </c>
      <c r="J2588">
        <f t="shared" ca="1" si="162"/>
        <v>124539.3288</v>
      </c>
      <c r="K2588">
        <f t="shared" ca="1" si="163"/>
        <v>110</v>
      </c>
      <c r="N2588" t="str">
        <f t="shared" si="160"/>
        <v>Tameside42Care Homes - Residential PlacementsResidential PlacementsCare home</v>
      </c>
      <c r="O2588" t="s">
        <v>319</v>
      </c>
      <c r="P2588" t="s">
        <v>1201</v>
      </c>
      <c r="Q2588">
        <v>42</v>
      </c>
      <c r="R2588" t="s">
        <v>6474</v>
      </c>
      <c r="S2588" t="s">
        <v>6987</v>
      </c>
      <c r="T2588" t="s">
        <v>806</v>
      </c>
      <c r="U2588" t="s">
        <v>807</v>
      </c>
      <c r="W2588">
        <v>18</v>
      </c>
      <c r="X2588">
        <v>28</v>
      </c>
      <c r="Y2588" t="s">
        <v>808</v>
      </c>
      <c r="Z2588" t="s">
        <v>792</v>
      </c>
      <c r="AB2588" t="s">
        <v>793</v>
      </c>
      <c r="AD2588" t="s">
        <v>794</v>
      </c>
      <c r="AE2588" t="s">
        <v>804</v>
      </c>
      <c r="AF2588" t="s">
        <v>864</v>
      </c>
      <c r="AG2588" t="s">
        <v>861</v>
      </c>
      <c r="AH2588">
        <v>588141</v>
      </c>
      <c r="AI2588">
        <v>976315</v>
      </c>
      <c r="AJ2588">
        <v>0.04</v>
      </c>
    </row>
    <row r="2589" spans="1:36" x14ac:dyDescent="0.3">
      <c r="A2589">
        <f>COUNTIF($D$2:D2589,D2589)</f>
        <v>6</v>
      </c>
      <c r="B2589" t="str">
        <f t="shared" si="161"/>
        <v>6Westminster</v>
      </c>
      <c r="C2589" t="s">
        <v>6995</v>
      </c>
      <c r="D2589" t="s">
        <v>349</v>
      </c>
      <c r="E2589">
        <v>17</v>
      </c>
      <c r="F2589" t="s">
        <v>1051</v>
      </c>
      <c r="G2589" t="s">
        <v>800</v>
      </c>
      <c r="H2589" t="s">
        <v>903</v>
      </c>
      <c r="I2589" t="s">
        <v>802</v>
      </c>
      <c r="J2589">
        <f t="shared" ca="1" si="162"/>
        <v>1514056</v>
      </c>
      <c r="K2589">
        <f t="shared" ca="1" si="163"/>
        <v>2610</v>
      </c>
      <c r="N2589" t="str">
        <f t="shared" si="160"/>
        <v>Tameside43Care Homes - Nursing PlacementsResidential PlacementsNursing home</v>
      </c>
      <c r="O2589" t="s">
        <v>319</v>
      </c>
      <c r="P2589" t="s">
        <v>1201</v>
      </c>
      <c r="Q2589">
        <v>43</v>
      </c>
      <c r="R2589" t="s">
        <v>6485</v>
      </c>
      <c r="S2589" t="s">
        <v>6996</v>
      </c>
      <c r="T2589" t="s">
        <v>806</v>
      </c>
      <c r="U2589" t="s">
        <v>917</v>
      </c>
      <c r="W2589">
        <v>16</v>
      </c>
      <c r="X2589">
        <v>27</v>
      </c>
      <c r="Y2589" t="s">
        <v>808</v>
      </c>
      <c r="Z2589" t="s">
        <v>792</v>
      </c>
      <c r="AB2589" t="s">
        <v>793</v>
      </c>
      <c r="AD2589" t="s">
        <v>794</v>
      </c>
      <c r="AE2589" t="s">
        <v>804</v>
      </c>
      <c r="AF2589" t="s">
        <v>864</v>
      </c>
      <c r="AG2589" t="s">
        <v>861</v>
      </c>
      <c r="AH2589">
        <v>588141</v>
      </c>
      <c r="AI2589">
        <v>976315</v>
      </c>
      <c r="AJ2589">
        <v>0.04</v>
      </c>
    </row>
    <row r="2590" spans="1:36" x14ac:dyDescent="0.3">
      <c r="A2590">
        <f>COUNTIF($D$2:D2590,D2590)</f>
        <v>7</v>
      </c>
      <c r="B2590" t="str">
        <f t="shared" si="161"/>
        <v>7Westminster</v>
      </c>
      <c r="C2590" t="s">
        <v>6997</v>
      </c>
      <c r="D2590" t="s">
        <v>349</v>
      </c>
      <c r="E2590">
        <v>26</v>
      </c>
      <c r="F2590" t="s">
        <v>6983</v>
      </c>
      <c r="G2590" t="s">
        <v>842</v>
      </c>
      <c r="H2590" t="s">
        <v>843</v>
      </c>
      <c r="I2590" t="s">
        <v>844</v>
      </c>
      <c r="J2590">
        <f t="shared" ca="1" si="162"/>
        <v>608262</v>
      </c>
      <c r="K2590">
        <f t="shared" ca="1" si="163"/>
        <v>3119</v>
      </c>
      <c r="N2590" t="str">
        <f t="shared" si="160"/>
        <v>Tameside44Home Care - PackagesHome Care or Domiciliary CareDomiciliary care packages</v>
      </c>
      <c r="O2590" t="s">
        <v>319</v>
      </c>
      <c r="P2590" t="s">
        <v>1201</v>
      </c>
      <c r="Q2590">
        <v>44</v>
      </c>
      <c r="R2590" t="s">
        <v>6488</v>
      </c>
      <c r="S2590" t="s">
        <v>6998</v>
      </c>
      <c r="T2590" t="s">
        <v>842</v>
      </c>
      <c r="U2590" t="s">
        <v>843</v>
      </c>
      <c r="W2590">
        <v>27819</v>
      </c>
      <c r="X2590">
        <v>46179</v>
      </c>
      <c r="Y2590" t="s">
        <v>844</v>
      </c>
      <c r="Z2590" t="s">
        <v>792</v>
      </c>
      <c r="AB2590" t="s">
        <v>793</v>
      </c>
      <c r="AD2590" t="s">
        <v>794</v>
      </c>
      <c r="AE2590" t="s">
        <v>804</v>
      </c>
      <c r="AF2590" t="s">
        <v>864</v>
      </c>
      <c r="AG2590" t="s">
        <v>861</v>
      </c>
      <c r="AH2590">
        <v>588142</v>
      </c>
      <c r="AI2590">
        <v>976314</v>
      </c>
      <c r="AJ2590">
        <v>0.12</v>
      </c>
    </row>
    <row r="2591" spans="1:36" x14ac:dyDescent="0.3">
      <c r="A2591">
        <f>COUNTIF($D$2:D2591,D2591)</f>
        <v>8</v>
      </c>
      <c r="B2591" t="str">
        <f t="shared" si="161"/>
        <v>8Westminster</v>
      </c>
      <c r="C2591" t="s">
        <v>6999</v>
      </c>
      <c r="D2591" t="s">
        <v>349</v>
      </c>
      <c r="E2591">
        <v>27</v>
      </c>
      <c r="F2591" t="s">
        <v>7000</v>
      </c>
      <c r="G2591" t="s">
        <v>834</v>
      </c>
      <c r="H2591" t="s">
        <v>1732</v>
      </c>
      <c r="I2591" t="s">
        <v>836</v>
      </c>
      <c r="J2591">
        <f t="shared" ca="1" si="162"/>
        <v>120000</v>
      </c>
      <c r="K2591">
        <f t="shared" ca="1" si="163"/>
        <v>800</v>
      </c>
      <c r="N2591" t="str">
        <f t="shared" si="160"/>
        <v>Tameside48Intermediate Care Step DownBed based intermediate Care Services (Reablement, rehabilitation, wider short-term services supporting recovery)Bed-based intermediate care with reablement accepting step up and step down users</v>
      </c>
      <c r="O2591" t="s">
        <v>319</v>
      </c>
      <c r="P2591" t="s">
        <v>1201</v>
      </c>
      <c r="Q2591">
        <v>48</v>
      </c>
      <c r="R2591" t="s">
        <v>6491</v>
      </c>
      <c r="S2591" t="s">
        <v>7001</v>
      </c>
      <c r="T2591" t="s">
        <v>877</v>
      </c>
      <c r="U2591" t="s">
        <v>1259</v>
      </c>
      <c r="W2591">
        <v>7</v>
      </c>
      <c r="X2591">
        <v>7</v>
      </c>
      <c r="Y2591" t="s">
        <v>879</v>
      </c>
      <c r="Z2591" t="s">
        <v>823</v>
      </c>
      <c r="AB2591" t="s">
        <v>824</v>
      </c>
      <c r="AD2591" t="s">
        <v>794</v>
      </c>
      <c r="AE2591" t="s">
        <v>824</v>
      </c>
      <c r="AF2591" t="s">
        <v>860</v>
      </c>
      <c r="AG2591" t="s">
        <v>861</v>
      </c>
      <c r="AH2591">
        <v>347830</v>
      </c>
      <c r="AI2591">
        <v>535071.70232127327</v>
      </c>
      <c r="AJ2591">
        <v>0.01</v>
      </c>
    </row>
    <row r="2592" spans="1:36" x14ac:dyDescent="0.3">
      <c r="A2592">
        <f>COUNTIF($D$2:D2592,D2592)</f>
        <v>9</v>
      </c>
      <c r="B2592" t="str">
        <f t="shared" si="161"/>
        <v>9Westminster</v>
      </c>
      <c r="C2592" t="s">
        <v>7002</v>
      </c>
      <c r="D2592" t="s">
        <v>349</v>
      </c>
      <c r="E2592">
        <v>28</v>
      </c>
      <c r="F2592" t="s">
        <v>3495</v>
      </c>
      <c r="G2592" t="s">
        <v>834</v>
      </c>
      <c r="H2592" t="s">
        <v>835</v>
      </c>
      <c r="I2592" t="s">
        <v>836</v>
      </c>
      <c r="J2592">
        <f t="shared" ca="1" si="162"/>
        <v>1609201</v>
      </c>
      <c r="K2592">
        <f t="shared" ca="1" si="163"/>
        <v>200</v>
      </c>
      <c r="N2592" t="str">
        <f t="shared" si="160"/>
        <v>Tameside51Care Homes - Nursing PlacementsResidential PlacementsNursing home</v>
      </c>
      <c r="O2592" t="s">
        <v>319</v>
      </c>
      <c r="P2592" t="s">
        <v>1201</v>
      </c>
      <c r="Q2592">
        <v>51</v>
      </c>
      <c r="R2592" t="s">
        <v>6485</v>
      </c>
      <c r="S2592" t="s">
        <v>6996</v>
      </c>
      <c r="T2592" t="s">
        <v>806</v>
      </c>
      <c r="U2592" t="s">
        <v>917</v>
      </c>
      <c r="W2592">
        <v>84</v>
      </c>
      <c r="X2592">
        <v>84</v>
      </c>
      <c r="Y2592" t="s">
        <v>808</v>
      </c>
      <c r="Z2592" t="s">
        <v>792</v>
      </c>
      <c r="AB2592" t="s">
        <v>793</v>
      </c>
      <c r="AD2592" t="s">
        <v>794</v>
      </c>
      <c r="AE2592" t="s">
        <v>804</v>
      </c>
      <c r="AF2592" t="s">
        <v>845</v>
      </c>
      <c r="AG2592" t="s">
        <v>797</v>
      </c>
      <c r="AH2592">
        <v>3058787</v>
      </c>
      <c r="AI2592">
        <v>3058787</v>
      </c>
      <c r="AJ2592">
        <v>0.19</v>
      </c>
    </row>
    <row r="2593" spans="1:36" x14ac:dyDescent="0.3">
      <c r="A2593">
        <f>COUNTIF($D$2:D2593,D2593)</f>
        <v>10</v>
      </c>
      <c r="B2593" t="str">
        <f t="shared" si="161"/>
        <v>10Westminster</v>
      </c>
      <c r="C2593" t="s">
        <v>7003</v>
      </c>
      <c r="D2593" t="s">
        <v>349</v>
      </c>
      <c r="E2593">
        <v>29</v>
      </c>
      <c r="F2593" t="s">
        <v>3501</v>
      </c>
      <c r="G2593" t="s">
        <v>842</v>
      </c>
      <c r="H2593" t="s">
        <v>843</v>
      </c>
      <c r="I2593" t="s">
        <v>844</v>
      </c>
      <c r="J2593">
        <f t="shared" ca="1" si="162"/>
        <v>14413304</v>
      </c>
      <c r="K2593">
        <f t="shared" ca="1" si="163"/>
        <v>739143</v>
      </c>
      <c r="N2593" t="str">
        <f t="shared" si="160"/>
        <v>Tameside52Home Care - PackagesHome Care or Domiciliary CareDomiciliary care packages</v>
      </c>
      <c r="O2593" t="s">
        <v>319</v>
      </c>
      <c r="P2593" t="s">
        <v>1201</v>
      </c>
      <c r="Q2593">
        <v>52</v>
      </c>
      <c r="R2593" t="s">
        <v>6488</v>
      </c>
      <c r="S2593" t="s">
        <v>6998</v>
      </c>
      <c r="T2593" t="s">
        <v>842</v>
      </c>
      <c r="U2593" t="s">
        <v>843</v>
      </c>
      <c r="W2593">
        <v>144678</v>
      </c>
      <c r="X2593">
        <v>144678</v>
      </c>
      <c r="Y2593" t="s">
        <v>844</v>
      </c>
      <c r="Z2593" t="s">
        <v>792</v>
      </c>
      <c r="AB2593" t="s">
        <v>793</v>
      </c>
      <c r="AD2593" t="s">
        <v>794</v>
      </c>
      <c r="AE2593" t="s">
        <v>804</v>
      </c>
      <c r="AF2593" t="s">
        <v>845</v>
      </c>
      <c r="AG2593" t="s">
        <v>797</v>
      </c>
      <c r="AH2593">
        <v>3058787</v>
      </c>
      <c r="AI2593">
        <v>3058787</v>
      </c>
      <c r="AJ2593">
        <v>0.62</v>
      </c>
    </row>
    <row r="2594" spans="1:36" x14ac:dyDescent="0.3">
      <c r="A2594">
        <f>COUNTIF($D$2:D2594,D2594)</f>
        <v>11</v>
      </c>
      <c r="B2594" t="str">
        <f t="shared" si="161"/>
        <v>11Westminster</v>
      </c>
      <c r="C2594" t="s">
        <v>7004</v>
      </c>
      <c r="D2594" t="s">
        <v>349</v>
      </c>
      <c r="E2594">
        <v>33</v>
      </c>
      <c r="F2594" t="s">
        <v>3507</v>
      </c>
      <c r="G2594" t="s">
        <v>877</v>
      </c>
      <c r="H2594" t="s">
        <v>878</v>
      </c>
      <c r="I2594" t="s">
        <v>879</v>
      </c>
      <c r="J2594">
        <f t="shared" ca="1" si="162"/>
        <v>402574</v>
      </c>
      <c r="K2594">
        <f t="shared" ca="1" si="163"/>
        <v>10</v>
      </c>
      <c r="N2594" t="str">
        <f t="shared" si="160"/>
        <v>Telford and Wrekin2Enablement Homecare &amp; BedsHome-based intermediate care servicesRehabilitation at home (to prevent admission to hospital or residential care)</v>
      </c>
      <c r="O2594" t="s">
        <v>321</v>
      </c>
      <c r="P2594" t="s">
        <v>1172</v>
      </c>
      <c r="Q2594">
        <v>2</v>
      </c>
      <c r="R2594" t="s">
        <v>6498</v>
      </c>
      <c r="S2594" t="s">
        <v>964</v>
      </c>
      <c r="T2594" t="s">
        <v>787</v>
      </c>
      <c r="U2594" t="s">
        <v>1011</v>
      </c>
      <c r="W2594">
        <v>121</v>
      </c>
      <c r="X2594">
        <v>121</v>
      </c>
      <c r="Y2594" t="s">
        <v>789</v>
      </c>
      <c r="Z2594" t="s">
        <v>792</v>
      </c>
      <c r="AB2594" t="s">
        <v>793</v>
      </c>
      <c r="AD2594" t="s">
        <v>794</v>
      </c>
      <c r="AE2594" t="s">
        <v>804</v>
      </c>
      <c r="AF2594" t="s">
        <v>1042</v>
      </c>
      <c r="AG2594" t="s">
        <v>797</v>
      </c>
      <c r="AH2594">
        <v>147000</v>
      </c>
      <c r="AI2594">
        <v>155320</v>
      </c>
      <c r="AJ2594">
        <v>2.3E-2</v>
      </c>
    </row>
    <row r="2595" spans="1:36" x14ac:dyDescent="0.3">
      <c r="A2595">
        <f>COUNTIF($D$2:D2595,D2595)</f>
        <v>12</v>
      </c>
      <c r="B2595" t="str">
        <f t="shared" si="161"/>
        <v>12Westminster</v>
      </c>
      <c r="C2595" t="s">
        <v>7005</v>
      </c>
      <c r="D2595" t="s">
        <v>349</v>
      </c>
      <c r="E2595">
        <v>34</v>
      </c>
      <c r="F2595" t="s">
        <v>7006</v>
      </c>
      <c r="G2595" t="s">
        <v>877</v>
      </c>
      <c r="H2595" t="s">
        <v>878</v>
      </c>
      <c r="I2595" t="s">
        <v>879</v>
      </c>
      <c r="J2595">
        <f t="shared" ca="1" si="162"/>
        <v>1895688</v>
      </c>
      <c r="K2595">
        <f t="shared" ca="1" si="163"/>
        <v>49</v>
      </c>
      <c r="N2595" t="str">
        <f t="shared" si="160"/>
        <v>Telford and Wrekin3Enablement Homecare &amp; BedsBed based intermediate Care Services (Reablement, rehabilitation, wider short-term services supporting recovery)Bed-based intermediate care with rehabilitation (to support admission avoidance)</v>
      </c>
      <c r="O2595" t="s">
        <v>321</v>
      </c>
      <c r="P2595" t="s">
        <v>1172</v>
      </c>
      <c r="Q2595">
        <v>3</v>
      </c>
      <c r="R2595" t="s">
        <v>6498</v>
      </c>
      <c r="S2595" t="s">
        <v>964</v>
      </c>
      <c r="T2595" t="s">
        <v>877</v>
      </c>
      <c r="U2595" t="s">
        <v>1018</v>
      </c>
      <c r="W2595">
        <v>15</v>
      </c>
      <c r="X2595">
        <v>15</v>
      </c>
      <c r="Y2595" t="s">
        <v>879</v>
      </c>
      <c r="Z2595" t="s">
        <v>792</v>
      </c>
      <c r="AB2595" t="s">
        <v>793</v>
      </c>
      <c r="AD2595" t="s">
        <v>794</v>
      </c>
      <c r="AE2595" t="s">
        <v>804</v>
      </c>
      <c r="AF2595" t="s">
        <v>1042</v>
      </c>
      <c r="AG2595" t="s">
        <v>797</v>
      </c>
      <c r="AH2595">
        <v>47346</v>
      </c>
      <c r="AI2595">
        <v>50025</v>
      </c>
      <c r="AJ2595">
        <v>6.0000000000000001E-3</v>
      </c>
    </row>
    <row r="2596" spans="1:36" x14ac:dyDescent="0.3">
      <c r="A2596">
        <f>COUNTIF($D$2:D2596,D2596)</f>
        <v>13</v>
      </c>
      <c r="B2596" t="str">
        <f t="shared" si="161"/>
        <v>13Westminster</v>
      </c>
      <c r="C2596" t="s">
        <v>7007</v>
      </c>
      <c r="D2596" t="s">
        <v>349</v>
      </c>
      <c r="E2596">
        <v>36</v>
      </c>
      <c r="F2596" t="s">
        <v>3512</v>
      </c>
      <c r="G2596" t="s">
        <v>842</v>
      </c>
      <c r="H2596" t="s">
        <v>843</v>
      </c>
      <c r="I2596" t="s">
        <v>844</v>
      </c>
      <c r="J2596">
        <f t="shared" ca="1" si="162"/>
        <v>158067</v>
      </c>
      <c r="K2596">
        <f t="shared" ca="1" si="163"/>
        <v>8106</v>
      </c>
      <c r="N2596" t="str">
        <f t="shared" si="160"/>
        <v>Telford and Wrekin4Enablement Homecare &amp; BedsBed based intermediate Care Services (Reablement, rehabilitation, wider short-term services supporting recovery)Bed-based intermediate care with reablement (to support discharge)</v>
      </c>
      <c r="O2596" t="s">
        <v>321</v>
      </c>
      <c r="P2596" t="s">
        <v>1172</v>
      </c>
      <c r="Q2596">
        <v>4</v>
      </c>
      <c r="R2596" t="s">
        <v>6498</v>
      </c>
      <c r="S2596" t="s">
        <v>964</v>
      </c>
      <c r="T2596" t="s">
        <v>877</v>
      </c>
      <c r="U2596" t="s">
        <v>878</v>
      </c>
      <c r="W2596">
        <v>5</v>
      </c>
      <c r="X2596">
        <v>5</v>
      </c>
      <c r="Y2596" t="s">
        <v>879</v>
      </c>
      <c r="Z2596" t="s">
        <v>792</v>
      </c>
      <c r="AB2596" t="s">
        <v>793</v>
      </c>
      <c r="AD2596" t="s">
        <v>794</v>
      </c>
      <c r="AE2596" t="s">
        <v>804</v>
      </c>
      <c r="AF2596" t="s">
        <v>1029</v>
      </c>
      <c r="AG2596" t="s">
        <v>797</v>
      </c>
      <c r="AH2596">
        <v>40245</v>
      </c>
      <c r="AI2596">
        <v>40245</v>
      </c>
      <c r="AJ2596">
        <v>7.0000000000000001E-3</v>
      </c>
    </row>
    <row r="2597" spans="1:36" x14ac:dyDescent="0.3">
      <c r="A2597">
        <f>COUNTIF($D$2:D2597,D2597)</f>
        <v>14</v>
      </c>
      <c r="B2597" t="str">
        <f t="shared" si="161"/>
        <v>14Westminster</v>
      </c>
      <c r="C2597" t="s">
        <v>7008</v>
      </c>
      <c r="D2597" t="s">
        <v>349</v>
      </c>
      <c r="E2597">
        <v>37</v>
      </c>
      <c r="F2597" t="s">
        <v>3514</v>
      </c>
      <c r="G2597" t="s">
        <v>787</v>
      </c>
      <c r="H2597" t="s">
        <v>788</v>
      </c>
      <c r="I2597" t="s">
        <v>789</v>
      </c>
      <c r="J2597">
        <f t="shared" ca="1" si="162"/>
        <v>339916</v>
      </c>
      <c r="K2597">
        <f t="shared" ca="1" si="163"/>
        <v>122</v>
      </c>
      <c r="N2597" t="str">
        <f t="shared" si="160"/>
        <v>Telford and Wrekin5Enablement Homecare &amp; BedsBed based intermediate Care Services (Reablement, rehabilitation, wider short-term services supporting recovery)Bed-based intermediate care with reablement (to support discharge)</v>
      </c>
      <c r="O2597" t="s">
        <v>321</v>
      </c>
      <c r="P2597" t="s">
        <v>1172</v>
      </c>
      <c r="Q2597">
        <v>5</v>
      </c>
      <c r="R2597" t="s">
        <v>6498</v>
      </c>
      <c r="S2597" t="s">
        <v>964</v>
      </c>
      <c r="T2597" t="s">
        <v>877</v>
      </c>
      <c r="U2597" t="s">
        <v>878</v>
      </c>
      <c r="W2597">
        <v>85</v>
      </c>
      <c r="X2597">
        <v>85</v>
      </c>
      <c r="Y2597" t="s">
        <v>879</v>
      </c>
      <c r="Z2597" t="s">
        <v>792</v>
      </c>
      <c r="AB2597" t="s">
        <v>793</v>
      </c>
      <c r="AD2597" t="s">
        <v>794</v>
      </c>
      <c r="AE2597" t="s">
        <v>804</v>
      </c>
      <c r="AF2597" t="s">
        <v>1042</v>
      </c>
      <c r="AG2597" t="s">
        <v>797</v>
      </c>
      <c r="AH2597">
        <v>733749</v>
      </c>
      <c r="AI2597">
        <v>775279</v>
      </c>
      <c r="AJ2597">
        <v>0.113</v>
      </c>
    </row>
    <row r="2598" spans="1:36" x14ac:dyDescent="0.3">
      <c r="A2598">
        <f>COUNTIF($D$2:D2598,D2598)</f>
        <v>1</v>
      </c>
      <c r="B2598" t="str">
        <f t="shared" si="161"/>
        <v>1Westmorland and Furness</v>
      </c>
      <c r="C2598" t="s">
        <v>7009</v>
      </c>
      <c r="D2598" t="s">
        <v>351</v>
      </c>
      <c r="E2598">
        <v>1</v>
      </c>
      <c r="F2598" t="s">
        <v>7010</v>
      </c>
      <c r="G2598" t="s">
        <v>800</v>
      </c>
      <c r="H2598" t="s">
        <v>903</v>
      </c>
      <c r="I2598" t="s">
        <v>802</v>
      </c>
      <c r="J2598">
        <f t="shared" ca="1" si="162"/>
        <v>1727500</v>
      </c>
      <c r="K2598">
        <f t="shared" ca="1" si="163"/>
        <v>14000</v>
      </c>
      <c r="N2598" t="str">
        <f t="shared" si="160"/>
        <v>Telford and Wrekin6Enablement Homecare &amp; BedsBed based intermediate Care Services (Reablement, rehabilitation, wider short-term services supporting recovery)Bed-based intermediate care with reablement (to support discharge)</v>
      </c>
      <c r="O2598" t="s">
        <v>321</v>
      </c>
      <c r="P2598" t="s">
        <v>1172</v>
      </c>
      <c r="Q2598">
        <v>6</v>
      </c>
      <c r="R2598" t="s">
        <v>6498</v>
      </c>
      <c r="S2598" t="s">
        <v>964</v>
      </c>
      <c r="T2598" t="s">
        <v>877</v>
      </c>
      <c r="U2598" t="s">
        <v>878</v>
      </c>
      <c r="W2598">
        <v>39</v>
      </c>
      <c r="X2598">
        <v>39</v>
      </c>
      <c r="Y2598" t="s">
        <v>879</v>
      </c>
      <c r="Z2598" t="s">
        <v>792</v>
      </c>
      <c r="AB2598" t="s">
        <v>793</v>
      </c>
      <c r="AD2598" t="s">
        <v>794</v>
      </c>
      <c r="AE2598" t="s">
        <v>804</v>
      </c>
      <c r="AF2598" t="s">
        <v>845</v>
      </c>
      <c r="AG2598" t="s">
        <v>797</v>
      </c>
      <c r="AH2598">
        <v>341000</v>
      </c>
      <c r="AI2598">
        <v>341000</v>
      </c>
      <c r="AJ2598">
        <v>5.1999999999999998E-2</v>
      </c>
    </row>
    <row r="2599" spans="1:36" x14ac:dyDescent="0.3">
      <c r="A2599">
        <f>COUNTIF($D$2:D2599,D2599)</f>
        <v>2</v>
      </c>
      <c r="B2599" t="str">
        <f t="shared" si="161"/>
        <v>2Westmorland and Furness</v>
      </c>
      <c r="C2599" t="s">
        <v>7011</v>
      </c>
      <c r="D2599" t="s">
        <v>351</v>
      </c>
      <c r="E2599">
        <v>3</v>
      </c>
      <c r="F2599" t="s">
        <v>7012</v>
      </c>
      <c r="G2599" t="s">
        <v>811</v>
      </c>
      <c r="H2599" t="s">
        <v>895</v>
      </c>
      <c r="I2599" t="s">
        <v>813</v>
      </c>
      <c r="J2599">
        <f t="shared" ca="1" si="162"/>
        <v>924000</v>
      </c>
      <c r="K2599">
        <f t="shared" ca="1" si="163"/>
        <v>3600</v>
      </c>
      <c r="N2599" t="str">
        <f t="shared" si="160"/>
        <v>Telford and Wrekin7DFGDFG Related SchemesAdaptations, including statutory DFG grants</v>
      </c>
      <c r="O2599" t="s">
        <v>321</v>
      </c>
      <c r="P2599" t="s">
        <v>1172</v>
      </c>
      <c r="Q2599">
        <v>7</v>
      </c>
      <c r="R2599" t="s">
        <v>840</v>
      </c>
      <c r="S2599" t="s">
        <v>7013</v>
      </c>
      <c r="T2599" t="s">
        <v>834</v>
      </c>
      <c r="U2599" t="s">
        <v>835</v>
      </c>
      <c r="W2599">
        <v>200</v>
      </c>
      <c r="X2599">
        <v>200</v>
      </c>
      <c r="Y2599" t="s">
        <v>836</v>
      </c>
      <c r="Z2599" t="s">
        <v>812</v>
      </c>
      <c r="AA2599" t="s">
        <v>7014</v>
      </c>
      <c r="AB2599" t="s">
        <v>793</v>
      </c>
      <c r="AD2599" t="s">
        <v>794</v>
      </c>
      <c r="AE2599" t="s">
        <v>795</v>
      </c>
      <c r="AF2599" t="s">
        <v>840</v>
      </c>
      <c r="AG2599" t="s">
        <v>797</v>
      </c>
      <c r="AH2599">
        <v>2306755</v>
      </c>
      <c r="AI2599">
        <v>2306755</v>
      </c>
      <c r="AJ2599">
        <v>1</v>
      </c>
    </row>
    <row r="2600" spans="1:36" x14ac:dyDescent="0.3">
      <c r="A2600">
        <f>COUNTIF($D$2:D2600,D2600)</f>
        <v>3</v>
      </c>
      <c r="B2600" t="str">
        <f t="shared" si="161"/>
        <v>3Westmorland and Furness</v>
      </c>
      <c r="C2600" t="s">
        <v>7015</v>
      </c>
      <c r="D2600" t="s">
        <v>351</v>
      </c>
      <c r="E2600">
        <v>12</v>
      </c>
      <c r="F2600" t="s">
        <v>7016</v>
      </c>
      <c r="G2600" t="s">
        <v>787</v>
      </c>
      <c r="H2600" t="s">
        <v>930</v>
      </c>
      <c r="I2600" t="s">
        <v>789</v>
      </c>
      <c r="J2600">
        <f t="shared" ca="1" si="162"/>
        <v>2169000</v>
      </c>
      <c r="K2600">
        <f t="shared" ca="1" si="163"/>
        <v>850</v>
      </c>
      <c r="N2600" t="str">
        <f t="shared" si="160"/>
        <v>Telford and Wrekin8iBCFResidential PlacementsCare home</v>
      </c>
      <c r="O2600" t="s">
        <v>321</v>
      </c>
      <c r="P2600" t="s">
        <v>1172</v>
      </c>
      <c r="Q2600">
        <v>8</v>
      </c>
      <c r="R2600" t="s">
        <v>845</v>
      </c>
      <c r="S2600" t="s">
        <v>7013</v>
      </c>
      <c r="T2600" t="s">
        <v>806</v>
      </c>
      <c r="U2600" t="s">
        <v>807</v>
      </c>
      <c r="W2600">
        <v>43</v>
      </c>
      <c r="X2600">
        <v>43</v>
      </c>
      <c r="Y2600" t="s">
        <v>808</v>
      </c>
      <c r="Z2600" t="s">
        <v>792</v>
      </c>
      <c r="AB2600" t="s">
        <v>793</v>
      </c>
      <c r="AD2600" t="s">
        <v>794</v>
      </c>
      <c r="AE2600" t="s">
        <v>795</v>
      </c>
      <c r="AF2600" t="s">
        <v>845</v>
      </c>
      <c r="AG2600" t="s">
        <v>797</v>
      </c>
      <c r="AH2600">
        <v>1856608</v>
      </c>
      <c r="AI2600">
        <v>1856608</v>
      </c>
      <c r="AJ2600">
        <v>9.7299999999999998E-2</v>
      </c>
    </row>
    <row r="2601" spans="1:36" x14ac:dyDescent="0.3">
      <c r="A2601">
        <f>COUNTIF($D$2:D2601,D2601)</f>
        <v>4</v>
      </c>
      <c r="B2601" t="str">
        <f t="shared" si="161"/>
        <v>4Westmorland and Furness</v>
      </c>
      <c r="C2601" t="s">
        <v>7017</v>
      </c>
      <c r="D2601" t="s">
        <v>351</v>
      </c>
      <c r="E2601">
        <v>15</v>
      </c>
      <c r="F2601" t="s">
        <v>7018</v>
      </c>
      <c r="G2601" t="s">
        <v>842</v>
      </c>
      <c r="H2601" t="s">
        <v>843</v>
      </c>
      <c r="I2601" t="s">
        <v>844</v>
      </c>
      <c r="J2601">
        <f t="shared" ca="1" si="162"/>
        <v>466000</v>
      </c>
      <c r="K2601">
        <f t="shared" ca="1" si="163"/>
        <v>16500</v>
      </c>
      <c r="N2601" t="str">
        <f t="shared" si="160"/>
        <v>Telford and Wrekin11Long Term CareResidential PlacementsLearning disability</v>
      </c>
      <c r="O2601" t="s">
        <v>321</v>
      </c>
      <c r="P2601" t="s">
        <v>1172</v>
      </c>
      <c r="Q2601">
        <v>11</v>
      </c>
      <c r="R2601" t="s">
        <v>6512</v>
      </c>
      <c r="S2601" t="s">
        <v>7013</v>
      </c>
      <c r="T2601" t="s">
        <v>806</v>
      </c>
      <c r="U2601" t="s">
        <v>854</v>
      </c>
      <c r="W2601">
        <v>8</v>
      </c>
      <c r="X2601">
        <v>8</v>
      </c>
      <c r="Y2601" t="s">
        <v>808</v>
      </c>
      <c r="Z2601" t="s">
        <v>792</v>
      </c>
      <c r="AB2601" t="s">
        <v>793</v>
      </c>
      <c r="AD2601" t="s">
        <v>794</v>
      </c>
      <c r="AE2601" t="s">
        <v>795</v>
      </c>
      <c r="AF2601" t="s">
        <v>796</v>
      </c>
      <c r="AG2601" t="s">
        <v>797</v>
      </c>
      <c r="AH2601">
        <v>910607</v>
      </c>
      <c r="AI2601">
        <v>910607</v>
      </c>
      <c r="AJ2601">
        <v>4.7699999999999999E-2</v>
      </c>
    </row>
    <row r="2602" spans="1:36" x14ac:dyDescent="0.3">
      <c r="A2602">
        <f>COUNTIF($D$2:D2602,D2602)</f>
        <v>5</v>
      </c>
      <c r="B2602" t="str">
        <f t="shared" si="161"/>
        <v>5Westmorland and Furness</v>
      </c>
      <c r="C2602" t="s">
        <v>7019</v>
      </c>
      <c r="D2602" t="s">
        <v>351</v>
      </c>
      <c r="E2602">
        <v>15</v>
      </c>
      <c r="F2602" t="s">
        <v>7020</v>
      </c>
      <c r="G2602" t="s">
        <v>842</v>
      </c>
      <c r="H2602" t="s">
        <v>812</v>
      </c>
      <c r="I2602" t="s">
        <v>844</v>
      </c>
      <c r="J2602">
        <f t="shared" ca="1" si="162"/>
        <v>3802000</v>
      </c>
      <c r="K2602">
        <f t="shared" ca="1" si="163"/>
        <v>150000</v>
      </c>
      <c r="N2602" t="str">
        <f t="shared" si="160"/>
        <v>Telford and Wrekin15Preventative ServicesCarers ServicesCarer advice and support related to Care Act duties</v>
      </c>
      <c r="O2602" t="s">
        <v>321</v>
      </c>
      <c r="P2602" t="s">
        <v>1172</v>
      </c>
      <c r="Q2602">
        <v>15</v>
      </c>
      <c r="R2602" t="s">
        <v>6514</v>
      </c>
      <c r="S2602" t="s">
        <v>7021</v>
      </c>
      <c r="T2602" t="s">
        <v>811</v>
      </c>
      <c r="U2602" t="s">
        <v>895</v>
      </c>
      <c r="W2602">
        <v>140</v>
      </c>
      <c r="X2602">
        <v>140</v>
      </c>
      <c r="Y2602" t="s">
        <v>813</v>
      </c>
      <c r="Z2602" t="s">
        <v>812</v>
      </c>
      <c r="AA2602" t="s">
        <v>1399</v>
      </c>
      <c r="AB2602" t="s">
        <v>793</v>
      </c>
      <c r="AD2602" t="s">
        <v>794</v>
      </c>
      <c r="AE2602" t="s">
        <v>825</v>
      </c>
      <c r="AF2602" t="s">
        <v>796</v>
      </c>
      <c r="AG2602" t="s">
        <v>797</v>
      </c>
      <c r="AH2602">
        <v>221921</v>
      </c>
      <c r="AI2602">
        <v>234482</v>
      </c>
      <c r="AJ2602">
        <v>0.4</v>
      </c>
    </row>
    <row r="2603" spans="1:36" x14ac:dyDescent="0.3">
      <c r="A2603">
        <f>COUNTIF($D$2:D2603,D2603)</f>
        <v>6</v>
      </c>
      <c r="B2603" t="str">
        <f t="shared" si="161"/>
        <v>6Westmorland and Furness</v>
      </c>
      <c r="C2603" t="s">
        <v>7022</v>
      </c>
      <c r="D2603" t="s">
        <v>351</v>
      </c>
      <c r="E2603">
        <v>17</v>
      </c>
      <c r="F2603" t="s">
        <v>7023</v>
      </c>
      <c r="G2603" t="s">
        <v>806</v>
      </c>
      <c r="H2603" t="s">
        <v>807</v>
      </c>
      <c r="I2603" t="s">
        <v>808</v>
      </c>
      <c r="J2603">
        <f t="shared" ca="1" si="162"/>
        <v>2147000</v>
      </c>
      <c r="K2603">
        <f t="shared" ca="1" si="163"/>
        <v>60</v>
      </c>
      <c r="N2603" t="str">
        <f t="shared" si="160"/>
        <v>Telford and Wrekin16Preventative ServicesCarers ServicesCarer advice and support related to Care Act duties</v>
      </c>
      <c r="O2603" t="s">
        <v>321</v>
      </c>
      <c r="P2603" t="s">
        <v>1172</v>
      </c>
      <c r="Q2603">
        <v>16</v>
      </c>
      <c r="R2603" t="s">
        <v>6514</v>
      </c>
      <c r="S2603" t="s">
        <v>7021</v>
      </c>
      <c r="T2603" t="s">
        <v>811</v>
      </c>
      <c r="U2603" t="s">
        <v>895</v>
      </c>
      <c r="W2603">
        <v>140</v>
      </c>
      <c r="X2603">
        <v>140</v>
      </c>
      <c r="Y2603" t="s">
        <v>813</v>
      </c>
      <c r="Z2603" t="s">
        <v>812</v>
      </c>
      <c r="AA2603" t="s">
        <v>1399</v>
      </c>
      <c r="AB2603" t="s">
        <v>793</v>
      </c>
      <c r="AD2603" t="s">
        <v>794</v>
      </c>
      <c r="AE2603" t="s">
        <v>825</v>
      </c>
      <c r="AF2603" t="s">
        <v>1029</v>
      </c>
      <c r="AG2603" t="s">
        <v>797</v>
      </c>
      <c r="AH2603">
        <v>326584</v>
      </c>
      <c r="AI2603">
        <v>326584</v>
      </c>
      <c r="AJ2603">
        <v>0.6</v>
      </c>
    </row>
    <row r="2604" spans="1:36" x14ac:dyDescent="0.3">
      <c r="A2604">
        <f>COUNTIF($D$2:D2604,D2604)</f>
        <v>7</v>
      </c>
      <c r="B2604" t="str">
        <f t="shared" si="161"/>
        <v>7Westmorland and Furness</v>
      </c>
      <c r="C2604" t="s">
        <v>7024</v>
      </c>
      <c r="D2604" t="s">
        <v>351</v>
      </c>
      <c r="E2604">
        <v>12</v>
      </c>
      <c r="F2604" t="s">
        <v>7025</v>
      </c>
      <c r="G2604" t="s">
        <v>787</v>
      </c>
      <c r="H2604" t="s">
        <v>812</v>
      </c>
      <c r="I2604" t="s">
        <v>789</v>
      </c>
      <c r="J2604">
        <f t="shared" ca="1" si="162"/>
        <v>672000</v>
      </c>
      <c r="K2604">
        <f t="shared" ca="1" si="163"/>
        <v>300</v>
      </c>
      <c r="N2604" t="str">
        <f t="shared" si="160"/>
        <v>Telford and Wrekin19Assistive TechnologiesAssistive Technologies and EquipmentCommunity based equipment</v>
      </c>
      <c r="O2604" t="s">
        <v>321</v>
      </c>
      <c r="P2604" t="s">
        <v>1172</v>
      </c>
      <c r="Q2604">
        <v>19</v>
      </c>
      <c r="R2604" t="s">
        <v>2431</v>
      </c>
      <c r="S2604" t="s">
        <v>7026</v>
      </c>
      <c r="T2604" t="s">
        <v>800</v>
      </c>
      <c r="U2604" t="s">
        <v>903</v>
      </c>
      <c r="W2604">
        <v>165</v>
      </c>
      <c r="X2604">
        <v>165</v>
      </c>
      <c r="Y2604" t="s">
        <v>802</v>
      </c>
      <c r="Z2604" t="s">
        <v>792</v>
      </c>
      <c r="AB2604" t="s">
        <v>793</v>
      </c>
      <c r="AD2604" t="s">
        <v>794</v>
      </c>
      <c r="AE2604" t="s">
        <v>795</v>
      </c>
      <c r="AF2604" t="s">
        <v>796</v>
      </c>
      <c r="AG2604" t="s">
        <v>797</v>
      </c>
      <c r="AH2604">
        <v>464909</v>
      </c>
      <c r="AI2604">
        <v>491223</v>
      </c>
      <c r="AJ2604">
        <v>0</v>
      </c>
    </row>
    <row r="2605" spans="1:36" x14ac:dyDescent="0.3">
      <c r="A2605">
        <f>COUNTIF($D$2:D2605,D2605)</f>
        <v>8</v>
      </c>
      <c r="B2605" t="str">
        <f t="shared" si="161"/>
        <v>8Westmorland and Furness</v>
      </c>
      <c r="C2605" t="s">
        <v>7027</v>
      </c>
      <c r="D2605" t="s">
        <v>351</v>
      </c>
      <c r="E2605">
        <v>5</v>
      </c>
      <c r="F2605" t="s">
        <v>2681</v>
      </c>
      <c r="G2605" t="s">
        <v>834</v>
      </c>
      <c r="H2605" t="s">
        <v>835</v>
      </c>
      <c r="I2605" t="s">
        <v>836</v>
      </c>
      <c r="J2605">
        <f t="shared" ca="1" si="162"/>
        <v>2786159</v>
      </c>
      <c r="K2605">
        <f t="shared" ca="1" si="163"/>
        <v>500</v>
      </c>
      <c r="N2605" t="str">
        <f t="shared" si="160"/>
        <v>Telford and Wrekin25Long Term CareResidential PlacementsNursing home</v>
      </c>
      <c r="O2605" t="s">
        <v>321</v>
      </c>
      <c r="P2605" t="s">
        <v>1172</v>
      </c>
      <c r="Q2605">
        <v>25</v>
      </c>
      <c r="R2605" t="s">
        <v>6512</v>
      </c>
      <c r="S2605" t="s">
        <v>7013</v>
      </c>
      <c r="T2605" t="s">
        <v>806</v>
      </c>
      <c r="U2605" t="s">
        <v>917</v>
      </c>
      <c r="W2605">
        <v>17</v>
      </c>
      <c r="X2605">
        <v>17</v>
      </c>
      <c r="Y2605" t="s">
        <v>808</v>
      </c>
      <c r="Z2605" t="s">
        <v>792</v>
      </c>
      <c r="AB2605" t="s">
        <v>793</v>
      </c>
      <c r="AD2605" t="s">
        <v>794</v>
      </c>
      <c r="AE2605" t="s">
        <v>804</v>
      </c>
      <c r="AF2605" t="s">
        <v>845</v>
      </c>
      <c r="AG2605" t="s">
        <v>797</v>
      </c>
      <c r="AH2605">
        <v>1068956</v>
      </c>
      <c r="AI2605">
        <v>1068956</v>
      </c>
      <c r="AJ2605">
        <v>7.5600000000000001E-2</v>
      </c>
    </row>
    <row r="2606" spans="1:36" x14ac:dyDescent="0.3">
      <c r="A2606">
        <f>COUNTIF($D$2:D2606,D2606)</f>
        <v>9</v>
      </c>
      <c r="B2606" t="str">
        <f t="shared" si="161"/>
        <v>9Westmorland and Furness</v>
      </c>
      <c r="C2606" t="s">
        <v>7028</v>
      </c>
      <c r="D2606" t="s">
        <v>351</v>
      </c>
      <c r="E2606">
        <v>12</v>
      </c>
      <c r="F2606" t="s">
        <v>7029</v>
      </c>
      <c r="G2606" t="s">
        <v>842</v>
      </c>
      <c r="H2606" t="s">
        <v>856</v>
      </c>
      <c r="I2606" t="s">
        <v>844</v>
      </c>
      <c r="J2606">
        <f t="shared" ca="1" si="162"/>
        <v>576923</v>
      </c>
      <c r="K2606">
        <f t="shared" ca="1" si="163"/>
        <v>20000</v>
      </c>
      <c r="N2606" t="str">
        <f t="shared" si="160"/>
        <v>Telford and Wrekin26Long Term CareHome Care or Domiciliary CareDomiciliary care packages</v>
      </c>
      <c r="O2606" t="s">
        <v>321</v>
      </c>
      <c r="P2606" t="s">
        <v>1172</v>
      </c>
      <c r="Q2606">
        <v>26</v>
      </c>
      <c r="R2606" t="s">
        <v>6512</v>
      </c>
      <c r="S2606" t="s">
        <v>7013</v>
      </c>
      <c r="T2606" t="s">
        <v>842</v>
      </c>
      <c r="U2606" t="s">
        <v>843</v>
      </c>
      <c r="W2606">
        <v>74632</v>
      </c>
      <c r="X2606">
        <v>74632</v>
      </c>
      <c r="Y2606" t="s">
        <v>844</v>
      </c>
      <c r="Z2606" t="s">
        <v>792</v>
      </c>
      <c r="AB2606" t="s">
        <v>793</v>
      </c>
      <c r="AD2606" t="s">
        <v>794</v>
      </c>
      <c r="AE2606" t="s">
        <v>804</v>
      </c>
      <c r="AF2606" t="s">
        <v>845</v>
      </c>
      <c r="AG2606" t="s">
        <v>797</v>
      </c>
      <c r="AH2606">
        <v>1462783</v>
      </c>
      <c r="AI2606">
        <v>1462783</v>
      </c>
      <c r="AJ2606">
        <v>9.4700000000000006E-2</v>
      </c>
    </row>
    <row r="2607" spans="1:36" x14ac:dyDescent="0.3">
      <c r="A2607">
        <f>COUNTIF($D$2:D2607,D2607)</f>
        <v>10</v>
      </c>
      <c r="B2607" t="str">
        <f t="shared" si="161"/>
        <v>10Westmorland and Furness</v>
      </c>
      <c r="C2607" t="s">
        <v>7030</v>
      </c>
      <c r="D2607" t="s">
        <v>351</v>
      </c>
      <c r="E2607">
        <v>1</v>
      </c>
      <c r="F2607" t="s">
        <v>7031</v>
      </c>
      <c r="G2607" t="s">
        <v>800</v>
      </c>
      <c r="H2607" t="s">
        <v>903</v>
      </c>
      <c r="I2607" t="s">
        <v>802</v>
      </c>
      <c r="J2607">
        <f t="shared" ca="1" si="162"/>
        <v>350384</v>
      </c>
      <c r="K2607">
        <f t="shared" ca="1" si="163"/>
        <v>1500</v>
      </c>
      <c r="N2607" t="str">
        <f t="shared" si="160"/>
        <v>Telford and Wrekin28Long Term CareResidential PlacementsCare home</v>
      </c>
      <c r="O2607" t="s">
        <v>321</v>
      </c>
      <c r="P2607" t="s">
        <v>1172</v>
      </c>
      <c r="Q2607">
        <v>28</v>
      </c>
      <c r="R2607" t="s">
        <v>6512</v>
      </c>
      <c r="S2607" t="s">
        <v>7013</v>
      </c>
      <c r="T2607" t="s">
        <v>806</v>
      </c>
      <c r="U2607" t="s">
        <v>807</v>
      </c>
      <c r="W2607">
        <v>3</v>
      </c>
      <c r="X2607">
        <v>3</v>
      </c>
      <c r="Y2607" t="s">
        <v>808</v>
      </c>
      <c r="Z2607" t="s">
        <v>792</v>
      </c>
      <c r="AB2607" t="s">
        <v>793</v>
      </c>
      <c r="AD2607" t="s">
        <v>794</v>
      </c>
      <c r="AE2607" t="s">
        <v>804</v>
      </c>
      <c r="AF2607" t="s">
        <v>845</v>
      </c>
      <c r="AG2607" t="s">
        <v>797</v>
      </c>
      <c r="AH2607">
        <v>122000</v>
      </c>
      <c r="AI2607">
        <v>122000</v>
      </c>
      <c r="AJ2607">
        <v>6.4000000000000003E-3</v>
      </c>
    </row>
    <row r="2608" spans="1:36" x14ac:dyDescent="0.3">
      <c r="A2608">
        <f>COUNTIF($D$2:D2608,D2608)</f>
        <v>11</v>
      </c>
      <c r="B2608" t="str">
        <f t="shared" si="161"/>
        <v>11Westmorland and Furness</v>
      </c>
      <c r="C2608" t="s">
        <v>7032</v>
      </c>
      <c r="D2608" t="s">
        <v>351</v>
      </c>
      <c r="E2608">
        <v>3</v>
      </c>
      <c r="F2608" t="s">
        <v>7033</v>
      </c>
      <c r="G2608" t="s">
        <v>811</v>
      </c>
      <c r="H2608" t="s">
        <v>812</v>
      </c>
      <c r="I2608" t="s">
        <v>813</v>
      </c>
      <c r="J2608">
        <f t="shared" ca="1" si="162"/>
        <v>75000</v>
      </c>
      <c r="K2608">
        <f t="shared" ca="1" si="163"/>
        <v>150</v>
      </c>
      <c r="N2608" t="str">
        <f t="shared" si="160"/>
        <v>Telford and Wrekin33Assistive TechnologiesAssistive Technologies and EquipmentOther</v>
      </c>
      <c r="O2608" t="s">
        <v>321</v>
      </c>
      <c r="P2608" t="s">
        <v>1172</v>
      </c>
      <c r="Q2608">
        <v>33</v>
      </c>
      <c r="R2608" t="s">
        <v>2431</v>
      </c>
      <c r="S2608" t="s">
        <v>7026</v>
      </c>
      <c r="T2608" t="s">
        <v>800</v>
      </c>
      <c r="U2608" t="s">
        <v>812</v>
      </c>
      <c r="V2608" t="s">
        <v>7034</v>
      </c>
      <c r="W2608">
        <v>165</v>
      </c>
      <c r="X2608">
        <v>165</v>
      </c>
      <c r="Y2608" t="s">
        <v>802</v>
      </c>
      <c r="Z2608" t="s">
        <v>792</v>
      </c>
      <c r="AB2608" t="s">
        <v>793</v>
      </c>
      <c r="AD2608" t="s">
        <v>794</v>
      </c>
      <c r="AE2608" t="s">
        <v>795</v>
      </c>
      <c r="AF2608" t="s">
        <v>845</v>
      </c>
      <c r="AG2608" t="s">
        <v>797</v>
      </c>
      <c r="AH2608">
        <v>30550</v>
      </c>
      <c r="AI2608">
        <v>30550</v>
      </c>
      <c r="AJ2608">
        <v>0</v>
      </c>
    </row>
    <row r="2609" spans="1:36" x14ac:dyDescent="0.3">
      <c r="A2609">
        <f>COUNTIF($D$2:D2609,D2609)</f>
        <v>1</v>
      </c>
      <c r="B2609" t="str">
        <f t="shared" si="161"/>
        <v>1Wigan</v>
      </c>
      <c r="C2609" t="s">
        <v>7035</v>
      </c>
      <c r="D2609" t="s">
        <v>353</v>
      </c>
      <c r="E2609">
        <v>4</v>
      </c>
      <c r="F2609" t="s">
        <v>434</v>
      </c>
      <c r="G2609" t="s">
        <v>787</v>
      </c>
      <c r="H2609" t="s">
        <v>930</v>
      </c>
      <c r="I2609" t="s">
        <v>789</v>
      </c>
      <c r="J2609">
        <f t="shared" ca="1" si="162"/>
        <v>2205796.1976000001</v>
      </c>
      <c r="K2609">
        <f t="shared" ca="1" si="163"/>
        <v>993</v>
      </c>
      <c r="N2609" t="str">
        <f t="shared" si="160"/>
        <v>Telford and Wrekin37Assistive TechnologiesAssistive Technologies and EquipmentAssistive technologies including telecare</v>
      </c>
      <c r="O2609" t="s">
        <v>321</v>
      </c>
      <c r="P2609" t="s">
        <v>1172</v>
      </c>
      <c r="Q2609">
        <v>37</v>
      </c>
      <c r="R2609" t="s">
        <v>2431</v>
      </c>
      <c r="S2609" t="s">
        <v>7026</v>
      </c>
      <c r="T2609" t="s">
        <v>800</v>
      </c>
      <c r="U2609" t="s">
        <v>850</v>
      </c>
      <c r="W2609">
        <v>680</v>
      </c>
      <c r="X2609">
        <v>680</v>
      </c>
      <c r="Y2609" t="s">
        <v>802</v>
      </c>
      <c r="Z2609" t="s">
        <v>792</v>
      </c>
      <c r="AB2609" t="s">
        <v>793</v>
      </c>
      <c r="AD2609" t="s">
        <v>794</v>
      </c>
      <c r="AE2609" t="s">
        <v>795</v>
      </c>
      <c r="AF2609" t="s">
        <v>796</v>
      </c>
      <c r="AG2609" t="s">
        <v>797</v>
      </c>
      <c r="AH2609">
        <v>185013</v>
      </c>
      <c r="AI2609">
        <v>195485</v>
      </c>
      <c r="AJ2609">
        <v>0</v>
      </c>
    </row>
    <row r="2610" spans="1:36" x14ac:dyDescent="0.3">
      <c r="A2610">
        <f>COUNTIF($D$2:D2610,D2610)</f>
        <v>2</v>
      </c>
      <c r="B2610" t="str">
        <f t="shared" si="161"/>
        <v>2Wigan</v>
      </c>
      <c r="C2610" t="s">
        <v>7036</v>
      </c>
      <c r="D2610" t="s">
        <v>353</v>
      </c>
      <c r="E2610">
        <v>5</v>
      </c>
      <c r="F2610" t="s">
        <v>7037</v>
      </c>
      <c r="G2610" t="s">
        <v>806</v>
      </c>
      <c r="H2610" t="s">
        <v>917</v>
      </c>
      <c r="I2610" t="s">
        <v>808</v>
      </c>
      <c r="J2610">
        <f t="shared" ca="1" si="162"/>
        <v>980675.89379999996</v>
      </c>
      <c r="K2610">
        <f t="shared" ca="1" si="163"/>
        <v>27</v>
      </c>
      <c r="N2610" t="str">
        <f t="shared" si="160"/>
        <v>Telford and Wrekin38Enablement Homecare &amp; BedsHome Care or Domiciliary CareShort term domiciliary care (without reablement input)</v>
      </c>
      <c r="O2610" t="s">
        <v>321</v>
      </c>
      <c r="P2610" t="s">
        <v>1172</v>
      </c>
      <c r="Q2610">
        <v>38</v>
      </c>
      <c r="R2610" t="s">
        <v>6498</v>
      </c>
      <c r="S2610" t="s">
        <v>964</v>
      </c>
      <c r="T2610" t="s">
        <v>842</v>
      </c>
      <c r="U2610" t="s">
        <v>1102</v>
      </c>
      <c r="W2610">
        <v>247</v>
      </c>
      <c r="X2610">
        <v>247</v>
      </c>
      <c r="Y2610" t="s">
        <v>789</v>
      </c>
      <c r="Z2610" t="s">
        <v>792</v>
      </c>
      <c r="AB2610" t="s">
        <v>793</v>
      </c>
      <c r="AD2610" t="s">
        <v>794</v>
      </c>
      <c r="AE2610" t="s">
        <v>804</v>
      </c>
      <c r="AF2610" t="s">
        <v>1042</v>
      </c>
      <c r="AG2610" t="s">
        <v>797</v>
      </c>
      <c r="AH2610">
        <v>141887</v>
      </c>
      <c r="AI2610">
        <v>149918</v>
      </c>
      <c r="AJ2610">
        <v>2.1999999999999999E-2</v>
      </c>
    </row>
    <row r="2611" spans="1:36" x14ac:dyDescent="0.3">
      <c r="A2611">
        <f>COUNTIF($D$2:D2611,D2611)</f>
        <v>3</v>
      </c>
      <c r="B2611" t="str">
        <f t="shared" si="161"/>
        <v>3Wigan</v>
      </c>
      <c r="C2611" t="s">
        <v>7038</v>
      </c>
      <c r="D2611" t="s">
        <v>353</v>
      </c>
      <c r="E2611">
        <v>6</v>
      </c>
      <c r="F2611" t="s">
        <v>7039</v>
      </c>
      <c r="G2611" t="s">
        <v>806</v>
      </c>
      <c r="H2611" t="s">
        <v>807</v>
      </c>
      <c r="I2611" t="s">
        <v>808</v>
      </c>
      <c r="J2611">
        <f t="shared" ca="1" si="162"/>
        <v>1865726.3178000001</v>
      </c>
      <c r="K2611">
        <f t="shared" ca="1" si="163"/>
        <v>54</v>
      </c>
      <c r="N2611" t="str">
        <f t="shared" si="160"/>
        <v>Telford and Wrekin39Enablement Homecare &amp; BedsHome Care or Domiciliary CareDomiciliary care to support hospital discharge (Discharge to Assess pathway 1)</v>
      </c>
      <c r="O2611" t="s">
        <v>321</v>
      </c>
      <c r="P2611" t="s">
        <v>1172</v>
      </c>
      <c r="Q2611">
        <v>39</v>
      </c>
      <c r="R2611" t="s">
        <v>6498</v>
      </c>
      <c r="S2611" t="s">
        <v>964</v>
      </c>
      <c r="T2611" t="s">
        <v>842</v>
      </c>
      <c r="U2611" t="s">
        <v>856</v>
      </c>
      <c r="W2611">
        <v>12347</v>
      </c>
      <c r="X2611">
        <v>12347</v>
      </c>
      <c r="Y2611" t="s">
        <v>844</v>
      </c>
      <c r="Z2611" t="s">
        <v>792</v>
      </c>
      <c r="AB2611" t="s">
        <v>793</v>
      </c>
      <c r="AD2611" t="s">
        <v>794</v>
      </c>
      <c r="AE2611" t="s">
        <v>804</v>
      </c>
      <c r="AF2611" t="s">
        <v>796</v>
      </c>
      <c r="AG2611" t="s">
        <v>797</v>
      </c>
      <c r="AH2611">
        <v>345706</v>
      </c>
      <c r="AI2611">
        <v>365273</v>
      </c>
      <c r="AJ2611">
        <v>5.2999999999999999E-2</v>
      </c>
    </row>
    <row r="2612" spans="1:36" x14ac:dyDescent="0.3">
      <c r="A2612">
        <f>COUNTIF($D$2:D2612,D2612)</f>
        <v>4</v>
      </c>
      <c r="B2612" t="str">
        <f t="shared" si="161"/>
        <v>4Wigan</v>
      </c>
      <c r="C2612" t="s">
        <v>7040</v>
      </c>
      <c r="D2612" t="s">
        <v>353</v>
      </c>
      <c r="E2612">
        <v>9</v>
      </c>
      <c r="F2612" t="s">
        <v>7041</v>
      </c>
      <c r="G2612" t="s">
        <v>842</v>
      </c>
      <c r="H2612" t="s">
        <v>843</v>
      </c>
      <c r="I2612" t="s">
        <v>844</v>
      </c>
      <c r="J2612">
        <f t="shared" ca="1" si="162"/>
        <v>2099993.5565999998</v>
      </c>
      <c r="K2612">
        <f t="shared" ca="1" si="163"/>
        <v>108024</v>
      </c>
      <c r="N2612" t="str">
        <f t="shared" si="160"/>
        <v>Telford and Wrekin40Enablement Homecare &amp; BedsHome Care or Domiciliary CareDomiciliary care to support hospital discharge (Discharge to Assess pathway 1)</v>
      </c>
      <c r="O2612" t="s">
        <v>321</v>
      </c>
      <c r="P2612" t="s">
        <v>1172</v>
      </c>
      <c r="Q2612">
        <v>40</v>
      </c>
      <c r="R2612" t="s">
        <v>6498</v>
      </c>
      <c r="S2612" t="s">
        <v>964</v>
      </c>
      <c r="T2612" t="s">
        <v>842</v>
      </c>
      <c r="U2612" t="s">
        <v>856</v>
      </c>
      <c r="W2612">
        <v>13616</v>
      </c>
      <c r="X2612">
        <v>13616</v>
      </c>
      <c r="Y2612" t="s">
        <v>844</v>
      </c>
      <c r="Z2612" t="s">
        <v>792</v>
      </c>
      <c r="AB2612" t="s">
        <v>793</v>
      </c>
      <c r="AD2612" t="s">
        <v>794</v>
      </c>
      <c r="AE2612" t="s">
        <v>804</v>
      </c>
      <c r="AF2612" t="s">
        <v>1029</v>
      </c>
      <c r="AG2612" t="s">
        <v>797</v>
      </c>
      <c r="AH2612">
        <v>381245</v>
      </c>
      <c r="AI2612">
        <v>381245</v>
      </c>
      <c r="AJ2612">
        <v>5.8999999999999997E-2</v>
      </c>
    </row>
    <row r="2613" spans="1:36" x14ac:dyDescent="0.3">
      <c r="A2613">
        <f>COUNTIF($D$2:D2613,D2613)</f>
        <v>5</v>
      </c>
      <c r="B2613" t="str">
        <f t="shared" si="161"/>
        <v>5Wigan</v>
      </c>
      <c r="C2613" t="s">
        <v>7042</v>
      </c>
      <c r="D2613" t="s">
        <v>353</v>
      </c>
      <c r="E2613">
        <v>11</v>
      </c>
      <c r="F2613" t="s">
        <v>1578</v>
      </c>
      <c r="G2613" t="s">
        <v>800</v>
      </c>
      <c r="H2613" t="s">
        <v>903</v>
      </c>
      <c r="I2613" t="s">
        <v>802</v>
      </c>
      <c r="J2613">
        <f t="shared" ca="1" si="162"/>
        <v>832470.8382</v>
      </c>
      <c r="K2613">
        <f t="shared" ca="1" si="163"/>
        <v>2070</v>
      </c>
      <c r="N2613" t="str">
        <f t="shared" si="160"/>
        <v>Telford and Wrekin41Assistive TechnologiesAssistive Technologies and EquipmentOther</v>
      </c>
      <c r="O2613" t="s">
        <v>321</v>
      </c>
      <c r="P2613" t="s">
        <v>1172</v>
      </c>
      <c r="Q2613">
        <v>41</v>
      </c>
      <c r="R2613" t="s">
        <v>2431</v>
      </c>
      <c r="S2613" t="s">
        <v>7026</v>
      </c>
      <c r="T2613" t="s">
        <v>800</v>
      </c>
      <c r="U2613" t="s">
        <v>812</v>
      </c>
      <c r="V2613" t="s">
        <v>7043</v>
      </c>
      <c r="W2613">
        <v>165</v>
      </c>
      <c r="X2613">
        <v>165</v>
      </c>
      <c r="Y2613" t="s">
        <v>802</v>
      </c>
      <c r="Z2613" t="s">
        <v>792</v>
      </c>
      <c r="AB2613" t="s">
        <v>793</v>
      </c>
      <c r="AD2613" t="s">
        <v>794</v>
      </c>
      <c r="AE2613" t="s">
        <v>804</v>
      </c>
      <c r="AF2613" t="s">
        <v>796</v>
      </c>
      <c r="AG2613" t="s">
        <v>797</v>
      </c>
      <c r="AH2613">
        <v>109699</v>
      </c>
      <c r="AI2613">
        <v>115907</v>
      </c>
      <c r="AJ2613">
        <v>0</v>
      </c>
    </row>
    <row r="2614" spans="1:36" x14ac:dyDescent="0.3">
      <c r="A2614">
        <f>COUNTIF($D$2:D2614,D2614)</f>
        <v>6</v>
      </c>
      <c r="B2614" t="str">
        <f t="shared" si="161"/>
        <v>6Wigan</v>
      </c>
      <c r="C2614" t="s">
        <v>7044</v>
      </c>
      <c r="D2614" t="s">
        <v>353</v>
      </c>
      <c r="E2614">
        <v>12</v>
      </c>
      <c r="F2614" t="s">
        <v>7045</v>
      </c>
      <c r="G2614" t="s">
        <v>800</v>
      </c>
      <c r="H2614" t="s">
        <v>903</v>
      </c>
      <c r="I2614" t="s">
        <v>802</v>
      </c>
      <c r="J2614">
        <f t="shared" ca="1" si="162"/>
        <v>718680.30119999999</v>
      </c>
      <c r="K2614">
        <f t="shared" ca="1" si="163"/>
        <v>18000</v>
      </c>
      <c r="N2614" t="str">
        <f t="shared" si="160"/>
        <v>Telford and Wrekin42Enablement Homecare &amp; BedsHome Care or Domiciliary CareDomiciliary care to support hospital discharge (Discharge to Assess pathway 1)</v>
      </c>
      <c r="O2614" t="s">
        <v>321</v>
      </c>
      <c r="P2614" t="s">
        <v>1172</v>
      </c>
      <c r="Q2614">
        <v>42</v>
      </c>
      <c r="R2614" t="s">
        <v>6498</v>
      </c>
      <c r="S2614" t="s">
        <v>964</v>
      </c>
      <c r="T2614" t="s">
        <v>842</v>
      </c>
      <c r="U2614" t="s">
        <v>856</v>
      </c>
      <c r="W2614">
        <v>49126</v>
      </c>
      <c r="X2614">
        <v>51639</v>
      </c>
      <c r="Y2614" t="s">
        <v>844</v>
      </c>
      <c r="Z2614" t="s">
        <v>792</v>
      </c>
      <c r="AB2614" t="s">
        <v>793</v>
      </c>
      <c r="AD2614" t="s">
        <v>794</v>
      </c>
      <c r="AE2614" t="s">
        <v>804</v>
      </c>
      <c r="AF2614" t="s">
        <v>796</v>
      </c>
      <c r="AG2614" t="s">
        <v>797</v>
      </c>
      <c r="AH2614">
        <v>962880</v>
      </c>
      <c r="AI2614">
        <v>1068919</v>
      </c>
      <c r="AJ2614">
        <v>0.14799999999999999</v>
      </c>
    </row>
    <row r="2615" spans="1:36" x14ac:dyDescent="0.3">
      <c r="A2615">
        <f>COUNTIF($D$2:D2615,D2615)</f>
        <v>7</v>
      </c>
      <c r="B2615" t="str">
        <f t="shared" si="161"/>
        <v>7Wigan</v>
      </c>
      <c r="C2615" t="s">
        <v>7046</v>
      </c>
      <c r="D2615" t="s">
        <v>353</v>
      </c>
      <c r="E2615">
        <v>16</v>
      </c>
      <c r="F2615" t="s">
        <v>1250</v>
      </c>
      <c r="G2615" t="s">
        <v>811</v>
      </c>
      <c r="H2615" t="s">
        <v>895</v>
      </c>
      <c r="I2615" t="s">
        <v>813</v>
      </c>
      <c r="J2615">
        <f t="shared" ca="1" si="162"/>
        <v>1082288.0592</v>
      </c>
      <c r="K2615">
        <f t="shared" ca="1" si="163"/>
        <v>1500</v>
      </c>
      <c r="N2615" t="str">
        <f t="shared" si="160"/>
        <v>Telford and Wrekin43Enablement Homecare &amp; BedsBed based intermediate Care Services (Reablement, rehabilitation, wider short-term services supporting recovery)Bed-based intermediate care with rehabilitation (to support discharge)</v>
      </c>
      <c r="O2615" t="s">
        <v>321</v>
      </c>
      <c r="P2615" t="s">
        <v>1172</v>
      </c>
      <c r="Q2615">
        <v>43</v>
      </c>
      <c r="R2615" t="s">
        <v>6498</v>
      </c>
      <c r="S2615" t="s">
        <v>964</v>
      </c>
      <c r="T2615" t="s">
        <v>877</v>
      </c>
      <c r="U2615" t="s">
        <v>968</v>
      </c>
      <c r="W2615">
        <v>127</v>
      </c>
      <c r="X2615">
        <v>127</v>
      </c>
      <c r="Y2615" t="s">
        <v>879</v>
      </c>
      <c r="Z2615" t="s">
        <v>792</v>
      </c>
      <c r="AB2615" t="s">
        <v>793</v>
      </c>
      <c r="AD2615" t="s">
        <v>794</v>
      </c>
      <c r="AE2615" t="s">
        <v>804</v>
      </c>
      <c r="AF2615" t="s">
        <v>864</v>
      </c>
      <c r="AG2615" t="s">
        <v>797</v>
      </c>
      <c r="AH2615">
        <v>1096851</v>
      </c>
      <c r="AI2615">
        <v>1820773</v>
      </c>
      <c r="AJ2615">
        <v>0.16800000000000001</v>
      </c>
    </row>
    <row r="2616" spans="1:36" x14ac:dyDescent="0.3">
      <c r="A2616">
        <f>COUNTIF($D$2:D2616,D2616)</f>
        <v>8</v>
      </c>
      <c r="B2616" t="str">
        <f t="shared" si="161"/>
        <v>8Wigan</v>
      </c>
      <c r="C2616" t="s">
        <v>7047</v>
      </c>
      <c r="D2616" t="s">
        <v>353</v>
      </c>
      <c r="E2616">
        <v>19</v>
      </c>
      <c r="F2616" t="s">
        <v>7048</v>
      </c>
      <c r="G2616" t="s">
        <v>877</v>
      </c>
      <c r="H2616" t="s">
        <v>878</v>
      </c>
      <c r="I2616" t="s">
        <v>879</v>
      </c>
      <c r="J2616">
        <f t="shared" ca="1" si="162"/>
        <v>338296.90499999997</v>
      </c>
      <c r="K2616">
        <f t="shared" ca="1" si="163"/>
        <v>50</v>
      </c>
      <c r="N2616" t="str">
        <f t="shared" si="160"/>
        <v>Telford and Wrekin44Enablement Homecare &amp; BedsBed based intermediate Care Services (Reablement, rehabilitation, wider short-term services supporting recovery)Bed-based intermediate care with rehabilitation (to support discharge)</v>
      </c>
      <c r="O2616" t="s">
        <v>321</v>
      </c>
      <c r="P2616" t="s">
        <v>1172</v>
      </c>
      <c r="Q2616">
        <v>44</v>
      </c>
      <c r="R2616" t="s">
        <v>6498</v>
      </c>
      <c r="S2616" t="s">
        <v>964</v>
      </c>
      <c r="T2616" t="s">
        <v>877</v>
      </c>
      <c r="U2616" t="s">
        <v>968</v>
      </c>
      <c r="W2616">
        <v>143</v>
      </c>
      <c r="X2616">
        <v>194</v>
      </c>
      <c r="Y2616" t="s">
        <v>879</v>
      </c>
      <c r="Z2616" t="s">
        <v>792</v>
      </c>
      <c r="AB2616" t="s">
        <v>793</v>
      </c>
      <c r="AD2616" t="s">
        <v>794</v>
      </c>
      <c r="AE2616" t="s">
        <v>804</v>
      </c>
      <c r="AF2616" t="s">
        <v>860</v>
      </c>
      <c r="AG2616" t="s">
        <v>797</v>
      </c>
      <c r="AH2616">
        <v>1240396</v>
      </c>
      <c r="AI2616">
        <v>1776801</v>
      </c>
      <c r="AJ2616">
        <v>0.19</v>
      </c>
    </row>
    <row r="2617" spans="1:36" x14ac:dyDescent="0.3">
      <c r="A2617">
        <f>COUNTIF($D$2:D2617,D2617)</f>
        <v>9</v>
      </c>
      <c r="B2617" t="str">
        <f t="shared" si="161"/>
        <v>9Wigan</v>
      </c>
      <c r="C2617" t="s">
        <v>7049</v>
      </c>
      <c r="D2617" t="s">
        <v>353</v>
      </c>
      <c r="E2617">
        <v>22</v>
      </c>
      <c r="F2617" t="s">
        <v>2105</v>
      </c>
      <c r="G2617" t="s">
        <v>842</v>
      </c>
      <c r="H2617" t="s">
        <v>843</v>
      </c>
      <c r="I2617" t="s">
        <v>844</v>
      </c>
      <c r="J2617">
        <f t="shared" ca="1" si="162"/>
        <v>992551.02119999996</v>
      </c>
      <c r="K2617">
        <f t="shared" ca="1" si="163"/>
        <v>51057</v>
      </c>
      <c r="N2617" t="str">
        <f t="shared" si="160"/>
        <v>Telford and Wrekin45Enablement Homecare &amp; BedsBed based intermediate Care Services (Reablement, rehabilitation, wider short-term services supporting recovery)Bed-based intermediate care with rehabilitation (to support discharge)</v>
      </c>
      <c r="O2617" t="s">
        <v>321</v>
      </c>
      <c r="P2617" t="s">
        <v>1172</v>
      </c>
      <c r="Q2617">
        <v>45</v>
      </c>
      <c r="R2617" t="s">
        <v>6498</v>
      </c>
      <c r="S2617" t="s">
        <v>964</v>
      </c>
      <c r="T2617" t="s">
        <v>877</v>
      </c>
      <c r="U2617" t="s">
        <v>968</v>
      </c>
      <c r="W2617">
        <v>130</v>
      </c>
      <c r="X2617">
        <v>130</v>
      </c>
      <c r="Y2617" t="s">
        <v>879</v>
      </c>
      <c r="Z2617" t="s">
        <v>792</v>
      </c>
      <c r="AB2617" t="s">
        <v>793</v>
      </c>
      <c r="AD2617" t="s">
        <v>794</v>
      </c>
      <c r="AE2617" t="s">
        <v>804</v>
      </c>
      <c r="AF2617" t="s">
        <v>796</v>
      </c>
      <c r="AG2617" t="s">
        <v>797</v>
      </c>
      <c r="AH2617">
        <v>932024</v>
      </c>
      <c r="AI2617">
        <v>984777</v>
      </c>
      <c r="AJ2617">
        <v>0.14299999999999999</v>
      </c>
    </row>
    <row r="2618" spans="1:36" x14ac:dyDescent="0.3">
      <c r="A2618">
        <f>COUNTIF($D$2:D2618,D2618)</f>
        <v>10</v>
      </c>
      <c r="B2618" t="str">
        <f t="shared" si="161"/>
        <v>10Wigan</v>
      </c>
      <c r="C2618" t="s">
        <v>7050</v>
      </c>
      <c r="D2618" t="s">
        <v>353</v>
      </c>
      <c r="E2618">
        <v>27</v>
      </c>
      <c r="F2618" t="s">
        <v>7051</v>
      </c>
      <c r="G2618" t="s">
        <v>842</v>
      </c>
      <c r="H2618" t="s">
        <v>856</v>
      </c>
      <c r="I2618" t="s">
        <v>844</v>
      </c>
      <c r="J2618">
        <f t="shared" ca="1" si="162"/>
        <v>782148.15</v>
      </c>
      <c r="K2618">
        <f t="shared" ca="1" si="163"/>
        <v>40234</v>
      </c>
      <c r="N2618" t="str">
        <f t="shared" si="160"/>
        <v>Thurrock11MSE ICB - Thurrock Community ServicesBed based intermediate Care Services (Reablement, rehabilitation, wider short-term services supporting recovery)Bed-based intermediate care with reablement accepting step up and step down users</v>
      </c>
      <c r="O2618" t="s">
        <v>323</v>
      </c>
      <c r="P2618" t="s">
        <v>1056</v>
      </c>
      <c r="Q2618">
        <v>11</v>
      </c>
      <c r="R2618" t="s">
        <v>6539</v>
      </c>
      <c r="S2618" t="s">
        <v>1183</v>
      </c>
      <c r="T2618" t="s">
        <v>877</v>
      </c>
      <c r="U2618" t="s">
        <v>1259</v>
      </c>
      <c r="W2618">
        <v>9</v>
      </c>
      <c r="X2618">
        <v>9</v>
      </c>
      <c r="Y2618" t="s">
        <v>879</v>
      </c>
      <c r="Z2618" t="s">
        <v>823</v>
      </c>
      <c r="AB2618" t="s">
        <v>824</v>
      </c>
      <c r="AD2618" t="s">
        <v>794</v>
      </c>
      <c r="AE2618" t="s">
        <v>832</v>
      </c>
      <c r="AF2618" t="s">
        <v>796</v>
      </c>
      <c r="AG2618" t="s">
        <v>797</v>
      </c>
      <c r="AH2618">
        <v>1056369.1284417559</v>
      </c>
      <c r="AI2618">
        <v>1116159.6211115594</v>
      </c>
    </row>
    <row r="2619" spans="1:36" x14ac:dyDescent="0.3">
      <c r="A2619">
        <f>COUNTIF($D$2:D2619,D2619)</f>
        <v>11</v>
      </c>
      <c r="B2619" t="str">
        <f t="shared" si="161"/>
        <v>11Wigan</v>
      </c>
      <c r="C2619" t="s">
        <v>7052</v>
      </c>
      <c r="D2619" t="s">
        <v>353</v>
      </c>
      <c r="E2619">
        <v>28</v>
      </c>
      <c r="F2619" t="s">
        <v>7053</v>
      </c>
      <c r="G2619" t="s">
        <v>806</v>
      </c>
      <c r="H2619" t="s">
        <v>917</v>
      </c>
      <c r="I2619" t="s">
        <v>808</v>
      </c>
      <c r="J2619">
        <f t="shared" ca="1" si="162"/>
        <v>886434.57</v>
      </c>
      <c r="K2619">
        <f t="shared" ca="1" si="163"/>
        <v>25</v>
      </c>
      <c r="N2619" t="str">
        <f t="shared" si="160"/>
        <v>Thurrock8MSE ICB - Thurrock Community ServicesHome-based intermediate care servicesRehabilitation at home (accepting step up and step down users)</v>
      </c>
      <c r="O2619" t="s">
        <v>323</v>
      </c>
      <c r="P2619" t="s">
        <v>1056</v>
      </c>
      <c r="Q2619">
        <v>8</v>
      </c>
      <c r="R2619" t="s">
        <v>6539</v>
      </c>
      <c r="S2619" t="s">
        <v>3071</v>
      </c>
      <c r="T2619" t="s">
        <v>787</v>
      </c>
      <c r="U2619" t="s">
        <v>1688</v>
      </c>
      <c r="W2619">
        <v>28</v>
      </c>
      <c r="X2619">
        <v>28</v>
      </c>
      <c r="Y2619" t="s">
        <v>789</v>
      </c>
      <c r="Z2619" t="s">
        <v>823</v>
      </c>
      <c r="AB2619" t="s">
        <v>824</v>
      </c>
      <c r="AD2619" t="s">
        <v>794</v>
      </c>
      <c r="AE2619" t="s">
        <v>832</v>
      </c>
      <c r="AF2619" t="s">
        <v>796</v>
      </c>
      <c r="AG2619" t="s">
        <v>797</v>
      </c>
      <c r="AH2619">
        <v>732883.26907319867</v>
      </c>
      <c r="AI2619">
        <v>774364.4621027417</v>
      </c>
    </row>
    <row r="2620" spans="1:36" x14ac:dyDescent="0.3">
      <c r="A2620">
        <f>COUNTIF($D$2:D2620,D2620)</f>
        <v>12</v>
      </c>
      <c r="B2620" t="str">
        <f t="shared" si="161"/>
        <v>12Wigan</v>
      </c>
      <c r="C2620" t="s">
        <v>7054</v>
      </c>
      <c r="D2620" t="s">
        <v>353</v>
      </c>
      <c r="E2620">
        <v>32</v>
      </c>
      <c r="F2620" t="s">
        <v>7055</v>
      </c>
      <c r="G2620" t="s">
        <v>806</v>
      </c>
      <c r="H2620" t="s">
        <v>917</v>
      </c>
      <c r="I2620" t="s">
        <v>808</v>
      </c>
      <c r="J2620">
        <f t="shared" ca="1" si="162"/>
        <v>1198474</v>
      </c>
      <c r="K2620">
        <f t="shared" ca="1" si="163"/>
        <v>34</v>
      </c>
      <c r="N2620" t="str">
        <f t="shared" si="160"/>
        <v>Torbay2Disabled Facilities GrantDFG Related SchemesAdaptations, including statutory DFG grants</v>
      </c>
      <c r="O2620" t="s">
        <v>325</v>
      </c>
      <c r="P2620" t="s">
        <v>976</v>
      </c>
      <c r="Q2620">
        <v>2</v>
      </c>
      <c r="R2620" t="s">
        <v>891</v>
      </c>
      <c r="S2620" t="s">
        <v>834</v>
      </c>
      <c r="T2620" t="s">
        <v>834</v>
      </c>
      <c r="U2620" t="s">
        <v>835</v>
      </c>
      <c r="W2620">
        <v>250</v>
      </c>
      <c r="X2620">
        <v>285</v>
      </c>
      <c r="Y2620" t="s">
        <v>836</v>
      </c>
      <c r="Z2620" t="s">
        <v>812</v>
      </c>
      <c r="AA2620" t="s">
        <v>840</v>
      </c>
      <c r="AB2620" t="s">
        <v>793</v>
      </c>
      <c r="AD2620" t="s">
        <v>794</v>
      </c>
      <c r="AE2620" t="s">
        <v>804</v>
      </c>
      <c r="AF2620" t="s">
        <v>840</v>
      </c>
      <c r="AG2620" t="s">
        <v>797</v>
      </c>
      <c r="AH2620">
        <v>2128689</v>
      </c>
      <c r="AI2620">
        <v>2128689</v>
      </c>
      <c r="AJ2620">
        <v>1</v>
      </c>
    </row>
    <row r="2621" spans="1:36" x14ac:dyDescent="0.3">
      <c r="A2621">
        <f>COUNTIF($D$2:D2621,D2621)</f>
        <v>13</v>
      </c>
      <c r="B2621" t="str">
        <f t="shared" si="161"/>
        <v>13Wigan</v>
      </c>
      <c r="C2621" t="s">
        <v>7056</v>
      </c>
      <c r="D2621" t="s">
        <v>353</v>
      </c>
      <c r="E2621">
        <v>33</v>
      </c>
      <c r="F2621" t="s">
        <v>7057</v>
      </c>
      <c r="G2621" t="s">
        <v>806</v>
      </c>
      <c r="H2621" t="s">
        <v>807</v>
      </c>
      <c r="I2621" t="s">
        <v>808</v>
      </c>
      <c r="J2621">
        <f t="shared" ca="1" si="162"/>
        <v>3261473</v>
      </c>
      <c r="K2621">
        <f t="shared" ca="1" si="163"/>
        <v>94</v>
      </c>
      <c r="N2621" t="str">
        <f t="shared" si="160"/>
        <v>Torbay3Carers ServicesCarers ServicesCarer advice and support related to Care Act duties</v>
      </c>
      <c r="O2621" t="s">
        <v>325</v>
      </c>
      <c r="P2621" t="s">
        <v>976</v>
      </c>
      <c r="Q2621">
        <v>3</v>
      </c>
      <c r="R2621" t="s">
        <v>811</v>
      </c>
      <c r="S2621" t="s">
        <v>7058</v>
      </c>
      <c r="T2621" t="s">
        <v>811</v>
      </c>
      <c r="U2621" t="s">
        <v>895</v>
      </c>
      <c r="W2621">
        <v>4656</v>
      </c>
      <c r="X2621">
        <v>4656</v>
      </c>
      <c r="Y2621" t="s">
        <v>813</v>
      </c>
      <c r="Z2621" t="s">
        <v>792</v>
      </c>
      <c r="AB2621" t="s">
        <v>793</v>
      </c>
      <c r="AD2621" t="s">
        <v>794</v>
      </c>
      <c r="AE2621" t="s">
        <v>824</v>
      </c>
      <c r="AF2621" t="s">
        <v>796</v>
      </c>
      <c r="AG2621" t="s">
        <v>797</v>
      </c>
      <c r="AH2621">
        <v>936925</v>
      </c>
      <c r="AI2621">
        <v>936925</v>
      </c>
      <c r="AJ2621">
        <v>1</v>
      </c>
    </row>
    <row r="2622" spans="1:36" x14ac:dyDescent="0.3">
      <c r="A2622">
        <f>COUNTIF($D$2:D2622,D2622)</f>
        <v>14</v>
      </c>
      <c r="B2622" t="str">
        <f t="shared" si="161"/>
        <v>14Wigan</v>
      </c>
      <c r="C2622" t="s">
        <v>7059</v>
      </c>
      <c r="D2622" t="s">
        <v>353</v>
      </c>
      <c r="E2622">
        <v>35</v>
      </c>
      <c r="F2622" t="s">
        <v>7060</v>
      </c>
      <c r="G2622" t="s">
        <v>842</v>
      </c>
      <c r="H2622" t="s">
        <v>843</v>
      </c>
      <c r="I2622" t="s">
        <v>844</v>
      </c>
      <c r="J2622">
        <f t="shared" ca="1" si="162"/>
        <v>1781065</v>
      </c>
      <c r="K2622">
        <f t="shared" ca="1" si="163"/>
        <v>91619</v>
      </c>
      <c r="N2622" t="str">
        <f t="shared" si="160"/>
        <v>Torbay6Technology Enabled CareAssistive Technologies and EquipmentAssistive technologies including telecare</v>
      </c>
      <c r="O2622" t="s">
        <v>325</v>
      </c>
      <c r="P2622" t="s">
        <v>976</v>
      </c>
      <c r="Q2622">
        <v>6</v>
      </c>
      <c r="R2622" t="s">
        <v>1160</v>
      </c>
      <c r="S2622" t="s">
        <v>7061</v>
      </c>
      <c r="T2622" t="s">
        <v>800</v>
      </c>
      <c r="U2622" t="s">
        <v>850</v>
      </c>
      <c r="W2622">
        <v>323</v>
      </c>
      <c r="X2622">
        <v>358</v>
      </c>
      <c r="Y2622" t="s">
        <v>802</v>
      </c>
      <c r="Z2622" t="s">
        <v>792</v>
      </c>
      <c r="AB2622" t="s">
        <v>824</v>
      </c>
      <c r="AD2622" t="s">
        <v>794</v>
      </c>
      <c r="AE2622" t="s">
        <v>804</v>
      </c>
      <c r="AF2622" t="s">
        <v>796</v>
      </c>
      <c r="AG2622" t="s">
        <v>797</v>
      </c>
      <c r="AH2622">
        <v>289000</v>
      </c>
      <c r="AI2622">
        <v>289000</v>
      </c>
      <c r="AJ2622">
        <v>1</v>
      </c>
    </row>
    <row r="2623" spans="1:36" x14ac:dyDescent="0.3">
      <c r="A2623">
        <f>COUNTIF($D$2:D2623,D2623)</f>
        <v>15</v>
      </c>
      <c r="B2623" t="str">
        <f t="shared" si="161"/>
        <v>15Wigan</v>
      </c>
      <c r="C2623" t="s">
        <v>7062</v>
      </c>
      <c r="D2623" t="s">
        <v>353</v>
      </c>
      <c r="E2623">
        <v>38</v>
      </c>
      <c r="F2623" t="s">
        <v>7063</v>
      </c>
      <c r="G2623" t="s">
        <v>800</v>
      </c>
      <c r="H2623" t="s">
        <v>903</v>
      </c>
      <c r="I2623" t="s">
        <v>802</v>
      </c>
      <c r="J2623">
        <f t="shared" ca="1" si="162"/>
        <v>66022</v>
      </c>
      <c r="K2623">
        <f t="shared" ca="1" si="163"/>
        <v>2070</v>
      </c>
      <c r="N2623" t="str">
        <f t="shared" si="160"/>
        <v>Torbay8Intermediate Care Baywide - (P&amp;B)Home-based intermediate care servicesOther</v>
      </c>
      <c r="O2623" t="s">
        <v>325</v>
      </c>
      <c r="P2623" t="s">
        <v>976</v>
      </c>
      <c r="Q2623">
        <v>8</v>
      </c>
      <c r="R2623" t="s">
        <v>6550</v>
      </c>
      <c r="S2623" t="s">
        <v>7064</v>
      </c>
      <c r="T2623" t="s">
        <v>787</v>
      </c>
      <c r="U2623" t="s">
        <v>812</v>
      </c>
      <c r="V2623" t="s">
        <v>7065</v>
      </c>
      <c r="W2623">
        <v>1200</v>
      </c>
      <c r="X2623">
        <v>1200</v>
      </c>
      <c r="Y2623" t="s">
        <v>789</v>
      </c>
      <c r="Z2623" t="s">
        <v>823</v>
      </c>
      <c r="AB2623" t="s">
        <v>824</v>
      </c>
      <c r="AD2623" t="s">
        <v>794</v>
      </c>
      <c r="AE2623" t="s">
        <v>832</v>
      </c>
      <c r="AF2623" t="s">
        <v>796</v>
      </c>
      <c r="AG2623" t="s">
        <v>797</v>
      </c>
      <c r="AH2623">
        <v>396000</v>
      </c>
      <c r="AI2623">
        <v>396000</v>
      </c>
      <c r="AJ2623">
        <v>1</v>
      </c>
    </row>
    <row r="2624" spans="1:36" x14ac:dyDescent="0.3">
      <c r="A2624">
        <f>COUNTIF($D$2:D2624,D2624)</f>
        <v>16</v>
      </c>
      <c r="B2624" t="str">
        <f t="shared" si="161"/>
        <v>16Wigan</v>
      </c>
      <c r="C2624" t="s">
        <v>7066</v>
      </c>
      <c r="D2624" t="s">
        <v>353</v>
      </c>
      <c r="E2624">
        <v>40</v>
      </c>
      <c r="F2624" t="s">
        <v>7067</v>
      </c>
      <c r="G2624" t="s">
        <v>877</v>
      </c>
      <c r="H2624" t="s">
        <v>878</v>
      </c>
      <c r="I2624" t="s">
        <v>879</v>
      </c>
      <c r="J2624">
        <f t="shared" ca="1" si="162"/>
        <v>737073</v>
      </c>
      <c r="K2624">
        <f t="shared" ca="1" si="163"/>
        <v>7</v>
      </c>
      <c r="N2624" t="str">
        <f t="shared" si="160"/>
        <v>Torbay9Intermediate Care Baywide - (P&amp;B)Bed based intermediate Care Services (Reablement, rehabilitation, wider short-term services supporting recovery)Other</v>
      </c>
      <c r="O2624" t="s">
        <v>325</v>
      </c>
      <c r="P2624" t="s">
        <v>976</v>
      </c>
      <c r="Q2624">
        <v>9</v>
      </c>
      <c r="R2624" t="s">
        <v>6550</v>
      </c>
      <c r="S2624" t="s">
        <v>7064</v>
      </c>
      <c r="T2624" t="s">
        <v>877</v>
      </c>
      <c r="U2624" t="s">
        <v>812</v>
      </c>
      <c r="V2624" t="s">
        <v>7065</v>
      </c>
      <c r="W2624">
        <v>480</v>
      </c>
      <c r="X2624">
        <v>480</v>
      </c>
      <c r="Y2624" t="s">
        <v>879</v>
      </c>
      <c r="Z2624" t="s">
        <v>823</v>
      </c>
      <c r="AB2624" t="s">
        <v>824</v>
      </c>
      <c r="AD2624" t="s">
        <v>794</v>
      </c>
      <c r="AE2624" t="s">
        <v>832</v>
      </c>
      <c r="AF2624" t="s">
        <v>796</v>
      </c>
      <c r="AG2624" t="s">
        <v>797</v>
      </c>
      <c r="AH2624">
        <v>396000</v>
      </c>
      <c r="AI2624">
        <v>396000</v>
      </c>
      <c r="AJ2624">
        <v>1</v>
      </c>
    </row>
    <row r="2625" spans="1:36" x14ac:dyDescent="0.3">
      <c r="A2625">
        <f>COUNTIF($D$2:D2625,D2625)</f>
        <v>17</v>
      </c>
      <c r="B2625" t="str">
        <f t="shared" si="161"/>
        <v>17Wigan</v>
      </c>
      <c r="C2625" t="s">
        <v>7068</v>
      </c>
      <c r="D2625" t="s">
        <v>353</v>
      </c>
      <c r="E2625">
        <v>42</v>
      </c>
      <c r="F2625" t="s">
        <v>7067</v>
      </c>
      <c r="G2625" t="s">
        <v>800</v>
      </c>
      <c r="H2625" t="s">
        <v>903</v>
      </c>
      <c r="I2625" t="s">
        <v>802</v>
      </c>
      <c r="J2625">
        <f t="shared" ca="1" si="162"/>
        <v>155339</v>
      </c>
      <c r="K2625">
        <f t="shared" ca="1" si="163"/>
        <v>600</v>
      </c>
      <c r="N2625" t="str">
        <f t="shared" si="160"/>
        <v xml:space="preserve">Torbay11Rapid ResponseHome-based intermediate care servicesReablement at home (to support discharge) </v>
      </c>
      <c r="O2625" t="s">
        <v>325</v>
      </c>
      <c r="P2625" t="s">
        <v>976</v>
      </c>
      <c r="Q2625">
        <v>11</v>
      </c>
      <c r="R2625" t="s">
        <v>3569</v>
      </c>
      <c r="S2625" t="s">
        <v>7069</v>
      </c>
      <c r="T2625" t="s">
        <v>787</v>
      </c>
      <c r="U2625" t="s">
        <v>788</v>
      </c>
      <c r="W2625">
        <v>696</v>
      </c>
      <c r="X2625">
        <v>696</v>
      </c>
      <c r="Y2625" t="s">
        <v>789</v>
      </c>
      <c r="Z2625" t="s">
        <v>823</v>
      </c>
      <c r="AB2625" t="s">
        <v>824</v>
      </c>
      <c r="AD2625" t="s">
        <v>794</v>
      </c>
      <c r="AE2625" t="s">
        <v>824</v>
      </c>
      <c r="AF2625" t="s">
        <v>796</v>
      </c>
      <c r="AG2625" t="s">
        <v>797</v>
      </c>
      <c r="AH2625">
        <v>991043</v>
      </c>
      <c r="AI2625">
        <v>991043</v>
      </c>
      <c r="AJ2625">
        <v>1</v>
      </c>
    </row>
    <row r="2626" spans="1:36" x14ac:dyDescent="0.3">
      <c r="A2626">
        <f>COUNTIF($D$2:D2626,D2626)</f>
        <v>18</v>
      </c>
      <c r="B2626" t="str">
        <f t="shared" si="161"/>
        <v>18Wigan</v>
      </c>
      <c r="C2626" t="s">
        <v>7070</v>
      </c>
      <c r="D2626" t="s">
        <v>353</v>
      </c>
      <c r="E2626">
        <v>47</v>
      </c>
      <c r="F2626" t="s">
        <v>7071</v>
      </c>
      <c r="G2626" t="s">
        <v>811</v>
      </c>
      <c r="H2626" t="s">
        <v>830</v>
      </c>
      <c r="I2626" t="s">
        <v>813</v>
      </c>
      <c r="J2626">
        <f t="shared" ca="1" si="162"/>
        <v>388919</v>
      </c>
      <c r="K2626">
        <f t="shared" ca="1" si="163"/>
        <v>103</v>
      </c>
      <c r="N2626" t="str">
        <f t="shared" ref="N2626:N2689" si="164">O2626&amp;Q2626&amp;R2626&amp;T2626&amp;U2626</f>
        <v>Torbay13Reablement Block Beds
Intermediate Care
Hewitt / Kingsmount
Bed based intermediate Care Services (Reablement, rehabilitation, wider short-term services supporting recovery)Bed-based intermediate care with rehabilitation (to support discharge)</v>
      </c>
      <c r="O2626" t="s">
        <v>325</v>
      </c>
      <c r="P2626" t="s">
        <v>976</v>
      </c>
      <c r="Q2626">
        <v>13</v>
      </c>
      <c r="R2626" t="s">
        <v>6557</v>
      </c>
      <c r="S2626" t="s">
        <v>1388</v>
      </c>
      <c r="T2626" t="s">
        <v>877</v>
      </c>
      <c r="U2626" t="s">
        <v>968</v>
      </c>
      <c r="W2626">
        <v>9</v>
      </c>
      <c r="X2626">
        <v>9</v>
      </c>
      <c r="Y2626" t="s">
        <v>879</v>
      </c>
      <c r="Z2626" t="s">
        <v>823</v>
      </c>
      <c r="AB2626" t="s">
        <v>824</v>
      </c>
      <c r="AD2626" t="s">
        <v>794</v>
      </c>
      <c r="AE2626" t="s">
        <v>804</v>
      </c>
      <c r="AF2626" t="s">
        <v>796</v>
      </c>
      <c r="AG2626" t="s">
        <v>797</v>
      </c>
      <c r="AH2626">
        <v>600512</v>
      </c>
      <c r="AI2626">
        <v>600512</v>
      </c>
      <c r="AJ2626">
        <v>1</v>
      </c>
    </row>
    <row r="2627" spans="1:36" x14ac:dyDescent="0.3">
      <c r="A2627">
        <f>COUNTIF($D$2:D2627,D2627)</f>
        <v>19</v>
      </c>
      <c r="B2627" t="str">
        <f t="shared" ref="B2627:B2690" si="165">A2627&amp;D2627</f>
        <v>19Wigan</v>
      </c>
      <c r="C2627" t="s">
        <v>7072</v>
      </c>
      <c r="D2627" t="s">
        <v>353</v>
      </c>
      <c r="E2627">
        <v>49</v>
      </c>
      <c r="F2627" t="s">
        <v>5492</v>
      </c>
      <c r="G2627" t="s">
        <v>806</v>
      </c>
      <c r="H2627" t="s">
        <v>873</v>
      </c>
      <c r="I2627" t="s">
        <v>808</v>
      </c>
      <c r="J2627">
        <f t="shared" ref="J2627:J2690" ca="1" si="166">SUMIF($N:$AI,C2627,AH:AH)</f>
        <v>519651</v>
      </c>
      <c r="K2627">
        <f t="shared" ref="K2627:K2690" ca="1" si="167">SUMIF($N:$AI,C2627,W:W)</f>
        <v>26</v>
      </c>
      <c r="N2627" t="str">
        <f t="shared" si="164"/>
        <v>Torbay14Reablement Block Beds
Intermediate Care
Spot Purchase &amp; StaffingBed based intermediate Care Services (Reablement, rehabilitation, wider short-term services supporting recovery)Bed-based intermediate care with rehabilitation (to support discharge)</v>
      </c>
      <c r="O2627" t="s">
        <v>325</v>
      </c>
      <c r="P2627" t="s">
        <v>976</v>
      </c>
      <c r="Q2627">
        <v>14</v>
      </c>
      <c r="R2627" t="s">
        <v>6559</v>
      </c>
      <c r="S2627" t="s">
        <v>1388</v>
      </c>
      <c r="T2627" t="s">
        <v>877</v>
      </c>
      <c r="U2627" t="s">
        <v>968</v>
      </c>
      <c r="W2627">
        <v>24</v>
      </c>
      <c r="X2627">
        <v>24</v>
      </c>
      <c r="Y2627" t="s">
        <v>879</v>
      </c>
      <c r="Z2627" t="s">
        <v>823</v>
      </c>
      <c r="AB2627" t="s">
        <v>824</v>
      </c>
      <c r="AD2627" t="s">
        <v>794</v>
      </c>
      <c r="AE2627" t="s">
        <v>804</v>
      </c>
      <c r="AF2627" t="s">
        <v>796</v>
      </c>
      <c r="AG2627" t="s">
        <v>861</v>
      </c>
      <c r="AH2627">
        <v>1666489</v>
      </c>
      <c r="AI2627">
        <v>1666489</v>
      </c>
      <c r="AJ2627">
        <v>1</v>
      </c>
    </row>
    <row r="2628" spans="1:36" x14ac:dyDescent="0.3">
      <c r="A2628">
        <f>COUNTIF($D$2:D2628,D2628)</f>
        <v>20</v>
      </c>
      <c r="B2628" t="str">
        <f t="shared" si="165"/>
        <v>20Wigan</v>
      </c>
      <c r="C2628" t="s">
        <v>7073</v>
      </c>
      <c r="D2628" t="s">
        <v>353</v>
      </c>
      <c r="E2628">
        <v>51</v>
      </c>
      <c r="F2628" t="s">
        <v>891</v>
      </c>
      <c r="G2628" t="s">
        <v>834</v>
      </c>
      <c r="H2628" t="s">
        <v>835</v>
      </c>
      <c r="I2628" t="s">
        <v>836</v>
      </c>
      <c r="J2628">
        <f t="shared" ca="1" si="166"/>
        <v>4554373</v>
      </c>
      <c r="K2628">
        <f t="shared" ca="1" si="167"/>
        <v>260</v>
      </c>
      <c r="N2628" t="str">
        <f t="shared" si="164"/>
        <v>Torbay18Pathway 1
Escalation Care ServiceHome Care or Domiciliary CareDomiciliary care to support hospital discharge (Discharge to Assess pathway 1)</v>
      </c>
      <c r="O2628" t="s">
        <v>325</v>
      </c>
      <c r="P2628" t="s">
        <v>976</v>
      </c>
      <c r="Q2628">
        <v>18</v>
      </c>
      <c r="R2628" t="s">
        <v>6561</v>
      </c>
      <c r="S2628" t="s">
        <v>7074</v>
      </c>
      <c r="T2628" t="s">
        <v>842</v>
      </c>
      <c r="U2628" t="s">
        <v>856</v>
      </c>
      <c r="W2628">
        <v>950</v>
      </c>
      <c r="X2628">
        <v>1580</v>
      </c>
      <c r="Y2628" t="s">
        <v>844</v>
      </c>
      <c r="Z2628" t="s">
        <v>823</v>
      </c>
      <c r="AB2628" t="s">
        <v>7075</v>
      </c>
      <c r="AD2628" t="s">
        <v>794</v>
      </c>
      <c r="AE2628" t="s">
        <v>804</v>
      </c>
      <c r="AF2628" t="s">
        <v>864</v>
      </c>
      <c r="AG2628" t="s">
        <v>797</v>
      </c>
      <c r="AH2628">
        <v>1239014</v>
      </c>
      <c r="AI2628">
        <v>2056763</v>
      </c>
      <c r="AJ2628">
        <v>0.89</v>
      </c>
    </row>
    <row r="2629" spans="1:36" x14ac:dyDescent="0.3">
      <c r="A2629">
        <f>COUNTIF($D$2:D2629,D2629)</f>
        <v>21</v>
      </c>
      <c r="B2629" t="str">
        <f t="shared" si="165"/>
        <v>21Wigan</v>
      </c>
      <c r="C2629" t="s">
        <v>7076</v>
      </c>
      <c r="D2629" t="s">
        <v>353</v>
      </c>
      <c r="E2629">
        <v>52</v>
      </c>
      <c r="F2629" t="s">
        <v>7077</v>
      </c>
      <c r="G2629" t="s">
        <v>877</v>
      </c>
      <c r="H2629" t="s">
        <v>878</v>
      </c>
      <c r="I2629" t="s">
        <v>879</v>
      </c>
      <c r="J2629">
        <f t="shared" ca="1" si="166"/>
        <v>171000</v>
      </c>
      <c r="K2629">
        <f t="shared" ca="1" si="167"/>
        <v>11</v>
      </c>
      <c r="N2629" t="str">
        <f t="shared" si="164"/>
        <v>Torbay19Pathway 2
Block Contract Beds in the CommunityBed based intermediate Care Services (Reablement, rehabilitation, wider short-term services supporting recovery)Bed-based intermediate care with rehabilitation (to support discharge)</v>
      </c>
      <c r="O2629" t="s">
        <v>325</v>
      </c>
      <c r="P2629" t="s">
        <v>976</v>
      </c>
      <c r="Q2629">
        <v>19</v>
      </c>
      <c r="R2629" t="s">
        <v>6564</v>
      </c>
      <c r="S2629" t="s">
        <v>7078</v>
      </c>
      <c r="T2629" t="s">
        <v>877</v>
      </c>
      <c r="U2629" t="s">
        <v>968</v>
      </c>
      <c r="W2629">
        <v>17</v>
      </c>
      <c r="X2629">
        <v>30</v>
      </c>
      <c r="Y2629" t="s">
        <v>879</v>
      </c>
      <c r="Z2629" t="s">
        <v>823</v>
      </c>
      <c r="AB2629" t="s">
        <v>7075</v>
      </c>
      <c r="AD2629" t="s">
        <v>794</v>
      </c>
      <c r="AE2629" t="s">
        <v>804</v>
      </c>
      <c r="AF2629" t="s">
        <v>860</v>
      </c>
      <c r="AG2629" t="s">
        <v>797</v>
      </c>
      <c r="AH2629">
        <v>1044000</v>
      </c>
      <c r="AI2629">
        <v>1848000</v>
      </c>
      <c r="AJ2629">
        <v>1</v>
      </c>
    </row>
    <row r="2630" spans="1:36" x14ac:dyDescent="0.3">
      <c r="A2630">
        <f>COUNTIF($D$2:D2630,D2630)</f>
        <v>22</v>
      </c>
      <c r="B2630" t="str">
        <f t="shared" si="165"/>
        <v>22Wigan</v>
      </c>
      <c r="C2630" t="s">
        <v>7079</v>
      </c>
      <c r="D2630" t="s">
        <v>353</v>
      </c>
      <c r="E2630">
        <v>53</v>
      </c>
      <c r="F2630" t="s">
        <v>6796</v>
      </c>
      <c r="G2630" t="s">
        <v>842</v>
      </c>
      <c r="H2630" t="s">
        <v>843</v>
      </c>
      <c r="I2630" t="s">
        <v>844</v>
      </c>
      <c r="J2630">
        <f t="shared" ca="1" si="166"/>
        <v>815786</v>
      </c>
      <c r="K2630">
        <f t="shared" ca="1" si="167"/>
        <v>41964</v>
      </c>
      <c r="N2630" t="str">
        <f t="shared" si="164"/>
        <v>Torbay20Reablement Block Beds
Intermediate Care
(5 beds in block reablement unit)Bed based intermediate Care Services (Reablement, rehabilitation, wider short-term services supporting recovery)Bed-based intermediate care with rehabilitation (to support discharge)</v>
      </c>
      <c r="O2630" t="s">
        <v>325</v>
      </c>
      <c r="P2630" t="s">
        <v>976</v>
      </c>
      <c r="Q2630">
        <v>20</v>
      </c>
      <c r="R2630" t="s">
        <v>6566</v>
      </c>
      <c r="S2630" t="s">
        <v>1388</v>
      </c>
      <c r="T2630" t="s">
        <v>877</v>
      </c>
      <c r="U2630" t="s">
        <v>968</v>
      </c>
      <c r="W2630">
        <v>5</v>
      </c>
      <c r="X2630">
        <v>5</v>
      </c>
      <c r="Y2630" t="s">
        <v>879</v>
      </c>
      <c r="Z2630" t="s">
        <v>823</v>
      </c>
      <c r="AB2630" t="s">
        <v>7075</v>
      </c>
      <c r="AD2630" t="s">
        <v>794</v>
      </c>
      <c r="AE2630" t="s">
        <v>824</v>
      </c>
      <c r="AF2630" t="s">
        <v>796</v>
      </c>
      <c r="AG2630" t="s">
        <v>797</v>
      </c>
      <c r="AH2630">
        <v>391000</v>
      </c>
      <c r="AI2630">
        <v>391000</v>
      </c>
      <c r="AJ2630">
        <v>1</v>
      </c>
    </row>
    <row r="2631" spans="1:36" x14ac:dyDescent="0.3">
      <c r="A2631">
        <f>COUNTIF($D$2:D2631,D2631)</f>
        <v>23</v>
      </c>
      <c r="B2631" t="str">
        <f t="shared" si="165"/>
        <v>23Wigan</v>
      </c>
      <c r="C2631" t="s">
        <v>7080</v>
      </c>
      <c r="D2631" t="s">
        <v>353</v>
      </c>
      <c r="E2631">
        <v>54</v>
      </c>
      <c r="F2631" t="s">
        <v>6796</v>
      </c>
      <c r="G2631" t="s">
        <v>842</v>
      </c>
      <c r="H2631" t="s">
        <v>843</v>
      </c>
      <c r="I2631" t="s">
        <v>844</v>
      </c>
      <c r="J2631">
        <f t="shared" ca="1" si="166"/>
        <v>147214</v>
      </c>
      <c r="K2631">
        <f t="shared" ca="1" si="167"/>
        <v>7573</v>
      </c>
      <c r="N2631" t="str">
        <f t="shared" si="164"/>
        <v>Torbay23Support Independence at Home (Enabling, prevention, discharge)Home Care or Domiciliary CareDomiciliary care packages</v>
      </c>
      <c r="O2631" t="s">
        <v>325</v>
      </c>
      <c r="P2631" t="s">
        <v>976</v>
      </c>
      <c r="Q2631">
        <v>23</v>
      </c>
      <c r="R2631" t="s">
        <v>6569</v>
      </c>
      <c r="S2631" t="s">
        <v>7081</v>
      </c>
      <c r="T2631" t="s">
        <v>842</v>
      </c>
      <c r="U2631" t="s">
        <v>843</v>
      </c>
      <c r="W2631">
        <v>614</v>
      </c>
      <c r="X2631">
        <v>614</v>
      </c>
      <c r="Y2631" t="s">
        <v>844</v>
      </c>
      <c r="Z2631" t="s">
        <v>792</v>
      </c>
      <c r="AB2631" t="s">
        <v>793</v>
      </c>
      <c r="AD2631" t="s">
        <v>794</v>
      </c>
      <c r="AE2631" t="s">
        <v>824</v>
      </c>
      <c r="AF2631" t="s">
        <v>796</v>
      </c>
      <c r="AG2631" t="s">
        <v>861</v>
      </c>
      <c r="AH2631">
        <v>779934</v>
      </c>
      <c r="AI2631">
        <v>779934</v>
      </c>
      <c r="AJ2631">
        <v>1</v>
      </c>
    </row>
    <row r="2632" spans="1:36" x14ac:dyDescent="0.3">
      <c r="A2632">
        <f>COUNTIF($D$2:D2632,D2632)</f>
        <v>24</v>
      </c>
      <c r="B2632" t="str">
        <f t="shared" si="165"/>
        <v>24Wigan</v>
      </c>
      <c r="C2632" t="s">
        <v>7082</v>
      </c>
      <c r="D2632" t="s">
        <v>353</v>
      </c>
      <c r="E2632">
        <v>58</v>
      </c>
      <c r="F2632" t="s">
        <v>7083</v>
      </c>
      <c r="G2632" t="s">
        <v>787</v>
      </c>
      <c r="H2632" t="s">
        <v>788</v>
      </c>
      <c r="I2632" t="s">
        <v>789</v>
      </c>
      <c r="J2632">
        <f t="shared" ca="1" si="166"/>
        <v>703000</v>
      </c>
      <c r="K2632">
        <f t="shared" ca="1" si="167"/>
        <v>915</v>
      </c>
      <c r="N2632" t="str">
        <f t="shared" si="164"/>
        <v>Tower Hamlets4Brokerage Service - support for hospital discharge Assistive Technologies and EquipmentCommunity based equipment</v>
      </c>
      <c r="O2632" t="s">
        <v>327</v>
      </c>
      <c r="P2632" t="s">
        <v>790</v>
      </c>
      <c r="Q2632">
        <v>4</v>
      </c>
      <c r="R2632" t="s">
        <v>6572</v>
      </c>
      <c r="S2632" t="s">
        <v>7084</v>
      </c>
      <c r="T2632" t="s">
        <v>800</v>
      </c>
      <c r="U2632" t="s">
        <v>903</v>
      </c>
      <c r="W2632">
        <v>6105</v>
      </c>
      <c r="X2632">
        <v>6105</v>
      </c>
      <c r="Y2632" t="s">
        <v>802</v>
      </c>
      <c r="Z2632" t="s">
        <v>792</v>
      </c>
      <c r="AB2632" t="s">
        <v>793</v>
      </c>
      <c r="AD2632" t="s">
        <v>794</v>
      </c>
      <c r="AE2632" t="s">
        <v>795</v>
      </c>
      <c r="AF2632" t="s">
        <v>796</v>
      </c>
      <c r="AG2632" t="s">
        <v>797</v>
      </c>
      <c r="AH2632">
        <v>117048.03479999999</v>
      </c>
      <c r="AI2632">
        <v>123673</v>
      </c>
      <c r="AJ2632">
        <v>1.4981189658261871E-4</v>
      </c>
    </row>
    <row r="2633" spans="1:36" x14ac:dyDescent="0.3">
      <c r="A2633">
        <f>COUNTIF($D$2:D2633,D2633)</f>
        <v>1</v>
      </c>
      <c r="B2633" t="str">
        <f t="shared" si="165"/>
        <v>1Wiltshire</v>
      </c>
      <c r="C2633" t="s">
        <v>7085</v>
      </c>
      <c r="D2633" t="s">
        <v>355</v>
      </c>
      <c r="E2633">
        <v>1</v>
      </c>
      <c r="F2633" t="s">
        <v>7086</v>
      </c>
      <c r="G2633" t="s">
        <v>877</v>
      </c>
      <c r="H2633" t="s">
        <v>968</v>
      </c>
      <c r="I2633" t="s">
        <v>879</v>
      </c>
      <c r="J2633">
        <f t="shared" ca="1" si="166"/>
        <v>977935</v>
      </c>
      <c r="K2633">
        <f t="shared" ca="1" si="167"/>
        <v>364</v>
      </c>
      <c r="N2633" t="str">
        <f t="shared" si="164"/>
        <v>Tower Hamlets5Community Equipment Service Assistive Technologies and EquipmentCommunity based equipment</v>
      </c>
      <c r="O2633" t="s">
        <v>327</v>
      </c>
      <c r="P2633" t="s">
        <v>790</v>
      </c>
      <c r="Q2633">
        <v>5</v>
      </c>
      <c r="R2633" t="s">
        <v>1513</v>
      </c>
      <c r="S2633" t="s">
        <v>7087</v>
      </c>
      <c r="T2633" t="s">
        <v>800</v>
      </c>
      <c r="U2633" t="s">
        <v>903</v>
      </c>
      <c r="W2633">
        <v>1400</v>
      </c>
      <c r="X2633">
        <v>1400</v>
      </c>
      <c r="Y2633" t="s">
        <v>802</v>
      </c>
      <c r="Z2633" t="s">
        <v>792</v>
      </c>
      <c r="AB2633" t="s">
        <v>793</v>
      </c>
      <c r="AD2633" t="s">
        <v>794</v>
      </c>
      <c r="AE2633" t="s">
        <v>804</v>
      </c>
      <c r="AF2633" t="s">
        <v>1029</v>
      </c>
      <c r="AG2633" t="s">
        <v>797</v>
      </c>
      <c r="AH2633">
        <v>454100</v>
      </c>
      <c r="AI2633">
        <v>454100</v>
      </c>
      <c r="AJ2633">
        <v>5.8121080250863948E-4</v>
      </c>
    </row>
    <row r="2634" spans="1:36" x14ac:dyDescent="0.3">
      <c r="A2634">
        <f>COUNTIF($D$2:D2634,D2634)</f>
        <v>2</v>
      </c>
      <c r="B2634" t="str">
        <f t="shared" si="165"/>
        <v>2Wiltshire</v>
      </c>
      <c r="C2634" t="s">
        <v>7088</v>
      </c>
      <c r="D2634" t="s">
        <v>355</v>
      </c>
      <c r="E2634">
        <v>6</v>
      </c>
      <c r="F2634" t="s">
        <v>7089</v>
      </c>
      <c r="G2634" t="s">
        <v>877</v>
      </c>
      <c r="H2634" t="s">
        <v>968</v>
      </c>
      <c r="I2634" t="s">
        <v>879</v>
      </c>
      <c r="J2634">
        <f t="shared" ca="1" si="166"/>
        <v>1023712</v>
      </c>
      <c r="K2634">
        <f t="shared" ca="1" si="167"/>
        <v>671</v>
      </c>
      <c r="N2634" t="str">
        <f t="shared" si="164"/>
        <v>Tower Hamlets6Communtiy Equipment ServiceAssistive Technologies and EquipmentCommunity based equipment</v>
      </c>
      <c r="O2634" t="s">
        <v>327</v>
      </c>
      <c r="P2634" t="s">
        <v>790</v>
      </c>
      <c r="Q2634">
        <v>6</v>
      </c>
      <c r="R2634" t="s">
        <v>6577</v>
      </c>
      <c r="S2634" t="s">
        <v>7090</v>
      </c>
      <c r="T2634" t="s">
        <v>800</v>
      </c>
      <c r="U2634" t="s">
        <v>903</v>
      </c>
      <c r="W2634">
        <v>1400</v>
      </c>
      <c r="X2634">
        <v>1400</v>
      </c>
      <c r="Y2634" t="s">
        <v>802</v>
      </c>
      <c r="Z2634" t="s">
        <v>792</v>
      </c>
      <c r="AB2634" t="s">
        <v>793</v>
      </c>
      <c r="AD2634" t="s">
        <v>794</v>
      </c>
      <c r="AE2634" t="s">
        <v>804</v>
      </c>
      <c r="AF2634" t="s">
        <v>1042</v>
      </c>
      <c r="AG2634" t="s">
        <v>797</v>
      </c>
      <c r="AH2634">
        <v>322000</v>
      </c>
      <c r="AI2634">
        <v>322000</v>
      </c>
      <c r="AJ2634">
        <v>4.1213362344809937E-4</v>
      </c>
    </row>
    <row r="2635" spans="1:36" x14ac:dyDescent="0.3">
      <c r="A2635">
        <f>COUNTIF($D$2:D2635,D2635)</f>
        <v>3</v>
      </c>
      <c r="B2635" t="str">
        <f t="shared" si="165"/>
        <v>3Wiltshire</v>
      </c>
      <c r="C2635" t="s">
        <v>7091</v>
      </c>
      <c r="D2635" t="s">
        <v>355</v>
      </c>
      <c r="E2635">
        <v>19</v>
      </c>
      <c r="F2635" t="s">
        <v>7092</v>
      </c>
      <c r="G2635" t="s">
        <v>787</v>
      </c>
      <c r="H2635" t="s">
        <v>930</v>
      </c>
      <c r="I2635" t="s">
        <v>789</v>
      </c>
      <c r="J2635">
        <f t="shared" ca="1" si="166"/>
        <v>664898</v>
      </c>
      <c r="K2635">
        <f t="shared" ca="1" si="167"/>
        <v>210</v>
      </c>
      <c r="N2635" t="str">
        <f t="shared" si="164"/>
        <v>Tower Hamlets7Community Equipment Service Assistive Technologies and EquipmentCommunity based equipment</v>
      </c>
      <c r="O2635" t="s">
        <v>327</v>
      </c>
      <c r="P2635" t="s">
        <v>790</v>
      </c>
      <c r="Q2635">
        <v>7</v>
      </c>
      <c r="R2635" t="s">
        <v>1513</v>
      </c>
      <c r="S2635" t="s">
        <v>7093</v>
      </c>
      <c r="T2635" t="s">
        <v>800</v>
      </c>
      <c r="U2635" t="s">
        <v>903</v>
      </c>
      <c r="W2635">
        <v>1400</v>
      </c>
      <c r="X2635">
        <v>1400</v>
      </c>
      <c r="Y2635" t="s">
        <v>802</v>
      </c>
      <c r="Z2635" t="s">
        <v>792</v>
      </c>
      <c r="AB2635" t="s">
        <v>793</v>
      </c>
      <c r="AD2635" t="s">
        <v>794</v>
      </c>
      <c r="AE2635" t="s">
        <v>795</v>
      </c>
      <c r="AF2635" t="s">
        <v>796</v>
      </c>
      <c r="AG2635" t="s">
        <v>797</v>
      </c>
      <c r="AH2635">
        <v>1846488.8015999999</v>
      </c>
      <c r="AI2635">
        <v>1951000</v>
      </c>
      <c r="AJ2635">
        <v>2.3633544113656727E-3</v>
      </c>
    </row>
    <row r="2636" spans="1:36" x14ac:dyDescent="0.3">
      <c r="A2636">
        <f>COUNTIF($D$2:D2636,D2636)</f>
        <v>4</v>
      </c>
      <c r="B2636" t="str">
        <f t="shared" si="165"/>
        <v>4Wiltshire</v>
      </c>
      <c r="C2636" t="s">
        <v>7094</v>
      </c>
      <c r="D2636" t="s">
        <v>355</v>
      </c>
      <c r="E2636">
        <v>20</v>
      </c>
      <c r="F2636" t="s">
        <v>7095</v>
      </c>
      <c r="G2636" t="s">
        <v>811</v>
      </c>
      <c r="H2636" t="s">
        <v>895</v>
      </c>
      <c r="I2636" t="s">
        <v>813</v>
      </c>
      <c r="J2636">
        <f t="shared" ca="1" si="166"/>
        <v>668583</v>
      </c>
      <c r="K2636">
        <f t="shared" ca="1" si="167"/>
        <v>552</v>
      </c>
      <c r="N2636" t="str">
        <f t="shared" si="164"/>
        <v>Tower Hamlets8Carers supportCarers ServicesRespite services</v>
      </c>
      <c r="O2636" t="s">
        <v>327</v>
      </c>
      <c r="P2636" t="s">
        <v>790</v>
      </c>
      <c r="Q2636">
        <v>8</v>
      </c>
      <c r="R2636" t="s">
        <v>1399</v>
      </c>
      <c r="S2636" t="s">
        <v>7096</v>
      </c>
      <c r="T2636" t="s">
        <v>811</v>
      </c>
      <c r="U2636" t="s">
        <v>830</v>
      </c>
      <c r="W2636">
        <v>1700</v>
      </c>
      <c r="X2636">
        <v>1700</v>
      </c>
      <c r="Y2636" t="s">
        <v>813</v>
      </c>
      <c r="Z2636" t="s">
        <v>792</v>
      </c>
      <c r="AB2636" t="s">
        <v>793</v>
      </c>
      <c r="AD2636" t="s">
        <v>794</v>
      </c>
      <c r="AE2636" t="s">
        <v>825</v>
      </c>
      <c r="AF2636" t="s">
        <v>796</v>
      </c>
      <c r="AG2636" t="s">
        <v>797</v>
      </c>
      <c r="AH2636">
        <v>699469.2</v>
      </c>
      <c r="AI2636">
        <v>739059</v>
      </c>
      <c r="AJ2636">
        <v>8.952632791501342E-4</v>
      </c>
    </row>
    <row r="2637" spans="1:36" x14ac:dyDescent="0.3">
      <c r="A2637">
        <f>COUNTIF($D$2:D2637,D2637)</f>
        <v>5</v>
      </c>
      <c r="B2637" t="str">
        <f t="shared" si="165"/>
        <v>5Wiltshire</v>
      </c>
      <c r="C2637" t="s">
        <v>7097</v>
      </c>
      <c r="D2637" t="s">
        <v>355</v>
      </c>
      <c r="E2637">
        <v>21</v>
      </c>
      <c r="F2637" t="s">
        <v>7098</v>
      </c>
      <c r="G2637" t="s">
        <v>811</v>
      </c>
      <c r="H2637" t="s">
        <v>895</v>
      </c>
      <c r="I2637" t="s">
        <v>813</v>
      </c>
      <c r="J2637">
        <f t="shared" ca="1" si="166"/>
        <v>72674</v>
      </c>
      <c r="K2637">
        <f t="shared" ca="1" si="167"/>
        <v>552</v>
      </c>
      <c r="N2637" t="str">
        <f t="shared" si="164"/>
        <v>Tower Hamlets20Disabilities Fund Grant DFG Related SchemesAdaptations, including statutory DFG grants</v>
      </c>
      <c r="O2637" t="s">
        <v>327</v>
      </c>
      <c r="P2637" t="s">
        <v>790</v>
      </c>
      <c r="Q2637">
        <v>20</v>
      </c>
      <c r="R2637" t="s">
        <v>6584</v>
      </c>
      <c r="S2637" t="s">
        <v>840</v>
      </c>
      <c r="T2637" t="s">
        <v>834</v>
      </c>
      <c r="U2637" t="s">
        <v>835</v>
      </c>
      <c r="W2637">
        <v>220</v>
      </c>
      <c r="X2637">
        <v>220</v>
      </c>
      <c r="Y2637" t="s">
        <v>836</v>
      </c>
      <c r="Z2637" t="s">
        <v>792</v>
      </c>
      <c r="AB2637" t="s">
        <v>793</v>
      </c>
      <c r="AD2637" t="s">
        <v>794</v>
      </c>
      <c r="AE2637" t="s">
        <v>795</v>
      </c>
      <c r="AF2637" t="s">
        <v>840</v>
      </c>
      <c r="AG2637" t="s">
        <v>797</v>
      </c>
      <c r="AH2637">
        <v>2320693</v>
      </c>
      <c r="AI2637">
        <v>2320693</v>
      </c>
      <c r="AJ2637">
        <v>2.9702969409957764E-3</v>
      </c>
    </row>
    <row r="2638" spans="1:36" x14ac:dyDescent="0.3">
      <c r="A2638">
        <f>COUNTIF($D$2:D2638,D2638)</f>
        <v>6</v>
      </c>
      <c r="B2638" t="str">
        <f t="shared" si="165"/>
        <v>6Wiltshire</v>
      </c>
      <c r="C2638" t="s">
        <v>7099</v>
      </c>
      <c r="D2638" t="s">
        <v>355</v>
      </c>
      <c r="E2638">
        <v>23</v>
      </c>
      <c r="F2638" t="s">
        <v>7100</v>
      </c>
      <c r="G2638" t="s">
        <v>834</v>
      </c>
      <c r="H2638" t="s">
        <v>835</v>
      </c>
      <c r="I2638" t="s">
        <v>836</v>
      </c>
      <c r="J2638">
        <f t="shared" ca="1" si="166"/>
        <v>5846400</v>
      </c>
      <c r="K2638">
        <f t="shared" ca="1" si="167"/>
        <v>2750</v>
      </c>
      <c r="N2638" t="str">
        <f t="shared" si="164"/>
        <v>Trafford1Disabled Facilities GrantDFG Related SchemesAdaptations, including statutory DFG grants</v>
      </c>
      <c r="O2638" t="s">
        <v>329</v>
      </c>
      <c r="P2638" t="s">
        <v>1201</v>
      </c>
      <c r="Q2638">
        <v>1</v>
      </c>
      <c r="R2638" t="s">
        <v>891</v>
      </c>
      <c r="S2638" t="s">
        <v>7101</v>
      </c>
      <c r="T2638" t="s">
        <v>834</v>
      </c>
      <c r="U2638" t="s">
        <v>835</v>
      </c>
      <c r="W2638">
        <v>420</v>
      </c>
      <c r="X2638">
        <v>420</v>
      </c>
      <c r="Y2638" t="s">
        <v>836</v>
      </c>
      <c r="Z2638" t="s">
        <v>792</v>
      </c>
      <c r="AB2638" t="s">
        <v>793</v>
      </c>
      <c r="AD2638" t="s">
        <v>794</v>
      </c>
      <c r="AE2638" t="s">
        <v>804</v>
      </c>
      <c r="AF2638" t="s">
        <v>840</v>
      </c>
      <c r="AG2638" t="s">
        <v>797</v>
      </c>
      <c r="AH2638">
        <v>2469979</v>
      </c>
      <c r="AI2638">
        <v>2469979</v>
      </c>
      <c r="AJ2638">
        <v>1</v>
      </c>
    </row>
    <row r="2639" spans="1:36" x14ac:dyDescent="0.3">
      <c r="A2639">
        <f>COUNTIF($D$2:D2639,D2639)</f>
        <v>7</v>
      </c>
      <c r="B2639" t="str">
        <f t="shared" si="165"/>
        <v>7Wiltshire</v>
      </c>
      <c r="C2639" t="s">
        <v>7102</v>
      </c>
      <c r="D2639" t="s">
        <v>355</v>
      </c>
      <c r="E2639">
        <v>26</v>
      </c>
      <c r="F2639" t="s">
        <v>7103</v>
      </c>
      <c r="G2639" t="s">
        <v>800</v>
      </c>
      <c r="H2639" t="s">
        <v>850</v>
      </c>
      <c r="I2639" t="s">
        <v>802</v>
      </c>
      <c r="J2639">
        <f t="shared" ca="1" si="166"/>
        <v>1268238</v>
      </c>
      <c r="K2639">
        <f t="shared" ca="1" si="167"/>
        <v>3500</v>
      </c>
      <c r="N2639" t="str">
        <f t="shared" si="164"/>
        <v>Trafford2Community Equipment and AdaptationsAssistive Technologies and EquipmentCommunity based equipment</v>
      </c>
      <c r="O2639" t="s">
        <v>329</v>
      </c>
      <c r="P2639" t="s">
        <v>1201</v>
      </c>
      <c r="Q2639">
        <v>2</v>
      </c>
      <c r="R2639" t="s">
        <v>6589</v>
      </c>
      <c r="S2639" t="s">
        <v>7104</v>
      </c>
      <c r="T2639" t="s">
        <v>800</v>
      </c>
      <c r="U2639" t="s">
        <v>903</v>
      </c>
      <c r="W2639">
        <v>1398</v>
      </c>
      <c r="X2639">
        <v>1398</v>
      </c>
      <c r="Y2639" t="s">
        <v>802</v>
      </c>
      <c r="Z2639" t="s">
        <v>792</v>
      </c>
      <c r="AB2639" t="s">
        <v>793</v>
      </c>
      <c r="AD2639" t="s">
        <v>794</v>
      </c>
      <c r="AE2639" t="s">
        <v>832</v>
      </c>
      <c r="AF2639" t="s">
        <v>796</v>
      </c>
      <c r="AG2639" t="s">
        <v>797</v>
      </c>
      <c r="AH2639">
        <v>891000</v>
      </c>
      <c r="AI2639">
        <v>941430.6</v>
      </c>
      <c r="AJ2639">
        <v>0.95</v>
      </c>
    </row>
    <row r="2640" spans="1:36" x14ac:dyDescent="0.3">
      <c r="A2640">
        <f>COUNTIF($D$2:D2640,D2640)</f>
        <v>8</v>
      </c>
      <c r="B2640" t="str">
        <f t="shared" si="165"/>
        <v>8Wiltshire</v>
      </c>
      <c r="C2640" t="s">
        <v>7105</v>
      </c>
      <c r="D2640" t="s">
        <v>355</v>
      </c>
      <c r="E2640">
        <v>28</v>
      </c>
      <c r="F2640" t="s">
        <v>7106</v>
      </c>
      <c r="G2640" t="s">
        <v>842</v>
      </c>
      <c r="H2640" t="s">
        <v>843</v>
      </c>
      <c r="I2640" t="s">
        <v>844</v>
      </c>
      <c r="J2640">
        <f t="shared" ca="1" si="166"/>
        <v>497926</v>
      </c>
      <c r="K2640">
        <f t="shared" ca="1" si="167"/>
        <v>222</v>
      </c>
      <c r="N2640" t="str">
        <f t="shared" si="164"/>
        <v>Trafford5Social Care Client PackagesResidential PlacementsCare home</v>
      </c>
      <c r="O2640" t="s">
        <v>329</v>
      </c>
      <c r="P2640" t="s">
        <v>1201</v>
      </c>
      <c r="Q2640">
        <v>5</v>
      </c>
      <c r="R2640" t="s">
        <v>6592</v>
      </c>
      <c r="S2640" t="s">
        <v>6592</v>
      </c>
      <c r="T2640" t="s">
        <v>806</v>
      </c>
      <c r="U2640" t="s">
        <v>807</v>
      </c>
      <c r="W2640">
        <v>76</v>
      </c>
      <c r="X2640">
        <v>76</v>
      </c>
      <c r="Y2640" t="s">
        <v>808</v>
      </c>
      <c r="Z2640" t="s">
        <v>792</v>
      </c>
      <c r="AB2640" t="s">
        <v>793</v>
      </c>
      <c r="AD2640" t="s">
        <v>794</v>
      </c>
      <c r="AE2640" t="s">
        <v>804</v>
      </c>
      <c r="AF2640" t="s">
        <v>845</v>
      </c>
      <c r="AG2640" t="s">
        <v>797</v>
      </c>
      <c r="AH2640">
        <v>3194552</v>
      </c>
      <c r="AI2640">
        <v>3194552</v>
      </c>
      <c r="AJ2640">
        <v>7.0000000000000007E-2</v>
      </c>
    </row>
    <row r="2641" spans="1:36" x14ac:dyDescent="0.3">
      <c r="A2641">
        <f>COUNTIF($D$2:D2641,D2641)</f>
        <v>9</v>
      </c>
      <c r="B2641" t="str">
        <f t="shared" si="165"/>
        <v>9Wiltshire</v>
      </c>
      <c r="C2641" t="s">
        <v>7107</v>
      </c>
      <c r="D2641" t="s">
        <v>355</v>
      </c>
      <c r="E2641">
        <v>32</v>
      </c>
      <c r="F2641" t="s">
        <v>7108</v>
      </c>
      <c r="G2641" t="s">
        <v>811</v>
      </c>
      <c r="H2641" t="s">
        <v>830</v>
      </c>
      <c r="I2641" t="s">
        <v>813</v>
      </c>
      <c r="J2641">
        <f t="shared" ca="1" si="166"/>
        <v>821067</v>
      </c>
      <c r="K2641">
        <f t="shared" ca="1" si="167"/>
        <v>50</v>
      </c>
      <c r="N2641" t="str">
        <f t="shared" si="164"/>
        <v>Trafford6Social Care Client PackagesResidential PlacementsCare home</v>
      </c>
      <c r="O2641" t="s">
        <v>329</v>
      </c>
      <c r="P2641" t="s">
        <v>1201</v>
      </c>
      <c r="Q2641">
        <v>6</v>
      </c>
      <c r="R2641" t="s">
        <v>6592</v>
      </c>
      <c r="S2641" t="s">
        <v>6592</v>
      </c>
      <c r="T2641" t="s">
        <v>806</v>
      </c>
      <c r="U2641" t="s">
        <v>807</v>
      </c>
      <c r="W2641">
        <v>37</v>
      </c>
      <c r="X2641">
        <v>42</v>
      </c>
      <c r="Y2641" t="s">
        <v>808</v>
      </c>
      <c r="Z2641" t="s">
        <v>792</v>
      </c>
      <c r="AB2641" t="s">
        <v>793</v>
      </c>
      <c r="AD2641" t="s">
        <v>794</v>
      </c>
      <c r="AE2641" t="s">
        <v>804</v>
      </c>
      <c r="AF2641" t="s">
        <v>796</v>
      </c>
      <c r="AG2641" t="s">
        <v>797</v>
      </c>
      <c r="AH2641">
        <v>1570101</v>
      </c>
      <c r="AI2641">
        <v>1658968.7165999999</v>
      </c>
      <c r="AJ2641">
        <v>0.04</v>
      </c>
    </row>
    <row r="2642" spans="1:36" x14ac:dyDescent="0.3">
      <c r="A2642">
        <f>COUNTIF($D$2:D2642,D2642)</f>
        <v>10</v>
      </c>
      <c r="B2642" t="str">
        <f t="shared" si="165"/>
        <v>10Wiltshire</v>
      </c>
      <c r="C2642" t="s">
        <v>7109</v>
      </c>
      <c r="D2642" t="s">
        <v>355</v>
      </c>
      <c r="E2642">
        <v>41</v>
      </c>
      <c r="F2642" t="s">
        <v>7110</v>
      </c>
      <c r="G2642" t="s">
        <v>877</v>
      </c>
      <c r="H2642" t="s">
        <v>968</v>
      </c>
      <c r="I2642" t="s">
        <v>879</v>
      </c>
      <c r="J2642">
        <f t="shared" ca="1" si="166"/>
        <v>3517284</v>
      </c>
      <c r="K2642">
        <f t="shared" ca="1" si="167"/>
        <v>1212</v>
      </c>
      <c r="N2642" t="str">
        <f t="shared" si="164"/>
        <v>Trafford8Respite to CarersCarers ServicesRespite services</v>
      </c>
      <c r="O2642" t="s">
        <v>329</v>
      </c>
      <c r="P2642" t="s">
        <v>1201</v>
      </c>
      <c r="Q2642">
        <v>8</v>
      </c>
      <c r="R2642" t="s">
        <v>6597</v>
      </c>
      <c r="S2642" t="s">
        <v>7111</v>
      </c>
      <c r="T2642" t="s">
        <v>811</v>
      </c>
      <c r="U2642" t="s">
        <v>830</v>
      </c>
      <c r="W2642">
        <v>155</v>
      </c>
      <c r="X2642">
        <v>159</v>
      </c>
      <c r="Y2642" t="s">
        <v>813</v>
      </c>
      <c r="Z2642" t="s">
        <v>792</v>
      </c>
      <c r="AB2642" t="s">
        <v>793</v>
      </c>
      <c r="AD2642" t="s">
        <v>794</v>
      </c>
      <c r="AE2642" t="s">
        <v>804</v>
      </c>
      <c r="AF2642" t="s">
        <v>796</v>
      </c>
      <c r="AG2642" t="s">
        <v>797</v>
      </c>
      <c r="AH2642">
        <v>440769</v>
      </c>
      <c r="AI2642">
        <v>465716.52539999998</v>
      </c>
      <c r="AJ2642">
        <v>0.95</v>
      </c>
    </row>
    <row r="2643" spans="1:36" x14ac:dyDescent="0.3">
      <c r="A2643">
        <f>COUNTIF($D$2:D2643,D2643)</f>
        <v>11</v>
      </c>
      <c r="B2643" t="str">
        <f t="shared" si="165"/>
        <v>11Wiltshire</v>
      </c>
      <c r="C2643" t="s">
        <v>7112</v>
      </c>
      <c r="D2643" t="s">
        <v>355</v>
      </c>
      <c r="E2643">
        <v>42</v>
      </c>
      <c r="F2643" t="s">
        <v>7113</v>
      </c>
      <c r="G2643" t="s">
        <v>877</v>
      </c>
      <c r="H2643" t="s">
        <v>878</v>
      </c>
      <c r="I2643" t="s">
        <v>879</v>
      </c>
      <c r="J2643">
        <f t="shared" ca="1" si="166"/>
        <v>1120358</v>
      </c>
      <c r="K2643">
        <f t="shared" ca="1" si="167"/>
        <v>540</v>
      </c>
      <c r="N2643" t="str">
        <f t="shared" si="164"/>
        <v>Trafford14Social Care Client PackagesHome Care or Domiciliary CareDomiciliary care packages</v>
      </c>
      <c r="O2643" t="s">
        <v>329</v>
      </c>
      <c r="P2643" t="s">
        <v>1201</v>
      </c>
      <c r="Q2643">
        <v>14</v>
      </c>
      <c r="R2643" t="s">
        <v>6592</v>
      </c>
      <c r="S2643" t="s">
        <v>6592</v>
      </c>
      <c r="T2643" t="s">
        <v>842</v>
      </c>
      <c r="U2643" t="s">
        <v>843</v>
      </c>
      <c r="W2643">
        <v>228276</v>
      </c>
      <c r="X2643">
        <v>228276</v>
      </c>
      <c r="Y2643" t="s">
        <v>844</v>
      </c>
      <c r="Z2643" t="s">
        <v>792</v>
      </c>
      <c r="AB2643" t="s">
        <v>793</v>
      </c>
      <c r="AD2643" t="s">
        <v>794</v>
      </c>
      <c r="AE2643" t="s">
        <v>804</v>
      </c>
      <c r="AF2643" t="s">
        <v>845</v>
      </c>
      <c r="AG2643" t="s">
        <v>797</v>
      </c>
      <c r="AH2643">
        <v>4487913</v>
      </c>
      <c r="AI2643">
        <v>4487913</v>
      </c>
      <c r="AJ2643">
        <v>0.2</v>
      </c>
    </row>
    <row r="2644" spans="1:36" x14ac:dyDescent="0.3">
      <c r="A2644">
        <f>COUNTIF($D$2:D2644,D2644)</f>
        <v>12</v>
      </c>
      <c r="B2644" t="str">
        <f t="shared" si="165"/>
        <v>12Wiltshire</v>
      </c>
      <c r="C2644" t="s">
        <v>7114</v>
      </c>
      <c r="D2644" t="s">
        <v>355</v>
      </c>
      <c r="E2644">
        <v>43</v>
      </c>
      <c r="F2644" t="s">
        <v>7115</v>
      </c>
      <c r="G2644" t="s">
        <v>787</v>
      </c>
      <c r="H2644" t="s">
        <v>788</v>
      </c>
      <c r="I2644" t="s">
        <v>789</v>
      </c>
      <c r="J2644">
        <f t="shared" ca="1" si="166"/>
        <v>414510</v>
      </c>
      <c r="K2644">
        <f t="shared" ca="1" si="167"/>
        <v>552</v>
      </c>
      <c r="N2644" t="str">
        <f t="shared" si="164"/>
        <v>Trafford15Social Care Client PackagesHome Care or Domiciliary CareDomiciliary care packages</v>
      </c>
      <c r="O2644" t="s">
        <v>329</v>
      </c>
      <c r="P2644" t="s">
        <v>1201</v>
      </c>
      <c r="Q2644">
        <v>15</v>
      </c>
      <c r="R2644" t="s">
        <v>6592</v>
      </c>
      <c r="S2644" t="s">
        <v>6592</v>
      </c>
      <c r="T2644" t="s">
        <v>842</v>
      </c>
      <c r="U2644" t="s">
        <v>843</v>
      </c>
      <c r="W2644">
        <v>84540</v>
      </c>
      <c r="X2644">
        <v>96000</v>
      </c>
      <c r="Y2644" t="s">
        <v>844</v>
      </c>
      <c r="Z2644" t="s">
        <v>792</v>
      </c>
      <c r="AB2644" t="s">
        <v>793</v>
      </c>
      <c r="AD2644" t="s">
        <v>794</v>
      </c>
      <c r="AE2644" t="s">
        <v>804</v>
      </c>
      <c r="AF2644" t="s">
        <v>796</v>
      </c>
      <c r="AG2644" t="s">
        <v>797</v>
      </c>
      <c r="AH2644">
        <v>1662058</v>
      </c>
      <c r="AI2644">
        <v>1756130.4828000001</v>
      </c>
      <c r="AJ2644">
        <v>7.0000000000000007E-2</v>
      </c>
    </row>
    <row r="2645" spans="1:36" x14ac:dyDescent="0.3">
      <c r="A2645">
        <f>COUNTIF($D$2:D2645,D2645)</f>
        <v>13</v>
      </c>
      <c r="B2645" t="str">
        <f t="shared" si="165"/>
        <v>13Wiltshire</v>
      </c>
      <c r="C2645" t="s">
        <v>7116</v>
      </c>
      <c r="D2645" t="s">
        <v>355</v>
      </c>
      <c r="E2645">
        <v>44</v>
      </c>
      <c r="F2645" t="s">
        <v>7117</v>
      </c>
      <c r="G2645" t="s">
        <v>787</v>
      </c>
      <c r="H2645" t="s">
        <v>930</v>
      </c>
      <c r="I2645" t="s">
        <v>789</v>
      </c>
      <c r="J2645">
        <f t="shared" ca="1" si="166"/>
        <v>793663</v>
      </c>
      <c r="K2645">
        <f t="shared" ca="1" si="167"/>
        <v>210</v>
      </c>
      <c r="N2645" t="str">
        <f t="shared" si="164"/>
        <v>Trafford19Asset based community capacityBed based intermediate Care Services (Reablement, rehabilitation, wider short-term services supporting recovery)Bed-based intermediate care with rehabilitation accepting step up and step down users</v>
      </c>
      <c r="O2645" t="s">
        <v>329</v>
      </c>
      <c r="P2645" t="s">
        <v>1201</v>
      </c>
      <c r="Q2645">
        <v>19</v>
      </c>
      <c r="R2645" t="s">
        <v>6604</v>
      </c>
      <c r="S2645" t="s">
        <v>1550</v>
      </c>
      <c r="T2645" t="s">
        <v>877</v>
      </c>
      <c r="U2645" t="s">
        <v>1015</v>
      </c>
      <c r="W2645">
        <v>432</v>
      </c>
      <c r="X2645">
        <v>432</v>
      </c>
      <c r="Y2645" t="s">
        <v>879</v>
      </c>
      <c r="Z2645" t="s">
        <v>823</v>
      </c>
      <c r="AB2645" t="s">
        <v>824</v>
      </c>
      <c r="AD2645" t="s">
        <v>794</v>
      </c>
      <c r="AE2645" t="s">
        <v>832</v>
      </c>
      <c r="AF2645" t="s">
        <v>796</v>
      </c>
      <c r="AG2645" t="s">
        <v>797</v>
      </c>
      <c r="AH2645">
        <v>3489000</v>
      </c>
      <c r="AI2645">
        <v>3669285</v>
      </c>
      <c r="AJ2645">
        <v>1</v>
      </c>
    </row>
    <row r="2646" spans="1:36" x14ac:dyDescent="0.3">
      <c r="A2646">
        <f>COUNTIF($D$2:D2646,D2646)</f>
        <v>14</v>
      </c>
      <c r="B2646" t="str">
        <f t="shared" si="165"/>
        <v>14Wiltshire</v>
      </c>
      <c r="C2646" t="s">
        <v>7118</v>
      </c>
      <c r="D2646" t="s">
        <v>355</v>
      </c>
      <c r="E2646">
        <v>45</v>
      </c>
      <c r="F2646" t="s">
        <v>7119</v>
      </c>
      <c r="G2646" t="s">
        <v>842</v>
      </c>
      <c r="H2646" t="s">
        <v>856</v>
      </c>
      <c r="I2646" t="s">
        <v>844</v>
      </c>
      <c r="J2646">
        <f t="shared" ca="1" si="166"/>
        <v>259236</v>
      </c>
      <c r="K2646">
        <f t="shared" ca="1" si="167"/>
        <v>1492</v>
      </c>
      <c r="N2646" t="str">
        <f t="shared" si="164"/>
        <v>Trafford22Community Equipment and AdaptationsAssistive Technologies and EquipmentCommunity based equipment</v>
      </c>
      <c r="O2646" t="s">
        <v>329</v>
      </c>
      <c r="P2646" t="s">
        <v>1201</v>
      </c>
      <c r="Q2646">
        <v>22</v>
      </c>
      <c r="R2646" t="s">
        <v>6589</v>
      </c>
      <c r="S2646" t="s">
        <v>7120</v>
      </c>
      <c r="T2646" t="s">
        <v>800</v>
      </c>
      <c r="U2646" t="s">
        <v>903</v>
      </c>
      <c r="W2646">
        <v>3050</v>
      </c>
      <c r="X2646">
        <v>3140</v>
      </c>
      <c r="Y2646" t="s">
        <v>802</v>
      </c>
      <c r="Z2646" t="s">
        <v>823</v>
      </c>
      <c r="AB2646" t="s">
        <v>824</v>
      </c>
      <c r="AD2646" t="s">
        <v>794</v>
      </c>
      <c r="AE2646" t="s">
        <v>832</v>
      </c>
      <c r="AF2646" t="s">
        <v>796</v>
      </c>
      <c r="AG2646" t="s">
        <v>797</v>
      </c>
      <c r="AH2646">
        <v>987000</v>
      </c>
      <c r="AI2646">
        <v>1004766</v>
      </c>
      <c r="AJ2646">
        <v>1</v>
      </c>
    </row>
    <row r="2647" spans="1:36" x14ac:dyDescent="0.3">
      <c r="A2647">
        <f>COUNTIF($D$2:D2647,D2647)</f>
        <v>15</v>
      </c>
      <c r="B2647" t="str">
        <f t="shared" si="165"/>
        <v>15Wiltshire</v>
      </c>
      <c r="C2647" t="s">
        <v>7121</v>
      </c>
      <c r="D2647" t="s">
        <v>355</v>
      </c>
      <c r="E2647">
        <v>46</v>
      </c>
      <c r="F2647" t="s">
        <v>7122</v>
      </c>
      <c r="G2647" t="s">
        <v>842</v>
      </c>
      <c r="H2647" t="s">
        <v>856</v>
      </c>
      <c r="I2647" t="s">
        <v>844</v>
      </c>
      <c r="J2647">
        <f t="shared" ca="1" si="166"/>
        <v>1052899</v>
      </c>
      <c r="K2647">
        <f t="shared" ca="1" si="167"/>
        <v>168</v>
      </c>
      <c r="N2647" t="str">
        <f t="shared" si="164"/>
        <v>Trafford29D2A BedsResidential PlacementsShort term residential care (without rehabilitation or reablement input)</v>
      </c>
      <c r="O2647" t="s">
        <v>329</v>
      </c>
      <c r="P2647" t="s">
        <v>1201</v>
      </c>
      <c r="Q2647">
        <v>29</v>
      </c>
      <c r="R2647" t="s">
        <v>1616</v>
      </c>
      <c r="S2647" t="s">
        <v>7123</v>
      </c>
      <c r="T2647" t="s">
        <v>806</v>
      </c>
      <c r="U2647" t="s">
        <v>955</v>
      </c>
      <c r="W2647">
        <v>4</v>
      </c>
      <c r="X2647">
        <v>12</v>
      </c>
      <c r="Y2647" t="s">
        <v>808</v>
      </c>
      <c r="Z2647" t="s">
        <v>792</v>
      </c>
      <c r="AB2647" t="s">
        <v>793</v>
      </c>
      <c r="AD2647" t="s">
        <v>794</v>
      </c>
      <c r="AE2647" t="s">
        <v>804</v>
      </c>
      <c r="AF2647" t="s">
        <v>864</v>
      </c>
      <c r="AG2647" t="s">
        <v>797</v>
      </c>
      <c r="AH2647">
        <v>153050</v>
      </c>
      <c r="AI2647">
        <v>522000</v>
      </c>
      <c r="AJ2647">
        <v>0.06</v>
      </c>
    </row>
    <row r="2648" spans="1:36" x14ac:dyDescent="0.3">
      <c r="A2648">
        <f>COUNTIF($D$2:D2648,D2648)</f>
        <v>16</v>
      </c>
      <c r="B2648" t="str">
        <f t="shared" si="165"/>
        <v>16Wiltshire</v>
      </c>
      <c r="C2648" t="s">
        <v>7124</v>
      </c>
      <c r="D2648" t="s">
        <v>355</v>
      </c>
      <c r="E2648">
        <v>47</v>
      </c>
      <c r="F2648" t="s">
        <v>7125</v>
      </c>
      <c r="G2648" t="s">
        <v>842</v>
      </c>
      <c r="H2648" t="s">
        <v>856</v>
      </c>
      <c r="I2648" t="s">
        <v>844</v>
      </c>
      <c r="J2648">
        <f t="shared" ca="1" si="166"/>
        <v>530000</v>
      </c>
      <c r="K2648">
        <f t="shared" ca="1" si="167"/>
        <v>204</v>
      </c>
      <c r="N2648" t="str">
        <f t="shared" si="164"/>
        <v>Trafford30Homecare (D2A)Home Care or Domiciliary CareDomiciliary care to support hospital discharge (Discharge to Assess pathway 1)</v>
      </c>
      <c r="O2648" t="s">
        <v>329</v>
      </c>
      <c r="P2648" t="s">
        <v>1201</v>
      </c>
      <c r="Q2648">
        <v>30</v>
      </c>
      <c r="R2648" t="s">
        <v>6609</v>
      </c>
      <c r="S2648" t="s">
        <v>7126</v>
      </c>
      <c r="T2648" t="s">
        <v>842</v>
      </c>
      <c r="U2648" t="s">
        <v>856</v>
      </c>
      <c r="W2648">
        <v>50864</v>
      </c>
      <c r="X2648">
        <v>71211</v>
      </c>
      <c r="Y2648" t="s">
        <v>844</v>
      </c>
      <c r="Z2648" t="s">
        <v>792</v>
      </c>
      <c r="AB2648" t="s">
        <v>793</v>
      </c>
      <c r="AD2648" t="s">
        <v>794</v>
      </c>
      <c r="AE2648" t="s">
        <v>804</v>
      </c>
      <c r="AF2648" t="s">
        <v>864</v>
      </c>
      <c r="AG2648" t="s">
        <v>797</v>
      </c>
      <c r="AH2648">
        <v>1000000</v>
      </c>
      <c r="AI2648">
        <v>1400000</v>
      </c>
      <c r="AJ2648">
        <v>1</v>
      </c>
    </row>
    <row r="2649" spans="1:36" x14ac:dyDescent="0.3">
      <c r="A2649">
        <f>COUNTIF($D$2:D2649,D2649)</f>
        <v>17</v>
      </c>
      <c r="B2649" t="str">
        <f t="shared" si="165"/>
        <v>17Wiltshire</v>
      </c>
      <c r="C2649" t="s">
        <v>7127</v>
      </c>
      <c r="D2649" t="s">
        <v>355</v>
      </c>
      <c r="E2649">
        <v>52</v>
      </c>
      <c r="F2649" t="s">
        <v>7128</v>
      </c>
      <c r="G2649" t="s">
        <v>787</v>
      </c>
      <c r="H2649" t="s">
        <v>788</v>
      </c>
      <c r="I2649" t="s">
        <v>789</v>
      </c>
      <c r="J2649">
        <f t="shared" ca="1" si="166"/>
        <v>931775</v>
      </c>
      <c r="K2649">
        <f t="shared" ca="1" si="167"/>
        <v>552</v>
      </c>
      <c r="N2649" t="str">
        <f t="shared" si="164"/>
        <v>Trafford31Health D2A AssessmentsResidential PlacementsShort term residential care (without rehabilitation or reablement input)</v>
      </c>
      <c r="O2649" t="s">
        <v>329</v>
      </c>
      <c r="P2649" t="s">
        <v>1201</v>
      </c>
      <c r="Q2649">
        <v>31</v>
      </c>
      <c r="R2649" t="s">
        <v>6611</v>
      </c>
      <c r="S2649" t="s">
        <v>7123</v>
      </c>
      <c r="T2649" t="s">
        <v>806</v>
      </c>
      <c r="U2649" t="s">
        <v>955</v>
      </c>
      <c r="W2649">
        <v>37</v>
      </c>
      <c r="X2649">
        <v>80</v>
      </c>
      <c r="Y2649" t="s">
        <v>808</v>
      </c>
      <c r="Z2649" t="s">
        <v>1061</v>
      </c>
      <c r="AB2649" t="s">
        <v>824</v>
      </c>
      <c r="AD2649" t="s">
        <v>794</v>
      </c>
      <c r="AE2649" t="s">
        <v>804</v>
      </c>
      <c r="AF2649" t="s">
        <v>860</v>
      </c>
      <c r="AG2649" t="s">
        <v>797</v>
      </c>
      <c r="AH2649">
        <v>330000</v>
      </c>
      <c r="AI2649">
        <v>712122</v>
      </c>
      <c r="AJ2649">
        <v>0.12</v>
      </c>
    </row>
    <row r="2650" spans="1:36" x14ac:dyDescent="0.3">
      <c r="A2650">
        <f>COUNTIF($D$2:D2650,D2650)</f>
        <v>18</v>
      </c>
      <c r="B2650" t="str">
        <f t="shared" si="165"/>
        <v>18Wiltshire</v>
      </c>
      <c r="C2650" t="s">
        <v>7129</v>
      </c>
      <c r="D2650" t="s">
        <v>355</v>
      </c>
      <c r="E2650">
        <v>57</v>
      </c>
      <c r="F2650" t="s">
        <v>7130</v>
      </c>
      <c r="G2650" t="s">
        <v>842</v>
      </c>
      <c r="H2650" t="s">
        <v>843</v>
      </c>
      <c r="I2650" t="s">
        <v>844</v>
      </c>
      <c r="J2650">
        <f t="shared" ca="1" si="166"/>
        <v>1088512</v>
      </c>
      <c r="K2650">
        <f t="shared" ca="1" si="167"/>
        <v>222</v>
      </c>
      <c r="N2650" t="str">
        <f t="shared" si="164"/>
        <v>Trafford32GP CoverResidential PlacementsOther</v>
      </c>
      <c r="O2650" t="s">
        <v>329</v>
      </c>
      <c r="P2650" t="s">
        <v>1201</v>
      </c>
      <c r="Q2650">
        <v>32</v>
      </c>
      <c r="R2650" t="s">
        <v>5705</v>
      </c>
      <c r="S2650" t="s">
        <v>7131</v>
      </c>
      <c r="T2650" t="s">
        <v>806</v>
      </c>
      <c r="U2650" t="s">
        <v>812</v>
      </c>
      <c r="W2650">
        <v>75</v>
      </c>
      <c r="X2650">
        <v>107</v>
      </c>
      <c r="Y2650" t="s">
        <v>808</v>
      </c>
      <c r="Z2650" t="s">
        <v>3118</v>
      </c>
      <c r="AB2650" t="s">
        <v>824</v>
      </c>
      <c r="AD2650" t="s">
        <v>794</v>
      </c>
      <c r="AE2650" t="s">
        <v>824</v>
      </c>
      <c r="AF2650" t="s">
        <v>860</v>
      </c>
      <c r="AG2650" t="s">
        <v>797</v>
      </c>
      <c r="AH2650">
        <v>420000</v>
      </c>
      <c r="AI2650">
        <v>550000</v>
      </c>
      <c r="AJ2650">
        <v>1</v>
      </c>
    </row>
    <row r="2651" spans="1:36" x14ac:dyDescent="0.3">
      <c r="A2651">
        <f>COUNTIF($D$2:D2651,D2651)</f>
        <v>19</v>
      </c>
      <c r="B2651" t="str">
        <f t="shared" si="165"/>
        <v>19Wiltshire</v>
      </c>
      <c r="C2651" t="s">
        <v>7132</v>
      </c>
      <c r="D2651" t="s">
        <v>355</v>
      </c>
      <c r="E2651">
        <v>58</v>
      </c>
      <c r="F2651" t="s">
        <v>7133</v>
      </c>
      <c r="G2651" t="s">
        <v>806</v>
      </c>
      <c r="H2651" t="s">
        <v>917</v>
      </c>
      <c r="I2651" t="s">
        <v>808</v>
      </c>
      <c r="J2651">
        <f t="shared" ca="1" si="166"/>
        <v>1043659</v>
      </c>
      <c r="K2651">
        <f t="shared" ca="1" si="167"/>
        <v>192</v>
      </c>
      <c r="N2651" t="str">
        <f t="shared" si="164"/>
        <v>Trafford33Medicines ManagementResidential PlacementsOther</v>
      </c>
      <c r="O2651" t="s">
        <v>329</v>
      </c>
      <c r="P2651" t="s">
        <v>1201</v>
      </c>
      <c r="Q2651">
        <v>33</v>
      </c>
      <c r="R2651" t="s">
        <v>6615</v>
      </c>
      <c r="S2651" t="s">
        <v>7134</v>
      </c>
      <c r="T2651" t="s">
        <v>806</v>
      </c>
      <c r="U2651" t="s">
        <v>812</v>
      </c>
      <c r="W2651">
        <v>75</v>
      </c>
      <c r="X2651">
        <v>107</v>
      </c>
      <c r="Y2651" t="s">
        <v>808</v>
      </c>
      <c r="Z2651" t="s">
        <v>3118</v>
      </c>
      <c r="AB2651" t="s">
        <v>824</v>
      </c>
      <c r="AD2651" t="s">
        <v>794</v>
      </c>
      <c r="AE2651" t="s">
        <v>824</v>
      </c>
      <c r="AF2651" t="s">
        <v>860</v>
      </c>
      <c r="AG2651" t="s">
        <v>797</v>
      </c>
      <c r="AH2651">
        <v>100000</v>
      </c>
      <c r="AI2651">
        <v>150000</v>
      </c>
      <c r="AJ2651">
        <v>1</v>
      </c>
    </row>
    <row r="2652" spans="1:36" x14ac:dyDescent="0.3">
      <c r="A2652">
        <f>COUNTIF($D$2:D2652,D2652)</f>
        <v>20</v>
      </c>
      <c r="B2652" t="str">
        <f t="shared" si="165"/>
        <v>20Wiltshire</v>
      </c>
      <c r="C2652" t="s">
        <v>7135</v>
      </c>
      <c r="D2652" t="s">
        <v>355</v>
      </c>
      <c r="E2652">
        <v>59</v>
      </c>
      <c r="F2652" t="s">
        <v>7136</v>
      </c>
      <c r="G2652" t="s">
        <v>806</v>
      </c>
      <c r="H2652" t="s">
        <v>917</v>
      </c>
      <c r="I2652" t="s">
        <v>808</v>
      </c>
      <c r="J2652">
        <f t="shared" ca="1" si="166"/>
        <v>1439936</v>
      </c>
      <c r="K2652">
        <f t="shared" ca="1" si="167"/>
        <v>191</v>
      </c>
      <c r="N2652" t="str">
        <f t="shared" si="164"/>
        <v>Trafford34D2A BedsResidential PlacementsShort term residential care (without rehabilitation or reablement input)</v>
      </c>
      <c r="O2652" t="s">
        <v>329</v>
      </c>
      <c r="P2652" t="s">
        <v>1201</v>
      </c>
      <c r="Q2652">
        <v>34</v>
      </c>
      <c r="R2652" t="s">
        <v>1616</v>
      </c>
      <c r="S2652" t="s">
        <v>7123</v>
      </c>
      <c r="T2652" t="s">
        <v>806</v>
      </c>
      <c r="U2652" t="s">
        <v>955</v>
      </c>
      <c r="W2652">
        <v>4</v>
      </c>
      <c r="X2652">
        <v>4</v>
      </c>
      <c r="Y2652" t="s">
        <v>808</v>
      </c>
      <c r="Z2652" t="s">
        <v>792</v>
      </c>
      <c r="AB2652" t="s">
        <v>793</v>
      </c>
      <c r="AD2652" t="s">
        <v>794</v>
      </c>
      <c r="AE2652" t="s">
        <v>804</v>
      </c>
      <c r="AF2652" t="s">
        <v>860</v>
      </c>
      <c r="AG2652" t="s">
        <v>797</v>
      </c>
      <c r="AH2652">
        <v>194156</v>
      </c>
      <c r="AI2652">
        <v>194156</v>
      </c>
      <c r="AJ2652">
        <v>7.0000000000000007E-2</v>
      </c>
    </row>
    <row r="2653" spans="1:36" x14ac:dyDescent="0.3">
      <c r="A2653">
        <f>COUNTIF($D$2:D2653,D2653)</f>
        <v>1</v>
      </c>
      <c r="B2653" t="str">
        <f t="shared" si="165"/>
        <v>1Windsor and Maidenhead</v>
      </c>
      <c r="C2653" t="s">
        <v>7137</v>
      </c>
      <c r="D2653" t="s">
        <v>357</v>
      </c>
      <c r="E2653">
        <v>6</v>
      </c>
      <c r="F2653" t="s">
        <v>7138</v>
      </c>
      <c r="G2653" t="s">
        <v>787</v>
      </c>
      <c r="H2653" t="s">
        <v>788</v>
      </c>
      <c r="I2653" t="s">
        <v>789</v>
      </c>
      <c r="J2653">
        <f t="shared" ca="1" si="166"/>
        <v>2217250</v>
      </c>
      <c r="K2653">
        <f t="shared" ca="1" si="167"/>
        <v>470</v>
      </c>
      <c r="N2653" t="str">
        <f t="shared" si="164"/>
        <v>Trafford35D2A BedsResidential PlacementsShort term residential care (without rehabilitation or reablement input)</v>
      </c>
      <c r="O2653" t="s">
        <v>329</v>
      </c>
      <c r="P2653" t="s">
        <v>1201</v>
      </c>
      <c r="Q2653">
        <v>35</v>
      </c>
      <c r="R2653" t="s">
        <v>1616</v>
      </c>
      <c r="S2653" t="s">
        <v>7123</v>
      </c>
      <c r="T2653" t="s">
        <v>806</v>
      </c>
      <c r="U2653" t="s">
        <v>955</v>
      </c>
      <c r="W2653">
        <v>30</v>
      </c>
      <c r="X2653">
        <v>11</v>
      </c>
      <c r="Y2653" t="s">
        <v>808</v>
      </c>
      <c r="Z2653" t="s">
        <v>792</v>
      </c>
      <c r="AB2653" t="s">
        <v>793</v>
      </c>
      <c r="AD2653" t="s">
        <v>794</v>
      </c>
      <c r="AE2653" t="s">
        <v>804</v>
      </c>
      <c r="AF2653" t="s">
        <v>1029</v>
      </c>
      <c r="AG2653" t="s">
        <v>797</v>
      </c>
      <c r="AH2653">
        <v>1289000</v>
      </c>
      <c r="AI2653">
        <v>500000</v>
      </c>
      <c r="AJ2653">
        <v>0.48</v>
      </c>
    </row>
    <row r="2654" spans="1:36" x14ac:dyDescent="0.3">
      <c r="A2654">
        <f>COUNTIF($D$2:D2654,D2654)</f>
        <v>2</v>
      </c>
      <c r="B2654" t="str">
        <f t="shared" si="165"/>
        <v>2Windsor and Maidenhead</v>
      </c>
      <c r="C2654" t="s">
        <v>7139</v>
      </c>
      <c r="D2654" t="s">
        <v>357</v>
      </c>
      <c r="E2654">
        <v>8</v>
      </c>
      <c r="F2654" t="s">
        <v>7140</v>
      </c>
      <c r="G2654" t="s">
        <v>806</v>
      </c>
      <c r="H2654" t="s">
        <v>807</v>
      </c>
      <c r="I2654" t="s">
        <v>808</v>
      </c>
      <c r="J2654">
        <f t="shared" ca="1" si="166"/>
        <v>1126660</v>
      </c>
      <c r="K2654">
        <f t="shared" ca="1" si="167"/>
        <v>9</v>
      </c>
      <c r="N2654" t="str">
        <f t="shared" si="164"/>
        <v>Trafford41Homecare CapacityHome Care or Domiciliary CareDomiciliary care workforce development</v>
      </c>
      <c r="O2654" t="s">
        <v>329</v>
      </c>
      <c r="P2654" t="s">
        <v>1201</v>
      </c>
      <c r="Q2654">
        <v>41</v>
      </c>
      <c r="R2654" t="s">
        <v>6620</v>
      </c>
      <c r="S2654" t="s">
        <v>7141</v>
      </c>
      <c r="T2654" t="s">
        <v>842</v>
      </c>
      <c r="U2654" t="s">
        <v>1594</v>
      </c>
      <c r="W2654">
        <v>26000</v>
      </c>
      <c r="X2654">
        <v>26000</v>
      </c>
      <c r="Y2654" t="s">
        <v>844</v>
      </c>
      <c r="Z2654" t="s">
        <v>792</v>
      </c>
      <c r="AB2654" t="s">
        <v>793</v>
      </c>
      <c r="AD2654" t="s">
        <v>794</v>
      </c>
      <c r="AE2654" t="s">
        <v>804</v>
      </c>
      <c r="AF2654" t="s">
        <v>1029</v>
      </c>
      <c r="AG2654" t="s">
        <v>861</v>
      </c>
      <c r="AH2654">
        <v>110000</v>
      </c>
      <c r="AI2654">
        <v>0</v>
      </c>
      <c r="AJ2654">
        <v>1</v>
      </c>
    </row>
    <row r="2655" spans="1:36" x14ac:dyDescent="0.3">
      <c r="A2655">
        <f>COUNTIF($D$2:D2655,D2655)</f>
        <v>3</v>
      </c>
      <c r="B2655" t="str">
        <f t="shared" si="165"/>
        <v>3Windsor and Maidenhead</v>
      </c>
      <c r="C2655" t="s">
        <v>7142</v>
      </c>
      <c r="D2655" t="s">
        <v>357</v>
      </c>
      <c r="E2655">
        <v>9</v>
      </c>
      <c r="F2655" t="s">
        <v>7143</v>
      </c>
      <c r="G2655" t="s">
        <v>842</v>
      </c>
      <c r="H2655" t="s">
        <v>843</v>
      </c>
      <c r="I2655" t="s">
        <v>844</v>
      </c>
      <c r="J2655">
        <f t="shared" ca="1" si="166"/>
        <v>489210</v>
      </c>
      <c r="K2655">
        <f t="shared" ca="1" si="167"/>
        <v>24280</v>
      </c>
      <c r="N2655" t="str">
        <f t="shared" si="164"/>
        <v>Wakefield3Proactive CareResidential PlacementsCare home</v>
      </c>
      <c r="O2655" t="s">
        <v>331</v>
      </c>
      <c r="P2655" t="s">
        <v>922</v>
      </c>
      <c r="Q2655">
        <v>3</v>
      </c>
      <c r="R2655" t="s">
        <v>6622</v>
      </c>
      <c r="S2655" t="s">
        <v>7144</v>
      </c>
      <c r="T2655" t="s">
        <v>806</v>
      </c>
      <c r="U2655" t="s">
        <v>807</v>
      </c>
      <c r="V2655" t="s">
        <v>806</v>
      </c>
      <c r="W2655">
        <v>198</v>
      </c>
      <c r="X2655">
        <v>198</v>
      </c>
      <c r="Y2655" t="s">
        <v>808</v>
      </c>
      <c r="Z2655" t="s">
        <v>792</v>
      </c>
      <c r="AB2655" t="s">
        <v>793</v>
      </c>
      <c r="AD2655" t="s">
        <v>794</v>
      </c>
      <c r="AE2655" t="s">
        <v>795</v>
      </c>
      <c r="AF2655" t="s">
        <v>796</v>
      </c>
      <c r="AG2655" t="s">
        <v>797</v>
      </c>
      <c r="AH2655">
        <v>2057991</v>
      </c>
      <c r="AI2655">
        <v>2174471</v>
      </c>
      <c r="AJ2655">
        <v>8.0600000000000005E-2</v>
      </c>
    </row>
    <row r="2656" spans="1:36" x14ac:dyDescent="0.3">
      <c r="A2656">
        <f>COUNTIF($D$2:D2656,D2656)</f>
        <v>4</v>
      </c>
      <c r="B2656" t="str">
        <f t="shared" si="165"/>
        <v>4Windsor and Maidenhead</v>
      </c>
      <c r="C2656" t="s">
        <v>7145</v>
      </c>
      <c r="D2656" t="s">
        <v>357</v>
      </c>
      <c r="E2656">
        <v>10</v>
      </c>
      <c r="F2656" t="s">
        <v>7146</v>
      </c>
      <c r="G2656" t="s">
        <v>877</v>
      </c>
      <c r="H2656" t="s">
        <v>812</v>
      </c>
      <c r="I2656" t="s">
        <v>879</v>
      </c>
      <c r="J2656">
        <f t="shared" ca="1" si="166"/>
        <v>532407</v>
      </c>
      <c r="K2656">
        <f t="shared" ca="1" si="167"/>
        <v>14</v>
      </c>
      <c r="N2656" t="str">
        <f t="shared" si="164"/>
        <v>Wakefield4Proactive CareHome Care or Domiciliary CareOther</v>
      </c>
      <c r="O2656" t="s">
        <v>331</v>
      </c>
      <c r="P2656" t="s">
        <v>922</v>
      </c>
      <c r="Q2656">
        <v>4</v>
      </c>
      <c r="R2656" t="s">
        <v>6622</v>
      </c>
      <c r="S2656" t="s">
        <v>7147</v>
      </c>
      <c r="T2656" t="s">
        <v>842</v>
      </c>
      <c r="U2656" t="s">
        <v>812</v>
      </c>
      <c r="V2656" t="s">
        <v>7148</v>
      </c>
      <c r="W2656">
        <v>53092</v>
      </c>
      <c r="X2656">
        <v>53092</v>
      </c>
      <c r="Y2656" t="s">
        <v>844</v>
      </c>
      <c r="Z2656" t="s">
        <v>792</v>
      </c>
      <c r="AB2656" t="s">
        <v>793</v>
      </c>
      <c r="AD2656" t="s">
        <v>794</v>
      </c>
      <c r="AE2656" t="s">
        <v>795</v>
      </c>
      <c r="AF2656" t="s">
        <v>796</v>
      </c>
      <c r="AG2656" t="s">
        <v>797</v>
      </c>
      <c r="AH2656">
        <v>850000</v>
      </c>
      <c r="AI2656">
        <v>898110</v>
      </c>
      <c r="AJ2656">
        <v>9.2999999999999992E-3</v>
      </c>
    </row>
    <row r="2657" spans="1:36" x14ac:dyDescent="0.3">
      <c r="A2657">
        <f>COUNTIF($D$2:D2657,D2657)</f>
        <v>5</v>
      </c>
      <c r="B2657" t="str">
        <f t="shared" si="165"/>
        <v>5Windsor and Maidenhead</v>
      </c>
      <c r="C2657" t="s">
        <v>7149</v>
      </c>
      <c r="D2657" t="s">
        <v>357</v>
      </c>
      <c r="E2657">
        <v>11</v>
      </c>
      <c r="F2657" t="s">
        <v>1034</v>
      </c>
      <c r="G2657" t="s">
        <v>800</v>
      </c>
      <c r="H2657" t="s">
        <v>903</v>
      </c>
      <c r="I2657" t="s">
        <v>802</v>
      </c>
      <c r="J2657">
        <f t="shared" ca="1" si="166"/>
        <v>32000</v>
      </c>
      <c r="K2657">
        <f t="shared" ca="1" si="167"/>
        <v>64</v>
      </c>
      <c r="N2657" t="str">
        <f t="shared" si="164"/>
        <v>Wakefield18Prevention and Self CareDFG Related SchemesOther</v>
      </c>
      <c r="O2657" t="s">
        <v>331</v>
      </c>
      <c r="P2657" t="s">
        <v>922</v>
      </c>
      <c r="Q2657">
        <v>18</v>
      </c>
      <c r="R2657" t="s">
        <v>6626</v>
      </c>
      <c r="S2657" t="s">
        <v>891</v>
      </c>
      <c r="T2657" t="s">
        <v>834</v>
      </c>
      <c r="U2657" t="s">
        <v>812</v>
      </c>
      <c r="V2657" t="s">
        <v>891</v>
      </c>
      <c r="W2657">
        <v>824</v>
      </c>
      <c r="X2657">
        <v>865</v>
      </c>
      <c r="Y2657" t="s">
        <v>836</v>
      </c>
      <c r="Z2657" t="s">
        <v>812</v>
      </c>
      <c r="AA2657" t="s">
        <v>891</v>
      </c>
      <c r="AB2657" t="s">
        <v>793</v>
      </c>
      <c r="AD2657" t="s">
        <v>794</v>
      </c>
      <c r="AE2657" t="s">
        <v>795</v>
      </c>
      <c r="AF2657" t="s">
        <v>840</v>
      </c>
      <c r="AG2657" t="s">
        <v>797</v>
      </c>
      <c r="AH2657">
        <v>4340170</v>
      </c>
      <c r="AI2657">
        <v>4340170</v>
      </c>
      <c r="AJ2657">
        <v>2.9000000000000001E-2</v>
      </c>
    </row>
    <row r="2658" spans="1:36" x14ac:dyDescent="0.3">
      <c r="A2658">
        <f>COUNTIF($D$2:D2658,D2658)</f>
        <v>6</v>
      </c>
      <c r="B2658" t="str">
        <f t="shared" si="165"/>
        <v>6Windsor and Maidenhead</v>
      </c>
      <c r="C2658" t="s">
        <v>7150</v>
      </c>
      <c r="D2658" t="s">
        <v>357</v>
      </c>
      <c r="E2658">
        <v>12</v>
      </c>
      <c r="F2658" t="s">
        <v>7151</v>
      </c>
      <c r="G2658" t="s">
        <v>800</v>
      </c>
      <c r="H2658" t="s">
        <v>850</v>
      </c>
      <c r="I2658" t="s">
        <v>802</v>
      </c>
      <c r="J2658">
        <f t="shared" ca="1" si="166"/>
        <v>879450</v>
      </c>
      <c r="K2658">
        <f t="shared" ca="1" si="167"/>
        <v>1590</v>
      </c>
      <c r="N2658" t="str">
        <f t="shared" si="164"/>
        <v>Wakefield19Prevention and Self CareDFG Related SchemesOther</v>
      </c>
      <c r="O2658" t="s">
        <v>331</v>
      </c>
      <c r="P2658" t="s">
        <v>922</v>
      </c>
      <c r="Q2658">
        <v>19</v>
      </c>
      <c r="R2658" t="s">
        <v>6626</v>
      </c>
      <c r="S2658" t="s">
        <v>7152</v>
      </c>
      <c r="T2658" t="s">
        <v>834</v>
      </c>
      <c r="U2658" t="s">
        <v>812</v>
      </c>
      <c r="V2658" t="s">
        <v>7152</v>
      </c>
      <c r="W2658">
        <v>2</v>
      </c>
      <c r="X2658">
        <v>2</v>
      </c>
      <c r="Y2658" t="s">
        <v>836</v>
      </c>
      <c r="Z2658" t="s">
        <v>812</v>
      </c>
      <c r="AA2658" t="s">
        <v>7152</v>
      </c>
      <c r="AB2658" t="s">
        <v>793</v>
      </c>
      <c r="AD2658" t="s">
        <v>794</v>
      </c>
      <c r="AE2658" t="s">
        <v>795</v>
      </c>
      <c r="AF2658" t="s">
        <v>1029</v>
      </c>
      <c r="AG2658" t="s">
        <v>797</v>
      </c>
      <c r="AH2658">
        <v>76940</v>
      </c>
      <c r="AI2658">
        <v>81790</v>
      </c>
      <c r="AJ2658">
        <v>2.9000000000000001E-2</v>
      </c>
    </row>
    <row r="2659" spans="1:36" x14ac:dyDescent="0.3">
      <c r="A2659">
        <f>COUNTIF($D$2:D2659,D2659)</f>
        <v>7</v>
      </c>
      <c r="B2659" t="str">
        <f t="shared" si="165"/>
        <v>7Windsor and Maidenhead</v>
      </c>
      <c r="C2659" t="s">
        <v>7153</v>
      </c>
      <c r="D2659" t="s">
        <v>357</v>
      </c>
      <c r="E2659">
        <v>13</v>
      </c>
      <c r="F2659" t="s">
        <v>7154</v>
      </c>
      <c r="G2659" t="s">
        <v>811</v>
      </c>
      <c r="H2659" t="s">
        <v>830</v>
      </c>
      <c r="I2659" t="s">
        <v>813</v>
      </c>
      <c r="J2659">
        <f t="shared" ca="1" si="166"/>
        <v>109200</v>
      </c>
      <c r="K2659">
        <f t="shared" ca="1" si="167"/>
        <v>2</v>
      </c>
      <c r="N2659" t="str">
        <f t="shared" si="164"/>
        <v>Wakefield20Prevention and Self CareAssistive Technologies and EquipmentAssistive technologies including telecare</v>
      </c>
      <c r="O2659" t="s">
        <v>331</v>
      </c>
      <c r="P2659" t="s">
        <v>922</v>
      </c>
      <c r="Q2659">
        <v>20</v>
      </c>
      <c r="R2659" t="s">
        <v>6626</v>
      </c>
      <c r="S2659" t="s">
        <v>3901</v>
      </c>
      <c r="T2659" t="s">
        <v>800</v>
      </c>
      <c r="U2659" t="s">
        <v>850</v>
      </c>
      <c r="V2659" t="s">
        <v>3901</v>
      </c>
      <c r="W2659">
        <v>1127</v>
      </c>
      <c r="X2659">
        <v>1127</v>
      </c>
      <c r="Y2659" t="s">
        <v>802</v>
      </c>
      <c r="Z2659" t="s">
        <v>792</v>
      </c>
      <c r="AB2659" t="s">
        <v>793</v>
      </c>
      <c r="AD2659" t="s">
        <v>794</v>
      </c>
      <c r="AE2659" t="s">
        <v>795</v>
      </c>
      <c r="AF2659" t="s">
        <v>796</v>
      </c>
      <c r="AG2659" t="s">
        <v>797</v>
      </c>
      <c r="AH2659">
        <v>491420</v>
      </c>
      <c r="AI2659">
        <v>519230</v>
      </c>
      <c r="AJ2659">
        <v>4.1799999999999997E-2</v>
      </c>
    </row>
    <row r="2660" spans="1:36" x14ac:dyDescent="0.3">
      <c r="A2660">
        <f>COUNTIF($D$2:D2660,D2660)</f>
        <v>8</v>
      </c>
      <c r="B2660" t="str">
        <f t="shared" si="165"/>
        <v>8Windsor and Maidenhead</v>
      </c>
      <c r="C2660" t="s">
        <v>7155</v>
      </c>
      <c r="D2660" t="s">
        <v>357</v>
      </c>
      <c r="E2660">
        <v>14</v>
      </c>
      <c r="F2660" t="s">
        <v>7156</v>
      </c>
      <c r="G2660" t="s">
        <v>811</v>
      </c>
      <c r="H2660" t="s">
        <v>830</v>
      </c>
      <c r="I2660" t="s">
        <v>813</v>
      </c>
      <c r="J2660">
        <f t="shared" ca="1" si="166"/>
        <v>50000</v>
      </c>
      <c r="K2660">
        <f t="shared" ca="1" si="167"/>
        <v>10</v>
      </c>
      <c r="N2660" t="str">
        <f t="shared" si="164"/>
        <v>Wakefield21Prevention and Self CareAssistive Technologies and EquipmentAssistive technologies including telecare</v>
      </c>
      <c r="O2660" t="s">
        <v>331</v>
      </c>
      <c r="P2660" t="s">
        <v>922</v>
      </c>
      <c r="Q2660">
        <v>21</v>
      </c>
      <c r="R2660" t="s">
        <v>6626</v>
      </c>
      <c r="S2660" t="s">
        <v>7157</v>
      </c>
      <c r="T2660" t="s">
        <v>800</v>
      </c>
      <c r="U2660" t="s">
        <v>850</v>
      </c>
      <c r="V2660" t="s">
        <v>7157</v>
      </c>
      <c r="W2660">
        <v>285</v>
      </c>
      <c r="X2660">
        <v>285</v>
      </c>
      <c r="Y2660" t="s">
        <v>802</v>
      </c>
      <c r="Z2660" t="s">
        <v>792</v>
      </c>
      <c r="AB2660" t="s">
        <v>793</v>
      </c>
      <c r="AD2660" t="s">
        <v>794</v>
      </c>
      <c r="AE2660" t="s">
        <v>795</v>
      </c>
      <c r="AF2660" t="s">
        <v>796</v>
      </c>
      <c r="AG2660" t="s">
        <v>797</v>
      </c>
      <c r="AH2660">
        <v>1054370</v>
      </c>
      <c r="AI2660">
        <v>1114050</v>
      </c>
      <c r="AJ2660">
        <v>4.1799999999999997E-2</v>
      </c>
    </row>
    <row r="2661" spans="1:36" x14ac:dyDescent="0.3">
      <c r="A2661">
        <f>COUNTIF($D$2:D2661,D2661)</f>
        <v>9</v>
      </c>
      <c r="B2661" t="str">
        <f t="shared" si="165"/>
        <v>9Windsor and Maidenhead</v>
      </c>
      <c r="C2661" t="s">
        <v>7158</v>
      </c>
      <c r="D2661" t="s">
        <v>357</v>
      </c>
      <c r="E2661">
        <v>15</v>
      </c>
      <c r="F2661" t="s">
        <v>7159</v>
      </c>
      <c r="G2661" t="s">
        <v>811</v>
      </c>
      <c r="H2661" t="s">
        <v>830</v>
      </c>
      <c r="I2661" t="s">
        <v>813</v>
      </c>
      <c r="J2661">
        <f t="shared" ca="1" si="166"/>
        <v>73420</v>
      </c>
      <c r="K2661">
        <f t="shared" ca="1" si="167"/>
        <v>103</v>
      </c>
      <c r="N2661" t="str">
        <f t="shared" si="164"/>
        <v>Wakefield57Mental HealthResidential PlacementsOther</v>
      </c>
      <c r="O2661" t="s">
        <v>331</v>
      </c>
      <c r="P2661" t="s">
        <v>922</v>
      </c>
      <c r="Q2661">
        <v>57</v>
      </c>
      <c r="R2661" t="s">
        <v>1006</v>
      </c>
      <c r="S2661" t="s">
        <v>7160</v>
      </c>
      <c r="T2661" t="s">
        <v>806</v>
      </c>
      <c r="U2661" t="s">
        <v>812</v>
      </c>
      <c r="V2661" t="s">
        <v>7160</v>
      </c>
      <c r="W2661">
        <v>1</v>
      </c>
      <c r="X2661">
        <v>1</v>
      </c>
      <c r="Y2661" t="s">
        <v>808</v>
      </c>
      <c r="Z2661" t="s">
        <v>812</v>
      </c>
      <c r="AA2661" t="s">
        <v>7161</v>
      </c>
      <c r="AB2661" t="s">
        <v>824</v>
      </c>
      <c r="AD2661" t="s">
        <v>794</v>
      </c>
      <c r="AE2661" t="s">
        <v>804</v>
      </c>
      <c r="AF2661" t="s">
        <v>1042</v>
      </c>
      <c r="AG2661" t="s">
        <v>797</v>
      </c>
      <c r="AH2661">
        <v>11893</v>
      </c>
      <c r="AI2661">
        <v>12107.65309948</v>
      </c>
      <c r="AJ2661">
        <v>8.0600000000000005E-2</v>
      </c>
    </row>
    <row r="2662" spans="1:36" x14ac:dyDescent="0.3">
      <c r="A2662">
        <f>COUNTIF($D$2:D2662,D2662)</f>
        <v>10</v>
      </c>
      <c r="B2662" t="str">
        <f t="shared" si="165"/>
        <v>10Windsor and Maidenhead</v>
      </c>
      <c r="C2662" t="s">
        <v>7162</v>
      </c>
      <c r="D2662" t="s">
        <v>357</v>
      </c>
      <c r="E2662">
        <v>17</v>
      </c>
      <c r="F2662" t="s">
        <v>7163</v>
      </c>
      <c r="G2662" t="s">
        <v>811</v>
      </c>
      <c r="H2662" t="s">
        <v>812</v>
      </c>
      <c r="I2662" t="s">
        <v>813</v>
      </c>
      <c r="J2662">
        <f t="shared" ca="1" si="166"/>
        <v>16770</v>
      </c>
      <c r="K2662">
        <f t="shared" ca="1" si="167"/>
        <v>24</v>
      </c>
      <c r="N2662" t="str">
        <f t="shared" si="164"/>
        <v>Wakefield59Mental HealthResidential PlacementsOther</v>
      </c>
      <c r="O2662" t="s">
        <v>331</v>
      </c>
      <c r="P2662" t="s">
        <v>922</v>
      </c>
      <c r="Q2662">
        <v>59</v>
      </c>
      <c r="R2662" t="s">
        <v>1006</v>
      </c>
      <c r="S2662" t="s">
        <v>7164</v>
      </c>
      <c r="T2662" t="s">
        <v>806</v>
      </c>
      <c r="U2662" t="s">
        <v>812</v>
      </c>
      <c r="V2662" t="s">
        <v>7164</v>
      </c>
      <c r="W2662">
        <v>31</v>
      </c>
      <c r="X2662">
        <v>31</v>
      </c>
      <c r="Y2662" t="s">
        <v>808</v>
      </c>
      <c r="Z2662" t="s">
        <v>812</v>
      </c>
      <c r="AA2662" t="s">
        <v>7164</v>
      </c>
      <c r="AB2662" t="s">
        <v>824</v>
      </c>
      <c r="AD2662" t="s">
        <v>794</v>
      </c>
      <c r="AE2662" t="s">
        <v>804</v>
      </c>
      <c r="AF2662" t="s">
        <v>1042</v>
      </c>
      <c r="AG2662" t="s">
        <v>797</v>
      </c>
      <c r="AH2662">
        <v>2889535</v>
      </c>
      <c r="AI2662">
        <v>2941546.63649484</v>
      </c>
      <c r="AJ2662">
        <v>8.0600000000000005E-2</v>
      </c>
    </row>
    <row r="2663" spans="1:36" x14ac:dyDescent="0.3">
      <c r="A2663">
        <f>COUNTIF($D$2:D2663,D2663)</f>
        <v>11</v>
      </c>
      <c r="B2663" t="str">
        <f t="shared" si="165"/>
        <v>11Windsor and Maidenhead</v>
      </c>
      <c r="C2663" t="s">
        <v>7165</v>
      </c>
      <c r="D2663" t="s">
        <v>357</v>
      </c>
      <c r="E2663">
        <v>18</v>
      </c>
      <c r="F2663" t="s">
        <v>7166</v>
      </c>
      <c r="G2663" t="s">
        <v>811</v>
      </c>
      <c r="H2663" t="s">
        <v>830</v>
      </c>
      <c r="I2663" t="s">
        <v>813</v>
      </c>
      <c r="J2663">
        <f t="shared" ca="1" si="166"/>
        <v>15000</v>
      </c>
      <c r="K2663">
        <f t="shared" ca="1" si="167"/>
        <v>34</v>
      </c>
      <c r="N2663" t="str">
        <f t="shared" si="164"/>
        <v>Wakefield63Mental HealthResidential PlacementsOther</v>
      </c>
      <c r="O2663" t="s">
        <v>331</v>
      </c>
      <c r="P2663" t="s">
        <v>922</v>
      </c>
      <c r="Q2663">
        <v>63</v>
      </c>
      <c r="R2663" t="s">
        <v>1006</v>
      </c>
      <c r="S2663" t="s">
        <v>7167</v>
      </c>
      <c r="T2663" t="s">
        <v>806</v>
      </c>
      <c r="U2663" t="s">
        <v>812</v>
      </c>
      <c r="V2663" t="s">
        <v>7167</v>
      </c>
      <c r="W2663">
        <v>18</v>
      </c>
      <c r="X2663">
        <v>18</v>
      </c>
      <c r="Y2663" t="s">
        <v>808</v>
      </c>
      <c r="Z2663" t="s">
        <v>812</v>
      </c>
      <c r="AA2663" t="s">
        <v>7167</v>
      </c>
      <c r="AB2663" t="s">
        <v>824</v>
      </c>
      <c r="AD2663" t="s">
        <v>794</v>
      </c>
      <c r="AE2663" t="s">
        <v>804</v>
      </c>
      <c r="AF2663" t="s">
        <v>1042</v>
      </c>
      <c r="AG2663" t="s">
        <v>797</v>
      </c>
      <c r="AH2663">
        <v>2686083</v>
      </c>
      <c r="AI2663">
        <v>2734433.4695494003</v>
      </c>
      <c r="AJ2663">
        <v>8.0600000000000005E-2</v>
      </c>
    </row>
    <row r="2664" spans="1:36" x14ac:dyDescent="0.3">
      <c r="A2664">
        <f>COUNTIF($D$2:D2664,D2664)</f>
        <v>12</v>
      </c>
      <c r="B2664" t="str">
        <f t="shared" si="165"/>
        <v>12Windsor and Maidenhead</v>
      </c>
      <c r="C2664" t="s">
        <v>7168</v>
      </c>
      <c r="D2664" t="s">
        <v>357</v>
      </c>
      <c r="E2664">
        <v>19</v>
      </c>
      <c r="F2664" t="s">
        <v>7169</v>
      </c>
      <c r="G2664" t="s">
        <v>811</v>
      </c>
      <c r="H2664" t="s">
        <v>812</v>
      </c>
      <c r="I2664" t="s">
        <v>813</v>
      </c>
      <c r="J2664">
        <f t="shared" ca="1" si="166"/>
        <v>25000</v>
      </c>
      <c r="K2664">
        <f t="shared" ca="1" si="167"/>
        <v>165</v>
      </c>
      <c r="N2664" t="str">
        <f t="shared" si="164"/>
        <v>Wakefield65Mental HealthResidential PlacementsOther</v>
      </c>
      <c r="O2664" t="s">
        <v>331</v>
      </c>
      <c r="P2664" t="s">
        <v>922</v>
      </c>
      <c r="Q2664">
        <v>65</v>
      </c>
      <c r="R2664" t="s">
        <v>1006</v>
      </c>
      <c r="S2664" t="s">
        <v>7170</v>
      </c>
      <c r="T2664" t="s">
        <v>806</v>
      </c>
      <c r="U2664" t="s">
        <v>812</v>
      </c>
      <c r="V2664" t="s">
        <v>7170</v>
      </c>
      <c r="W2664">
        <v>89</v>
      </c>
      <c r="X2664">
        <v>89</v>
      </c>
      <c r="Y2664" t="s">
        <v>808</v>
      </c>
      <c r="Z2664" t="s">
        <v>812</v>
      </c>
      <c r="AA2664" t="s">
        <v>7170</v>
      </c>
      <c r="AB2664" t="s">
        <v>824</v>
      </c>
      <c r="AD2664" t="s">
        <v>794</v>
      </c>
      <c r="AE2664" t="s">
        <v>804</v>
      </c>
      <c r="AF2664" t="s">
        <v>1042</v>
      </c>
      <c r="AG2664" t="s">
        <v>797</v>
      </c>
      <c r="AH2664">
        <v>4450419</v>
      </c>
      <c r="AI2664">
        <v>4530526.4548999202</v>
      </c>
      <c r="AJ2664">
        <v>8.0600000000000005E-2</v>
      </c>
    </row>
    <row r="2665" spans="1:36" x14ac:dyDescent="0.3">
      <c r="A2665">
        <f>COUNTIF($D$2:D2665,D2665)</f>
        <v>13</v>
      </c>
      <c r="B2665" t="str">
        <f t="shared" si="165"/>
        <v>13Windsor and Maidenhead</v>
      </c>
      <c r="C2665" t="s">
        <v>7171</v>
      </c>
      <c r="D2665" t="s">
        <v>357</v>
      </c>
      <c r="E2665">
        <v>20</v>
      </c>
      <c r="F2665" t="s">
        <v>7172</v>
      </c>
      <c r="G2665" t="s">
        <v>811</v>
      </c>
      <c r="H2665" t="s">
        <v>812</v>
      </c>
      <c r="I2665" t="s">
        <v>813</v>
      </c>
      <c r="J2665">
        <f t="shared" ca="1" si="166"/>
        <v>10000</v>
      </c>
      <c r="K2665">
        <f t="shared" ca="1" si="167"/>
        <v>150</v>
      </c>
      <c r="N2665" t="str">
        <f t="shared" si="164"/>
        <v>Wakefield79WESAssistive Technologies and EquipmentAssistive technologies including telecare</v>
      </c>
      <c r="O2665" t="s">
        <v>331</v>
      </c>
      <c r="P2665" t="s">
        <v>922</v>
      </c>
      <c r="Q2665">
        <v>79</v>
      </c>
      <c r="R2665" t="s">
        <v>6639</v>
      </c>
      <c r="S2665" t="s">
        <v>7173</v>
      </c>
      <c r="T2665" t="s">
        <v>800</v>
      </c>
      <c r="U2665" t="s">
        <v>850</v>
      </c>
      <c r="W2665">
        <v>2458</v>
      </c>
      <c r="X2665">
        <v>2458</v>
      </c>
      <c r="Y2665" t="s">
        <v>802</v>
      </c>
      <c r="Z2665" t="s">
        <v>812</v>
      </c>
      <c r="AA2665" t="s">
        <v>7173</v>
      </c>
      <c r="AB2665" t="s">
        <v>793</v>
      </c>
      <c r="AD2665" t="s">
        <v>794</v>
      </c>
      <c r="AE2665" t="s">
        <v>795</v>
      </c>
      <c r="AF2665" t="s">
        <v>1029</v>
      </c>
      <c r="AG2665" t="s">
        <v>797</v>
      </c>
      <c r="AH2665">
        <v>1000551</v>
      </c>
      <c r="AI2665">
        <v>1018561</v>
      </c>
      <c r="AJ2665">
        <v>4.1799999999999997E-2</v>
      </c>
    </row>
    <row r="2666" spans="1:36" x14ac:dyDescent="0.3">
      <c r="A2666">
        <f>COUNTIF($D$2:D2666,D2666)</f>
        <v>14</v>
      </c>
      <c r="B2666" t="str">
        <f t="shared" si="165"/>
        <v>14Windsor and Maidenhead</v>
      </c>
      <c r="C2666" t="s">
        <v>7174</v>
      </c>
      <c r="D2666" t="s">
        <v>357</v>
      </c>
      <c r="E2666">
        <v>29</v>
      </c>
      <c r="F2666" t="s">
        <v>7175</v>
      </c>
      <c r="G2666" t="s">
        <v>834</v>
      </c>
      <c r="H2666" t="s">
        <v>1293</v>
      </c>
      <c r="I2666" t="s">
        <v>836</v>
      </c>
      <c r="J2666">
        <f t="shared" ca="1" si="166"/>
        <v>272570</v>
      </c>
      <c r="K2666">
        <f t="shared" ca="1" si="167"/>
        <v>56</v>
      </c>
      <c r="N2666" t="str">
        <f t="shared" si="164"/>
        <v>Wakefield80WESAssistive Technologies and EquipmentAssistive technologies including telecare</v>
      </c>
      <c r="O2666" t="s">
        <v>331</v>
      </c>
      <c r="P2666" t="s">
        <v>922</v>
      </c>
      <c r="Q2666">
        <v>80</v>
      </c>
      <c r="R2666" t="s">
        <v>6639</v>
      </c>
      <c r="S2666" t="s">
        <v>7176</v>
      </c>
      <c r="T2666" t="s">
        <v>800</v>
      </c>
      <c r="U2666" t="s">
        <v>850</v>
      </c>
      <c r="W2666">
        <v>6132</v>
      </c>
      <c r="X2666">
        <v>6132</v>
      </c>
      <c r="Y2666" t="s">
        <v>802</v>
      </c>
      <c r="Z2666" t="s">
        <v>812</v>
      </c>
      <c r="AA2666" t="s">
        <v>7176</v>
      </c>
      <c r="AB2666" t="s">
        <v>793</v>
      </c>
      <c r="AD2666" t="s">
        <v>794</v>
      </c>
      <c r="AE2666" t="s">
        <v>795</v>
      </c>
      <c r="AF2666" t="s">
        <v>796</v>
      </c>
      <c r="AG2666" t="s">
        <v>797</v>
      </c>
      <c r="AH2666">
        <v>1450221</v>
      </c>
      <c r="AI2666">
        <v>1476321</v>
      </c>
      <c r="AJ2666">
        <v>4.1799999999999997E-2</v>
      </c>
    </row>
    <row r="2667" spans="1:36" x14ac:dyDescent="0.3">
      <c r="A2667">
        <f>COUNTIF($D$2:D2667,D2667)</f>
        <v>15</v>
      </c>
      <c r="B2667" t="str">
        <f t="shared" si="165"/>
        <v>15Windsor and Maidenhead</v>
      </c>
      <c r="C2667" t="s">
        <v>7177</v>
      </c>
      <c r="D2667" t="s">
        <v>357</v>
      </c>
      <c r="E2667">
        <v>57</v>
      </c>
      <c r="F2667" t="s">
        <v>7178</v>
      </c>
      <c r="G2667" t="s">
        <v>842</v>
      </c>
      <c r="H2667" t="s">
        <v>843</v>
      </c>
      <c r="I2667" t="s">
        <v>844</v>
      </c>
      <c r="J2667">
        <f t="shared" ca="1" si="166"/>
        <v>299342</v>
      </c>
      <c r="K2667">
        <f t="shared" ca="1" si="167"/>
        <v>15600</v>
      </c>
      <c r="N2667" t="str">
        <f t="shared" si="164"/>
        <v>Wakefield81WCSAssistive Technologies and EquipmentAssistive technologies including telecare</v>
      </c>
      <c r="O2667" t="s">
        <v>331</v>
      </c>
      <c r="P2667" t="s">
        <v>922</v>
      </c>
      <c r="Q2667">
        <v>81</v>
      </c>
      <c r="R2667" t="s">
        <v>6644</v>
      </c>
      <c r="S2667" t="s">
        <v>7179</v>
      </c>
      <c r="T2667" t="s">
        <v>800</v>
      </c>
      <c r="U2667" t="s">
        <v>850</v>
      </c>
      <c r="W2667">
        <v>1138</v>
      </c>
      <c r="X2667">
        <v>1138</v>
      </c>
      <c r="Y2667" t="s">
        <v>802</v>
      </c>
      <c r="Z2667" t="s">
        <v>812</v>
      </c>
      <c r="AA2667" t="s">
        <v>7179</v>
      </c>
      <c r="AB2667" t="s">
        <v>793</v>
      </c>
      <c r="AD2667" t="s">
        <v>794</v>
      </c>
      <c r="AE2667" t="s">
        <v>795</v>
      </c>
      <c r="AF2667" t="s">
        <v>796</v>
      </c>
      <c r="AG2667" t="s">
        <v>797</v>
      </c>
      <c r="AH2667">
        <v>1463552</v>
      </c>
      <c r="AI2667">
        <v>1489892</v>
      </c>
      <c r="AJ2667">
        <v>4.1799999999999997E-2</v>
      </c>
    </row>
    <row r="2668" spans="1:36" x14ac:dyDescent="0.3">
      <c r="A2668">
        <f>COUNTIF($D$2:D2668,D2668)</f>
        <v>16</v>
      </c>
      <c r="B2668" t="str">
        <f t="shared" si="165"/>
        <v>16Windsor and Maidenhead</v>
      </c>
      <c r="C2668" t="s">
        <v>7180</v>
      </c>
      <c r="D2668" t="s">
        <v>357</v>
      </c>
      <c r="E2668">
        <v>62</v>
      </c>
      <c r="F2668" t="s">
        <v>7181</v>
      </c>
      <c r="G2668" t="s">
        <v>834</v>
      </c>
      <c r="H2668" t="s">
        <v>835</v>
      </c>
      <c r="I2668" t="s">
        <v>836</v>
      </c>
      <c r="J2668">
        <f t="shared" ca="1" si="166"/>
        <v>675001</v>
      </c>
      <c r="K2668">
        <f t="shared" ca="1" si="167"/>
        <v>74</v>
      </c>
      <c r="N2668" t="str">
        <f t="shared" si="164"/>
        <v>Wakefield87Urgent Response Domiciliary CareHome Care or Domiciliary CareOther</v>
      </c>
      <c r="O2668" t="s">
        <v>331</v>
      </c>
      <c r="P2668" t="s">
        <v>922</v>
      </c>
      <c r="Q2668">
        <v>87</v>
      </c>
      <c r="R2668" t="s">
        <v>6646</v>
      </c>
      <c r="S2668" t="s">
        <v>7182</v>
      </c>
      <c r="T2668" t="s">
        <v>842</v>
      </c>
      <c r="U2668" t="s">
        <v>812</v>
      </c>
      <c r="V2668" t="s">
        <v>7182</v>
      </c>
      <c r="W2668">
        <v>5440</v>
      </c>
      <c r="X2668">
        <v>5440</v>
      </c>
      <c r="Y2668" t="s">
        <v>844</v>
      </c>
      <c r="Z2668" t="s">
        <v>792</v>
      </c>
      <c r="AB2668" t="s">
        <v>793</v>
      </c>
      <c r="AD2668" t="s">
        <v>794</v>
      </c>
      <c r="AE2668" t="s">
        <v>804</v>
      </c>
      <c r="AF2668" t="s">
        <v>864</v>
      </c>
      <c r="AG2668" t="s">
        <v>861</v>
      </c>
      <c r="AH2668">
        <v>182868</v>
      </c>
      <c r="AI2668">
        <v>304780.02495533455</v>
      </c>
      <c r="AJ2668">
        <v>9.2999999999999992E-3</v>
      </c>
    </row>
    <row r="2669" spans="1:36" x14ac:dyDescent="0.3">
      <c r="A2669">
        <f>COUNTIF($D$2:D2669,D2669)</f>
        <v>17</v>
      </c>
      <c r="B2669" t="str">
        <f t="shared" si="165"/>
        <v>17Windsor and Maidenhead</v>
      </c>
      <c r="C2669" t="s">
        <v>7183</v>
      </c>
      <c r="D2669" t="s">
        <v>357</v>
      </c>
      <c r="E2669">
        <v>63</v>
      </c>
      <c r="F2669" t="s">
        <v>1034</v>
      </c>
      <c r="G2669" t="s">
        <v>834</v>
      </c>
      <c r="H2669" t="s">
        <v>1293</v>
      </c>
      <c r="I2669" t="s">
        <v>836</v>
      </c>
      <c r="J2669">
        <f t="shared" ca="1" si="166"/>
        <v>357130</v>
      </c>
      <c r="K2669">
        <f t="shared" ca="1" si="167"/>
        <v>70</v>
      </c>
      <c r="N2669" t="str">
        <f t="shared" si="164"/>
        <v>Wakefield88Night Response ServiceHome-based intermediate care servicesOther</v>
      </c>
      <c r="O2669" t="s">
        <v>331</v>
      </c>
      <c r="P2669" t="s">
        <v>922</v>
      </c>
      <c r="Q2669">
        <v>88</v>
      </c>
      <c r="R2669" t="s">
        <v>6649</v>
      </c>
      <c r="S2669" t="s">
        <v>7184</v>
      </c>
      <c r="T2669" t="s">
        <v>787</v>
      </c>
      <c r="U2669" t="s">
        <v>812</v>
      </c>
      <c r="V2669" t="s">
        <v>7184</v>
      </c>
      <c r="W2669">
        <v>14</v>
      </c>
      <c r="X2669">
        <v>14</v>
      </c>
      <c r="Y2669" t="s">
        <v>789</v>
      </c>
      <c r="Z2669" t="s">
        <v>792</v>
      </c>
      <c r="AB2669" t="s">
        <v>793</v>
      </c>
      <c r="AD2669" t="s">
        <v>794</v>
      </c>
      <c r="AE2669" t="s">
        <v>795</v>
      </c>
      <c r="AF2669" t="s">
        <v>864</v>
      </c>
      <c r="AG2669" t="s">
        <v>861</v>
      </c>
      <c r="AH2669">
        <v>101000</v>
      </c>
      <c r="AI2669">
        <v>168333.34711643803</v>
      </c>
      <c r="AJ2669">
        <v>1.6999999999999999E-3</v>
      </c>
    </row>
    <row r="2670" spans="1:36" x14ac:dyDescent="0.3">
      <c r="A2670">
        <f>COUNTIF($D$2:D2670,D2670)</f>
        <v>1</v>
      </c>
      <c r="B2670" t="str">
        <f t="shared" si="165"/>
        <v>1Wirral</v>
      </c>
      <c r="C2670" t="s">
        <v>7185</v>
      </c>
      <c r="D2670" t="s">
        <v>359</v>
      </c>
      <c r="E2670">
        <v>1</v>
      </c>
      <c r="F2670" t="s">
        <v>7186</v>
      </c>
      <c r="G2670" t="s">
        <v>800</v>
      </c>
      <c r="H2670" t="s">
        <v>903</v>
      </c>
      <c r="I2670" t="s">
        <v>802</v>
      </c>
      <c r="J2670">
        <f t="shared" ca="1" si="166"/>
        <v>4217000</v>
      </c>
      <c r="K2670">
        <f t="shared" ca="1" si="167"/>
        <v>46869</v>
      </c>
      <c r="N2670" t="str">
        <f t="shared" si="164"/>
        <v>Wakefield89Night Response ServiceHome-based intermediate care servicesOther</v>
      </c>
      <c r="O2670" t="s">
        <v>331</v>
      </c>
      <c r="P2670" t="s">
        <v>922</v>
      </c>
      <c r="Q2670">
        <v>89</v>
      </c>
      <c r="R2670" t="s">
        <v>6649</v>
      </c>
      <c r="S2670" t="s">
        <v>7184</v>
      </c>
      <c r="T2670" t="s">
        <v>787</v>
      </c>
      <c r="U2670" t="s">
        <v>812</v>
      </c>
      <c r="V2670" t="s">
        <v>7184</v>
      </c>
      <c r="W2670">
        <v>13</v>
      </c>
      <c r="X2670">
        <v>13</v>
      </c>
      <c r="Y2670" t="s">
        <v>789</v>
      </c>
      <c r="Z2670" t="s">
        <v>792</v>
      </c>
      <c r="AB2670" t="s">
        <v>793</v>
      </c>
      <c r="AD2670" t="s">
        <v>794</v>
      </c>
      <c r="AE2670" t="s">
        <v>795</v>
      </c>
      <c r="AF2670" t="s">
        <v>860</v>
      </c>
      <c r="AG2670" t="s">
        <v>861</v>
      </c>
      <c r="AH2670">
        <v>101000</v>
      </c>
      <c r="AI2670">
        <v>155755.09854951134</v>
      </c>
      <c r="AJ2670">
        <v>1.6999999999999999E-3</v>
      </c>
    </row>
    <row r="2671" spans="1:36" x14ac:dyDescent="0.3">
      <c r="A2671">
        <f>COUNTIF($D$2:D2671,D2671)</f>
        <v>2</v>
      </c>
      <c r="B2671" t="str">
        <f t="shared" si="165"/>
        <v>2Wirral</v>
      </c>
      <c r="C2671" t="s">
        <v>7187</v>
      </c>
      <c r="D2671" t="s">
        <v>359</v>
      </c>
      <c r="E2671">
        <v>3</v>
      </c>
      <c r="F2671" t="s">
        <v>7188</v>
      </c>
      <c r="G2671" t="s">
        <v>800</v>
      </c>
      <c r="H2671" t="s">
        <v>850</v>
      </c>
      <c r="I2671" t="s">
        <v>802</v>
      </c>
      <c r="J2671">
        <f t="shared" ca="1" si="166"/>
        <v>278022</v>
      </c>
      <c r="K2671">
        <f t="shared" ca="1" si="167"/>
        <v>2600</v>
      </c>
      <c r="N2671" t="str">
        <f t="shared" si="164"/>
        <v>Wakefield90Challenging behaviour wingBed Based Intermediate Care ServicesOther</v>
      </c>
      <c r="O2671" t="s">
        <v>331</v>
      </c>
      <c r="P2671" t="s">
        <v>922</v>
      </c>
      <c r="Q2671">
        <v>90</v>
      </c>
      <c r="R2671" t="s">
        <v>6652</v>
      </c>
      <c r="S2671" t="s">
        <v>7189</v>
      </c>
      <c r="T2671" t="s">
        <v>1106</v>
      </c>
      <c r="U2671" t="s">
        <v>812</v>
      </c>
      <c r="V2671" t="s">
        <v>7189</v>
      </c>
      <c r="W2671">
        <v>24</v>
      </c>
      <c r="X2671">
        <v>24</v>
      </c>
      <c r="Y2671" t="s">
        <v>794</v>
      </c>
      <c r="Z2671" t="s">
        <v>792</v>
      </c>
      <c r="AB2671" t="s">
        <v>793</v>
      </c>
      <c r="AD2671" t="s">
        <v>794</v>
      </c>
      <c r="AE2671" t="s">
        <v>795</v>
      </c>
      <c r="AF2671" t="s">
        <v>864</v>
      </c>
      <c r="AG2671" t="s">
        <v>861</v>
      </c>
      <c r="AH2671">
        <v>310626</v>
      </c>
      <c r="AI2671">
        <v>517710.04239000683</v>
      </c>
      <c r="AJ2671">
        <v>1.66E-2</v>
      </c>
    </row>
    <row r="2672" spans="1:36" x14ac:dyDescent="0.3">
      <c r="A2672">
        <f>COUNTIF($D$2:D2672,D2672)</f>
        <v>3</v>
      </c>
      <c r="B2672" t="str">
        <f t="shared" si="165"/>
        <v>3Wirral</v>
      </c>
      <c r="C2672" t="s">
        <v>7190</v>
      </c>
      <c r="D2672" t="s">
        <v>359</v>
      </c>
      <c r="E2672">
        <v>5</v>
      </c>
      <c r="F2672" t="s">
        <v>7191</v>
      </c>
      <c r="G2672" t="s">
        <v>877</v>
      </c>
      <c r="H2672" t="s">
        <v>1259</v>
      </c>
      <c r="I2672" t="s">
        <v>879</v>
      </c>
      <c r="J2672">
        <f t="shared" ca="1" si="166"/>
        <v>1045000</v>
      </c>
      <c r="K2672">
        <f t="shared" ca="1" si="167"/>
        <v>2400</v>
      </c>
      <c r="N2672" t="str">
        <f t="shared" si="164"/>
        <v>Wakefield91Reablement Therapy supportHome-based intermediate care servicesOther</v>
      </c>
      <c r="O2672" t="s">
        <v>331</v>
      </c>
      <c r="P2672" t="s">
        <v>922</v>
      </c>
      <c r="Q2672">
        <v>91</v>
      </c>
      <c r="R2672" t="s">
        <v>6654</v>
      </c>
      <c r="S2672" t="s">
        <v>7192</v>
      </c>
      <c r="T2672" t="s">
        <v>787</v>
      </c>
      <c r="U2672" t="s">
        <v>812</v>
      </c>
      <c r="V2672" t="s">
        <v>7193</v>
      </c>
      <c r="W2672">
        <v>1300</v>
      </c>
      <c r="X2672">
        <v>1400</v>
      </c>
      <c r="Y2672" t="s">
        <v>789</v>
      </c>
      <c r="Z2672" t="s">
        <v>792</v>
      </c>
      <c r="AB2672" t="s">
        <v>793</v>
      </c>
      <c r="AD2672" t="s">
        <v>794</v>
      </c>
      <c r="AE2672" t="s">
        <v>804</v>
      </c>
      <c r="AF2672" t="s">
        <v>860</v>
      </c>
      <c r="AG2672" t="s">
        <v>861</v>
      </c>
      <c r="AH2672">
        <v>50000</v>
      </c>
      <c r="AI2672">
        <v>77106.484430451164</v>
      </c>
      <c r="AJ2672">
        <v>1.6999999999999999E-3</v>
      </c>
    </row>
    <row r="2673" spans="1:36" x14ac:dyDescent="0.3">
      <c r="A2673">
        <f>COUNTIF($D$2:D2673,D2673)</f>
        <v>4</v>
      </c>
      <c r="B2673" t="str">
        <f t="shared" si="165"/>
        <v>4Wirral</v>
      </c>
      <c r="C2673" t="s">
        <v>7194</v>
      </c>
      <c r="D2673" t="s">
        <v>359</v>
      </c>
      <c r="E2673">
        <v>8</v>
      </c>
      <c r="F2673" t="s">
        <v>7195</v>
      </c>
      <c r="G2673" t="s">
        <v>877</v>
      </c>
      <c r="H2673" t="s">
        <v>968</v>
      </c>
      <c r="I2673" t="s">
        <v>879</v>
      </c>
      <c r="J2673">
        <f t="shared" ca="1" si="166"/>
        <v>6448000</v>
      </c>
      <c r="K2673">
        <f t="shared" ca="1" si="167"/>
        <v>1178</v>
      </c>
      <c r="N2673" t="str">
        <f t="shared" si="164"/>
        <v>Wakefield107Bariatric bed solutionResidential PlacementsShort term residential care (without rehabilitation or reablement input)</v>
      </c>
      <c r="O2673" t="s">
        <v>331</v>
      </c>
      <c r="P2673" t="s">
        <v>922</v>
      </c>
      <c r="Q2673">
        <v>107</v>
      </c>
      <c r="R2673" t="s">
        <v>6656</v>
      </c>
      <c r="S2673" t="s">
        <v>6656</v>
      </c>
      <c r="T2673" t="s">
        <v>806</v>
      </c>
      <c r="U2673" t="s">
        <v>955</v>
      </c>
      <c r="W2673">
        <v>1</v>
      </c>
      <c r="X2673">
        <v>1</v>
      </c>
      <c r="Y2673" t="s">
        <v>808</v>
      </c>
      <c r="Z2673" t="s">
        <v>792</v>
      </c>
      <c r="AB2673" t="s">
        <v>793</v>
      </c>
      <c r="AD2673" t="s">
        <v>794</v>
      </c>
      <c r="AE2673" t="s">
        <v>804</v>
      </c>
      <c r="AF2673" t="s">
        <v>864</v>
      </c>
      <c r="AG2673" t="s">
        <v>861</v>
      </c>
      <c r="AH2673">
        <v>30000</v>
      </c>
      <c r="AI2673">
        <v>50000.004093991498</v>
      </c>
      <c r="AJ2673">
        <v>8.0600000000000005E-2</v>
      </c>
    </row>
    <row r="2674" spans="1:36" x14ac:dyDescent="0.3">
      <c r="A2674">
        <f>COUNTIF($D$2:D2674,D2674)</f>
        <v>5</v>
      </c>
      <c r="B2674" t="str">
        <f t="shared" si="165"/>
        <v>5Wirral</v>
      </c>
      <c r="C2674" t="s">
        <v>7196</v>
      </c>
      <c r="D2674" t="s">
        <v>359</v>
      </c>
      <c r="E2674">
        <v>9</v>
      </c>
      <c r="F2674" t="s">
        <v>7197</v>
      </c>
      <c r="G2674" t="s">
        <v>877</v>
      </c>
      <c r="H2674" t="s">
        <v>968</v>
      </c>
      <c r="I2674" t="s">
        <v>879</v>
      </c>
      <c r="J2674">
        <f t="shared" ca="1" si="166"/>
        <v>754600</v>
      </c>
      <c r="K2674">
        <f t="shared" ca="1" si="167"/>
        <v>139</v>
      </c>
      <c r="N2674" t="str">
        <f t="shared" si="164"/>
        <v>Wakefield1096 Beds as interim beds Dovecote PDSA ModelBed Based Intermediate Care ServicesOther</v>
      </c>
      <c r="O2674" t="s">
        <v>331</v>
      </c>
      <c r="P2674" t="s">
        <v>922</v>
      </c>
      <c r="Q2674">
        <v>109</v>
      </c>
      <c r="R2674" t="s">
        <v>6658</v>
      </c>
      <c r="S2674" t="s">
        <v>6658</v>
      </c>
      <c r="T2674" t="s">
        <v>1106</v>
      </c>
      <c r="U2674" t="s">
        <v>812</v>
      </c>
      <c r="V2674" t="s">
        <v>7198</v>
      </c>
      <c r="W2674">
        <v>300</v>
      </c>
      <c r="X2674">
        <v>300</v>
      </c>
      <c r="Y2674" t="s">
        <v>794</v>
      </c>
      <c r="Z2674" t="s">
        <v>792</v>
      </c>
      <c r="AB2674" t="s">
        <v>793</v>
      </c>
      <c r="AD2674" t="s">
        <v>794</v>
      </c>
      <c r="AE2674" t="s">
        <v>795</v>
      </c>
      <c r="AF2674" t="s">
        <v>864</v>
      </c>
      <c r="AG2674" t="s">
        <v>861</v>
      </c>
      <c r="AH2674">
        <v>212979</v>
      </c>
      <c r="AI2674">
        <v>354965.02906447381</v>
      </c>
      <c r="AJ2674">
        <v>1.66E-2</v>
      </c>
    </row>
    <row r="2675" spans="1:36" x14ac:dyDescent="0.3">
      <c r="A2675">
        <f>COUNTIF($D$2:D2675,D2675)</f>
        <v>6</v>
      </c>
      <c r="B2675" t="str">
        <f t="shared" si="165"/>
        <v>6Wirral</v>
      </c>
      <c r="C2675" t="s">
        <v>7199</v>
      </c>
      <c r="D2675" t="s">
        <v>359</v>
      </c>
      <c r="E2675">
        <v>14</v>
      </c>
      <c r="F2675" t="s">
        <v>7200</v>
      </c>
      <c r="G2675" t="s">
        <v>787</v>
      </c>
      <c r="H2675" t="s">
        <v>788</v>
      </c>
      <c r="I2675" t="s">
        <v>789</v>
      </c>
      <c r="J2675">
        <f t="shared" ca="1" si="166"/>
        <v>1231249</v>
      </c>
      <c r="K2675">
        <f t="shared" ca="1" si="167"/>
        <v>160</v>
      </c>
      <c r="N2675" t="str">
        <f t="shared" si="164"/>
        <v>Walsall7Equipment Assistive Technologies and EquipmentCommunity based equipment</v>
      </c>
      <c r="O2675" t="s">
        <v>333</v>
      </c>
      <c r="P2675" t="s">
        <v>1172</v>
      </c>
      <c r="Q2675">
        <v>7</v>
      </c>
      <c r="R2675" t="s">
        <v>6660</v>
      </c>
      <c r="S2675" t="s">
        <v>7201</v>
      </c>
      <c r="T2675" t="s">
        <v>800</v>
      </c>
      <c r="U2675" t="s">
        <v>903</v>
      </c>
      <c r="W2675">
        <v>185</v>
      </c>
      <c r="X2675">
        <v>185</v>
      </c>
      <c r="Y2675" t="s">
        <v>802</v>
      </c>
      <c r="Z2675" t="s">
        <v>792</v>
      </c>
      <c r="AB2675" t="s">
        <v>793</v>
      </c>
      <c r="AD2675" t="s">
        <v>794</v>
      </c>
      <c r="AE2675" t="s">
        <v>832</v>
      </c>
      <c r="AF2675" t="s">
        <v>796</v>
      </c>
      <c r="AG2675" t="s">
        <v>797</v>
      </c>
      <c r="AH2675">
        <v>70312</v>
      </c>
      <c r="AI2675">
        <v>73828</v>
      </c>
      <c r="AJ2675">
        <v>1.4505040755405821E-3</v>
      </c>
    </row>
    <row r="2676" spans="1:36" x14ac:dyDescent="0.3">
      <c r="A2676">
        <f>COUNTIF($D$2:D2676,D2676)</f>
        <v>7</v>
      </c>
      <c r="B2676" t="str">
        <f t="shared" si="165"/>
        <v>7Wirral</v>
      </c>
      <c r="C2676" t="s">
        <v>7202</v>
      </c>
      <c r="D2676" t="s">
        <v>359</v>
      </c>
      <c r="E2676">
        <v>15</v>
      </c>
      <c r="F2676" t="s">
        <v>7203</v>
      </c>
      <c r="G2676" t="s">
        <v>842</v>
      </c>
      <c r="H2676" t="s">
        <v>843</v>
      </c>
      <c r="I2676" t="s">
        <v>844</v>
      </c>
      <c r="J2676">
        <f t="shared" ca="1" si="166"/>
        <v>412000</v>
      </c>
      <c r="K2676">
        <f t="shared" ca="1" si="167"/>
        <v>18969</v>
      </c>
      <c r="N2676" t="str">
        <f t="shared" si="164"/>
        <v>Walsall8DFG DFG Related SchemesAdaptations, including statutory DFG grants</v>
      </c>
      <c r="O2676" t="s">
        <v>333</v>
      </c>
      <c r="P2676" t="s">
        <v>1172</v>
      </c>
      <c r="Q2676">
        <v>8</v>
      </c>
      <c r="R2676" t="s">
        <v>2681</v>
      </c>
      <c r="S2676" t="s">
        <v>7204</v>
      </c>
      <c r="T2676" t="s">
        <v>834</v>
      </c>
      <c r="U2676" t="s">
        <v>835</v>
      </c>
      <c r="W2676">
        <v>300</v>
      </c>
      <c r="X2676">
        <v>300</v>
      </c>
      <c r="Y2676" t="s">
        <v>836</v>
      </c>
      <c r="Z2676" t="s">
        <v>812</v>
      </c>
      <c r="AA2676" t="s">
        <v>840</v>
      </c>
      <c r="AB2676" t="s">
        <v>793</v>
      </c>
      <c r="AD2676" t="s">
        <v>794</v>
      </c>
      <c r="AE2676" t="s">
        <v>804</v>
      </c>
      <c r="AF2676" t="s">
        <v>840</v>
      </c>
      <c r="AG2676" t="s">
        <v>797</v>
      </c>
      <c r="AH2676">
        <v>3314771</v>
      </c>
      <c r="AI2676">
        <v>3314771</v>
      </c>
      <c r="AJ2676">
        <v>6.8382194290928025E-2</v>
      </c>
    </row>
    <row r="2677" spans="1:36" x14ac:dyDescent="0.3">
      <c r="A2677">
        <f>COUNTIF($D$2:D2677,D2677)</f>
        <v>8</v>
      </c>
      <c r="B2677" t="str">
        <f t="shared" si="165"/>
        <v>8Wirral</v>
      </c>
      <c r="C2677" t="s">
        <v>7205</v>
      </c>
      <c r="D2677" t="s">
        <v>359</v>
      </c>
      <c r="E2677">
        <v>21</v>
      </c>
      <c r="F2677" t="s">
        <v>2908</v>
      </c>
      <c r="G2677" t="s">
        <v>811</v>
      </c>
      <c r="H2677" t="s">
        <v>830</v>
      </c>
      <c r="I2677" t="s">
        <v>813</v>
      </c>
      <c r="J2677">
        <f t="shared" ca="1" si="166"/>
        <v>727992</v>
      </c>
      <c r="K2677">
        <f t="shared" ca="1" si="167"/>
        <v>163</v>
      </c>
      <c r="N2677" t="str">
        <f t="shared" si="164"/>
        <v>Walsall9DFG DFG Related SchemesDiscretionary use of DFG</v>
      </c>
      <c r="O2677" t="s">
        <v>333</v>
      </c>
      <c r="P2677" t="s">
        <v>1172</v>
      </c>
      <c r="Q2677">
        <v>9</v>
      </c>
      <c r="R2677" t="s">
        <v>2681</v>
      </c>
      <c r="S2677" t="s">
        <v>7206</v>
      </c>
      <c r="T2677" t="s">
        <v>834</v>
      </c>
      <c r="U2677" t="s">
        <v>1293</v>
      </c>
      <c r="W2677">
        <v>100</v>
      </c>
      <c r="X2677">
        <v>100</v>
      </c>
      <c r="Y2677" t="s">
        <v>836</v>
      </c>
      <c r="Z2677" t="s">
        <v>792</v>
      </c>
      <c r="AB2677" t="s">
        <v>793</v>
      </c>
      <c r="AD2677" t="s">
        <v>794</v>
      </c>
      <c r="AE2677" t="s">
        <v>832</v>
      </c>
      <c r="AF2677" t="s">
        <v>840</v>
      </c>
      <c r="AG2677" t="s">
        <v>797</v>
      </c>
      <c r="AH2677">
        <v>888000</v>
      </c>
      <c r="AI2677">
        <v>888000</v>
      </c>
      <c r="AJ2677">
        <v>1.8319029740016455E-2</v>
      </c>
    </row>
    <row r="2678" spans="1:36" x14ac:dyDescent="0.3">
      <c r="A2678">
        <f>COUNTIF($D$2:D2678,D2678)</f>
        <v>9</v>
      </c>
      <c r="B2678" t="str">
        <f t="shared" si="165"/>
        <v>9Wirral</v>
      </c>
      <c r="C2678" t="s">
        <v>7207</v>
      </c>
      <c r="D2678" t="s">
        <v>359</v>
      </c>
      <c r="E2678">
        <v>22</v>
      </c>
      <c r="F2678" t="s">
        <v>7208</v>
      </c>
      <c r="G2678" t="s">
        <v>842</v>
      </c>
      <c r="H2678" t="s">
        <v>843</v>
      </c>
      <c r="I2678" t="s">
        <v>844</v>
      </c>
      <c r="J2678">
        <f t="shared" ca="1" si="166"/>
        <v>1333260</v>
      </c>
      <c r="K2678">
        <f t="shared" ca="1" si="167"/>
        <v>1134</v>
      </c>
      <c r="N2678" t="str">
        <f t="shared" si="164"/>
        <v>Walsall10Carers Carers ServicesCarer advice and support related to Care Act duties</v>
      </c>
      <c r="O2678" t="s">
        <v>333</v>
      </c>
      <c r="P2678" t="s">
        <v>1172</v>
      </c>
      <c r="Q2678">
        <v>10</v>
      </c>
      <c r="R2678" t="s">
        <v>4377</v>
      </c>
      <c r="S2678" t="s">
        <v>1494</v>
      </c>
      <c r="T2678" t="s">
        <v>811</v>
      </c>
      <c r="U2678" t="s">
        <v>895</v>
      </c>
      <c r="W2678">
        <v>500</v>
      </c>
      <c r="X2678">
        <v>500</v>
      </c>
      <c r="Y2678" t="s">
        <v>813</v>
      </c>
      <c r="Z2678" t="s">
        <v>792</v>
      </c>
      <c r="AB2678" t="s">
        <v>793</v>
      </c>
      <c r="AD2678" t="s">
        <v>794</v>
      </c>
      <c r="AE2678" t="s">
        <v>804</v>
      </c>
      <c r="AF2678" t="s">
        <v>796</v>
      </c>
      <c r="AG2678" t="s">
        <v>797</v>
      </c>
      <c r="AH2678">
        <v>440976</v>
      </c>
      <c r="AI2678">
        <v>440976</v>
      </c>
      <c r="AJ2678">
        <v>9.0971311471097927E-3</v>
      </c>
    </row>
    <row r="2679" spans="1:36" x14ac:dyDescent="0.3">
      <c r="A2679">
        <f>COUNTIF($D$2:D2679,D2679)</f>
        <v>10</v>
      </c>
      <c r="B2679" t="str">
        <f t="shared" si="165"/>
        <v>10Wirral</v>
      </c>
      <c r="C2679" t="s">
        <v>7209</v>
      </c>
      <c r="D2679" t="s">
        <v>359</v>
      </c>
      <c r="E2679">
        <v>25</v>
      </c>
      <c r="F2679" t="s">
        <v>7210</v>
      </c>
      <c r="G2679" t="s">
        <v>842</v>
      </c>
      <c r="H2679" t="s">
        <v>856</v>
      </c>
      <c r="I2679" t="s">
        <v>844</v>
      </c>
      <c r="J2679">
        <f t="shared" ca="1" si="166"/>
        <v>1800370</v>
      </c>
      <c r="K2679">
        <f t="shared" ca="1" si="167"/>
        <v>23000</v>
      </c>
      <c r="N2679" t="str">
        <f t="shared" si="164"/>
        <v>Walsall27Provision - pathway support Home Care or Domiciliary CareDomiciliary care packages</v>
      </c>
      <c r="O2679" t="s">
        <v>333</v>
      </c>
      <c r="P2679" t="s">
        <v>1172</v>
      </c>
      <c r="Q2679">
        <v>27</v>
      </c>
      <c r="R2679" t="s">
        <v>6669</v>
      </c>
      <c r="S2679" t="s">
        <v>7211</v>
      </c>
      <c r="T2679" t="s">
        <v>842</v>
      </c>
      <c r="U2679" t="s">
        <v>843</v>
      </c>
      <c r="W2679">
        <v>1200</v>
      </c>
      <c r="X2679">
        <v>1200</v>
      </c>
      <c r="Y2679" t="s">
        <v>844</v>
      </c>
      <c r="Z2679" t="s">
        <v>792</v>
      </c>
      <c r="AB2679" t="s">
        <v>793</v>
      </c>
      <c r="AD2679" t="s">
        <v>794</v>
      </c>
      <c r="AE2679" t="s">
        <v>795</v>
      </c>
      <c r="AF2679" t="s">
        <v>845</v>
      </c>
      <c r="AG2679" t="s">
        <v>797</v>
      </c>
      <c r="AH2679">
        <v>1835463</v>
      </c>
      <c r="AI2679">
        <v>1835463</v>
      </c>
      <c r="AJ2679">
        <v>3.786475369786016E-2</v>
      </c>
    </row>
    <row r="2680" spans="1:36" x14ac:dyDescent="0.3">
      <c r="A2680">
        <f>COUNTIF($D$2:D2680,D2680)</f>
        <v>11</v>
      </c>
      <c r="B2680" t="str">
        <f t="shared" si="165"/>
        <v>11Wirral</v>
      </c>
      <c r="C2680" t="s">
        <v>7212</v>
      </c>
      <c r="D2680" t="s">
        <v>359</v>
      </c>
      <c r="E2680">
        <v>28</v>
      </c>
      <c r="F2680" t="s">
        <v>7213</v>
      </c>
      <c r="G2680" t="s">
        <v>877</v>
      </c>
      <c r="H2680" t="s">
        <v>812</v>
      </c>
      <c r="I2680" t="s">
        <v>879</v>
      </c>
      <c r="J2680">
        <f t="shared" ca="1" si="166"/>
        <v>662000</v>
      </c>
      <c r="K2680">
        <f t="shared" ca="1" si="167"/>
        <v>588</v>
      </c>
      <c r="N2680" t="str">
        <f t="shared" si="164"/>
        <v xml:space="preserve">Walsall28Intermediate CareHome-based intermediate care servicesReablement at home (to support discharge) </v>
      </c>
      <c r="O2680" t="s">
        <v>333</v>
      </c>
      <c r="P2680" t="s">
        <v>1172</v>
      </c>
      <c r="Q2680">
        <v>28</v>
      </c>
      <c r="R2680" t="s">
        <v>964</v>
      </c>
      <c r="S2680" t="s">
        <v>7214</v>
      </c>
      <c r="T2680" t="s">
        <v>787</v>
      </c>
      <c r="U2680" t="s">
        <v>788</v>
      </c>
      <c r="W2680">
        <v>336</v>
      </c>
      <c r="X2680">
        <v>336</v>
      </c>
      <c r="Y2680" t="s">
        <v>789</v>
      </c>
      <c r="Z2680" t="s">
        <v>792</v>
      </c>
      <c r="AB2680" t="s">
        <v>793</v>
      </c>
      <c r="AD2680" t="s">
        <v>794</v>
      </c>
      <c r="AE2680" t="s">
        <v>804</v>
      </c>
      <c r="AF2680" t="s">
        <v>864</v>
      </c>
      <c r="AG2680" t="s">
        <v>861</v>
      </c>
      <c r="AH2680">
        <v>1125066</v>
      </c>
      <c r="AI2680">
        <v>1875109</v>
      </c>
      <c r="AJ2680">
        <v>2.3209591794460981E-2</v>
      </c>
    </row>
    <row r="2681" spans="1:36" x14ac:dyDescent="0.3">
      <c r="A2681">
        <f>COUNTIF($D$2:D2681,D2681)</f>
        <v>12</v>
      </c>
      <c r="B2681" t="str">
        <f t="shared" si="165"/>
        <v>12Wirral</v>
      </c>
      <c r="C2681" t="s">
        <v>7215</v>
      </c>
      <c r="D2681" t="s">
        <v>359</v>
      </c>
      <c r="E2681">
        <v>35</v>
      </c>
      <c r="F2681" t="s">
        <v>840</v>
      </c>
      <c r="G2681" t="s">
        <v>834</v>
      </c>
      <c r="H2681" t="s">
        <v>835</v>
      </c>
      <c r="I2681" t="s">
        <v>836</v>
      </c>
      <c r="J2681">
        <f t="shared" ca="1" si="166"/>
        <v>4723627</v>
      </c>
      <c r="K2681">
        <f t="shared" ca="1" si="167"/>
        <v>2750</v>
      </c>
      <c r="N2681" t="str">
        <f t="shared" si="164"/>
        <v>Walsall29Intermediate CareBed based intermediate Care Services (Reablement, rehabilitation, wider short-term services supporting recovery)Bed-based intermediate care with reablement (to support discharge)</v>
      </c>
      <c r="O2681" t="s">
        <v>333</v>
      </c>
      <c r="P2681" t="s">
        <v>1172</v>
      </c>
      <c r="Q2681">
        <v>29</v>
      </c>
      <c r="R2681" t="s">
        <v>964</v>
      </c>
      <c r="S2681" t="s">
        <v>7216</v>
      </c>
      <c r="T2681" t="s">
        <v>877</v>
      </c>
      <c r="U2681" t="s">
        <v>878</v>
      </c>
      <c r="W2681">
        <v>336</v>
      </c>
      <c r="X2681">
        <v>336</v>
      </c>
      <c r="Y2681" t="s">
        <v>879</v>
      </c>
      <c r="Z2681" t="s">
        <v>792</v>
      </c>
      <c r="AB2681" t="s">
        <v>793</v>
      </c>
      <c r="AD2681" t="s">
        <v>794</v>
      </c>
      <c r="AE2681" t="s">
        <v>804</v>
      </c>
      <c r="AF2681" t="s">
        <v>864</v>
      </c>
      <c r="AG2681" t="s">
        <v>861</v>
      </c>
      <c r="AH2681">
        <v>863088</v>
      </c>
      <c r="AI2681">
        <v>1438481</v>
      </c>
      <c r="AJ2681">
        <v>1.780510668947221E-2</v>
      </c>
    </row>
    <row r="2682" spans="1:36" x14ac:dyDescent="0.3">
      <c r="A2682">
        <f>COUNTIF($D$2:D2682,D2682)</f>
        <v>13</v>
      </c>
      <c r="B2682" t="str">
        <f t="shared" si="165"/>
        <v>13Wirral</v>
      </c>
      <c r="C2682" t="s">
        <v>7217</v>
      </c>
      <c r="D2682" t="s">
        <v>359</v>
      </c>
      <c r="E2682">
        <v>40</v>
      </c>
      <c r="F2682" t="s">
        <v>7218</v>
      </c>
      <c r="G2682" t="s">
        <v>877</v>
      </c>
      <c r="H2682" t="s">
        <v>968</v>
      </c>
      <c r="I2682" t="s">
        <v>879</v>
      </c>
      <c r="J2682">
        <f t="shared" ca="1" si="166"/>
        <v>392200</v>
      </c>
      <c r="K2682">
        <f t="shared" ca="1" si="167"/>
        <v>87</v>
      </c>
      <c r="N2682" t="str">
        <f t="shared" si="164"/>
        <v>Walsall36Equipment - Health element Assistive Technologies and EquipmentCommunity based equipment</v>
      </c>
      <c r="O2682" t="s">
        <v>333</v>
      </c>
      <c r="P2682" t="s">
        <v>1172</v>
      </c>
      <c r="Q2682">
        <v>36</v>
      </c>
      <c r="R2682" t="s">
        <v>6673</v>
      </c>
      <c r="S2682" t="s">
        <v>5542</v>
      </c>
      <c r="T2682" t="s">
        <v>800</v>
      </c>
      <c r="U2682" t="s">
        <v>903</v>
      </c>
      <c r="W2682">
        <v>185</v>
      </c>
      <c r="X2682">
        <v>185</v>
      </c>
      <c r="Y2682" t="s">
        <v>802</v>
      </c>
      <c r="Z2682" t="s">
        <v>823</v>
      </c>
      <c r="AB2682" t="s">
        <v>824</v>
      </c>
      <c r="AD2682" t="s">
        <v>794</v>
      </c>
      <c r="AE2682" t="s">
        <v>832</v>
      </c>
      <c r="AF2682" t="s">
        <v>796</v>
      </c>
      <c r="AG2682" t="s">
        <v>797</v>
      </c>
      <c r="AH2682">
        <v>523534.88</v>
      </c>
      <c r="AI2682">
        <v>523534.88</v>
      </c>
      <c r="AJ2682">
        <v>1.0800282698936877E-2</v>
      </c>
    </row>
    <row r="2683" spans="1:36" x14ac:dyDescent="0.3">
      <c r="A2683">
        <f>COUNTIF($D$2:D2683,D2683)</f>
        <v>14</v>
      </c>
      <c r="B2683" t="str">
        <f t="shared" si="165"/>
        <v>14Wirral</v>
      </c>
      <c r="C2683" t="s">
        <v>7219</v>
      </c>
      <c r="D2683" t="s">
        <v>359</v>
      </c>
      <c r="E2683">
        <v>23</v>
      </c>
      <c r="F2683" t="s">
        <v>4095</v>
      </c>
      <c r="G2683" t="s">
        <v>877</v>
      </c>
      <c r="H2683" t="s">
        <v>968</v>
      </c>
      <c r="I2683" t="s">
        <v>879</v>
      </c>
      <c r="J2683">
        <f t="shared" ca="1" si="166"/>
        <v>2457969</v>
      </c>
      <c r="K2683">
        <f t="shared" ca="1" si="167"/>
        <v>1020</v>
      </c>
      <c r="N2683" t="str">
        <f t="shared" si="164"/>
        <v>Walsall38Stroke Bed based intermediate Care Services (Reablement, rehabilitation, wider short-term services supporting recovery)Bed-based intermediate care with rehabilitation (to support discharge)</v>
      </c>
      <c r="O2683" t="s">
        <v>333</v>
      </c>
      <c r="P2683" t="s">
        <v>1172</v>
      </c>
      <c r="Q2683">
        <v>38</v>
      </c>
      <c r="R2683" t="s">
        <v>6676</v>
      </c>
      <c r="S2683" t="s">
        <v>7220</v>
      </c>
      <c r="T2683" t="s">
        <v>877</v>
      </c>
      <c r="U2683" t="s">
        <v>968</v>
      </c>
      <c r="W2683">
        <v>15</v>
      </c>
      <c r="X2683">
        <v>15</v>
      </c>
      <c r="Y2683" t="s">
        <v>879</v>
      </c>
      <c r="Z2683" t="s">
        <v>823</v>
      </c>
      <c r="AB2683" t="s">
        <v>824</v>
      </c>
      <c r="AD2683" t="s">
        <v>794</v>
      </c>
      <c r="AE2683" t="s">
        <v>832</v>
      </c>
      <c r="AF2683" t="s">
        <v>796</v>
      </c>
      <c r="AG2683" t="s">
        <v>797</v>
      </c>
      <c r="AH2683">
        <v>768873.09400000004</v>
      </c>
      <c r="AI2683">
        <v>768873.09400000004</v>
      </c>
      <c r="AJ2683">
        <v>1.5861496706401426E-2</v>
      </c>
    </row>
    <row r="2684" spans="1:36" x14ac:dyDescent="0.3">
      <c r="A2684">
        <f>COUNTIF($D$2:D2684,D2684)</f>
        <v>15</v>
      </c>
      <c r="B2684" t="str">
        <f t="shared" si="165"/>
        <v>15Wirral</v>
      </c>
      <c r="C2684" t="s">
        <v>7221</v>
      </c>
      <c r="D2684" t="s">
        <v>359</v>
      </c>
      <c r="E2684">
        <v>46</v>
      </c>
      <c r="F2684" t="s">
        <v>7222</v>
      </c>
      <c r="G2684" t="s">
        <v>877</v>
      </c>
      <c r="H2684" t="s">
        <v>968</v>
      </c>
      <c r="I2684" t="s">
        <v>879</v>
      </c>
      <c r="J2684">
        <f t="shared" ca="1" si="166"/>
        <v>125000</v>
      </c>
      <c r="K2684">
        <f t="shared" ca="1" si="167"/>
        <v>26</v>
      </c>
      <c r="N2684" t="str">
        <f t="shared" si="164"/>
        <v>Walsall41Intermediate CareHome-based intermediate care servicesReablement at home (accepting step up and step down users)</v>
      </c>
      <c r="O2684" t="s">
        <v>333</v>
      </c>
      <c r="P2684" t="s">
        <v>1172</v>
      </c>
      <c r="Q2684">
        <v>41</v>
      </c>
      <c r="R2684" t="s">
        <v>964</v>
      </c>
      <c r="S2684" t="s">
        <v>7223</v>
      </c>
      <c r="T2684" t="s">
        <v>787</v>
      </c>
      <c r="U2684" t="s">
        <v>930</v>
      </c>
      <c r="W2684">
        <v>336</v>
      </c>
      <c r="X2684">
        <v>336</v>
      </c>
      <c r="Y2684" t="s">
        <v>789</v>
      </c>
      <c r="Z2684" t="s">
        <v>823</v>
      </c>
      <c r="AB2684" t="s">
        <v>824</v>
      </c>
      <c r="AD2684" t="s">
        <v>794</v>
      </c>
      <c r="AE2684" t="s">
        <v>832</v>
      </c>
      <c r="AF2684" t="s">
        <v>796</v>
      </c>
      <c r="AG2684" t="s">
        <v>797</v>
      </c>
      <c r="AH2684">
        <v>692205.09600000002</v>
      </c>
      <c r="AI2684">
        <v>692205.09600000002</v>
      </c>
      <c r="AJ2684">
        <v>1.4279871328620432E-2</v>
      </c>
    </row>
    <row r="2685" spans="1:36" x14ac:dyDescent="0.3">
      <c r="A2685">
        <f>COUNTIF($D$2:D2685,D2685)</f>
        <v>1</v>
      </c>
      <c r="B2685" t="str">
        <f t="shared" si="165"/>
        <v>1Wokingham</v>
      </c>
      <c r="C2685" t="s">
        <v>7224</v>
      </c>
      <c r="D2685" t="s">
        <v>361</v>
      </c>
      <c r="E2685">
        <v>2</v>
      </c>
      <c r="F2685" t="s">
        <v>7225</v>
      </c>
      <c r="G2685" t="s">
        <v>811</v>
      </c>
      <c r="H2685" t="s">
        <v>812</v>
      </c>
      <c r="I2685" t="s">
        <v>813</v>
      </c>
      <c r="J2685">
        <f t="shared" ca="1" si="166"/>
        <v>131500</v>
      </c>
      <c r="K2685">
        <f t="shared" ca="1" si="167"/>
        <v>179</v>
      </c>
      <c r="N2685" t="str">
        <f t="shared" si="164"/>
        <v>Walsall52Equipment Assistive Technologies and EquipmentCommunity based equipment</v>
      </c>
      <c r="O2685" t="s">
        <v>333</v>
      </c>
      <c r="P2685" t="s">
        <v>1172</v>
      </c>
      <c r="Q2685">
        <v>52</v>
      </c>
      <c r="R2685" t="s">
        <v>6660</v>
      </c>
      <c r="S2685" t="s">
        <v>7226</v>
      </c>
      <c r="T2685" t="s">
        <v>800</v>
      </c>
      <c r="U2685" t="s">
        <v>903</v>
      </c>
      <c r="W2685">
        <v>185</v>
      </c>
      <c r="X2685">
        <v>185</v>
      </c>
      <c r="Y2685" t="s">
        <v>802</v>
      </c>
      <c r="Z2685" t="s">
        <v>823</v>
      </c>
      <c r="AB2685" t="s">
        <v>824</v>
      </c>
      <c r="AD2685" t="s">
        <v>794</v>
      </c>
      <c r="AE2685" t="s">
        <v>832</v>
      </c>
      <c r="AF2685" t="s">
        <v>796</v>
      </c>
      <c r="AG2685" t="s">
        <v>797</v>
      </c>
      <c r="AH2685">
        <v>723488.52800000005</v>
      </c>
      <c r="AI2685">
        <v>723488.52800000005</v>
      </c>
      <c r="AJ2685">
        <v>1.4925234077694511E-2</v>
      </c>
    </row>
    <row r="2686" spans="1:36" x14ac:dyDescent="0.3">
      <c r="A2686">
        <f>COUNTIF($D$2:D2686,D2686)</f>
        <v>2</v>
      </c>
      <c r="B2686" t="str">
        <f t="shared" si="165"/>
        <v>2Wokingham</v>
      </c>
      <c r="C2686" t="s">
        <v>7227</v>
      </c>
      <c r="D2686" t="s">
        <v>361</v>
      </c>
      <c r="E2686">
        <v>4</v>
      </c>
      <c r="F2686" t="s">
        <v>7228</v>
      </c>
      <c r="G2686" t="s">
        <v>787</v>
      </c>
      <c r="H2686" t="s">
        <v>1551</v>
      </c>
      <c r="I2686" t="s">
        <v>789</v>
      </c>
      <c r="J2686">
        <f t="shared" ca="1" si="166"/>
        <v>495331</v>
      </c>
      <c r="K2686">
        <f t="shared" ca="1" si="167"/>
        <v>145</v>
      </c>
      <c r="N2686" t="str">
        <f t="shared" si="164"/>
        <v>Walsall58End of Live Residential PlacementsShort term residential care (without rehabilitation or reablement input)</v>
      </c>
      <c r="O2686" t="s">
        <v>333</v>
      </c>
      <c r="P2686" t="s">
        <v>1172</v>
      </c>
      <c r="Q2686">
        <v>58</v>
      </c>
      <c r="R2686" t="s">
        <v>6680</v>
      </c>
      <c r="S2686" t="s">
        <v>7229</v>
      </c>
      <c r="T2686" t="s">
        <v>806</v>
      </c>
      <c r="U2686" t="s">
        <v>955</v>
      </c>
      <c r="W2686">
        <v>15</v>
      </c>
      <c r="X2686">
        <v>15</v>
      </c>
      <c r="Y2686" t="s">
        <v>808</v>
      </c>
      <c r="Z2686" t="s">
        <v>1061</v>
      </c>
      <c r="AB2686" t="s">
        <v>824</v>
      </c>
      <c r="AD2686" t="s">
        <v>794</v>
      </c>
      <c r="AE2686" t="s">
        <v>804</v>
      </c>
      <c r="AF2686" t="s">
        <v>796</v>
      </c>
      <c r="AG2686" t="s">
        <v>797</v>
      </c>
      <c r="AH2686">
        <v>204116</v>
      </c>
      <c r="AI2686">
        <v>204116</v>
      </c>
      <c r="AJ2686">
        <v>4.2108187774923403E-3</v>
      </c>
    </row>
    <row r="2687" spans="1:36" x14ac:dyDescent="0.3">
      <c r="A2687">
        <f>COUNTIF($D$2:D2687,D2687)</f>
        <v>3</v>
      </c>
      <c r="B2687" t="str">
        <f t="shared" si="165"/>
        <v>3Wokingham</v>
      </c>
      <c r="C2687" t="s">
        <v>7230</v>
      </c>
      <c r="D2687" t="s">
        <v>361</v>
      </c>
      <c r="E2687">
        <v>5</v>
      </c>
      <c r="F2687" t="s">
        <v>891</v>
      </c>
      <c r="G2687" t="s">
        <v>834</v>
      </c>
      <c r="H2687" t="s">
        <v>835</v>
      </c>
      <c r="I2687" t="s">
        <v>836</v>
      </c>
      <c r="J2687">
        <f t="shared" ca="1" si="166"/>
        <v>1075656</v>
      </c>
      <c r="K2687">
        <f t="shared" ca="1" si="167"/>
        <v>450</v>
      </c>
      <c r="N2687" t="str">
        <f t="shared" si="164"/>
        <v>Waltham Forest1ICES EquipmentAssistive Technologies and EquipmentCommunity based equipment</v>
      </c>
      <c r="O2687" t="s">
        <v>335</v>
      </c>
      <c r="P2687" t="s">
        <v>790</v>
      </c>
      <c r="Q2687">
        <v>1</v>
      </c>
      <c r="R2687" t="s">
        <v>6682</v>
      </c>
      <c r="S2687" t="s">
        <v>7231</v>
      </c>
      <c r="T2687" t="s">
        <v>800</v>
      </c>
      <c r="U2687" t="s">
        <v>903</v>
      </c>
      <c r="W2687">
        <v>18000</v>
      </c>
      <c r="X2687">
        <v>18000</v>
      </c>
      <c r="Y2687" t="s">
        <v>802</v>
      </c>
      <c r="Z2687" t="s">
        <v>792</v>
      </c>
      <c r="AB2687" t="s">
        <v>793</v>
      </c>
      <c r="AD2687" t="s">
        <v>794</v>
      </c>
      <c r="AE2687" t="s">
        <v>804</v>
      </c>
      <c r="AF2687" t="s">
        <v>796</v>
      </c>
      <c r="AG2687" t="s">
        <v>797</v>
      </c>
      <c r="AH2687">
        <v>592074</v>
      </c>
      <c r="AI2687">
        <v>592074</v>
      </c>
      <c r="AJ2687">
        <v>0.2</v>
      </c>
    </row>
    <row r="2688" spans="1:36" x14ac:dyDescent="0.3">
      <c r="A2688">
        <f>COUNTIF($D$2:D2688,D2688)</f>
        <v>4</v>
      </c>
      <c r="B2688" t="str">
        <f t="shared" si="165"/>
        <v>4Wokingham</v>
      </c>
      <c r="C2688" t="s">
        <v>7232</v>
      </c>
      <c r="D2688" t="s">
        <v>361</v>
      </c>
      <c r="E2688">
        <v>6</v>
      </c>
      <c r="F2688" t="s">
        <v>7233</v>
      </c>
      <c r="G2688" t="s">
        <v>842</v>
      </c>
      <c r="H2688" t="s">
        <v>843</v>
      </c>
      <c r="I2688" t="s">
        <v>844</v>
      </c>
      <c r="J2688">
        <f t="shared" ca="1" si="166"/>
        <v>58202</v>
      </c>
      <c r="K2688">
        <f t="shared" ca="1" si="167"/>
        <v>2720</v>
      </c>
      <c r="N2688" t="str">
        <f t="shared" si="164"/>
        <v>Waltham Forest7Home Care packagesHome Care or Domiciliary CareDomiciliary care packages</v>
      </c>
      <c r="O2688" t="s">
        <v>335</v>
      </c>
      <c r="P2688" t="s">
        <v>790</v>
      </c>
      <c r="Q2688">
        <v>7</v>
      </c>
      <c r="R2688" t="s">
        <v>6684</v>
      </c>
      <c r="S2688" t="s">
        <v>6684</v>
      </c>
      <c r="T2688" t="s">
        <v>842</v>
      </c>
      <c r="U2688" t="s">
        <v>843</v>
      </c>
      <c r="W2688">
        <v>86100</v>
      </c>
      <c r="X2688">
        <v>86100</v>
      </c>
      <c r="Y2688" t="s">
        <v>844</v>
      </c>
      <c r="Z2688" t="s">
        <v>792</v>
      </c>
      <c r="AB2688" t="s">
        <v>793</v>
      </c>
      <c r="AD2688" t="s">
        <v>794</v>
      </c>
      <c r="AE2688" t="s">
        <v>804</v>
      </c>
      <c r="AF2688" t="s">
        <v>796</v>
      </c>
      <c r="AG2688" t="s">
        <v>797</v>
      </c>
      <c r="AH2688">
        <v>1550000</v>
      </c>
      <c r="AI2688">
        <v>1550000</v>
      </c>
      <c r="AJ2688">
        <v>0.08</v>
      </c>
    </row>
    <row r="2689" spans="1:36" x14ac:dyDescent="0.3">
      <c r="A2689">
        <f>COUNTIF($D$2:D2689,D2689)</f>
        <v>5</v>
      </c>
      <c r="B2689" t="str">
        <f t="shared" si="165"/>
        <v>5Wokingham</v>
      </c>
      <c r="C2689" t="s">
        <v>7234</v>
      </c>
      <c r="D2689" t="s">
        <v>361</v>
      </c>
      <c r="E2689">
        <v>9</v>
      </c>
      <c r="F2689" t="s">
        <v>7235</v>
      </c>
      <c r="G2689" t="s">
        <v>806</v>
      </c>
      <c r="H2689" t="s">
        <v>917</v>
      </c>
      <c r="I2689" t="s">
        <v>808</v>
      </c>
      <c r="J2689">
        <f t="shared" ca="1" si="166"/>
        <v>1083640</v>
      </c>
      <c r="K2689">
        <f t="shared" ca="1" si="167"/>
        <v>21</v>
      </c>
      <c r="N2689" t="str">
        <f t="shared" si="164"/>
        <v>Waltham Forest13Reablement Core ServicesHome-based intermediate care servicesRehabilitation at home (to support discharge)</v>
      </c>
      <c r="O2689" t="s">
        <v>335</v>
      </c>
      <c r="P2689" t="s">
        <v>790</v>
      </c>
      <c r="Q2689">
        <v>13</v>
      </c>
      <c r="R2689" t="s">
        <v>6687</v>
      </c>
      <c r="S2689" t="s">
        <v>6687</v>
      </c>
      <c r="T2689" t="s">
        <v>787</v>
      </c>
      <c r="U2689" t="s">
        <v>1195</v>
      </c>
      <c r="W2689">
        <v>101500</v>
      </c>
      <c r="X2689">
        <v>101500</v>
      </c>
      <c r="Y2689" t="s">
        <v>789</v>
      </c>
      <c r="Z2689" t="s">
        <v>792</v>
      </c>
      <c r="AB2689" t="s">
        <v>793</v>
      </c>
      <c r="AD2689" t="s">
        <v>794</v>
      </c>
      <c r="AE2689" t="s">
        <v>804</v>
      </c>
      <c r="AF2689" t="s">
        <v>796</v>
      </c>
      <c r="AG2689" t="s">
        <v>797</v>
      </c>
      <c r="AH2689">
        <v>1828000</v>
      </c>
      <c r="AI2689">
        <v>1828000</v>
      </c>
      <c r="AJ2689">
        <v>0.1</v>
      </c>
    </row>
    <row r="2690" spans="1:36" x14ac:dyDescent="0.3">
      <c r="A2690">
        <f>COUNTIF($D$2:D2690,D2690)</f>
        <v>6</v>
      </c>
      <c r="B2690" t="str">
        <f t="shared" si="165"/>
        <v>6Wokingham</v>
      </c>
      <c r="C2690" t="s">
        <v>7236</v>
      </c>
      <c r="D2690" t="s">
        <v>361</v>
      </c>
      <c r="E2690">
        <v>10</v>
      </c>
      <c r="F2690" t="s">
        <v>7237</v>
      </c>
      <c r="G2690" t="s">
        <v>787</v>
      </c>
      <c r="H2690" t="s">
        <v>1551</v>
      </c>
      <c r="I2690" t="s">
        <v>789</v>
      </c>
      <c r="J2690">
        <f t="shared" ca="1" si="166"/>
        <v>180600</v>
      </c>
      <c r="K2690">
        <f t="shared" ca="1" si="167"/>
        <v>825</v>
      </c>
      <c r="N2690" t="str">
        <f t="shared" ref="N2690:N2753" si="168">O2690&amp;Q2690&amp;R2690&amp;T2690&amp;U2690</f>
        <v>Waltham Forest16Community RehabilitationBed based intermediate Care Services (Reablement, rehabilitation, wider short-term services supporting recovery)Bed-based intermediate care with rehabilitation (to support discharge)</v>
      </c>
      <c r="O2690" t="s">
        <v>335</v>
      </c>
      <c r="P2690" t="s">
        <v>790</v>
      </c>
      <c r="Q2690">
        <v>16</v>
      </c>
      <c r="R2690" t="s">
        <v>3403</v>
      </c>
      <c r="S2690" t="s">
        <v>7238</v>
      </c>
      <c r="T2690" t="s">
        <v>877</v>
      </c>
      <c r="U2690" t="s">
        <v>968</v>
      </c>
      <c r="W2690">
        <v>76</v>
      </c>
      <c r="X2690">
        <v>76</v>
      </c>
      <c r="Y2690" t="s">
        <v>879</v>
      </c>
      <c r="Z2690" t="s">
        <v>823</v>
      </c>
      <c r="AB2690" t="s">
        <v>824</v>
      </c>
      <c r="AD2690" t="s">
        <v>794</v>
      </c>
      <c r="AE2690" t="s">
        <v>832</v>
      </c>
      <c r="AF2690" t="s">
        <v>796</v>
      </c>
      <c r="AG2690" t="s">
        <v>797</v>
      </c>
      <c r="AH2690">
        <v>4745000</v>
      </c>
      <c r="AI2690">
        <v>4745000</v>
      </c>
      <c r="AJ2690">
        <v>0.30606331750189381</v>
      </c>
    </row>
    <row r="2691" spans="1:36" x14ac:dyDescent="0.3">
      <c r="A2691">
        <f>COUNTIF($D$2:D2691,D2691)</f>
        <v>7</v>
      </c>
      <c r="B2691" t="str">
        <f t="shared" ref="B2691:B2754" si="169">A2691&amp;D2691</f>
        <v>7Wokingham</v>
      </c>
      <c r="C2691" t="s">
        <v>7239</v>
      </c>
      <c r="D2691" t="s">
        <v>361</v>
      </c>
      <c r="E2691">
        <v>11</v>
      </c>
      <c r="F2691" t="s">
        <v>7240</v>
      </c>
      <c r="G2691" t="s">
        <v>877</v>
      </c>
      <c r="H2691" t="s">
        <v>995</v>
      </c>
      <c r="I2691" t="s">
        <v>808</v>
      </c>
      <c r="J2691">
        <f t="shared" ref="J2691:J2754" ca="1" si="170">SUMIF($N:$AI,C2691,AH:AH)</f>
        <v>21800</v>
      </c>
      <c r="K2691">
        <f t="shared" ref="K2691:K2754" ca="1" si="171">SUMIF($N:$AI,C2691,W:W)</f>
        <v>69</v>
      </c>
      <c r="N2691" t="str">
        <f t="shared" si="168"/>
        <v>Waltham Forest21Extra Care Sheltered HousingResidential PlacementsExtra care</v>
      </c>
      <c r="O2691" t="s">
        <v>335</v>
      </c>
      <c r="P2691" t="s">
        <v>790</v>
      </c>
      <c r="Q2691">
        <v>21</v>
      </c>
      <c r="R2691" t="s">
        <v>6692</v>
      </c>
      <c r="S2691" t="s">
        <v>7241</v>
      </c>
      <c r="T2691" t="s">
        <v>806</v>
      </c>
      <c r="U2691" t="s">
        <v>934</v>
      </c>
      <c r="W2691">
        <v>10</v>
      </c>
      <c r="X2691">
        <v>10</v>
      </c>
      <c r="Y2691" t="s">
        <v>808</v>
      </c>
      <c r="Z2691" t="s">
        <v>792</v>
      </c>
      <c r="AB2691" t="s">
        <v>793</v>
      </c>
      <c r="AD2691" t="s">
        <v>794</v>
      </c>
      <c r="AE2691" t="s">
        <v>804</v>
      </c>
      <c r="AF2691" t="s">
        <v>796</v>
      </c>
      <c r="AG2691" t="s">
        <v>797</v>
      </c>
      <c r="AH2691">
        <v>235000</v>
      </c>
      <c r="AI2691">
        <v>235000</v>
      </c>
      <c r="AJ2691">
        <v>0.01</v>
      </c>
    </row>
    <row r="2692" spans="1:36" x14ac:dyDescent="0.3">
      <c r="A2692">
        <f>COUNTIF($D$2:D2692,D2692)</f>
        <v>8</v>
      </c>
      <c r="B2692" t="str">
        <f t="shared" si="169"/>
        <v>8Wokingham</v>
      </c>
      <c r="C2692" t="s">
        <v>7242</v>
      </c>
      <c r="D2692" t="s">
        <v>361</v>
      </c>
      <c r="E2692">
        <v>20</v>
      </c>
      <c r="F2692" t="s">
        <v>7243</v>
      </c>
      <c r="G2692" t="s">
        <v>811</v>
      </c>
      <c r="H2692" t="s">
        <v>895</v>
      </c>
      <c r="I2692" t="s">
        <v>813</v>
      </c>
      <c r="J2692">
        <f t="shared" ca="1" si="170"/>
        <v>220400</v>
      </c>
      <c r="K2692">
        <f t="shared" ca="1" si="171"/>
        <v>301</v>
      </c>
      <c r="N2692" t="str">
        <f t="shared" si="168"/>
        <v>Waltham Forest22MH PlacementsResidential PlacementsCare home</v>
      </c>
      <c r="O2692" t="s">
        <v>335</v>
      </c>
      <c r="P2692" t="s">
        <v>790</v>
      </c>
      <c r="Q2692">
        <v>22</v>
      </c>
      <c r="R2692" t="s">
        <v>6695</v>
      </c>
      <c r="S2692" t="s">
        <v>7244</v>
      </c>
      <c r="T2692" t="s">
        <v>806</v>
      </c>
      <c r="U2692" t="s">
        <v>807</v>
      </c>
      <c r="W2692">
        <v>10</v>
      </c>
      <c r="X2692">
        <v>10</v>
      </c>
      <c r="Y2692" t="s">
        <v>808</v>
      </c>
      <c r="Z2692" t="s">
        <v>792</v>
      </c>
      <c r="AB2692" t="s">
        <v>793</v>
      </c>
      <c r="AD2692" t="s">
        <v>794</v>
      </c>
      <c r="AE2692" t="s">
        <v>804</v>
      </c>
      <c r="AF2692" t="s">
        <v>796</v>
      </c>
      <c r="AG2692" t="s">
        <v>797</v>
      </c>
      <c r="AH2692">
        <v>530000</v>
      </c>
      <c r="AI2692">
        <v>530000</v>
      </c>
      <c r="AJ2692">
        <v>0.01</v>
      </c>
    </row>
    <row r="2693" spans="1:36" x14ac:dyDescent="0.3">
      <c r="A2693">
        <f>COUNTIF($D$2:D2693,D2693)</f>
        <v>9</v>
      </c>
      <c r="B2693" t="str">
        <f t="shared" si="169"/>
        <v>9Wokingham</v>
      </c>
      <c r="C2693" t="s">
        <v>7245</v>
      </c>
      <c r="D2693" t="s">
        <v>361</v>
      </c>
      <c r="E2693">
        <v>23</v>
      </c>
      <c r="F2693" t="s">
        <v>7235</v>
      </c>
      <c r="G2693" t="s">
        <v>806</v>
      </c>
      <c r="H2693" t="s">
        <v>807</v>
      </c>
      <c r="I2693" t="s">
        <v>808</v>
      </c>
      <c r="J2693">
        <f t="shared" ca="1" si="170"/>
        <v>166630</v>
      </c>
      <c r="K2693">
        <f t="shared" ca="1" si="171"/>
        <v>3</v>
      </c>
      <c r="N2693" t="str">
        <f t="shared" si="168"/>
        <v>Waltham Forest23Care Act PlacementsResidential PlacementsSupported housing</v>
      </c>
      <c r="O2693" t="s">
        <v>335</v>
      </c>
      <c r="P2693" t="s">
        <v>790</v>
      </c>
      <c r="Q2693">
        <v>23</v>
      </c>
      <c r="R2693" t="s">
        <v>6698</v>
      </c>
      <c r="S2693" t="s">
        <v>7246</v>
      </c>
      <c r="T2693" t="s">
        <v>806</v>
      </c>
      <c r="U2693" t="s">
        <v>873</v>
      </c>
      <c r="W2693">
        <v>17</v>
      </c>
      <c r="X2693">
        <v>17</v>
      </c>
      <c r="Y2693" t="s">
        <v>808</v>
      </c>
      <c r="Z2693" t="s">
        <v>792</v>
      </c>
      <c r="AB2693" t="s">
        <v>793</v>
      </c>
      <c r="AD2693" t="s">
        <v>794</v>
      </c>
      <c r="AE2693" t="s">
        <v>804</v>
      </c>
      <c r="AF2693" t="s">
        <v>796</v>
      </c>
      <c r="AG2693" t="s">
        <v>797</v>
      </c>
      <c r="AH2693">
        <v>875418</v>
      </c>
      <c r="AI2693">
        <v>875418</v>
      </c>
      <c r="AJ2693">
        <v>0.02</v>
      </c>
    </row>
    <row r="2694" spans="1:36" x14ac:dyDescent="0.3">
      <c r="A2694">
        <f>COUNTIF($D$2:D2694,D2694)</f>
        <v>10</v>
      </c>
      <c r="B2694" t="str">
        <f t="shared" si="169"/>
        <v>10Wokingham</v>
      </c>
      <c r="C2694" t="s">
        <v>7247</v>
      </c>
      <c r="D2694" t="s">
        <v>361</v>
      </c>
      <c r="E2694">
        <v>27</v>
      </c>
      <c r="F2694" t="s">
        <v>7248</v>
      </c>
      <c r="G2694" t="s">
        <v>877</v>
      </c>
      <c r="H2694" t="s">
        <v>1259</v>
      </c>
      <c r="I2694" t="s">
        <v>808</v>
      </c>
      <c r="J2694">
        <f t="shared" ca="1" si="170"/>
        <v>102600</v>
      </c>
      <c r="K2694">
        <f t="shared" ca="1" si="171"/>
        <v>206</v>
      </c>
      <c r="N2694" t="str">
        <f t="shared" si="168"/>
        <v>Waltham Forest24GML Step Dwn BedsBed based intermediate Care Services (Reablement, rehabilitation, wider short-term services supporting recovery)Bed-based intermediate care with rehabilitation accepting step up and step down users</v>
      </c>
      <c r="O2694" t="s">
        <v>335</v>
      </c>
      <c r="P2694" t="s">
        <v>790</v>
      </c>
      <c r="Q2694">
        <v>24</v>
      </c>
      <c r="R2694" t="s">
        <v>6701</v>
      </c>
      <c r="S2694" t="s">
        <v>7249</v>
      </c>
      <c r="T2694" t="s">
        <v>877</v>
      </c>
      <c r="U2694" t="s">
        <v>1015</v>
      </c>
      <c r="W2694">
        <v>10</v>
      </c>
      <c r="X2694">
        <v>10</v>
      </c>
      <c r="Y2694" t="s">
        <v>879</v>
      </c>
      <c r="Z2694" t="s">
        <v>792</v>
      </c>
      <c r="AB2694" t="s">
        <v>793</v>
      </c>
      <c r="AD2694" t="s">
        <v>794</v>
      </c>
      <c r="AE2694" t="s">
        <v>795</v>
      </c>
      <c r="AF2694" t="s">
        <v>796</v>
      </c>
      <c r="AG2694" t="s">
        <v>861</v>
      </c>
      <c r="AH2694">
        <v>504000</v>
      </c>
      <c r="AI2694">
        <v>504000</v>
      </c>
      <c r="AJ2694">
        <v>0.2</v>
      </c>
    </row>
    <row r="2695" spans="1:36" x14ac:dyDescent="0.3">
      <c r="A2695">
        <f>COUNTIF($D$2:D2695,D2695)</f>
        <v>11</v>
      </c>
      <c r="B2695" t="str">
        <f t="shared" si="169"/>
        <v>11Wokingham</v>
      </c>
      <c r="C2695" t="s">
        <v>7250</v>
      </c>
      <c r="D2695" t="s">
        <v>361</v>
      </c>
      <c r="E2695">
        <v>29</v>
      </c>
      <c r="F2695" t="s">
        <v>7251</v>
      </c>
      <c r="G2695" t="s">
        <v>877</v>
      </c>
      <c r="H2695" t="s">
        <v>878</v>
      </c>
      <c r="I2695" t="s">
        <v>808</v>
      </c>
      <c r="J2695" t="e">
        <f t="shared" si="170"/>
        <v>#VALUE!</v>
      </c>
      <c r="K2695" t="e">
        <f t="shared" si="171"/>
        <v>#VALUE!</v>
      </c>
      <c r="N2695" t="str">
        <f t="shared" si="168"/>
        <v>Waltham Forest26Carers ContractCarers ServicesCarer advice and support related to Care Act duties</v>
      </c>
      <c r="O2695" t="s">
        <v>335</v>
      </c>
      <c r="P2695" t="s">
        <v>790</v>
      </c>
      <c r="Q2695">
        <v>26</v>
      </c>
      <c r="R2695" t="s">
        <v>5800</v>
      </c>
      <c r="S2695" t="s">
        <v>5800</v>
      </c>
      <c r="T2695" t="s">
        <v>811</v>
      </c>
      <c r="U2695" t="s">
        <v>895</v>
      </c>
      <c r="W2695">
        <v>648</v>
      </c>
      <c r="X2695">
        <v>648</v>
      </c>
      <c r="Y2695" t="s">
        <v>813</v>
      </c>
      <c r="Z2695" t="s">
        <v>792</v>
      </c>
      <c r="AB2695" t="s">
        <v>793</v>
      </c>
      <c r="AD2695" t="s">
        <v>794</v>
      </c>
      <c r="AE2695" t="s">
        <v>795</v>
      </c>
      <c r="AF2695" t="s">
        <v>796</v>
      </c>
      <c r="AG2695" t="s">
        <v>861</v>
      </c>
      <c r="AH2695">
        <v>182000</v>
      </c>
      <c r="AI2695">
        <v>182000</v>
      </c>
      <c r="AJ2695">
        <v>0.25</v>
      </c>
    </row>
    <row r="2696" spans="1:36" x14ac:dyDescent="0.3">
      <c r="A2696">
        <f>COUNTIF($D$2:D2696,D2696)</f>
        <v>12</v>
      </c>
      <c r="B2696" t="str">
        <f t="shared" si="169"/>
        <v>12Wokingham</v>
      </c>
      <c r="C2696" t="s">
        <v>7252</v>
      </c>
      <c r="D2696" t="s">
        <v>361</v>
      </c>
      <c r="E2696">
        <v>37</v>
      </c>
      <c r="F2696" t="s">
        <v>7253</v>
      </c>
      <c r="G2696" t="s">
        <v>787</v>
      </c>
      <c r="H2696" t="s">
        <v>788</v>
      </c>
      <c r="I2696" t="s">
        <v>789</v>
      </c>
      <c r="J2696">
        <f t="shared" ca="1" si="170"/>
        <v>70000</v>
      </c>
      <c r="K2696">
        <f t="shared" ca="1" si="171"/>
        <v>70</v>
      </c>
      <c r="N2696" t="str">
        <f t="shared" si="168"/>
        <v>Waltham Forest27ReablementHome Care or Domiciliary CareDomiciliary care packages</v>
      </c>
      <c r="O2696" t="s">
        <v>335</v>
      </c>
      <c r="P2696" t="s">
        <v>790</v>
      </c>
      <c r="Q2696">
        <v>27</v>
      </c>
      <c r="R2696" t="s">
        <v>434</v>
      </c>
      <c r="S2696" t="s">
        <v>7254</v>
      </c>
      <c r="T2696" t="s">
        <v>842</v>
      </c>
      <c r="U2696" t="s">
        <v>843</v>
      </c>
      <c r="W2696">
        <v>50000</v>
      </c>
      <c r="X2696">
        <v>50000</v>
      </c>
      <c r="Y2696" t="s">
        <v>844</v>
      </c>
      <c r="Z2696" t="s">
        <v>823</v>
      </c>
      <c r="AB2696" t="s">
        <v>824</v>
      </c>
      <c r="AD2696" t="s">
        <v>794</v>
      </c>
      <c r="AE2696" t="s">
        <v>824</v>
      </c>
      <c r="AF2696" t="s">
        <v>796</v>
      </c>
      <c r="AG2696" t="s">
        <v>861</v>
      </c>
      <c r="AH2696">
        <v>0</v>
      </c>
      <c r="AI2696">
        <v>900000</v>
      </c>
      <c r="AJ2696">
        <v>0</v>
      </c>
    </row>
    <row r="2697" spans="1:36" x14ac:dyDescent="0.3">
      <c r="A2697">
        <f>COUNTIF($D$2:D2697,D2697)</f>
        <v>13</v>
      </c>
      <c r="B2697" t="str">
        <f t="shared" si="169"/>
        <v>13Wokingham</v>
      </c>
      <c r="C2697" t="s">
        <v>7255</v>
      </c>
      <c r="D2697" t="s">
        <v>361</v>
      </c>
      <c r="E2697">
        <v>39</v>
      </c>
      <c r="F2697" t="s">
        <v>7235</v>
      </c>
      <c r="G2697" t="s">
        <v>842</v>
      </c>
      <c r="H2697" t="s">
        <v>843</v>
      </c>
      <c r="I2697" t="s">
        <v>844</v>
      </c>
      <c r="J2697">
        <f t="shared" ca="1" si="170"/>
        <v>166630</v>
      </c>
      <c r="K2697">
        <f t="shared" ca="1" si="171"/>
        <v>7786</v>
      </c>
      <c r="N2697" t="str">
        <f t="shared" si="168"/>
        <v>Waltham Forest28EquipmentAssistive Technologies and EquipmentCommunity based equipment</v>
      </c>
      <c r="O2697" t="s">
        <v>335</v>
      </c>
      <c r="P2697" t="s">
        <v>790</v>
      </c>
      <c r="Q2697">
        <v>28</v>
      </c>
      <c r="R2697" t="s">
        <v>1034</v>
      </c>
      <c r="S2697" t="s">
        <v>7254</v>
      </c>
      <c r="T2697" t="s">
        <v>800</v>
      </c>
      <c r="U2697" t="s">
        <v>903</v>
      </c>
      <c r="W2697">
        <v>1500</v>
      </c>
      <c r="X2697">
        <v>1500</v>
      </c>
      <c r="Y2697" t="s">
        <v>802</v>
      </c>
      <c r="Z2697" t="s">
        <v>792</v>
      </c>
      <c r="AB2697" t="s">
        <v>793</v>
      </c>
      <c r="AD2697" t="s">
        <v>794</v>
      </c>
      <c r="AE2697" t="s">
        <v>795</v>
      </c>
      <c r="AF2697" t="s">
        <v>796</v>
      </c>
      <c r="AG2697" t="s">
        <v>861</v>
      </c>
      <c r="AH2697">
        <v>0</v>
      </c>
      <c r="AI2697">
        <v>387046</v>
      </c>
      <c r="AJ2697">
        <v>0.15</v>
      </c>
    </row>
    <row r="2698" spans="1:36" x14ac:dyDescent="0.3">
      <c r="A2698">
        <f>COUNTIF($D$2:D2698,D2698)</f>
        <v>14</v>
      </c>
      <c r="B2698" t="str">
        <f t="shared" si="169"/>
        <v>14Wokingham</v>
      </c>
      <c r="C2698" t="s">
        <v>7256</v>
      </c>
      <c r="D2698" t="s">
        <v>361</v>
      </c>
      <c r="E2698">
        <v>42</v>
      </c>
      <c r="F2698" t="s">
        <v>7257</v>
      </c>
      <c r="G2698" t="s">
        <v>787</v>
      </c>
      <c r="H2698" t="s">
        <v>788</v>
      </c>
      <c r="I2698" t="s">
        <v>789</v>
      </c>
      <c r="J2698">
        <f t="shared" ca="1" si="170"/>
        <v>868170</v>
      </c>
      <c r="K2698">
        <f t="shared" ca="1" si="171"/>
        <v>780</v>
      </c>
      <c r="N2698" t="str">
        <f t="shared" si="168"/>
        <v>Waltham Forest30DFGDFG Related SchemesAdaptations, including statutory DFG grants</v>
      </c>
      <c r="O2698" t="s">
        <v>335</v>
      </c>
      <c r="P2698" t="s">
        <v>790</v>
      </c>
      <c r="Q2698">
        <v>30</v>
      </c>
      <c r="R2698" t="s">
        <v>840</v>
      </c>
      <c r="S2698" t="s">
        <v>840</v>
      </c>
      <c r="T2698" t="s">
        <v>834</v>
      </c>
      <c r="U2698" t="s">
        <v>835</v>
      </c>
      <c r="W2698">
        <v>118</v>
      </c>
      <c r="X2698">
        <v>118</v>
      </c>
      <c r="Y2698" t="s">
        <v>836</v>
      </c>
      <c r="Z2698" t="s">
        <v>3118</v>
      </c>
      <c r="AB2698" t="s">
        <v>793</v>
      </c>
      <c r="AD2698" t="s">
        <v>794</v>
      </c>
      <c r="AE2698" t="s">
        <v>795</v>
      </c>
      <c r="AF2698" t="s">
        <v>840</v>
      </c>
      <c r="AG2698" t="s">
        <v>797</v>
      </c>
      <c r="AH2698">
        <v>2362308</v>
      </c>
      <c r="AI2698">
        <v>2362308</v>
      </c>
      <c r="AJ2698">
        <v>1</v>
      </c>
    </row>
    <row r="2699" spans="1:36" x14ac:dyDescent="0.3">
      <c r="A2699">
        <f>COUNTIF($D$2:D2699,D2699)</f>
        <v>15</v>
      </c>
      <c r="B2699" t="str">
        <f t="shared" si="169"/>
        <v>15Wokingham</v>
      </c>
      <c r="C2699" t="s">
        <v>7258</v>
      </c>
      <c r="D2699" t="s">
        <v>361</v>
      </c>
      <c r="E2699">
        <v>46</v>
      </c>
      <c r="F2699" t="s">
        <v>7259</v>
      </c>
      <c r="G2699" t="s">
        <v>806</v>
      </c>
      <c r="H2699" t="s">
        <v>807</v>
      </c>
      <c r="I2699" t="s">
        <v>808</v>
      </c>
      <c r="J2699">
        <f t="shared" ca="1" si="170"/>
        <v>265542</v>
      </c>
      <c r="K2699">
        <f t="shared" ca="1" si="171"/>
        <v>612</v>
      </c>
      <c r="N2699" t="str">
        <f t="shared" si="168"/>
        <v>Waltham Forest31Improved Better Care FundResidential PlacementsCare home</v>
      </c>
      <c r="O2699" t="s">
        <v>335</v>
      </c>
      <c r="P2699" t="s">
        <v>790</v>
      </c>
      <c r="Q2699">
        <v>31</v>
      </c>
      <c r="R2699" t="s">
        <v>1464</v>
      </c>
      <c r="S2699" t="s">
        <v>7260</v>
      </c>
      <c r="T2699" t="s">
        <v>806</v>
      </c>
      <c r="U2699" t="s">
        <v>807</v>
      </c>
      <c r="W2699">
        <v>36</v>
      </c>
      <c r="X2699">
        <v>36</v>
      </c>
      <c r="Y2699" t="s">
        <v>808</v>
      </c>
      <c r="Z2699" t="s">
        <v>792</v>
      </c>
      <c r="AB2699" t="s">
        <v>793</v>
      </c>
      <c r="AD2699" t="s">
        <v>794</v>
      </c>
      <c r="AE2699" t="s">
        <v>804</v>
      </c>
      <c r="AF2699" t="s">
        <v>845</v>
      </c>
      <c r="AG2699" t="s">
        <v>797</v>
      </c>
      <c r="AH2699">
        <v>1903900</v>
      </c>
      <c r="AI2699">
        <v>1903900</v>
      </c>
      <c r="AJ2699">
        <v>0.04</v>
      </c>
    </row>
    <row r="2700" spans="1:36" x14ac:dyDescent="0.3">
      <c r="A2700">
        <f>COUNTIF($D$2:D2700,D2700)</f>
        <v>16</v>
      </c>
      <c r="B2700" t="str">
        <f t="shared" si="169"/>
        <v>16Wokingham</v>
      </c>
      <c r="C2700" t="s">
        <v>7261</v>
      </c>
      <c r="D2700" t="s">
        <v>361</v>
      </c>
      <c r="E2700">
        <v>47</v>
      </c>
      <c r="F2700" t="s">
        <v>7262</v>
      </c>
      <c r="G2700" t="s">
        <v>787</v>
      </c>
      <c r="H2700" t="s">
        <v>930</v>
      </c>
      <c r="I2700" t="s">
        <v>789</v>
      </c>
      <c r="J2700">
        <f t="shared" ca="1" si="170"/>
        <v>71782</v>
      </c>
      <c r="K2700">
        <f t="shared" ca="1" si="171"/>
        <v>41</v>
      </c>
      <c r="N2700" t="str">
        <f t="shared" si="168"/>
        <v>Waltham Forest33Improved Better Care FundResidential PlacementsSupported housing</v>
      </c>
      <c r="O2700" t="s">
        <v>335</v>
      </c>
      <c r="P2700" t="s">
        <v>790</v>
      </c>
      <c r="Q2700">
        <v>33</v>
      </c>
      <c r="R2700" t="s">
        <v>1464</v>
      </c>
      <c r="S2700" t="s">
        <v>7260</v>
      </c>
      <c r="T2700" t="s">
        <v>806</v>
      </c>
      <c r="U2700" t="s">
        <v>873</v>
      </c>
      <c r="W2700">
        <v>8</v>
      </c>
      <c r="X2700">
        <v>8</v>
      </c>
      <c r="Y2700" t="s">
        <v>808</v>
      </c>
      <c r="Z2700" t="s">
        <v>792</v>
      </c>
      <c r="AB2700" t="s">
        <v>793</v>
      </c>
      <c r="AD2700" t="s">
        <v>794</v>
      </c>
      <c r="AE2700" t="s">
        <v>804</v>
      </c>
      <c r="AF2700" t="s">
        <v>845</v>
      </c>
      <c r="AG2700" t="s">
        <v>797</v>
      </c>
      <c r="AH2700">
        <v>440000</v>
      </c>
      <c r="AI2700">
        <v>440000</v>
      </c>
      <c r="AJ2700">
        <v>0.01</v>
      </c>
    </row>
    <row r="2701" spans="1:36" x14ac:dyDescent="0.3">
      <c r="A2701">
        <f>COUNTIF($D$2:D2701,D2701)</f>
        <v>17</v>
      </c>
      <c r="B2701" t="str">
        <f t="shared" si="169"/>
        <v>17Wokingham</v>
      </c>
      <c r="C2701" t="s">
        <v>7263</v>
      </c>
      <c r="D2701" t="s">
        <v>361</v>
      </c>
      <c r="E2701">
        <v>48</v>
      </c>
      <c r="F2701" t="s">
        <v>7264</v>
      </c>
      <c r="G2701" t="s">
        <v>877</v>
      </c>
      <c r="H2701" t="s">
        <v>1018</v>
      </c>
      <c r="I2701" t="s">
        <v>808</v>
      </c>
      <c r="J2701">
        <f t="shared" ca="1" si="170"/>
        <v>175818</v>
      </c>
      <c r="K2701">
        <f t="shared" ca="1" si="171"/>
        <v>50</v>
      </c>
      <c r="N2701" t="str">
        <f t="shared" si="168"/>
        <v>Waltham Forest34Improved Better Care FundResidential PlacementsLearning disability</v>
      </c>
      <c r="O2701" t="s">
        <v>335</v>
      </c>
      <c r="P2701" t="s">
        <v>790</v>
      </c>
      <c r="Q2701">
        <v>34</v>
      </c>
      <c r="R2701" t="s">
        <v>1464</v>
      </c>
      <c r="S2701" t="s">
        <v>7265</v>
      </c>
      <c r="T2701" t="s">
        <v>806</v>
      </c>
      <c r="U2701" t="s">
        <v>854</v>
      </c>
      <c r="W2701">
        <v>23</v>
      </c>
      <c r="X2701">
        <v>23</v>
      </c>
      <c r="Y2701" t="s">
        <v>808</v>
      </c>
      <c r="Z2701" t="s">
        <v>792</v>
      </c>
      <c r="AB2701" t="s">
        <v>793</v>
      </c>
      <c r="AD2701" t="s">
        <v>794</v>
      </c>
      <c r="AE2701" t="s">
        <v>804</v>
      </c>
      <c r="AF2701" t="s">
        <v>845</v>
      </c>
      <c r="AG2701" t="s">
        <v>797</v>
      </c>
      <c r="AH2701">
        <v>1772300</v>
      </c>
      <c r="AI2701">
        <v>1772300</v>
      </c>
      <c r="AJ2701">
        <v>0.03</v>
      </c>
    </row>
    <row r="2702" spans="1:36" x14ac:dyDescent="0.3">
      <c r="A2702">
        <f>COUNTIF($D$2:D2702,D2702)</f>
        <v>18</v>
      </c>
      <c r="B2702" t="str">
        <f t="shared" si="169"/>
        <v>18Wokingham</v>
      </c>
      <c r="C2702" t="s">
        <v>7266</v>
      </c>
      <c r="D2702" t="s">
        <v>361</v>
      </c>
      <c r="E2702">
        <v>49</v>
      </c>
      <c r="F2702" t="s">
        <v>7267</v>
      </c>
      <c r="G2702" t="s">
        <v>877</v>
      </c>
      <c r="H2702" t="s">
        <v>995</v>
      </c>
      <c r="I2702" t="s">
        <v>808</v>
      </c>
      <c r="J2702">
        <f t="shared" ca="1" si="170"/>
        <v>152742</v>
      </c>
      <c r="K2702">
        <f t="shared" ca="1" si="171"/>
        <v>156</v>
      </c>
      <c r="N2702" t="str">
        <f t="shared" si="168"/>
        <v>Waltham Forest38Improved Better Care FundResidential PlacementsCare home</v>
      </c>
      <c r="O2702" t="s">
        <v>335</v>
      </c>
      <c r="P2702" t="s">
        <v>790</v>
      </c>
      <c r="Q2702">
        <v>38</v>
      </c>
      <c r="R2702" t="s">
        <v>1464</v>
      </c>
      <c r="S2702" t="s">
        <v>7268</v>
      </c>
      <c r="T2702" t="s">
        <v>806</v>
      </c>
      <c r="U2702" t="s">
        <v>807</v>
      </c>
      <c r="W2702">
        <v>28</v>
      </c>
      <c r="X2702">
        <v>28</v>
      </c>
      <c r="Y2702" t="s">
        <v>808</v>
      </c>
      <c r="Z2702" t="s">
        <v>792</v>
      </c>
      <c r="AB2702" t="s">
        <v>793</v>
      </c>
      <c r="AD2702" t="s">
        <v>794</v>
      </c>
      <c r="AE2702" t="s">
        <v>804</v>
      </c>
      <c r="AF2702" t="s">
        <v>845</v>
      </c>
      <c r="AG2702" t="s">
        <v>797</v>
      </c>
      <c r="AH2702">
        <v>1450000</v>
      </c>
      <c r="AI2702">
        <v>1450000</v>
      </c>
      <c r="AJ2702">
        <v>0.03</v>
      </c>
    </row>
    <row r="2703" spans="1:36" x14ac:dyDescent="0.3">
      <c r="A2703">
        <f>COUNTIF($D$2:D2703,D2703)</f>
        <v>19</v>
      </c>
      <c r="B2703" t="str">
        <f t="shared" si="169"/>
        <v>19Wokingham</v>
      </c>
      <c r="C2703" t="s">
        <v>7269</v>
      </c>
      <c r="D2703" t="s">
        <v>361</v>
      </c>
      <c r="E2703">
        <v>50</v>
      </c>
      <c r="F2703" t="s">
        <v>7270</v>
      </c>
      <c r="G2703" t="s">
        <v>877</v>
      </c>
      <c r="H2703" t="s">
        <v>878</v>
      </c>
      <c r="I2703" t="s">
        <v>808</v>
      </c>
      <c r="J2703">
        <f t="shared" ca="1" si="170"/>
        <v>730744</v>
      </c>
      <c r="K2703">
        <f t="shared" ca="1" si="171"/>
        <v>108</v>
      </c>
      <c r="N2703" t="str">
        <f t="shared" si="168"/>
        <v>Waltham Forest39Improved Better Care FundAssistive Technologies and EquipmentCommunity based equipment</v>
      </c>
      <c r="O2703" t="s">
        <v>335</v>
      </c>
      <c r="P2703" t="s">
        <v>790</v>
      </c>
      <c r="Q2703">
        <v>39</v>
      </c>
      <c r="R2703" t="s">
        <v>1464</v>
      </c>
      <c r="S2703" t="s">
        <v>7271</v>
      </c>
      <c r="T2703" t="s">
        <v>800</v>
      </c>
      <c r="U2703" t="s">
        <v>903</v>
      </c>
      <c r="W2703">
        <v>250</v>
      </c>
      <c r="X2703">
        <v>250</v>
      </c>
      <c r="Y2703" t="s">
        <v>802</v>
      </c>
      <c r="Z2703" t="s">
        <v>792</v>
      </c>
      <c r="AB2703" t="s">
        <v>793</v>
      </c>
      <c r="AD2703" t="s">
        <v>794</v>
      </c>
      <c r="AE2703" t="s">
        <v>804</v>
      </c>
      <c r="AF2703" t="s">
        <v>845</v>
      </c>
      <c r="AG2703" t="s">
        <v>797</v>
      </c>
      <c r="AH2703">
        <v>408900</v>
      </c>
      <c r="AI2703">
        <v>408900</v>
      </c>
      <c r="AJ2703">
        <v>0.15</v>
      </c>
    </row>
    <row r="2704" spans="1:36" x14ac:dyDescent="0.3">
      <c r="A2704">
        <f>COUNTIF($D$2:D2704,D2704)</f>
        <v>20</v>
      </c>
      <c r="B2704" t="str">
        <f t="shared" si="169"/>
        <v>20Wokingham</v>
      </c>
      <c r="C2704" t="s">
        <v>7272</v>
      </c>
      <c r="D2704" t="s">
        <v>361</v>
      </c>
      <c r="E2704">
        <v>52</v>
      </c>
      <c r="F2704" t="s">
        <v>7273</v>
      </c>
      <c r="G2704" t="s">
        <v>877</v>
      </c>
      <c r="H2704" t="s">
        <v>995</v>
      </c>
      <c r="I2704" t="s">
        <v>808</v>
      </c>
      <c r="J2704" t="e">
        <f t="shared" si="170"/>
        <v>#VALUE!</v>
      </c>
      <c r="K2704" t="e">
        <f t="shared" si="171"/>
        <v>#VALUE!</v>
      </c>
      <c r="N2704" t="str">
        <f t="shared" si="168"/>
        <v>Waltham Forest40Improved Better Care FundHome Care or Domiciliary CareDomiciliary care packages</v>
      </c>
      <c r="O2704" t="s">
        <v>335</v>
      </c>
      <c r="P2704" t="s">
        <v>790</v>
      </c>
      <c r="Q2704">
        <v>40</v>
      </c>
      <c r="R2704" t="s">
        <v>1464</v>
      </c>
      <c r="S2704" t="s">
        <v>1196</v>
      </c>
      <c r="T2704" t="s">
        <v>842</v>
      </c>
      <c r="U2704" t="s">
        <v>843</v>
      </c>
      <c r="W2704">
        <v>93100</v>
      </c>
      <c r="X2704">
        <v>93100</v>
      </c>
      <c r="Y2704" t="s">
        <v>844</v>
      </c>
      <c r="Z2704" t="s">
        <v>792</v>
      </c>
      <c r="AB2704" t="s">
        <v>793</v>
      </c>
      <c r="AD2704" t="s">
        <v>794</v>
      </c>
      <c r="AE2704" t="s">
        <v>804</v>
      </c>
      <c r="AF2704" t="s">
        <v>845</v>
      </c>
      <c r="AG2704" t="s">
        <v>797</v>
      </c>
      <c r="AH2704">
        <v>1675887</v>
      </c>
      <c r="AI2704">
        <v>1675887</v>
      </c>
      <c r="AJ2704">
        <v>0.08</v>
      </c>
    </row>
    <row r="2705" spans="1:36" x14ac:dyDescent="0.3">
      <c r="A2705">
        <f>COUNTIF($D$2:D2705,D2705)</f>
        <v>21</v>
      </c>
      <c r="B2705" t="str">
        <f t="shared" si="169"/>
        <v>21Wokingham</v>
      </c>
      <c r="C2705" t="s">
        <v>7274</v>
      </c>
      <c r="D2705" t="s">
        <v>361</v>
      </c>
      <c r="E2705">
        <v>54</v>
      </c>
      <c r="F2705" t="s">
        <v>7275</v>
      </c>
      <c r="G2705" t="s">
        <v>811</v>
      </c>
      <c r="H2705" t="s">
        <v>812</v>
      </c>
      <c r="I2705" t="s">
        <v>813</v>
      </c>
      <c r="J2705">
        <f t="shared" ca="1" si="170"/>
        <v>88708</v>
      </c>
      <c r="K2705">
        <f t="shared" ca="1" si="171"/>
        <v>50</v>
      </c>
      <c r="N2705" t="str">
        <f t="shared" si="168"/>
        <v>Waltham Forest41Improved Better Care FundBed based intermediate Care Services (Reablement, rehabilitation, wider short-term services supporting recovery)Bed-based intermediate care with rehabilitation accepting step up and step down users</v>
      </c>
      <c r="O2705" t="s">
        <v>335</v>
      </c>
      <c r="P2705" t="s">
        <v>790</v>
      </c>
      <c r="Q2705">
        <v>41</v>
      </c>
      <c r="R2705" t="s">
        <v>1464</v>
      </c>
      <c r="S2705" t="s">
        <v>7276</v>
      </c>
      <c r="T2705" t="s">
        <v>877</v>
      </c>
      <c r="U2705" t="s">
        <v>1015</v>
      </c>
      <c r="W2705">
        <v>5</v>
      </c>
      <c r="X2705">
        <v>5</v>
      </c>
      <c r="Y2705" t="s">
        <v>879</v>
      </c>
      <c r="Z2705" t="s">
        <v>792</v>
      </c>
      <c r="AB2705" t="s">
        <v>793</v>
      </c>
      <c r="AD2705" t="s">
        <v>794</v>
      </c>
      <c r="AE2705" t="s">
        <v>795</v>
      </c>
      <c r="AF2705" t="s">
        <v>845</v>
      </c>
      <c r="AG2705" t="s">
        <v>797</v>
      </c>
      <c r="AH2705">
        <v>55000</v>
      </c>
      <c r="AI2705">
        <v>55000</v>
      </c>
      <c r="AJ2705">
        <v>0.1</v>
      </c>
    </row>
    <row r="2706" spans="1:36" x14ac:dyDescent="0.3">
      <c r="A2706">
        <f>COUNTIF($D$2:D2706,D2706)</f>
        <v>22</v>
      </c>
      <c r="B2706" t="str">
        <f t="shared" si="169"/>
        <v>22Wokingham</v>
      </c>
      <c r="C2706" t="s">
        <v>7277</v>
      </c>
      <c r="D2706" t="s">
        <v>361</v>
      </c>
      <c r="E2706">
        <v>57</v>
      </c>
      <c r="F2706" t="s">
        <v>7278</v>
      </c>
      <c r="G2706" t="s">
        <v>806</v>
      </c>
      <c r="H2706" t="s">
        <v>917</v>
      </c>
      <c r="I2706" t="s">
        <v>808</v>
      </c>
      <c r="J2706">
        <f t="shared" ca="1" si="170"/>
        <v>248735</v>
      </c>
      <c r="K2706">
        <f t="shared" ca="1" si="171"/>
        <v>5</v>
      </c>
      <c r="N2706" t="str">
        <f t="shared" si="168"/>
        <v>Waltham Forest44Improved Better Care FundResidential PlacementsSupported housing</v>
      </c>
      <c r="O2706" t="s">
        <v>335</v>
      </c>
      <c r="P2706" t="s">
        <v>790</v>
      </c>
      <c r="Q2706">
        <v>44</v>
      </c>
      <c r="R2706" t="s">
        <v>1464</v>
      </c>
      <c r="S2706" t="s">
        <v>7279</v>
      </c>
      <c r="T2706" t="s">
        <v>806</v>
      </c>
      <c r="U2706" t="s">
        <v>873</v>
      </c>
      <c r="W2706">
        <v>9</v>
      </c>
      <c r="X2706">
        <v>9</v>
      </c>
      <c r="Y2706" t="s">
        <v>808</v>
      </c>
      <c r="Z2706" t="s">
        <v>792</v>
      </c>
      <c r="AB2706" t="s">
        <v>793</v>
      </c>
      <c r="AD2706" t="s">
        <v>794</v>
      </c>
      <c r="AE2706" t="s">
        <v>795</v>
      </c>
      <c r="AF2706" t="s">
        <v>845</v>
      </c>
      <c r="AG2706" t="s">
        <v>797</v>
      </c>
      <c r="AH2706">
        <v>374400</v>
      </c>
      <c r="AI2706">
        <v>374400</v>
      </c>
      <c r="AJ2706">
        <v>0.01</v>
      </c>
    </row>
    <row r="2707" spans="1:36" x14ac:dyDescent="0.3">
      <c r="A2707">
        <f>COUNTIF($D$2:D2707,D2707)</f>
        <v>23</v>
      </c>
      <c r="B2707" t="str">
        <f t="shared" si="169"/>
        <v>23Wokingham</v>
      </c>
      <c r="C2707" t="s">
        <v>7280</v>
      </c>
      <c r="D2707" t="s">
        <v>361</v>
      </c>
      <c r="E2707">
        <v>58</v>
      </c>
      <c r="F2707" t="s">
        <v>7281</v>
      </c>
      <c r="G2707" t="s">
        <v>842</v>
      </c>
      <c r="H2707" t="s">
        <v>856</v>
      </c>
      <c r="I2707" t="s">
        <v>844</v>
      </c>
      <c r="J2707">
        <f t="shared" ca="1" si="170"/>
        <v>211880</v>
      </c>
      <c r="K2707">
        <f t="shared" ca="1" si="171"/>
        <v>200</v>
      </c>
      <c r="N2707" t="str">
        <f t="shared" si="168"/>
        <v>Waltham Forest45LA Discharge Fund - Support PackagesHome Care or Domiciliary CareDomiciliary care to support hospital discharge (Discharge to Assess pathway 1)</v>
      </c>
      <c r="O2707" t="s">
        <v>335</v>
      </c>
      <c r="P2707" t="s">
        <v>790</v>
      </c>
      <c r="Q2707">
        <v>45</v>
      </c>
      <c r="R2707" t="s">
        <v>6727</v>
      </c>
      <c r="S2707" t="s">
        <v>7282</v>
      </c>
      <c r="T2707" t="s">
        <v>842</v>
      </c>
      <c r="U2707" t="s">
        <v>856</v>
      </c>
      <c r="W2707">
        <v>73900</v>
      </c>
      <c r="X2707">
        <v>73900</v>
      </c>
      <c r="Y2707" t="s">
        <v>844</v>
      </c>
      <c r="Z2707" t="s">
        <v>792</v>
      </c>
      <c r="AB2707" t="s">
        <v>793</v>
      </c>
      <c r="AD2707" t="s">
        <v>794</v>
      </c>
      <c r="AE2707" t="s">
        <v>795</v>
      </c>
      <c r="AF2707" t="s">
        <v>864</v>
      </c>
      <c r="AG2707" t="s">
        <v>797</v>
      </c>
      <c r="AH2707">
        <v>1329977</v>
      </c>
      <c r="AI2707">
        <v>2207762</v>
      </c>
      <c r="AJ2707">
        <v>7.0000000000000007E-2</v>
      </c>
    </row>
    <row r="2708" spans="1:36" x14ac:dyDescent="0.3">
      <c r="A2708">
        <f>COUNTIF($D$2:D2708,D2708)</f>
        <v>24</v>
      </c>
      <c r="B2708" t="str">
        <f t="shared" si="169"/>
        <v>24Wokingham</v>
      </c>
      <c r="C2708" t="s">
        <v>7283</v>
      </c>
      <c r="D2708" t="s">
        <v>361</v>
      </c>
      <c r="E2708">
        <v>61</v>
      </c>
      <c r="F2708" t="s">
        <v>7284</v>
      </c>
      <c r="G2708" t="s">
        <v>800</v>
      </c>
      <c r="H2708" t="s">
        <v>903</v>
      </c>
      <c r="I2708" t="s">
        <v>802</v>
      </c>
      <c r="J2708">
        <f t="shared" ca="1" si="170"/>
        <v>35000</v>
      </c>
      <c r="K2708">
        <f t="shared" ca="1" si="171"/>
        <v>75</v>
      </c>
      <c r="N2708" t="str">
        <f t="shared" si="168"/>
        <v>Waltham Forest46ICB Discharge Fund - Support PackagesResidential PlacementsCare home</v>
      </c>
      <c r="O2708" t="s">
        <v>335</v>
      </c>
      <c r="P2708" t="s">
        <v>790</v>
      </c>
      <c r="Q2708">
        <v>46</v>
      </c>
      <c r="R2708" t="s">
        <v>6729</v>
      </c>
      <c r="S2708" t="s">
        <v>7282</v>
      </c>
      <c r="T2708" t="s">
        <v>806</v>
      </c>
      <c r="U2708" t="s">
        <v>807</v>
      </c>
      <c r="W2708">
        <v>13</v>
      </c>
      <c r="X2708">
        <v>13</v>
      </c>
      <c r="Y2708" t="s">
        <v>808</v>
      </c>
      <c r="Z2708" t="s">
        <v>792</v>
      </c>
      <c r="AB2708" t="s">
        <v>793</v>
      </c>
      <c r="AD2708" t="s">
        <v>794</v>
      </c>
      <c r="AE2708" t="s">
        <v>795</v>
      </c>
      <c r="AF2708" t="s">
        <v>860</v>
      </c>
      <c r="AG2708" t="s">
        <v>797</v>
      </c>
      <c r="AH2708">
        <v>822654</v>
      </c>
      <c r="AI2708">
        <v>2102642</v>
      </c>
      <c r="AJ2708">
        <v>0.02</v>
      </c>
    </row>
    <row r="2709" spans="1:36" x14ac:dyDescent="0.3">
      <c r="A2709">
        <f>COUNTIF($D$2:D2709,D2709)</f>
        <v>1</v>
      </c>
      <c r="B2709" t="str">
        <f t="shared" si="169"/>
        <v>1Wolverhampton</v>
      </c>
      <c r="C2709" t="s">
        <v>7285</v>
      </c>
      <c r="D2709" t="s">
        <v>363</v>
      </c>
      <c r="E2709">
        <v>23</v>
      </c>
      <c r="F2709" t="s">
        <v>1250</v>
      </c>
      <c r="G2709" t="s">
        <v>811</v>
      </c>
      <c r="H2709" t="s">
        <v>830</v>
      </c>
      <c r="I2709" t="s">
        <v>813</v>
      </c>
      <c r="J2709">
        <f t="shared" ca="1" si="170"/>
        <v>142520</v>
      </c>
      <c r="K2709">
        <f t="shared" ca="1" si="171"/>
        <v>89</v>
      </c>
      <c r="N2709" t="str">
        <f t="shared" si="168"/>
        <v>Waltham Forest47ICB Discharge Fund - Bridging ServiceHome Care or Domiciliary CareDomiciliary care to support hospital discharge (Discharge to Assess pathway 1)</v>
      </c>
      <c r="O2709" t="s">
        <v>335</v>
      </c>
      <c r="P2709" t="s">
        <v>790</v>
      </c>
      <c r="Q2709">
        <v>47</v>
      </c>
      <c r="R2709" t="s">
        <v>6732</v>
      </c>
      <c r="S2709" t="s">
        <v>7282</v>
      </c>
      <c r="T2709" t="s">
        <v>842</v>
      </c>
      <c r="U2709" t="s">
        <v>856</v>
      </c>
      <c r="W2709">
        <v>21400</v>
      </c>
      <c r="X2709">
        <v>21400</v>
      </c>
      <c r="Y2709" t="s">
        <v>844</v>
      </c>
      <c r="Z2709" t="s">
        <v>823</v>
      </c>
      <c r="AB2709" t="s">
        <v>824</v>
      </c>
      <c r="AD2709" t="s">
        <v>794</v>
      </c>
      <c r="AE2709" t="s">
        <v>824</v>
      </c>
      <c r="AF2709" t="s">
        <v>860</v>
      </c>
      <c r="AG2709" t="s">
        <v>797</v>
      </c>
      <c r="AH2709">
        <v>382346</v>
      </c>
      <c r="AI2709">
        <v>382346</v>
      </c>
      <c r="AJ2709">
        <v>0</v>
      </c>
    </row>
    <row r="2710" spans="1:36" x14ac:dyDescent="0.3">
      <c r="A2710">
        <f>COUNTIF($D$2:D2710,D2710)</f>
        <v>2</v>
      </c>
      <c r="B2710" t="str">
        <f t="shared" si="169"/>
        <v>2Wolverhampton</v>
      </c>
      <c r="C2710" t="s">
        <v>7286</v>
      </c>
      <c r="D2710" t="s">
        <v>363</v>
      </c>
      <c r="E2710">
        <v>24</v>
      </c>
      <c r="F2710" t="s">
        <v>2726</v>
      </c>
      <c r="G2710" t="s">
        <v>811</v>
      </c>
      <c r="H2710" t="s">
        <v>895</v>
      </c>
      <c r="I2710" t="s">
        <v>813</v>
      </c>
      <c r="J2710">
        <f t="shared" ca="1" si="170"/>
        <v>713000</v>
      </c>
      <c r="K2710">
        <f t="shared" ca="1" si="171"/>
        <v>2700</v>
      </c>
      <c r="N2710" t="str">
        <f t="shared" si="168"/>
        <v>Wandsworth21TelehealthAssistive Technologies and EquipmentAssistive technologies including telecare</v>
      </c>
      <c r="O2710" t="s">
        <v>337</v>
      </c>
      <c r="P2710" t="s">
        <v>790</v>
      </c>
      <c r="Q2710">
        <v>21</v>
      </c>
      <c r="R2710" t="s">
        <v>6735</v>
      </c>
      <c r="S2710" t="s">
        <v>7287</v>
      </c>
      <c r="T2710" t="s">
        <v>800</v>
      </c>
      <c r="U2710" t="s">
        <v>850</v>
      </c>
      <c r="W2710">
        <v>609</v>
      </c>
      <c r="X2710">
        <v>615</v>
      </c>
      <c r="Y2710" t="s">
        <v>802</v>
      </c>
      <c r="Z2710" t="s">
        <v>792</v>
      </c>
      <c r="AB2710" t="s">
        <v>824</v>
      </c>
      <c r="AD2710" t="s">
        <v>794</v>
      </c>
      <c r="AE2710" t="s">
        <v>804</v>
      </c>
      <c r="AF2710" t="s">
        <v>796</v>
      </c>
      <c r="AG2710" t="s">
        <v>797</v>
      </c>
      <c r="AH2710">
        <v>52830</v>
      </c>
      <c r="AI2710">
        <v>55820.18</v>
      </c>
      <c r="AJ2710">
        <v>0.53</v>
      </c>
    </row>
    <row r="2711" spans="1:36" x14ac:dyDescent="0.3">
      <c r="A2711">
        <f>COUNTIF($D$2:D2711,D2711)</f>
        <v>3</v>
      </c>
      <c r="B2711" t="str">
        <f t="shared" si="169"/>
        <v>3Wolverhampton</v>
      </c>
      <c r="C2711" t="s">
        <v>7288</v>
      </c>
      <c r="D2711" t="s">
        <v>363</v>
      </c>
      <c r="E2711">
        <v>25</v>
      </c>
      <c r="F2711" t="s">
        <v>7289</v>
      </c>
      <c r="G2711" t="s">
        <v>811</v>
      </c>
      <c r="H2711" t="s">
        <v>895</v>
      </c>
      <c r="I2711" t="s">
        <v>813</v>
      </c>
      <c r="J2711">
        <f t="shared" ca="1" si="170"/>
        <v>628000</v>
      </c>
      <c r="K2711">
        <f t="shared" ca="1" si="171"/>
        <v>250</v>
      </c>
      <c r="N2711" t="str">
        <f t="shared" si="168"/>
        <v>Wandsworth22KITE serviceHome-based intermediate care servicesReablement at home (to prevent admission to hospital or residential care)</v>
      </c>
      <c r="O2711" t="s">
        <v>337</v>
      </c>
      <c r="P2711" t="s">
        <v>790</v>
      </c>
      <c r="Q2711">
        <v>22</v>
      </c>
      <c r="R2711" t="s">
        <v>6737</v>
      </c>
      <c r="S2711" t="s">
        <v>7290</v>
      </c>
      <c r="T2711" t="s">
        <v>787</v>
      </c>
      <c r="U2711" t="s">
        <v>886</v>
      </c>
      <c r="W2711">
        <v>236</v>
      </c>
      <c r="X2711">
        <v>236</v>
      </c>
      <c r="Y2711" t="s">
        <v>789</v>
      </c>
      <c r="Z2711" t="s">
        <v>792</v>
      </c>
      <c r="AB2711" t="s">
        <v>793</v>
      </c>
      <c r="AD2711" t="s">
        <v>794</v>
      </c>
      <c r="AE2711" t="s">
        <v>795</v>
      </c>
      <c r="AF2711" t="s">
        <v>845</v>
      </c>
      <c r="AG2711" t="s">
        <v>797</v>
      </c>
      <c r="AH2711">
        <v>226820</v>
      </c>
      <c r="AI2711">
        <v>226820</v>
      </c>
      <c r="AJ2711">
        <v>0.15</v>
      </c>
    </row>
    <row r="2712" spans="1:36" x14ac:dyDescent="0.3">
      <c r="A2712">
        <f>COUNTIF($D$2:D2712,D2712)</f>
        <v>4</v>
      </c>
      <c r="B2712" t="str">
        <f t="shared" si="169"/>
        <v>4Wolverhampton</v>
      </c>
      <c r="C2712" t="s">
        <v>7291</v>
      </c>
      <c r="D2712" t="s">
        <v>363</v>
      </c>
      <c r="E2712">
        <v>26</v>
      </c>
      <c r="F2712" t="s">
        <v>7292</v>
      </c>
      <c r="G2712" t="s">
        <v>811</v>
      </c>
      <c r="H2712" t="s">
        <v>812</v>
      </c>
      <c r="I2712" t="s">
        <v>813</v>
      </c>
      <c r="J2712">
        <f t="shared" ca="1" si="170"/>
        <v>73000</v>
      </c>
      <c r="K2712">
        <f t="shared" ca="1" si="171"/>
        <v>250</v>
      </c>
      <c r="N2712" t="str">
        <f t="shared" si="168"/>
        <v>Wandsworth22KITE serviceHome-based intermediate care servicesReablement at home (to prevent admission to hospital or residential care)</v>
      </c>
      <c r="O2712" t="s">
        <v>337</v>
      </c>
      <c r="P2712" t="s">
        <v>790</v>
      </c>
      <c r="Q2712">
        <v>22</v>
      </c>
      <c r="R2712" t="s">
        <v>6737</v>
      </c>
      <c r="S2712" t="s">
        <v>7290</v>
      </c>
      <c r="T2712" t="s">
        <v>787</v>
      </c>
      <c r="U2712" t="s">
        <v>886</v>
      </c>
      <c r="W2712">
        <v>642</v>
      </c>
      <c r="X2712">
        <v>642</v>
      </c>
      <c r="Y2712" t="s">
        <v>789</v>
      </c>
      <c r="Z2712" t="s">
        <v>792</v>
      </c>
      <c r="AB2712" t="s">
        <v>793</v>
      </c>
      <c r="AD2712" t="s">
        <v>794</v>
      </c>
      <c r="AE2712" t="s">
        <v>795</v>
      </c>
      <c r="AF2712" t="s">
        <v>796</v>
      </c>
      <c r="AG2712" t="s">
        <v>797</v>
      </c>
      <c r="AH2712">
        <v>616901.16</v>
      </c>
      <c r="AI2712">
        <v>651817.77</v>
      </c>
      <c r="AJ2712">
        <v>0.38</v>
      </c>
    </row>
    <row r="2713" spans="1:36" x14ac:dyDescent="0.3">
      <c r="A2713">
        <f>COUNTIF($D$2:D2713,D2713)</f>
        <v>5</v>
      </c>
      <c r="B2713" t="str">
        <f t="shared" si="169"/>
        <v>5Wolverhampton</v>
      </c>
      <c r="C2713" t="s">
        <v>7293</v>
      </c>
      <c r="D2713" t="s">
        <v>363</v>
      </c>
      <c r="E2713">
        <v>30</v>
      </c>
      <c r="F2713" t="s">
        <v>3699</v>
      </c>
      <c r="G2713" t="s">
        <v>787</v>
      </c>
      <c r="H2713" t="s">
        <v>930</v>
      </c>
      <c r="I2713" t="s">
        <v>789</v>
      </c>
      <c r="J2713">
        <f t="shared" ca="1" si="170"/>
        <v>1317040</v>
      </c>
      <c r="K2713">
        <f t="shared" ca="1" si="171"/>
        <v>400</v>
      </c>
      <c r="N2713" t="str">
        <f t="shared" si="168"/>
        <v>Wandsworth23ReablementHome-based intermediate care servicesRehabilitation at home (to prevent admission to hospital or residential care)</v>
      </c>
      <c r="O2713" t="s">
        <v>337</v>
      </c>
      <c r="P2713" t="s">
        <v>790</v>
      </c>
      <c r="Q2713">
        <v>23</v>
      </c>
      <c r="R2713" t="s">
        <v>434</v>
      </c>
      <c r="S2713" t="s">
        <v>7294</v>
      </c>
      <c r="T2713" t="s">
        <v>787</v>
      </c>
      <c r="U2713" t="s">
        <v>1011</v>
      </c>
      <c r="W2713">
        <v>2345</v>
      </c>
      <c r="X2713">
        <v>2477</v>
      </c>
      <c r="Y2713" t="s">
        <v>789</v>
      </c>
      <c r="Z2713" t="s">
        <v>823</v>
      </c>
      <c r="AB2713" t="s">
        <v>824</v>
      </c>
      <c r="AD2713" t="s">
        <v>794</v>
      </c>
      <c r="AE2713" t="s">
        <v>804</v>
      </c>
      <c r="AF2713" t="s">
        <v>796</v>
      </c>
      <c r="AG2713" t="s">
        <v>797</v>
      </c>
      <c r="AH2713">
        <v>3886494</v>
      </c>
      <c r="AI2713">
        <v>4106469.56</v>
      </c>
      <c r="AJ2713">
        <v>0.31</v>
      </c>
    </row>
    <row r="2714" spans="1:36" x14ac:dyDescent="0.3">
      <c r="A2714">
        <f>COUNTIF($D$2:D2714,D2714)</f>
        <v>6</v>
      </c>
      <c r="B2714" t="str">
        <f t="shared" si="169"/>
        <v>6Wolverhampton</v>
      </c>
      <c r="C2714" t="s">
        <v>7295</v>
      </c>
      <c r="D2714" t="s">
        <v>363</v>
      </c>
      <c r="E2714">
        <v>32</v>
      </c>
      <c r="F2714" t="s">
        <v>840</v>
      </c>
      <c r="G2714" t="s">
        <v>834</v>
      </c>
      <c r="H2714" t="s">
        <v>835</v>
      </c>
      <c r="I2714" t="s">
        <v>836</v>
      </c>
      <c r="J2714">
        <f t="shared" ca="1" si="170"/>
        <v>3571301</v>
      </c>
      <c r="K2714">
        <f t="shared" ca="1" si="171"/>
        <v>390</v>
      </c>
      <c r="N2714" t="str">
        <f t="shared" si="168"/>
        <v>Wandsworth23Community EquipmentAssistive Technologies and EquipmentCommunity based equipment</v>
      </c>
      <c r="O2714" t="s">
        <v>337</v>
      </c>
      <c r="P2714" t="s">
        <v>790</v>
      </c>
      <c r="Q2714">
        <v>23</v>
      </c>
      <c r="R2714" t="s">
        <v>1051</v>
      </c>
      <c r="S2714" t="s">
        <v>7296</v>
      </c>
      <c r="T2714" t="s">
        <v>800</v>
      </c>
      <c r="U2714" t="s">
        <v>903</v>
      </c>
      <c r="W2714">
        <v>780</v>
      </c>
      <c r="X2714">
        <v>1295</v>
      </c>
      <c r="Y2714" t="s">
        <v>802</v>
      </c>
      <c r="Z2714" t="s">
        <v>823</v>
      </c>
      <c r="AB2714" t="s">
        <v>824</v>
      </c>
      <c r="AD2714" t="s">
        <v>794</v>
      </c>
      <c r="AE2714" t="s">
        <v>804</v>
      </c>
      <c r="AF2714" t="s">
        <v>796</v>
      </c>
      <c r="AG2714" t="s">
        <v>861</v>
      </c>
      <c r="AH2714">
        <v>1431345</v>
      </c>
      <c r="AI2714">
        <v>1512359.13</v>
      </c>
      <c r="AJ2714">
        <v>0.7</v>
      </c>
    </row>
    <row r="2715" spans="1:36" x14ac:dyDescent="0.3">
      <c r="A2715">
        <f>COUNTIF($D$2:D2715,D2715)</f>
        <v>7</v>
      </c>
      <c r="B2715" t="str">
        <f t="shared" si="169"/>
        <v>7Wolverhampton</v>
      </c>
      <c r="C2715" t="s">
        <v>7297</v>
      </c>
      <c r="D2715" t="s">
        <v>363</v>
      </c>
      <c r="E2715">
        <v>33</v>
      </c>
      <c r="F2715" t="s">
        <v>7298</v>
      </c>
      <c r="G2715" t="s">
        <v>800</v>
      </c>
      <c r="H2715" t="s">
        <v>903</v>
      </c>
      <c r="I2715" t="s">
        <v>802</v>
      </c>
      <c r="J2715">
        <f t="shared" ca="1" si="170"/>
        <v>320141</v>
      </c>
      <c r="K2715">
        <f t="shared" ca="1" si="171"/>
        <v>2830</v>
      </c>
      <c r="N2715" t="str">
        <f t="shared" si="168"/>
        <v>Wandsworth25Increased staffing capacity in enablement servicesHome-based intermediate care servicesReablement at home (accepting step up and step down users)</v>
      </c>
      <c r="O2715" t="s">
        <v>337</v>
      </c>
      <c r="P2715" t="s">
        <v>790</v>
      </c>
      <c r="Q2715">
        <v>25</v>
      </c>
      <c r="R2715" t="s">
        <v>6743</v>
      </c>
      <c r="S2715" t="s">
        <v>7299</v>
      </c>
      <c r="T2715" t="s">
        <v>787</v>
      </c>
      <c r="U2715" t="s">
        <v>930</v>
      </c>
      <c r="W2715">
        <v>322</v>
      </c>
      <c r="X2715">
        <v>322</v>
      </c>
      <c r="Y2715" t="s">
        <v>789</v>
      </c>
      <c r="Z2715" t="s">
        <v>792</v>
      </c>
      <c r="AB2715" t="s">
        <v>793</v>
      </c>
      <c r="AD2715" t="s">
        <v>794</v>
      </c>
      <c r="AE2715" t="s">
        <v>795</v>
      </c>
      <c r="AF2715" t="s">
        <v>845</v>
      </c>
      <c r="AG2715" t="s">
        <v>797</v>
      </c>
      <c r="AH2715">
        <v>309090</v>
      </c>
      <c r="AI2715">
        <v>309090</v>
      </c>
      <c r="AJ2715">
        <v>0.14000000000000001</v>
      </c>
    </row>
    <row r="2716" spans="1:36" x14ac:dyDescent="0.3">
      <c r="A2716">
        <f>COUNTIF($D$2:D2716,D2716)</f>
        <v>8</v>
      </c>
      <c r="B2716" t="str">
        <f t="shared" si="169"/>
        <v>8Wolverhampton</v>
      </c>
      <c r="C2716" t="s">
        <v>7300</v>
      </c>
      <c r="D2716" t="s">
        <v>363</v>
      </c>
      <c r="E2716">
        <v>34</v>
      </c>
      <c r="F2716" t="s">
        <v>7301</v>
      </c>
      <c r="G2716" t="s">
        <v>800</v>
      </c>
      <c r="H2716" t="s">
        <v>903</v>
      </c>
      <c r="I2716" t="s">
        <v>802</v>
      </c>
      <c r="J2716">
        <f t="shared" ca="1" si="170"/>
        <v>415202</v>
      </c>
      <c r="K2716">
        <f t="shared" ca="1" si="171"/>
        <v>3670</v>
      </c>
      <c r="N2716" t="str">
        <f t="shared" si="168"/>
        <v>Wandsworth31Occupational therapy equipmentDFG Related SchemesAdaptations, including statutory DFG grants</v>
      </c>
      <c r="O2716" t="s">
        <v>337</v>
      </c>
      <c r="P2716" t="s">
        <v>790</v>
      </c>
      <c r="Q2716">
        <v>31</v>
      </c>
      <c r="R2716" t="s">
        <v>6746</v>
      </c>
      <c r="S2716" t="s">
        <v>3417</v>
      </c>
      <c r="T2716" t="s">
        <v>834</v>
      </c>
      <c r="U2716" t="s">
        <v>835</v>
      </c>
      <c r="W2716">
        <v>145</v>
      </c>
      <c r="X2716">
        <v>153</v>
      </c>
      <c r="Y2716" t="s">
        <v>836</v>
      </c>
      <c r="Z2716" t="s">
        <v>792</v>
      </c>
      <c r="AB2716" t="s">
        <v>793</v>
      </c>
      <c r="AD2716" t="s">
        <v>794</v>
      </c>
      <c r="AE2716" t="s">
        <v>795</v>
      </c>
      <c r="AF2716" t="s">
        <v>796</v>
      </c>
      <c r="AG2716" t="s">
        <v>797</v>
      </c>
      <c r="AH2716">
        <v>86365.04</v>
      </c>
      <c r="AI2716">
        <v>91253.3</v>
      </c>
      <c r="AJ2716">
        <v>0.12</v>
      </c>
    </row>
    <row r="2717" spans="1:36" x14ac:dyDescent="0.3">
      <c r="A2717">
        <f>COUNTIF($D$2:D2717,D2717)</f>
        <v>9</v>
      </c>
      <c r="B2717" t="str">
        <f t="shared" si="169"/>
        <v>9Wolverhampton</v>
      </c>
      <c r="C2717" t="s">
        <v>7302</v>
      </c>
      <c r="D2717" t="s">
        <v>363</v>
      </c>
      <c r="E2717">
        <v>36</v>
      </c>
      <c r="F2717" t="s">
        <v>7303</v>
      </c>
      <c r="G2717" t="s">
        <v>800</v>
      </c>
      <c r="H2717" t="s">
        <v>850</v>
      </c>
      <c r="I2717" t="s">
        <v>802</v>
      </c>
      <c r="J2717">
        <f t="shared" ca="1" si="170"/>
        <v>598850</v>
      </c>
      <c r="K2717">
        <f t="shared" ca="1" si="171"/>
        <v>900</v>
      </c>
      <c r="N2717" t="str">
        <f t="shared" si="168"/>
        <v>Wandsworth31Additional Community Equipment provisionAssistive Technologies and EquipmentCommunity based equipment</v>
      </c>
      <c r="O2717" t="s">
        <v>337</v>
      </c>
      <c r="P2717" t="s">
        <v>790</v>
      </c>
      <c r="Q2717">
        <v>31</v>
      </c>
      <c r="R2717" t="s">
        <v>6749</v>
      </c>
      <c r="S2717" t="s">
        <v>7304</v>
      </c>
      <c r="T2717" t="s">
        <v>800</v>
      </c>
      <c r="U2717" t="s">
        <v>903</v>
      </c>
      <c r="W2717">
        <v>485</v>
      </c>
      <c r="X2717">
        <v>805</v>
      </c>
      <c r="Y2717" t="s">
        <v>802</v>
      </c>
      <c r="Z2717" t="s">
        <v>792</v>
      </c>
      <c r="AB2717" t="s">
        <v>824</v>
      </c>
      <c r="AD2717" t="s">
        <v>794</v>
      </c>
      <c r="AE2717" t="s">
        <v>804</v>
      </c>
      <c r="AF2717" t="s">
        <v>860</v>
      </c>
      <c r="AG2717" t="s">
        <v>861</v>
      </c>
      <c r="AH2717">
        <v>593000</v>
      </c>
      <c r="AI2717">
        <v>984380</v>
      </c>
      <c r="AJ2717">
        <v>0.24</v>
      </c>
    </row>
    <row r="2718" spans="1:36" x14ac:dyDescent="0.3">
      <c r="A2718">
        <f>COUNTIF($D$2:D2718,D2718)</f>
        <v>10</v>
      </c>
      <c r="B2718" t="str">
        <f t="shared" si="169"/>
        <v>10Wolverhampton</v>
      </c>
      <c r="C2718" t="s">
        <v>7305</v>
      </c>
      <c r="D2718" t="s">
        <v>363</v>
      </c>
      <c r="E2718">
        <v>39</v>
      </c>
      <c r="F2718" t="s">
        <v>1075</v>
      </c>
      <c r="G2718" t="s">
        <v>877</v>
      </c>
      <c r="H2718" t="s">
        <v>878</v>
      </c>
      <c r="I2718" t="s">
        <v>879</v>
      </c>
      <c r="J2718">
        <f t="shared" ca="1" si="170"/>
        <v>1000000</v>
      </c>
      <c r="K2718">
        <f t="shared" ca="1" si="171"/>
        <v>100</v>
      </c>
      <c r="N2718" t="str">
        <f t="shared" si="168"/>
        <v xml:space="preserve">Wandsworth32Hospital discharge and reablementHome-based intermediate care servicesReablement at home (to support discharge) </v>
      </c>
      <c r="O2718" t="s">
        <v>337</v>
      </c>
      <c r="P2718" t="s">
        <v>790</v>
      </c>
      <c r="Q2718">
        <v>32</v>
      </c>
      <c r="R2718" t="s">
        <v>6752</v>
      </c>
      <c r="S2718" t="s">
        <v>7306</v>
      </c>
      <c r="T2718" t="s">
        <v>787</v>
      </c>
      <c r="U2718" t="s">
        <v>788</v>
      </c>
      <c r="W2718">
        <v>227</v>
      </c>
      <c r="X2718">
        <v>227</v>
      </c>
      <c r="Y2718" t="s">
        <v>789</v>
      </c>
      <c r="Z2718" t="s">
        <v>792</v>
      </c>
      <c r="AB2718" t="s">
        <v>793</v>
      </c>
      <c r="AD2718" t="s">
        <v>794</v>
      </c>
      <c r="AE2718" t="s">
        <v>795</v>
      </c>
      <c r="AF2718" t="s">
        <v>845</v>
      </c>
      <c r="AG2718" t="s">
        <v>797</v>
      </c>
      <c r="AH2718">
        <v>217390</v>
      </c>
      <c r="AI2718">
        <v>217390</v>
      </c>
      <c r="AJ2718">
        <v>0.1</v>
      </c>
    </row>
    <row r="2719" spans="1:36" x14ac:dyDescent="0.3">
      <c r="A2719">
        <f>COUNTIF($D$2:D2719,D2719)</f>
        <v>11</v>
      </c>
      <c r="B2719" t="str">
        <f t="shared" si="169"/>
        <v>11Wolverhampton</v>
      </c>
      <c r="C2719" t="s">
        <v>7307</v>
      </c>
      <c r="D2719" t="s">
        <v>363</v>
      </c>
      <c r="E2719">
        <v>40</v>
      </c>
      <c r="F2719" t="s">
        <v>7308</v>
      </c>
      <c r="G2719" t="s">
        <v>877</v>
      </c>
      <c r="H2719" t="s">
        <v>878</v>
      </c>
      <c r="I2719" t="s">
        <v>879</v>
      </c>
      <c r="J2719">
        <f t="shared" ca="1" si="170"/>
        <v>1068900</v>
      </c>
      <c r="K2719">
        <f t="shared" ca="1" si="171"/>
        <v>100</v>
      </c>
      <c r="N2719" t="str">
        <f t="shared" si="168"/>
        <v>Wandsworth34South West London Step Down capacityResidential PlacementsShort term residential care (without rehabilitation or reablement input)</v>
      </c>
      <c r="O2719" t="s">
        <v>337</v>
      </c>
      <c r="P2719" t="s">
        <v>790</v>
      </c>
      <c r="Q2719">
        <v>34</v>
      </c>
      <c r="R2719" t="s">
        <v>6755</v>
      </c>
      <c r="S2719" t="s">
        <v>7309</v>
      </c>
      <c r="T2719" t="s">
        <v>806</v>
      </c>
      <c r="U2719" t="s">
        <v>955</v>
      </c>
      <c r="W2719">
        <v>88</v>
      </c>
      <c r="X2719">
        <v>146</v>
      </c>
      <c r="Y2719" t="s">
        <v>808</v>
      </c>
      <c r="Z2719" t="s">
        <v>823</v>
      </c>
      <c r="AB2719" t="s">
        <v>824</v>
      </c>
      <c r="AD2719" t="s">
        <v>794</v>
      </c>
      <c r="AE2719" t="s">
        <v>804</v>
      </c>
      <c r="AF2719" t="s">
        <v>860</v>
      </c>
      <c r="AG2719" t="s">
        <v>861</v>
      </c>
      <c r="AH2719">
        <v>854021</v>
      </c>
      <c r="AI2719">
        <v>1733148</v>
      </c>
      <c r="AJ2719">
        <v>0.02</v>
      </c>
    </row>
    <row r="2720" spans="1:36" x14ac:dyDescent="0.3">
      <c r="A2720">
        <f>COUNTIF($D$2:D2720,D2720)</f>
        <v>12</v>
      </c>
      <c r="B2720" t="str">
        <f t="shared" si="169"/>
        <v>12Wolverhampton</v>
      </c>
      <c r="C2720" t="s">
        <v>7310</v>
      </c>
      <c r="D2720" t="s">
        <v>363</v>
      </c>
      <c r="E2720">
        <v>41</v>
      </c>
      <c r="F2720" t="s">
        <v>7311</v>
      </c>
      <c r="G2720" t="s">
        <v>877</v>
      </c>
      <c r="H2720" t="s">
        <v>878</v>
      </c>
      <c r="I2720" t="s">
        <v>879</v>
      </c>
      <c r="J2720">
        <f t="shared" ca="1" si="170"/>
        <v>1615000</v>
      </c>
      <c r="K2720">
        <f t="shared" ca="1" si="171"/>
        <v>244</v>
      </c>
      <c r="N2720" t="str">
        <f t="shared" si="168"/>
        <v>Wandsworth35Additional Home Care CapacityHome Care or Domiciliary CareDomiciliary care to support hospital discharge (Discharge to Assess pathway 1)</v>
      </c>
      <c r="O2720" t="s">
        <v>337</v>
      </c>
      <c r="P2720" t="s">
        <v>790</v>
      </c>
      <c r="Q2720">
        <v>35</v>
      </c>
      <c r="R2720" t="s">
        <v>6758</v>
      </c>
      <c r="S2720" t="s">
        <v>7312</v>
      </c>
      <c r="T2720" t="s">
        <v>842</v>
      </c>
      <c r="U2720" t="s">
        <v>856</v>
      </c>
      <c r="W2720">
        <v>48021</v>
      </c>
      <c r="X2720">
        <v>79715</v>
      </c>
      <c r="Y2720" t="s">
        <v>844</v>
      </c>
      <c r="Z2720" t="s">
        <v>792</v>
      </c>
      <c r="AB2720" t="s">
        <v>793</v>
      </c>
      <c r="AD2720" t="s">
        <v>794</v>
      </c>
      <c r="AE2720" t="s">
        <v>795</v>
      </c>
      <c r="AF2720" t="s">
        <v>864</v>
      </c>
      <c r="AG2720" t="s">
        <v>861</v>
      </c>
      <c r="AH2720">
        <v>838890</v>
      </c>
      <c r="AI2720">
        <v>1392557.4</v>
      </c>
      <c r="AJ2720">
        <v>0.08</v>
      </c>
    </row>
    <row r="2721" spans="1:36" x14ac:dyDescent="0.3">
      <c r="A2721">
        <f>COUNTIF($D$2:D2721,D2721)</f>
        <v>13</v>
      </c>
      <c r="B2721" t="str">
        <f t="shared" si="169"/>
        <v>13Wolverhampton</v>
      </c>
      <c r="C2721" t="s">
        <v>7313</v>
      </c>
      <c r="D2721" t="s">
        <v>363</v>
      </c>
      <c r="E2721">
        <v>42</v>
      </c>
      <c r="F2721" t="s">
        <v>7314</v>
      </c>
      <c r="G2721" t="s">
        <v>806</v>
      </c>
      <c r="H2721" t="s">
        <v>807</v>
      </c>
      <c r="I2721" t="s">
        <v>808</v>
      </c>
      <c r="J2721">
        <f t="shared" ca="1" si="170"/>
        <v>8680000</v>
      </c>
      <c r="K2721">
        <f t="shared" ca="1" si="171"/>
        <v>222</v>
      </c>
      <c r="N2721" t="str">
        <f t="shared" si="168"/>
        <v>Wandsworth36Quickstart Bridging at the front doorHome Care or Domiciliary CareDomiciliary care to support hospital discharge (Discharge to Assess pathway 1)</v>
      </c>
      <c r="O2721" t="s">
        <v>337</v>
      </c>
      <c r="P2721" t="s">
        <v>790</v>
      </c>
      <c r="Q2721">
        <v>36</v>
      </c>
      <c r="R2721" t="s">
        <v>6760</v>
      </c>
      <c r="S2721" t="s">
        <v>7312</v>
      </c>
      <c r="T2721" t="s">
        <v>842</v>
      </c>
      <c r="U2721" t="s">
        <v>856</v>
      </c>
      <c r="W2721">
        <v>8750</v>
      </c>
      <c r="X2721">
        <v>14525</v>
      </c>
      <c r="Y2721" t="s">
        <v>844</v>
      </c>
      <c r="Z2721" t="s">
        <v>823</v>
      </c>
      <c r="AB2721" t="s">
        <v>824</v>
      </c>
      <c r="AD2721" t="s">
        <v>794</v>
      </c>
      <c r="AE2721" t="s">
        <v>832</v>
      </c>
      <c r="AF2721" t="s">
        <v>860</v>
      </c>
      <c r="AG2721" t="s">
        <v>861</v>
      </c>
      <c r="AH2721">
        <v>199000</v>
      </c>
      <c r="AI2721">
        <v>330340</v>
      </c>
      <c r="AJ2721">
        <v>0.03</v>
      </c>
    </row>
    <row r="2722" spans="1:36" x14ac:dyDescent="0.3">
      <c r="A2722">
        <f>COUNTIF($D$2:D2722,D2722)</f>
        <v>14</v>
      </c>
      <c r="B2722" t="str">
        <f t="shared" si="169"/>
        <v>14Wolverhampton</v>
      </c>
      <c r="C2722" t="s">
        <v>7315</v>
      </c>
      <c r="D2722" t="s">
        <v>363</v>
      </c>
      <c r="E2722">
        <v>43</v>
      </c>
      <c r="F2722" t="s">
        <v>7314</v>
      </c>
      <c r="G2722" t="s">
        <v>806</v>
      </c>
      <c r="H2722" t="s">
        <v>807</v>
      </c>
      <c r="I2722" t="s">
        <v>808</v>
      </c>
      <c r="J2722">
        <f t="shared" ca="1" si="170"/>
        <v>14761161</v>
      </c>
      <c r="K2722">
        <f t="shared" ca="1" si="171"/>
        <v>376</v>
      </c>
      <c r="N2722" t="str">
        <f t="shared" si="168"/>
        <v>Wandsworth37Additional short term and residential bedsResidential PlacementsCare home</v>
      </c>
      <c r="O2722" t="s">
        <v>337</v>
      </c>
      <c r="P2722" t="s">
        <v>790</v>
      </c>
      <c r="Q2722">
        <v>37</v>
      </c>
      <c r="R2722" t="s">
        <v>6763</v>
      </c>
      <c r="S2722" t="s">
        <v>7316</v>
      </c>
      <c r="T2722" t="s">
        <v>806</v>
      </c>
      <c r="U2722" t="s">
        <v>807</v>
      </c>
      <c r="W2722">
        <v>21</v>
      </c>
      <c r="X2722">
        <v>35</v>
      </c>
      <c r="Y2722" t="s">
        <v>808</v>
      </c>
      <c r="Z2722" t="s">
        <v>792</v>
      </c>
      <c r="AB2722" t="s">
        <v>793</v>
      </c>
      <c r="AD2722" t="s">
        <v>794</v>
      </c>
      <c r="AE2722" t="s">
        <v>804</v>
      </c>
      <c r="AF2722" t="s">
        <v>860</v>
      </c>
      <c r="AG2722" t="s">
        <v>861</v>
      </c>
      <c r="AH2722">
        <v>641459</v>
      </c>
      <c r="AI2722">
        <v>1064821.94</v>
      </c>
      <c r="AJ2722">
        <v>0.03</v>
      </c>
    </row>
    <row r="2723" spans="1:36" x14ac:dyDescent="0.3">
      <c r="A2723">
        <f>COUNTIF($D$2:D2723,D2723)</f>
        <v>15</v>
      </c>
      <c r="B2723" t="str">
        <f t="shared" si="169"/>
        <v>15Wolverhampton</v>
      </c>
      <c r="C2723" t="s">
        <v>7317</v>
      </c>
      <c r="D2723" t="s">
        <v>363</v>
      </c>
      <c r="E2723">
        <v>44</v>
      </c>
      <c r="F2723" t="s">
        <v>7314</v>
      </c>
      <c r="G2723" t="s">
        <v>806</v>
      </c>
      <c r="H2723" t="s">
        <v>807</v>
      </c>
      <c r="I2723" t="s">
        <v>808</v>
      </c>
      <c r="J2723">
        <f t="shared" ca="1" si="170"/>
        <v>3436839</v>
      </c>
      <c r="K2723">
        <f t="shared" ca="1" si="171"/>
        <v>88</v>
      </c>
      <c r="N2723" t="str">
        <f t="shared" si="168"/>
        <v>Wandsworth42Meeting the entitlements of carers under the Care ActCarers ServicesCarer advice and support related to Care Act duties</v>
      </c>
      <c r="O2723" t="s">
        <v>337</v>
      </c>
      <c r="P2723" t="s">
        <v>790</v>
      </c>
      <c r="Q2723">
        <v>42</v>
      </c>
      <c r="R2723" t="s">
        <v>6765</v>
      </c>
      <c r="S2723" t="s">
        <v>7318</v>
      </c>
      <c r="T2723" t="s">
        <v>811</v>
      </c>
      <c r="U2723" t="s">
        <v>895</v>
      </c>
      <c r="W2723">
        <v>2250</v>
      </c>
      <c r="X2723">
        <v>2250</v>
      </c>
      <c r="Y2723" t="s">
        <v>813</v>
      </c>
      <c r="Z2723" t="s">
        <v>792</v>
      </c>
      <c r="AB2723" t="s">
        <v>793</v>
      </c>
      <c r="AD2723" t="s">
        <v>794</v>
      </c>
      <c r="AE2723" t="s">
        <v>795</v>
      </c>
      <c r="AF2723" t="s">
        <v>796</v>
      </c>
      <c r="AG2723" t="s">
        <v>797</v>
      </c>
      <c r="AH2723">
        <v>273227.25</v>
      </c>
      <c r="AI2723">
        <v>288691.90999999997</v>
      </c>
      <c r="AJ2723">
        <v>0.06</v>
      </c>
    </row>
    <row r="2724" spans="1:36" x14ac:dyDescent="0.3">
      <c r="A2724">
        <f>COUNTIF($D$2:D2724,D2724)</f>
        <v>16</v>
      </c>
      <c r="B2724" t="str">
        <f t="shared" si="169"/>
        <v>16Wolverhampton</v>
      </c>
      <c r="C2724" t="s">
        <v>7319</v>
      </c>
      <c r="D2724" t="s">
        <v>363</v>
      </c>
      <c r="E2724">
        <v>48</v>
      </c>
      <c r="F2724" t="s">
        <v>7320</v>
      </c>
      <c r="G2724" t="s">
        <v>877</v>
      </c>
      <c r="H2724" t="s">
        <v>968</v>
      </c>
      <c r="I2724" t="s">
        <v>879</v>
      </c>
      <c r="J2724">
        <f t="shared" ca="1" si="170"/>
        <v>400000</v>
      </c>
      <c r="K2724">
        <f t="shared" ca="1" si="171"/>
        <v>80</v>
      </c>
      <c r="N2724" t="str">
        <f t="shared" si="168"/>
        <v>Wandsworth43Home care provisionHome Care or Domiciliary CareDomiciliary care packages</v>
      </c>
      <c r="O2724" t="s">
        <v>337</v>
      </c>
      <c r="P2724" t="s">
        <v>790</v>
      </c>
      <c r="Q2724">
        <v>43</v>
      </c>
      <c r="R2724" t="s">
        <v>4837</v>
      </c>
      <c r="S2724" t="s">
        <v>7321</v>
      </c>
      <c r="T2724" t="s">
        <v>842</v>
      </c>
      <c r="U2724" t="s">
        <v>843</v>
      </c>
      <c r="W2724">
        <v>146500</v>
      </c>
      <c r="X2724">
        <v>146500</v>
      </c>
      <c r="Y2724" t="s">
        <v>844</v>
      </c>
      <c r="Z2724" t="s">
        <v>792</v>
      </c>
      <c r="AB2724" t="s">
        <v>793</v>
      </c>
      <c r="AD2724" t="s">
        <v>794</v>
      </c>
      <c r="AE2724" t="s">
        <v>795</v>
      </c>
      <c r="AF2724" t="s">
        <v>796</v>
      </c>
      <c r="AG2724" t="s">
        <v>797</v>
      </c>
      <c r="AH2724">
        <v>2603980</v>
      </c>
      <c r="AI2724">
        <v>2751365.27</v>
      </c>
      <c r="AJ2724">
        <v>0.25</v>
      </c>
    </row>
    <row r="2725" spans="1:36" x14ac:dyDescent="0.3">
      <c r="A2725">
        <f>COUNTIF($D$2:D2725,D2725)</f>
        <v>1</v>
      </c>
      <c r="B2725" t="str">
        <f t="shared" si="169"/>
        <v>1Worcestershire</v>
      </c>
      <c r="C2725" t="s">
        <v>7322</v>
      </c>
      <c r="D2725" t="s">
        <v>365</v>
      </c>
      <c r="E2725">
        <v>1</v>
      </c>
      <c r="F2725" t="s">
        <v>3617</v>
      </c>
      <c r="G2725" t="s">
        <v>877</v>
      </c>
      <c r="H2725" t="s">
        <v>878</v>
      </c>
      <c r="I2725" t="s">
        <v>879</v>
      </c>
      <c r="J2725">
        <f t="shared" ca="1" si="170"/>
        <v>13216339</v>
      </c>
      <c r="K2725">
        <f t="shared" ca="1" si="171"/>
        <v>1704</v>
      </c>
      <c r="N2725" t="str">
        <f t="shared" si="168"/>
        <v>Wandsworth44Maintain stability and capacity in social care provider marketHome Care or Domiciliary CareDomiciliary care packages</v>
      </c>
      <c r="O2725" t="s">
        <v>337</v>
      </c>
      <c r="P2725" t="s">
        <v>790</v>
      </c>
      <c r="Q2725">
        <v>44</v>
      </c>
      <c r="R2725" t="s">
        <v>6768</v>
      </c>
      <c r="S2725" t="s">
        <v>1594</v>
      </c>
      <c r="T2725" t="s">
        <v>842</v>
      </c>
      <c r="U2725" t="s">
        <v>843</v>
      </c>
      <c r="W2725">
        <v>151600</v>
      </c>
      <c r="X2725">
        <v>151600</v>
      </c>
      <c r="Y2725" t="s">
        <v>844</v>
      </c>
      <c r="Z2725" t="s">
        <v>792</v>
      </c>
      <c r="AB2725" t="s">
        <v>793</v>
      </c>
      <c r="AD2725" t="s">
        <v>794</v>
      </c>
      <c r="AE2725" t="s">
        <v>795</v>
      </c>
      <c r="AF2725" t="s">
        <v>845</v>
      </c>
      <c r="AG2725" t="s">
        <v>797</v>
      </c>
      <c r="AH2725">
        <v>2694350</v>
      </c>
      <c r="AI2725">
        <v>2694350</v>
      </c>
      <c r="AJ2725">
        <v>0.28000000000000003</v>
      </c>
    </row>
    <row r="2726" spans="1:36" x14ac:dyDescent="0.3">
      <c r="A2726">
        <f>COUNTIF($D$2:D2726,D2726)</f>
        <v>2</v>
      </c>
      <c r="B2726" t="str">
        <f t="shared" si="169"/>
        <v>2Worcestershire</v>
      </c>
      <c r="C2726" t="s">
        <v>7323</v>
      </c>
      <c r="D2726" t="s">
        <v>365</v>
      </c>
      <c r="E2726">
        <v>2</v>
      </c>
      <c r="F2726" t="s">
        <v>7324</v>
      </c>
      <c r="G2726" t="s">
        <v>877</v>
      </c>
      <c r="H2726" t="s">
        <v>878</v>
      </c>
      <c r="I2726" t="s">
        <v>879</v>
      </c>
      <c r="J2726">
        <f t="shared" ca="1" si="170"/>
        <v>1910814</v>
      </c>
      <c r="K2726">
        <f t="shared" ca="1" si="171"/>
        <v>246</v>
      </c>
      <c r="N2726" t="str">
        <f t="shared" si="168"/>
        <v>Wandsworth46Social care purchased care home  placementsResidential PlacementsCare home</v>
      </c>
      <c r="O2726" t="s">
        <v>337</v>
      </c>
      <c r="P2726" t="s">
        <v>790</v>
      </c>
      <c r="Q2726">
        <v>46</v>
      </c>
      <c r="R2726" t="s">
        <v>6770</v>
      </c>
      <c r="S2726" t="s">
        <v>7325</v>
      </c>
      <c r="T2726" t="s">
        <v>806</v>
      </c>
      <c r="U2726" t="s">
        <v>807</v>
      </c>
      <c r="W2726">
        <v>29</v>
      </c>
      <c r="X2726">
        <v>29</v>
      </c>
      <c r="Y2726" t="s">
        <v>808</v>
      </c>
      <c r="Z2726" t="s">
        <v>792</v>
      </c>
      <c r="AB2726" t="s">
        <v>793</v>
      </c>
      <c r="AD2726" t="s">
        <v>794</v>
      </c>
      <c r="AE2726" t="s">
        <v>795</v>
      </c>
      <c r="AF2726" t="s">
        <v>796</v>
      </c>
      <c r="AG2726" t="s">
        <v>797</v>
      </c>
      <c r="AH2726">
        <v>1905331.91</v>
      </c>
      <c r="AI2726">
        <v>2013173.7</v>
      </c>
      <c r="AJ2726">
        <v>0.09</v>
      </c>
    </row>
    <row r="2727" spans="1:36" x14ac:dyDescent="0.3">
      <c r="A2727">
        <f>COUNTIF($D$2:D2727,D2727)</f>
        <v>3</v>
      </c>
      <c r="B2727" t="str">
        <f t="shared" si="169"/>
        <v>3Worcestershire</v>
      </c>
      <c r="C2727" t="s">
        <v>7326</v>
      </c>
      <c r="D2727" t="s">
        <v>365</v>
      </c>
      <c r="E2727">
        <v>5</v>
      </c>
      <c r="F2727" t="s">
        <v>7327</v>
      </c>
      <c r="G2727" t="s">
        <v>877</v>
      </c>
      <c r="H2727" t="s">
        <v>968</v>
      </c>
      <c r="I2727" t="s">
        <v>879</v>
      </c>
      <c r="J2727">
        <f t="shared" ca="1" si="170"/>
        <v>5331135</v>
      </c>
      <c r="K2727">
        <f t="shared" ca="1" si="171"/>
        <v>456</v>
      </c>
      <c r="N2727" t="str">
        <f t="shared" si="168"/>
        <v>Wandsworth51Integrated Carers ServiceCarers ServicesRespite services</v>
      </c>
      <c r="O2727" t="s">
        <v>337</v>
      </c>
      <c r="P2727" t="s">
        <v>790</v>
      </c>
      <c r="Q2727">
        <v>51</v>
      </c>
      <c r="R2727" t="s">
        <v>1654</v>
      </c>
      <c r="S2727" t="s">
        <v>7318</v>
      </c>
      <c r="T2727" t="s">
        <v>811</v>
      </c>
      <c r="U2727" t="s">
        <v>830</v>
      </c>
      <c r="W2727">
        <v>6120</v>
      </c>
      <c r="X2727">
        <v>6304</v>
      </c>
      <c r="Y2727" t="s">
        <v>813</v>
      </c>
      <c r="Z2727" t="s">
        <v>792</v>
      </c>
      <c r="AB2727" t="s">
        <v>793</v>
      </c>
      <c r="AD2727" t="s">
        <v>794</v>
      </c>
      <c r="AE2727" t="s">
        <v>795</v>
      </c>
      <c r="AF2727" t="s">
        <v>796</v>
      </c>
      <c r="AG2727" t="s">
        <v>797</v>
      </c>
      <c r="AH2727">
        <v>753666.44</v>
      </c>
      <c r="AI2727">
        <v>796323.96</v>
      </c>
      <c r="AJ2727">
        <v>0.64</v>
      </c>
    </row>
    <row r="2728" spans="1:36" x14ac:dyDescent="0.3">
      <c r="A2728">
        <f>COUNTIF($D$2:D2728,D2728)</f>
        <v>4</v>
      </c>
      <c r="B2728" t="str">
        <f t="shared" si="169"/>
        <v>4Worcestershire</v>
      </c>
      <c r="C2728" t="s">
        <v>7328</v>
      </c>
      <c r="D2728" t="s">
        <v>365</v>
      </c>
      <c r="E2728">
        <v>6</v>
      </c>
      <c r="F2728" t="s">
        <v>7329</v>
      </c>
      <c r="G2728" t="s">
        <v>787</v>
      </c>
      <c r="H2728" t="s">
        <v>1551</v>
      </c>
      <c r="I2728" t="s">
        <v>789</v>
      </c>
      <c r="J2728">
        <f t="shared" ca="1" si="170"/>
        <v>7162446</v>
      </c>
      <c r="K2728">
        <f t="shared" ca="1" si="171"/>
        <v>5541</v>
      </c>
      <c r="N2728" t="str">
        <f t="shared" si="168"/>
        <v>Wandsworth52Identification and support to carersCarers ServicesCarer advice and support related to Care Act duties</v>
      </c>
      <c r="O2728" t="s">
        <v>337</v>
      </c>
      <c r="P2728" t="s">
        <v>790</v>
      </c>
      <c r="Q2728">
        <v>52</v>
      </c>
      <c r="R2728" t="s">
        <v>6774</v>
      </c>
      <c r="S2728" t="s">
        <v>7330</v>
      </c>
      <c r="T2728" t="s">
        <v>811</v>
      </c>
      <c r="U2728" t="s">
        <v>895</v>
      </c>
      <c r="W2728">
        <v>320</v>
      </c>
      <c r="X2728">
        <v>531</v>
      </c>
      <c r="Y2728" t="s">
        <v>813</v>
      </c>
      <c r="Z2728" t="s">
        <v>792</v>
      </c>
      <c r="AB2728" t="s">
        <v>793</v>
      </c>
      <c r="AD2728" t="s">
        <v>794</v>
      </c>
      <c r="AE2728" t="s">
        <v>825</v>
      </c>
      <c r="AF2728" t="s">
        <v>864</v>
      </c>
      <c r="AG2728" t="s">
        <v>861</v>
      </c>
      <c r="AH2728">
        <v>190200</v>
      </c>
      <c r="AI2728">
        <v>315732</v>
      </c>
      <c r="AJ2728">
        <v>0.1</v>
      </c>
    </row>
    <row r="2729" spans="1:36" x14ac:dyDescent="0.3">
      <c r="A2729">
        <f>COUNTIF($D$2:D2729,D2729)</f>
        <v>5</v>
      </c>
      <c r="B2729" t="str">
        <f t="shared" si="169"/>
        <v>5Worcestershire</v>
      </c>
      <c r="C2729" t="s">
        <v>7331</v>
      </c>
      <c r="D2729" t="s">
        <v>365</v>
      </c>
      <c r="E2729">
        <v>7</v>
      </c>
      <c r="F2729" t="s">
        <v>7329</v>
      </c>
      <c r="G2729" t="s">
        <v>787</v>
      </c>
      <c r="H2729" t="s">
        <v>1551</v>
      </c>
      <c r="I2729" t="s">
        <v>789</v>
      </c>
      <c r="J2729">
        <f t="shared" ca="1" si="170"/>
        <v>1038224</v>
      </c>
      <c r="K2729">
        <f t="shared" ca="1" si="171"/>
        <v>803</v>
      </c>
      <c r="N2729" t="str">
        <f t="shared" si="168"/>
        <v>Wandsworth61Major adaptationsDFG Related SchemesAdaptations, including statutory DFG grants</v>
      </c>
      <c r="O2729" t="s">
        <v>337</v>
      </c>
      <c r="P2729" t="s">
        <v>790</v>
      </c>
      <c r="Q2729">
        <v>61</v>
      </c>
      <c r="R2729" t="s">
        <v>3681</v>
      </c>
      <c r="S2729" t="s">
        <v>7332</v>
      </c>
      <c r="T2729" t="s">
        <v>834</v>
      </c>
      <c r="U2729" t="s">
        <v>835</v>
      </c>
      <c r="W2729">
        <v>103</v>
      </c>
      <c r="X2729">
        <v>103</v>
      </c>
      <c r="Y2729" t="s">
        <v>836</v>
      </c>
      <c r="Z2729" t="s">
        <v>792</v>
      </c>
      <c r="AB2729" t="s">
        <v>793</v>
      </c>
      <c r="AD2729" t="s">
        <v>794</v>
      </c>
      <c r="AE2729" t="s">
        <v>795</v>
      </c>
      <c r="AF2729" t="s">
        <v>840</v>
      </c>
      <c r="AG2729" t="s">
        <v>797</v>
      </c>
      <c r="AH2729">
        <v>1087177</v>
      </c>
      <c r="AI2729">
        <v>1087177</v>
      </c>
      <c r="AJ2729">
        <v>0.09</v>
      </c>
    </row>
    <row r="2730" spans="1:36" x14ac:dyDescent="0.3">
      <c r="A2730">
        <f>COUNTIF($D$2:D2730,D2730)</f>
        <v>6</v>
      </c>
      <c r="B2730" t="str">
        <f t="shared" si="169"/>
        <v>6Worcestershire</v>
      </c>
      <c r="C2730" t="s">
        <v>7333</v>
      </c>
      <c r="D2730" t="s">
        <v>365</v>
      </c>
      <c r="E2730">
        <v>10</v>
      </c>
      <c r="F2730" t="s">
        <v>7334</v>
      </c>
      <c r="G2730" t="s">
        <v>842</v>
      </c>
      <c r="H2730" t="s">
        <v>856</v>
      </c>
      <c r="I2730" t="s">
        <v>844</v>
      </c>
      <c r="J2730">
        <f t="shared" ca="1" si="170"/>
        <v>279359</v>
      </c>
      <c r="K2730">
        <f t="shared" ca="1" si="171"/>
        <v>35040</v>
      </c>
      <c r="N2730" t="str">
        <f t="shared" si="168"/>
        <v>Wandsworth62Equipment and minor DFG adaptationsDFG Related SchemesDiscretionary use of DFG</v>
      </c>
      <c r="O2730" t="s">
        <v>337</v>
      </c>
      <c r="P2730" t="s">
        <v>790</v>
      </c>
      <c r="Q2730">
        <v>62</v>
      </c>
      <c r="R2730" t="s">
        <v>6778</v>
      </c>
      <c r="S2730" t="s">
        <v>7335</v>
      </c>
      <c r="T2730" t="s">
        <v>834</v>
      </c>
      <c r="U2730" t="s">
        <v>1293</v>
      </c>
      <c r="W2730">
        <v>55</v>
      </c>
      <c r="X2730">
        <v>55</v>
      </c>
      <c r="Y2730" t="s">
        <v>836</v>
      </c>
      <c r="Z2730" t="s">
        <v>792</v>
      </c>
      <c r="AB2730" t="s">
        <v>793</v>
      </c>
      <c r="AD2730" t="s">
        <v>794</v>
      </c>
      <c r="AE2730" t="s">
        <v>795</v>
      </c>
      <c r="AF2730" t="s">
        <v>840</v>
      </c>
      <c r="AG2730" t="s">
        <v>797</v>
      </c>
      <c r="AH2730">
        <v>575727</v>
      </c>
      <c r="AI2730">
        <v>575727</v>
      </c>
      <c r="AJ2730">
        <v>0.06</v>
      </c>
    </row>
    <row r="2731" spans="1:36" x14ac:dyDescent="0.3">
      <c r="A2731">
        <f>COUNTIF($D$2:D2731,D2731)</f>
        <v>7</v>
      </c>
      <c r="B2731" t="str">
        <f t="shared" si="169"/>
        <v>7Worcestershire</v>
      </c>
      <c r="C2731" t="s">
        <v>7336</v>
      </c>
      <c r="D2731" t="s">
        <v>365</v>
      </c>
      <c r="E2731">
        <v>11</v>
      </c>
      <c r="F2731" t="s">
        <v>7337</v>
      </c>
      <c r="G2731" t="s">
        <v>806</v>
      </c>
      <c r="H2731" t="s">
        <v>955</v>
      </c>
      <c r="I2731" t="s">
        <v>808</v>
      </c>
      <c r="J2731">
        <f t="shared" ca="1" si="170"/>
        <v>229571</v>
      </c>
      <c r="K2731">
        <f t="shared" ca="1" si="171"/>
        <v>53</v>
      </c>
      <c r="N2731" t="str">
        <f t="shared" si="168"/>
        <v>Wandsworth63Better at home improvement schemeDFG Related SchemesHandyperson services</v>
      </c>
      <c r="O2731" t="s">
        <v>337</v>
      </c>
      <c r="P2731" t="s">
        <v>790</v>
      </c>
      <c r="Q2731">
        <v>63</v>
      </c>
      <c r="R2731" t="s">
        <v>6780</v>
      </c>
      <c r="S2731" t="s">
        <v>7338</v>
      </c>
      <c r="T2731" t="s">
        <v>834</v>
      </c>
      <c r="U2731" t="s">
        <v>1732</v>
      </c>
      <c r="W2731">
        <v>9</v>
      </c>
      <c r="X2731">
        <v>9</v>
      </c>
      <c r="Y2731" t="s">
        <v>836</v>
      </c>
      <c r="Z2731" t="s">
        <v>792</v>
      </c>
      <c r="AB2731" t="s">
        <v>793</v>
      </c>
      <c r="AD2731" t="s">
        <v>794</v>
      </c>
      <c r="AE2731" t="s">
        <v>825</v>
      </c>
      <c r="AF2731" t="s">
        <v>840</v>
      </c>
      <c r="AG2731" t="s">
        <v>797</v>
      </c>
      <c r="AH2731">
        <v>97110</v>
      </c>
      <c r="AI2731">
        <v>97110</v>
      </c>
      <c r="AJ2731">
        <v>0.02</v>
      </c>
    </row>
    <row r="2732" spans="1:36" x14ac:dyDescent="0.3">
      <c r="A2732">
        <f>COUNTIF($D$2:D2732,D2732)</f>
        <v>8</v>
      </c>
      <c r="B2732" t="str">
        <f t="shared" si="169"/>
        <v>8Worcestershire</v>
      </c>
      <c r="C2732" t="s">
        <v>7339</v>
      </c>
      <c r="D2732" t="s">
        <v>365</v>
      </c>
      <c r="E2732">
        <v>12</v>
      </c>
      <c r="F2732" t="s">
        <v>7337</v>
      </c>
      <c r="G2732" t="s">
        <v>806</v>
      </c>
      <c r="H2732" t="s">
        <v>955</v>
      </c>
      <c r="I2732" t="s">
        <v>808</v>
      </c>
      <c r="J2732">
        <f t="shared" ca="1" si="170"/>
        <v>440218</v>
      </c>
      <c r="K2732">
        <f t="shared" ca="1" si="171"/>
        <v>103</v>
      </c>
      <c r="N2732" t="str">
        <f t="shared" si="168"/>
        <v>Wandsworth72Mental health community support/ supported livingResidential PlacementsSupported housing</v>
      </c>
      <c r="O2732" t="s">
        <v>337</v>
      </c>
      <c r="P2732" t="s">
        <v>790</v>
      </c>
      <c r="Q2732">
        <v>72</v>
      </c>
      <c r="R2732" t="s">
        <v>6782</v>
      </c>
      <c r="S2732" t="s">
        <v>7340</v>
      </c>
      <c r="T2732" t="s">
        <v>806</v>
      </c>
      <c r="U2732" t="s">
        <v>873</v>
      </c>
      <c r="W2732">
        <v>13</v>
      </c>
      <c r="X2732">
        <v>13</v>
      </c>
      <c r="Y2732" t="s">
        <v>808</v>
      </c>
      <c r="Z2732" t="s">
        <v>792</v>
      </c>
      <c r="AB2732" t="s">
        <v>793</v>
      </c>
      <c r="AD2732" t="s">
        <v>794</v>
      </c>
      <c r="AE2732" t="s">
        <v>795</v>
      </c>
      <c r="AF2732" t="s">
        <v>796</v>
      </c>
      <c r="AG2732" t="s">
        <v>797</v>
      </c>
      <c r="AH2732">
        <v>616901.18999999994</v>
      </c>
      <c r="AI2732">
        <v>651817.80000000005</v>
      </c>
      <c r="AJ2732">
        <v>0.05</v>
      </c>
    </row>
    <row r="2733" spans="1:36" x14ac:dyDescent="0.3">
      <c r="A2733">
        <f>COUNTIF($D$2:D2733,D2733)</f>
        <v>9</v>
      </c>
      <c r="B2733" t="str">
        <f t="shared" si="169"/>
        <v>9Worcestershire</v>
      </c>
      <c r="C2733" t="s">
        <v>7341</v>
      </c>
      <c r="D2733" t="s">
        <v>365</v>
      </c>
      <c r="E2733">
        <v>15</v>
      </c>
      <c r="F2733" t="s">
        <v>1250</v>
      </c>
      <c r="G2733" t="s">
        <v>811</v>
      </c>
      <c r="H2733" t="s">
        <v>830</v>
      </c>
      <c r="I2733" t="s">
        <v>813</v>
      </c>
      <c r="J2733">
        <f t="shared" ca="1" si="170"/>
        <v>1158022</v>
      </c>
      <c r="K2733">
        <f t="shared" ca="1" si="171"/>
        <v>244</v>
      </c>
      <c r="N2733" t="str">
        <f t="shared" si="168"/>
        <v>Wandsworth73Housing with preventative support (Mental Health)Residential PlacementsSupported housing</v>
      </c>
      <c r="O2733" t="s">
        <v>337</v>
      </c>
      <c r="P2733" t="s">
        <v>790</v>
      </c>
      <c r="Q2733">
        <v>73</v>
      </c>
      <c r="R2733" t="s">
        <v>6784</v>
      </c>
      <c r="S2733" t="s">
        <v>7342</v>
      </c>
      <c r="T2733" t="s">
        <v>806</v>
      </c>
      <c r="U2733" t="s">
        <v>873</v>
      </c>
      <c r="W2733">
        <v>5</v>
      </c>
      <c r="X2733">
        <v>5</v>
      </c>
      <c r="Y2733" t="s">
        <v>808</v>
      </c>
      <c r="Z2733" t="s">
        <v>1006</v>
      </c>
      <c r="AB2733" t="s">
        <v>793</v>
      </c>
      <c r="AD2733" t="s">
        <v>794</v>
      </c>
      <c r="AE2733" t="s">
        <v>795</v>
      </c>
      <c r="AF2733" t="s">
        <v>845</v>
      </c>
      <c r="AG2733" t="s">
        <v>797</v>
      </c>
      <c r="AH2733">
        <v>154530</v>
      </c>
      <c r="AI2733">
        <v>154530</v>
      </c>
      <c r="AJ2733">
        <v>0.01</v>
      </c>
    </row>
    <row r="2734" spans="1:36" x14ac:dyDescent="0.3">
      <c r="A2734">
        <f>COUNTIF($D$2:D2734,D2734)</f>
        <v>10</v>
      </c>
      <c r="B2734" t="str">
        <f t="shared" si="169"/>
        <v>10Worcestershire</v>
      </c>
      <c r="C2734" t="s">
        <v>7343</v>
      </c>
      <c r="D2734" t="s">
        <v>365</v>
      </c>
      <c r="E2734">
        <v>16</v>
      </c>
      <c r="F2734" t="s">
        <v>1250</v>
      </c>
      <c r="G2734" t="s">
        <v>811</v>
      </c>
      <c r="H2734" t="s">
        <v>830</v>
      </c>
      <c r="I2734" t="s">
        <v>813</v>
      </c>
      <c r="J2734">
        <f t="shared" ca="1" si="170"/>
        <v>101978</v>
      </c>
      <c r="K2734">
        <f t="shared" ca="1" si="171"/>
        <v>21</v>
      </c>
      <c r="N2734" t="str">
        <f t="shared" si="168"/>
        <v>Wandsworth74Protection of adult social care (mental health)Residential PlacementsCare home</v>
      </c>
      <c r="O2734" t="s">
        <v>337</v>
      </c>
      <c r="P2734" t="s">
        <v>790</v>
      </c>
      <c r="Q2734">
        <v>74</v>
      </c>
      <c r="R2734" t="s">
        <v>6787</v>
      </c>
      <c r="S2734" t="s">
        <v>7344</v>
      </c>
      <c r="T2734" t="s">
        <v>806</v>
      </c>
      <c r="U2734" t="s">
        <v>807</v>
      </c>
      <c r="W2734">
        <v>125</v>
      </c>
      <c r="X2734">
        <v>125</v>
      </c>
      <c r="Y2734" t="s">
        <v>808</v>
      </c>
      <c r="Z2734" t="s">
        <v>792</v>
      </c>
      <c r="AB2734" t="s">
        <v>793</v>
      </c>
      <c r="AD2734" t="s">
        <v>794</v>
      </c>
      <c r="AE2734" t="s">
        <v>795</v>
      </c>
      <c r="AF2734" t="s">
        <v>845</v>
      </c>
      <c r="AG2734" t="s">
        <v>797</v>
      </c>
      <c r="AH2734">
        <v>8155360</v>
      </c>
      <c r="AI2734">
        <v>8155360</v>
      </c>
      <c r="AJ2734">
        <v>0.38</v>
      </c>
    </row>
    <row r="2735" spans="1:36" x14ac:dyDescent="0.3">
      <c r="A2735">
        <f>COUNTIF($D$2:D2735,D2735)</f>
        <v>11</v>
      </c>
      <c r="B2735" t="str">
        <f t="shared" si="169"/>
        <v>11Worcestershire</v>
      </c>
      <c r="C2735" t="s">
        <v>7345</v>
      </c>
      <c r="D2735" t="s">
        <v>365</v>
      </c>
      <c r="E2735">
        <v>17</v>
      </c>
      <c r="F2735" t="s">
        <v>7346</v>
      </c>
      <c r="G2735" t="s">
        <v>842</v>
      </c>
      <c r="H2735" t="s">
        <v>812</v>
      </c>
      <c r="I2735" t="s">
        <v>844</v>
      </c>
      <c r="J2735">
        <f t="shared" ca="1" si="170"/>
        <v>2278115</v>
      </c>
      <c r="K2735">
        <f t="shared" ca="1" si="171"/>
        <v>102158</v>
      </c>
      <c r="N2735" t="str">
        <f t="shared" si="168"/>
        <v>Wandsworth75Protection of adult social care (learning disabilities)Residential PlacementsCare home</v>
      </c>
      <c r="O2735" t="s">
        <v>337</v>
      </c>
      <c r="P2735" t="s">
        <v>790</v>
      </c>
      <c r="Q2735">
        <v>75</v>
      </c>
      <c r="R2735" t="s">
        <v>6790</v>
      </c>
      <c r="S2735" t="s">
        <v>7347</v>
      </c>
      <c r="T2735" t="s">
        <v>806</v>
      </c>
      <c r="U2735" t="s">
        <v>807</v>
      </c>
      <c r="W2735">
        <v>47</v>
      </c>
      <c r="X2735">
        <v>47</v>
      </c>
      <c r="Y2735" t="s">
        <v>808</v>
      </c>
      <c r="Z2735" t="s">
        <v>1006</v>
      </c>
      <c r="AB2735" t="s">
        <v>793</v>
      </c>
      <c r="AD2735" t="s">
        <v>794</v>
      </c>
      <c r="AE2735" t="s">
        <v>795</v>
      </c>
      <c r="AF2735" t="s">
        <v>845</v>
      </c>
      <c r="AG2735" t="s">
        <v>797</v>
      </c>
      <c r="AH2735">
        <v>2968290</v>
      </c>
      <c r="AI2735">
        <v>2968290</v>
      </c>
      <c r="AJ2735">
        <v>0.14000000000000001</v>
      </c>
    </row>
    <row r="2736" spans="1:36" x14ac:dyDescent="0.3">
      <c r="A2736">
        <f>COUNTIF($D$2:D2736,D2736)</f>
        <v>12</v>
      </c>
      <c r="B2736" t="str">
        <f t="shared" si="169"/>
        <v>12Worcestershire</v>
      </c>
      <c r="C2736" t="s">
        <v>7348</v>
      </c>
      <c r="D2736" t="s">
        <v>365</v>
      </c>
      <c r="E2736">
        <v>18</v>
      </c>
      <c r="F2736" t="s">
        <v>7346</v>
      </c>
      <c r="G2736" t="s">
        <v>842</v>
      </c>
      <c r="H2736" t="s">
        <v>812</v>
      </c>
      <c r="I2736" t="s">
        <v>844</v>
      </c>
      <c r="J2736">
        <f t="shared" ca="1" si="170"/>
        <v>298942</v>
      </c>
      <c r="K2736">
        <f t="shared" ca="1" si="171"/>
        <v>13405</v>
      </c>
      <c r="N2736" t="str">
        <f t="shared" si="168"/>
        <v>Warrington1001Intermediate Care - Home/Bed Based and Hospital Discharge TeamHome-based intermediate care servicesReablement at home (accepting step up and step down users)</v>
      </c>
      <c r="O2736" t="s">
        <v>339</v>
      </c>
      <c r="P2736" t="s">
        <v>1201</v>
      </c>
      <c r="Q2736">
        <v>1001</v>
      </c>
      <c r="R2736" t="s">
        <v>6793</v>
      </c>
      <c r="S2736" t="s">
        <v>7349</v>
      </c>
      <c r="T2736" t="s">
        <v>787</v>
      </c>
      <c r="U2736" t="s">
        <v>930</v>
      </c>
      <c r="W2736">
        <v>1344</v>
      </c>
      <c r="X2736">
        <v>1344</v>
      </c>
      <c r="Y2736" t="s">
        <v>789</v>
      </c>
      <c r="Z2736" t="s">
        <v>823</v>
      </c>
      <c r="AB2736" t="s">
        <v>824</v>
      </c>
      <c r="AD2736" t="s">
        <v>794</v>
      </c>
      <c r="AE2736" t="s">
        <v>832</v>
      </c>
      <c r="AF2736" t="s">
        <v>796</v>
      </c>
      <c r="AG2736" t="s">
        <v>797</v>
      </c>
      <c r="AH2736">
        <v>4270670</v>
      </c>
      <c r="AI2736">
        <v>4475285</v>
      </c>
      <c r="AJ2736">
        <v>0.8</v>
      </c>
    </row>
    <row r="2737" spans="1:36" x14ac:dyDescent="0.3">
      <c r="A2737">
        <f>COUNTIF($D$2:D2737,D2737)</f>
        <v>13</v>
      </c>
      <c r="B2737" t="str">
        <f t="shared" si="169"/>
        <v>13Worcestershire</v>
      </c>
      <c r="C2737" t="s">
        <v>7350</v>
      </c>
      <c r="D2737" t="s">
        <v>365</v>
      </c>
      <c r="E2737">
        <v>19</v>
      </c>
      <c r="F2737" t="s">
        <v>7351</v>
      </c>
      <c r="G2737" t="s">
        <v>806</v>
      </c>
      <c r="H2737" t="s">
        <v>812</v>
      </c>
      <c r="I2737" t="s">
        <v>808</v>
      </c>
      <c r="J2737">
        <f t="shared" ca="1" si="170"/>
        <v>803500</v>
      </c>
      <c r="K2737">
        <f t="shared" ca="1" si="171"/>
        <v>15</v>
      </c>
      <c r="N2737" t="str">
        <f t="shared" si="168"/>
        <v>Warrington1002Intermediate Care - Home/Bed Based and Hospital Discharge TeamBed based intermediate Care Services (Reablement, rehabilitation, wider short-term services supporting recovery)Bed-based intermediate care with reablement (to support discharge)</v>
      </c>
      <c r="O2737" t="s">
        <v>339</v>
      </c>
      <c r="P2737" t="s">
        <v>1201</v>
      </c>
      <c r="Q2737">
        <v>1002</v>
      </c>
      <c r="R2737" t="s">
        <v>6793</v>
      </c>
      <c r="S2737" t="s">
        <v>7352</v>
      </c>
      <c r="T2737" t="s">
        <v>877</v>
      </c>
      <c r="U2737" t="s">
        <v>878</v>
      </c>
      <c r="W2737">
        <v>312</v>
      </c>
      <c r="X2737">
        <v>312</v>
      </c>
      <c r="Y2737" t="s">
        <v>879</v>
      </c>
      <c r="Z2737" t="s">
        <v>792</v>
      </c>
      <c r="AB2737" t="s">
        <v>1739</v>
      </c>
      <c r="AC2737">
        <v>0.5</v>
      </c>
      <c r="AD2737">
        <v>0.5</v>
      </c>
      <c r="AE2737" t="s">
        <v>795</v>
      </c>
      <c r="AF2737" t="s">
        <v>1029</v>
      </c>
      <c r="AG2737" t="s">
        <v>797</v>
      </c>
      <c r="AH2737">
        <v>4338137</v>
      </c>
      <c r="AI2737">
        <v>4547773</v>
      </c>
      <c r="AJ2737">
        <v>1</v>
      </c>
    </row>
    <row r="2738" spans="1:36" x14ac:dyDescent="0.3">
      <c r="A2738">
        <f>COUNTIF($D$2:D2738,D2738)</f>
        <v>14</v>
      </c>
      <c r="B2738" t="str">
        <f t="shared" si="169"/>
        <v>14Worcestershire</v>
      </c>
      <c r="C2738" t="s">
        <v>7353</v>
      </c>
      <c r="D2738" t="s">
        <v>365</v>
      </c>
      <c r="E2738">
        <v>20</v>
      </c>
      <c r="F2738" t="s">
        <v>7354</v>
      </c>
      <c r="G2738" t="s">
        <v>800</v>
      </c>
      <c r="H2738" t="s">
        <v>903</v>
      </c>
      <c r="I2738" t="s">
        <v>802</v>
      </c>
      <c r="J2738">
        <f t="shared" ca="1" si="170"/>
        <v>1762000</v>
      </c>
      <c r="K2738">
        <f t="shared" ca="1" si="171"/>
        <v>16170</v>
      </c>
      <c r="N2738" t="str">
        <f t="shared" si="168"/>
        <v>Warrington1003Additional Home Care ProvisionHome Care or Domiciliary CareDomiciliary care packages</v>
      </c>
      <c r="O2738" t="s">
        <v>339</v>
      </c>
      <c r="P2738" t="s">
        <v>1201</v>
      </c>
      <c r="Q2738">
        <v>1003</v>
      </c>
      <c r="R2738" t="s">
        <v>6796</v>
      </c>
      <c r="S2738" t="s">
        <v>7355</v>
      </c>
      <c r="T2738" t="s">
        <v>842</v>
      </c>
      <c r="U2738" t="s">
        <v>843</v>
      </c>
      <c r="W2738">
        <v>14500</v>
      </c>
      <c r="X2738">
        <v>14500</v>
      </c>
      <c r="Y2738" t="s">
        <v>844</v>
      </c>
      <c r="Z2738" t="s">
        <v>792</v>
      </c>
      <c r="AB2738" t="s">
        <v>793</v>
      </c>
      <c r="AD2738" t="s">
        <v>794</v>
      </c>
      <c r="AE2738" t="s">
        <v>804</v>
      </c>
      <c r="AF2738" t="s">
        <v>845</v>
      </c>
      <c r="AG2738" t="s">
        <v>797</v>
      </c>
      <c r="AH2738">
        <v>350000</v>
      </c>
      <c r="AI2738">
        <v>350000</v>
      </c>
      <c r="AJ2738">
        <v>0.03</v>
      </c>
    </row>
    <row r="2739" spans="1:36" x14ac:dyDescent="0.3">
      <c r="A2739">
        <f>COUNTIF($D$2:D2739,D2739)</f>
        <v>15</v>
      </c>
      <c r="B2739" t="str">
        <f t="shared" si="169"/>
        <v>15Worcestershire</v>
      </c>
      <c r="C2739" t="s">
        <v>7356</v>
      </c>
      <c r="D2739" t="s">
        <v>365</v>
      </c>
      <c r="E2739">
        <v>21</v>
      </c>
      <c r="F2739" t="s">
        <v>891</v>
      </c>
      <c r="G2739" t="s">
        <v>834</v>
      </c>
      <c r="H2739" t="s">
        <v>835</v>
      </c>
      <c r="I2739" t="s">
        <v>836</v>
      </c>
      <c r="J2739">
        <f t="shared" ca="1" si="170"/>
        <v>5663577</v>
      </c>
      <c r="K2739">
        <f t="shared" ca="1" si="171"/>
        <v>570</v>
      </c>
      <c r="N2739" t="str">
        <f t="shared" si="168"/>
        <v>Warrington1004Community EquipmentAssistive Technologies and EquipmentCommunity based equipment</v>
      </c>
      <c r="O2739" t="s">
        <v>339</v>
      </c>
      <c r="P2739" t="s">
        <v>1201</v>
      </c>
      <c r="Q2739">
        <v>1004</v>
      </c>
      <c r="R2739" t="s">
        <v>1051</v>
      </c>
      <c r="S2739" t="s">
        <v>7357</v>
      </c>
      <c r="T2739" t="s">
        <v>800</v>
      </c>
      <c r="U2739" t="s">
        <v>903</v>
      </c>
      <c r="W2739">
        <v>2500</v>
      </c>
      <c r="X2739">
        <v>2500</v>
      </c>
      <c r="Y2739" t="s">
        <v>802</v>
      </c>
      <c r="Z2739" t="s">
        <v>823</v>
      </c>
      <c r="AB2739" t="s">
        <v>1739</v>
      </c>
      <c r="AC2739">
        <v>0.5</v>
      </c>
      <c r="AD2739">
        <v>0.5</v>
      </c>
      <c r="AE2739" t="s">
        <v>832</v>
      </c>
      <c r="AF2739" t="s">
        <v>796</v>
      </c>
      <c r="AG2739" t="s">
        <v>797</v>
      </c>
      <c r="AH2739">
        <v>704363</v>
      </c>
      <c r="AI2739">
        <v>744230</v>
      </c>
      <c r="AJ2739">
        <v>0.35</v>
      </c>
    </row>
    <row r="2740" spans="1:36" x14ac:dyDescent="0.3">
      <c r="A2740">
        <f>COUNTIF($D$2:D2740,D2740)</f>
        <v>16</v>
      </c>
      <c r="B2740" t="str">
        <f t="shared" si="169"/>
        <v>16Worcestershire</v>
      </c>
      <c r="C2740" t="s">
        <v>7358</v>
      </c>
      <c r="D2740" t="s">
        <v>365</v>
      </c>
      <c r="E2740">
        <v>22</v>
      </c>
      <c r="F2740" t="s">
        <v>891</v>
      </c>
      <c r="G2740" t="s">
        <v>834</v>
      </c>
      <c r="H2740" t="s">
        <v>1293</v>
      </c>
      <c r="I2740" t="s">
        <v>836</v>
      </c>
      <c r="J2740">
        <f t="shared" ca="1" si="170"/>
        <v>500000</v>
      </c>
      <c r="K2740">
        <f t="shared" ca="1" si="171"/>
        <v>500</v>
      </c>
      <c r="N2740" t="str">
        <f t="shared" si="168"/>
        <v>Warrington1005Community EquipmentAssistive Technologies and EquipmentCommunity based equipment</v>
      </c>
      <c r="O2740" t="s">
        <v>339</v>
      </c>
      <c r="P2740" t="s">
        <v>1201</v>
      </c>
      <c r="Q2740">
        <v>1005</v>
      </c>
      <c r="R2740" t="s">
        <v>1051</v>
      </c>
      <c r="S2740" t="s">
        <v>7357</v>
      </c>
      <c r="T2740" t="s">
        <v>800</v>
      </c>
      <c r="U2740" t="s">
        <v>903</v>
      </c>
      <c r="W2740">
        <v>1000</v>
      </c>
      <c r="X2740">
        <v>1000</v>
      </c>
      <c r="Y2740" t="s">
        <v>802</v>
      </c>
      <c r="Z2740" t="s">
        <v>792</v>
      </c>
      <c r="AB2740" t="s">
        <v>793</v>
      </c>
      <c r="AD2740" t="s">
        <v>794</v>
      </c>
      <c r="AE2740" t="s">
        <v>795</v>
      </c>
      <c r="AF2740" t="s">
        <v>1029</v>
      </c>
      <c r="AG2740" t="s">
        <v>797</v>
      </c>
      <c r="AH2740">
        <v>289849</v>
      </c>
      <c r="AI2740">
        <v>306255</v>
      </c>
      <c r="AJ2740">
        <v>0.15</v>
      </c>
    </row>
    <row r="2741" spans="1:36" x14ac:dyDescent="0.3">
      <c r="A2741">
        <f>COUNTIF($D$2:D2741,D2741)</f>
        <v>17</v>
      </c>
      <c r="B2741" t="str">
        <f t="shared" si="169"/>
        <v>17Worcestershire</v>
      </c>
      <c r="C2741" t="s">
        <v>7359</v>
      </c>
      <c r="D2741" t="s">
        <v>365</v>
      </c>
      <c r="E2741">
        <v>24</v>
      </c>
      <c r="F2741" t="s">
        <v>7360</v>
      </c>
      <c r="G2741" t="s">
        <v>806</v>
      </c>
      <c r="H2741" t="s">
        <v>807</v>
      </c>
      <c r="I2741" t="s">
        <v>808</v>
      </c>
      <c r="J2741">
        <f t="shared" ca="1" si="170"/>
        <v>2500000</v>
      </c>
      <c r="K2741">
        <f t="shared" ca="1" si="171"/>
        <v>62</v>
      </c>
      <c r="N2741" t="str">
        <f t="shared" si="168"/>
        <v>Warrington1006TelecareAssistive Technologies and EquipmentAssistive technologies including telecare</v>
      </c>
      <c r="O2741" t="s">
        <v>339</v>
      </c>
      <c r="P2741" t="s">
        <v>1201</v>
      </c>
      <c r="Q2741">
        <v>1006</v>
      </c>
      <c r="R2741" t="s">
        <v>2108</v>
      </c>
      <c r="S2741" t="s">
        <v>7361</v>
      </c>
      <c r="T2741" t="s">
        <v>800</v>
      </c>
      <c r="U2741" t="s">
        <v>850</v>
      </c>
      <c r="W2741">
        <v>640</v>
      </c>
      <c r="X2741">
        <v>640</v>
      </c>
      <c r="Y2741" t="s">
        <v>802</v>
      </c>
      <c r="Z2741" t="s">
        <v>792</v>
      </c>
      <c r="AB2741" t="s">
        <v>793</v>
      </c>
      <c r="AD2741" t="s">
        <v>794</v>
      </c>
      <c r="AE2741" t="s">
        <v>795</v>
      </c>
      <c r="AF2741" t="s">
        <v>796</v>
      </c>
      <c r="AG2741" t="s">
        <v>797</v>
      </c>
      <c r="AH2741">
        <v>380294</v>
      </c>
      <c r="AI2741">
        <v>401817</v>
      </c>
      <c r="AJ2741">
        <v>0.7</v>
      </c>
    </row>
    <row r="2742" spans="1:36" x14ac:dyDescent="0.3">
      <c r="A2742">
        <f>COUNTIF($D$2:D2742,D2742)</f>
        <v>18</v>
      </c>
      <c r="B2742" t="str">
        <f t="shared" si="169"/>
        <v>18Worcestershire</v>
      </c>
      <c r="C2742" t="s">
        <v>7362</v>
      </c>
      <c r="D2742" t="s">
        <v>365</v>
      </c>
      <c r="E2742">
        <v>29</v>
      </c>
      <c r="F2742" t="s">
        <v>7329</v>
      </c>
      <c r="G2742" t="s">
        <v>842</v>
      </c>
      <c r="H2742" t="s">
        <v>843</v>
      </c>
      <c r="I2742" t="s">
        <v>844</v>
      </c>
      <c r="J2742">
        <f t="shared" ca="1" si="170"/>
        <v>930246</v>
      </c>
      <c r="K2742">
        <f t="shared" ca="1" si="171"/>
        <v>6836</v>
      </c>
      <c r="N2742" t="str">
        <f t="shared" si="168"/>
        <v>Warrington1007TelecareAssistive Technologies and EquipmentAssistive technologies including telecare</v>
      </c>
      <c r="O2742" t="s">
        <v>339</v>
      </c>
      <c r="P2742" t="s">
        <v>1201</v>
      </c>
      <c r="Q2742">
        <v>1007</v>
      </c>
      <c r="R2742" t="s">
        <v>2108</v>
      </c>
      <c r="S2742" t="s">
        <v>7361</v>
      </c>
      <c r="T2742" t="s">
        <v>800</v>
      </c>
      <c r="U2742" t="s">
        <v>850</v>
      </c>
      <c r="W2742">
        <v>320</v>
      </c>
      <c r="X2742">
        <v>320</v>
      </c>
      <c r="Y2742" t="s">
        <v>802</v>
      </c>
      <c r="Z2742" t="s">
        <v>792</v>
      </c>
      <c r="AB2742" t="s">
        <v>793</v>
      </c>
      <c r="AD2742" t="s">
        <v>794</v>
      </c>
      <c r="AE2742" t="s">
        <v>795</v>
      </c>
      <c r="AF2742" t="s">
        <v>1029</v>
      </c>
      <c r="AG2742" t="s">
        <v>797</v>
      </c>
      <c r="AH2742">
        <v>144779</v>
      </c>
      <c r="AI2742">
        <v>152974</v>
      </c>
      <c r="AJ2742">
        <v>0.3</v>
      </c>
    </row>
    <row r="2743" spans="1:36" x14ac:dyDescent="0.3">
      <c r="A2743">
        <f>COUNTIF($D$2:D2743,D2743)</f>
        <v>19</v>
      </c>
      <c r="B2743" t="str">
        <f t="shared" si="169"/>
        <v>19Worcestershire</v>
      </c>
      <c r="C2743" t="s">
        <v>7363</v>
      </c>
      <c r="D2743" t="s">
        <v>365</v>
      </c>
      <c r="E2743">
        <v>30</v>
      </c>
      <c r="F2743" t="s">
        <v>7329</v>
      </c>
      <c r="G2743" t="s">
        <v>787</v>
      </c>
      <c r="H2743" t="s">
        <v>1551</v>
      </c>
      <c r="I2743" t="s">
        <v>789</v>
      </c>
      <c r="J2743">
        <f t="shared" ca="1" si="170"/>
        <v>497938</v>
      </c>
      <c r="K2743">
        <f t="shared" ca="1" si="171"/>
        <v>528</v>
      </c>
      <c r="N2743" t="str">
        <f t="shared" si="168"/>
        <v>Warrington1010Carers services and supportCarers ServicesOther</v>
      </c>
      <c r="O2743" t="s">
        <v>339</v>
      </c>
      <c r="P2743" t="s">
        <v>1201</v>
      </c>
      <c r="Q2743">
        <v>1010</v>
      </c>
      <c r="R2743" t="s">
        <v>6803</v>
      </c>
      <c r="S2743" t="s">
        <v>7364</v>
      </c>
      <c r="T2743" t="s">
        <v>811</v>
      </c>
      <c r="U2743" t="s">
        <v>812</v>
      </c>
      <c r="V2743" t="s">
        <v>7365</v>
      </c>
      <c r="W2743">
        <v>1400</v>
      </c>
      <c r="X2743">
        <v>1400</v>
      </c>
      <c r="Y2743" t="s">
        <v>813</v>
      </c>
      <c r="Z2743" t="s">
        <v>812</v>
      </c>
      <c r="AA2743" t="s">
        <v>7366</v>
      </c>
      <c r="AB2743" t="s">
        <v>1739</v>
      </c>
      <c r="AC2743">
        <v>0.5</v>
      </c>
      <c r="AD2743">
        <v>0.5</v>
      </c>
      <c r="AE2743" t="s">
        <v>825</v>
      </c>
      <c r="AF2743" t="s">
        <v>796</v>
      </c>
      <c r="AG2743" t="s">
        <v>797</v>
      </c>
      <c r="AH2743">
        <v>187619</v>
      </c>
      <c r="AI2743">
        <v>190997</v>
      </c>
      <c r="AJ2743">
        <v>0.4</v>
      </c>
    </row>
    <row r="2744" spans="1:36" x14ac:dyDescent="0.3">
      <c r="A2744">
        <f>COUNTIF($D$2:D2744,D2744)</f>
        <v>20</v>
      </c>
      <c r="B2744" t="str">
        <f t="shared" si="169"/>
        <v>20Worcestershire</v>
      </c>
      <c r="C2744" t="s">
        <v>7367</v>
      </c>
      <c r="D2744" t="s">
        <v>365</v>
      </c>
      <c r="E2744">
        <v>31</v>
      </c>
      <c r="F2744" t="s">
        <v>7368</v>
      </c>
      <c r="G2744" t="s">
        <v>877</v>
      </c>
      <c r="H2744" t="s">
        <v>968</v>
      </c>
      <c r="I2744" t="s">
        <v>879</v>
      </c>
      <c r="J2744">
        <f t="shared" ca="1" si="170"/>
        <v>14391</v>
      </c>
      <c r="K2744">
        <f t="shared" ca="1" si="171"/>
        <v>15</v>
      </c>
      <c r="N2744" t="str">
        <f t="shared" si="168"/>
        <v xml:space="preserve">Warrington2001Home based reablement Home-based intermediate care servicesReablement at home (to support discharge) </v>
      </c>
      <c r="O2744" t="s">
        <v>339</v>
      </c>
      <c r="P2744" t="s">
        <v>1201</v>
      </c>
      <c r="Q2744">
        <v>2001</v>
      </c>
      <c r="R2744" t="s">
        <v>6807</v>
      </c>
      <c r="S2744" t="s">
        <v>7369</v>
      </c>
      <c r="T2744" t="s">
        <v>787</v>
      </c>
      <c r="U2744" t="s">
        <v>788</v>
      </c>
      <c r="V2744" t="s">
        <v>7370</v>
      </c>
      <c r="W2744">
        <v>336</v>
      </c>
      <c r="X2744">
        <v>336</v>
      </c>
      <c r="Y2744" t="s">
        <v>789</v>
      </c>
      <c r="Z2744" t="s">
        <v>792</v>
      </c>
      <c r="AB2744" t="s">
        <v>1739</v>
      </c>
      <c r="AC2744">
        <v>0.5</v>
      </c>
      <c r="AD2744">
        <v>0.5</v>
      </c>
      <c r="AE2744" t="s">
        <v>795</v>
      </c>
      <c r="AF2744" t="s">
        <v>845</v>
      </c>
      <c r="AG2744" t="s">
        <v>797</v>
      </c>
      <c r="AH2744">
        <v>882795</v>
      </c>
      <c r="AI2744">
        <v>882795</v>
      </c>
      <c r="AJ2744">
        <v>0.2</v>
      </c>
    </row>
    <row r="2745" spans="1:36" x14ac:dyDescent="0.3">
      <c r="A2745">
        <f>COUNTIF($D$2:D2745,D2745)</f>
        <v>21</v>
      </c>
      <c r="B2745" t="str">
        <f t="shared" si="169"/>
        <v>21Worcestershire</v>
      </c>
      <c r="C2745" t="s">
        <v>7371</v>
      </c>
      <c r="D2745" t="s">
        <v>365</v>
      </c>
      <c r="E2745">
        <v>32</v>
      </c>
      <c r="F2745" t="s">
        <v>7337</v>
      </c>
      <c r="G2745" t="s">
        <v>806</v>
      </c>
      <c r="H2745" t="s">
        <v>955</v>
      </c>
      <c r="I2745" t="s">
        <v>808</v>
      </c>
      <c r="J2745">
        <f t="shared" ca="1" si="170"/>
        <v>1218991</v>
      </c>
      <c r="K2745">
        <f t="shared" ca="1" si="171"/>
        <v>106</v>
      </c>
      <c r="N2745" t="str">
        <f t="shared" si="168"/>
        <v>Warrington3001DFG GrantDFG Related SchemesAdaptations, including statutory DFG grants</v>
      </c>
      <c r="O2745" t="s">
        <v>339</v>
      </c>
      <c r="P2745" t="s">
        <v>1201</v>
      </c>
      <c r="Q2745">
        <v>3001</v>
      </c>
      <c r="R2745" t="s">
        <v>4779</v>
      </c>
      <c r="S2745" t="s">
        <v>7372</v>
      </c>
      <c r="T2745" t="s">
        <v>834</v>
      </c>
      <c r="U2745" t="s">
        <v>835</v>
      </c>
      <c r="W2745">
        <v>100</v>
      </c>
      <c r="X2745">
        <v>100</v>
      </c>
      <c r="Y2745" t="s">
        <v>836</v>
      </c>
      <c r="Z2745" t="s">
        <v>792</v>
      </c>
      <c r="AB2745" t="s">
        <v>793</v>
      </c>
      <c r="AD2745" t="s">
        <v>794</v>
      </c>
      <c r="AE2745" t="s">
        <v>804</v>
      </c>
      <c r="AF2745" t="s">
        <v>840</v>
      </c>
      <c r="AG2745" t="s">
        <v>797</v>
      </c>
      <c r="AH2745">
        <v>1522346</v>
      </c>
      <c r="AI2745">
        <v>1522346</v>
      </c>
      <c r="AJ2745">
        <v>0.68</v>
      </c>
    </row>
    <row r="2746" spans="1:36" x14ac:dyDescent="0.3">
      <c r="A2746">
        <f>COUNTIF($D$2:D2746,D2746)</f>
        <v>22</v>
      </c>
      <c r="B2746" t="str">
        <f t="shared" si="169"/>
        <v>22Worcestershire</v>
      </c>
      <c r="C2746" t="s">
        <v>7373</v>
      </c>
      <c r="D2746" t="s">
        <v>365</v>
      </c>
      <c r="E2746">
        <v>33</v>
      </c>
      <c r="F2746" t="s">
        <v>7354</v>
      </c>
      <c r="G2746" t="s">
        <v>800</v>
      </c>
      <c r="H2746" t="s">
        <v>903</v>
      </c>
      <c r="I2746" t="s">
        <v>802</v>
      </c>
      <c r="J2746">
        <f t="shared" ca="1" si="170"/>
        <v>5634</v>
      </c>
      <c r="K2746">
        <f t="shared" ca="1" si="171"/>
        <v>144</v>
      </c>
      <c r="N2746" t="str">
        <f t="shared" si="168"/>
        <v>Warrington3002DFG GrantDFG Related SchemesDiscretionary use of DFG</v>
      </c>
      <c r="O2746" t="s">
        <v>339</v>
      </c>
      <c r="P2746" t="s">
        <v>1201</v>
      </c>
      <c r="Q2746">
        <v>3002</v>
      </c>
      <c r="R2746" t="s">
        <v>4779</v>
      </c>
      <c r="S2746" t="s">
        <v>7372</v>
      </c>
      <c r="T2746" t="s">
        <v>834</v>
      </c>
      <c r="U2746" t="s">
        <v>1293</v>
      </c>
      <c r="W2746">
        <v>270</v>
      </c>
      <c r="X2746">
        <v>270</v>
      </c>
      <c r="Y2746" t="s">
        <v>836</v>
      </c>
      <c r="Z2746" t="s">
        <v>792</v>
      </c>
      <c r="AB2746" t="s">
        <v>793</v>
      </c>
      <c r="AD2746" t="s">
        <v>794</v>
      </c>
      <c r="AE2746" t="s">
        <v>795</v>
      </c>
      <c r="AF2746" t="s">
        <v>840</v>
      </c>
      <c r="AG2746" t="s">
        <v>797</v>
      </c>
      <c r="AH2746">
        <v>700000</v>
      </c>
      <c r="AI2746">
        <v>700000</v>
      </c>
      <c r="AJ2746">
        <v>0.32</v>
      </c>
    </row>
    <row r="2747" spans="1:36" x14ac:dyDescent="0.3">
      <c r="A2747">
        <f>COUNTIF($D$2:D2747,D2747)</f>
        <v>23</v>
      </c>
      <c r="B2747" t="str">
        <f t="shared" si="169"/>
        <v>23Worcestershire</v>
      </c>
      <c r="C2747" t="s">
        <v>7374</v>
      </c>
      <c r="D2747" t="s">
        <v>365</v>
      </c>
      <c r="E2747">
        <v>34</v>
      </c>
      <c r="F2747" t="s">
        <v>7375</v>
      </c>
      <c r="G2747" t="s">
        <v>877</v>
      </c>
      <c r="H2747" t="s">
        <v>878</v>
      </c>
      <c r="I2747" t="s">
        <v>879</v>
      </c>
      <c r="J2747">
        <f t="shared" ca="1" si="170"/>
        <v>500000</v>
      </c>
      <c r="K2747">
        <f t="shared" ca="1" si="171"/>
        <v>43</v>
      </c>
      <c r="N2747" t="str">
        <f t="shared" si="168"/>
        <v>Warrington1019Adult Social Care Discharge grantResidential PlacementsCare home</v>
      </c>
      <c r="O2747" t="s">
        <v>339</v>
      </c>
      <c r="P2747" t="s">
        <v>1201</v>
      </c>
      <c r="Q2747">
        <v>1019</v>
      </c>
      <c r="R2747" t="s">
        <v>6813</v>
      </c>
      <c r="S2747" t="s">
        <v>7376</v>
      </c>
      <c r="T2747" t="s">
        <v>806</v>
      </c>
      <c r="U2747" t="s">
        <v>807</v>
      </c>
      <c r="W2747">
        <v>250</v>
      </c>
      <c r="X2747">
        <v>250</v>
      </c>
      <c r="Y2747" t="s">
        <v>808</v>
      </c>
      <c r="Z2747" t="s">
        <v>792</v>
      </c>
      <c r="AB2747" t="s">
        <v>793</v>
      </c>
      <c r="AD2747" t="s">
        <v>794</v>
      </c>
      <c r="AE2747" t="s">
        <v>804</v>
      </c>
      <c r="AF2747" t="s">
        <v>860</v>
      </c>
      <c r="AG2747" t="s">
        <v>861</v>
      </c>
      <c r="AH2747">
        <v>1403257</v>
      </c>
      <c r="AI2747">
        <v>1403258</v>
      </c>
      <c r="AJ2747">
        <v>0.6</v>
      </c>
    </row>
    <row r="2748" spans="1:36" x14ac:dyDescent="0.3">
      <c r="A2748">
        <f>COUNTIF($D$2:D2748,D2748)</f>
        <v>24</v>
      </c>
      <c r="B2748" t="str">
        <f t="shared" si="169"/>
        <v>24Worcestershire</v>
      </c>
      <c r="C2748" t="s">
        <v>7377</v>
      </c>
      <c r="D2748" t="s">
        <v>365</v>
      </c>
      <c r="E2748">
        <v>35</v>
      </c>
      <c r="F2748" t="s">
        <v>7378</v>
      </c>
      <c r="G2748" t="s">
        <v>877</v>
      </c>
      <c r="H2748" t="s">
        <v>878</v>
      </c>
      <c r="I2748" t="s">
        <v>879</v>
      </c>
      <c r="J2748">
        <f t="shared" ca="1" si="170"/>
        <v>899000</v>
      </c>
      <c r="K2748">
        <f t="shared" ca="1" si="171"/>
        <v>57</v>
      </c>
      <c r="N2748" t="str">
        <f t="shared" si="168"/>
        <v>Warrington1020Adult Social Care Discharge grantResidential PlacementsCare home</v>
      </c>
      <c r="O2748" t="s">
        <v>339</v>
      </c>
      <c r="P2748" t="s">
        <v>1201</v>
      </c>
      <c r="Q2748">
        <v>1020</v>
      </c>
      <c r="R2748" t="s">
        <v>6813</v>
      </c>
      <c r="S2748" t="s">
        <v>7376</v>
      </c>
      <c r="T2748" t="s">
        <v>806</v>
      </c>
      <c r="U2748" t="s">
        <v>807</v>
      </c>
      <c r="W2748">
        <v>150</v>
      </c>
      <c r="X2748">
        <v>150</v>
      </c>
      <c r="Y2748" t="s">
        <v>808</v>
      </c>
      <c r="Z2748" t="s">
        <v>792</v>
      </c>
      <c r="AB2748" t="s">
        <v>793</v>
      </c>
      <c r="AD2748" t="s">
        <v>794</v>
      </c>
      <c r="AE2748" t="s">
        <v>804</v>
      </c>
      <c r="AF2748" t="s">
        <v>864</v>
      </c>
      <c r="AG2748" t="s">
        <v>861</v>
      </c>
      <c r="AH2748">
        <v>870761</v>
      </c>
      <c r="AI2748">
        <v>870761</v>
      </c>
      <c r="AJ2748">
        <v>0.4</v>
      </c>
    </row>
    <row r="2749" spans="1:36" x14ac:dyDescent="0.3">
      <c r="A2749">
        <f>COUNTIF($D$2:D2749,D2749)</f>
        <v>1</v>
      </c>
      <c r="B2749" t="str">
        <f t="shared" si="169"/>
        <v>1York</v>
      </c>
      <c r="C2749" t="s">
        <v>7379</v>
      </c>
      <c r="D2749" t="s">
        <v>368</v>
      </c>
      <c r="E2749">
        <v>1</v>
      </c>
      <c r="F2749" t="s">
        <v>7380</v>
      </c>
      <c r="G2749" t="s">
        <v>834</v>
      </c>
      <c r="H2749" t="s">
        <v>1293</v>
      </c>
      <c r="I2749" t="s">
        <v>836</v>
      </c>
      <c r="J2749">
        <f t="shared" ca="1" si="170"/>
        <v>1467977</v>
      </c>
      <c r="K2749">
        <f t="shared" ca="1" si="171"/>
        <v>245</v>
      </c>
      <c r="N2749" t="str">
        <f t="shared" si="168"/>
        <v>Warwickshire1Domicillary Care (base BCF)Home Care or Domiciliary CareDomiciliary care packages</v>
      </c>
      <c r="O2749" t="s">
        <v>341</v>
      </c>
      <c r="P2749" t="s">
        <v>1172</v>
      </c>
      <c r="Q2749">
        <v>1</v>
      </c>
      <c r="R2749" t="s">
        <v>6819</v>
      </c>
      <c r="S2749" t="s">
        <v>4469</v>
      </c>
      <c r="T2749" t="s">
        <v>842</v>
      </c>
      <c r="U2749" t="s">
        <v>843</v>
      </c>
      <c r="W2749">
        <v>381208</v>
      </c>
      <c r="X2749">
        <v>381208</v>
      </c>
      <c r="Y2749" t="s">
        <v>844</v>
      </c>
      <c r="Z2749" t="s">
        <v>792</v>
      </c>
      <c r="AB2749" t="s">
        <v>793</v>
      </c>
      <c r="AD2749" t="s">
        <v>794</v>
      </c>
      <c r="AE2749" t="s">
        <v>804</v>
      </c>
      <c r="AF2749" t="s">
        <v>796</v>
      </c>
      <c r="AG2749" t="s">
        <v>797</v>
      </c>
      <c r="AH2749">
        <v>8716497</v>
      </c>
      <c r="AI2749">
        <v>9209468</v>
      </c>
      <c r="AJ2749">
        <v>0.09</v>
      </c>
    </row>
    <row r="2750" spans="1:36" x14ac:dyDescent="0.3">
      <c r="A2750">
        <f>COUNTIF($D$2:D2750,D2750)</f>
        <v>2</v>
      </c>
      <c r="B2750" t="str">
        <f t="shared" si="169"/>
        <v>2York</v>
      </c>
      <c r="C2750" t="s">
        <v>7381</v>
      </c>
      <c r="D2750" t="s">
        <v>368</v>
      </c>
      <c r="E2750">
        <v>2</v>
      </c>
      <c r="F2750" t="s">
        <v>7382</v>
      </c>
      <c r="G2750" t="s">
        <v>842</v>
      </c>
      <c r="H2750" t="s">
        <v>843</v>
      </c>
      <c r="I2750" t="s">
        <v>844</v>
      </c>
      <c r="J2750">
        <f t="shared" ca="1" si="170"/>
        <v>2965627</v>
      </c>
      <c r="K2750">
        <f t="shared" ca="1" si="171"/>
        <v>123568</v>
      </c>
      <c r="N2750" t="str">
        <f t="shared" si="168"/>
        <v xml:space="preserve">Warwickshire2Reablement (base BCF)Home-based intermediate care servicesReablement at home (to support discharge) </v>
      </c>
      <c r="O2750" t="s">
        <v>341</v>
      </c>
      <c r="P2750" t="s">
        <v>1172</v>
      </c>
      <c r="Q2750">
        <v>2</v>
      </c>
      <c r="R2750" t="s">
        <v>6822</v>
      </c>
      <c r="S2750" t="s">
        <v>434</v>
      </c>
      <c r="T2750" t="s">
        <v>787</v>
      </c>
      <c r="U2750" t="s">
        <v>788</v>
      </c>
      <c r="W2750">
        <v>1207</v>
      </c>
      <c r="X2750">
        <v>1275</v>
      </c>
      <c r="Y2750" t="s">
        <v>789</v>
      </c>
      <c r="Z2750" t="s">
        <v>792</v>
      </c>
      <c r="AB2750" t="s">
        <v>793</v>
      </c>
      <c r="AD2750" t="s">
        <v>794</v>
      </c>
      <c r="AE2750" t="s">
        <v>795</v>
      </c>
      <c r="AF2750" t="s">
        <v>796</v>
      </c>
      <c r="AG2750" t="s">
        <v>797</v>
      </c>
      <c r="AH2750">
        <v>5206000</v>
      </c>
      <c r="AI2750">
        <v>5501468</v>
      </c>
      <c r="AJ2750">
        <v>1</v>
      </c>
    </row>
    <row r="2751" spans="1:36" x14ac:dyDescent="0.3">
      <c r="A2751">
        <f>COUNTIF($D$2:D2751,D2751)</f>
        <v>3</v>
      </c>
      <c r="B2751" t="str">
        <f t="shared" si="169"/>
        <v>3York</v>
      </c>
      <c r="C2751" t="s">
        <v>7383</v>
      </c>
      <c r="D2751" t="s">
        <v>368</v>
      </c>
      <c r="E2751">
        <v>3</v>
      </c>
      <c r="F2751" t="s">
        <v>7382</v>
      </c>
      <c r="G2751" t="s">
        <v>842</v>
      </c>
      <c r="H2751" t="s">
        <v>843</v>
      </c>
      <c r="I2751" t="s">
        <v>844</v>
      </c>
      <c r="J2751">
        <f t="shared" ca="1" si="170"/>
        <v>1189878</v>
      </c>
      <c r="K2751">
        <f t="shared" ca="1" si="171"/>
        <v>49578</v>
      </c>
      <c r="N2751" t="str">
        <f t="shared" si="168"/>
        <v>Warwickshire3Integrated Community Equipment (ICE)Assistive Technologies and EquipmentCommunity based equipment</v>
      </c>
      <c r="O2751" t="s">
        <v>341</v>
      </c>
      <c r="P2751" t="s">
        <v>1172</v>
      </c>
      <c r="Q2751">
        <v>3</v>
      </c>
      <c r="R2751" t="s">
        <v>6824</v>
      </c>
      <c r="S2751" t="s">
        <v>7384</v>
      </c>
      <c r="T2751" t="s">
        <v>800</v>
      </c>
      <c r="U2751" t="s">
        <v>903</v>
      </c>
      <c r="W2751">
        <v>4276</v>
      </c>
      <c r="X2751">
        <v>4518</v>
      </c>
      <c r="Y2751" t="s">
        <v>802</v>
      </c>
      <c r="Z2751" t="s">
        <v>792</v>
      </c>
      <c r="AB2751" t="s">
        <v>793</v>
      </c>
      <c r="AD2751" t="s">
        <v>794</v>
      </c>
      <c r="AE2751" t="s">
        <v>804</v>
      </c>
      <c r="AF2751" t="s">
        <v>796</v>
      </c>
      <c r="AG2751" t="s">
        <v>797</v>
      </c>
      <c r="AH2751">
        <v>1720000</v>
      </c>
      <c r="AI2751">
        <v>1817000</v>
      </c>
      <c r="AJ2751">
        <v>0.27200000000000002</v>
      </c>
    </row>
    <row r="2752" spans="1:36" x14ac:dyDescent="0.3">
      <c r="A2752">
        <f>COUNTIF($D$2:D2752,D2752)</f>
        <v>4</v>
      </c>
      <c r="B2752" t="str">
        <f t="shared" si="169"/>
        <v>4York</v>
      </c>
      <c r="C2752" t="s">
        <v>7385</v>
      </c>
      <c r="D2752" t="s">
        <v>368</v>
      </c>
      <c r="E2752">
        <v>4</v>
      </c>
      <c r="F2752" t="s">
        <v>7382</v>
      </c>
      <c r="G2752" t="s">
        <v>842</v>
      </c>
      <c r="H2752" t="s">
        <v>843</v>
      </c>
      <c r="I2752" t="s">
        <v>844</v>
      </c>
      <c r="J2752">
        <f t="shared" ca="1" si="170"/>
        <v>157000</v>
      </c>
      <c r="K2752">
        <f t="shared" ca="1" si="171"/>
        <v>6542</v>
      </c>
      <c r="N2752" t="str">
        <f t="shared" si="168"/>
        <v>Warwickshire4Moving on Beds (base BCF)Bed based intermediate Care Services (Reablement, rehabilitation, wider short-term services supporting recovery)Bed-based intermediate care with rehabilitation (to support discharge)</v>
      </c>
      <c r="O2752" t="s">
        <v>341</v>
      </c>
      <c r="P2752" t="s">
        <v>1172</v>
      </c>
      <c r="Q2752">
        <v>4</v>
      </c>
      <c r="R2752" t="s">
        <v>6827</v>
      </c>
      <c r="S2752" t="s">
        <v>7386</v>
      </c>
      <c r="T2752" t="s">
        <v>877</v>
      </c>
      <c r="U2752" t="s">
        <v>968</v>
      </c>
      <c r="W2752">
        <v>16</v>
      </c>
      <c r="X2752">
        <v>16</v>
      </c>
      <c r="Y2752" t="s">
        <v>879</v>
      </c>
      <c r="Z2752" t="s">
        <v>792</v>
      </c>
      <c r="AB2752" t="s">
        <v>793</v>
      </c>
      <c r="AD2752" t="s">
        <v>794</v>
      </c>
      <c r="AE2752" t="s">
        <v>804</v>
      </c>
      <c r="AF2752" t="s">
        <v>796</v>
      </c>
      <c r="AG2752" t="s">
        <v>797</v>
      </c>
      <c r="AH2752">
        <v>496000</v>
      </c>
      <c r="AI2752">
        <v>524000</v>
      </c>
      <c r="AJ2752">
        <v>0.24</v>
      </c>
    </row>
    <row r="2753" spans="1:36" x14ac:dyDescent="0.3">
      <c r="A2753">
        <f>COUNTIF($D$2:D2753,D2753)</f>
        <v>5</v>
      </c>
      <c r="B2753" t="str">
        <f t="shared" si="169"/>
        <v>5York</v>
      </c>
      <c r="C2753" t="s">
        <v>7387</v>
      </c>
      <c r="D2753" t="s">
        <v>368</v>
      </c>
      <c r="E2753">
        <v>5</v>
      </c>
      <c r="F2753" t="s">
        <v>7382</v>
      </c>
      <c r="G2753" t="s">
        <v>842</v>
      </c>
      <c r="H2753" t="s">
        <v>843</v>
      </c>
      <c r="I2753" t="s">
        <v>844</v>
      </c>
      <c r="J2753">
        <f t="shared" ca="1" si="170"/>
        <v>153416</v>
      </c>
      <c r="K2753">
        <f t="shared" ca="1" si="171"/>
        <v>6392</v>
      </c>
      <c r="N2753" t="str">
        <f t="shared" si="168"/>
        <v>Warwickshire11W-IBCF 7 - Moving on BedsBed based intermediate Care Services (Reablement, rehabilitation, wider short-term services supporting recovery)Bed-based intermediate care with rehabilitation (to support discharge)</v>
      </c>
      <c r="O2753" t="s">
        <v>341</v>
      </c>
      <c r="P2753" t="s">
        <v>1172</v>
      </c>
      <c r="Q2753">
        <v>11</v>
      </c>
      <c r="R2753" t="s">
        <v>6829</v>
      </c>
      <c r="S2753" t="s">
        <v>7388</v>
      </c>
      <c r="T2753" t="s">
        <v>877</v>
      </c>
      <c r="U2753" t="s">
        <v>968</v>
      </c>
      <c r="W2753">
        <v>9</v>
      </c>
      <c r="X2753">
        <v>9</v>
      </c>
      <c r="Y2753" t="s">
        <v>879</v>
      </c>
      <c r="Z2753" t="s">
        <v>792</v>
      </c>
      <c r="AB2753" t="s">
        <v>793</v>
      </c>
      <c r="AD2753" t="s">
        <v>794</v>
      </c>
      <c r="AE2753" t="s">
        <v>804</v>
      </c>
      <c r="AF2753" t="s">
        <v>845</v>
      </c>
      <c r="AG2753" t="s">
        <v>797</v>
      </c>
      <c r="AH2753">
        <v>310000</v>
      </c>
      <c r="AI2753">
        <v>319300</v>
      </c>
      <c r="AJ2753">
        <v>0.15</v>
      </c>
    </row>
    <row r="2754" spans="1:36" x14ac:dyDescent="0.3">
      <c r="A2754">
        <f>COUNTIF($D$2:D2754,D2754)</f>
        <v>6</v>
      </c>
      <c r="B2754" t="str">
        <f t="shared" si="169"/>
        <v>6York</v>
      </c>
      <c r="C2754" t="s">
        <v>7389</v>
      </c>
      <c r="D2754" t="s">
        <v>368</v>
      </c>
      <c r="E2754">
        <v>7</v>
      </c>
      <c r="F2754" t="s">
        <v>1781</v>
      </c>
      <c r="G2754" t="s">
        <v>811</v>
      </c>
      <c r="H2754" t="s">
        <v>830</v>
      </c>
      <c r="I2754" t="s">
        <v>813</v>
      </c>
      <c r="J2754">
        <f t="shared" ca="1" si="170"/>
        <v>715301</v>
      </c>
      <c r="K2754">
        <f t="shared" ca="1" si="171"/>
        <v>1047</v>
      </c>
      <c r="N2754" t="str">
        <f t="shared" ref="N2754:N2817" si="172">O2754&amp;Q2754&amp;R2754&amp;T2754&amp;U2754</f>
        <v>Warwickshire12W-IBCF 8 - Integrated Community Equipment additional cost pressuresAssistive Technologies and EquipmentCommunity based equipment</v>
      </c>
      <c r="O2754" t="s">
        <v>341</v>
      </c>
      <c r="P2754" t="s">
        <v>1172</v>
      </c>
      <c r="Q2754">
        <v>12</v>
      </c>
      <c r="R2754" t="s">
        <v>6831</v>
      </c>
      <c r="S2754" t="s">
        <v>7390</v>
      </c>
      <c r="T2754" t="s">
        <v>800</v>
      </c>
      <c r="U2754" t="s">
        <v>903</v>
      </c>
      <c r="W2754">
        <v>284</v>
      </c>
      <c r="X2754">
        <v>284</v>
      </c>
      <c r="Y2754" t="s">
        <v>802</v>
      </c>
      <c r="Z2754" t="s">
        <v>792</v>
      </c>
      <c r="AB2754" t="s">
        <v>793</v>
      </c>
      <c r="AD2754" t="s">
        <v>794</v>
      </c>
      <c r="AE2754" t="s">
        <v>804</v>
      </c>
      <c r="AF2754" t="s">
        <v>845</v>
      </c>
      <c r="AG2754" t="s">
        <v>797</v>
      </c>
      <c r="AH2754">
        <v>109000</v>
      </c>
      <c r="AI2754">
        <v>109000</v>
      </c>
      <c r="AJ2754">
        <v>1.7000000000000001E-2</v>
      </c>
    </row>
    <row r="2755" spans="1:36" x14ac:dyDescent="0.3">
      <c r="A2755">
        <f>COUNTIF($D$2:D2755,D2755)</f>
        <v>7</v>
      </c>
      <c r="B2755" t="str">
        <f t="shared" ref="B2755:B2776" si="173">A2755&amp;D2755</f>
        <v>7York</v>
      </c>
      <c r="C2755" t="s">
        <v>7391</v>
      </c>
      <c r="D2755" t="s">
        <v>368</v>
      </c>
      <c r="E2755">
        <v>10</v>
      </c>
      <c r="F2755" t="s">
        <v>3051</v>
      </c>
      <c r="G2755" t="s">
        <v>787</v>
      </c>
      <c r="H2755" t="s">
        <v>788</v>
      </c>
      <c r="I2755" t="s">
        <v>789</v>
      </c>
      <c r="J2755">
        <f t="shared" ref="J2755:J2776" ca="1" si="174">SUMIF($N:$AI,C2755,AH:AH)</f>
        <v>1194078</v>
      </c>
      <c r="K2755">
        <f t="shared" ref="K2755:K2776" ca="1" si="175">SUMIF($N:$AI,C2755,W:W)</f>
        <v>617</v>
      </c>
      <c r="N2755" t="str">
        <f t="shared" si="172"/>
        <v>Warwickshire13W-IBCF 10 - Carers supportCarers ServicesCarer advice and support related to Care Act duties</v>
      </c>
      <c r="O2755" t="s">
        <v>341</v>
      </c>
      <c r="P2755" t="s">
        <v>1172</v>
      </c>
      <c r="Q2755">
        <v>13</v>
      </c>
      <c r="R2755" t="s">
        <v>6833</v>
      </c>
      <c r="S2755" t="s">
        <v>7392</v>
      </c>
      <c r="T2755" t="s">
        <v>811</v>
      </c>
      <c r="U2755" t="s">
        <v>895</v>
      </c>
      <c r="W2755">
        <v>296</v>
      </c>
      <c r="X2755">
        <v>296</v>
      </c>
      <c r="Y2755" t="s">
        <v>813</v>
      </c>
      <c r="Z2755" t="s">
        <v>792</v>
      </c>
      <c r="AB2755" t="s">
        <v>793</v>
      </c>
      <c r="AD2755" t="s">
        <v>794</v>
      </c>
      <c r="AE2755" t="s">
        <v>825</v>
      </c>
      <c r="AF2755" t="s">
        <v>845</v>
      </c>
      <c r="AG2755" t="s">
        <v>797</v>
      </c>
      <c r="AH2755">
        <v>296000</v>
      </c>
      <c r="AI2755">
        <v>296000</v>
      </c>
      <c r="AJ2755">
        <v>0.14000000000000001</v>
      </c>
    </row>
    <row r="2756" spans="1:36" x14ac:dyDescent="0.3">
      <c r="A2756">
        <f>COUNTIF($D$2:D2756,D2756)</f>
        <v>8</v>
      </c>
      <c r="B2756" t="str">
        <f t="shared" si="173"/>
        <v>8York</v>
      </c>
      <c r="C2756" t="s">
        <v>7393</v>
      </c>
      <c r="D2756" t="s">
        <v>368</v>
      </c>
      <c r="E2756">
        <v>11</v>
      </c>
      <c r="F2756" t="s">
        <v>7394</v>
      </c>
      <c r="G2756" t="s">
        <v>877</v>
      </c>
      <c r="H2756" t="s">
        <v>1259</v>
      </c>
      <c r="I2756" t="s">
        <v>879</v>
      </c>
      <c r="J2756">
        <f t="shared" ca="1" si="174"/>
        <v>269982</v>
      </c>
      <c r="K2756">
        <f t="shared" ca="1" si="175"/>
        <v>572</v>
      </c>
      <c r="N2756" t="str">
        <f t="shared" si="172"/>
        <v>Warwickshire19W-IBCF 17 - Residential Respite Care Charging PolicyCarers ServicesRespite services</v>
      </c>
      <c r="O2756" t="s">
        <v>341</v>
      </c>
      <c r="P2756" t="s">
        <v>1172</v>
      </c>
      <c r="Q2756">
        <v>19</v>
      </c>
      <c r="R2756" t="s">
        <v>6835</v>
      </c>
      <c r="S2756" t="s">
        <v>7395</v>
      </c>
      <c r="T2756" t="s">
        <v>811</v>
      </c>
      <c r="U2756" t="s">
        <v>830</v>
      </c>
      <c r="W2756">
        <v>400</v>
      </c>
      <c r="X2756">
        <v>400</v>
      </c>
      <c r="Y2756" t="s">
        <v>813</v>
      </c>
      <c r="Z2756" t="s">
        <v>792</v>
      </c>
      <c r="AB2756" t="s">
        <v>793</v>
      </c>
      <c r="AD2756" t="s">
        <v>794</v>
      </c>
      <c r="AE2756" t="s">
        <v>795</v>
      </c>
      <c r="AF2756" t="s">
        <v>845</v>
      </c>
      <c r="AG2756" t="s">
        <v>797</v>
      </c>
      <c r="AH2756">
        <v>250000</v>
      </c>
      <c r="AI2756">
        <v>250000</v>
      </c>
      <c r="AJ2756">
        <v>0.12</v>
      </c>
    </row>
    <row r="2757" spans="1:36" x14ac:dyDescent="0.3">
      <c r="A2757">
        <f>COUNTIF($D$2:D2757,D2757)</f>
        <v>9</v>
      </c>
      <c r="B2757" t="str">
        <f t="shared" si="173"/>
        <v>9York</v>
      </c>
      <c r="C2757" t="s">
        <v>7396</v>
      </c>
      <c r="D2757" t="s">
        <v>368</v>
      </c>
      <c r="E2757">
        <v>12</v>
      </c>
      <c r="F2757" t="s">
        <v>7397</v>
      </c>
      <c r="G2757" t="s">
        <v>800</v>
      </c>
      <c r="H2757" t="s">
        <v>850</v>
      </c>
      <c r="I2757" t="s">
        <v>802</v>
      </c>
      <c r="J2757">
        <f t="shared" ca="1" si="174"/>
        <v>210035</v>
      </c>
      <c r="K2757">
        <f t="shared" ca="1" si="175"/>
        <v>224</v>
      </c>
      <c r="N2757" t="str">
        <f t="shared" si="172"/>
        <v>Warwickshire20W-IBCF 19 - Protecting older people community care budgets Residential PlacementsCare home</v>
      </c>
      <c r="O2757" t="s">
        <v>341</v>
      </c>
      <c r="P2757" t="s">
        <v>1172</v>
      </c>
      <c r="Q2757">
        <v>20</v>
      </c>
      <c r="R2757" t="s">
        <v>6838</v>
      </c>
      <c r="S2757" t="s">
        <v>7398</v>
      </c>
      <c r="T2757" t="s">
        <v>806</v>
      </c>
      <c r="U2757" t="s">
        <v>807</v>
      </c>
      <c r="W2757">
        <v>72</v>
      </c>
      <c r="X2757">
        <v>72</v>
      </c>
      <c r="Y2757" t="s">
        <v>808</v>
      </c>
      <c r="Z2757" t="s">
        <v>792</v>
      </c>
      <c r="AB2757" t="s">
        <v>793</v>
      </c>
      <c r="AD2757" t="s">
        <v>794</v>
      </c>
      <c r="AE2757" t="s">
        <v>804</v>
      </c>
      <c r="AF2757" t="s">
        <v>845</v>
      </c>
      <c r="AG2757" t="s">
        <v>797</v>
      </c>
      <c r="AH2757">
        <v>3322281</v>
      </c>
      <c r="AI2757">
        <v>3300671</v>
      </c>
      <c r="AJ2757">
        <v>0.02</v>
      </c>
    </row>
    <row r="2758" spans="1:36" x14ac:dyDescent="0.3">
      <c r="A2758">
        <f>COUNTIF($D$2:D2758,D2758)</f>
        <v>10</v>
      </c>
      <c r="B2758" t="str">
        <f t="shared" si="173"/>
        <v>10York</v>
      </c>
      <c r="C2758" t="s">
        <v>7399</v>
      </c>
      <c r="D2758" t="s">
        <v>368</v>
      </c>
      <c r="E2758">
        <v>13</v>
      </c>
      <c r="F2758" t="s">
        <v>1051</v>
      </c>
      <c r="G2758" t="s">
        <v>800</v>
      </c>
      <c r="H2758" t="s">
        <v>903</v>
      </c>
      <c r="I2758" t="s">
        <v>802</v>
      </c>
      <c r="J2758">
        <f t="shared" ca="1" si="174"/>
        <v>196327</v>
      </c>
      <c r="K2758">
        <f t="shared" ca="1" si="175"/>
        <v>1102</v>
      </c>
      <c r="N2758" t="str">
        <f t="shared" si="172"/>
        <v>Warwickshire21W-IBCF 20 -Protecting older people community care budgets Home Care or Domiciliary CareDomiciliary care packages</v>
      </c>
      <c r="O2758" t="s">
        <v>341</v>
      </c>
      <c r="P2758" t="s">
        <v>1172</v>
      </c>
      <c r="Q2758">
        <v>21</v>
      </c>
      <c r="R2758" t="s">
        <v>6840</v>
      </c>
      <c r="S2758" t="s">
        <v>7400</v>
      </c>
      <c r="T2758" t="s">
        <v>842</v>
      </c>
      <c r="U2758" t="s">
        <v>843</v>
      </c>
      <c r="W2758">
        <v>107149</v>
      </c>
      <c r="X2758">
        <v>107149</v>
      </c>
      <c r="Y2758" t="s">
        <v>844</v>
      </c>
      <c r="Z2758" t="s">
        <v>792</v>
      </c>
      <c r="AB2758" t="s">
        <v>793</v>
      </c>
      <c r="AD2758" t="s">
        <v>794</v>
      </c>
      <c r="AE2758" t="s">
        <v>804</v>
      </c>
      <c r="AF2758" t="s">
        <v>845</v>
      </c>
      <c r="AG2758" t="s">
        <v>797</v>
      </c>
      <c r="AH2758">
        <v>2450000</v>
      </c>
      <c r="AI2758">
        <v>2523500</v>
      </c>
      <c r="AJ2758">
        <v>0.02</v>
      </c>
    </row>
    <row r="2759" spans="1:36" x14ac:dyDescent="0.3">
      <c r="A2759">
        <f>COUNTIF($D$2:D2759,D2759)</f>
        <v>11</v>
      </c>
      <c r="B2759" t="str">
        <f t="shared" si="173"/>
        <v>11York</v>
      </c>
      <c r="C2759" t="s">
        <v>7401</v>
      </c>
      <c r="D2759" t="s">
        <v>368</v>
      </c>
      <c r="E2759">
        <v>15</v>
      </c>
      <c r="F2759" t="s">
        <v>7382</v>
      </c>
      <c r="G2759" t="s">
        <v>842</v>
      </c>
      <c r="H2759" t="s">
        <v>843</v>
      </c>
      <c r="I2759" t="s">
        <v>844</v>
      </c>
      <c r="J2759">
        <f t="shared" ca="1" si="174"/>
        <v>184871</v>
      </c>
      <c r="K2759">
        <f t="shared" ca="1" si="175"/>
        <v>7703</v>
      </c>
      <c r="N2759" t="str">
        <f t="shared" si="172"/>
        <v>Warwickshire22W-IBCF 21 - Protecting NHS budgets through night support in ECH and Specialised SettingsHome Care or Domiciliary CareDomiciliary care packages</v>
      </c>
      <c r="O2759" t="s">
        <v>341</v>
      </c>
      <c r="P2759" t="s">
        <v>1172</v>
      </c>
      <c r="Q2759">
        <v>22</v>
      </c>
      <c r="R2759" t="s">
        <v>6842</v>
      </c>
      <c r="S2759" t="s">
        <v>7402</v>
      </c>
      <c r="T2759" t="s">
        <v>842</v>
      </c>
      <c r="U2759" t="s">
        <v>843</v>
      </c>
      <c r="W2759">
        <v>31085</v>
      </c>
      <c r="X2759">
        <v>32018</v>
      </c>
      <c r="Y2759" t="s">
        <v>844</v>
      </c>
      <c r="Z2759" t="s">
        <v>792</v>
      </c>
      <c r="AB2759" t="s">
        <v>793</v>
      </c>
      <c r="AD2759" t="s">
        <v>794</v>
      </c>
      <c r="AE2759" t="s">
        <v>804</v>
      </c>
      <c r="AF2759" t="s">
        <v>845</v>
      </c>
      <c r="AG2759" t="s">
        <v>797</v>
      </c>
      <c r="AH2759">
        <v>530000</v>
      </c>
      <c r="AI2759">
        <v>545900</v>
      </c>
      <c r="AJ2759">
        <v>0.01</v>
      </c>
    </row>
    <row r="2760" spans="1:36" x14ac:dyDescent="0.3">
      <c r="A2760">
        <f>COUNTIF($D$2:D2760,D2760)</f>
        <v>12</v>
      </c>
      <c r="B2760" t="str">
        <f t="shared" si="173"/>
        <v>12York</v>
      </c>
      <c r="C2760" t="s">
        <v>7403</v>
      </c>
      <c r="D2760" t="s">
        <v>368</v>
      </c>
      <c r="E2760">
        <v>25</v>
      </c>
      <c r="F2760" t="s">
        <v>7404</v>
      </c>
      <c r="G2760" t="s">
        <v>877</v>
      </c>
      <c r="H2760" t="s">
        <v>968</v>
      </c>
      <c r="I2760" t="s">
        <v>879</v>
      </c>
      <c r="J2760">
        <f t="shared" ca="1" si="174"/>
        <v>46462</v>
      </c>
      <c r="K2760">
        <f t="shared" ca="1" si="175"/>
        <v>104</v>
      </c>
      <c r="N2760" t="str">
        <f t="shared" si="172"/>
        <v>Warwickshire28Carers Breaks (base BCFCarers ServicesRespite services</v>
      </c>
      <c r="O2760" t="s">
        <v>341</v>
      </c>
      <c r="P2760" t="s">
        <v>1172</v>
      </c>
      <c r="Q2760">
        <v>28</v>
      </c>
      <c r="R2760" t="s">
        <v>6845</v>
      </c>
      <c r="S2760" t="s">
        <v>7405</v>
      </c>
      <c r="T2760" t="s">
        <v>811</v>
      </c>
      <c r="U2760" t="s">
        <v>830</v>
      </c>
      <c r="W2760">
        <v>719</v>
      </c>
      <c r="X2760">
        <v>760</v>
      </c>
      <c r="Y2760" t="s">
        <v>813</v>
      </c>
      <c r="Z2760" t="s">
        <v>823</v>
      </c>
      <c r="AB2760" t="s">
        <v>824</v>
      </c>
      <c r="AD2760" t="s">
        <v>794</v>
      </c>
      <c r="AE2760" t="s">
        <v>1107</v>
      </c>
      <c r="AF2760" t="s">
        <v>796</v>
      </c>
      <c r="AG2760" t="s">
        <v>797</v>
      </c>
      <c r="AH2760">
        <v>1079845</v>
      </c>
      <c r="AI2760">
        <v>1140964</v>
      </c>
      <c r="AJ2760">
        <v>0.51</v>
      </c>
    </row>
    <row r="2761" spans="1:36" x14ac:dyDescent="0.3">
      <c r="A2761">
        <f>COUNTIF($D$2:D2761,D2761)</f>
        <v>13</v>
      </c>
      <c r="B2761" t="str">
        <f t="shared" si="173"/>
        <v>13York</v>
      </c>
      <c r="C2761" t="s">
        <v>7406</v>
      </c>
      <c r="D2761" t="s">
        <v>368</v>
      </c>
      <c r="E2761">
        <v>27</v>
      </c>
      <c r="F2761" t="s">
        <v>1008</v>
      </c>
      <c r="G2761" t="s">
        <v>842</v>
      </c>
      <c r="H2761" t="s">
        <v>843</v>
      </c>
      <c r="I2761" t="s">
        <v>844</v>
      </c>
      <c r="J2761">
        <f t="shared" ca="1" si="174"/>
        <v>31880</v>
      </c>
      <c r="K2761">
        <f t="shared" ca="1" si="175"/>
        <v>2340</v>
      </c>
      <c r="N2761" t="str">
        <f t="shared" si="172"/>
        <v>Warwickshire30Discharge to Assess Beds - D2A (base BCF)Bed based intermediate Care Services (Reablement, rehabilitation, wider short-term services supporting recovery)Bed-based intermediate care with rehabilitation (to support discharge)</v>
      </c>
      <c r="O2761" t="s">
        <v>341</v>
      </c>
      <c r="P2761" t="s">
        <v>1172</v>
      </c>
      <c r="Q2761">
        <v>30</v>
      </c>
      <c r="R2761" t="s">
        <v>6847</v>
      </c>
      <c r="S2761" t="s">
        <v>7407</v>
      </c>
      <c r="T2761" t="s">
        <v>877</v>
      </c>
      <c r="U2761" t="s">
        <v>968</v>
      </c>
      <c r="W2761">
        <v>439</v>
      </c>
      <c r="X2761">
        <v>464</v>
      </c>
      <c r="Y2761" t="s">
        <v>879</v>
      </c>
      <c r="Z2761" t="s">
        <v>823</v>
      </c>
      <c r="AB2761" t="s">
        <v>824</v>
      </c>
      <c r="AD2761" t="s">
        <v>794</v>
      </c>
      <c r="AE2761" t="s">
        <v>804</v>
      </c>
      <c r="AF2761" t="s">
        <v>796</v>
      </c>
      <c r="AG2761" t="s">
        <v>797</v>
      </c>
      <c r="AH2761">
        <v>1287770</v>
      </c>
      <c r="AI2761">
        <v>1360658</v>
      </c>
      <c r="AJ2761">
        <v>0.62</v>
      </c>
    </row>
    <row r="2762" spans="1:36" x14ac:dyDescent="0.3">
      <c r="A2762">
        <f>COUNTIF($D$2:D2762,D2762)</f>
        <v>14</v>
      </c>
      <c r="B2762" t="str">
        <f t="shared" si="173"/>
        <v>14York</v>
      </c>
      <c r="C2762" t="s">
        <v>7408</v>
      </c>
      <c r="D2762" t="s">
        <v>368</v>
      </c>
      <c r="E2762">
        <v>28</v>
      </c>
      <c r="F2762" t="s">
        <v>1008</v>
      </c>
      <c r="G2762" t="s">
        <v>842</v>
      </c>
      <c r="H2762" t="s">
        <v>843</v>
      </c>
      <c r="I2762" t="s">
        <v>844</v>
      </c>
      <c r="J2762">
        <f t="shared" ca="1" si="174"/>
        <v>23315</v>
      </c>
      <c r="K2762">
        <f t="shared" ca="1" si="175"/>
        <v>1560</v>
      </c>
      <c r="N2762" t="str">
        <f t="shared" si="172"/>
        <v>Warwickshire31Joint Funded Packages (base BCF)Home Care or Domiciliary CareDomiciliary care packages</v>
      </c>
      <c r="O2762" t="s">
        <v>341</v>
      </c>
      <c r="P2762" t="s">
        <v>1172</v>
      </c>
      <c r="Q2762">
        <v>31</v>
      </c>
      <c r="R2762" t="s">
        <v>6849</v>
      </c>
      <c r="S2762" t="s">
        <v>7409</v>
      </c>
      <c r="T2762" t="s">
        <v>842</v>
      </c>
      <c r="U2762" t="s">
        <v>843</v>
      </c>
      <c r="W2762">
        <v>9827</v>
      </c>
      <c r="X2762">
        <v>10129</v>
      </c>
      <c r="Y2762" t="s">
        <v>844</v>
      </c>
      <c r="Z2762" t="s">
        <v>1061</v>
      </c>
      <c r="AB2762" t="s">
        <v>824</v>
      </c>
      <c r="AD2762" t="s">
        <v>794</v>
      </c>
      <c r="AE2762" t="s">
        <v>804</v>
      </c>
      <c r="AF2762" t="s">
        <v>796</v>
      </c>
      <c r="AG2762" t="s">
        <v>797</v>
      </c>
      <c r="AH2762">
        <v>2359603</v>
      </c>
      <c r="AI2762">
        <v>2493156</v>
      </c>
      <c r="AJ2762">
        <v>0.02</v>
      </c>
    </row>
    <row r="2763" spans="1:36" x14ac:dyDescent="0.3">
      <c r="A2763">
        <f>COUNTIF($D$2:D2763,D2763)</f>
        <v>15</v>
      </c>
      <c r="B2763" t="str">
        <f t="shared" si="173"/>
        <v>15York</v>
      </c>
      <c r="C2763" t="s">
        <v>7410</v>
      </c>
      <c r="D2763" t="s">
        <v>368</v>
      </c>
      <c r="E2763">
        <v>29</v>
      </c>
      <c r="F2763" t="s">
        <v>7411</v>
      </c>
      <c r="G2763" t="s">
        <v>877</v>
      </c>
      <c r="H2763" t="s">
        <v>1259</v>
      </c>
      <c r="I2763" t="s">
        <v>879</v>
      </c>
      <c r="J2763">
        <f t="shared" ca="1" si="174"/>
        <v>40170</v>
      </c>
      <c r="K2763">
        <f t="shared" ca="1" si="175"/>
        <v>45</v>
      </c>
      <c r="N2763" t="str">
        <f t="shared" si="172"/>
        <v>Warwickshire39Residential placements supported living (ICB aligned budgets)Residential PlacementsSupported housing</v>
      </c>
      <c r="O2763" t="s">
        <v>341</v>
      </c>
      <c r="P2763" t="s">
        <v>1172</v>
      </c>
      <c r="Q2763">
        <v>39</v>
      </c>
      <c r="R2763" t="s">
        <v>6851</v>
      </c>
      <c r="S2763" t="s">
        <v>6424</v>
      </c>
      <c r="T2763" t="s">
        <v>806</v>
      </c>
      <c r="U2763" t="s">
        <v>873</v>
      </c>
      <c r="W2763">
        <v>1357</v>
      </c>
      <c r="X2763">
        <v>1463</v>
      </c>
      <c r="Y2763" t="s">
        <v>808</v>
      </c>
      <c r="Z2763" t="s">
        <v>1061</v>
      </c>
      <c r="AB2763" t="s">
        <v>824</v>
      </c>
      <c r="AD2763" t="s">
        <v>794</v>
      </c>
      <c r="AE2763" t="s">
        <v>804</v>
      </c>
      <c r="AF2763" t="s">
        <v>1042</v>
      </c>
      <c r="AG2763" t="s">
        <v>797</v>
      </c>
      <c r="AH2763">
        <v>2201588</v>
      </c>
      <c r="AI2763">
        <v>2326198</v>
      </c>
      <c r="AJ2763">
        <v>0.02</v>
      </c>
    </row>
    <row r="2764" spans="1:36" x14ac:dyDescent="0.3">
      <c r="A2764">
        <f>COUNTIF($D$2:D2764,D2764)</f>
        <v>16</v>
      </c>
      <c r="B2764" t="str">
        <f t="shared" si="173"/>
        <v>16York</v>
      </c>
      <c r="C2764" t="s">
        <v>7412</v>
      </c>
      <c r="D2764" t="s">
        <v>368</v>
      </c>
      <c r="E2764">
        <v>30</v>
      </c>
      <c r="F2764" t="s">
        <v>7411</v>
      </c>
      <c r="G2764" t="s">
        <v>806</v>
      </c>
      <c r="H2764" t="s">
        <v>807</v>
      </c>
      <c r="I2764" t="s">
        <v>808</v>
      </c>
      <c r="J2764">
        <f t="shared" ca="1" si="174"/>
        <v>230720</v>
      </c>
      <c r="K2764">
        <f t="shared" ca="1" si="175"/>
        <v>256</v>
      </c>
      <c r="N2764" t="str">
        <f t="shared" si="172"/>
        <v>Warwickshire40Domicilary Care (ICB aligned budgets)Home Care or Domiciliary CareDomiciliary care packages</v>
      </c>
      <c r="O2764" t="s">
        <v>341</v>
      </c>
      <c r="P2764" t="s">
        <v>1172</v>
      </c>
      <c r="Q2764">
        <v>40</v>
      </c>
      <c r="R2764" t="s">
        <v>6853</v>
      </c>
      <c r="S2764" t="s">
        <v>7413</v>
      </c>
      <c r="T2764" t="s">
        <v>842</v>
      </c>
      <c r="U2764" t="s">
        <v>843</v>
      </c>
      <c r="W2764">
        <v>97031</v>
      </c>
      <c r="X2764">
        <v>102522</v>
      </c>
      <c r="Y2764" t="s">
        <v>844</v>
      </c>
      <c r="Z2764" t="s">
        <v>1061</v>
      </c>
      <c r="AB2764" t="s">
        <v>824</v>
      </c>
      <c r="AD2764" t="s">
        <v>794</v>
      </c>
      <c r="AE2764" t="s">
        <v>804</v>
      </c>
      <c r="AF2764" t="s">
        <v>1042</v>
      </c>
      <c r="AG2764" t="s">
        <v>797</v>
      </c>
      <c r="AH2764">
        <v>23298534</v>
      </c>
      <c r="AI2764">
        <v>24617231</v>
      </c>
      <c r="AJ2764">
        <v>0.23</v>
      </c>
    </row>
    <row r="2765" spans="1:36" x14ac:dyDescent="0.3">
      <c r="A2765">
        <f>COUNTIF($D$2:D2765,D2765)</f>
        <v>17</v>
      </c>
      <c r="B2765" t="str">
        <f t="shared" si="173"/>
        <v>17York</v>
      </c>
      <c r="C2765" t="s">
        <v>7414</v>
      </c>
      <c r="D2765" t="s">
        <v>368</v>
      </c>
      <c r="E2765">
        <v>31</v>
      </c>
      <c r="F2765" t="s">
        <v>7411</v>
      </c>
      <c r="G2765" t="s">
        <v>806</v>
      </c>
      <c r="H2765" t="s">
        <v>807</v>
      </c>
      <c r="I2765" t="s">
        <v>808</v>
      </c>
      <c r="J2765">
        <f t="shared" ca="1" si="174"/>
        <v>361530</v>
      </c>
      <c r="K2765">
        <f t="shared" ca="1" si="175"/>
        <v>402</v>
      </c>
      <c r="N2765" t="str">
        <f t="shared" si="172"/>
        <v>Warwickshire42Domiciliary Care (WCC aligned budget)Home Care or Domiciliary CareDomiciliary care packages</v>
      </c>
      <c r="O2765" t="s">
        <v>341</v>
      </c>
      <c r="P2765" t="s">
        <v>1172</v>
      </c>
      <c r="Q2765">
        <v>42</v>
      </c>
      <c r="R2765" t="s">
        <v>6855</v>
      </c>
      <c r="S2765" t="s">
        <v>7415</v>
      </c>
      <c r="T2765" t="s">
        <v>842</v>
      </c>
      <c r="U2765" t="s">
        <v>843</v>
      </c>
      <c r="W2765">
        <v>813701</v>
      </c>
      <c r="X2765">
        <v>813701</v>
      </c>
      <c r="Y2765" t="s">
        <v>844</v>
      </c>
      <c r="Z2765" t="s">
        <v>792</v>
      </c>
      <c r="AB2765" t="s">
        <v>793</v>
      </c>
      <c r="AD2765" t="s">
        <v>794</v>
      </c>
      <c r="AE2765" t="s">
        <v>804</v>
      </c>
      <c r="AF2765" t="s">
        <v>1029</v>
      </c>
      <c r="AG2765" t="s">
        <v>797</v>
      </c>
      <c r="AH2765">
        <v>18605641</v>
      </c>
      <c r="AI2765">
        <v>18932290</v>
      </c>
      <c r="AJ2765">
        <v>0.18</v>
      </c>
    </row>
    <row r="2766" spans="1:36" x14ac:dyDescent="0.3">
      <c r="A2766">
        <f>COUNTIF($D$2:D2766,D2766)</f>
        <v>18</v>
      </c>
      <c r="B2766" t="str">
        <f t="shared" si="173"/>
        <v>18York</v>
      </c>
      <c r="C2766" t="s">
        <v>7416</v>
      </c>
      <c r="D2766" t="s">
        <v>368</v>
      </c>
      <c r="E2766">
        <v>33</v>
      </c>
      <c r="F2766" t="s">
        <v>7411</v>
      </c>
      <c r="G2766" t="s">
        <v>842</v>
      </c>
      <c r="H2766" t="s">
        <v>856</v>
      </c>
      <c r="I2766" t="s">
        <v>844</v>
      </c>
      <c r="J2766">
        <f t="shared" ca="1" si="174"/>
        <v>86520</v>
      </c>
      <c r="K2766">
        <f t="shared" ca="1" si="175"/>
        <v>3605</v>
      </c>
      <c r="N2766" t="str">
        <f t="shared" si="172"/>
        <v>Warwickshire43Residential Care (WCC aligned budget)Residential PlacementsCare home</v>
      </c>
      <c r="O2766" t="s">
        <v>341</v>
      </c>
      <c r="P2766" t="s">
        <v>1172</v>
      </c>
      <c r="Q2766">
        <v>43</v>
      </c>
      <c r="R2766" t="s">
        <v>6857</v>
      </c>
      <c r="S2766" t="s">
        <v>7417</v>
      </c>
      <c r="T2766" t="s">
        <v>806</v>
      </c>
      <c r="U2766" t="s">
        <v>807</v>
      </c>
      <c r="W2766">
        <v>1528</v>
      </c>
      <c r="X2766">
        <v>1528</v>
      </c>
      <c r="Y2766" t="s">
        <v>808</v>
      </c>
      <c r="Z2766" t="s">
        <v>792</v>
      </c>
      <c r="AB2766" t="s">
        <v>793</v>
      </c>
      <c r="AD2766" t="s">
        <v>794</v>
      </c>
      <c r="AE2766" t="s">
        <v>804</v>
      </c>
      <c r="AF2766" t="s">
        <v>1029</v>
      </c>
      <c r="AG2766" t="s">
        <v>797</v>
      </c>
      <c r="AH2766">
        <v>72701298</v>
      </c>
      <c r="AI2766">
        <v>74886215</v>
      </c>
      <c r="AJ2766">
        <v>0.52</v>
      </c>
    </row>
    <row r="2767" spans="1:36" x14ac:dyDescent="0.3">
      <c r="A2767">
        <f>COUNTIF($D$2:D2767,D2767)</f>
        <v>19</v>
      </c>
      <c r="B2767" t="str">
        <f t="shared" si="173"/>
        <v>19York</v>
      </c>
      <c r="C2767" t="s">
        <v>7418</v>
      </c>
      <c r="D2767" t="s">
        <v>368</v>
      </c>
      <c r="E2767">
        <v>37</v>
      </c>
      <c r="F2767" t="s">
        <v>7419</v>
      </c>
      <c r="G2767" t="s">
        <v>842</v>
      </c>
      <c r="H2767" t="s">
        <v>843</v>
      </c>
      <c r="I2767" t="s">
        <v>844</v>
      </c>
      <c r="J2767">
        <f t="shared" ca="1" si="174"/>
        <v>173078</v>
      </c>
      <c r="K2767">
        <f t="shared" ca="1" si="175"/>
        <v>6033</v>
      </c>
      <c r="N2767" t="str">
        <f t="shared" si="172"/>
        <v>Warwickshire44Nursing Care (WCC aligned budget)Residential PlacementsNursing home</v>
      </c>
      <c r="O2767" t="s">
        <v>341</v>
      </c>
      <c r="P2767" t="s">
        <v>1172</v>
      </c>
      <c r="Q2767">
        <v>44</v>
      </c>
      <c r="R2767" t="s">
        <v>6859</v>
      </c>
      <c r="S2767" t="s">
        <v>7420</v>
      </c>
      <c r="T2767" t="s">
        <v>806</v>
      </c>
      <c r="U2767" t="s">
        <v>917</v>
      </c>
      <c r="W2767">
        <v>475</v>
      </c>
      <c r="X2767">
        <v>475</v>
      </c>
      <c r="Y2767" t="s">
        <v>808</v>
      </c>
      <c r="Z2767" t="s">
        <v>792</v>
      </c>
      <c r="AB2767" t="s">
        <v>793</v>
      </c>
      <c r="AD2767" t="s">
        <v>794</v>
      </c>
      <c r="AE2767" t="s">
        <v>804</v>
      </c>
      <c r="AF2767" t="s">
        <v>1029</v>
      </c>
      <c r="AG2767" t="s">
        <v>797</v>
      </c>
      <c r="AH2767">
        <v>21131666</v>
      </c>
      <c r="AI2767">
        <v>21764567</v>
      </c>
      <c r="AJ2767">
        <v>0.15</v>
      </c>
    </row>
    <row r="2768" spans="1:36" x14ac:dyDescent="0.3">
      <c r="A2768">
        <f>COUNTIF($D$2:D2768,D2768)</f>
        <v>20</v>
      </c>
      <c r="B2768" t="str">
        <f t="shared" si="173"/>
        <v>20York</v>
      </c>
      <c r="C2768" t="s">
        <v>7421</v>
      </c>
      <c r="D2768" t="s">
        <v>368</v>
      </c>
      <c r="E2768">
        <v>42</v>
      </c>
      <c r="F2768" t="s">
        <v>7394</v>
      </c>
      <c r="G2768" t="s">
        <v>877</v>
      </c>
      <c r="H2768" t="s">
        <v>878</v>
      </c>
      <c r="I2768" t="s">
        <v>879</v>
      </c>
      <c r="J2768">
        <f t="shared" ca="1" si="174"/>
        <v>205896</v>
      </c>
      <c r="K2768">
        <f t="shared" ca="1" si="175"/>
        <v>104</v>
      </c>
      <c r="N2768" t="str">
        <f t="shared" si="172"/>
        <v>Warwickshire46Carers (WCC aligned budget)Carers ServicesOther</v>
      </c>
      <c r="O2768" t="s">
        <v>341</v>
      </c>
      <c r="P2768" t="s">
        <v>1172</v>
      </c>
      <c r="Q2768">
        <v>46</v>
      </c>
      <c r="R2768" t="s">
        <v>6861</v>
      </c>
      <c r="S2768" t="s">
        <v>7422</v>
      </c>
      <c r="T2768" t="s">
        <v>811</v>
      </c>
      <c r="U2768" t="s">
        <v>812</v>
      </c>
      <c r="V2768" t="s">
        <v>6714</v>
      </c>
      <c r="W2768">
        <v>3317</v>
      </c>
      <c r="X2768">
        <v>3317</v>
      </c>
      <c r="Y2768" t="s">
        <v>813</v>
      </c>
      <c r="Z2768" t="s">
        <v>792</v>
      </c>
      <c r="AB2768" t="s">
        <v>793</v>
      </c>
      <c r="AD2768" t="s">
        <v>794</v>
      </c>
      <c r="AE2768" t="s">
        <v>825</v>
      </c>
      <c r="AF2768" t="s">
        <v>1029</v>
      </c>
      <c r="AG2768" t="s">
        <v>797</v>
      </c>
      <c r="AH2768">
        <v>510000</v>
      </c>
      <c r="AI2768">
        <v>525000</v>
      </c>
      <c r="AJ2768">
        <v>0.24</v>
      </c>
    </row>
    <row r="2769" spans="1:36" x14ac:dyDescent="0.3">
      <c r="A2769">
        <f>COUNTIF($D$2:D2769,D2769)</f>
        <v>21</v>
      </c>
      <c r="B2769" t="str">
        <f t="shared" si="173"/>
        <v>21York</v>
      </c>
      <c r="C2769" t="s">
        <v>7423</v>
      </c>
      <c r="D2769" t="s">
        <v>368</v>
      </c>
      <c r="E2769">
        <v>46</v>
      </c>
      <c r="F2769" t="s">
        <v>7394</v>
      </c>
      <c r="G2769" t="s">
        <v>877</v>
      </c>
      <c r="H2769" t="s">
        <v>1259</v>
      </c>
      <c r="I2769" t="s">
        <v>879</v>
      </c>
      <c r="J2769">
        <f t="shared" ca="1" si="174"/>
        <v>91440</v>
      </c>
      <c r="K2769">
        <f t="shared" ca="1" si="175"/>
        <v>91</v>
      </c>
      <c r="N2769" t="str">
        <f t="shared" si="172"/>
        <v>Warwickshire48Community Recovery Service (ASC Discharge fundingHome Care or Domiciliary CareShort term domiciliary care (without reablement input)</v>
      </c>
      <c r="O2769" t="s">
        <v>341</v>
      </c>
      <c r="P2769" t="s">
        <v>1172</v>
      </c>
      <c r="Q2769">
        <v>48</v>
      </c>
      <c r="R2769" t="s">
        <v>6863</v>
      </c>
      <c r="S2769" t="s">
        <v>7424</v>
      </c>
      <c r="T2769" t="s">
        <v>842</v>
      </c>
      <c r="U2769" t="s">
        <v>1102</v>
      </c>
      <c r="W2769">
        <v>2905</v>
      </c>
      <c r="X2769">
        <v>4842</v>
      </c>
      <c r="Y2769" t="s">
        <v>789</v>
      </c>
      <c r="Z2769" t="s">
        <v>792</v>
      </c>
      <c r="AB2769" t="s">
        <v>793</v>
      </c>
      <c r="AD2769" t="s">
        <v>794</v>
      </c>
      <c r="AE2769" t="s">
        <v>804</v>
      </c>
      <c r="AF2769" t="s">
        <v>864</v>
      </c>
      <c r="AG2769" t="s">
        <v>861</v>
      </c>
      <c r="AH2769">
        <v>1002363</v>
      </c>
      <c r="AI2769">
        <v>1670605</v>
      </c>
      <c r="AJ2769">
        <v>0.01</v>
      </c>
    </row>
    <row r="2770" spans="1:36" x14ac:dyDescent="0.3">
      <c r="A2770">
        <f>COUNTIF($D$2:D2770,D2770)</f>
        <v>22</v>
      </c>
      <c r="B2770" t="str">
        <f t="shared" si="173"/>
        <v>22York</v>
      </c>
      <c r="C2770" t="s">
        <v>7425</v>
      </c>
      <c r="D2770" t="s">
        <v>368</v>
      </c>
      <c r="E2770">
        <v>47</v>
      </c>
      <c r="F2770" t="s">
        <v>7394</v>
      </c>
      <c r="G2770" t="s">
        <v>877</v>
      </c>
      <c r="H2770" t="s">
        <v>1259</v>
      </c>
      <c r="I2770" t="s">
        <v>879</v>
      </c>
      <c r="J2770">
        <f t="shared" ca="1" si="174"/>
        <v>49000</v>
      </c>
      <c r="K2770">
        <f t="shared" ca="1" si="175"/>
        <v>49</v>
      </c>
      <c r="N2770" t="str">
        <f t="shared" si="172"/>
        <v>Warwickshire49Residential Care (ASC Discharge Funding)Residential PlacementsShort term residential care (without rehabilitation or reablement input)</v>
      </c>
      <c r="O2770" t="s">
        <v>341</v>
      </c>
      <c r="P2770" t="s">
        <v>1172</v>
      </c>
      <c r="Q2770">
        <v>49</v>
      </c>
      <c r="R2770" t="s">
        <v>6865</v>
      </c>
      <c r="S2770" t="s">
        <v>7426</v>
      </c>
      <c r="T2770" t="s">
        <v>806</v>
      </c>
      <c r="U2770" t="s">
        <v>955</v>
      </c>
      <c r="W2770">
        <v>23</v>
      </c>
      <c r="X2770">
        <v>23</v>
      </c>
      <c r="Y2770" t="s">
        <v>808</v>
      </c>
      <c r="Z2770" t="s">
        <v>792</v>
      </c>
      <c r="AB2770" t="s">
        <v>793</v>
      </c>
      <c r="AD2770" t="s">
        <v>794</v>
      </c>
      <c r="AE2770" t="s">
        <v>804</v>
      </c>
      <c r="AF2770" t="s">
        <v>864</v>
      </c>
      <c r="AG2770" t="s">
        <v>861</v>
      </c>
      <c r="AH2770">
        <v>1119299</v>
      </c>
      <c r="AI2770">
        <v>1865498</v>
      </c>
      <c r="AJ2770">
        <v>0.01</v>
      </c>
    </row>
    <row r="2771" spans="1:36" x14ac:dyDescent="0.3">
      <c r="A2771">
        <f>COUNTIF($D$2:D2771,D2771)</f>
        <v>23</v>
      </c>
      <c r="B2771" t="str">
        <f t="shared" si="173"/>
        <v>23York</v>
      </c>
      <c r="C2771" t="s">
        <v>7427</v>
      </c>
      <c r="D2771" t="s">
        <v>368</v>
      </c>
      <c r="E2771">
        <v>56</v>
      </c>
      <c r="F2771" t="s">
        <v>7382</v>
      </c>
      <c r="G2771" t="s">
        <v>842</v>
      </c>
      <c r="H2771" t="s">
        <v>856</v>
      </c>
      <c r="I2771" t="s">
        <v>844</v>
      </c>
      <c r="J2771">
        <f t="shared" ca="1" si="174"/>
        <v>212444</v>
      </c>
      <c r="K2771">
        <f t="shared" ca="1" si="175"/>
        <v>8237</v>
      </c>
      <c r="N2771" t="str">
        <f t="shared" si="172"/>
        <v>Warwickshire50Community Recovery Service (ICB Discharge funding)Home Care or Domiciliary CareShort term domiciliary care (without reablement input)</v>
      </c>
      <c r="O2771" t="s">
        <v>341</v>
      </c>
      <c r="P2771" t="s">
        <v>1172</v>
      </c>
      <c r="Q2771">
        <v>50</v>
      </c>
      <c r="R2771" t="s">
        <v>6867</v>
      </c>
      <c r="S2771" t="s">
        <v>7424</v>
      </c>
      <c r="T2771" t="s">
        <v>842</v>
      </c>
      <c r="U2771" t="s">
        <v>1102</v>
      </c>
      <c r="W2771">
        <v>4877</v>
      </c>
      <c r="X2771">
        <v>8128</v>
      </c>
      <c r="Y2771" t="s">
        <v>789</v>
      </c>
      <c r="Z2771" t="s">
        <v>1061</v>
      </c>
      <c r="AB2771" t="s">
        <v>824</v>
      </c>
      <c r="AD2771" t="s">
        <v>794</v>
      </c>
      <c r="AE2771" t="s">
        <v>804</v>
      </c>
      <c r="AF2771" t="s">
        <v>860</v>
      </c>
      <c r="AG2771" t="s">
        <v>861</v>
      </c>
      <c r="AH2771">
        <v>2114454</v>
      </c>
      <c r="AI2771">
        <v>2804847</v>
      </c>
      <c r="AJ2771">
        <v>0.02</v>
      </c>
    </row>
    <row r="2772" spans="1:36" x14ac:dyDescent="0.3">
      <c r="A2772">
        <f>COUNTIF($D$2:D2772,D2772)</f>
        <v>24</v>
      </c>
      <c r="B2772" t="str">
        <f t="shared" si="173"/>
        <v>24York</v>
      </c>
      <c r="C2772" t="s">
        <v>7428</v>
      </c>
      <c r="D2772" t="s">
        <v>368</v>
      </c>
      <c r="E2772">
        <v>57</v>
      </c>
      <c r="F2772" t="s">
        <v>7382</v>
      </c>
      <c r="G2772" t="s">
        <v>842</v>
      </c>
      <c r="H2772" t="s">
        <v>856</v>
      </c>
      <c r="I2772" t="s">
        <v>844</v>
      </c>
      <c r="J2772">
        <f t="shared" ca="1" si="174"/>
        <v>50000</v>
      </c>
      <c r="K2772">
        <f t="shared" ca="1" si="175"/>
        <v>1939</v>
      </c>
      <c r="N2772" t="str">
        <f t="shared" si="172"/>
        <v>Warwickshire51Residential Care (ICB Discharge funding)Residential PlacementsShort term residential care (without rehabilitation or reablement input)</v>
      </c>
      <c r="O2772" t="s">
        <v>341</v>
      </c>
      <c r="P2772" t="s">
        <v>1172</v>
      </c>
      <c r="Q2772">
        <v>51</v>
      </c>
      <c r="R2772" t="s">
        <v>6869</v>
      </c>
      <c r="S2772" t="s">
        <v>7426</v>
      </c>
      <c r="T2772" t="s">
        <v>806</v>
      </c>
      <c r="U2772" t="s">
        <v>955</v>
      </c>
      <c r="W2772">
        <v>387</v>
      </c>
      <c r="X2772">
        <v>498</v>
      </c>
      <c r="Y2772" t="s">
        <v>808</v>
      </c>
      <c r="Z2772" t="s">
        <v>1061</v>
      </c>
      <c r="AB2772" t="s">
        <v>824</v>
      </c>
      <c r="AD2772" t="s">
        <v>794</v>
      </c>
      <c r="AE2772" t="s">
        <v>804</v>
      </c>
      <c r="AF2772" t="s">
        <v>860</v>
      </c>
      <c r="AG2772" t="s">
        <v>861</v>
      </c>
      <c r="AH2772">
        <v>1403546</v>
      </c>
      <c r="AI2772">
        <v>1861820</v>
      </c>
      <c r="AJ2772">
        <v>0.01</v>
      </c>
    </row>
    <row r="2773" spans="1:36" x14ac:dyDescent="0.3">
      <c r="A2773">
        <f>COUNTIF($D$2:D2773,D2773)</f>
        <v>25</v>
      </c>
      <c r="B2773" t="str">
        <f t="shared" si="173"/>
        <v>25York</v>
      </c>
      <c r="C2773" t="s">
        <v>7429</v>
      </c>
      <c r="D2773" t="s">
        <v>368</v>
      </c>
      <c r="E2773">
        <v>59</v>
      </c>
      <c r="F2773" t="s">
        <v>7430</v>
      </c>
      <c r="G2773" t="s">
        <v>806</v>
      </c>
      <c r="H2773" t="s">
        <v>917</v>
      </c>
      <c r="I2773" t="s">
        <v>808</v>
      </c>
      <c r="J2773">
        <f t="shared" ca="1" si="174"/>
        <v>223050.88000000009</v>
      </c>
      <c r="K2773">
        <f t="shared" ca="1" si="175"/>
        <v>208</v>
      </c>
      <c r="N2773" t="str">
        <f t="shared" si="172"/>
        <v>Warwickshire52Supported LivingHome Care or Domiciliary CareDomiciliary care packages</v>
      </c>
      <c r="O2773" t="s">
        <v>341</v>
      </c>
      <c r="P2773" t="s">
        <v>1172</v>
      </c>
      <c r="Q2773">
        <v>52</v>
      </c>
      <c r="R2773" t="s">
        <v>872</v>
      </c>
      <c r="S2773" t="s">
        <v>6424</v>
      </c>
      <c r="T2773" t="s">
        <v>842</v>
      </c>
      <c r="U2773" t="s">
        <v>843</v>
      </c>
      <c r="W2773">
        <v>2170309</v>
      </c>
      <c r="X2773">
        <v>2170309</v>
      </c>
      <c r="Y2773" t="s">
        <v>844</v>
      </c>
      <c r="Z2773" t="s">
        <v>792</v>
      </c>
      <c r="AB2773" t="s">
        <v>793</v>
      </c>
      <c r="AD2773" t="s">
        <v>794</v>
      </c>
      <c r="AE2773" t="s">
        <v>804</v>
      </c>
      <c r="AF2773" t="s">
        <v>1029</v>
      </c>
      <c r="AG2773" t="s">
        <v>861</v>
      </c>
      <c r="AH2773">
        <v>41800152</v>
      </c>
      <c r="AI2773">
        <v>43054157</v>
      </c>
      <c r="AJ2773">
        <v>0.41</v>
      </c>
    </row>
    <row r="2774" spans="1:36" x14ac:dyDescent="0.3">
      <c r="A2774">
        <f>COUNTIF($D$2:D2774,D2774)</f>
        <v>26</v>
      </c>
      <c r="B2774" t="str">
        <f t="shared" si="173"/>
        <v>26York</v>
      </c>
      <c r="C2774" t="s">
        <v>7431</v>
      </c>
      <c r="D2774" t="s">
        <v>368</v>
      </c>
      <c r="E2774">
        <v>60</v>
      </c>
      <c r="F2774" t="s">
        <v>1447</v>
      </c>
      <c r="G2774" t="s">
        <v>842</v>
      </c>
      <c r="H2774" t="s">
        <v>843</v>
      </c>
      <c r="I2774" t="s">
        <v>844</v>
      </c>
      <c r="J2774">
        <f t="shared" ca="1" si="174"/>
        <v>287027.59999999974</v>
      </c>
      <c r="K2774">
        <f t="shared" ca="1" si="175"/>
        <v>11960</v>
      </c>
      <c r="N2774" t="str">
        <f t="shared" si="172"/>
        <v>Warwickshire53Disabled Facilities Grant (Base BCF)DFG Related SchemesAdaptations, including statutory DFG grants</v>
      </c>
      <c r="O2774" t="s">
        <v>341</v>
      </c>
      <c r="P2774" t="s">
        <v>1172</v>
      </c>
      <c r="Q2774">
        <v>53</v>
      </c>
      <c r="R2774" t="s">
        <v>6872</v>
      </c>
      <c r="S2774" t="s">
        <v>7432</v>
      </c>
      <c r="T2774" t="s">
        <v>834</v>
      </c>
      <c r="U2774" t="s">
        <v>835</v>
      </c>
      <c r="W2774">
        <v>935</v>
      </c>
      <c r="X2774">
        <v>935</v>
      </c>
      <c r="Y2774" t="s">
        <v>836</v>
      </c>
      <c r="Z2774" t="s">
        <v>792</v>
      </c>
      <c r="AB2774" t="s">
        <v>793</v>
      </c>
      <c r="AD2774" t="s">
        <v>794</v>
      </c>
      <c r="AE2774" t="s">
        <v>795</v>
      </c>
      <c r="AF2774" t="s">
        <v>840</v>
      </c>
      <c r="AG2774" t="s">
        <v>797</v>
      </c>
      <c r="AH2774">
        <v>5124786</v>
      </c>
      <c r="AI2774">
        <v>5124786</v>
      </c>
      <c r="AJ2774">
        <v>1</v>
      </c>
    </row>
    <row r="2775" spans="1:36" x14ac:dyDescent="0.3">
      <c r="A2775">
        <f>COUNTIF($D$2:D2775,D2775)</f>
        <v>27</v>
      </c>
      <c r="B2775" t="str">
        <f t="shared" si="173"/>
        <v>27York</v>
      </c>
      <c r="C2775" t="s">
        <v>7433</v>
      </c>
      <c r="D2775" t="s">
        <v>368</v>
      </c>
      <c r="E2775">
        <v>63</v>
      </c>
      <c r="F2775" t="s">
        <v>7434</v>
      </c>
      <c r="G2775" t="s">
        <v>787</v>
      </c>
      <c r="H2775" t="s">
        <v>788</v>
      </c>
      <c r="I2775" t="s">
        <v>789</v>
      </c>
      <c r="J2775">
        <f t="shared" ca="1" si="174"/>
        <v>135127</v>
      </c>
      <c r="K2775">
        <f t="shared" ca="1" si="175"/>
        <v>69</v>
      </c>
      <c r="N2775" t="str">
        <f t="shared" si="172"/>
        <v>Warwickshire54Integrated Community Equipment (ICE)Assistive Technologies and EquipmentCommunity based equipment</v>
      </c>
      <c r="O2775" t="s">
        <v>341</v>
      </c>
      <c r="P2775" t="s">
        <v>1172</v>
      </c>
      <c r="Q2775">
        <v>54</v>
      </c>
      <c r="R2775" t="s">
        <v>6824</v>
      </c>
      <c r="S2775" t="s">
        <v>7435</v>
      </c>
      <c r="T2775" t="s">
        <v>800</v>
      </c>
      <c r="U2775" t="s">
        <v>903</v>
      </c>
      <c r="W2775">
        <v>12418</v>
      </c>
      <c r="X2775">
        <v>13120</v>
      </c>
      <c r="Y2775" t="s">
        <v>802</v>
      </c>
      <c r="Z2775" t="s">
        <v>823</v>
      </c>
      <c r="AB2775" t="s">
        <v>824</v>
      </c>
      <c r="AD2775" t="s">
        <v>794</v>
      </c>
      <c r="AE2775" t="s">
        <v>804</v>
      </c>
      <c r="AF2775" t="s">
        <v>796</v>
      </c>
      <c r="AG2775" t="s">
        <v>797</v>
      </c>
      <c r="AH2775">
        <v>4501370</v>
      </c>
      <c r="AI2775">
        <v>4756148</v>
      </c>
      <c r="AJ2775">
        <v>0.71099999999999997</v>
      </c>
    </row>
    <row r="2776" spans="1:36" x14ac:dyDescent="0.3">
      <c r="A2776">
        <f>COUNTIF($D$2:D2776,D2776)</f>
        <v>28</v>
      </c>
      <c r="B2776" t="str">
        <f t="shared" si="173"/>
        <v>28York</v>
      </c>
      <c r="C2776" t="s">
        <v>7436</v>
      </c>
      <c r="D2776" t="s">
        <v>368</v>
      </c>
      <c r="E2776">
        <v>68</v>
      </c>
      <c r="F2776" t="s">
        <v>7437</v>
      </c>
      <c r="G2776" t="s">
        <v>800</v>
      </c>
      <c r="H2776" t="s">
        <v>850</v>
      </c>
      <c r="I2776" t="s">
        <v>802</v>
      </c>
      <c r="J2776">
        <f t="shared" ca="1" si="174"/>
        <v>176272</v>
      </c>
      <c r="K2776">
        <f t="shared" ca="1" si="175"/>
        <v>1283</v>
      </c>
      <c r="N2776" t="str">
        <f t="shared" si="172"/>
        <v>West Berkshire1Under 65 LD residential and supported livingResidential PlacementsCare home</v>
      </c>
      <c r="O2776" t="s">
        <v>343</v>
      </c>
      <c r="P2776" t="s">
        <v>1437</v>
      </c>
      <c r="Q2776">
        <v>1</v>
      </c>
      <c r="R2776" t="s">
        <v>6875</v>
      </c>
      <c r="S2776" t="s">
        <v>806</v>
      </c>
      <c r="T2776" t="s">
        <v>806</v>
      </c>
      <c r="U2776" t="s">
        <v>807</v>
      </c>
      <c r="W2776">
        <v>23.7</v>
      </c>
      <c r="X2776">
        <v>23.3</v>
      </c>
      <c r="Y2776" t="s">
        <v>808</v>
      </c>
      <c r="Z2776" t="s">
        <v>792</v>
      </c>
      <c r="AB2776" t="s">
        <v>793</v>
      </c>
      <c r="AD2776" t="s">
        <v>794</v>
      </c>
      <c r="AE2776" t="s">
        <v>804</v>
      </c>
      <c r="AF2776" t="s">
        <v>796</v>
      </c>
      <c r="AG2776" t="s">
        <v>797</v>
      </c>
      <c r="AH2776">
        <v>1580091</v>
      </c>
      <c r="AI2776">
        <v>1610113</v>
      </c>
      <c r="AJ2776">
        <v>6.2E-2</v>
      </c>
    </row>
    <row r="2777" spans="1:36" x14ac:dyDescent="0.3">
      <c r="N2777" t="str">
        <f t="shared" si="172"/>
        <v>West Berkshire3ReablementHome Care or Domiciliary CareDomiciliary care packages</v>
      </c>
      <c r="O2777" t="s">
        <v>343</v>
      </c>
      <c r="P2777" t="s">
        <v>1437</v>
      </c>
      <c r="Q2777">
        <v>3</v>
      </c>
      <c r="R2777" t="s">
        <v>434</v>
      </c>
      <c r="S2777" t="s">
        <v>969</v>
      </c>
      <c r="T2777" t="s">
        <v>842</v>
      </c>
      <c r="U2777" t="s">
        <v>843</v>
      </c>
      <c r="W2777">
        <v>11131</v>
      </c>
      <c r="X2777">
        <v>11784</v>
      </c>
      <c r="Y2777" t="s">
        <v>844</v>
      </c>
      <c r="Z2777" t="s">
        <v>792</v>
      </c>
      <c r="AB2777" t="s">
        <v>793</v>
      </c>
      <c r="AD2777" t="s">
        <v>794</v>
      </c>
      <c r="AE2777" t="s">
        <v>795</v>
      </c>
      <c r="AF2777" t="s">
        <v>796</v>
      </c>
      <c r="AG2777" t="s">
        <v>797</v>
      </c>
      <c r="AH2777">
        <v>454734</v>
      </c>
      <c r="AI2777">
        <v>481405</v>
      </c>
      <c r="AJ2777">
        <v>0.24099999999999999</v>
      </c>
    </row>
    <row r="2778" spans="1:36" x14ac:dyDescent="0.3">
      <c r="N2778" t="str">
        <f t="shared" si="172"/>
        <v>West Berkshire31ReablementHome Care or Domiciliary CareDomiciliary care packages</v>
      </c>
      <c r="O2778" t="s">
        <v>343</v>
      </c>
      <c r="P2778" t="s">
        <v>1437</v>
      </c>
      <c r="Q2778">
        <v>31</v>
      </c>
      <c r="R2778" t="s">
        <v>434</v>
      </c>
      <c r="S2778" t="s">
        <v>969</v>
      </c>
      <c r="T2778" t="s">
        <v>842</v>
      </c>
      <c r="U2778" t="s">
        <v>843</v>
      </c>
      <c r="W2778">
        <v>7522</v>
      </c>
      <c r="X2778">
        <v>7522</v>
      </c>
      <c r="Y2778" t="s">
        <v>844</v>
      </c>
      <c r="Z2778" t="s">
        <v>792</v>
      </c>
      <c r="AB2778" t="s">
        <v>793</v>
      </c>
      <c r="AD2778" t="s">
        <v>794</v>
      </c>
      <c r="AE2778" t="s">
        <v>795</v>
      </c>
      <c r="AF2778" t="s">
        <v>845</v>
      </c>
      <c r="AG2778" t="s">
        <v>797</v>
      </c>
      <c r="AH2778">
        <v>307300</v>
      </c>
      <c r="AI2778">
        <v>307300</v>
      </c>
      <c r="AJ2778">
        <v>0.1</v>
      </c>
    </row>
    <row r="2779" spans="1:36" x14ac:dyDescent="0.3">
      <c r="N2779" t="str">
        <f t="shared" si="172"/>
        <v>West Berkshire42Memory and cognition over 65Residential PlacementsNursing home</v>
      </c>
      <c r="O2779" t="s">
        <v>343</v>
      </c>
      <c r="P2779" t="s">
        <v>1437</v>
      </c>
      <c r="Q2779">
        <v>42</v>
      </c>
      <c r="R2779" t="s">
        <v>6880</v>
      </c>
      <c r="S2779" t="s">
        <v>806</v>
      </c>
      <c r="T2779" t="s">
        <v>806</v>
      </c>
      <c r="U2779" t="s">
        <v>917</v>
      </c>
      <c r="W2779">
        <v>0.9</v>
      </c>
      <c r="X2779">
        <v>23.3</v>
      </c>
      <c r="Y2779" t="s">
        <v>808</v>
      </c>
      <c r="Z2779" t="s">
        <v>792</v>
      </c>
      <c r="AB2779" t="s">
        <v>793</v>
      </c>
      <c r="AD2779" t="s">
        <v>794</v>
      </c>
      <c r="AE2779" t="s">
        <v>804</v>
      </c>
      <c r="AF2779" t="s">
        <v>796</v>
      </c>
      <c r="AG2779" t="s">
        <v>797</v>
      </c>
      <c r="AH2779">
        <v>49138</v>
      </c>
      <c r="AI2779">
        <v>52170</v>
      </c>
      <c r="AJ2779">
        <v>3.0999999999999999E-3</v>
      </c>
    </row>
    <row r="2780" spans="1:36" x14ac:dyDescent="0.3">
      <c r="N2780" t="str">
        <f t="shared" si="172"/>
        <v>West Berkshire53Physical Support over 65Residential PlacementsNursing home</v>
      </c>
      <c r="O2780" t="s">
        <v>343</v>
      </c>
      <c r="P2780" t="s">
        <v>1437</v>
      </c>
      <c r="Q2780">
        <v>53</v>
      </c>
      <c r="R2780" t="s">
        <v>6882</v>
      </c>
      <c r="S2780" t="s">
        <v>806</v>
      </c>
      <c r="T2780" t="s">
        <v>806</v>
      </c>
      <c r="U2780" t="s">
        <v>917</v>
      </c>
      <c r="W2780">
        <v>1.3</v>
      </c>
      <c r="X2780">
        <v>1.4</v>
      </c>
      <c r="Y2780" t="s">
        <v>808</v>
      </c>
      <c r="Z2780" t="s">
        <v>792</v>
      </c>
      <c r="AB2780" t="s">
        <v>793</v>
      </c>
      <c r="AD2780" t="s">
        <v>794</v>
      </c>
      <c r="AE2780" t="s">
        <v>804</v>
      </c>
      <c r="AF2780" t="s">
        <v>796</v>
      </c>
      <c r="AG2780" t="s">
        <v>797</v>
      </c>
      <c r="AH2780">
        <v>65213</v>
      </c>
      <c r="AI2780">
        <v>69237</v>
      </c>
      <c r="AJ2780">
        <v>4.1999999999999997E-3</v>
      </c>
    </row>
    <row r="2781" spans="1:36" x14ac:dyDescent="0.3">
      <c r="N2781" t="str">
        <f t="shared" si="172"/>
        <v>West Berkshire54Physical Support over 65Residential PlacementsCare home</v>
      </c>
      <c r="O2781" t="s">
        <v>343</v>
      </c>
      <c r="P2781" t="s">
        <v>1437</v>
      </c>
      <c r="Q2781">
        <v>54</v>
      </c>
      <c r="R2781" t="s">
        <v>6882</v>
      </c>
      <c r="S2781" t="s">
        <v>806</v>
      </c>
      <c r="T2781" t="s">
        <v>806</v>
      </c>
      <c r="U2781" t="s">
        <v>807</v>
      </c>
      <c r="W2781">
        <v>0.3</v>
      </c>
      <c r="X2781">
        <v>0.4</v>
      </c>
      <c r="Y2781" t="s">
        <v>808</v>
      </c>
      <c r="Z2781" t="s">
        <v>792</v>
      </c>
      <c r="AB2781" t="s">
        <v>793</v>
      </c>
      <c r="AD2781" t="s">
        <v>794</v>
      </c>
      <c r="AE2781" t="s">
        <v>804</v>
      </c>
      <c r="AF2781" t="s">
        <v>796</v>
      </c>
      <c r="AG2781" t="s">
        <v>797</v>
      </c>
      <c r="AH2781">
        <v>16835</v>
      </c>
      <c r="AI2781">
        <v>17874</v>
      </c>
      <c r="AJ2781">
        <v>1.1000000000000001E-3</v>
      </c>
    </row>
    <row r="2782" spans="1:36" x14ac:dyDescent="0.3">
      <c r="N2782" t="str">
        <f t="shared" si="172"/>
        <v>West Berkshire6LA Discharge FundingHome Care or Domiciliary CareDomiciliary care to support hospital discharge (Discharge to Assess pathway 1)</v>
      </c>
      <c r="O2782" t="s">
        <v>343</v>
      </c>
      <c r="P2782" t="s">
        <v>1437</v>
      </c>
      <c r="Q2782">
        <v>6</v>
      </c>
      <c r="R2782" t="s">
        <v>6885</v>
      </c>
      <c r="S2782" t="s">
        <v>7438</v>
      </c>
      <c r="T2782" t="s">
        <v>842</v>
      </c>
      <c r="U2782" t="s">
        <v>856</v>
      </c>
      <c r="W2782">
        <v>4916</v>
      </c>
      <c r="X2782">
        <v>8193</v>
      </c>
      <c r="Y2782" t="s">
        <v>844</v>
      </c>
      <c r="Z2782" t="s">
        <v>792</v>
      </c>
      <c r="AB2782" t="s">
        <v>793</v>
      </c>
      <c r="AD2782" t="s">
        <v>794</v>
      </c>
      <c r="AE2782" t="s">
        <v>804</v>
      </c>
      <c r="AF2782" t="s">
        <v>864</v>
      </c>
      <c r="AG2782" t="s">
        <v>797</v>
      </c>
      <c r="AH2782">
        <v>113070</v>
      </c>
      <c r="AI2782">
        <v>188450</v>
      </c>
      <c r="AJ2782">
        <v>1</v>
      </c>
    </row>
    <row r="2783" spans="1:36" x14ac:dyDescent="0.3">
      <c r="N2783" t="str">
        <f t="shared" si="172"/>
        <v xml:space="preserve">West Berkshire62ICB Discharge FundingHome-based intermediate care servicesReablement at home (to support discharge) </v>
      </c>
      <c r="O2783" t="s">
        <v>343</v>
      </c>
      <c r="P2783" t="s">
        <v>1437</v>
      </c>
      <c r="Q2783">
        <v>62</v>
      </c>
      <c r="R2783" t="s">
        <v>860</v>
      </c>
      <c r="S2783" t="s">
        <v>7438</v>
      </c>
      <c r="T2783" t="s">
        <v>787</v>
      </c>
      <c r="U2783" t="s">
        <v>788</v>
      </c>
      <c r="W2783">
        <v>164</v>
      </c>
      <c r="X2783">
        <v>290</v>
      </c>
      <c r="Y2783" t="s">
        <v>789</v>
      </c>
      <c r="Z2783" t="s">
        <v>792</v>
      </c>
      <c r="AB2783" t="s">
        <v>793</v>
      </c>
      <c r="AD2783" t="s">
        <v>794</v>
      </c>
      <c r="AE2783" t="s">
        <v>825</v>
      </c>
      <c r="AF2783" t="s">
        <v>860</v>
      </c>
      <c r="AG2783" t="s">
        <v>797</v>
      </c>
      <c r="AH2783">
        <v>773000</v>
      </c>
      <c r="AI2783">
        <v>1365869</v>
      </c>
      <c r="AJ2783">
        <v>1</v>
      </c>
    </row>
    <row r="2784" spans="1:36" x14ac:dyDescent="0.3">
      <c r="N2784" t="str">
        <f t="shared" si="172"/>
        <v>West Berkshire66Under 65 LD residential and supported livingResidential PlacementsCare home</v>
      </c>
      <c r="O2784" t="s">
        <v>343</v>
      </c>
      <c r="P2784" t="s">
        <v>1437</v>
      </c>
      <c r="Q2784">
        <v>66</v>
      </c>
      <c r="R2784" t="s">
        <v>6875</v>
      </c>
      <c r="S2784" t="s">
        <v>806</v>
      </c>
      <c r="T2784" t="s">
        <v>806</v>
      </c>
      <c r="U2784" t="s">
        <v>807</v>
      </c>
      <c r="W2784">
        <v>14.2</v>
      </c>
      <c r="X2784">
        <v>14.6</v>
      </c>
      <c r="Y2784" t="s">
        <v>808</v>
      </c>
      <c r="Z2784" t="s">
        <v>792</v>
      </c>
      <c r="AB2784" t="s">
        <v>793</v>
      </c>
      <c r="AD2784" t="s">
        <v>794</v>
      </c>
      <c r="AE2784" t="s">
        <v>804</v>
      </c>
      <c r="AF2784" t="s">
        <v>796</v>
      </c>
      <c r="AG2784" t="s">
        <v>797</v>
      </c>
      <c r="AH2784">
        <v>946922</v>
      </c>
      <c r="AI2784">
        <v>1005347</v>
      </c>
      <c r="AJ2784">
        <v>6.0499999999999998E-2</v>
      </c>
    </row>
    <row r="2785" spans="14:36" x14ac:dyDescent="0.3">
      <c r="N2785" t="str">
        <f t="shared" si="172"/>
        <v>West Berkshire7Over 65's Care HomesResidential PlacementsCare home</v>
      </c>
      <c r="O2785" t="s">
        <v>343</v>
      </c>
      <c r="P2785" t="s">
        <v>1437</v>
      </c>
      <c r="Q2785">
        <v>7</v>
      </c>
      <c r="R2785" t="s">
        <v>6889</v>
      </c>
      <c r="S2785" t="s">
        <v>806</v>
      </c>
      <c r="T2785" t="s">
        <v>806</v>
      </c>
      <c r="U2785" t="s">
        <v>807</v>
      </c>
      <c r="W2785">
        <v>23.7</v>
      </c>
      <c r="X2785">
        <v>23.3</v>
      </c>
      <c r="Y2785" t="s">
        <v>808</v>
      </c>
      <c r="Z2785" t="s">
        <v>792</v>
      </c>
      <c r="AB2785" t="s">
        <v>793</v>
      </c>
      <c r="AD2785" t="s">
        <v>794</v>
      </c>
      <c r="AE2785" t="s">
        <v>795</v>
      </c>
      <c r="AF2785" t="s">
        <v>796</v>
      </c>
      <c r="AG2785" t="s">
        <v>797</v>
      </c>
      <c r="AH2785">
        <v>125746</v>
      </c>
      <c r="AI2785">
        <v>133505</v>
      </c>
      <c r="AJ2785">
        <v>0.02</v>
      </c>
    </row>
    <row r="2786" spans="14:36" x14ac:dyDescent="0.3">
      <c r="N2786" t="str">
        <f t="shared" si="172"/>
        <v>West Berkshire71Over 65's Care HomesResidential PlacementsSupported housing</v>
      </c>
      <c r="O2786" t="s">
        <v>343</v>
      </c>
      <c r="P2786" t="s">
        <v>1437</v>
      </c>
      <c r="Q2786">
        <v>71</v>
      </c>
      <c r="R2786" t="s">
        <v>6889</v>
      </c>
      <c r="S2786" t="s">
        <v>806</v>
      </c>
      <c r="T2786" t="s">
        <v>806</v>
      </c>
      <c r="U2786" t="s">
        <v>873</v>
      </c>
      <c r="W2786">
        <v>2.6</v>
      </c>
      <c r="X2786">
        <v>2.7</v>
      </c>
      <c r="Y2786" t="s">
        <v>808</v>
      </c>
      <c r="Z2786" t="s">
        <v>792</v>
      </c>
      <c r="AB2786" t="s">
        <v>793</v>
      </c>
      <c r="AD2786" t="s">
        <v>794</v>
      </c>
      <c r="AE2786" t="s">
        <v>795</v>
      </c>
      <c r="AF2786" t="s">
        <v>796</v>
      </c>
      <c r="AG2786" t="s">
        <v>797</v>
      </c>
      <c r="AH2786">
        <v>254344</v>
      </c>
      <c r="AI2786">
        <v>270036</v>
      </c>
      <c r="AJ2786">
        <v>2.1999999999999999E-2</v>
      </c>
    </row>
    <row r="2787" spans="14:36" x14ac:dyDescent="0.3">
      <c r="N2787" t="str">
        <f t="shared" si="172"/>
        <v>West Berkshire8Joint Care PathwayHome Care or Domiciliary CareDomiciliary care to support hospital discharge (Discharge to Assess pathway 1)</v>
      </c>
      <c r="O2787" t="s">
        <v>343</v>
      </c>
      <c r="P2787" t="s">
        <v>1437</v>
      </c>
      <c r="Q2787">
        <v>8</v>
      </c>
      <c r="R2787" t="s">
        <v>6892</v>
      </c>
      <c r="S2787" t="s">
        <v>969</v>
      </c>
      <c r="T2787" t="s">
        <v>842</v>
      </c>
      <c r="U2787" t="s">
        <v>856</v>
      </c>
      <c r="W2787">
        <v>8151</v>
      </c>
      <c r="X2787">
        <v>8654</v>
      </c>
      <c r="Y2787" t="s">
        <v>844</v>
      </c>
      <c r="Z2787" t="s">
        <v>792</v>
      </c>
      <c r="AB2787" t="s">
        <v>1739</v>
      </c>
      <c r="AC2787">
        <v>0.1</v>
      </c>
      <c r="AD2787">
        <v>0.9</v>
      </c>
      <c r="AE2787" t="s">
        <v>795</v>
      </c>
      <c r="AF2787" t="s">
        <v>796</v>
      </c>
      <c r="AG2787" t="s">
        <v>797</v>
      </c>
      <c r="AH2787">
        <v>187489</v>
      </c>
      <c r="AI2787">
        <v>199057</v>
      </c>
      <c r="AJ2787">
        <v>0.1</v>
      </c>
    </row>
    <row r="2788" spans="14:36" x14ac:dyDescent="0.3">
      <c r="N2788" t="str">
        <f t="shared" si="172"/>
        <v>West Berkshire81Joint Care PathwayHome Care or Domiciliary CareDomiciliary care to support hospital discharge (Discharge to Assess pathway 1)</v>
      </c>
      <c r="O2788" t="s">
        <v>343</v>
      </c>
      <c r="P2788" t="s">
        <v>1437</v>
      </c>
      <c r="Q2788">
        <v>81</v>
      </c>
      <c r="R2788" t="s">
        <v>6892</v>
      </c>
      <c r="S2788" t="s">
        <v>969</v>
      </c>
      <c r="T2788" t="s">
        <v>842</v>
      </c>
      <c r="U2788" t="s">
        <v>856</v>
      </c>
      <c r="W2788">
        <v>11518</v>
      </c>
      <c r="X2788">
        <v>12229</v>
      </c>
      <c r="Y2788" t="s">
        <v>844</v>
      </c>
      <c r="Z2788" t="s">
        <v>792</v>
      </c>
      <c r="AB2788" t="s">
        <v>1739</v>
      </c>
      <c r="AC2788">
        <v>0.1</v>
      </c>
      <c r="AD2788">
        <v>0.9</v>
      </c>
      <c r="AE2788" t="s">
        <v>795</v>
      </c>
      <c r="AF2788" t="s">
        <v>796</v>
      </c>
      <c r="AG2788" t="s">
        <v>797</v>
      </c>
      <c r="AH2788">
        <v>264931</v>
      </c>
      <c r="AI2788">
        <v>281277</v>
      </c>
      <c r="AJ2788">
        <v>0.1</v>
      </c>
    </row>
    <row r="2789" spans="14:36" x14ac:dyDescent="0.3">
      <c r="N2789" t="str">
        <f t="shared" si="172"/>
        <v>West Berkshire82Joint Care PathwayHome Care or Domiciliary CareDomiciliary care to support hospital discharge (Discharge to Assess pathway 1)</v>
      </c>
      <c r="O2789" t="s">
        <v>343</v>
      </c>
      <c r="P2789" t="s">
        <v>1437</v>
      </c>
      <c r="Q2789">
        <v>82</v>
      </c>
      <c r="R2789" t="s">
        <v>6892</v>
      </c>
      <c r="S2789" t="s">
        <v>969</v>
      </c>
      <c r="T2789" t="s">
        <v>842</v>
      </c>
      <c r="U2789" t="s">
        <v>856</v>
      </c>
      <c r="W2789">
        <v>9443</v>
      </c>
      <c r="X2789">
        <v>9443</v>
      </c>
      <c r="Y2789" t="s">
        <v>844</v>
      </c>
      <c r="Z2789" t="s">
        <v>812</v>
      </c>
      <c r="AA2789" t="s">
        <v>7439</v>
      </c>
      <c r="AB2789" t="s">
        <v>1739</v>
      </c>
      <c r="AC2789">
        <v>0.1</v>
      </c>
      <c r="AD2789">
        <v>0.9</v>
      </c>
      <c r="AE2789" t="s">
        <v>795</v>
      </c>
      <c r="AF2789" t="s">
        <v>845</v>
      </c>
      <c r="AG2789" t="s">
        <v>797</v>
      </c>
      <c r="AH2789">
        <v>217199</v>
      </c>
      <c r="AI2789">
        <v>217199</v>
      </c>
      <c r="AJ2789">
        <v>0.1</v>
      </c>
    </row>
    <row r="2790" spans="14:36" x14ac:dyDescent="0.3">
      <c r="N2790" t="str">
        <f t="shared" si="172"/>
        <v>West Berkshire83Joint Care PathwayHome Care or Domiciliary CareDomiciliary care to support hospital discharge (Discharge to Assess pathway 1)</v>
      </c>
      <c r="O2790" t="s">
        <v>343</v>
      </c>
      <c r="P2790" t="s">
        <v>1437</v>
      </c>
      <c r="Q2790">
        <v>83</v>
      </c>
      <c r="R2790" t="s">
        <v>6892</v>
      </c>
      <c r="S2790" t="s">
        <v>969</v>
      </c>
      <c r="T2790" t="s">
        <v>842</v>
      </c>
      <c r="U2790" t="s">
        <v>856</v>
      </c>
      <c r="W2790">
        <v>9591</v>
      </c>
      <c r="X2790">
        <v>10183</v>
      </c>
      <c r="Y2790" t="s">
        <v>844</v>
      </c>
      <c r="Z2790" t="s">
        <v>812</v>
      </c>
      <c r="AA2790" t="s">
        <v>7439</v>
      </c>
      <c r="AB2790" t="s">
        <v>1739</v>
      </c>
      <c r="AC2790">
        <v>0.1</v>
      </c>
      <c r="AD2790">
        <v>0.9</v>
      </c>
      <c r="AE2790" t="s">
        <v>795</v>
      </c>
      <c r="AF2790" t="s">
        <v>796</v>
      </c>
      <c r="AG2790" t="s">
        <v>797</v>
      </c>
      <c r="AH2790">
        <v>220600</v>
      </c>
      <c r="AI2790">
        <v>234211</v>
      </c>
      <c r="AJ2790">
        <v>0.1</v>
      </c>
    </row>
    <row r="2791" spans="14:36" x14ac:dyDescent="0.3">
      <c r="N2791" t="str">
        <f t="shared" si="172"/>
        <v>West Berkshire84Joint Care PathwayHome Care or Domiciliary CareDomiciliary care to support hospital discharge (Discharge to Assess pathway 1)</v>
      </c>
      <c r="O2791" t="s">
        <v>343</v>
      </c>
      <c r="P2791" t="s">
        <v>1437</v>
      </c>
      <c r="Q2791">
        <v>84</v>
      </c>
      <c r="R2791" t="s">
        <v>6892</v>
      </c>
      <c r="S2791" t="s">
        <v>969</v>
      </c>
      <c r="T2791" t="s">
        <v>842</v>
      </c>
      <c r="U2791" t="s">
        <v>856</v>
      </c>
      <c r="W2791">
        <v>23854</v>
      </c>
      <c r="X2791">
        <v>25130</v>
      </c>
      <c r="Y2791" t="s">
        <v>844</v>
      </c>
      <c r="Z2791" t="s">
        <v>812</v>
      </c>
      <c r="AA2791" t="s">
        <v>7439</v>
      </c>
      <c r="AB2791" t="s">
        <v>1739</v>
      </c>
      <c r="AC2791">
        <v>0.1</v>
      </c>
      <c r="AD2791">
        <v>0.9</v>
      </c>
      <c r="AE2791" t="s">
        <v>795</v>
      </c>
      <c r="AF2791" t="s">
        <v>796</v>
      </c>
      <c r="AG2791" t="s">
        <v>797</v>
      </c>
      <c r="AH2791">
        <v>548658</v>
      </c>
      <c r="AI2791">
        <v>557993</v>
      </c>
      <c r="AJ2791">
        <v>0.16</v>
      </c>
    </row>
    <row r="2792" spans="14:36" x14ac:dyDescent="0.3">
      <c r="N2792" t="str">
        <f t="shared" si="172"/>
        <v>West Berkshire9DFGDFG Related SchemesAdaptations, including statutory DFG grants</v>
      </c>
      <c r="O2792" t="s">
        <v>343</v>
      </c>
      <c r="P2792" t="s">
        <v>1437</v>
      </c>
      <c r="Q2792">
        <v>9</v>
      </c>
      <c r="R2792" t="s">
        <v>840</v>
      </c>
      <c r="S2792" t="s">
        <v>834</v>
      </c>
      <c r="T2792" t="s">
        <v>834</v>
      </c>
      <c r="U2792" t="s">
        <v>835</v>
      </c>
      <c r="W2792">
        <v>325</v>
      </c>
      <c r="X2792">
        <v>325</v>
      </c>
      <c r="Y2792" t="s">
        <v>836</v>
      </c>
      <c r="Z2792" t="s">
        <v>792</v>
      </c>
      <c r="AB2792" t="s">
        <v>793</v>
      </c>
      <c r="AD2792" t="s">
        <v>794</v>
      </c>
      <c r="AE2792" t="s">
        <v>804</v>
      </c>
      <c r="AF2792" t="s">
        <v>840</v>
      </c>
      <c r="AG2792" t="s">
        <v>797</v>
      </c>
      <c r="AH2792">
        <v>2065205</v>
      </c>
      <c r="AI2792">
        <v>2065205</v>
      </c>
      <c r="AJ2792">
        <v>1</v>
      </c>
    </row>
    <row r="2793" spans="14:36" x14ac:dyDescent="0.3">
      <c r="N2793" t="str">
        <f t="shared" si="172"/>
        <v>West Berkshire17BHFT ContractHome Care or Domiciliary CareDomiciliary care to support hospital discharge (Discharge to Assess pathway 1)</v>
      </c>
      <c r="O2793" t="s">
        <v>343</v>
      </c>
      <c r="P2793" t="s">
        <v>1437</v>
      </c>
      <c r="Q2793">
        <v>17</v>
      </c>
      <c r="R2793" t="s">
        <v>6901</v>
      </c>
      <c r="S2793" t="s">
        <v>7440</v>
      </c>
      <c r="T2793" t="s">
        <v>842</v>
      </c>
      <c r="U2793" t="s">
        <v>856</v>
      </c>
      <c r="W2793">
        <v>888</v>
      </c>
      <c r="X2793">
        <v>888</v>
      </c>
      <c r="Y2793" t="s">
        <v>844</v>
      </c>
      <c r="Z2793" t="s">
        <v>823</v>
      </c>
      <c r="AB2793" t="s">
        <v>824</v>
      </c>
      <c r="AD2793" t="s">
        <v>794</v>
      </c>
      <c r="AE2793" t="s">
        <v>832</v>
      </c>
      <c r="AF2793" t="s">
        <v>796</v>
      </c>
      <c r="AG2793" t="s">
        <v>797</v>
      </c>
      <c r="AH2793">
        <v>1022682</v>
      </c>
      <c r="AI2793">
        <v>1022682</v>
      </c>
      <c r="AJ2793">
        <v>0.34699999999999998</v>
      </c>
    </row>
    <row r="2794" spans="14:36" x14ac:dyDescent="0.3">
      <c r="N2794" t="str">
        <f t="shared" si="172"/>
        <v>West Berkshire29Out of Hospital Services - Intermediate Care - Discharge ServicesHome Care or Domiciliary CareDomiciliary care to support hospital discharge (Discharge to Assess pathway 1)</v>
      </c>
      <c r="O2794" t="s">
        <v>343</v>
      </c>
      <c r="P2794" t="s">
        <v>1437</v>
      </c>
      <c r="Q2794">
        <v>29</v>
      </c>
      <c r="R2794" t="s">
        <v>6904</v>
      </c>
      <c r="S2794" t="s">
        <v>969</v>
      </c>
      <c r="T2794" t="s">
        <v>842</v>
      </c>
      <c r="U2794" t="s">
        <v>856</v>
      </c>
      <c r="W2794">
        <v>108</v>
      </c>
      <c r="X2794">
        <v>108</v>
      </c>
      <c r="Y2794" t="s">
        <v>844</v>
      </c>
      <c r="Z2794" t="s">
        <v>823</v>
      </c>
      <c r="AB2794" t="s">
        <v>824</v>
      </c>
      <c r="AD2794" t="s">
        <v>794</v>
      </c>
      <c r="AE2794" t="s">
        <v>832</v>
      </c>
      <c r="AF2794" t="s">
        <v>796</v>
      </c>
      <c r="AG2794" t="s">
        <v>797</v>
      </c>
      <c r="AH2794">
        <v>616231</v>
      </c>
      <c r="AI2794">
        <v>616231</v>
      </c>
      <c r="AJ2794">
        <v>0.26200000000000001</v>
      </c>
    </row>
    <row r="2795" spans="14:36" x14ac:dyDescent="0.3">
      <c r="N2795" t="str">
        <f t="shared" si="172"/>
        <v>West Berkshire31Out of Hospital Service - Intermediate Care night sitting, rapid responseHome-based intermediate care servicesRehabilitation at home (to support discharge)</v>
      </c>
      <c r="O2795" t="s">
        <v>343</v>
      </c>
      <c r="P2795" t="s">
        <v>1437</v>
      </c>
      <c r="Q2795">
        <v>31</v>
      </c>
      <c r="R2795" t="s">
        <v>6907</v>
      </c>
      <c r="S2795" t="s">
        <v>969</v>
      </c>
      <c r="T2795" t="s">
        <v>787</v>
      </c>
      <c r="U2795" t="s">
        <v>1195</v>
      </c>
      <c r="W2795">
        <v>181</v>
      </c>
      <c r="X2795">
        <v>181</v>
      </c>
      <c r="Y2795" t="s">
        <v>789</v>
      </c>
      <c r="Z2795" t="s">
        <v>823</v>
      </c>
      <c r="AB2795" t="s">
        <v>824</v>
      </c>
      <c r="AD2795" t="s">
        <v>794</v>
      </c>
      <c r="AE2795" t="s">
        <v>832</v>
      </c>
      <c r="AF2795" t="s">
        <v>796</v>
      </c>
      <c r="AG2795" t="s">
        <v>797</v>
      </c>
      <c r="AH2795">
        <v>852235</v>
      </c>
      <c r="AI2795">
        <v>852235</v>
      </c>
      <c r="AJ2795">
        <v>0.55259999999999998</v>
      </c>
    </row>
    <row r="2796" spans="14:36" x14ac:dyDescent="0.3">
      <c r="N2796" t="str">
        <f t="shared" si="172"/>
        <v>West Northamptonshire12Home BasedHome-based intermediate care servicesRehabilitation at home (to prevent admission to hospital or residential care)</v>
      </c>
      <c r="O2796" t="s">
        <v>345</v>
      </c>
      <c r="P2796" t="s">
        <v>2478</v>
      </c>
      <c r="Q2796">
        <v>12</v>
      </c>
      <c r="R2796" t="s">
        <v>6910</v>
      </c>
      <c r="S2796" t="s">
        <v>7441</v>
      </c>
      <c r="T2796" t="s">
        <v>787</v>
      </c>
      <c r="U2796" t="s">
        <v>1011</v>
      </c>
      <c r="W2796">
        <v>39</v>
      </c>
      <c r="X2796">
        <v>39</v>
      </c>
      <c r="Y2796" t="s">
        <v>789</v>
      </c>
      <c r="Z2796" t="s">
        <v>792</v>
      </c>
      <c r="AB2796" t="s">
        <v>793</v>
      </c>
      <c r="AC2796">
        <v>0</v>
      </c>
      <c r="AD2796" t="s">
        <v>794</v>
      </c>
      <c r="AE2796" t="s">
        <v>804</v>
      </c>
      <c r="AF2796" t="s">
        <v>864</v>
      </c>
      <c r="AG2796" t="s">
        <v>797</v>
      </c>
      <c r="AH2796">
        <v>160134</v>
      </c>
      <c r="AI2796">
        <v>266783</v>
      </c>
      <c r="AJ2796">
        <v>1.3518108562228511E-2</v>
      </c>
    </row>
    <row r="2797" spans="14:36" x14ac:dyDescent="0.3">
      <c r="N2797" t="str">
        <f t="shared" si="172"/>
        <v>West Northamptonshire11Bed BasedBed based intermediate Care Services (Reablement, rehabilitation, wider short-term services supporting recovery)Bed-based intermediate care with reablement (to support discharge)</v>
      </c>
      <c r="O2797" t="s">
        <v>345</v>
      </c>
      <c r="P2797" t="s">
        <v>2478</v>
      </c>
      <c r="Q2797">
        <v>11</v>
      </c>
      <c r="R2797" t="s">
        <v>6913</v>
      </c>
      <c r="S2797" t="s">
        <v>7442</v>
      </c>
      <c r="T2797" t="s">
        <v>877</v>
      </c>
      <c r="U2797" t="s">
        <v>878</v>
      </c>
      <c r="W2797">
        <v>58</v>
      </c>
      <c r="X2797">
        <v>58</v>
      </c>
      <c r="Y2797" t="s">
        <v>879</v>
      </c>
      <c r="Z2797" t="s">
        <v>823</v>
      </c>
      <c r="AB2797" t="s">
        <v>793</v>
      </c>
      <c r="AD2797" t="s">
        <v>794</v>
      </c>
      <c r="AE2797" t="s">
        <v>832</v>
      </c>
      <c r="AF2797" t="s">
        <v>864</v>
      </c>
      <c r="AG2797" t="s">
        <v>797</v>
      </c>
      <c r="AH2797">
        <v>1100000</v>
      </c>
      <c r="AI2797">
        <v>1833542</v>
      </c>
      <c r="AJ2797">
        <v>0.18032786885245905</v>
      </c>
    </row>
    <row r="2798" spans="14:36" x14ac:dyDescent="0.3">
      <c r="N2798" t="str">
        <f t="shared" si="172"/>
        <v>West Northamptonshire12Home BasedHome-based intermediate care servicesRehabilitation at home (to prevent admission to hospital or residential care)</v>
      </c>
      <c r="O2798" t="s">
        <v>345</v>
      </c>
      <c r="P2798" t="s">
        <v>2478</v>
      </c>
      <c r="Q2798">
        <v>12</v>
      </c>
      <c r="R2798" t="s">
        <v>6910</v>
      </c>
      <c r="S2798" t="s">
        <v>7441</v>
      </c>
      <c r="T2798" t="s">
        <v>787</v>
      </c>
      <c r="U2798" t="s">
        <v>1011</v>
      </c>
      <c r="W2798">
        <v>498</v>
      </c>
      <c r="X2798">
        <v>498</v>
      </c>
      <c r="Y2798" t="s">
        <v>789</v>
      </c>
      <c r="Z2798" t="s">
        <v>792</v>
      </c>
      <c r="AB2798" t="s">
        <v>793</v>
      </c>
      <c r="AD2798" t="s">
        <v>794</v>
      </c>
      <c r="AE2798" t="s">
        <v>804</v>
      </c>
      <c r="AF2798" t="s">
        <v>860</v>
      </c>
      <c r="AG2798" t="s">
        <v>797</v>
      </c>
      <c r="AH2798">
        <v>2044788</v>
      </c>
      <c r="AI2798">
        <v>3408083.8079999997</v>
      </c>
      <c r="AJ2798">
        <v>0.17261584779461026</v>
      </c>
    </row>
    <row r="2799" spans="14:36" x14ac:dyDescent="0.3">
      <c r="N2799" t="str">
        <f t="shared" si="172"/>
        <v>West Northamptonshire1Telecare and Assistive technologyAssistive Technologies and EquipmentAssistive technologies including telecare</v>
      </c>
      <c r="O2799" t="s">
        <v>345</v>
      </c>
      <c r="P2799" t="s">
        <v>2478</v>
      </c>
      <c r="Q2799">
        <v>1</v>
      </c>
      <c r="R2799" t="s">
        <v>4586</v>
      </c>
      <c r="S2799" t="s">
        <v>7443</v>
      </c>
      <c r="T2799" t="s">
        <v>800</v>
      </c>
      <c r="U2799" t="s">
        <v>850</v>
      </c>
      <c r="W2799">
        <v>3000</v>
      </c>
      <c r="X2799">
        <v>3000</v>
      </c>
      <c r="Y2799" t="s">
        <v>802</v>
      </c>
      <c r="Z2799" t="s">
        <v>792</v>
      </c>
      <c r="AB2799" t="s">
        <v>793</v>
      </c>
      <c r="AD2799" t="s">
        <v>794</v>
      </c>
      <c r="AE2799" t="s">
        <v>795</v>
      </c>
      <c r="AF2799" t="s">
        <v>845</v>
      </c>
      <c r="AG2799" t="s">
        <v>797</v>
      </c>
      <c r="AH2799">
        <v>448000</v>
      </c>
      <c r="AI2799">
        <v>448000</v>
      </c>
      <c r="AJ2799">
        <v>0.1273450824332007</v>
      </c>
    </row>
    <row r="2800" spans="14:36" x14ac:dyDescent="0.3">
      <c r="N2800" t="str">
        <f t="shared" si="172"/>
        <v>West Northamptonshire17Demographic and care cost pressuresResidential PlacementsCare home</v>
      </c>
      <c r="O2800" t="s">
        <v>345</v>
      </c>
      <c r="P2800" t="s">
        <v>2478</v>
      </c>
      <c r="Q2800">
        <v>17</v>
      </c>
      <c r="R2800" t="s">
        <v>6918</v>
      </c>
      <c r="S2800" t="s">
        <v>7444</v>
      </c>
      <c r="T2800" t="s">
        <v>806</v>
      </c>
      <c r="U2800" t="s">
        <v>807</v>
      </c>
      <c r="W2800">
        <v>113</v>
      </c>
      <c r="X2800">
        <v>113</v>
      </c>
      <c r="Y2800" t="s">
        <v>808</v>
      </c>
      <c r="Z2800" t="s">
        <v>792</v>
      </c>
      <c r="AB2800" t="s">
        <v>793</v>
      </c>
      <c r="AD2800" t="s">
        <v>794</v>
      </c>
      <c r="AE2800" t="s">
        <v>795</v>
      </c>
      <c r="AF2800" t="s">
        <v>845</v>
      </c>
      <c r="AG2800" t="s">
        <v>797</v>
      </c>
      <c r="AH2800">
        <v>5065165</v>
      </c>
      <c r="AI2800">
        <v>5065165</v>
      </c>
      <c r="AJ2800">
        <v>9.740384615384616E-2</v>
      </c>
    </row>
    <row r="2801" spans="14:36" x14ac:dyDescent="0.3">
      <c r="N2801" t="str">
        <f t="shared" si="172"/>
        <v>West Northamptonshire8Domiciliary Care  Home Care or Domiciliary CareDomiciliary care packages</v>
      </c>
      <c r="O2801" t="s">
        <v>345</v>
      </c>
      <c r="P2801" t="s">
        <v>2478</v>
      </c>
      <c r="Q2801">
        <v>8</v>
      </c>
      <c r="R2801" t="s">
        <v>6920</v>
      </c>
      <c r="S2801" t="s">
        <v>7445</v>
      </c>
      <c r="T2801" t="s">
        <v>842</v>
      </c>
      <c r="U2801" t="s">
        <v>843</v>
      </c>
      <c r="W2801">
        <v>219000</v>
      </c>
      <c r="X2801">
        <v>219000</v>
      </c>
      <c r="Y2801" t="s">
        <v>844</v>
      </c>
      <c r="Z2801" t="s">
        <v>792</v>
      </c>
      <c r="AB2801" t="s">
        <v>793</v>
      </c>
      <c r="AD2801" t="s">
        <v>794</v>
      </c>
      <c r="AE2801" t="s">
        <v>795</v>
      </c>
      <c r="AF2801" t="s">
        <v>845</v>
      </c>
      <c r="AG2801" t="s">
        <v>797</v>
      </c>
      <c r="AH2801">
        <v>4339868</v>
      </c>
      <c r="AI2801">
        <v>4339868</v>
      </c>
      <c r="AJ2801">
        <v>9.8613636363636389E-2</v>
      </c>
    </row>
    <row r="2802" spans="14:36" x14ac:dyDescent="0.3">
      <c r="N2802" t="str">
        <f t="shared" si="172"/>
        <v>West Northamptonshire5Disabled Facilities GrantsDFG Related SchemesAdaptations, including statutory DFG grants</v>
      </c>
      <c r="O2802" t="s">
        <v>345</v>
      </c>
      <c r="P2802" t="s">
        <v>2478</v>
      </c>
      <c r="Q2802">
        <v>5</v>
      </c>
      <c r="R2802" t="s">
        <v>1341</v>
      </c>
      <c r="S2802" t="s">
        <v>7446</v>
      </c>
      <c r="T2802" t="s">
        <v>834</v>
      </c>
      <c r="U2802" t="s">
        <v>835</v>
      </c>
      <c r="W2802">
        <v>352</v>
      </c>
      <c r="X2802">
        <v>352</v>
      </c>
      <c r="Y2802" t="s">
        <v>836</v>
      </c>
      <c r="Z2802" t="s">
        <v>792</v>
      </c>
      <c r="AB2802" t="s">
        <v>793</v>
      </c>
      <c r="AD2802" t="s">
        <v>794</v>
      </c>
      <c r="AE2802" t="s">
        <v>795</v>
      </c>
      <c r="AF2802" t="s">
        <v>840</v>
      </c>
      <c r="AG2802" t="s">
        <v>797</v>
      </c>
      <c r="AH2802">
        <v>2558938</v>
      </c>
      <c r="AI2802">
        <v>2558938</v>
      </c>
      <c r="AJ2802">
        <v>1</v>
      </c>
    </row>
    <row r="2803" spans="14:36" x14ac:dyDescent="0.3">
      <c r="N2803" t="str">
        <f t="shared" si="172"/>
        <v>West Northamptonshire3Carers Support Services (CCG Contract)Carers ServicesRespite services</v>
      </c>
      <c r="O2803" t="s">
        <v>345</v>
      </c>
      <c r="P2803" t="s">
        <v>2478</v>
      </c>
      <c r="Q2803">
        <v>3</v>
      </c>
      <c r="R2803" t="s">
        <v>4580</v>
      </c>
      <c r="S2803" t="s">
        <v>5069</v>
      </c>
      <c r="T2803" t="s">
        <v>811</v>
      </c>
      <c r="U2803" t="s">
        <v>830</v>
      </c>
      <c r="W2803">
        <v>65000</v>
      </c>
      <c r="X2803">
        <v>65000</v>
      </c>
      <c r="Y2803" t="s">
        <v>813</v>
      </c>
      <c r="Z2803" t="s">
        <v>812</v>
      </c>
      <c r="AA2803" t="s">
        <v>7447</v>
      </c>
      <c r="AB2803" t="s">
        <v>824</v>
      </c>
      <c r="AD2803" t="s">
        <v>794</v>
      </c>
      <c r="AE2803" t="s">
        <v>804</v>
      </c>
      <c r="AF2803" t="s">
        <v>796</v>
      </c>
      <c r="AG2803" t="s">
        <v>797</v>
      </c>
      <c r="AH2803">
        <v>381089</v>
      </c>
      <c r="AI2803">
        <v>402659</v>
      </c>
      <c r="AJ2803">
        <v>0.47270471464019859</v>
      </c>
    </row>
    <row r="2804" spans="14:36" x14ac:dyDescent="0.3">
      <c r="N2804" t="str">
        <f t="shared" si="172"/>
        <v>West Northamptonshire4Intermediate Care Teams (ICT)Home-based intermediate care servicesRehabilitation at home (to support discharge)</v>
      </c>
      <c r="O2804" t="s">
        <v>345</v>
      </c>
      <c r="P2804" t="s">
        <v>2478</v>
      </c>
      <c r="Q2804">
        <v>4</v>
      </c>
      <c r="R2804" t="s">
        <v>4588</v>
      </c>
      <c r="S2804" t="s">
        <v>7448</v>
      </c>
      <c r="T2804" t="s">
        <v>787</v>
      </c>
      <c r="U2804" t="s">
        <v>1195</v>
      </c>
      <c r="W2804">
        <v>1472</v>
      </c>
      <c r="X2804">
        <v>1472</v>
      </c>
      <c r="Y2804" t="s">
        <v>789</v>
      </c>
      <c r="Z2804" t="s">
        <v>823</v>
      </c>
      <c r="AB2804" t="s">
        <v>824</v>
      </c>
      <c r="AD2804" t="s">
        <v>794</v>
      </c>
      <c r="AE2804" t="s">
        <v>832</v>
      </c>
      <c r="AF2804" t="s">
        <v>796</v>
      </c>
      <c r="AG2804" t="s">
        <v>797</v>
      </c>
      <c r="AH2804">
        <v>5093930</v>
      </c>
      <c r="AI2804">
        <v>5382246</v>
      </c>
      <c r="AJ2804">
        <v>0.43001672816761394</v>
      </c>
    </row>
    <row r="2805" spans="14:36" x14ac:dyDescent="0.3">
      <c r="N2805" t="str">
        <f t="shared" si="172"/>
        <v>West Northamptonshire1Community Equipment (Health)Assistive Technologies and EquipmentCommunity based equipment</v>
      </c>
      <c r="O2805" t="s">
        <v>345</v>
      </c>
      <c r="P2805" t="s">
        <v>2478</v>
      </c>
      <c r="Q2805">
        <v>1</v>
      </c>
      <c r="R2805" t="s">
        <v>4591</v>
      </c>
      <c r="S2805" t="s">
        <v>7449</v>
      </c>
      <c r="T2805" t="s">
        <v>800</v>
      </c>
      <c r="U2805" t="s">
        <v>903</v>
      </c>
      <c r="W2805">
        <v>9020</v>
      </c>
      <c r="X2805">
        <v>9200</v>
      </c>
      <c r="Y2805" t="s">
        <v>802</v>
      </c>
      <c r="Z2805" t="s">
        <v>823</v>
      </c>
      <c r="AB2805" t="s">
        <v>793</v>
      </c>
      <c r="AD2805" t="s">
        <v>794</v>
      </c>
      <c r="AE2805" t="s">
        <v>804</v>
      </c>
      <c r="AF2805" t="s">
        <v>796</v>
      </c>
      <c r="AG2805" t="s">
        <v>797</v>
      </c>
      <c r="AH2805">
        <v>1048042</v>
      </c>
      <c r="AI2805">
        <v>1107361</v>
      </c>
      <c r="AJ2805">
        <v>0.29790847072200116</v>
      </c>
    </row>
    <row r="2806" spans="14:36" x14ac:dyDescent="0.3">
      <c r="N2806" t="str">
        <f t="shared" si="172"/>
        <v>West Northamptonshire19Residential Short BreaksResidential PlacementsShort term residential care (without rehabilitation or reablement input)</v>
      </c>
      <c r="O2806" t="s">
        <v>345</v>
      </c>
      <c r="P2806" t="s">
        <v>2478</v>
      </c>
      <c r="Q2806">
        <v>19</v>
      </c>
      <c r="R2806" t="s">
        <v>6929</v>
      </c>
      <c r="S2806" t="s">
        <v>7450</v>
      </c>
      <c r="T2806" t="s">
        <v>806</v>
      </c>
      <c r="U2806" t="s">
        <v>955</v>
      </c>
      <c r="W2806">
        <v>75</v>
      </c>
      <c r="X2806">
        <v>75</v>
      </c>
      <c r="Y2806" t="s">
        <v>808</v>
      </c>
      <c r="Z2806" t="s">
        <v>812</v>
      </c>
      <c r="AA2806" t="s">
        <v>7451</v>
      </c>
      <c r="AB2806" t="s">
        <v>824</v>
      </c>
      <c r="AD2806" t="s">
        <v>794</v>
      </c>
      <c r="AE2806" t="s">
        <v>824</v>
      </c>
      <c r="AF2806" t="s">
        <v>796</v>
      </c>
      <c r="AG2806" t="s">
        <v>861</v>
      </c>
      <c r="AH2806">
        <v>469426</v>
      </c>
      <c r="AI2806">
        <v>495996</v>
      </c>
      <c r="AJ2806">
        <v>0.33</v>
      </c>
    </row>
    <row r="2807" spans="14:36" x14ac:dyDescent="0.3">
      <c r="N2807" t="str">
        <f t="shared" si="172"/>
        <v>West Northamptonshire3Carers Support Services WNC ContractCarers ServicesCarer advice and support related to Care Act duties</v>
      </c>
      <c r="O2807" t="s">
        <v>345</v>
      </c>
      <c r="P2807" t="s">
        <v>2478</v>
      </c>
      <c r="Q2807">
        <v>3</v>
      </c>
      <c r="R2807" t="s">
        <v>6932</v>
      </c>
      <c r="S2807" t="s">
        <v>5073</v>
      </c>
      <c r="T2807" t="s">
        <v>811</v>
      </c>
      <c r="U2807" t="s">
        <v>895</v>
      </c>
      <c r="W2807">
        <v>570</v>
      </c>
      <c r="X2807">
        <v>570</v>
      </c>
      <c r="Y2807" t="s">
        <v>813</v>
      </c>
      <c r="Z2807" t="s">
        <v>812</v>
      </c>
      <c r="AA2807" t="s">
        <v>7452</v>
      </c>
      <c r="AB2807" t="s">
        <v>793</v>
      </c>
      <c r="AD2807" t="s">
        <v>794</v>
      </c>
      <c r="AE2807" t="s">
        <v>804</v>
      </c>
      <c r="AF2807" t="s">
        <v>796</v>
      </c>
      <c r="AG2807" t="s">
        <v>797</v>
      </c>
      <c r="AH2807">
        <v>424508</v>
      </c>
      <c r="AI2807">
        <v>448535</v>
      </c>
      <c r="AJ2807">
        <v>0.39756782039289057</v>
      </c>
    </row>
    <row r="2808" spans="14:36" x14ac:dyDescent="0.3">
      <c r="N2808" t="str">
        <f t="shared" si="172"/>
        <v>West Northamptonshire11Specialist Care Centres (SCC) Step and Step DownBed based intermediate Care Services (Reablement, rehabilitation, wider short-term services supporting recovery)Bed-based intermediate care with rehabilitation (to support discharge)</v>
      </c>
      <c r="O2808" t="s">
        <v>345</v>
      </c>
      <c r="P2808" t="s">
        <v>2478</v>
      </c>
      <c r="Q2808">
        <v>11</v>
      </c>
      <c r="R2808" t="s">
        <v>6935</v>
      </c>
      <c r="S2808" t="s">
        <v>7453</v>
      </c>
      <c r="T2808" t="s">
        <v>877</v>
      </c>
      <c r="U2808" t="s">
        <v>968</v>
      </c>
      <c r="W2808">
        <v>328</v>
      </c>
      <c r="X2808">
        <v>328</v>
      </c>
      <c r="Y2808" t="s">
        <v>879</v>
      </c>
      <c r="Z2808" t="s">
        <v>792</v>
      </c>
      <c r="AB2808" t="s">
        <v>793</v>
      </c>
      <c r="AD2808" t="s">
        <v>794</v>
      </c>
      <c r="AE2808" t="s">
        <v>795</v>
      </c>
      <c r="AF2808" t="s">
        <v>796</v>
      </c>
      <c r="AG2808" t="s">
        <v>797</v>
      </c>
      <c r="AH2808">
        <v>3065168</v>
      </c>
      <c r="AI2808">
        <v>3238658</v>
      </c>
      <c r="AJ2808">
        <v>0.50819672131147542</v>
      </c>
    </row>
    <row r="2809" spans="14:36" x14ac:dyDescent="0.3">
      <c r="N2809" t="str">
        <f t="shared" si="172"/>
        <v>West Northamptonshire12Community Reablement Team Home-based intermediate care servicesRehabilitation at home (to support discharge)</v>
      </c>
      <c r="O2809" t="s">
        <v>345</v>
      </c>
      <c r="P2809" t="s">
        <v>2478</v>
      </c>
      <c r="Q2809">
        <v>12</v>
      </c>
      <c r="R2809" t="s">
        <v>4594</v>
      </c>
      <c r="S2809" t="s">
        <v>7454</v>
      </c>
      <c r="T2809" t="s">
        <v>787</v>
      </c>
      <c r="U2809" t="s">
        <v>1195</v>
      </c>
      <c r="W2809">
        <v>1512</v>
      </c>
      <c r="X2809">
        <v>1512</v>
      </c>
      <c r="Y2809" t="s">
        <v>789</v>
      </c>
      <c r="Z2809" t="s">
        <v>792</v>
      </c>
      <c r="AB2809" t="s">
        <v>793</v>
      </c>
      <c r="AD2809" t="s">
        <v>794</v>
      </c>
      <c r="AE2809" t="s">
        <v>795</v>
      </c>
      <c r="AF2809" t="s">
        <v>796</v>
      </c>
      <c r="AG2809" t="s">
        <v>797</v>
      </c>
      <c r="AH2809">
        <v>3408926</v>
      </c>
      <c r="AI2809">
        <v>3601870</v>
      </c>
      <c r="AJ2809">
        <v>0.28777293859269987</v>
      </c>
    </row>
    <row r="2810" spans="14:36" x14ac:dyDescent="0.3">
      <c r="N2810" t="str">
        <f t="shared" si="172"/>
        <v xml:space="preserve">West Northamptonshire12Community Occupational TherapyHome-based intermediate care servicesReablement at home (to support discharge) </v>
      </c>
      <c r="O2810" t="s">
        <v>345</v>
      </c>
      <c r="P2810" t="s">
        <v>2478</v>
      </c>
      <c r="Q2810">
        <v>12</v>
      </c>
      <c r="R2810" t="s">
        <v>4597</v>
      </c>
      <c r="S2810" t="s">
        <v>5085</v>
      </c>
      <c r="T2810" t="s">
        <v>787</v>
      </c>
      <c r="U2810" t="s">
        <v>788</v>
      </c>
      <c r="W2810">
        <v>2250</v>
      </c>
      <c r="X2810">
        <v>2250</v>
      </c>
      <c r="Y2810" t="s">
        <v>789</v>
      </c>
      <c r="Z2810" t="s">
        <v>792</v>
      </c>
      <c r="AB2810" t="s">
        <v>793</v>
      </c>
      <c r="AD2810" t="s">
        <v>794</v>
      </c>
      <c r="AE2810" t="s">
        <v>795</v>
      </c>
      <c r="AF2810" t="s">
        <v>796</v>
      </c>
      <c r="AG2810" t="s">
        <v>797</v>
      </c>
      <c r="AH2810">
        <v>1138110</v>
      </c>
      <c r="AI2810">
        <v>1202527</v>
      </c>
      <c r="AJ2810">
        <v>9.6076376882847453E-2</v>
      </c>
    </row>
    <row r="2811" spans="14:36" x14ac:dyDescent="0.3">
      <c r="N2811" t="str">
        <f t="shared" si="172"/>
        <v>West Northamptonshire1Community Equipment (Social Care)Assistive Technologies and EquipmentCommunity based equipment</v>
      </c>
      <c r="O2811" t="s">
        <v>345</v>
      </c>
      <c r="P2811" t="s">
        <v>2478</v>
      </c>
      <c r="Q2811">
        <v>1</v>
      </c>
      <c r="R2811" t="s">
        <v>6941</v>
      </c>
      <c r="S2811" t="s">
        <v>7455</v>
      </c>
      <c r="T2811" t="s">
        <v>800</v>
      </c>
      <c r="U2811" t="s">
        <v>903</v>
      </c>
      <c r="W2811">
        <v>8940</v>
      </c>
      <c r="X2811">
        <v>9119</v>
      </c>
      <c r="Y2811" t="s">
        <v>802</v>
      </c>
      <c r="Z2811" t="s">
        <v>792</v>
      </c>
      <c r="AB2811" t="s">
        <v>793</v>
      </c>
      <c r="AD2811" t="s">
        <v>794</v>
      </c>
      <c r="AE2811" t="s">
        <v>804</v>
      </c>
      <c r="AF2811" t="s">
        <v>1029</v>
      </c>
      <c r="AG2811" t="s">
        <v>797</v>
      </c>
      <c r="AH2811">
        <v>1447731</v>
      </c>
      <c r="AI2811">
        <v>1529672.5745999999</v>
      </c>
      <c r="AJ2811">
        <v>0.41152103467879469</v>
      </c>
    </row>
    <row r="2812" spans="14:36" x14ac:dyDescent="0.3">
      <c r="N2812" t="str">
        <f t="shared" si="172"/>
        <v>West Northamptonshire11Bed BasedBed based intermediate Care Services (Reablement, rehabilitation, wider short-term services supporting recovery)Bed-based intermediate care with reablement (to support discharge)</v>
      </c>
      <c r="O2812" t="s">
        <v>345</v>
      </c>
      <c r="P2812" t="s">
        <v>2478</v>
      </c>
      <c r="Q2812">
        <v>11</v>
      </c>
      <c r="R2812" t="s">
        <v>6913</v>
      </c>
      <c r="S2812" t="s">
        <v>7442</v>
      </c>
      <c r="T2812" t="s">
        <v>877</v>
      </c>
      <c r="U2812" t="s">
        <v>878</v>
      </c>
      <c r="W2812">
        <v>106</v>
      </c>
      <c r="X2812">
        <v>106</v>
      </c>
      <c r="Y2812" t="s">
        <v>879</v>
      </c>
      <c r="Z2812" t="s">
        <v>823</v>
      </c>
      <c r="AB2812" t="s">
        <v>793</v>
      </c>
      <c r="AD2812" t="s">
        <v>794</v>
      </c>
      <c r="AE2812" t="s">
        <v>795</v>
      </c>
      <c r="AF2812" t="s">
        <v>1042</v>
      </c>
      <c r="AG2812" t="s">
        <v>797</v>
      </c>
      <c r="AH2812">
        <v>2000000</v>
      </c>
      <c r="AI2812">
        <v>0</v>
      </c>
      <c r="AJ2812">
        <v>0.32786885245901642</v>
      </c>
    </row>
    <row r="2813" spans="14:36" x14ac:dyDescent="0.3">
      <c r="N2813" t="str">
        <f t="shared" si="172"/>
        <v>West Sussex1Disabled Facilities GrantDFG Related SchemesAdaptations, including statutory DFG grants</v>
      </c>
      <c r="O2813" t="s">
        <v>347</v>
      </c>
      <c r="P2813" t="s">
        <v>1437</v>
      </c>
      <c r="Q2813">
        <v>1</v>
      </c>
      <c r="R2813" t="s">
        <v>891</v>
      </c>
      <c r="S2813" t="s">
        <v>7456</v>
      </c>
      <c r="T2813" t="s">
        <v>834</v>
      </c>
      <c r="U2813" t="s">
        <v>835</v>
      </c>
      <c r="W2813">
        <v>1300</v>
      </c>
      <c r="X2813">
        <v>1300</v>
      </c>
      <c r="Y2813" t="s">
        <v>836</v>
      </c>
      <c r="Z2813" t="s">
        <v>812</v>
      </c>
      <c r="AA2813" t="s">
        <v>4640</v>
      </c>
      <c r="AB2813" t="s">
        <v>793</v>
      </c>
      <c r="AD2813" t="s">
        <v>794</v>
      </c>
      <c r="AE2813" t="s">
        <v>795</v>
      </c>
      <c r="AF2813" t="s">
        <v>840</v>
      </c>
      <c r="AG2813" t="s">
        <v>797</v>
      </c>
      <c r="AH2813">
        <v>9414970</v>
      </c>
      <c r="AI2813">
        <v>9414970</v>
      </c>
      <c r="AJ2813">
        <v>1</v>
      </c>
    </row>
    <row r="2814" spans="14:36" x14ac:dyDescent="0.3">
      <c r="N2814" t="str">
        <f t="shared" si="172"/>
        <v>West Sussex2Maintaining (Protecting) Social CareHome-based intermediate care servicesReablement at home (to prevent admission to hospital or residential care)</v>
      </c>
      <c r="O2814" t="s">
        <v>347</v>
      </c>
      <c r="P2814" t="s">
        <v>1437</v>
      </c>
      <c r="Q2814">
        <v>2</v>
      </c>
      <c r="R2814" t="s">
        <v>6944</v>
      </c>
      <c r="S2814" t="s">
        <v>7457</v>
      </c>
      <c r="T2814" t="s">
        <v>787</v>
      </c>
      <c r="U2814" t="s">
        <v>886</v>
      </c>
      <c r="W2814">
        <v>1778</v>
      </c>
      <c r="X2814">
        <v>1778</v>
      </c>
      <c r="Y2814" t="s">
        <v>789</v>
      </c>
      <c r="Z2814" t="s">
        <v>792</v>
      </c>
      <c r="AB2814" t="s">
        <v>793</v>
      </c>
      <c r="AD2814" t="s">
        <v>794</v>
      </c>
      <c r="AE2814" t="s">
        <v>804</v>
      </c>
      <c r="AF2814" t="s">
        <v>796</v>
      </c>
      <c r="AG2814" t="s">
        <v>797</v>
      </c>
      <c r="AH2814">
        <v>3743000</v>
      </c>
      <c r="AI2814">
        <v>3954854</v>
      </c>
      <c r="AJ2814">
        <v>0.60453408640331285</v>
      </c>
    </row>
    <row r="2815" spans="14:36" x14ac:dyDescent="0.3">
      <c r="N2815" t="str">
        <f t="shared" si="172"/>
        <v>West Sussex2Maintaining (Protecting) Social CareHome Care or Domiciliary CareDomiciliary care packages</v>
      </c>
      <c r="O2815" t="s">
        <v>347</v>
      </c>
      <c r="P2815" t="s">
        <v>1437</v>
      </c>
      <c r="Q2815">
        <v>2</v>
      </c>
      <c r="R2815" t="s">
        <v>6944</v>
      </c>
      <c r="S2815" t="s">
        <v>7458</v>
      </c>
      <c r="T2815" t="s">
        <v>842</v>
      </c>
      <c r="U2815" t="s">
        <v>843</v>
      </c>
      <c r="W2815">
        <v>581478</v>
      </c>
      <c r="X2815">
        <v>581478</v>
      </c>
      <c r="Y2815" t="s">
        <v>844</v>
      </c>
      <c r="Z2815" t="s">
        <v>792</v>
      </c>
      <c r="AB2815" t="s">
        <v>793</v>
      </c>
      <c r="AD2815" t="s">
        <v>794</v>
      </c>
      <c r="AE2815" t="s">
        <v>804</v>
      </c>
      <c r="AF2815" t="s">
        <v>796</v>
      </c>
      <c r="AG2815" t="s">
        <v>797</v>
      </c>
      <c r="AH2815">
        <v>14600256</v>
      </c>
      <c r="AI2815">
        <v>15426630</v>
      </c>
      <c r="AJ2815">
        <v>0.36846585714239138</v>
      </c>
    </row>
    <row r="2816" spans="14:36" x14ac:dyDescent="0.3">
      <c r="N2816" t="str">
        <f t="shared" si="172"/>
        <v>West Sussex3Improved Better Care FundHome Care or Domiciliary CareDomiciliary care packages</v>
      </c>
      <c r="O2816" t="s">
        <v>347</v>
      </c>
      <c r="P2816" t="s">
        <v>1437</v>
      </c>
      <c r="Q2816">
        <v>3</v>
      </c>
      <c r="R2816" t="s">
        <v>1464</v>
      </c>
      <c r="S2816" t="s">
        <v>7459</v>
      </c>
      <c r="T2816" t="s">
        <v>842</v>
      </c>
      <c r="U2816" t="s">
        <v>843</v>
      </c>
      <c r="W2816">
        <v>422415</v>
      </c>
      <c r="X2816">
        <v>422415</v>
      </c>
      <c r="Y2816" t="s">
        <v>844</v>
      </c>
      <c r="Z2816" t="s">
        <v>792</v>
      </c>
      <c r="AB2816" t="s">
        <v>793</v>
      </c>
      <c r="AD2816" t="s">
        <v>794</v>
      </c>
      <c r="AE2816" t="s">
        <v>804</v>
      </c>
      <c r="AF2816" t="s">
        <v>845</v>
      </c>
      <c r="AG2816" t="s">
        <v>797</v>
      </c>
      <c r="AH2816">
        <v>11206666</v>
      </c>
      <c r="AI2816">
        <v>11206666</v>
      </c>
      <c r="AJ2816">
        <v>0.28282201307966753</v>
      </c>
    </row>
    <row r="2817" spans="14:36" x14ac:dyDescent="0.3">
      <c r="N2817" t="str">
        <f t="shared" si="172"/>
        <v>West Sussex3Improved Better Care FundHome Care or Domiciliary CareDomiciliary care packages</v>
      </c>
      <c r="O2817" t="s">
        <v>347</v>
      </c>
      <c r="P2817" t="s">
        <v>1437</v>
      </c>
      <c r="Q2817">
        <v>3</v>
      </c>
      <c r="R2817" t="s">
        <v>1464</v>
      </c>
      <c r="S2817" t="s">
        <v>7460</v>
      </c>
      <c r="T2817" t="s">
        <v>842</v>
      </c>
      <c r="U2817" t="s">
        <v>843</v>
      </c>
      <c r="W2817">
        <v>88956</v>
      </c>
      <c r="X2817">
        <v>88956</v>
      </c>
      <c r="Y2817" t="s">
        <v>844</v>
      </c>
      <c r="Z2817" t="s">
        <v>792</v>
      </c>
      <c r="AB2817" t="s">
        <v>793</v>
      </c>
      <c r="AD2817" t="s">
        <v>794</v>
      </c>
      <c r="AE2817" t="s">
        <v>804</v>
      </c>
      <c r="AF2817" t="s">
        <v>845</v>
      </c>
      <c r="AG2817" t="s">
        <v>797</v>
      </c>
      <c r="AH2817">
        <v>2360000</v>
      </c>
      <c r="AI2817">
        <v>2360000</v>
      </c>
      <c r="AJ2817">
        <v>5.9559190116669443E-2</v>
      </c>
    </row>
    <row r="2818" spans="14:36" x14ac:dyDescent="0.3">
      <c r="N2818" t="str">
        <f t="shared" ref="N2818:N2881" si="176">O2818&amp;Q2818&amp;R2818&amp;T2818&amp;U2818</f>
        <v>West Sussex7Responsive ServicesHome Care or Domiciliary CareDomiciliary care packages</v>
      </c>
      <c r="O2818" t="s">
        <v>347</v>
      </c>
      <c r="P2818" t="s">
        <v>1437</v>
      </c>
      <c r="Q2818">
        <v>7</v>
      </c>
      <c r="R2818" t="s">
        <v>6949</v>
      </c>
      <c r="S2818" t="s">
        <v>7461</v>
      </c>
      <c r="T2818" t="s">
        <v>842</v>
      </c>
      <c r="U2818" t="s">
        <v>843</v>
      </c>
      <c r="W2818">
        <v>19613</v>
      </c>
      <c r="X2818">
        <v>19613</v>
      </c>
      <c r="Y2818" t="s">
        <v>844</v>
      </c>
      <c r="Z2818" t="s">
        <v>823</v>
      </c>
      <c r="AB2818" t="s">
        <v>824</v>
      </c>
      <c r="AD2818" t="s">
        <v>794</v>
      </c>
      <c r="AE2818" t="s">
        <v>832</v>
      </c>
      <c r="AF2818" t="s">
        <v>796</v>
      </c>
      <c r="AG2818" t="s">
        <v>797</v>
      </c>
      <c r="AH2818">
        <v>1054652.2042039903</v>
      </c>
      <c r="AI2818">
        <v>1110548</v>
      </c>
      <c r="AJ2818">
        <v>2.6616199634385572E-2</v>
      </c>
    </row>
    <row r="2819" spans="14:36" x14ac:dyDescent="0.3">
      <c r="N2819" t="str">
        <f t="shared" si="176"/>
        <v>West Sussex7Responsive ServicesBed based intermediate Care Services (Reablement, rehabilitation, wider short-term services supporting recovery)Bed-based intermediate care with rehabilitation (to support discharge)</v>
      </c>
      <c r="O2819" t="s">
        <v>347</v>
      </c>
      <c r="P2819" t="s">
        <v>1437</v>
      </c>
      <c r="Q2819">
        <v>7</v>
      </c>
      <c r="R2819" t="s">
        <v>6949</v>
      </c>
      <c r="S2819" t="s">
        <v>7462</v>
      </c>
      <c r="T2819" t="s">
        <v>877</v>
      </c>
      <c r="U2819" t="s">
        <v>968</v>
      </c>
      <c r="W2819">
        <v>2283</v>
      </c>
      <c r="X2819">
        <v>2283</v>
      </c>
      <c r="Y2819" t="s">
        <v>879</v>
      </c>
      <c r="Z2819" t="s">
        <v>823</v>
      </c>
      <c r="AB2819" t="s">
        <v>824</v>
      </c>
      <c r="AD2819" t="s">
        <v>794</v>
      </c>
      <c r="AE2819" t="s">
        <v>832</v>
      </c>
      <c r="AF2819" t="s">
        <v>796</v>
      </c>
      <c r="AG2819" t="s">
        <v>797</v>
      </c>
      <c r="AH2819">
        <v>1088978.4784108964</v>
      </c>
      <c r="AI2819">
        <v>1146694</v>
      </c>
      <c r="AJ2819">
        <v>0.31155163629957733</v>
      </c>
    </row>
    <row r="2820" spans="14:36" x14ac:dyDescent="0.3">
      <c r="N2820" t="str">
        <f t="shared" si="176"/>
        <v>West Sussex7Responsive ServicesBed based intermediate Care Services (Reablement, rehabilitation, wider short-term services supporting recovery)Bed-based intermediate care with reablement (to support discharge)</v>
      </c>
      <c r="O2820" t="s">
        <v>347</v>
      </c>
      <c r="P2820" t="s">
        <v>1437</v>
      </c>
      <c r="Q2820">
        <v>7</v>
      </c>
      <c r="R2820" t="s">
        <v>6949</v>
      </c>
      <c r="S2820" t="s">
        <v>7463</v>
      </c>
      <c r="T2820" t="s">
        <v>877</v>
      </c>
      <c r="U2820" t="s">
        <v>878</v>
      </c>
      <c r="W2820">
        <v>42372</v>
      </c>
      <c r="X2820">
        <v>42372</v>
      </c>
      <c r="Y2820" t="s">
        <v>879</v>
      </c>
      <c r="Z2820" t="s">
        <v>823</v>
      </c>
      <c r="AB2820" t="s">
        <v>824</v>
      </c>
      <c r="AD2820" t="s">
        <v>794</v>
      </c>
      <c r="AE2820" t="s">
        <v>832</v>
      </c>
      <c r="AF2820" t="s">
        <v>796</v>
      </c>
      <c r="AG2820" t="s">
        <v>797</v>
      </c>
      <c r="AH2820">
        <v>673053.35239093017</v>
      </c>
      <c r="AI2820">
        <v>708725</v>
      </c>
      <c r="AJ2820">
        <v>0.19255740807688324</v>
      </c>
    </row>
    <row r="2821" spans="14:36" x14ac:dyDescent="0.3">
      <c r="N2821" t="str">
        <f t="shared" si="176"/>
        <v>West Sussex13Carers ServicesCarers ServicesOther</v>
      </c>
      <c r="O2821" t="s">
        <v>347</v>
      </c>
      <c r="P2821" t="s">
        <v>1437</v>
      </c>
      <c r="Q2821">
        <v>13</v>
      </c>
      <c r="R2821" t="s">
        <v>811</v>
      </c>
      <c r="S2821" t="s">
        <v>7464</v>
      </c>
      <c r="T2821" t="s">
        <v>811</v>
      </c>
      <c r="U2821" t="s">
        <v>812</v>
      </c>
      <c r="V2821" t="s">
        <v>7465</v>
      </c>
      <c r="W2821">
        <v>10300</v>
      </c>
      <c r="X2821">
        <v>10300</v>
      </c>
      <c r="Y2821" t="s">
        <v>813</v>
      </c>
      <c r="Z2821" t="s">
        <v>792</v>
      </c>
      <c r="AB2821" t="s">
        <v>793</v>
      </c>
      <c r="AD2821" t="s">
        <v>794</v>
      </c>
      <c r="AE2821" t="s">
        <v>825</v>
      </c>
      <c r="AF2821" t="s">
        <v>796</v>
      </c>
      <c r="AG2821" t="s">
        <v>797</v>
      </c>
      <c r="AH2821">
        <v>2543934.4</v>
      </c>
      <c r="AI2821">
        <v>2687921.0870399997</v>
      </c>
      <c r="AJ2821">
        <v>0.66402000000000005</v>
      </c>
    </row>
    <row r="2822" spans="14:36" x14ac:dyDescent="0.3">
      <c r="N2822" t="str">
        <f t="shared" si="176"/>
        <v>West Sussex13Carers ServicesCarers ServicesOther</v>
      </c>
      <c r="O2822" t="s">
        <v>347</v>
      </c>
      <c r="P2822" t="s">
        <v>1437</v>
      </c>
      <c r="Q2822">
        <v>13</v>
      </c>
      <c r="R2822" t="s">
        <v>811</v>
      </c>
      <c r="S2822" t="s">
        <v>7466</v>
      </c>
      <c r="T2822" t="s">
        <v>811</v>
      </c>
      <c r="U2822" t="s">
        <v>812</v>
      </c>
      <c r="V2822" t="s">
        <v>7467</v>
      </c>
      <c r="W2822">
        <v>470</v>
      </c>
      <c r="X2822">
        <v>470</v>
      </c>
      <c r="Y2822" t="s">
        <v>813</v>
      </c>
      <c r="Z2822" t="s">
        <v>792</v>
      </c>
      <c r="AB2822" t="s">
        <v>793</v>
      </c>
      <c r="AD2822" t="s">
        <v>794</v>
      </c>
      <c r="AE2822" t="s">
        <v>832</v>
      </c>
      <c r="AF2822" t="s">
        <v>796</v>
      </c>
      <c r="AG2822" t="s">
        <v>797</v>
      </c>
      <c r="AH2822">
        <v>489271.2</v>
      </c>
      <c r="AI2822">
        <v>516963.94991999998</v>
      </c>
      <c r="AJ2822">
        <v>0.12771000000000002</v>
      </c>
    </row>
    <row r="2823" spans="14:36" x14ac:dyDescent="0.3">
      <c r="N2823" t="str">
        <f t="shared" si="176"/>
        <v>West Sussex13Carers ServicesCarers ServicesOther</v>
      </c>
      <c r="O2823" t="s">
        <v>347</v>
      </c>
      <c r="P2823" t="s">
        <v>1437</v>
      </c>
      <c r="Q2823">
        <v>13</v>
      </c>
      <c r="R2823" t="s">
        <v>811</v>
      </c>
      <c r="S2823" t="s">
        <v>7468</v>
      </c>
      <c r="T2823" t="s">
        <v>811</v>
      </c>
      <c r="U2823" t="s">
        <v>812</v>
      </c>
      <c r="V2823" t="s">
        <v>7469</v>
      </c>
      <c r="W2823">
        <v>2400</v>
      </c>
      <c r="X2823">
        <v>2400</v>
      </c>
      <c r="Y2823" t="s">
        <v>813</v>
      </c>
      <c r="Z2823" t="s">
        <v>792</v>
      </c>
      <c r="AB2823" t="s">
        <v>793</v>
      </c>
      <c r="AD2823" t="s">
        <v>794</v>
      </c>
      <c r="AE2823" t="s">
        <v>795</v>
      </c>
      <c r="AF2823" t="s">
        <v>796</v>
      </c>
      <c r="AG2823" t="s">
        <v>797</v>
      </c>
      <c r="AH2823">
        <v>414794.4</v>
      </c>
      <c r="AI2823">
        <v>438271.76303999993</v>
      </c>
      <c r="AJ2823">
        <v>0.10827000000000001</v>
      </c>
    </row>
    <row r="2824" spans="14:36" x14ac:dyDescent="0.3">
      <c r="N2824" t="str">
        <f t="shared" si="176"/>
        <v>West Sussex14Technology Enabled CareAssistive Technologies and EquipmentAssistive technologies including telecare</v>
      </c>
      <c r="O2824" t="s">
        <v>347</v>
      </c>
      <c r="P2824" t="s">
        <v>1437</v>
      </c>
      <c r="Q2824">
        <v>14</v>
      </c>
      <c r="R2824" t="s">
        <v>1160</v>
      </c>
      <c r="S2824" t="s">
        <v>7470</v>
      </c>
      <c r="T2824" t="s">
        <v>800</v>
      </c>
      <c r="U2824" t="s">
        <v>850</v>
      </c>
      <c r="W2824">
        <v>1768</v>
      </c>
      <c r="X2824">
        <v>1768</v>
      </c>
      <c r="Y2824" t="s">
        <v>802</v>
      </c>
      <c r="Z2824" t="s">
        <v>792</v>
      </c>
      <c r="AB2824" t="s">
        <v>793</v>
      </c>
      <c r="AD2824" t="s">
        <v>794</v>
      </c>
      <c r="AE2824" t="s">
        <v>804</v>
      </c>
      <c r="AF2824" t="s">
        <v>796</v>
      </c>
      <c r="AG2824" t="s">
        <v>797</v>
      </c>
      <c r="AH2824">
        <v>1004900</v>
      </c>
      <c r="AI2824">
        <v>1061777</v>
      </c>
      <c r="AJ2824">
        <v>7.2524264767734464E-2</v>
      </c>
    </row>
    <row r="2825" spans="14:36" x14ac:dyDescent="0.3">
      <c r="N2825" t="str">
        <f t="shared" si="176"/>
        <v>West Sussex15Community EquipmentAssistive Technologies and EquipmentCommunity based equipment</v>
      </c>
      <c r="O2825" t="s">
        <v>347</v>
      </c>
      <c r="P2825" t="s">
        <v>1437</v>
      </c>
      <c r="Q2825">
        <v>15</v>
      </c>
      <c r="R2825" t="s">
        <v>1051</v>
      </c>
      <c r="S2825" t="s">
        <v>7471</v>
      </c>
      <c r="T2825" t="s">
        <v>800</v>
      </c>
      <c r="U2825" t="s">
        <v>903</v>
      </c>
      <c r="W2825">
        <v>12076</v>
      </c>
      <c r="X2825">
        <v>12076</v>
      </c>
      <c r="Y2825" t="s">
        <v>802</v>
      </c>
      <c r="Z2825" t="s">
        <v>792</v>
      </c>
      <c r="AB2825" t="s">
        <v>793</v>
      </c>
      <c r="AD2825" t="s">
        <v>794</v>
      </c>
      <c r="AE2825" t="s">
        <v>804</v>
      </c>
      <c r="AF2825" t="s">
        <v>796</v>
      </c>
      <c r="AG2825" t="s">
        <v>797</v>
      </c>
      <c r="AH2825">
        <v>4381000</v>
      </c>
      <c r="AI2825">
        <v>4628964.5999999996</v>
      </c>
      <c r="AJ2825">
        <v>0.31617952427848012</v>
      </c>
    </row>
    <row r="2826" spans="14:36" x14ac:dyDescent="0.3">
      <c r="N2826" t="str">
        <f t="shared" si="176"/>
        <v>West Sussex15Community EquipmentAssistive Technologies and EquipmentCommunity based equipment</v>
      </c>
      <c r="O2826" t="s">
        <v>347</v>
      </c>
      <c r="P2826" t="s">
        <v>1437</v>
      </c>
      <c r="Q2826">
        <v>15</v>
      </c>
      <c r="R2826" t="s">
        <v>1051</v>
      </c>
      <c r="S2826" t="s">
        <v>4053</v>
      </c>
      <c r="T2826" t="s">
        <v>800</v>
      </c>
      <c r="U2826" t="s">
        <v>903</v>
      </c>
      <c r="W2826">
        <v>16857</v>
      </c>
      <c r="X2826">
        <v>16857</v>
      </c>
      <c r="Y2826" t="s">
        <v>802</v>
      </c>
      <c r="Z2826" t="s">
        <v>823</v>
      </c>
      <c r="AB2826" t="s">
        <v>793</v>
      </c>
      <c r="AD2826" t="s">
        <v>794</v>
      </c>
      <c r="AE2826" t="s">
        <v>832</v>
      </c>
      <c r="AF2826" t="s">
        <v>796</v>
      </c>
      <c r="AG2826" t="s">
        <v>797</v>
      </c>
      <c r="AH2826">
        <v>6115622.3599999994</v>
      </c>
      <c r="AI2826">
        <v>6115622.3600000003</v>
      </c>
      <c r="AJ2826">
        <v>0.44136831053449799</v>
      </c>
    </row>
    <row r="2827" spans="14:36" x14ac:dyDescent="0.3">
      <c r="N2827" t="str">
        <f t="shared" si="176"/>
        <v>West Sussex17WSD005 - Domilciary Care RoundsHome Care or Domiciliary CareDomiciliary care to support hospital discharge (Discharge to Assess pathway 1)</v>
      </c>
      <c r="O2827" t="s">
        <v>347</v>
      </c>
      <c r="P2827" t="s">
        <v>1437</v>
      </c>
      <c r="Q2827">
        <v>17</v>
      </c>
      <c r="R2827" t="s">
        <v>6961</v>
      </c>
      <c r="S2827" t="s">
        <v>7472</v>
      </c>
      <c r="T2827" t="s">
        <v>842</v>
      </c>
      <c r="U2827" t="s">
        <v>856</v>
      </c>
      <c r="W2827">
        <v>1700</v>
      </c>
      <c r="X2827">
        <v>1700</v>
      </c>
      <c r="Y2827" t="s">
        <v>844</v>
      </c>
      <c r="Z2827" t="s">
        <v>792</v>
      </c>
      <c r="AB2827" t="s">
        <v>793</v>
      </c>
      <c r="AD2827" t="s">
        <v>794</v>
      </c>
      <c r="AE2827" t="s">
        <v>804</v>
      </c>
      <c r="AF2827" t="s">
        <v>796</v>
      </c>
      <c r="AG2827" t="s">
        <v>861</v>
      </c>
      <c r="AH2827">
        <v>231923.77</v>
      </c>
      <c r="AI2827">
        <v>231923.77</v>
      </c>
      <c r="AJ2827">
        <v>5.8530474194935234E-3</v>
      </c>
    </row>
    <row r="2828" spans="14:36" x14ac:dyDescent="0.3">
      <c r="N2828" t="str">
        <f t="shared" si="176"/>
        <v>West Sussex17WSD011- Step Down BedsHome-based intermediate care servicesRehabilitation at home (to support discharge)</v>
      </c>
      <c r="O2828" t="s">
        <v>347</v>
      </c>
      <c r="P2828" t="s">
        <v>1437</v>
      </c>
      <c r="Q2828">
        <v>17</v>
      </c>
      <c r="R2828" t="s">
        <v>6964</v>
      </c>
      <c r="S2828" t="s">
        <v>7473</v>
      </c>
      <c r="T2828" t="s">
        <v>787</v>
      </c>
      <c r="U2828" t="s">
        <v>1195</v>
      </c>
      <c r="W2828">
        <v>40</v>
      </c>
      <c r="X2828">
        <v>40</v>
      </c>
      <c r="Y2828" t="s">
        <v>789</v>
      </c>
      <c r="Z2828" t="s">
        <v>792</v>
      </c>
      <c r="AB2828" t="s">
        <v>793</v>
      </c>
      <c r="AD2828" t="s">
        <v>794</v>
      </c>
      <c r="AE2828" t="s">
        <v>804</v>
      </c>
      <c r="AF2828" t="s">
        <v>796</v>
      </c>
      <c r="AG2828" t="s">
        <v>861</v>
      </c>
      <c r="AH2828">
        <v>684705.23</v>
      </c>
      <c r="AI2828">
        <v>684705.23</v>
      </c>
      <c r="AJ2828">
        <v>0.11058713616714408</v>
      </c>
    </row>
    <row r="2829" spans="14:36" x14ac:dyDescent="0.3">
      <c r="N2829" t="str">
        <f t="shared" si="176"/>
        <v>West Sussex18WSD006 - Hospital Discharge Care Additional HoursHome Care or Domiciliary CareDomiciliary care to support hospital discharge (Discharge to Assess pathway 1)</v>
      </c>
      <c r="O2829" t="s">
        <v>347</v>
      </c>
      <c r="P2829" t="s">
        <v>1437</v>
      </c>
      <c r="Q2829">
        <v>18</v>
      </c>
      <c r="R2829" t="s">
        <v>6966</v>
      </c>
      <c r="S2829" t="s">
        <v>7474</v>
      </c>
      <c r="T2829" t="s">
        <v>842</v>
      </c>
      <c r="U2829" t="s">
        <v>856</v>
      </c>
      <c r="W2829">
        <v>36400</v>
      </c>
      <c r="X2829">
        <v>36400</v>
      </c>
      <c r="Y2829" t="s">
        <v>844</v>
      </c>
      <c r="Z2829" t="s">
        <v>792</v>
      </c>
      <c r="AB2829" t="s">
        <v>793</v>
      </c>
      <c r="AD2829" t="s">
        <v>794</v>
      </c>
      <c r="AE2829" t="s">
        <v>804</v>
      </c>
      <c r="AF2829" t="s">
        <v>864</v>
      </c>
      <c r="AG2829" t="s">
        <v>861</v>
      </c>
      <c r="AH2829">
        <v>970000</v>
      </c>
      <c r="AI2829">
        <v>970000</v>
      </c>
      <c r="AJ2829">
        <v>2.4479836615749727E-2</v>
      </c>
    </row>
    <row r="2830" spans="14:36" x14ac:dyDescent="0.3">
      <c r="N2830" t="str">
        <f t="shared" si="176"/>
        <v>West Sussex19WSD005A - Domiciliary Care RoundsHome Care or Domiciliary CareDomiciliary care to support hospital discharge (Discharge to Assess pathway 1)</v>
      </c>
      <c r="O2830" t="s">
        <v>347</v>
      </c>
      <c r="P2830" t="s">
        <v>1437</v>
      </c>
      <c r="Q2830">
        <v>19</v>
      </c>
      <c r="R2830" t="s">
        <v>6968</v>
      </c>
      <c r="S2830" t="s">
        <v>7475</v>
      </c>
      <c r="T2830" t="s">
        <v>842</v>
      </c>
      <c r="U2830" t="s">
        <v>856</v>
      </c>
      <c r="W2830">
        <v>6778</v>
      </c>
      <c r="X2830">
        <v>6778</v>
      </c>
      <c r="Y2830" t="s">
        <v>844</v>
      </c>
      <c r="Z2830" t="s">
        <v>792</v>
      </c>
      <c r="AB2830" t="s">
        <v>793</v>
      </c>
      <c r="AD2830" t="s">
        <v>794</v>
      </c>
      <c r="AE2830" t="s">
        <v>804</v>
      </c>
      <c r="AF2830" t="s">
        <v>860</v>
      </c>
      <c r="AG2830" t="s">
        <v>861</v>
      </c>
      <c r="AH2830">
        <v>476068</v>
      </c>
      <c r="AI2830">
        <v>476068</v>
      </c>
      <c r="AJ2830">
        <v>1.2014501915450247E-2</v>
      </c>
    </row>
    <row r="2831" spans="14:36" x14ac:dyDescent="0.3">
      <c r="N2831" t="str">
        <f t="shared" si="176"/>
        <v>West Sussex19WSD007 - Additional B6 Nurse Locum to Support Clinical Assessment in HFHome-based intermediate care servicesRehabilitation at home (to support discharge)</v>
      </c>
      <c r="O2831" t="s">
        <v>347</v>
      </c>
      <c r="P2831" t="s">
        <v>1437</v>
      </c>
      <c r="Q2831">
        <v>19</v>
      </c>
      <c r="R2831" t="s">
        <v>6970</v>
      </c>
      <c r="S2831" t="s">
        <v>7476</v>
      </c>
      <c r="T2831" t="s">
        <v>787</v>
      </c>
      <c r="U2831" t="s">
        <v>1195</v>
      </c>
      <c r="W2831">
        <v>7665</v>
      </c>
      <c r="X2831">
        <v>7665</v>
      </c>
      <c r="Y2831" t="s">
        <v>789</v>
      </c>
      <c r="Z2831" t="s">
        <v>823</v>
      </c>
      <c r="AB2831" t="s">
        <v>824</v>
      </c>
      <c r="AD2831" t="s">
        <v>794</v>
      </c>
      <c r="AE2831" t="s">
        <v>832</v>
      </c>
      <c r="AF2831" t="s">
        <v>860</v>
      </c>
      <c r="AG2831" t="s">
        <v>861</v>
      </c>
      <c r="AH2831">
        <v>853680</v>
      </c>
      <c r="AI2831">
        <v>853680</v>
      </c>
      <c r="AJ2831">
        <v>0.13787834861896345</v>
      </c>
    </row>
    <row r="2832" spans="14:36" x14ac:dyDescent="0.3">
      <c r="N2832" t="str">
        <f t="shared" si="176"/>
        <v>West Sussex19WSD009 - Self-funder Placement Support Service (CHS)Residential PlacementsCare home</v>
      </c>
      <c r="O2832" t="s">
        <v>347</v>
      </c>
      <c r="P2832" t="s">
        <v>1437</v>
      </c>
      <c r="Q2832">
        <v>19</v>
      </c>
      <c r="R2832" t="s">
        <v>6973</v>
      </c>
      <c r="S2832" t="s">
        <v>7477</v>
      </c>
      <c r="T2832" t="s">
        <v>806</v>
      </c>
      <c r="U2832" t="s">
        <v>807</v>
      </c>
      <c r="W2832">
        <v>300</v>
      </c>
      <c r="X2832">
        <v>300</v>
      </c>
      <c r="Y2832" t="s">
        <v>808</v>
      </c>
      <c r="Z2832" t="s">
        <v>792</v>
      </c>
      <c r="AB2832" t="s">
        <v>824</v>
      </c>
      <c r="AD2832" t="s">
        <v>794</v>
      </c>
      <c r="AE2832" t="s">
        <v>804</v>
      </c>
      <c r="AF2832" t="s">
        <v>860</v>
      </c>
      <c r="AG2832" t="s">
        <v>861</v>
      </c>
      <c r="AH2832">
        <v>345000</v>
      </c>
      <c r="AI2832">
        <v>345000</v>
      </c>
      <c r="AJ2832">
        <v>0.4</v>
      </c>
    </row>
    <row r="2833" spans="14:36" x14ac:dyDescent="0.3">
      <c r="N2833" t="str">
        <f t="shared" si="176"/>
        <v>West Sussex19WSD015 - Health Care Assistants Providing Additional Care Capacity in Home FirstHome-based intermediate care servicesRehabilitation at home (to support discharge)</v>
      </c>
      <c r="O2833" t="s">
        <v>347</v>
      </c>
      <c r="P2833" t="s">
        <v>1437</v>
      </c>
      <c r="Q2833">
        <v>19</v>
      </c>
      <c r="R2833" t="s">
        <v>6976</v>
      </c>
      <c r="S2833" t="s">
        <v>7478</v>
      </c>
      <c r="T2833" t="s">
        <v>787</v>
      </c>
      <c r="U2833" t="s">
        <v>1195</v>
      </c>
      <c r="W2833">
        <v>18250</v>
      </c>
      <c r="X2833">
        <v>18259</v>
      </c>
      <c r="Y2833" t="s">
        <v>789</v>
      </c>
      <c r="Z2833" t="s">
        <v>823</v>
      </c>
      <c r="AB2833" t="s">
        <v>824</v>
      </c>
      <c r="AD2833" t="s">
        <v>794</v>
      </c>
      <c r="AE2833" t="s">
        <v>832</v>
      </c>
      <c r="AF2833" t="s">
        <v>860</v>
      </c>
      <c r="AG2833" t="s">
        <v>861</v>
      </c>
      <c r="AH2833">
        <v>356556</v>
      </c>
      <c r="AI2833">
        <v>356556</v>
      </c>
      <c r="AJ2833">
        <v>5.7587564977723653E-2</v>
      </c>
    </row>
    <row r="2834" spans="14:36" x14ac:dyDescent="0.3">
      <c r="N2834" t="str">
        <f t="shared" si="176"/>
        <v>West Sussex19WSD017 - Technology Enabled Care (TEC) – Hospital AssessorsAssistive Technologies and EquipmentAssistive technologies including telecare</v>
      </c>
      <c r="O2834" t="s">
        <v>347</v>
      </c>
      <c r="P2834" t="s">
        <v>1437</v>
      </c>
      <c r="Q2834">
        <v>19</v>
      </c>
      <c r="R2834" t="s">
        <v>6978</v>
      </c>
      <c r="S2834" t="s">
        <v>7479</v>
      </c>
      <c r="T2834" t="s">
        <v>800</v>
      </c>
      <c r="U2834" t="s">
        <v>850</v>
      </c>
      <c r="W2834">
        <v>1464</v>
      </c>
      <c r="X2834">
        <v>1464</v>
      </c>
      <c r="Y2834" t="s">
        <v>802</v>
      </c>
      <c r="Z2834" t="s">
        <v>792</v>
      </c>
      <c r="AB2834" t="s">
        <v>793</v>
      </c>
      <c r="AD2834" t="s">
        <v>794</v>
      </c>
      <c r="AE2834" t="s">
        <v>795</v>
      </c>
      <c r="AF2834" t="s">
        <v>860</v>
      </c>
      <c r="AG2834" t="s">
        <v>861</v>
      </c>
      <c r="AH2834">
        <v>280000</v>
      </c>
      <c r="AI2834">
        <v>280000</v>
      </c>
      <c r="AJ2834">
        <v>2.0207776032406855E-2</v>
      </c>
    </row>
    <row r="2835" spans="14:36" x14ac:dyDescent="0.3">
      <c r="N2835" t="str">
        <f t="shared" si="176"/>
        <v>West Sussex19WSD021 - Mental health D2A -  Care HoursHome Care or Domiciliary CareDomiciliary care to support hospital discharge (Discharge to Assess pathway 1)</v>
      </c>
      <c r="O2835" t="s">
        <v>347</v>
      </c>
      <c r="P2835" t="s">
        <v>1437</v>
      </c>
      <c r="Q2835">
        <v>19</v>
      </c>
      <c r="R2835" t="s">
        <v>6981</v>
      </c>
      <c r="S2835" t="s">
        <v>7480</v>
      </c>
      <c r="T2835" t="s">
        <v>842</v>
      </c>
      <c r="U2835" t="s">
        <v>856</v>
      </c>
      <c r="W2835">
        <v>6400</v>
      </c>
      <c r="X2835">
        <v>6400</v>
      </c>
      <c r="Y2835" t="s">
        <v>844</v>
      </c>
      <c r="Z2835" t="s">
        <v>1006</v>
      </c>
      <c r="AB2835" t="s">
        <v>793</v>
      </c>
      <c r="AD2835" t="s">
        <v>794</v>
      </c>
      <c r="AE2835" t="s">
        <v>804</v>
      </c>
      <c r="AF2835" t="s">
        <v>860</v>
      </c>
      <c r="AG2835" t="s">
        <v>861</v>
      </c>
      <c r="AH2835">
        <v>799992</v>
      </c>
      <c r="AI2835">
        <v>799992</v>
      </c>
      <c r="AJ2835">
        <v>2.0189354076192635E-2</v>
      </c>
    </row>
    <row r="2836" spans="14:36" x14ac:dyDescent="0.3">
      <c r="N2836" t="str">
        <f t="shared" si="176"/>
        <v>Westminster1Homecare package cost Home Care or Domiciliary CareDomiciliary care packages</v>
      </c>
      <c r="O2836" t="s">
        <v>349</v>
      </c>
      <c r="P2836" t="s">
        <v>790</v>
      </c>
      <c r="Q2836">
        <v>1</v>
      </c>
      <c r="R2836" t="s">
        <v>6983</v>
      </c>
      <c r="S2836" t="s">
        <v>7481</v>
      </c>
      <c r="T2836" t="s">
        <v>842</v>
      </c>
      <c r="U2836" t="s">
        <v>843</v>
      </c>
      <c r="W2836">
        <v>247985</v>
      </c>
      <c r="X2836">
        <v>262021</v>
      </c>
      <c r="Y2836" t="s">
        <v>844</v>
      </c>
      <c r="Z2836" t="s">
        <v>792</v>
      </c>
      <c r="AB2836" t="s">
        <v>793</v>
      </c>
      <c r="AD2836" t="s">
        <v>794</v>
      </c>
      <c r="AE2836" t="s">
        <v>795</v>
      </c>
      <c r="AF2836" t="s">
        <v>796</v>
      </c>
      <c r="AG2836" t="s">
        <v>797</v>
      </c>
      <c r="AH2836">
        <v>4835703.1824000003</v>
      </c>
      <c r="AI2836">
        <v>5109403.9825238399</v>
      </c>
      <c r="AJ2836">
        <v>0.2467500765792553</v>
      </c>
    </row>
    <row r="2837" spans="14:36" x14ac:dyDescent="0.3">
      <c r="N2837" t="str">
        <f t="shared" si="176"/>
        <v>Westminster2 Carers Personal BudgetCarers ServicesRespite services</v>
      </c>
      <c r="O2837" t="s">
        <v>349</v>
      </c>
      <c r="P2837" t="s">
        <v>790</v>
      </c>
      <c r="Q2837">
        <v>2</v>
      </c>
      <c r="R2837" t="s">
        <v>6986</v>
      </c>
      <c r="S2837" t="s">
        <v>7482</v>
      </c>
      <c r="T2837" t="s">
        <v>811</v>
      </c>
      <c r="U2837" t="s">
        <v>830</v>
      </c>
      <c r="W2837">
        <v>1038</v>
      </c>
      <c r="X2837">
        <v>1038</v>
      </c>
      <c r="Y2837" t="s">
        <v>813</v>
      </c>
      <c r="Z2837" t="s">
        <v>792</v>
      </c>
      <c r="AB2837" t="s">
        <v>793</v>
      </c>
      <c r="AD2837" t="s">
        <v>794</v>
      </c>
      <c r="AE2837" t="s">
        <v>795</v>
      </c>
      <c r="AF2837" t="s">
        <v>796</v>
      </c>
      <c r="AG2837" t="s">
        <v>797</v>
      </c>
      <c r="AH2837">
        <v>2075060</v>
      </c>
      <c r="AI2837">
        <v>2192508.3960000002</v>
      </c>
      <c r="AJ2837">
        <v>0.94338090252648732</v>
      </c>
    </row>
    <row r="2838" spans="14:36" x14ac:dyDescent="0.3">
      <c r="N2838" t="str">
        <f t="shared" si="176"/>
        <v>Westminster3Community Equipment ServicesAssistive Technologies and EquipmentAssistive technologies including telecare</v>
      </c>
      <c r="O2838" t="s">
        <v>349</v>
      </c>
      <c r="P2838" t="s">
        <v>790</v>
      </c>
      <c r="Q2838">
        <v>3</v>
      </c>
      <c r="R2838" t="s">
        <v>3489</v>
      </c>
      <c r="S2838" t="s">
        <v>7483</v>
      </c>
      <c r="T2838" t="s">
        <v>800</v>
      </c>
      <c r="U2838" t="s">
        <v>850</v>
      </c>
      <c r="W2838">
        <v>1302</v>
      </c>
      <c r="X2838">
        <v>1375</v>
      </c>
      <c r="Y2838" t="s">
        <v>802</v>
      </c>
      <c r="Z2838" t="s">
        <v>792</v>
      </c>
      <c r="AB2838" t="s">
        <v>793</v>
      </c>
      <c r="AD2838" t="s">
        <v>794</v>
      </c>
      <c r="AE2838" t="s">
        <v>795</v>
      </c>
      <c r="AF2838" t="s">
        <v>796</v>
      </c>
      <c r="AG2838" t="s">
        <v>797</v>
      </c>
      <c r="AH2838">
        <v>755127.7182</v>
      </c>
      <c r="AI2838">
        <v>797867.94705011998</v>
      </c>
      <c r="AJ2838">
        <v>0.3327750468785291</v>
      </c>
    </row>
    <row r="2839" spans="14:36" x14ac:dyDescent="0.3">
      <c r="N2839" t="str">
        <f t="shared" si="176"/>
        <v>Westminster5 MH Placements (including ISH) PlacementsResidential PlacementsSupported housing</v>
      </c>
      <c r="O2839" t="s">
        <v>349</v>
      </c>
      <c r="P2839" t="s">
        <v>790</v>
      </c>
      <c r="Q2839">
        <v>5</v>
      </c>
      <c r="R2839" t="s">
        <v>6992</v>
      </c>
      <c r="S2839" t="s">
        <v>7484</v>
      </c>
      <c r="T2839" t="s">
        <v>806</v>
      </c>
      <c r="U2839" t="s">
        <v>873</v>
      </c>
      <c r="V2839" t="s">
        <v>808</v>
      </c>
      <c r="W2839">
        <v>2</v>
      </c>
      <c r="X2839">
        <v>2</v>
      </c>
      <c r="Y2839" t="s">
        <v>808</v>
      </c>
      <c r="Z2839" t="s">
        <v>792</v>
      </c>
      <c r="AB2839" t="s">
        <v>793</v>
      </c>
      <c r="AD2839" t="s">
        <v>794</v>
      </c>
      <c r="AE2839" t="s">
        <v>795</v>
      </c>
      <c r="AF2839" t="s">
        <v>796</v>
      </c>
      <c r="AG2839" t="s">
        <v>797</v>
      </c>
      <c r="AH2839">
        <v>135980.19360000003</v>
      </c>
      <c r="AI2839">
        <v>143676.67255776003</v>
      </c>
      <c r="AJ2839">
        <v>1</v>
      </c>
    </row>
    <row r="2840" spans="14:36" x14ac:dyDescent="0.3">
      <c r="N2840" t="str">
        <f t="shared" si="176"/>
        <v>Westminster6
Westminster Flexicare MINDCarers ServicesOther</v>
      </c>
      <c r="O2840" t="s">
        <v>349</v>
      </c>
      <c r="P2840" t="s">
        <v>790</v>
      </c>
      <c r="Q2840">
        <v>6</v>
      </c>
      <c r="R2840" t="s">
        <v>6994</v>
      </c>
      <c r="S2840" t="s">
        <v>7485</v>
      </c>
      <c r="T2840" t="s">
        <v>811</v>
      </c>
      <c r="U2840" t="s">
        <v>812</v>
      </c>
      <c r="V2840" t="s">
        <v>7486</v>
      </c>
      <c r="W2840">
        <v>110</v>
      </c>
      <c r="X2840">
        <v>110</v>
      </c>
      <c r="Y2840" t="s">
        <v>813</v>
      </c>
      <c r="Z2840" t="s">
        <v>792</v>
      </c>
      <c r="AB2840" t="s">
        <v>793</v>
      </c>
      <c r="AD2840" t="s">
        <v>794</v>
      </c>
      <c r="AE2840" t="s">
        <v>795</v>
      </c>
      <c r="AF2840" t="s">
        <v>796</v>
      </c>
      <c r="AG2840" t="s">
        <v>797</v>
      </c>
      <c r="AH2840">
        <v>124539.3288</v>
      </c>
      <c r="AI2840">
        <v>131588.25481007999</v>
      </c>
      <c r="AJ2840">
        <v>5.6619097473512563E-2</v>
      </c>
    </row>
    <row r="2841" spans="14:36" x14ac:dyDescent="0.3">
      <c r="N2841" t="str">
        <f t="shared" si="176"/>
        <v>Westminster17Community EquipmentAssistive Technologies and EquipmentCommunity based equipment</v>
      </c>
      <c r="O2841" t="s">
        <v>349</v>
      </c>
      <c r="P2841" t="s">
        <v>790</v>
      </c>
      <c r="Q2841">
        <v>17</v>
      </c>
      <c r="R2841" t="s">
        <v>1051</v>
      </c>
      <c r="S2841" t="s">
        <v>7487</v>
      </c>
      <c r="T2841" t="s">
        <v>800</v>
      </c>
      <c r="U2841" t="s">
        <v>903</v>
      </c>
      <c r="W2841">
        <v>2610</v>
      </c>
      <c r="X2841">
        <v>2610</v>
      </c>
      <c r="Y2841" t="s">
        <v>802</v>
      </c>
      <c r="Z2841" t="s">
        <v>823</v>
      </c>
      <c r="AB2841" t="s">
        <v>824</v>
      </c>
      <c r="AD2841" t="s">
        <v>794</v>
      </c>
      <c r="AE2841" t="s">
        <v>832</v>
      </c>
      <c r="AF2841" t="s">
        <v>796</v>
      </c>
      <c r="AG2841" t="s">
        <v>861</v>
      </c>
      <c r="AH2841">
        <v>1514056</v>
      </c>
      <c r="AI2841">
        <v>1599751.5696</v>
      </c>
      <c r="AJ2841">
        <v>0.6672249531214709</v>
      </c>
    </row>
    <row r="2842" spans="14:36" x14ac:dyDescent="0.3">
      <c r="N2842" t="str">
        <f t="shared" si="176"/>
        <v>Westminster26Homecare package cost Home Care or Domiciliary CareDomiciliary care packages</v>
      </c>
      <c r="O2842" t="s">
        <v>349</v>
      </c>
      <c r="P2842" t="s">
        <v>790</v>
      </c>
      <c r="Q2842">
        <v>26</v>
      </c>
      <c r="R2842" t="s">
        <v>6983</v>
      </c>
      <c r="S2842" t="s">
        <v>7481</v>
      </c>
      <c r="T2842" t="s">
        <v>842</v>
      </c>
      <c r="U2842" t="s">
        <v>843</v>
      </c>
      <c r="W2842">
        <v>3119</v>
      </c>
      <c r="X2842">
        <v>3119</v>
      </c>
      <c r="Y2842" t="s">
        <v>844</v>
      </c>
      <c r="Z2842" t="s">
        <v>792</v>
      </c>
      <c r="AB2842" t="s">
        <v>793</v>
      </c>
      <c r="AD2842" t="s">
        <v>794</v>
      </c>
      <c r="AE2842" t="s">
        <v>795</v>
      </c>
      <c r="AF2842" t="s">
        <v>1042</v>
      </c>
      <c r="AG2842" t="s">
        <v>797</v>
      </c>
      <c r="AH2842">
        <v>608262</v>
      </c>
      <c r="AI2842">
        <v>608262</v>
      </c>
      <c r="AJ2842">
        <v>3.0183424389756262E-2</v>
      </c>
    </row>
    <row r="2843" spans="14:36" x14ac:dyDescent="0.3">
      <c r="N2843" t="str">
        <f t="shared" si="176"/>
        <v>Westminster27DFG- Handy Person DFG Related SchemesHandyperson services</v>
      </c>
      <c r="O2843" t="s">
        <v>349</v>
      </c>
      <c r="P2843" t="s">
        <v>790</v>
      </c>
      <c r="Q2843">
        <v>27</v>
      </c>
      <c r="R2843" t="s">
        <v>7000</v>
      </c>
      <c r="S2843" t="s">
        <v>1732</v>
      </c>
      <c r="T2843" t="s">
        <v>834</v>
      </c>
      <c r="U2843" t="s">
        <v>1732</v>
      </c>
      <c r="W2843">
        <v>800</v>
      </c>
      <c r="X2843">
        <v>800</v>
      </c>
      <c r="Y2843" t="s">
        <v>836</v>
      </c>
      <c r="Z2843" t="s">
        <v>792</v>
      </c>
      <c r="AB2843" t="s">
        <v>793</v>
      </c>
      <c r="AD2843" t="s">
        <v>794</v>
      </c>
      <c r="AE2843" t="s">
        <v>795</v>
      </c>
      <c r="AF2843" t="s">
        <v>840</v>
      </c>
      <c r="AG2843" t="s">
        <v>797</v>
      </c>
      <c r="AH2843">
        <v>120000</v>
      </c>
      <c r="AI2843">
        <v>120000</v>
      </c>
      <c r="AJ2843">
        <v>6.9396212470383717E-2</v>
      </c>
    </row>
    <row r="2844" spans="14:36" x14ac:dyDescent="0.3">
      <c r="N2844" t="str">
        <f t="shared" si="176"/>
        <v>Westminster28DFG housing adapationDFG Related SchemesAdaptations, including statutory DFG grants</v>
      </c>
      <c r="O2844" t="s">
        <v>349</v>
      </c>
      <c r="P2844" t="s">
        <v>790</v>
      </c>
      <c r="Q2844">
        <v>28</v>
      </c>
      <c r="R2844" t="s">
        <v>3495</v>
      </c>
      <c r="S2844" t="s">
        <v>835</v>
      </c>
      <c r="T2844" t="s">
        <v>834</v>
      </c>
      <c r="U2844" t="s">
        <v>835</v>
      </c>
      <c r="W2844">
        <v>200</v>
      </c>
      <c r="X2844">
        <v>200</v>
      </c>
      <c r="Y2844" t="s">
        <v>836</v>
      </c>
      <c r="Z2844" t="s">
        <v>792</v>
      </c>
      <c r="AB2844" t="s">
        <v>793</v>
      </c>
      <c r="AD2844" t="s">
        <v>794</v>
      </c>
      <c r="AE2844" t="s">
        <v>795</v>
      </c>
      <c r="AF2844" t="s">
        <v>840</v>
      </c>
      <c r="AG2844" t="s">
        <v>797</v>
      </c>
      <c r="AH2844">
        <v>1609201</v>
      </c>
      <c r="AI2844">
        <v>1609201</v>
      </c>
      <c r="AJ2844">
        <v>0.93060378752961637</v>
      </c>
    </row>
    <row r="2845" spans="14:36" x14ac:dyDescent="0.3">
      <c r="N2845" t="str">
        <f t="shared" si="176"/>
        <v>Westminster29Home Care/ Domicilliary CareHome Care or Domiciliary CareDomiciliary care packages</v>
      </c>
      <c r="O2845" t="s">
        <v>349</v>
      </c>
      <c r="P2845" t="s">
        <v>790</v>
      </c>
      <c r="Q2845">
        <v>29</v>
      </c>
      <c r="R2845" t="s">
        <v>3501</v>
      </c>
      <c r="S2845" t="s">
        <v>3868</v>
      </c>
      <c r="T2845" t="s">
        <v>842</v>
      </c>
      <c r="U2845" t="s">
        <v>843</v>
      </c>
      <c r="W2845">
        <v>739143</v>
      </c>
      <c r="X2845">
        <v>739143</v>
      </c>
      <c r="Y2845" t="s">
        <v>844</v>
      </c>
      <c r="Z2845" t="s">
        <v>792</v>
      </c>
      <c r="AB2845" t="s">
        <v>793</v>
      </c>
      <c r="AD2845" t="s">
        <v>794</v>
      </c>
      <c r="AE2845" t="s">
        <v>795</v>
      </c>
      <c r="AF2845" t="s">
        <v>845</v>
      </c>
      <c r="AG2845" t="s">
        <v>797</v>
      </c>
      <c r="AH2845">
        <v>14413304</v>
      </c>
      <c r="AI2845">
        <v>14413304</v>
      </c>
      <c r="AJ2845">
        <v>0.71522283405928944</v>
      </c>
    </row>
    <row r="2846" spans="14:36" x14ac:dyDescent="0.3">
      <c r="N2846" t="str">
        <f t="shared" si="176"/>
        <v>Westminster33Pathway 3 Bed base  intermediate care Bed based intermediate Care Services (Reablement, rehabilitation, wider short-term services supporting recovery)Bed-based intermediate care with reablement (to support discharge)</v>
      </c>
      <c r="O2846" t="s">
        <v>349</v>
      </c>
      <c r="P2846" t="s">
        <v>790</v>
      </c>
      <c r="Q2846">
        <v>33</v>
      </c>
      <c r="R2846" t="s">
        <v>3507</v>
      </c>
      <c r="S2846" t="s">
        <v>3873</v>
      </c>
      <c r="T2846" t="s">
        <v>877</v>
      </c>
      <c r="U2846" t="s">
        <v>878</v>
      </c>
      <c r="W2846">
        <v>10</v>
      </c>
      <c r="X2846">
        <v>17</v>
      </c>
      <c r="Y2846" t="s">
        <v>879</v>
      </c>
      <c r="Z2846" t="s">
        <v>792</v>
      </c>
      <c r="AB2846" t="s">
        <v>793</v>
      </c>
      <c r="AD2846" t="s">
        <v>794</v>
      </c>
      <c r="AE2846" t="s">
        <v>795</v>
      </c>
      <c r="AF2846" t="s">
        <v>864</v>
      </c>
      <c r="AG2846" t="s">
        <v>861</v>
      </c>
      <c r="AH2846">
        <v>402574</v>
      </c>
      <c r="AI2846">
        <v>668272.84</v>
      </c>
      <c r="AJ2846">
        <v>0.17516450872384476</v>
      </c>
    </row>
    <row r="2847" spans="14:36" x14ac:dyDescent="0.3">
      <c r="N2847" t="str">
        <f t="shared" si="176"/>
        <v>Westminster34Pathway 3 Additional PlacementBed based intermediate Care Services (Reablement, rehabilitation, wider short-term services supporting recovery)Bed-based intermediate care with reablement (to support discharge)</v>
      </c>
      <c r="O2847" t="s">
        <v>349</v>
      </c>
      <c r="P2847" t="s">
        <v>790</v>
      </c>
      <c r="Q2847">
        <v>34</v>
      </c>
      <c r="R2847" t="s">
        <v>7006</v>
      </c>
      <c r="S2847" t="s">
        <v>3873</v>
      </c>
      <c r="T2847" t="s">
        <v>877</v>
      </c>
      <c r="U2847" t="s">
        <v>878</v>
      </c>
      <c r="W2847">
        <v>49</v>
      </c>
      <c r="X2847">
        <v>82</v>
      </c>
      <c r="Y2847" t="s">
        <v>879</v>
      </c>
      <c r="Z2847" t="s">
        <v>792</v>
      </c>
      <c r="AB2847" t="s">
        <v>793</v>
      </c>
      <c r="AD2847" t="s">
        <v>794</v>
      </c>
      <c r="AE2847" t="s">
        <v>795</v>
      </c>
      <c r="AF2847" t="s">
        <v>864</v>
      </c>
      <c r="AG2847" t="s">
        <v>861</v>
      </c>
      <c r="AH2847">
        <v>1895688</v>
      </c>
      <c r="AI2847">
        <v>3146843.08</v>
      </c>
      <c r="AJ2847">
        <v>0.8248354912761553</v>
      </c>
    </row>
    <row r="2848" spans="14:36" x14ac:dyDescent="0.3">
      <c r="N2848" t="str">
        <f t="shared" si="176"/>
        <v>Westminster36Pathway 1-Homecare  Home Care/ Domicilliary Care - Long Term Home Care or Domiciliary CareDomiciliary care packages</v>
      </c>
      <c r="O2848" t="s">
        <v>349</v>
      </c>
      <c r="P2848" t="s">
        <v>790</v>
      </c>
      <c r="Q2848">
        <v>36</v>
      </c>
      <c r="R2848" t="s">
        <v>3512</v>
      </c>
      <c r="S2848" t="s">
        <v>3878</v>
      </c>
      <c r="T2848" t="s">
        <v>842</v>
      </c>
      <c r="U2848" t="s">
        <v>843</v>
      </c>
      <c r="W2848">
        <v>8106</v>
      </c>
      <c r="X2848">
        <v>8106</v>
      </c>
      <c r="Y2848" t="s">
        <v>844</v>
      </c>
      <c r="Z2848" t="s">
        <v>792</v>
      </c>
      <c r="AB2848" t="s">
        <v>793</v>
      </c>
      <c r="AD2848" t="s">
        <v>794</v>
      </c>
      <c r="AE2848" t="s">
        <v>795</v>
      </c>
      <c r="AF2848" t="s">
        <v>860</v>
      </c>
      <c r="AG2848" t="s">
        <v>861</v>
      </c>
      <c r="AH2848">
        <v>158067</v>
      </c>
      <c r="AI2848">
        <v>158067</v>
      </c>
      <c r="AJ2848">
        <v>7.8436649716990426E-3</v>
      </c>
    </row>
    <row r="2849" spans="14:36" x14ac:dyDescent="0.3">
      <c r="N2849" t="str">
        <f t="shared" si="176"/>
        <v xml:space="preserve">Westminster37Pathway 1  Reablement Home-based intermediate care servicesReablement at home (to support discharge) </v>
      </c>
      <c r="O2849" t="s">
        <v>349</v>
      </c>
      <c r="P2849" t="s">
        <v>790</v>
      </c>
      <c r="Q2849">
        <v>37</v>
      </c>
      <c r="R2849" t="s">
        <v>3514</v>
      </c>
      <c r="S2849" t="s">
        <v>3881</v>
      </c>
      <c r="T2849" t="s">
        <v>787</v>
      </c>
      <c r="U2849" t="s">
        <v>788</v>
      </c>
      <c r="W2849">
        <v>122</v>
      </c>
      <c r="X2849">
        <v>122</v>
      </c>
      <c r="Y2849" t="s">
        <v>789</v>
      </c>
      <c r="Z2849" t="s">
        <v>792</v>
      </c>
      <c r="AB2849" t="s">
        <v>793</v>
      </c>
      <c r="AD2849" t="s">
        <v>794</v>
      </c>
      <c r="AE2849" t="s">
        <v>795</v>
      </c>
      <c r="AF2849" t="s">
        <v>860</v>
      </c>
      <c r="AG2849" t="s">
        <v>861</v>
      </c>
      <c r="AH2849">
        <v>339916</v>
      </c>
      <c r="AI2849">
        <v>339916</v>
      </c>
      <c r="AJ2849">
        <v>1</v>
      </c>
    </row>
    <row r="2850" spans="14:36" x14ac:dyDescent="0.3">
      <c r="N2850" t="str">
        <f t="shared" si="176"/>
        <v>Westmorland and Furness1BCF Equipment Assistive Technologies and EquipmentCommunity based equipment</v>
      </c>
      <c r="O2850" t="s">
        <v>351</v>
      </c>
      <c r="P2850" t="s">
        <v>1201</v>
      </c>
      <c r="Q2850">
        <v>1</v>
      </c>
      <c r="R2850" t="s">
        <v>7010</v>
      </c>
      <c r="S2850" t="s">
        <v>7488</v>
      </c>
      <c r="T2850" t="s">
        <v>800</v>
      </c>
      <c r="U2850" t="s">
        <v>903</v>
      </c>
      <c r="W2850">
        <v>14000</v>
      </c>
      <c r="X2850">
        <v>14000</v>
      </c>
      <c r="Y2850" t="s">
        <v>802</v>
      </c>
      <c r="Z2850" t="s">
        <v>792</v>
      </c>
      <c r="AB2850" t="s">
        <v>793</v>
      </c>
      <c r="AD2850" t="s">
        <v>794</v>
      </c>
      <c r="AE2850" t="s">
        <v>795</v>
      </c>
      <c r="AF2850" t="s">
        <v>796</v>
      </c>
      <c r="AG2850" t="s">
        <v>797</v>
      </c>
      <c r="AH2850">
        <v>1727500</v>
      </c>
      <c r="AI2850">
        <v>1832512</v>
      </c>
      <c r="AJ2850">
        <v>0.9</v>
      </c>
    </row>
    <row r="2851" spans="14:36" x14ac:dyDescent="0.3">
      <c r="N2851" t="str">
        <f t="shared" si="176"/>
        <v>Westmorland and Furness3BCF Carers SupportCarers ServicesCarer advice and support related to Care Act duties</v>
      </c>
      <c r="O2851" t="s">
        <v>351</v>
      </c>
      <c r="P2851" t="s">
        <v>1201</v>
      </c>
      <c r="Q2851">
        <v>3</v>
      </c>
      <c r="R2851" t="s">
        <v>7012</v>
      </c>
      <c r="S2851" t="s">
        <v>2269</v>
      </c>
      <c r="T2851" t="s">
        <v>811</v>
      </c>
      <c r="U2851" t="s">
        <v>895</v>
      </c>
      <c r="W2851">
        <v>3600</v>
      </c>
      <c r="X2851">
        <v>3600</v>
      </c>
      <c r="Y2851" t="s">
        <v>813</v>
      </c>
      <c r="Z2851" t="s">
        <v>792</v>
      </c>
      <c r="AB2851" t="s">
        <v>793</v>
      </c>
      <c r="AD2851" t="s">
        <v>794</v>
      </c>
      <c r="AE2851" t="s">
        <v>795</v>
      </c>
      <c r="AF2851" t="s">
        <v>796</v>
      </c>
      <c r="AG2851" t="s">
        <v>797</v>
      </c>
      <c r="AH2851">
        <v>924000</v>
      </c>
      <c r="AI2851">
        <v>977820</v>
      </c>
      <c r="AJ2851">
        <v>1</v>
      </c>
    </row>
    <row r="2852" spans="14:36" x14ac:dyDescent="0.3">
      <c r="N2852" t="str">
        <f t="shared" si="176"/>
        <v>Westmorland and Furness12BCF ReablementHome-based intermediate care servicesReablement at home (accepting step up and step down users)</v>
      </c>
      <c r="O2852" t="s">
        <v>351</v>
      </c>
      <c r="P2852" t="s">
        <v>1201</v>
      </c>
      <c r="Q2852">
        <v>12</v>
      </c>
      <c r="R2852" t="s">
        <v>7016</v>
      </c>
      <c r="S2852" t="s">
        <v>7489</v>
      </c>
      <c r="T2852" t="s">
        <v>787</v>
      </c>
      <c r="U2852" t="s">
        <v>930</v>
      </c>
      <c r="V2852" t="s">
        <v>7490</v>
      </c>
      <c r="W2852">
        <v>850</v>
      </c>
      <c r="X2852">
        <v>850</v>
      </c>
      <c r="Y2852" t="s">
        <v>789</v>
      </c>
      <c r="Z2852" t="s">
        <v>792</v>
      </c>
      <c r="AB2852" t="s">
        <v>793</v>
      </c>
      <c r="AD2852" t="s">
        <v>794</v>
      </c>
      <c r="AE2852" t="s">
        <v>795</v>
      </c>
      <c r="AF2852" t="s">
        <v>796</v>
      </c>
      <c r="AG2852" t="s">
        <v>797</v>
      </c>
      <c r="AH2852">
        <v>2169000</v>
      </c>
      <c r="AI2852">
        <v>2289595</v>
      </c>
      <c r="AJ2852">
        <v>0.9</v>
      </c>
    </row>
    <row r="2853" spans="14:36" x14ac:dyDescent="0.3">
      <c r="N2853" t="str">
        <f t="shared" si="176"/>
        <v>Westmorland and Furness15BCF GDC and Night ServicesHome Care or Domiciliary CareDomiciliary care packages</v>
      </c>
      <c r="O2853" t="s">
        <v>351</v>
      </c>
      <c r="P2853" t="s">
        <v>1201</v>
      </c>
      <c r="Q2853">
        <v>15</v>
      </c>
      <c r="R2853" t="s">
        <v>7018</v>
      </c>
      <c r="S2853" t="s">
        <v>7491</v>
      </c>
      <c r="T2853" t="s">
        <v>842</v>
      </c>
      <c r="U2853" t="s">
        <v>843</v>
      </c>
      <c r="V2853" t="s">
        <v>7492</v>
      </c>
      <c r="W2853">
        <v>16500</v>
      </c>
      <c r="X2853">
        <v>16500</v>
      </c>
      <c r="Y2853" t="s">
        <v>844</v>
      </c>
      <c r="Z2853" t="s">
        <v>792</v>
      </c>
      <c r="AB2853" t="s">
        <v>793</v>
      </c>
      <c r="AD2853" t="s">
        <v>794</v>
      </c>
      <c r="AE2853" t="s">
        <v>795</v>
      </c>
      <c r="AF2853" t="s">
        <v>796</v>
      </c>
      <c r="AG2853" t="s">
        <v>797</v>
      </c>
      <c r="AH2853">
        <v>466000</v>
      </c>
      <c r="AI2853">
        <v>491730</v>
      </c>
      <c r="AJ2853">
        <v>0.95</v>
      </c>
    </row>
    <row r="2854" spans="14:36" x14ac:dyDescent="0.3">
      <c r="N2854" t="str">
        <f t="shared" si="176"/>
        <v>Westmorland and Furness15iBCF Community Support at Home Home Care or Domiciliary CareOther</v>
      </c>
      <c r="O2854" t="s">
        <v>351</v>
      </c>
      <c r="P2854" t="s">
        <v>1201</v>
      </c>
      <c r="Q2854">
        <v>15</v>
      </c>
      <c r="R2854" t="s">
        <v>7020</v>
      </c>
      <c r="S2854" t="s">
        <v>7493</v>
      </c>
      <c r="T2854" t="s">
        <v>842</v>
      </c>
      <c r="U2854" t="s">
        <v>812</v>
      </c>
      <c r="V2854" t="s">
        <v>7494</v>
      </c>
      <c r="W2854">
        <v>150000</v>
      </c>
      <c r="X2854">
        <v>150000</v>
      </c>
      <c r="Y2854" t="s">
        <v>844</v>
      </c>
      <c r="Z2854" t="s">
        <v>792</v>
      </c>
      <c r="AB2854" t="s">
        <v>793</v>
      </c>
      <c r="AD2854" t="s">
        <v>794</v>
      </c>
      <c r="AE2854" t="s">
        <v>804</v>
      </c>
      <c r="AF2854" t="s">
        <v>845</v>
      </c>
      <c r="AG2854" t="s">
        <v>797</v>
      </c>
      <c r="AH2854">
        <v>3802000</v>
      </c>
      <c r="AI2854">
        <v>3802000</v>
      </c>
      <c r="AJ2854">
        <v>0.35</v>
      </c>
    </row>
    <row r="2855" spans="14:36" x14ac:dyDescent="0.3">
      <c r="N2855" t="str">
        <f t="shared" si="176"/>
        <v>Westmorland and Furness17iBCF Residential and Nursing Placements Residential PlacementsCare home</v>
      </c>
      <c r="O2855" t="s">
        <v>351</v>
      </c>
      <c r="P2855" t="s">
        <v>1201</v>
      </c>
      <c r="Q2855">
        <v>17</v>
      </c>
      <c r="R2855" t="s">
        <v>7023</v>
      </c>
      <c r="S2855" t="s">
        <v>7495</v>
      </c>
      <c r="T2855" t="s">
        <v>806</v>
      </c>
      <c r="U2855" t="s">
        <v>807</v>
      </c>
      <c r="W2855">
        <v>60</v>
      </c>
      <c r="X2855">
        <v>60</v>
      </c>
      <c r="Y2855" t="s">
        <v>808</v>
      </c>
      <c r="Z2855" t="s">
        <v>792</v>
      </c>
      <c r="AB2855" t="s">
        <v>793</v>
      </c>
      <c r="AD2855" t="s">
        <v>794</v>
      </c>
      <c r="AE2855" t="s">
        <v>804</v>
      </c>
      <c r="AF2855" t="s">
        <v>845</v>
      </c>
      <c r="AG2855" t="s">
        <v>797</v>
      </c>
      <c r="AH2855">
        <v>2147000</v>
      </c>
      <c r="AI2855">
        <v>2147000</v>
      </c>
      <c r="AJ2855">
        <v>0.1</v>
      </c>
    </row>
    <row r="2856" spans="14:36" x14ac:dyDescent="0.3">
      <c r="N2856" t="str">
        <f t="shared" si="176"/>
        <v>Westmorland and Furness12iBCF Additional Reablement SupportHome-based intermediate care servicesOther</v>
      </c>
      <c r="O2856" t="s">
        <v>351</v>
      </c>
      <c r="P2856" t="s">
        <v>1201</v>
      </c>
      <c r="Q2856">
        <v>12</v>
      </c>
      <c r="R2856" t="s">
        <v>7025</v>
      </c>
      <c r="S2856" t="s">
        <v>7496</v>
      </c>
      <c r="T2856" t="s">
        <v>787</v>
      </c>
      <c r="U2856" t="s">
        <v>812</v>
      </c>
      <c r="V2856" t="s">
        <v>7497</v>
      </c>
      <c r="W2856">
        <v>300</v>
      </c>
      <c r="X2856">
        <v>300</v>
      </c>
      <c r="Y2856" t="s">
        <v>789</v>
      </c>
      <c r="Z2856" t="s">
        <v>792</v>
      </c>
      <c r="AB2856" t="s">
        <v>793</v>
      </c>
      <c r="AD2856" t="s">
        <v>794</v>
      </c>
      <c r="AE2856" t="s">
        <v>795</v>
      </c>
      <c r="AF2856" t="s">
        <v>845</v>
      </c>
      <c r="AG2856" t="s">
        <v>797</v>
      </c>
      <c r="AH2856">
        <v>672000</v>
      </c>
      <c r="AI2856">
        <v>672000</v>
      </c>
      <c r="AJ2856">
        <v>0.1</v>
      </c>
    </row>
    <row r="2857" spans="14:36" x14ac:dyDescent="0.3">
      <c r="N2857" t="str">
        <f t="shared" si="176"/>
        <v>Westmorland and Furness5DFG DFG Related SchemesAdaptations, including statutory DFG grants</v>
      </c>
      <c r="O2857" t="s">
        <v>351</v>
      </c>
      <c r="P2857" t="s">
        <v>1201</v>
      </c>
      <c r="Q2857">
        <v>5</v>
      </c>
      <c r="R2857" t="s">
        <v>2681</v>
      </c>
      <c r="S2857" t="s">
        <v>3105</v>
      </c>
      <c r="T2857" t="s">
        <v>834</v>
      </c>
      <c r="U2857" t="s">
        <v>835</v>
      </c>
      <c r="W2857">
        <v>500</v>
      </c>
      <c r="X2857">
        <v>500</v>
      </c>
      <c r="Y2857" t="s">
        <v>836</v>
      </c>
      <c r="Z2857" t="s">
        <v>792</v>
      </c>
      <c r="AB2857" t="s">
        <v>793</v>
      </c>
      <c r="AD2857" t="s">
        <v>794</v>
      </c>
      <c r="AE2857" t="s">
        <v>795</v>
      </c>
      <c r="AF2857" t="s">
        <v>840</v>
      </c>
      <c r="AG2857" t="s">
        <v>797</v>
      </c>
      <c r="AH2857">
        <v>2786159</v>
      </c>
      <c r="AI2857">
        <v>2786159</v>
      </c>
      <c r="AJ2857">
        <v>1</v>
      </c>
    </row>
    <row r="2858" spans="14:36" x14ac:dyDescent="0.3">
      <c r="N2858" t="str">
        <f t="shared" si="176"/>
        <v>Westmorland and Furness12Additional Discharge CommunityHome Care or Domiciliary CareDomiciliary care to support hospital discharge (Discharge to Assess pathway 1)</v>
      </c>
      <c r="O2858" t="s">
        <v>351</v>
      </c>
      <c r="P2858" t="s">
        <v>1201</v>
      </c>
      <c r="Q2858">
        <v>12</v>
      </c>
      <c r="R2858" t="s">
        <v>7029</v>
      </c>
      <c r="S2858" t="s">
        <v>7498</v>
      </c>
      <c r="T2858" t="s">
        <v>842</v>
      </c>
      <c r="U2858" t="s">
        <v>856</v>
      </c>
      <c r="W2858">
        <v>20000</v>
      </c>
      <c r="X2858">
        <v>20000</v>
      </c>
      <c r="Y2858" t="s">
        <v>844</v>
      </c>
      <c r="Z2858" t="s">
        <v>792</v>
      </c>
      <c r="AB2858" t="s">
        <v>824</v>
      </c>
      <c r="AD2858" t="s">
        <v>794</v>
      </c>
      <c r="AE2858" t="s">
        <v>804</v>
      </c>
      <c r="AF2858" t="s">
        <v>860</v>
      </c>
      <c r="AG2858" t="s">
        <v>797</v>
      </c>
      <c r="AH2858">
        <v>576923</v>
      </c>
      <c r="AI2858">
        <v>576923</v>
      </c>
      <c r="AJ2858">
        <v>1</v>
      </c>
    </row>
    <row r="2859" spans="14:36" x14ac:dyDescent="0.3">
      <c r="N2859" t="str">
        <f t="shared" si="176"/>
        <v>Westmorland and Furness1Additional Discharge Equipment Assistive TechnologyAssistive Technologies and EquipmentCommunity based equipment</v>
      </c>
      <c r="O2859" t="s">
        <v>351</v>
      </c>
      <c r="P2859" t="s">
        <v>1201</v>
      </c>
      <c r="Q2859">
        <v>1</v>
      </c>
      <c r="R2859" t="s">
        <v>7031</v>
      </c>
      <c r="S2859" t="s">
        <v>7499</v>
      </c>
      <c r="T2859" t="s">
        <v>800</v>
      </c>
      <c r="U2859" t="s">
        <v>903</v>
      </c>
      <c r="W2859">
        <v>1500</v>
      </c>
      <c r="X2859">
        <v>1500</v>
      </c>
      <c r="Y2859" t="s">
        <v>802</v>
      </c>
      <c r="Z2859" t="s">
        <v>792</v>
      </c>
      <c r="AB2859" t="s">
        <v>793</v>
      </c>
      <c r="AD2859" t="s">
        <v>794</v>
      </c>
      <c r="AE2859" t="s">
        <v>795</v>
      </c>
      <c r="AF2859" t="s">
        <v>864</v>
      </c>
      <c r="AG2859" t="s">
        <v>861</v>
      </c>
      <c r="AH2859">
        <v>350384</v>
      </c>
      <c r="AI2859">
        <v>350384</v>
      </c>
      <c r="AJ2859">
        <v>1</v>
      </c>
    </row>
    <row r="2860" spans="14:36" x14ac:dyDescent="0.3">
      <c r="N2860" t="str">
        <f t="shared" si="176"/>
        <v>Westmorland and Furness3Additional Discharge Carers SupportCarers ServicesOther</v>
      </c>
      <c r="O2860" t="s">
        <v>351</v>
      </c>
      <c r="P2860" t="s">
        <v>1201</v>
      </c>
      <c r="Q2860">
        <v>3</v>
      </c>
      <c r="R2860" t="s">
        <v>7033</v>
      </c>
      <c r="S2860" t="s">
        <v>7500</v>
      </c>
      <c r="T2860" t="s">
        <v>811</v>
      </c>
      <c r="U2860" t="s">
        <v>812</v>
      </c>
      <c r="V2860" t="s">
        <v>4710</v>
      </c>
      <c r="W2860">
        <v>150</v>
      </c>
      <c r="X2860">
        <v>150</v>
      </c>
      <c r="Y2860" t="s">
        <v>813</v>
      </c>
      <c r="Z2860" t="s">
        <v>792</v>
      </c>
      <c r="AB2860" t="s">
        <v>793</v>
      </c>
      <c r="AD2860" t="s">
        <v>794</v>
      </c>
      <c r="AE2860" t="s">
        <v>795</v>
      </c>
      <c r="AF2860" t="s">
        <v>864</v>
      </c>
      <c r="AG2860" t="s">
        <v>861</v>
      </c>
      <c r="AH2860">
        <v>75000</v>
      </c>
      <c r="AI2860">
        <v>75000</v>
      </c>
      <c r="AJ2860">
        <v>1</v>
      </c>
    </row>
    <row r="2861" spans="14:36" x14ac:dyDescent="0.3">
      <c r="N2861" t="str">
        <f t="shared" si="176"/>
        <v>Wigan4ReablementHome-based intermediate care servicesReablement at home (accepting step up and step down users)</v>
      </c>
      <c r="O2861" t="s">
        <v>353</v>
      </c>
      <c r="P2861" t="s">
        <v>1201</v>
      </c>
      <c r="Q2861">
        <v>4</v>
      </c>
      <c r="R2861" t="s">
        <v>434</v>
      </c>
      <c r="S2861" t="s">
        <v>7501</v>
      </c>
      <c r="T2861" t="s">
        <v>787</v>
      </c>
      <c r="U2861" t="s">
        <v>930</v>
      </c>
      <c r="W2861">
        <v>993</v>
      </c>
      <c r="X2861">
        <v>993</v>
      </c>
      <c r="Y2861" t="s">
        <v>789</v>
      </c>
      <c r="Z2861" t="s">
        <v>792</v>
      </c>
      <c r="AB2861" t="s">
        <v>793</v>
      </c>
      <c r="AD2861" t="s">
        <v>794</v>
      </c>
      <c r="AE2861" t="s">
        <v>795</v>
      </c>
      <c r="AF2861" t="s">
        <v>796</v>
      </c>
      <c r="AG2861" t="s">
        <v>797</v>
      </c>
      <c r="AH2861">
        <v>2205796.1976000001</v>
      </c>
      <c r="AI2861">
        <v>2330644.26238416</v>
      </c>
      <c r="AJ2861">
        <v>0.56000000000000005</v>
      </c>
    </row>
    <row r="2862" spans="14:36" x14ac:dyDescent="0.3">
      <c r="N2862" t="str">
        <f t="shared" si="176"/>
        <v>Wigan5NHS Funding to Support Social Care - Nursing CareResidential PlacementsNursing home</v>
      </c>
      <c r="O2862" t="s">
        <v>353</v>
      </c>
      <c r="P2862" t="s">
        <v>1201</v>
      </c>
      <c r="Q2862">
        <v>5</v>
      </c>
      <c r="R2862" t="s">
        <v>7037</v>
      </c>
      <c r="S2862" t="s">
        <v>7502</v>
      </c>
      <c r="T2862" t="s">
        <v>806</v>
      </c>
      <c r="U2862" t="s">
        <v>917</v>
      </c>
      <c r="W2862">
        <v>27</v>
      </c>
      <c r="X2862">
        <v>27</v>
      </c>
      <c r="Y2862" t="s">
        <v>808</v>
      </c>
      <c r="Z2862" t="s">
        <v>792</v>
      </c>
      <c r="AB2862" t="s">
        <v>1739</v>
      </c>
      <c r="AC2862">
        <v>0.5</v>
      </c>
      <c r="AD2862">
        <v>0.5</v>
      </c>
      <c r="AE2862" t="s">
        <v>804</v>
      </c>
      <c r="AF2862" t="s">
        <v>796</v>
      </c>
      <c r="AG2862" t="s">
        <v>797</v>
      </c>
      <c r="AH2862">
        <v>980675.89379999996</v>
      </c>
      <c r="AI2862">
        <v>1036182.14938908</v>
      </c>
      <c r="AJ2862">
        <v>0.06</v>
      </c>
    </row>
    <row r="2863" spans="14:36" x14ac:dyDescent="0.3">
      <c r="N2863" t="str">
        <f t="shared" si="176"/>
        <v>Wigan6NHS Funding to Support Social Care - Residential CareResidential PlacementsCare home</v>
      </c>
      <c r="O2863" t="s">
        <v>353</v>
      </c>
      <c r="P2863" t="s">
        <v>1201</v>
      </c>
      <c r="Q2863">
        <v>6</v>
      </c>
      <c r="R2863" t="s">
        <v>7039</v>
      </c>
      <c r="S2863" t="s">
        <v>7502</v>
      </c>
      <c r="T2863" t="s">
        <v>806</v>
      </c>
      <c r="U2863" t="s">
        <v>807</v>
      </c>
      <c r="W2863">
        <v>54</v>
      </c>
      <c r="X2863">
        <v>54</v>
      </c>
      <c r="Y2863" t="s">
        <v>808</v>
      </c>
      <c r="Z2863" t="s">
        <v>792</v>
      </c>
      <c r="AB2863" t="s">
        <v>1739</v>
      </c>
      <c r="AC2863">
        <v>0.5</v>
      </c>
      <c r="AD2863">
        <v>0.5</v>
      </c>
      <c r="AE2863" t="s">
        <v>804</v>
      </c>
      <c r="AF2863" t="s">
        <v>796</v>
      </c>
      <c r="AG2863" t="s">
        <v>797</v>
      </c>
      <c r="AH2863">
        <v>1865726.3178000001</v>
      </c>
      <c r="AI2863">
        <v>1971326.4273874799</v>
      </c>
      <c r="AJ2863">
        <v>0.1</v>
      </c>
    </row>
    <row r="2864" spans="14:36" x14ac:dyDescent="0.3">
      <c r="N2864" t="str">
        <f t="shared" si="176"/>
        <v>Wigan9NHS Funding to Support Social Care - Home CareHome Care or Domiciliary CareDomiciliary care packages</v>
      </c>
      <c r="O2864" t="s">
        <v>353</v>
      </c>
      <c r="P2864" t="s">
        <v>1201</v>
      </c>
      <c r="Q2864">
        <v>9</v>
      </c>
      <c r="R2864" t="s">
        <v>7041</v>
      </c>
      <c r="S2864" t="s">
        <v>7502</v>
      </c>
      <c r="T2864" t="s">
        <v>842</v>
      </c>
      <c r="U2864" t="s">
        <v>843</v>
      </c>
      <c r="W2864">
        <v>108024</v>
      </c>
      <c r="X2864">
        <v>108024</v>
      </c>
      <c r="Y2864" t="s">
        <v>844</v>
      </c>
      <c r="Z2864" t="s">
        <v>792</v>
      </c>
      <c r="AB2864" t="s">
        <v>1739</v>
      </c>
      <c r="AC2864">
        <v>0.5</v>
      </c>
      <c r="AD2864">
        <v>0.5</v>
      </c>
      <c r="AE2864" t="s">
        <v>804</v>
      </c>
      <c r="AF2864" t="s">
        <v>796</v>
      </c>
      <c r="AG2864" t="s">
        <v>797</v>
      </c>
      <c r="AH2864">
        <v>2099993.5565999998</v>
      </c>
      <c r="AI2864">
        <v>2218853.19190356</v>
      </c>
      <c r="AJ2864">
        <v>0.12</v>
      </c>
    </row>
    <row r="2865" spans="14:36" x14ac:dyDescent="0.3">
      <c r="N2865" t="str">
        <f t="shared" si="176"/>
        <v>Wigan11Assistive TechnologyAssistive Technologies and EquipmentCommunity based equipment</v>
      </c>
      <c r="O2865" t="s">
        <v>353</v>
      </c>
      <c r="P2865" t="s">
        <v>1201</v>
      </c>
      <c r="Q2865">
        <v>11</v>
      </c>
      <c r="R2865" t="s">
        <v>1578</v>
      </c>
      <c r="S2865" t="s">
        <v>7503</v>
      </c>
      <c r="T2865" t="s">
        <v>800</v>
      </c>
      <c r="U2865" t="s">
        <v>903</v>
      </c>
      <c r="W2865">
        <v>2070</v>
      </c>
      <c r="X2865">
        <v>2070</v>
      </c>
      <c r="Y2865" t="s">
        <v>802</v>
      </c>
      <c r="Z2865" t="s">
        <v>792</v>
      </c>
      <c r="AB2865" t="s">
        <v>793</v>
      </c>
      <c r="AD2865" t="s">
        <v>794</v>
      </c>
      <c r="AE2865" t="s">
        <v>804</v>
      </c>
      <c r="AF2865" t="s">
        <v>796</v>
      </c>
      <c r="AG2865" t="s">
        <v>797</v>
      </c>
      <c r="AH2865">
        <v>832470.8382</v>
      </c>
      <c r="AI2865">
        <v>879588.68764212006</v>
      </c>
      <c r="AJ2865">
        <v>0.13</v>
      </c>
    </row>
    <row r="2866" spans="14:36" x14ac:dyDescent="0.3">
      <c r="N2866" t="str">
        <f t="shared" si="176"/>
        <v>Wigan12Community Equipment &amp; AdaptationsAssistive Technologies and EquipmentCommunity based equipment</v>
      </c>
      <c r="O2866" t="s">
        <v>353</v>
      </c>
      <c r="P2866" t="s">
        <v>1201</v>
      </c>
      <c r="Q2866">
        <v>12</v>
      </c>
      <c r="R2866" t="s">
        <v>7045</v>
      </c>
      <c r="S2866" t="s">
        <v>7504</v>
      </c>
      <c r="T2866" t="s">
        <v>800</v>
      </c>
      <c r="U2866" t="s">
        <v>903</v>
      </c>
      <c r="W2866">
        <v>18000</v>
      </c>
      <c r="X2866">
        <v>18000</v>
      </c>
      <c r="Y2866" t="s">
        <v>802</v>
      </c>
      <c r="Z2866" t="s">
        <v>792</v>
      </c>
      <c r="AB2866" t="s">
        <v>1739</v>
      </c>
      <c r="AC2866">
        <v>0.5</v>
      </c>
      <c r="AD2866">
        <v>0.5</v>
      </c>
      <c r="AE2866" t="s">
        <v>795</v>
      </c>
      <c r="AF2866" t="s">
        <v>796</v>
      </c>
      <c r="AG2866" t="s">
        <v>797</v>
      </c>
      <c r="AH2866">
        <v>718680.30119999999</v>
      </c>
      <c r="AI2866">
        <v>759357.60624791996</v>
      </c>
      <c r="AJ2866">
        <v>0.12</v>
      </c>
    </row>
    <row r="2867" spans="14:36" x14ac:dyDescent="0.3">
      <c r="N2867" t="str">
        <f t="shared" si="176"/>
        <v>Wigan16CarersCarers ServicesCarer advice and support related to Care Act duties</v>
      </c>
      <c r="O2867" t="s">
        <v>353</v>
      </c>
      <c r="P2867" t="s">
        <v>1201</v>
      </c>
      <c r="Q2867">
        <v>16</v>
      </c>
      <c r="R2867" t="s">
        <v>1250</v>
      </c>
      <c r="S2867" t="s">
        <v>7505</v>
      </c>
      <c r="T2867" t="s">
        <v>811</v>
      </c>
      <c r="U2867" t="s">
        <v>895</v>
      </c>
      <c r="W2867">
        <v>1500</v>
      </c>
      <c r="X2867">
        <v>1500</v>
      </c>
      <c r="Y2867" t="s">
        <v>813</v>
      </c>
      <c r="Z2867" t="s">
        <v>792</v>
      </c>
      <c r="AB2867" t="s">
        <v>793</v>
      </c>
      <c r="AD2867" t="s">
        <v>794</v>
      </c>
      <c r="AE2867" t="s">
        <v>825</v>
      </c>
      <c r="AF2867" t="s">
        <v>796</v>
      </c>
      <c r="AG2867" t="s">
        <v>797</v>
      </c>
      <c r="AH2867">
        <v>1082288.0592</v>
      </c>
      <c r="AI2867">
        <v>1143545.5633507201</v>
      </c>
      <c r="AJ2867">
        <v>0.85</v>
      </c>
    </row>
    <row r="2868" spans="14:36" x14ac:dyDescent="0.3">
      <c r="N2868" t="str">
        <f t="shared" si="176"/>
        <v>Wigan19Older Persons &amp; Intermediate Care ServicesBed based intermediate Care Services (Reablement, rehabilitation, wider short-term services supporting recovery)Bed-based intermediate care with reablement (to support discharge)</v>
      </c>
      <c r="O2868" t="s">
        <v>353</v>
      </c>
      <c r="P2868" t="s">
        <v>1201</v>
      </c>
      <c r="Q2868">
        <v>19</v>
      </c>
      <c r="R2868" t="s">
        <v>7048</v>
      </c>
      <c r="S2868" t="s">
        <v>7506</v>
      </c>
      <c r="T2868" t="s">
        <v>877</v>
      </c>
      <c r="U2868" t="s">
        <v>878</v>
      </c>
      <c r="W2868">
        <v>50</v>
      </c>
      <c r="X2868">
        <v>50</v>
      </c>
      <c r="Y2868" t="s">
        <v>879</v>
      </c>
      <c r="Z2868" t="s">
        <v>792</v>
      </c>
      <c r="AB2868" t="s">
        <v>793</v>
      </c>
      <c r="AD2868" t="s">
        <v>794</v>
      </c>
      <c r="AE2868" t="s">
        <v>804</v>
      </c>
      <c r="AF2868" t="s">
        <v>796</v>
      </c>
      <c r="AG2868" t="s">
        <v>797</v>
      </c>
      <c r="AH2868">
        <v>338296.90499999997</v>
      </c>
      <c r="AI2868">
        <v>357444.50982299994</v>
      </c>
      <c r="AJ2868">
        <v>0.1</v>
      </c>
    </row>
    <row r="2869" spans="14:36" x14ac:dyDescent="0.3">
      <c r="N2869" t="str">
        <f t="shared" si="176"/>
        <v>Wigan22Care at HomeHome Care or Domiciliary CareDomiciliary care packages</v>
      </c>
      <c r="O2869" t="s">
        <v>353</v>
      </c>
      <c r="P2869" t="s">
        <v>1201</v>
      </c>
      <c r="Q2869">
        <v>22</v>
      </c>
      <c r="R2869" t="s">
        <v>2105</v>
      </c>
      <c r="S2869" t="s">
        <v>7507</v>
      </c>
      <c r="T2869" t="s">
        <v>842</v>
      </c>
      <c r="U2869" t="s">
        <v>843</v>
      </c>
      <c r="W2869">
        <v>51057</v>
      </c>
      <c r="X2869">
        <v>51057</v>
      </c>
      <c r="Y2869" t="s">
        <v>844</v>
      </c>
      <c r="Z2869" t="s">
        <v>792</v>
      </c>
      <c r="AB2869" t="s">
        <v>793</v>
      </c>
      <c r="AD2869" t="s">
        <v>794</v>
      </c>
      <c r="AE2869" t="s">
        <v>804</v>
      </c>
      <c r="AF2869" t="s">
        <v>796</v>
      </c>
      <c r="AG2869" t="s">
        <v>797</v>
      </c>
      <c r="AH2869">
        <v>992551.02119999996</v>
      </c>
      <c r="AI2869">
        <v>1048729.4089999199</v>
      </c>
      <c r="AJ2869">
        <v>0.06</v>
      </c>
    </row>
    <row r="2870" spans="14:36" x14ac:dyDescent="0.3">
      <c r="N2870" t="str">
        <f t="shared" si="176"/>
        <v>Wigan27Transformed Home Care ModelHome Care or Domiciliary CareDomiciliary care to support hospital discharge (Discharge to Assess pathway 1)</v>
      </c>
      <c r="O2870" t="s">
        <v>353</v>
      </c>
      <c r="P2870" t="s">
        <v>1201</v>
      </c>
      <c r="Q2870">
        <v>27</v>
      </c>
      <c r="R2870" t="s">
        <v>7051</v>
      </c>
      <c r="S2870" t="s">
        <v>7508</v>
      </c>
      <c r="T2870" t="s">
        <v>842</v>
      </c>
      <c r="U2870" t="s">
        <v>856</v>
      </c>
      <c r="W2870">
        <v>40234</v>
      </c>
      <c r="X2870">
        <v>40234</v>
      </c>
      <c r="Y2870" t="s">
        <v>844</v>
      </c>
      <c r="Z2870" t="s">
        <v>792</v>
      </c>
      <c r="AB2870" t="s">
        <v>793</v>
      </c>
      <c r="AD2870" t="s">
        <v>794</v>
      </c>
      <c r="AE2870" t="s">
        <v>804</v>
      </c>
      <c r="AF2870" t="s">
        <v>796</v>
      </c>
      <c r="AG2870" t="s">
        <v>797</v>
      </c>
      <c r="AH2870">
        <v>782148.15</v>
      </c>
      <c r="AI2870">
        <v>826417.73528999998</v>
      </c>
      <c r="AJ2870">
        <v>0.05</v>
      </c>
    </row>
    <row r="2871" spans="14:36" x14ac:dyDescent="0.3">
      <c r="N2871" t="str">
        <f t="shared" si="176"/>
        <v>Wigan28Development of High Quality Demetia ServiceResidential PlacementsNursing home</v>
      </c>
      <c r="O2871" t="s">
        <v>353</v>
      </c>
      <c r="P2871" t="s">
        <v>1201</v>
      </c>
      <c r="Q2871">
        <v>28</v>
      </c>
      <c r="R2871" t="s">
        <v>7053</v>
      </c>
      <c r="S2871" t="s">
        <v>7509</v>
      </c>
      <c r="T2871" t="s">
        <v>806</v>
      </c>
      <c r="U2871" t="s">
        <v>917</v>
      </c>
      <c r="W2871">
        <v>25</v>
      </c>
      <c r="X2871">
        <v>25</v>
      </c>
      <c r="Y2871" t="s">
        <v>808</v>
      </c>
      <c r="Z2871" t="s">
        <v>792</v>
      </c>
      <c r="AB2871" t="s">
        <v>793</v>
      </c>
      <c r="AD2871" t="s">
        <v>794</v>
      </c>
      <c r="AE2871" t="s">
        <v>804</v>
      </c>
      <c r="AF2871" t="s">
        <v>796</v>
      </c>
      <c r="AG2871" t="s">
        <v>797</v>
      </c>
      <c r="AH2871">
        <v>886434.57</v>
      </c>
      <c r="AI2871">
        <v>936606.76666199998</v>
      </c>
      <c r="AJ2871">
        <v>0.05</v>
      </c>
    </row>
    <row r="2872" spans="14:36" x14ac:dyDescent="0.3">
      <c r="N2872" t="str">
        <f t="shared" si="176"/>
        <v>Wigan32Investment in the Continued Innovation &amp; Sustainability of the Nursing Care MarketResidential PlacementsNursing home</v>
      </c>
      <c r="O2872" t="s">
        <v>353</v>
      </c>
      <c r="P2872" t="s">
        <v>1201</v>
      </c>
      <c r="Q2872">
        <v>32</v>
      </c>
      <c r="R2872" t="s">
        <v>7055</v>
      </c>
      <c r="S2872" t="s">
        <v>7510</v>
      </c>
      <c r="T2872" t="s">
        <v>806</v>
      </c>
      <c r="U2872" t="s">
        <v>917</v>
      </c>
      <c r="W2872">
        <v>34</v>
      </c>
      <c r="X2872">
        <v>34</v>
      </c>
      <c r="Y2872" t="s">
        <v>808</v>
      </c>
      <c r="Z2872" t="s">
        <v>792</v>
      </c>
      <c r="AB2872" t="s">
        <v>793</v>
      </c>
      <c r="AD2872" t="s">
        <v>794</v>
      </c>
      <c r="AE2872" t="s">
        <v>804</v>
      </c>
      <c r="AF2872" t="s">
        <v>845</v>
      </c>
      <c r="AG2872" t="s">
        <v>797</v>
      </c>
      <c r="AH2872">
        <v>1198474</v>
      </c>
      <c r="AI2872">
        <v>1198474</v>
      </c>
      <c r="AJ2872">
        <v>0.08</v>
      </c>
    </row>
    <row r="2873" spans="14:36" x14ac:dyDescent="0.3">
      <c r="N2873" t="str">
        <f t="shared" si="176"/>
        <v>Wigan33Investment in the Continued Innovation &amp; Sustainability of the Residential Care MarketResidential PlacementsCare home</v>
      </c>
      <c r="O2873" t="s">
        <v>353</v>
      </c>
      <c r="P2873" t="s">
        <v>1201</v>
      </c>
      <c r="Q2873">
        <v>33</v>
      </c>
      <c r="R2873" t="s">
        <v>7057</v>
      </c>
      <c r="S2873" t="s">
        <v>7510</v>
      </c>
      <c r="T2873" t="s">
        <v>806</v>
      </c>
      <c r="U2873" t="s">
        <v>807</v>
      </c>
      <c r="W2873">
        <v>94</v>
      </c>
      <c r="X2873">
        <v>94</v>
      </c>
      <c r="Y2873" t="s">
        <v>808</v>
      </c>
      <c r="Z2873" t="s">
        <v>792</v>
      </c>
      <c r="AB2873" t="s">
        <v>793</v>
      </c>
      <c r="AD2873" t="s">
        <v>794</v>
      </c>
      <c r="AE2873" t="s">
        <v>804</v>
      </c>
      <c r="AF2873" t="s">
        <v>845</v>
      </c>
      <c r="AG2873" t="s">
        <v>797</v>
      </c>
      <c r="AH2873">
        <v>3261473</v>
      </c>
      <c r="AI2873">
        <v>3261473</v>
      </c>
      <c r="AJ2873">
        <v>0.17</v>
      </c>
    </row>
    <row r="2874" spans="14:36" x14ac:dyDescent="0.3">
      <c r="N2874" t="str">
        <f t="shared" si="176"/>
        <v>Wigan35Investment in Community Based Care and Support to Ensure the Ongoing Sustainability of Provision Home CareHome Care or Domiciliary CareDomiciliary care packages</v>
      </c>
      <c r="O2874" t="s">
        <v>353</v>
      </c>
      <c r="P2874" t="s">
        <v>1201</v>
      </c>
      <c r="Q2874">
        <v>35</v>
      </c>
      <c r="R2874" t="s">
        <v>7060</v>
      </c>
      <c r="S2874" t="s">
        <v>7511</v>
      </c>
      <c r="T2874" t="s">
        <v>842</v>
      </c>
      <c r="U2874" t="s">
        <v>843</v>
      </c>
      <c r="W2874">
        <v>91619</v>
      </c>
      <c r="X2874">
        <v>91619</v>
      </c>
      <c r="Y2874" t="s">
        <v>844</v>
      </c>
      <c r="Z2874" t="s">
        <v>792</v>
      </c>
      <c r="AB2874" t="s">
        <v>793</v>
      </c>
      <c r="AD2874" t="s">
        <v>794</v>
      </c>
      <c r="AE2874" t="s">
        <v>804</v>
      </c>
      <c r="AF2874" t="s">
        <v>845</v>
      </c>
      <c r="AG2874" t="s">
        <v>797</v>
      </c>
      <c r="AH2874">
        <v>1781065</v>
      </c>
      <c r="AI2874">
        <v>1781065</v>
      </c>
      <c r="AJ2874">
        <v>0.1</v>
      </c>
    </row>
    <row r="2875" spans="14:36" x14ac:dyDescent="0.3">
      <c r="N2875" t="str">
        <f t="shared" si="176"/>
        <v>Wigan38People Powered Technology &amp; Digital Reform Assistive Technologies and EquipmentCommunity based equipment</v>
      </c>
      <c r="O2875" t="s">
        <v>353</v>
      </c>
      <c r="P2875" t="s">
        <v>1201</v>
      </c>
      <c r="Q2875">
        <v>38</v>
      </c>
      <c r="R2875" t="s">
        <v>7063</v>
      </c>
      <c r="S2875" t="s">
        <v>7512</v>
      </c>
      <c r="T2875" t="s">
        <v>800</v>
      </c>
      <c r="U2875" t="s">
        <v>903</v>
      </c>
      <c r="W2875">
        <v>2070</v>
      </c>
      <c r="X2875">
        <v>2070</v>
      </c>
      <c r="Y2875" t="s">
        <v>802</v>
      </c>
      <c r="Z2875" t="s">
        <v>792</v>
      </c>
      <c r="AB2875" t="s">
        <v>793</v>
      </c>
      <c r="AD2875" t="s">
        <v>794</v>
      </c>
      <c r="AE2875" t="s">
        <v>795</v>
      </c>
      <c r="AF2875" t="s">
        <v>845</v>
      </c>
      <c r="AG2875" t="s">
        <v>797</v>
      </c>
      <c r="AH2875">
        <v>66022</v>
      </c>
      <c r="AI2875">
        <v>66022</v>
      </c>
      <c r="AJ2875">
        <v>0.01</v>
      </c>
    </row>
    <row r="2876" spans="14:36" x14ac:dyDescent="0.3">
      <c r="N2876" t="str">
        <f t="shared" si="176"/>
        <v>Wigan40Reform &amp; Expansion of Early Intervention ServicesBed based intermediate Care Services (Reablement, rehabilitation, wider short-term services supporting recovery)Bed-based intermediate care with reablement (to support discharge)</v>
      </c>
      <c r="O2876" t="s">
        <v>353</v>
      </c>
      <c r="P2876" t="s">
        <v>1201</v>
      </c>
      <c r="Q2876">
        <v>40</v>
      </c>
      <c r="R2876" t="s">
        <v>7067</v>
      </c>
      <c r="S2876" t="s">
        <v>7513</v>
      </c>
      <c r="T2876" t="s">
        <v>877</v>
      </c>
      <c r="U2876" t="s">
        <v>878</v>
      </c>
      <c r="W2876">
        <v>7</v>
      </c>
      <c r="X2876">
        <v>7</v>
      </c>
      <c r="Y2876" t="s">
        <v>879</v>
      </c>
      <c r="Z2876" t="s">
        <v>792</v>
      </c>
      <c r="AB2876" t="s">
        <v>793</v>
      </c>
      <c r="AD2876" t="s">
        <v>794</v>
      </c>
      <c r="AE2876" t="s">
        <v>795</v>
      </c>
      <c r="AF2876" t="s">
        <v>845</v>
      </c>
      <c r="AG2876" t="s">
        <v>797</v>
      </c>
      <c r="AH2876">
        <v>737073</v>
      </c>
      <c r="AI2876">
        <v>737073</v>
      </c>
      <c r="AJ2876">
        <v>0.19</v>
      </c>
    </row>
    <row r="2877" spans="14:36" x14ac:dyDescent="0.3">
      <c r="N2877" t="str">
        <f t="shared" si="176"/>
        <v>Wigan42Reform &amp; Expansion of Early Intervention ServicesAssistive Technologies and EquipmentCommunity based equipment</v>
      </c>
      <c r="O2877" t="s">
        <v>353</v>
      </c>
      <c r="P2877" t="s">
        <v>1201</v>
      </c>
      <c r="Q2877">
        <v>42</v>
      </c>
      <c r="R2877" t="s">
        <v>7067</v>
      </c>
      <c r="S2877" t="s">
        <v>7514</v>
      </c>
      <c r="T2877" t="s">
        <v>800</v>
      </c>
      <c r="U2877" t="s">
        <v>903</v>
      </c>
      <c r="W2877">
        <v>600</v>
      </c>
      <c r="X2877">
        <v>600</v>
      </c>
      <c r="Y2877" t="s">
        <v>802</v>
      </c>
      <c r="Z2877" t="s">
        <v>792</v>
      </c>
      <c r="AB2877" t="s">
        <v>793</v>
      </c>
      <c r="AD2877" t="s">
        <v>794</v>
      </c>
      <c r="AE2877" t="s">
        <v>795</v>
      </c>
      <c r="AF2877" t="s">
        <v>845</v>
      </c>
      <c r="AG2877" t="s">
        <v>797</v>
      </c>
      <c r="AH2877">
        <v>155339</v>
      </c>
      <c r="AI2877">
        <v>155339</v>
      </c>
      <c r="AJ2877">
        <v>0.03</v>
      </c>
    </row>
    <row r="2878" spans="14:36" x14ac:dyDescent="0.3">
      <c r="N2878" t="str">
        <f t="shared" si="176"/>
        <v>Wigan47Population Health - Deal for Carers. Sustaining Strengthened Support &amp; Recognition for Carers. Carers ServicesRespite services</v>
      </c>
      <c r="O2878" t="s">
        <v>353</v>
      </c>
      <c r="P2878" t="s">
        <v>1201</v>
      </c>
      <c r="Q2878">
        <v>47</v>
      </c>
      <c r="R2878" t="s">
        <v>7071</v>
      </c>
      <c r="S2878" t="s">
        <v>7515</v>
      </c>
      <c r="T2878" t="s">
        <v>811</v>
      </c>
      <c r="U2878" t="s">
        <v>830</v>
      </c>
      <c r="W2878">
        <v>103</v>
      </c>
      <c r="X2878">
        <v>103</v>
      </c>
      <c r="Y2878" t="s">
        <v>813</v>
      </c>
      <c r="Z2878" t="s">
        <v>792</v>
      </c>
      <c r="AB2878" t="s">
        <v>793</v>
      </c>
      <c r="AD2878" t="s">
        <v>794</v>
      </c>
      <c r="AE2878" t="s">
        <v>795</v>
      </c>
      <c r="AF2878" t="s">
        <v>845</v>
      </c>
      <c r="AG2878" t="s">
        <v>797</v>
      </c>
      <c r="AH2878">
        <v>388919</v>
      </c>
      <c r="AI2878">
        <v>388919</v>
      </c>
      <c r="AJ2878">
        <v>0.46</v>
      </c>
    </row>
    <row r="2879" spans="14:36" x14ac:dyDescent="0.3">
      <c r="N2879" t="str">
        <f t="shared" si="176"/>
        <v>Wigan49Mental Health ServicesResidential PlacementsSupported housing</v>
      </c>
      <c r="O2879" t="s">
        <v>353</v>
      </c>
      <c r="P2879" t="s">
        <v>1201</v>
      </c>
      <c r="Q2879">
        <v>49</v>
      </c>
      <c r="R2879" t="s">
        <v>5492</v>
      </c>
      <c r="S2879" t="s">
        <v>7516</v>
      </c>
      <c r="T2879" t="s">
        <v>806</v>
      </c>
      <c r="U2879" t="s">
        <v>873</v>
      </c>
      <c r="W2879">
        <v>26</v>
      </c>
      <c r="X2879">
        <v>26</v>
      </c>
      <c r="Y2879" t="s">
        <v>808</v>
      </c>
      <c r="Z2879" t="s">
        <v>1006</v>
      </c>
      <c r="AB2879" t="s">
        <v>793</v>
      </c>
      <c r="AD2879" t="s">
        <v>794</v>
      </c>
      <c r="AE2879" t="s">
        <v>804</v>
      </c>
      <c r="AF2879" t="s">
        <v>845</v>
      </c>
      <c r="AG2879" t="s">
        <v>797</v>
      </c>
      <c r="AH2879">
        <v>519651</v>
      </c>
      <c r="AI2879">
        <v>519651</v>
      </c>
      <c r="AJ2879">
        <v>0.03</v>
      </c>
    </row>
    <row r="2880" spans="14:36" x14ac:dyDescent="0.3">
      <c r="N2880" t="str">
        <f t="shared" si="176"/>
        <v>Wigan51Disabled Facilities GrantDFG Related SchemesAdaptations, including statutory DFG grants</v>
      </c>
      <c r="O2880" t="s">
        <v>353</v>
      </c>
      <c r="P2880" t="s">
        <v>1201</v>
      </c>
      <c r="Q2880">
        <v>51</v>
      </c>
      <c r="R2880" t="s">
        <v>891</v>
      </c>
      <c r="S2880" t="s">
        <v>7517</v>
      </c>
      <c r="T2880" t="s">
        <v>834</v>
      </c>
      <c r="U2880" t="s">
        <v>835</v>
      </c>
      <c r="W2880">
        <v>260</v>
      </c>
      <c r="X2880">
        <v>260</v>
      </c>
      <c r="Y2880" t="s">
        <v>836</v>
      </c>
      <c r="Z2880" t="s">
        <v>812</v>
      </c>
      <c r="AA2880" t="s">
        <v>1479</v>
      </c>
      <c r="AB2880" t="s">
        <v>793</v>
      </c>
      <c r="AD2880" t="s">
        <v>794</v>
      </c>
      <c r="AE2880" t="s">
        <v>804</v>
      </c>
      <c r="AF2880" t="s">
        <v>840</v>
      </c>
      <c r="AG2880" t="s">
        <v>797</v>
      </c>
      <c r="AH2880">
        <v>4554373</v>
      </c>
      <c r="AI2880">
        <v>4554373</v>
      </c>
      <c r="AJ2880">
        <v>1</v>
      </c>
    </row>
    <row r="2881" spans="14:36" x14ac:dyDescent="0.3">
      <c r="N2881" t="str">
        <f t="shared" si="176"/>
        <v>Wigan52Additional Bed CapacityBed based intermediate Care Services (Reablement, rehabilitation, wider short-term services supporting recovery)Bed-based intermediate care with reablement (to support discharge)</v>
      </c>
      <c r="O2881" t="s">
        <v>353</v>
      </c>
      <c r="P2881" t="s">
        <v>1201</v>
      </c>
      <c r="Q2881">
        <v>52</v>
      </c>
      <c r="R2881" t="s">
        <v>7077</v>
      </c>
      <c r="S2881" t="s">
        <v>7518</v>
      </c>
      <c r="T2881" t="s">
        <v>877</v>
      </c>
      <c r="U2881" t="s">
        <v>878</v>
      </c>
      <c r="W2881">
        <v>11</v>
      </c>
      <c r="X2881">
        <v>11</v>
      </c>
      <c r="Y2881" t="s">
        <v>879</v>
      </c>
      <c r="Z2881" t="s">
        <v>792</v>
      </c>
      <c r="AB2881" t="s">
        <v>793</v>
      </c>
      <c r="AD2881" t="s">
        <v>794</v>
      </c>
      <c r="AE2881" t="s">
        <v>804</v>
      </c>
      <c r="AF2881" t="s">
        <v>860</v>
      </c>
      <c r="AG2881" t="s">
        <v>861</v>
      </c>
      <c r="AH2881">
        <v>171000</v>
      </c>
      <c r="AI2881">
        <v>686423</v>
      </c>
      <c r="AJ2881">
        <v>1</v>
      </c>
    </row>
    <row r="2882" spans="14:36" x14ac:dyDescent="0.3">
      <c r="N2882" t="str">
        <f t="shared" ref="N2882:N2945" si="177">O2882&amp;Q2882&amp;R2882&amp;T2882&amp;U2882</f>
        <v>Wigan53Additional Home Care ProvisionHome Care or Domiciliary CareDomiciliary care packages</v>
      </c>
      <c r="O2882" t="s">
        <v>353</v>
      </c>
      <c r="P2882" t="s">
        <v>1201</v>
      </c>
      <c r="Q2882">
        <v>53</v>
      </c>
      <c r="R2882" t="s">
        <v>6796</v>
      </c>
      <c r="S2882" t="s">
        <v>7519</v>
      </c>
      <c r="T2882" t="s">
        <v>842</v>
      </c>
      <c r="U2882" t="s">
        <v>843</v>
      </c>
      <c r="W2882">
        <v>41964</v>
      </c>
      <c r="X2882">
        <v>41964</v>
      </c>
      <c r="Y2882" t="s">
        <v>844</v>
      </c>
      <c r="Z2882" t="s">
        <v>792</v>
      </c>
      <c r="AB2882" t="s">
        <v>793</v>
      </c>
      <c r="AD2882" t="s">
        <v>794</v>
      </c>
      <c r="AE2882" t="s">
        <v>804</v>
      </c>
      <c r="AF2882" t="s">
        <v>864</v>
      </c>
      <c r="AG2882" t="s">
        <v>861</v>
      </c>
      <c r="AH2882">
        <v>815786</v>
      </c>
      <c r="AI2882">
        <v>848184</v>
      </c>
      <c r="AJ2882">
        <v>0.05</v>
      </c>
    </row>
    <row r="2883" spans="14:36" x14ac:dyDescent="0.3">
      <c r="N2883" t="str">
        <f t="shared" si="177"/>
        <v>Wigan54Additional Home Care ProvisionHome Care or Domiciliary CareDomiciliary care packages</v>
      </c>
      <c r="O2883" t="s">
        <v>353</v>
      </c>
      <c r="P2883" t="s">
        <v>1201</v>
      </c>
      <c r="Q2883">
        <v>54</v>
      </c>
      <c r="R2883" t="s">
        <v>6796</v>
      </c>
      <c r="S2883" t="s">
        <v>7519</v>
      </c>
      <c r="T2883" t="s">
        <v>842</v>
      </c>
      <c r="U2883" t="s">
        <v>843</v>
      </c>
      <c r="W2883">
        <v>7573</v>
      </c>
      <c r="X2883">
        <v>7573</v>
      </c>
      <c r="Y2883" t="s">
        <v>844</v>
      </c>
      <c r="Z2883" t="s">
        <v>792</v>
      </c>
      <c r="AB2883" t="s">
        <v>793</v>
      </c>
      <c r="AD2883" t="s">
        <v>794</v>
      </c>
      <c r="AE2883" t="s">
        <v>804</v>
      </c>
      <c r="AF2883" t="s">
        <v>860</v>
      </c>
      <c r="AG2883" t="s">
        <v>861</v>
      </c>
      <c r="AH2883">
        <v>147214</v>
      </c>
      <c r="AI2883">
        <v>169322</v>
      </c>
      <c r="AJ2883">
        <v>0.01</v>
      </c>
    </row>
    <row r="2884" spans="14:36" x14ac:dyDescent="0.3">
      <c r="N2884" t="str">
        <f t="shared" si="177"/>
        <v xml:space="preserve">Wigan58Additional Reablement ProvisionHome-based intermediate care servicesReablement at home (to support discharge) </v>
      </c>
      <c r="O2884" t="s">
        <v>353</v>
      </c>
      <c r="P2884" t="s">
        <v>1201</v>
      </c>
      <c r="Q2884">
        <v>58</v>
      </c>
      <c r="R2884" t="s">
        <v>7083</v>
      </c>
      <c r="S2884" t="s">
        <v>7520</v>
      </c>
      <c r="T2884" t="s">
        <v>787</v>
      </c>
      <c r="U2884" t="s">
        <v>788</v>
      </c>
      <c r="W2884">
        <v>915</v>
      </c>
      <c r="X2884">
        <v>1538</v>
      </c>
      <c r="Y2884" t="s">
        <v>789</v>
      </c>
      <c r="Z2884" t="s">
        <v>792</v>
      </c>
      <c r="AB2884" t="s">
        <v>793</v>
      </c>
      <c r="AD2884" t="s">
        <v>794</v>
      </c>
      <c r="AE2884" t="s">
        <v>795</v>
      </c>
      <c r="AF2884" t="s">
        <v>860</v>
      </c>
      <c r="AG2884" t="s">
        <v>861</v>
      </c>
      <c r="AH2884">
        <v>703000</v>
      </c>
      <c r="AI2884">
        <v>1248537</v>
      </c>
      <c r="AJ2884">
        <v>0.18</v>
      </c>
    </row>
    <row r="2885" spans="14:36" x14ac:dyDescent="0.3">
      <c r="N2885" t="str">
        <f t="shared" si="177"/>
        <v>Wiltshire1IC Therapy (Wiltshire Health and Care ASC)Bed based intermediate Care Services (Reablement, rehabilitation, wider short-term services supporting recovery)Bed-based intermediate care with rehabilitation (to support discharge)</v>
      </c>
      <c r="O2885" t="s">
        <v>355</v>
      </c>
      <c r="P2885" t="s">
        <v>976</v>
      </c>
      <c r="Q2885">
        <v>1</v>
      </c>
      <c r="R2885" t="s">
        <v>7086</v>
      </c>
      <c r="S2885" t="s">
        <v>7521</v>
      </c>
      <c r="T2885" t="s">
        <v>877</v>
      </c>
      <c r="U2885" t="s">
        <v>968</v>
      </c>
      <c r="W2885">
        <v>364</v>
      </c>
      <c r="X2885">
        <v>370</v>
      </c>
      <c r="Y2885" t="s">
        <v>879</v>
      </c>
      <c r="Z2885" t="s">
        <v>823</v>
      </c>
      <c r="AB2885" t="s">
        <v>824</v>
      </c>
      <c r="AD2885" t="s">
        <v>794</v>
      </c>
      <c r="AE2885" t="s">
        <v>832</v>
      </c>
      <c r="AF2885" t="s">
        <v>796</v>
      </c>
      <c r="AG2885" t="s">
        <v>797</v>
      </c>
      <c r="AH2885">
        <v>977935</v>
      </c>
      <c r="AI2885">
        <v>977935</v>
      </c>
      <c r="AJ2885">
        <v>1.4068665520536093E-2</v>
      </c>
    </row>
    <row r="2886" spans="14:36" x14ac:dyDescent="0.3">
      <c r="N2886" t="str">
        <f t="shared" si="177"/>
        <v>Wiltshire6Step Up Beds (WHC ACS) Community Hospital BedsBed based intermediate Care Services (Reablement, rehabilitation, wider short-term services supporting recovery)Bed-based intermediate care with rehabilitation (to support discharge)</v>
      </c>
      <c r="O2886" t="s">
        <v>355</v>
      </c>
      <c r="P2886" t="s">
        <v>976</v>
      </c>
      <c r="Q2886">
        <v>6</v>
      </c>
      <c r="R2886" t="s">
        <v>7089</v>
      </c>
      <c r="S2886" t="s">
        <v>7522</v>
      </c>
      <c r="T2886" t="s">
        <v>877</v>
      </c>
      <c r="U2886" t="s">
        <v>968</v>
      </c>
      <c r="W2886">
        <v>671</v>
      </c>
      <c r="X2886">
        <v>751</v>
      </c>
      <c r="Y2886" t="s">
        <v>879</v>
      </c>
      <c r="Z2886" t="s">
        <v>823</v>
      </c>
      <c r="AB2886" t="s">
        <v>824</v>
      </c>
      <c r="AD2886" t="s">
        <v>794</v>
      </c>
      <c r="AE2886" t="s">
        <v>832</v>
      </c>
      <c r="AF2886" t="s">
        <v>796</v>
      </c>
      <c r="AG2886" t="s">
        <v>797</v>
      </c>
      <c r="AH2886">
        <v>1023712</v>
      </c>
      <c r="AI2886">
        <v>1023712</v>
      </c>
      <c r="AJ2886">
        <v>1.472721777762228E-2</v>
      </c>
    </row>
    <row r="2887" spans="14:36" x14ac:dyDescent="0.3">
      <c r="N2887" t="str">
        <f t="shared" si="177"/>
        <v>Wiltshire19Homefirst Plus- Local Authority ContributionHome-based intermediate care servicesReablement at home (accepting step up and step down users)</v>
      </c>
      <c r="O2887" t="s">
        <v>355</v>
      </c>
      <c r="P2887" t="s">
        <v>976</v>
      </c>
      <c r="Q2887">
        <v>19</v>
      </c>
      <c r="R2887" t="s">
        <v>7092</v>
      </c>
      <c r="S2887" t="s">
        <v>7523</v>
      </c>
      <c r="T2887" t="s">
        <v>787</v>
      </c>
      <c r="U2887" t="s">
        <v>930</v>
      </c>
      <c r="W2887">
        <v>210</v>
      </c>
      <c r="X2887">
        <v>216</v>
      </c>
      <c r="Y2887" t="s">
        <v>789</v>
      </c>
      <c r="Z2887" t="s">
        <v>792</v>
      </c>
      <c r="AB2887" t="s">
        <v>793</v>
      </c>
      <c r="AD2887" t="s">
        <v>794</v>
      </c>
      <c r="AE2887" t="s">
        <v>795</v>
      </c>
      <c r="AF2887" t="s">
        <v>1029</v>
      </c>
      <c r="AG2887" t="s">
        <v>797</v>
      </c>
      <c r="AH2887">
        <v>664898</v>
      </c>
      <c r="AI2887">
        <v>664898</v>
      </c>
      <c r="AJ2887">
        <v>9.5652855939028746E-3</v>
      </c>
    </row>
    <row r="2888" spans="14:36" x14ac:dyDescent="0.3">
      <c r="N2888" t="str">
        <f t="shared" si="177"/>
        <v>Wiltshire20Carers - LA contribution to pool (Adults)Carers ServicesCarer advice and support related to Care Act duties</v>
      </c>
      <c r="O2888" t="s">
        <v>355</v>
      </c>
      <c r="P2888" t="s">
        <v>976</v>
      </c>
      <c r="Q2888">
        <v>20</v>
      </c>
      <c r="R2888" t="s">
        <v>7095</v>
      </c>
      <c r="S2888" t="s">
        <v>1250</v>
      </c>
      <c r="T2888" t="s">
        <v>811</v>
      </c>
      <c r="U2888" t="s">
        <v>895</v>
      </c>
      <c r="W2888">
        <v>552</v>
      </c>
      <c r="X2888">
        <v>560</v>
      </c>
      <c r="Y2888" t="s">
        <v>813</v>
      </c>
      <c r="Z2888" t="s">
        <v>792</v>
      </c>
      <c r="AB2888" t="s">
        <v>793</v>
      </c>
      <c r="AD2888" t="s">
        <v>794</v>
      </c>
      <c r="AE2888" t="s">
        <v>825</v>
      </c>
      <c r="AF2888" t="s">
        <v>1029</v>
      </c>
      <c r="AG2888" t="s">
        <v>797</v>
      </c>
      <c r="AH2888">
        <v>668583</v>
      </c>
      <c r="AI2888">
        <v>668583</v>
      </c>
      <c r="AJ2888">
        <v>9.6182983528727197E-3</v>
      </c>
    </row>
    <row r="2889" spans="14:36" x14ac:dyDescent="0.3">
      <c r="N2889" t="str">
        <f t="shared" si="177"/>
        <v>Wiltshire21Carers - LA contribution to pool (Childrens)Carers ServicesCarer advice and support related to Care Act duties</v>
      </c>
      <c r="O2889" t="s">
        <v>355</v>
      </c>
      <c r="P2889" t="s">
        <v>976</v>
      </c>
      <c r="Q2889">
        <v>21</v>
      </c>
      <c r="R2889" t="s">
        <v>7098</v>
      </c>
      <c r="S2889" t="s">
        <v>1250</v>
      </c>
      <c r="T2889" t="s">
        <v>811</v>
      </c>
      <c r="U2889" t="s">
        <v>895</v>
      </c>
      <c r="W2889">
        <v>552</v>
      </c>
      <c r="X2889">
        <v>560</v>
      </c>
      <c r="Y2889" t="s">
        <v>813</v>
      </c>
      <c r="Z2889" t="s">
        <v>792</v>
      </c>
      <c r="AB2889" t="s">
        <v>793</v>
      </c>
      <c r="AD2889" t="s">
        <v>794</v>
      </c>
      <c r="AE2889" t="s">
        <v>825</v>
      </c>
      <c r="AF2889" t="s">
        <v>1029</v>
      </c>
      <c r="AG2889" t="s">
        <v>797</v>
      </c>
      <c r="AH2889">
        <v>72674</v>
      </c>
      <c r="AI2889">
        <v>72674</v>
      </c>
      <c r="AJ2889">
        <v>1.0454950462346069E-3</v>
      </c>
    </row>
    <row r="2890" spans="14:36" x14ac:dyDescent="0.3">
      <c r="N2890" t="str">
        <f t="shared" si="177"/>
        <v>Wiltshire23Disabled Facilities Capital GrantDFG Related SchemesAdaptations, including statutory DFG grants</v>
      </c>
      <c r="O2890" t="s">
        <v>355</v>
      </c>
      <c r="P2890" t="s">
        <v>976</v>
      </c>
      <c r="Q2890">
        <v>23</v>
      </c>
      <c r="R2890" t="s">
        <v>7100</v>
      </c>
      <c r="S2890" t="s">
        <v>891</v>
      </c>
      <c r="T2890" t="s">
        <v>834</v>
      </c>
      <c r="U2890" t="s">
        <v>835</v>
      </c>
      <c r="W2890">
        <v>2750</v>
      </c>
      <c r="X2890">
        <v>2800</v>
      </c>
      <c r="Y2890" t="s">
        <v>836</v>
      </c>
      <c r="Z2890" t="s">
        <v>792</v>
      </c>
      <c r="AB2890" t="s">
        <v>793</v>
      </c>
      <c r="AD2890" t="s">
        <v>794</v>
      </c>
      <c r="AE2890" t="s">
        <v>804</v>
      </c>
      <c r="AF2890" t="s">
        <v>840</v>
      </c>
      <c r="AG2890" t="s">
        <v>797</v>
      </c>
      <c r="AH2890">
        <v>5846400</v>
      </c>
      <c r="AI2890">
        <v>3713864</v>
      </c>
      <c r="AJ2890">
        <v>8.410686405462757E-2</v>
      </c>
    </row>
    <row r="2891" spans="14:36" x14ac:dyDescent="0.3">
      <c r="N2891" t="str">
        <f t="shared" si="177"/>
        <v>Wiltshire26Medvivo - Telecare Response and SupportAssistive Technologies and EquipmentAssistive technologies including telecare</v>
      </c>
      <c r="O2891" t="s">
        <v>355</v>
      </c>
      <c r="P2891" t="s">
        <v>976</v>
      </c>
      <c r="Q2891">
        <v>26</v>
      </c>
      <c r="R2891" t="s">
        <v>7103</v>
      </c>
      <c r="S2891" t="s">
        <v>6514</v>
      </c>
      <c r="T2891" t="s">
        <v>800</v>
      </c>
      <c r="U2891" t="s">
        <v>850</v>
      </c>
      <c r="W2891">
        <v>3500</v>
      </c>
      <c r="X2891">
        <v>3600</v>
      </c>
      <c r="Y2891" t="s">
        <v>802</v>
      </c>
      <c r="Z2891" t="s">
        <v>792</v>
      </c>
      <c r="AB2891" t="s">
        <v>793</v>
      </c>
      <c r="AD2891" t="s">
        <v>794</v>
      </c>
      <c r="AE2891" t="s">
        <v>804</v>
      </c>
      <c r="AF2891" t="s">
        <v>796</v>
      </c>
      <c r="AG2891" t="s">
        <v>797</v>
      </c>
      <c r="AH2891">
        <v>1268238</v>
      </c>
      <c r="AI2891">
        <v>1268238</v>
      </c>
      <c r="AJ2891">
        <v>1.8244991970257383E-2</v>
      </c>
    </row>
    <row r="2892" spans="14:36" x14ac:dyDescent="0.3">
      <c r="N2892" t="str">
        <f t="shared" si="177"/>
        <v>Wiltshire28Complex Care packagesHome Care or Domiciliary CareDomiciliary care packages</v>
      </c>
      <c r="O2892" t="s">
        <v>355</v>
      </c>
      <c r="P2892" t="s">
        <v>976</v>
      </c>
      <c r="Q2892">
        <v>28</v>
      </c>
      <c r="R2892" t="s">
        <v>7106</v>
      </c>
      <c r="S2892" t="s">
        <v>7524</v>
      </c>
      <c r="T2892" t="s">
        <v>842</v>
      </c>
      <c r="U2892" t="s">
        <v>843</v>
      </c>
      <c r="W2892">
        <v>222</v>
      </c>
      <c r="X2892">
        <v>228</v>
      </c>
      <c r="Y2892" t="s">
        <v>844</v>
      </c>
      <c r="Z2892" t="s">
        <v>792</v>
      </c>
      <c r="AB2892" t="s">
        <v>793</v>
      </c>
      <c r="AD2892" t="s">
        <v>794</v>
      </c>
      <c r="AE2892" t="s">
        <v>804</v>
      </c>
      <c r="AF2892" t="s">
        <v>796</v>
      </c>
      <c r="AG2892" t="s">
        <v>797</v>
      </c>
      <c r="AH2892">
        <v>497926</v>
      </c>
      <c r="AI2892">
        <v>497926</v>
      </c>
      <c r="AJ2892">
        <v>7.1632105896388357E-3</v>
      </c>
    </row>
    <row r="2893" spans="14:36" x14ac:dyDescent="0.3">
      <c r="N2893" t="str">
        <f t="shared" si="177"/>
        <v>Wiltshire32Carers - ICB contribution to pool (CCG)Carers ServicesRespite services</v>
      </c>
      <c r="O2893" t="s">
        <v>355</v>
      </c>
      <c r="P2893" t="s">
        <v>976</v>
      </c>
      <c r="Q2893">
        <v>32</v>
      </c>
      <c r="R2893" t="s">
        <v>7108</v>
      </c>
      <c r="S2893" t="s">
        <v>6514</v>
      </c>
      <c r="T2893" t="s">
        <v>811</v>
      </c>
      <c r="U2893" t="s">
        <v>830</v>
      </c>
      <c r="W2893">
        <v>50</v>
      </c>
      <c r="X2893">
        <v>53</v>
      </c>
      <c r="Y2893" t="s">
        <v>813</v>
      </c>
      <c r="Z2893" t="s">
        <v>792</v>
      </c>
      <c r="AB2893" t="s">
        <v>793</v>
      </c>
      <c r="AD2893" t="s">
        <v>794</v>
      </c>
      <c r="AE2893" t="s">
        <v>825</v>
      </c>
      <c r="AF2893" t="s">
        <v>796</v>
      </c>
      <c r="AG2893" t="s">
        <v>797</v>
      </c>
      <c r="AH2893">
        <v>821067</v>
      </c>
      <c r="AI2893">
        <v>821067</v>
      </c>
      <c r="AJ2893">
        <v>1.18119476171218E-2</v>
      </c>
    </row>
    <row r="2894" spans="14:36" x14ac:dyDescent="0.3">
      <c r="N2894" t="str">
        <f t="shared" si="177"/>
        <v>Wiltshire41Step Up/Down Beds - IR BedsBed based intermediate Care Services (Reablement, rehabilitation, wider short-term services supporting recovery)Bed-based intermediate care with rehabilitation (to support discharge)</v>
      </c>
      <c r="O2894" t="s">
        <v>355</v>
      </c>
      <c r="P2894" t="s">
        <v>976</v>
      </c>
      <c r="Q2894">
        <v>41</v>
      </c>
      <c r="R2894" t="s">
        <v>7110</v>
      </c>
      <c r="S2894" t="s">
        <v>7523</v>
      </c>
      <c r="T2894" t="s">
        <v>877</v>
      </c>
      <c r="U2894" t="s">
        <v>968</v>
      </c>
      <c r="W2894">
        <v>1212</v>
      </c>
      <c r="X2894">
        <v>1300</v>
      </c>
      <c r="Y2894" t="s">
        <v>879</v>
      </c>
      <c r="Z2894" t="s">
        <v>792</v>
      </c>
      <c r="AB2894" t="s">
        <v>793</v>
      </c>
      <c r="AD2894" t="s">
        <v>794</v>
      </c>
      <c r="AE2894" t="s">
        <v>804</v>
      </c>
      <c r="AF2894" t="s">
        <v>796</v>
      </c>
      <c r="AG2894" t="s">
        <v>797</v>
      </c>
      <c r="AH2894">
        <v>3517284</v>
      </c>
      <c r="AI2894">
        <v>3517284</v>
      </c>
      <c r="AJ2894">
        <v>5.0599980711124225E-2</v>
      </c>
    </row>
    <row r="2895" spans="14:36" x14ac:dyDescent="0.3">
      <c r="N2895" t="str">
        <f t="shared" si="177"/>
        <v>Wiltshire42Block Beds D2A additional bed capacity - Non RecurrentBed based intermediate Care Services (Reablement, rehabilitation, wider short-term services supporting recovery)Bed-based intermediate care with reablement (to support discharge)</v>
      </c>
      <c r="O2895" t="s">
        <v>355</v>
      </c>
      <c r="P2895" t="s">
        <v>976</v>
      </c>
      <c r="Q2895">
        <v>42</v>
      </c>
      <c r="R2895" t="s">
        <v>7113</v>
      </c>
      <c r="S2895" t="s">
        <v>7525</v>
      </c>
      <c r="T2895" t="s">
        <v>877</v>
      </c>
      <c r="U2895" t="s">
        <v>878</v>
      </c>
      <c r="W2895">
        <v>540</v>
      </c>
      <c r="X2895">
        <v>550</v>
      </c>
      <c r="Y2895" t="s">
        <v>879</v>
      </c>
      <c r="Z2895" t="s">
        <v>792</v>
      </c>
      <c r="AB2895" t="s">
        <v>793</v>
      </c>
      <c r="AD2895" t="s">
        <v>794</v>
      </c>
      <c r="AE2895" t="s">
        <v>804</v>
      </c>
      <c r="AF2895" t="s">
        <v>1029</v>
      </c>
      <c r="AG2895" t="s">
        <v>797</v>
      </c>
      <c r="AH2895">
        <v>1120358</v>
      </c>
      <c r="AI2895">
        <v>0</v>
      </c>
      <c r="AJ2895">
        <v>1.6117576286007532E-2</v>
      </c>
    </row>
    <row r="2896" spans="14:36" x14ac:dyDescent="0.3">
      <c r="N2896" t="str">
        <f t="shared" si="177"/>
        <v xml:space="preserve">Wiltshire43Council reablementHome-based intermediate care servicesReablement at home (to support discharge) </v>
      </c>
      <c r="O2896" t="s">
        <v>355</v>
      </c>
      <c r="P2896" t="s">
        <v>976</v>
      </c>
      <c r="Q2896">
        <v>43</v>
      </c>
      <c r="R2896" t="s">
        <v>7115</v>
      </c>
      <c r="S2896" t="s">
        <v>7526</v>
      </c>
      <c r="T2896" t="s">
        <v>787</v>
      </c>
      <c r="U2896" t="s">
        <v>788</v>
      </c>
      <c r="W2896">
        <v>552</v>
      </c>
      <c r="X2896">
        <v>575</v>
      </c>
      <c r="Y2896" t="s">
        <v>789</v>
      </c>
      <c r="Z2896" t="s">
        <v>823</v>
      </c>
      <c r="AB2896" t="s">
        <v>793</v>
      </c>
      <c r="AD2896" t="s">
        <v>794</v>
      </c>
      <c r="AE2896" t="s">
        <v>795</v>
      </c>
      <c r="AF2896" t="s">
        <v>796</v>
      </c>
      <c r="AG2896" t="s">
        <v>797</v>
      </c>
      <c r="AH2896">
        <v>414510</v>
      </c>
      <c r="AI2896">
        <v>414510</v>
      </c>
      <c r="AJ2896">
        <v>5.9631801141358225E-3</v>
      </c>
    </row>
    <row r="2897" spans="14:36" x14ac:dyDescent="0.3">
      <c r="N2897" t="str">
        <f t="shared" si="177"/>
        <v>Wiltshire44TF Dom Care - in house - a - Discharge Fund - ICBHome-based intermediate care servicesReablement at home (accepting step up and step down users)</v>
      </c>
      <c r="O2897" t="s">
        <v>355</v>
      </c>
      <c r="P2897" t="s">
        <v>976</v>
      </c>
      <c r="Q2897">
        <v>44</v>
      </c>
      <c r="R2897" t="s">
        <v>7117</v>
      </c>
      <c r="S2897" t="s">
        <v>7527</v>
      </c>
      <c r="T2897" t="s">
        <v>787</v>
      </c>
      <c r="U2897" t="s">
        <v>930</v>
      </c>
      <c r="W2897">
        <v>210</v>
      </c>
      <c r="X2897">
        <v>218</v>
      </c>
      <c r="Y2897" t="s">
        <v>789</v>
      </c>
      <c r="Z2897" t="s">
        <v>792</v>
      </c>
      <c r="AB2897" t="s">
        <v>793</v>
      </c>
      <c r="AD2897" t="s">
        <v>794</v>
      </c>
      <c r="AE2897" t="s">
        <v>795</v>
      </c>
      <c r="AF2897" t="s">
        <v>860</v>
      </c>
      <c r="AG2897" t="s">
        <v>797</v>
      </c>
      <c r="AH2897">
        <v>793663</v>
      </c>
      <c r="AI2897">
        <v>793663</v>
      </c>
      <c r="AJ2897">
        <v>1.1417711077960434E-2</v>
      </c>
    </row>
    <row r="2898" spans="14:36" x14ac:dyDescent="0.3">
      <c r="N2898" t="str">
        <f t="shared" si="177"/>
        <v>Wiltshire45TF Dom Care - in house - aHome Care or Domiciliary CareDomiciliary care to support hospital discharge (Discharge to Assess pathway 1)</v>
      </c>
      <c r="O2898" t="s">
        <v>355</v>
      </c>
      <c r="P2898" t="s">
        <v>976</v>
      </c>
      <c r="Q2898">
        <v>45</v>
      </c>
      <c r="R2898" t="s">
        <v>7119</v>
      </c>
      <c r="S2898" t="s">
        <v>7528</v>
      </c>
      <c r="T2898" t="s">
        <v>842</v>
      </c>
      <c r="U2898" t="s">
        <v>856</v>
      </c>
      <c r="W2898">
        <v>1492</v>
      </c>
      <c r="X2898">
        <v>1510</v>
      </c>
      <c r="Y2898" t="s">
        <v>844</v>
      </c>
      <c r="Z2898" t="s">
        <v>792</v>
      </c>
      <c r="AB2898" t="s">
        <v>793</v>
      </c>
      <c r="AD2898" t="s">
        <v>794</v>
      </c>
      <c r="AE2898" t="s">
        <v>795</v>
      </c>
      <c r="AF2898" t="s">
        <v>796</v>
      </c>
      <c r="AG2898" t="s">
        <v>797</v>
      </c>
      <c r="AH2898">
        <v>259236</v>
      </c>
      <c r="AI2898">
        <v>259236</v>
      </c>
      <c r="AJ2898">
        <v>3.7293936456734801E-3</v>
      </c>
    </row>
    <row r="2899" spans="14:36" x14ac:dyDescent="0.3">
      <c r="N2899" t="str">
        <f t="shared" si="177"/>
        <v>Wiltshire46Dom Care - Rapid response a Discharge Fund ICBHome Care or Domiciliary CareDomiciliary care to support hospital discharge (Discharge to Assess pathway 1)</v>
      </c>
      <c r="O2899" t="s">
        <v>355</v>
      </c>
      <c r="P2899" t="s">
        <v>976</v>
      </c>
      <c r="Q2899">
        <v>46</v>
      </c>
      <c r="R2899" t="s">
        <v>7122</v>
      </c>
      <c r="S2899" t="s">
        <v>7529</v>
      </c>
      <c r="T2899" t="s">
        <v>842</v>
      </c>
      <c r="U2899" t="s">
        <v>856</v>
      </c>
      <c r="W2899">
        <v>168</v>
      </c>
      <c r="X2899">
        <v>180</v>
      </c>
      <c r="Y2899" t="s">
        <v>844</v>
      </c>
      <c r="Z2899" t="s">
        <v>792</v>
      </c>
      <c r="AB2899" t="s">
        <v>793</v>
      </c>
      <c r="AD2899" t="s">
        <v>794</v>
      </c>
      <c r="AE2899" t="s">
        <v>795</v>
      </c>
      <c r="AF2899" t="s">
        <v>860</v>
      </c>
      <c r="AG2899" t="s">
        <v>797</v>
      </c>
      <c r="AH2899">
        <v>1052899</v>
      </c>
      <c r="AI2899">
        <v>1052899</v>
      </c>
      <c r="AJ2899">
        <v>1.5147104723633911E-2</v>
      </c>
    </row>
    <row r="2900" spans="14:36" x14ac:dyDescent="0.3">
      <c r="N2900" t="str">
        <f t="shared" si="177"/>
        <v>Wiltshire47EOL &amp; Non CHC complex/ spot- non recurrentHome Care or Domiciliary CareDomiciliary care to support hospital discharge (Discharge to Assess pathway 1)</v>
      </c>
      <c r="O2900" t="s">
        <v>355</v>
      </c>
      <c r="P2900" t="s">
        <v>976</v>
      </c>
      <c r="Q2900">
        <v>47</v>
      </c>
      <c r="R2900" t="s">
        <v>7125</v>
      </c>
      <c r="S2900" t="s">
        <v>7530</v>
      </c>
      <c r="T2900" t="s">
        <v>842</v>
      </c>
      <c r="U2900" t="s">
        <v>856</v>
      </c>
      <c r="W2900">
        <v>204</v>
      </c>
      <c r="X2900">
        <v>212</v>
      </c>
      <c r="Y2900" t="s">
        <v>844</v>
      </c>
      <c r="Z2900" t="s">
        <v>792</v>
      </c>
      <c r="AB2900" t="s">
        <v>793</v>
      </c>
      <c r="AD2900" t="s">
        <v>794</v>
      </c>
      <c r="AE2900" t="s">
        <v>804</v>
      </c>
      <c r="AF2900" t="s">
        <v>1029</v>
      </c>
      <c r="AG2900" t="s">
        <v>797</v>
      </c>
      <c r="AH2900">
        <v>530000</v>
      </c>
      <c r="AI2900">
        <v>0</v>
      </c>
      <c r="AJ2900">
        <v>7.6246301910496382E-3</v>
      </c>
    </row>
    <row r="2901" spans="14:36" x14ac:dyDescent="0.3">
      <c r="N2901" t="str">
        <f t="shared" si="177"/>
        <v xml:space="preserve">Wiltshire52Home First Plus - WHCHome-based intermediate care servicesReablement at home (to support discharge) </v>
      </c>
      <c r="O2901" t="s">
        <v>355</v>
      </c>
      <c r="P2901" t="s">
        <v>976</v>
      </c>
      <c r="Q2901">
        <v>52</v>
      </c>
      <c r="R2901" t="s">
        <v>7128</v>
      </c>
      <c r="S2901" t="s">
        <v>7523</v>
      </c>
      <c r="T2901" t="s">
        <v>787</v>
      </c>
      <c r="U2901" t="s">
        <v>788</v>
      </c>
      <c r="W2901">
        <v>552</v>
      </c>
      <c r="X2901">
        <v>575</v>
      </c>
      <c r="Y2901" t="s">
        <v>789</v>
      </c>
      <c r="Z2901" t="s">
        <v>823</v>
      </c>
      <c r="AB2901" t="s">
        <v>793</v>
      </c>
      <c r="AD2901" t="s">
        <v>794</v>
      </c>
      <c r="AE2901" t="s">
        <v>832</v>
      </c>
      <c r="AF2901" t="s">
        <v>845</v>
      </c>
      <c r="AG2901" t="s">
        <v>797</v>
      </c>
      <c r="AH2901">
        <v>931775</v>
      </c>
      <c r="AI2901">
        <v>915300</v>
      </c>
      <c r="AJ2901">
        <v>1.3404603389179768E-2</v>
      </c>
    </row>
    <row r="2902" spans="14:36" x14ac:dyDescent="0.3">
      <c r="N2902" t="str">
        <f t="shared" si="177"/>
        <v>Wiltshire57New: Providing stability and extra capacity in the local care system - Complex CasesHome Care or Domiciliary CareDomiciliary care packages</v>
      </c>
      <c r="O2902" t="s">
        <v>355</v>
      </c>
      <c r="P2902" t="s">
        <v>976</v>
      </c>
      <c r="Q2902">
        <v>57</v>
      </c>
      <c r="R2902" t="s">
        <v>7130</v>
      </c>
      <c r="S2902" t="s">
        <v>7531</v>
      </c>
      <c r="T2902" t="s">
        <v>842</v>
      </c>
      <c r="U2902" t="s">
        <v>843</v>
      </c>
      <c r="W2902">
        <v>222</v>
      </c>
      <c r="X2902">
        <v>227</v>
      </c>
      <c r="Y2902" t="s">
        <v>844</v>
      </c>
      <c r="Z2902" t="s">
        <v>792</v>
      </c>
      <c r="AB2902" t="s">
        <v>793</v>
      </c>
      <c r="AD2902" t="s">
        <v>794</v>
      </c>
      <c r="AE2902" t="s">
        <v>804</v>
      </c>
      <c r="AF2902" t="s">
        <v>845</v>
      </c>
      <c r="AG2902" t="s">
        <v>797</v>
      </c>
      <c r="AH2902">
        <v>1088512</v>
      </c>
      <c r="AI2902">
        <v>1014741</v>
      </c>
      <c r="AJ2902">
        <v>1.565943671418835E-2</v>
      </c>
    </row>
    <row r="2903" spans="14:36" x14ac:dyDescent="0.3">
      <c r="N2903" t="str">
        <f t="shared" si="177"/>
        <v>Wiltshire58Providing stability and extra capacity I the local care system - Accommodation (i) IBCFResidential PlacementsNursing home</v>
      </c>
      <c r="O2903" t="s">
        <v>355</v>
      </c>
      <c r="P2903" t="s">
        <v>976</v>
      </c>
      <c r="Q2903">
        <v>58</v>
      </c>
      <c r="R2903" t="s">
        <v>7133</v>
      </c>
      <c r="S2903" t="s">
        <v>7531</v>
      </c>
      <c r="T2903" t="s">
        <v>806</v>
      </c>
      <c r="U2903" t="s">
        <v>917</v>
      </c>
      <c r="W2903">
        <v>192</v>
      </c>
      <c r="X2903">
        <v>185</v>
      </c>
      <c r="Y2903" t="s">
        <v>808</v>
      </c>
      <c r="Z2903" t="s">
        <v>792</v>
      </c>
      <c r="AB2903" t="s">
        <v>793</v>
      </c>
      <c r="AD2903" t="s">
        <v>794</v>
      </c>
      <c r="AE2903" t="s">
        <v>804</v>
      </c>
      <c r="AF2903" t="s">
        <v>845</v>
      </c>
      <c r="AG2903" t="s">
        <v>797</v>
      </c>
      <c r="AH2903">
        <v>1043659</v>
      </c>
      <c r="AI2903">
        <v>972927</v>
      </c>
      <c r="AJ2903">
        <v>1.5014177208605048E-2</v>
      </c>
    </row>
    <row r="2904" spans="14:36" x14ac:dyDescent="0.3">
      <c r="N2904" t="str">
        <f t="shared" si="177"/>
        <v>Wiltshire59Providing stability and extra capacity in the local care system - Accomodation (ii) IBCFResidential PlacementsNursing home</v>
      </c>
      <c r="O2904" t="s">
        <v>355</v>
      </c>
      <c r="P2904" t="s">
        <v>976</v>
      </c>
      <c r="Q2904">
        <v>59</v>
      </c>
      <c r="R2904" t="s">
        <v>7136</v>
      </c>
      <c r="S2904" t="s">
        <v>7531</v>
      </c>
      <c r="T2904" t="s">
        <v>806</v>
      </c>
      <c r="U2904" t="s">
        <v>917</v>
      </c>
      <c r="W2904">
        <v>191</v>
      </c>
      <c r="X2904">
        <v>185</v>
      </c>
      <c r="Y2904" t="s">
        <v>808</v>
      </c>
      <c r="Z2904" t="s">
        <v>792</v>
      </c>
      <c r="AB2904" t="s">
        <v>793</v>
      </c>
      <c r="AD2904" t="s">
        <v>794</v>
      </c>
      <c r="AE2904" t="s">
        <v>804</v>
      </c>
      <c r="AF2904" t="s">
        <v>845</v>
      </c>
      <c r="AG2904" t="s">
        <v>797</v>
      </c>
      <c r="AH2904">
        <v>1439936</v>
      </c>
      <c r="AI2904">
        <v>1342348</v>
      </c>
      <c r="AJ2904">
        <v>2.0715055658074064E-2</v>
      </c>
    </row>
    <row r="2905" spans="14:36" x14ac:dyDescent="0.3">
      <c r="N2905" t="str">
        <f t="shared" si="177"/>
        <v xml:space="preserve">Windsor and Maidenhead6Short Term Support &amp; Re-ablement- RBWMHome-based intermediate care servicesReablement at home (to support discharge) </v>
      </c>
      <c r="O2905" t="s">
        <v>357</v>
      </c>
      <c r="P2905" t="s">
        <v>1437</v>
      </c>
      <c r="Q2905">
        <v>6</v>
      </c>
      <c r="R2905" t="s">
        <v>7138</v>
      </c>
      <c r="S2905" t="s">
        <v>7532</v>
      </c>
      <c r="T2905" t="s">
        <v>787</v>
      </c>
      <c r="U2905" t="s">
        <v>788</v>
      </c>
      <c r="W2905">
        <v>470</v>
      </c>
      <c r="X2905">
        <v>470</v>
      </c>
      <c r="Y2905" t="s">
        <v>789</v>
      </c>
      <c r="Z2905" t="s">
        <v>792</v>
      </c>
      <c r="AB2905" t="s">
        <v>793</v>
      </c>
      <c r="AD2905" t="s">
        <v>794</v>
      </c>
      <c r="AE2905" t="s">
        <v>795</v>
      </c>
      <c r="AF2905" t="s">
        <v>796</v>
      </c>
      <c r="AG2905" t="s">
        <v>797</v>
      </c>
      <c r="AH2905">
        <v>2217250</v>
      </c>
      <c r="AI2905">
        <v>2217250</v>
      </c>
      <c r="AJ2905">
        <v>1</v>
      </c>
    </row>
    <row r="2906" spans="14:36" x14ac:dyDescent="0.3">
      <c r="N2906" t="str">
        <f t="shared" si="177"/>
        <v>Windsor and Maidenhead8Care Home PlacementResidential PlacementsCare home</v>
      </c>
      <c r="O2906" t="s">
        <v>357</v>
      </c>
      <c r="P2906" t="s">
        <v>1437</v>
      </c>
      <c r="Q2906">
        <v>8</v>
      </c>
      <c r="R2906" t="s">
        <v>7140</v>
      </c>
      <c r="S2906" t="s">
        <v>7533</v>
      </c>
      <c r="T2906" t="s">
        <v>806</v>
      </c>
      <c r="U2906" t="s">
        <v>807</v>
      </c>
      <c r="W2906">
        <v>9</v>
      </c>
      <c r="X2906">
        <v>9</v>
      </c>
      <c r="Y2906" t="s">
        <v>808</v>
      </c>
      <c r="Z2906" t="s">
        <v>792</v>
      </c>
      <c r="AB2906" t="s">
        <v>793</v>
      </c>
      <c r="AD2906" t="s">
        <v>794</v>
      </c>
      <c r="AE2906" t="s">
        <v>804</v>
      </c>
      <c r="AF2906" t="s">
        <v>796</v>
      </c>
      <c r="AG2906" t="s">
        <v>797</v>
      </c>
      <c r="AH2906">
        <v>1126660</v>
      </c>
      <c r="AI2906">
        <v>1126660</v>
      </c>
      <c r="AJ2906">
        <v>1</v>
      </c>
    </row>
    <row r="2907" spans="14:36" x14ac:dyDescent="0.3">
      <c r="N2907" t="str">
        <f t="shared" si="177"/>
        <v>Windsor and Maidenhead9Outcome Based Commissioning for Prevention (Domiciliary Care)Home Care or Domiciliary CareDomiciliary care packages</v>
      </c>
      <c r="O2907" t="s">
        <v>357</v>
      </c>
      <c r="P2907" t="s">
        <v>1437</v>
      </c>
      <c r="Q2907">
        <v>9</v>
      </c>
      <c r="R2907" t="s">
        <v>7143</v>
      </c>
      <c r="S2907" t="s">
        <v>7534</v>
      </c>
      <c r="T2907" t="s">
        <v>842</v>
      </c>
      <c r="U2907" t="s">
        <v>843</v>
      </c>
      <c r="W2907">
        <v>24280</v>
      </c>
      <c r="X2907">
        <v>24280</v>
      </c>
      <c r="Y2907" t="s">
        <v>844</v>
      </c>
      <c r="Z2907" t="s">
        <v>792</v>
      </c>
      <c r="AB2907" t="s">
        <v>793</v>
      </c>
      <c r="AD2907" t="s">
        <v>794</v>
      </c>
      <c r="AE2907" t="s">
        <v>804</v>
      </c>
      <c r="AF2907" t="s">
        <v>796</v>
      </c>
      <c r="AG2907" t="s">
        <v>797</v>
      </c>
      <c r="AH2907">
        <v>489210</v>
      </c>
      <c r="AI2907">
        <v>489210</v>
      </c>
      <c r="AJ2907">
        <v>1</v>
      </c>
    </row>
    <row r="2908" spans="14:36" x14ac:dyDescent="0.3">
      <c r="N2908" t="str">
        <f t="shared" si="177"/>
        <v>Windsor and Maidenhead10Community Beds (St Marks) BHFTBed based intermediate Care Services (Reablement, rehabilitation, wider short-term services supporting recovery)Other</v>
      </c>
      <c r="O2908" t="s">
        <v>357</v>
      </c>
      <c r="P2908" t="s">
        <v>1437</v>
      </c>
      <c r="Q2908">
        <v>10</v>
      </c>
      <c r="R2908" t="s">
        <v>7146</v>
      </c>
      <c r="S2908" t="s">
        <v>7535</v>
      </c>
      <c r="T2908" t="s">
        <v>877</v>
      </c>
      <c r="U2908" t="s">
        <v>812</v>
      </c>
      <c r="V2908" t="s">
        <v>7536</v>
      </c>
      <c r="W2908">
        <v>14</v>
      </c>
      <c r="X2908">
        <v>14</v>
      </c>
      <c r="Y2908" t="s">
        <v>879</v>
      </c>
      <c r="Z2908" t="s">
        <v>823</v>
      </c>
      <c r="AB2908" t="s">
        <v>824</v>
      </c>
      <c r="AD2908" t="s">
        <v>794</v>
      </c>
      <c r="AE2908" t="s">
        <v>832</v>
      </c>
      <c r="AF2908" t="s">
        <v>796</v>
      </c>
      <c r="AG2908" t="s">
        <v>797</v>
      </c>
      <c r="AH2908">
        <v>532407</v>
      </c>
      <c r="AI2908">
        <v>532407</v>
      </c>
      <c r="AJ2908">
        <v>0.83</v>
      </c>
    </row>
    <row r="2909" spans="14:36" x14ac:dyDescent="0.3">
      <c r="N2909" t="str">
        <f t="shared" si="177"/>
        <v>Windsor and Maidenhead11EquipmentAssistive Technologies and EquipmentCommunity based equipment</v>
      </c>
      <c r="O2909" t="s">
        <v>357</v>
      </c>
      <c r="P2909" t="s">
        <v>1437</v>
      </c>
      <c r="Q2909">
        <v>11</v>
      </c>
      <c r="R2909" t="s">
        <v>1034</v>
      </c>
      <c r="S2909" t="s">
        <v>6053</v>
      </c>
      <c r="T2909" t="s">
        <v>800</v>
      </c>
      <c r="U2909" t="s">
        <v>903</v>
      </c>
      <c r="W2909">
        <v>64</v>
      </c>
      <c r="X2909">
        <v>64</v>
      </c>
      <c r="Y2909" t="s">
        <v>802</v>
      </c>
      <c r="Z2909" t="s">
        <v>792</v>
      </c>
      <c r="AB2909" t="s">
        <v>793</v>
      </c>
      <c r="AD2909" t="s">
        <v>794</v>
      </c>
      <c r="AE2909" t="s">
        <v>804</v>
      </c>
      <c r="AF2909" t="s">
        <v>796</v>
      </c>
      <c r="AG2909" t="s">
        <v>797</v>
      </c>
      <c r="AH2909">
        <v>32000</v>
      </c>
      <c r="AI2909">
        <v>32000</v>
      </c>
      <c r="AJ2909">
        <v>1</v>
      </c>
    </row>
    <row r="2910" spans="14:36" x14ac:dyDescent="0.3">
      <c r="N2910" t="str">
        <f t="shared" si="177"/>
        <v>Windsor and Maidenhead12Telehealth &amp; Equipment (Community Equipment Store)Assistive Technologies and EquipmentAssistive technologies including telecare</v>
      </c>
      <c r="O2910" t="s">
        <v>357</v>
      </c>
      <c r="P2910" t="s">
        <v>1437</v>
      </c>
      <c r="Q2910">
        <v>12</v>
      </c>
      <c r="R2910" t="s">
        <v>7151</v>
      </c>
      <c r="S2910" t="s">
        <v>7537</v>
      </c>
      <c r="T2910" t="s">
        <v>800</v>
      </c>
      <c r="U2910" t="s">
        <v>850</v>
      </c>
      <c r="W2910">
        <v>1590</v>
      </c>
      <c r="X2910">
        <v>1590</v>
      </c>
      <c r="Y2910" t="s">
        <v>802</v>
      </c>
      <c r="Z2910" t="s">
        <v>823</v>
      </c>
      <c r="AB2910" t="s">
        <v>824</v>
      </c>
      <c r="AD2910" t="s">
        <v>794</v>
      </c>
      <c r="AE2910" t="s">
        <v>804</v>
      </c>
      <c r="AF2910" t="s">
        <v>796</v>
      </c>
      <c r="AG2910" t="s">
        <v>797</v>
      </c>
      <c r="AH2910">
        <v>879450</v>
      </c>
      <c r="AI2910">
        <v>879450</v>
      </c>
      <c r="AJ2910">
        <v>0.32</v>
      </c>
    </row>
    <row r="2911" spans="14:36" x14ac:dyDescent="0.3">
      <c r="N2911" t="str">
        <f t="shared" si="177"/>
        <v>Windsor and Maidenhead13Care Home Placement- CarersCarers ServicesRespite services</v>
      </c>
      <c r="O2911" t="s">
        <v>357</v>
      </c>
      <c r="P2911" t="s">
        <v>1437</v>
      </c>
      <c r="Q2911">
        <v>13</v>
      </c>
      <c r="R2911" t="s">
        <v>7154</v>
      </c>
      <c r="S2911" t="s">
        <v>7533</v>
      </c>
      <c r="T2911" t="s">
        <v>811</v>
      </c>
      <c r="U2911" t="s">
        <v>830</v>
      </c>
      <c r="W2911">
        <v>2</v>
      </c>
      <c r="X2911">
        <v>2</v>
      </c>
      <c r="Y2911" t="s">
        <v>813</v>
      </c>
      <c r="Z2911" t="s">
        <v>792</v>
      </c>
      <c r="AB2911" t="s">
        <v>793</v>
      </c>
      <c r="AD2911" t="s">
        <v>794</v>
      </c>
      <c r="AE2911" t="s">
        <v>804</v>
      </c>
      <c r="AF2911" t="s">
        <v>796</v>
      </c>
      <c r="AG2911" t="s">
        <v>797</v>
      </c>
      <c r="AH2911">
        <v>109200</v>
      </c>
      <c r="AI2911">
        <v>109200</v>
      </c>
      <c r="AJ2911">
        <v>1</v>
      </c>
    </row>
    <row r="2912" spans="14:36" x14ac:dyDescent="0.3">
      <c r="N2912" t="str">
        <f t="shared" si="177"/>
        <v>Windsor and Maidenhead14Support/ Respite for Carers identified by ESTCarers ServicesRespite services</v>
      </c>
      <c r="O2912" t="s">
        <v>357</v>
      </c>
      <c r="P2912" t="s">
        <v>1437</v>
      </c>
      <c r="Q2912">
        <v>14</v>
      </c>
      <c r="R2912" t="s">
        <v>7156</v>
      </c>
      <c r="S2912" t="s">
        <v>3592</v>
      </c>
      <c r="T2912" t="s">
        <v>811</v>
      </c>
      <c r="U2912" t="s">
        <v>830</v>
      </c>
      <c r="W2912">
        <v>10</v>
      </c>
      <c r="X2912">
        <v>10</v>
      </c>
      <c r="Y2912" t="s">
        <v>813</v>
      </c>
      <c r="Z2912" t="s">
        <v>792</v>
      </c>
      <c r="AB2912" t="s">
        <v>793</v>
      </c>
      <c r="AD2912" t="s">
        <v>794</v>
      </c>
      <c r="AE2912" t="s">
        <v>804</v>
      </c>
      <c r="AF2912" t="s">
        <v>796</v>
      </c>
      <c r="AG2912" t="s">
        <v>797</v>
      </c>
      <c r="AH2912">
        <v>50000</v>
      </c>
      <c r="AI2912">
        <v>50000</v>
      </c>
      <c r="AJ2912">
        <v>1</v>
      </c>
    </row>
    <row r="2913" spans="14:36" x14ac:dyDescent="0.3">
      <c r="N2913" t="str">
        <f t="shared" si="177"/>
        <v>Windsor and Maidenhead15Carers Respite RBWM- Young CarersCarers ServicesRespite services</v>
      </c>
      <c r="O2913" t="s">
        <v>357</v>
      </c>
      <c r="P2913" t="s">
        <v>1437</v>
      </c>
      <c r="Q2913">
        <v>15</v>
      </c>
      <c r="R2913" t="s">
        <v>7159</v>
      </c>
      <c r="S2913" t="s">
        <v>3592</v>
      </c>
      <c r="T2913" t="s">
        <v>811</v>
      </c>
      <c r="U2913" t="s">
        <v>830</v>
      </c>
      <c r="W2913">
        <v>103</v>
      </c>
      <c r="X2913">
        <v>103</v>
      </c>
      <c r="Y2913" t="s">
        <v>813</v>
      </c>
      <c r="Z2913" t="s">
        <v>792</v>
      </c>
      <c r="AB2913" t="s">
        <v>793</v>
      </c>
      <c r="AD2913" t="s">
        <v>794</v>
      </c>
      <c r="AE2913" t="s">
        <v>825</v>
      </c>
      <c r="AF2913" t="s">
        <v>796</v>
      </c>
      <c r="AG2913" t="s">
        <v>797</v>
      </c>
      <c r="AH2913">
        <v>73420</v>
      </c>
      <c r="AI2913">
        <v>73420</v>
      </c>
      <c r="AJ2913">
        <v>1</v>
      </c>
    </row>
    <row r="2914" spans="14:36" x14ac:dyDescent="0.3">
      <c r="N2914" t="str">
        <f t="shared" si="177"/>
        <v>Windsor and Maidenhead17Training for parent carers-Early Bird ProjectsCarers ServicesOther</v>
      </c>
      <c r="O2914" t="s">
        <v>357</v>
      </c>
      <c r="P2914" t="s">
        <v>1437</v>
      </c>
      <c r="Q2914">
        <v>17</v>
      </c>
      <c r="R2914" t="s">
        <v>7163</v>
      </c>
      <c r="S2914" t="s">
        <v>7538</v>
      </c>
      <c r="T2914" t="s">
        <v>811</v>
      </c>
      <c r="U2914" t="s">
        <v>812</v>
      </c>
      <c r="V2914" t="s">
        <v>2548</v>
      </c>
      <c r="W2914">
        <v>24</v>
      </c>
      <c r="X2914">
        <v>24</v>
      </c>
      <c r="Y2914" t="s">
        <v>813</v>
      </c>
      <c r="Z2914" t="s">
        <v>792</v>
      </c>
      <c r="AB2914" t="s">
        <v>793</v>
      </c>
      <c r="AD2914" t="s">
        <v>794</v>
      </c>
      <c r="AE2914" t="s">
        <v>795</v>
      </c>
      <c r="AF2914" t="s">
        <v>796</v>
      </c>
      <c r="AG2914" t="s">
        <v>797</v>
      </c>
      <c r="AH2914">
        <v>16770</v>
      </c>
      <c r="AI2914">
        <v>16770</v>
      </c>
      <c r="AJ2914">
        <v>1</v>
      </c>
    </row>
    <row r="2915" spans="14:36" x14ac:dyDescent="0.3">
      <c r="N2915" t="str">
        <f t="shared" si="177"/>
        <v>Windsor and Maidenhead18Crossroads Sitting ServiceCarers ServicesRespite services</v>
      </c>
      <c r="O2915" t="s">
        <v>357</v>
      </c>
      <c r="P2915" t="s">
        <v>1437</v>
      </c>
      <c r="Q2915">
        <v>18</v>
      </c>
      <c r="R2915" t="s">
        <v>7166</v>
      </c>
      <c r="S2915" t="s">
        <v>7539</v>
      </c>
      <c r="T2915" t="s">
        <v>811</v>
      </c>
      <c r="U2915" t="s">
        <v>830</v>
      </c>
      <c r="W2915">
        <v>34</v>
      </c>
      <c r="X2915">
        <v>34</v>
      </c>
      <c r="Y2915" t="s">
        <v>813</v>
      </c>
      <c r="Z2915" t="s">
        <v>792</v>
      </c>
      <c r="AB2915" t="s">
        <v>793</v>
      </c>
      <c r="AD2915" t="s">
        <v>794</v>
      </c>
      <c r="AE2915" t="s">
        <v>825</v>
      </c>
      <c r="AF2915" t="s">
        <v>796</v>
      </c>
      <c r="AG2915" t="s">
        <v>797</v>
      </c>
      <c r="AH2915">
        <v>15000</v>
      </c>
      <c r="AI2915">
        <v>15000</v>
      </c>
      <c r="AJ2915">
        <v>1</v>
      </c>
    </row>
    <row r="2916" spans="14:36" x14ac:dyDescent="0.3">
      <c r="N2916" t="str">
        <f t="shared" si="177"/>
        <v>Windsor and Maidenhead19Carers Services Personal Budgets- Care ActCarers ServicesOther</v>
      </c>
      <c r="O2916" t="s">
        <v>357</v>
      </c>
      <c r="P2916" t="s">
        <v>1437</v>
      </c>
      <c r="Q2916">
        <v>19</v>
      </c>
      <c r="R2916" t="s">
        <v>7169</v>
      </c>
      <c r="S2916" t="s">
        <v>3592</v>
      </c>
      <c r="T2916" t="s">
        <v>811</v>
      </c>
      <c r="U2916" t="s">
        <v>812</v>
      </c>
      <c r="V2916" t="s">
        <v>2548</v>
      </c>
      <c r="W2916">
        <v>165</v>
      </c>
      <c r="X2916">
        <v>165</v>
      </c>
      <c r="Y2916" t="s">
        <v>813</v>
      </c>
      <c r="Z2916" t="s">
        <v>792</v>
      </c>
      <c r="AB2916" t="s">
        <v>793</v>
      </c>
      <c r="AD2916" t="s">
        <v>794</v>
      </c>
      <c r="AE2916" t="s">
        <v>795</v>
      </c>
      <c r="AF2916" t="s">
        <v>796</v>
      </c>
      <c r="AG2916" t="s">
        <v>797</v>
      </c>
      <c r="AH2916">
        <v>25000</v>
      </c>
      <c r="AI2916">
        <v>25000</v>
      </c>
      <c r="AJ2916">
        <v>1</v>
      </c>
    </row>
    <row r="2917" spans="14:36" x14ac:dyDescent="0.3">
      <c r="N2917" t="str">
        <f t="shared" si="177"/>
        <v>Windsor and Maidenhead20BME Outreach and Engagement - Care ActCarers ServicesOther</v>
      </c>
      <c r="O2917" t="s">
        <v>357</v>
      </c>
      <c r="P2917" t="s">
        <v>1437</v>
      </c>
      <c r="Q2917">
        <v>20</v>
      </c>
      <c r="R2917" t="s">
        <v>7172</v>
      </c>
      <c r="S2917" t="s">
        <v>3592</v>
      </c>
      <c r="T2917" t="s">
        <v>811</v>
      </c>
      <c r="U2917" t="s">
        <v>812</v>
      </c>
      <c r="V2917" t="s">
        <v>2548</v>
      </c>
      <c r="W2917">
        <v>150</v>
      </c>
      <c r="X2917">
        <v>150</v>
      </c>
      <c r="Y2917" t="s">
        <v>813</v>
      </c>
      <c r="Z2917" t="s">
        <v>792</v>
      </c>
      <c r="AB2917" t="s">
        <v>793</v>
      </c>
      <c r="AD2917" t="s">
        <v>794</v>
      </c>
      <c r="AE2917" t="s">
        <v>795</v>
      </c>
      <c r="AF2917" t="s">
        <v>796</v>
      </c>
      <c r="AG2917" t="s">
        <v>797</v>
      </c>
      <c r="AH2917">
        <v>10000</v>
      </c>
      <c r="AI2917">
        <v>10000</v>
      </c>
      <c r="AJ2917">
        <v>1</v>
      </c>
    </row>
    <row r="2918" spans="14:36" x14ac:dyDescent="0.3">
      <c r="N2918" t="str">
        <f t="shared" si="177"/>
        <v>Windsor and Maidenhead29Base Budget Contingency - Social Care Projects (on-going)DFG Related SchemesDiscretionary use of DFG</v>
      </c>
      <c r="O2918" t="s">
        <v>357</v>
      </c>
      <c r="P2918" t="s">
        <v>1437</v>
      </c>
      <c r="Q2918">
        <v>29</v>
      </c>
      <c r="R2918" t="s">
        <v>7175</v>
      </c>
      <c r="S2918" t="s">
        <v>7540</v>
      </c>
      <c r="T2918" t="s">
        <v>834</v>
      </c>
      <c r="U2918" t="s">
        <v>1293</v>
      </c>
      <c r="W2918">
        <v>56</v>
      </c>
      <c r="X2918">
        <v>56</v>
      </c>
      <c r="Y2918" t="s">
        <v>836</v>
      </c>
      <c r="Z2918" t="s">
        <v>792</v>
      </c>
      <c r="AB2918" t="s">
        <v>793</v>
      </c>
      <c r="AD2918" t="s">
        <v>794</v>
      </c>
      <c r="AE2918" t="s">
        <v>795</v>
      </c>
      <c r="AF2918" t="s">
        <v>796</v>
      </c>
      <c r="AG2918" t="s">
        <v>797</v>
      </c>
      <c r="AH2918">
        <v>272570</v>
      </c>
      <c r="AI2918">
        <v>272570</v>
      </c>
      <c r="AJ2918">
        <v>1</v>
      </c>
    </row>
    <row r="2919" spans="14:36" x14ac:dyDescent="0.3">
      <c r="N2919" t="str">
        <f t="shared" si="177"/>
        <v>Windsor and Maidenhead57Discharges-Short Term Support Home CareHome Care or Domiciliary CareDomiciliary care packages</v>
      </c>
      <c r="O2919" t="s">
        <v>357</v>
      </c>
      <c r="P2919" t="s">
        <v>1437</v>
      </c>
      <c r="Q2919">
        <v>57</v>
      </c>
      <c r="R2919" t="s">
        <v>7178</v>
      </c>
      <c r="S2919" t="s">
        <v>7541</v>
      </c>
      <c r="T2919" t="s">
        <v>842</v>
      </c>
      <c r="U2919" t="s">
        <v>843</v>
      </c>
      <c r="W2919">
        <v>15600</v>
      </c>
      <c r="X2919">
        <v>15600</v>
      </c>
      <c r="Y2919" t="s">
        <v>844</v>
      </c>
      <c r="Z2919" t="s">
        <v>792</v>
      </c>
      <c r="AB2919" t="s">
        <v>793</v>
      </c>
      <c r="AD2919" t="s">
        <v>794</v>
      </c>
      <c r="AE2919" t="s">
        <v>795</v>
      </c>
      <c r="AF2919" t="s">
        <v>864</v>
      </c>
      <c r="AG2919" t="s">
        <v>861</v>
      </c>
      <c r="AH2919">
        <v>299342</v>
      </c>
      <c r="AI2919">
        <v>508128</v>
      </c>
      <c r="AJ2919">
        <v>1</v>
      </c>
    </row>
    <row r="2920" spans="14:36" x14ac:dyDescent="0.3">
      <c r="N2920" t="str">
        <f t="shared" si="177"/>
        <v>Windsor and Maidenhead62Disabled Facilities Grant-Capital ApprovedDFG Related SchemesAdaptations, including statutory DFG grants</v>
      </c>
      <c r="O2920" t="s">
        <v>357</v>
      </c>
      <c r="P2920" t="s">
        <v>1437</v>
      </c>
      <c r="Q2920">
        <v>62</v>
      </c>
      <c r="R2920" t="s">
        <v>7181</v>
      </c>
      <c r="S2920" t="s">
        <v>6056</v>
      </c>
      <c r="T2920" t="s">
        <v>834</v>
      </c>
      <c r="U2920" t="s">
        <v>835</v>
      </c>
      <c r="W2920">
        <v>74</v>
      </c>
      <c r="X2920">
        <v>74</v>
      </c>
      <c r="Y2920" t="s">
        <v>836</v>
      </c>
      <c r="Z2920" t="s">
        <v>792</v>
      </c>
      <c r="AB2920" t="s">
        <v>793</v>
      </c>
      <c r="AD2920" t="s">
        <v>794</v>
      </c>
      <c r="AE2920" t="s">
        <v>795</v>
      </c>
      <c r="AF2920" t="s">
        <v>840</v>
      </c>
      <c r="AG2920" t="s">
        <v>797</v>
      </c>
      <c r="AH2920">
        <v>675001</v>
      </c>
      <c r="AI2920">
        <v>675001</v>
      </c>
      <c r="AJ2920">
        <v>1</v>
      </c>
    </row>
    <row r="2921" spans="14:36" x14ac:dyDescent="0.3">
      <c r="N2921" t="str">
        <f t="shared" si="177"/>
        <v>Windsor and Maidenhead63EquipmentDFG Related SchemesDiscretionary use of DFG</v>
      </c>
      <c r="O2921" t="s">
        <v>357</v>
      </c>
      <c r="P2921" t="s">
        <v>1437</v>
      </c>
      <c r="Q2921">
        <v>63</v>
      </c>
      <c r="R2921" t="s">
        <v>1034</v>
      </c>
      <c r="S2921" t="s">
        <v>6056</v>
      </c>
      <c r="T2921" t="s">
        <v>834</v>
      </c>
      <c r="U2921" t="s">
        <v>1293</v>
      </c>
      <c r="W2921">
        <v>70</v>
      </c>
      <c r="X2921">
        <v>70</v>
      </c>
      <c r="Y2921" t="s">
        <v>836</v>
      </c>
      <c r="Z2921" t="s">
        <v>792</v>
      </c>
      <c r="AB2921" t="s">
        <v>793</v>
      </c>
      <c r="AD2921" t="s">
        <v>794</v>
      </c>
      <c r="AE2921" t="s">
        <v>795</v>
      </c>
      <c r="AF2921" t="s">
        <v>840</v>
      </c>
      <c r="AG2921" t="s">
        <v>797</v>
      </c>
      <c r="AH2921">
        <v>357130</v>
      </c>
      <c r="AI2921">
        <v>357130</v>
      </c>
      <c r="AJ2921">
        <v>1</v>
      </c>
    </row>
    <row r="2922" spans="14:36" x14ac:dyDescent="0.3">
      <c r="N2922" t="str">
        <f t="shared" si="177"/>
        <v>Wirral1Wirral Independence ServiceAssistive Technologies and EquipmentCommunity based equipment</v>
      </c>
      <c r="O2922" t="s">
        <v>359</v>
      </c>
      <c r="P2922" t="s">
        <v>1201</v>
      </c>
      <c r="Q2922">
        <v>1</v>
      </c>
      <c r="R2922" t="s">
        <v>7186</v>
      </c>
      <c r="S2922" t="s">
        <v>7186</v>
      </c>
      <c r="T2922" t="s">
        <v>800</v>
      </c>
      <c r="U2922" t="s">
        <v>903</v>
      </c>
      <c r="W2922">
        <v>46869</v>
      </c>
      <c r="X2922">
        <v>49212</v>
      </c>
      <c r="Y2922" t="s">
        <v>802</v>
      </c>
      <c r="Z2922" t="s">
        <v>792</v>
      </c>
      <c r="AB2922" t="s">
        <v>793</v>
      </c>
      <c r="AD2922" t="s">
        <v>794</v>
      </c>
      <c r="AE2922" t="s">
        <v>804</v>
      </c>
      <c r="AF2922" t="s">
        <v>845</v>
      </c>
      <c r="AG2922" t="s">
        <v>797</v>
      </c>
      <c r="AH2922">
        <v>4217000</v>
      </c>
      <c r="AI2922">
        <v>4217000</v>
      </c>
      <c r="AJ2922">
        <v>0.98</v>
      </c>
    </row>
    <row r="2923" spans="14:36" x14ac:dyDescent="0.3">
      <c r="N2923" t="str">
        <f t="shared" si="177"/>
        <v>Wirral3TeletriageAssistive Technologies and EquipmentAssistive technologies including telecare</v>
      </c>
      <c r="O2923" t="s">
        <v>359</v>
      </c>
      <c r="P2923" t="s">
        <v>1201</v>
      </c>
      <c r="Q2923">
        <v>3</v>
      </c>
      <c r="R2923" t="s">
        <v>7188</v>
      </c>
      <c r="S2923" t="s">
        <v>7542</v>
      </c>
      <c r="T2923" t="s">
        <v>800</v>
      </c>
      <c r="U2923" t="s">
        <v>850</v>
      </c>
      <c r="W2923">
        <v>2458</v>
      </c>
      <c r="X2923">
        <v>2458</v>
      </c>
      <c r="Y2923" t="s">
        <v>802</v>
      </c>
      <c r="Z2923" t="s">
        <v>823</v>
      </c>
      <c r="AB2923" t="s">
        <v>793</v>
      </c>
      <c r="AD2923" t="s">
        <v>794</v>
      </c>
      <c r="AE2923" t="s">
        <v>832</v>
      </c>
      <c r="AF2923" t="s">
        <v>1029</v>
      </c>
      <c r="AG2923" t="s">
        <v>797</v>
      </c>
      <c r="AH2923">
        <v>262828</v>
      </c>
      <c r="AI2923">
        <v>262828</v>
      </c>
      <c r="AJ2923">
        <v>0.99</v>
      </c>
    </row>
    <row r="2924" spans="14:36" x14ac:dyDescent="0.3">
      <c r="N2924" t="str">
        <f t="shared" si="177"/>
        <v>Wirral3TeletriageAssistive Technologies and EquipmentAssistive technologies including telecare</v>
      </c>
      <c r="O2924" t="s">
        <v>359</v>
      </c>
      <c r="P2924" t="s">
        <v>1201</v>
      </c>
      <c r="Q2924">
        <v>3</v>
      </c>
      <c r="R2924" t="s">
        <v>7188</v>
      </c>
      <c r="S2924" t="s">
        <v>7542</v>
      </c>
      <c r="T2924" t="s">
        <v>800</v>
      </c>
      <c r="U2924" t="s">
        <v>850</v>
      </c>
      <c r="W2924">
        <v>142</v>
      </c>
      <c r="X2924">
        <v>142</v>
      </c>
      <c r="Y2924" t="s">
        <v>802</v>
      </c>
      <c r="Z2924" t="s">
        <v>823</v>
      </c>
      <c r="AB2924" t="s">
        <v>793</v>
      </c>
      <c r="AD2924" t="s">
        <v>794</v>
      </c>
      <c r="AE2924" t="s">
        <v>832</v>
      </c>
      <c r="AF2924" t="s">
        <v>845</v>
      </c>
      <c r="AG2924" t="s">
        <v>797</v>
      </c>
      <c r="AH2924">
        <v>15194</v>
      </c>
      <c r="AI2924">
        <v>15194</v>
      </c>
      <c r="AJ2924">
        <v>0.99</v>
      </c>
    </row>
    <row r="2925" spans="14:36" x14ac:dyDescent="0.3">
      <c r="N2925" t="str">
        <f t="shared" si="177"/>
        <v>Wirral5Home first - MDT (CIRT)Bed based intermediate Care Services (Reablement, rehabilitation, wider short-term services supporting recovery)Bed-based intermediate care with reablement accepting step up and step down users</v>
      </c>
      <c r="O2925" t="s">
        <v>359</v>
      </c>
      <c r="P2925" t="s">
        <v>1201</v>
      </c>
      <c r="Q2925">
        <v>5</v>
      </c>
      <c r="R2925" t="s">
        <v>7191</v>
      </c>
      <c r="S2925" t="s">
        <v>7543</v>
      </c>
      <c r="T2925" t="s">
        <v>877</v>
      </c>
      <c r="U2925" t="s">
        <v>1259</v>
      </c>
      <c r="W2925">
        <v>2400</v>
      </c>
      <c r="X2925">
        <v>2400</v>
      </c>
      <c r="Y2925" t="s">
        <v>879</v>
      </c>
      <c r="Z2925" t="s">
        <v>823</v>
      </c>
      <c r="AB2925" t="s">
        <v>824</v>
      </c>
      <c r="AD2925" t="s">
        <v>794</v>
      </c>
      <c r="AE2925" t="s">
        <v>832</v>
      </c>
      <c r="AF2925" t="s">
        <v>796</v>
      </c>
      <c r="AG2925" t="s">
        <v>797</v>
      </c>
      <c r="AH2925">
        <v>1045000</v>
      </c>
      <c r="AI2925">
        <v>1104147</v>
      </c>
      <c r="AJ2925">
        <v>1</v>
      </c>
    </row>
    <row r="2926" spans="14:36" x14ac:dyDescent="0.3">
      <c r="N2926" t="str">
        <f t="shared" si="177"/>
        <v>Wirral8D2A - clatterbridge - CICCBed based intermediate Care Services (Reablement, rehabilitation, wider short-term services supporting recovery)Bed-based intermediate care with rehabilitation (to support discharge)</v>
      </c>
      <c r="O2926" t="s">
        <v>359</v>
      </c>
      <c r="P2926" t="s">
        <v>1201</v>
      </c>
      <c r="Q2926">
        <v>8</v>
      </c>
      <c r="R2926" t="s">
        <v>7195</v>
      </c>
      <c r="S2926" t="s">
        <v>7544</v>
      </c>
      <c r="T2926" t="s">
        <v>877</v>
      </c>
      <c r="U2926" t="s">
        <v>968</v>
      </c>
      <c r="W2926">
        <v>1178</v>
      </c>
      <c r="X2926">
        <v>1178</v>
      </c>
      <c r="Y2926" t="s">
        <v>879</v>
      </c>
      <c r="Z2926" t="s">
        <v>823</v>
      </c>
      <c r="AB2926" t="s">
        <v>824</v>
      </c>
      <c r="AD2926" t="s">
        <v>794</v>
      </c>
      <c r="AE2926" t="s">
        <v>832</v>
      </c>
      <c r="AF2926" t="s">
        <v>796</v>
      </c>
      <c r="AG2926" t="s">
        <v>797</v>
      </c>
      <c r="AH2926">
        <v>6448000</v>
      </c>
      <c r="AI2926">
        <v>6812956.7999999998</v>
      </c>
      <c r="AJ2926">
        <v>1</v>
      </c>
    </row>
    <row r="2927" spans="14:36" x14ac:dyDescent="0.3">
      <c r="N2927" t="str">
        <f t="shared" si="177"/>
        <v>Wirral9D2A - additional bedsBed based intermediate Care Services (Reablement, rehabilitation, wider short-term services supporting recovery)Bed-based intermediate care with rehabilitation (to support discharge)</v>
      </c>
      <c r="O2927" t="s">
        <v>359</v>
      </c>
      <c r="P2927" t="s">
        <v>1201</v>
      </c>
      <c r="Q2927">
        <v>9</v>
      </c>
      <c r="R2927" t="s">
        <v>7197</v>
      </c>
      <c r="S2927" t="s">
        <v>7545</v>
      </c>
      <c r="T2927" t="s">
        <v>877</v>
      </c>
      <c r="U2927" t="s">
        <v>968</v>
      </c>
      <c r="W2927">
        <v>139</v>
      </c>
      <c r="X2927">
        <v>139</v>
      </c>
      <c r="Y2927" t="s">
        <v>879</v>
      </c>
      <c r="Z2927" t="s">
        <v>823</v>
      </c>
      <c r="AB2927" t="s">
        <v>824</v>
      </c>
      <c r="AD2927" t="s">
        <v>794</v>
      </c>
      <c r="AE2927" t="s">
        <v>804</v>
      </c>
      <c r="AF2927" t="s">
        <v>796</v>
      </c>
      <c r="AG2927" t="s">
        <v>797</v>
      </c>
      <c r="AH2927">
        <v>754600</v>
      </c>
      <c r="AI2927">
        <v>797310.36</v>
      </c>
      <c r="AJ2927">
        <v>1</v>
      </c>
    </row>
    <row r="2928" spans="14:36" x14ac:dyDescent="0.3">
      <c r="N2928" t="str">
        <f t="shared" si="177"/>
        <v xml:space="preserve">Wirral14Re-ablement - Commissioned CareHome-based intermediate care servicesReablement at home (to support discharge) </v>
      </c>
      <c r="O2928" t="s">
        <v>359</v>
      </c>
      <c r="P2928" t="s">
        <v>1201</v>
      </c>
      <c r="Q2928">
        <v>14</v>
      </c>
      <c r="R2928" t="s">
        <v>7200</v>
      </c>
      <c r="S2928" t="s">
        <v>7546</v>
      </c>
      <c r="T2928" t="s">
        <v>787</v>
      </c>
      <c r="U2928" t="s">
        <v>788</v>
      </c>
      <c r="W2928">
        <v>160</v>
      </c>
      <c r="X2928">
        <v>160</v>
      </c>
      <c r="Y2928" t="s">
        <v>789</v>
      </c>
      <c r="Z2928" t="s">
        <v>792</v>
      </c>
      <c r="AB2928" t="s">
        <v>793</v>
      </c>
      <c r="AD2928" t="s">
        <v>794</v>
      </c>
      <c r="AE2928" t="s">
        <v>804</v>
      </c>
      <c r="AF2928" t="s">
        <v>845</v>
      </c>
      <c r="AG2928" t="s">
        <v>797</v>
      </c>
      <c r="AH2928">
        <v>1231249</v>
      </c>
      <c r="AI2928">
        <v>1231249</v>
      </c>
      <c r="AJ2928">
        <v>1</v>
      </c>
    </row>
    <row r="2929" spans="14:36" x14ac:dyDescent="0.3">
      <c r="N2929" t="str">
        <f t="shared" si="177"/>
        <v>Wirral15Dom Care (stabilising the Market - 15 min &amp; 7 day retainer)Home Care or Domiciliary CareDomiciliary care packages</v>
      </c>
      <c r="O2929" t="s">
        <v>359</v>
      </c>
      <c r="P2929" t="s">
        <v>1201</v>
      </c>
      <c r="Q2929">
        <v>15</v>
      </c>
      <c r="R2929" t="s">
        <v>7203</v>
      </c>
      <c r="S2929" t="s">
        <v>7547</v>
      </c>
      <c r="T2929" t="s">
        <v>842</v>
      </c>
      <c r="U2929" t="s">
        <v>843</v>
      </c>
      <c r="W2929">
        <v>18969</v>
      </c>
      <c r="X2929">
        <v>18969</v>
      </c>
      <c r="Y2929" t="s">
        <v>844</v>
      </c>
      <c r="Z2929" t="s">
        <v>792</v>
      </c>
      <c r="AB2929" t="s">
        <v>793</v>
      </c>
      <c r="AD2929" t="s">
        <v>794</v>
      </c>
      <c r="AE2929" t="s">
        <v>804</v>
      </c>
      <c r="AF2929" t="s">
        <v>1029</v>
      </c>
      <c r="AG2929" t="s">
        <v>797</v>
      </c>
      <c r="AH2929">
        <v>412000</v>
      </c>
      <c r="AI2929">
        <v>412000</v>
      </c>
      <c r="AJ2929">
        <v>1</v>
      </c>
    </row>
    <row r="2930" spans="14:36" x14ac:dyDescent="0.3">
      <c r="N2930" t="str">
        <f t="shared" si="177"/>
        <v>Wirral21Carers ServiceCarers ServicesRespite services</v>
      </c>
      <c r="O2930" t="s">
        <v>359</v>
      </c>
      <c r="P2930" t="s">
        <v>1201</v>
      </c>
      <c r="Q2930">
        <v>21</v>
      </c>
      <c r="R2930" t="s">
        <v>2908</v>
      </c>
      <c r="S2930" t="s">
        <v>7548</v>
      </c>
      <c r="T2930" t="s">
        <v>811</v>
      </c>
      <c r="U2930" t="s">
        <v>830</v>
      </c>
      <c r="W2930">
        <v>163</v>
      </c>
      <c r="X2930">
        <v>163</v>
      </c>
      <c r="Y2930" t="s">
        <v>813</v>
      </c>
      <c r="Z2930" t="s">
        <v>792</v>
      </c>
      <c r="AB2930" t="s">
        <v>793</v>
      </c>
      <c r="AD2930" t="s">
        <v>794</v>
      </c>
      <c r="AE2930" t="s">
        <v>804</v>
      </c>
      <c r="AF2930" t="s">
        <v>1029</v>
      </c>
      <c r="AG2930" t="s">
        <v>797</v>
      </c>
      <c r="AH2930">
        <v>727992</v>
      </c>
      <c r="AI2930">
        <v>727992</v>
      </c>
      <c r="AJ2930">
        <v>0.8</v>
      </c>
    </row>
    <row r="2931" spans="14:36" x14ac:dyDescent="0.3">
      <c r="N2931" t="str">
        <f t="shared" si="177"/>
        <v>Wirral22Mobile Nights ServiceHome Care or Domiciliary CareDomiciliary care packages</v>
      </c>
      <c r="O2931" t="s">
        <v>359</v>
      </c>
      <c r="P2931" t="s">
        <v>1201</v>
      </c>
      <c r="Q2931">
        <v>22</v>
      </c>
      <c r="R2931" t="s">
        <v>7208</v>
      </c>
      <c r="S2931" t="s">
        <v>7549</v>
      </c>
      <c r="T2931" t="s">
        <v>842</v>
      </c>
      <c r="U2931" t="s">
        <v>843</v>
      </c>
      <c r="W2931">
        <v>713</v>
      </c>
      <c r="X2931">
        <v>713</v>
      </c>
      <c r="Y2931" t="s">
        <v>844</v>
      </c>
      <c r="Z2931" t="s">
        <v>792</v>
      </c>
      <c r="AB2931" t="s">
        <v>793</v>
      </c>
      <c r="AD2931" t="s">
        <v>794</v>
      </c>
      <c r="AE2931" t="s">
        <v>804</v>
      </c>
      <c r="AF2931" t="s">
        <v>845</v>
      </c>
      <c r="AG2931" t="s">
        <v>797</v>
      </c>
      <c r="AH2931">
        <v>838000</v>
      </c>
      <c r="AI2931">
        <v>838000</v>
      </c>
      <c r="AJ2931">
        <v>1</v>
      </c>
    </row>
    <row r="2932" spans="14:36" x14ac:dyDescent="0.3">
      <c r="N2932" t="str">
        <f t="shared" si="177"/>
        <v>Wirral25Winter Funding - Supporting Dom CareHome Care or Domiciliary CareDomiciliary care to support hospital discharge (Discharge to Assess pathway 1)</v>
      </c>
      <c r="O2932" t="s">
        <v>359</v>
      </c>
      <c r="P2932" t="s">
        <v>1201</v>
      </c>
      <c r="Q2932">
        <v>25</v>
      </c>
      <c r="R2932" t="s">
        <v>7210</v>
      </c>
      <c r="S2932" t="s">
        <v>7550</v>
      </c>
      <c r="T2932" t="s">
        <v>842</v>
      </c>
      <c r="U2932" t="s">
        <v>856</v>
      </c>
      <c r="W2932">
        <v>23000</v>
      </c>
      <c r="X2932">
        <v>23000</v>
      </c>
      <c r="Y2932" t="s">
        <v>844</v>
      </c>
      <c r="Z2932" t="s">
        <v>792</v>
      </c>
      <c r="AB2932" t="s">
        <v>793</v>
      </c>
      <c r="AD2932" t="s">
        <v>794</v>
      </c>
      <c r="AE2932" t="s">
        <v>795</v>
      </c>
      <c r="AF2932" t="s">
        <v>845</v>
      </c>
      <c r="AG2932" t="s">
        <v>797</v>
      </c>
      <c r="AH2932">
        <v>1800370</v>
      </c>
      <c r="AI2932">
        <v>1800370</v>
      </c>
      <c r="AJ2932">
        <v>0.09</v>
      </c>
    </row>
    <row r="2933" spans="14:36" x14ac:dyDescent="0.3">
      <c r="N2933" t="str">
        <f t="shared" si="177"/>
        <v>Wirral28IV AntibioticsBed based intermediate Care Services (Reablement, rehabilitation, wider short-term services supporting recovery)Other</v>
      </c>
      <c r="O2933" t="s">
        <v>359</v>
      </c>
      <c r="P2933" t="s">
        <v>1201</v>
      </c>
      <c r="Q2933">
        <v>28</v>
      </c>
      <c r="R2933" t="s">
        <v>7213</v>
      </c>
      <c r="S2933" t="s">
        <v>7551</v>
      </c>
      <c r="T2933" t="s">
        <v>877</v>
      </c>
      <c r="U2933" t="s">
        <v>812</v>
      </c>
      <c r="V2933" t="s">
        <v>7552</v>
      </c>
      <c r="W2933">
        <v>588</v>
      </c>
      <c r="X2933">
        <v>588</v>
      </c>
      <c r="Y2933" t="s">
        <v>879</v>
      </c>
      <c r="Z2933" t="s">
        <v>823</v>
      </c>
      <c r="AB2933" t="s">
        <v>824</v>
      </c>
      <c r="AD2933" t="s">
        <v>794</v>
      </c>
      <c r="AE2933" t="s">
        <v>1119</v>
      </c>
      <c r="AF2933" t="s">
        <v>796</v>
      </c>
      <c r="AG2933" t="s">
        <v>797</v>
      </c>
      <c r="AH2933">
        <v>662000</v>
      </c>
      <c r="AI2933">
        <v>699469.2</v>
      </c>
      <c r="AJ2933">
        <v>1</v>
      </c>
    </row>
    <row r="2934" spans="14:36" x14ac:dyDescent="0.3">
      <c r="N2934" t="str">
        <f t="shared" si="177"/>
        <v>Wirral35DFGDFG Related SchemesAdaptations, including statutory DFG grants</v>
      </c>
      <c r="O2934" t="s">
        <v>359</v>
      </c>
      <c r="P2934" t="s">
        <v>1201</v>
      </c>
      <c r="Q2934">
        <v>35</v>
      </c>
      <c r="R2934" t="s">
        <v>840</v>
      </c>
      <c r="S2934" t="s">
        <v>7553</v>
      </c>
      <c r="T2934" t="s">
        <v>834</v>
      </c>
      <c r="U2934" t="s">
        <v>835</v>
      </c>
      <c r="W2934">
        <v>2750</v>
      </c>
      <c r="X2934">
        <v>2750</v>
      </c>
      <c r="Y2934" t="s">
        <v>836</v>
      </c>
      <c r="Z2934" t="s">
        <v>812</v>
      </c>
      <c r="AA2934" t="s">
        <v>7554</v>
      </c>
      <c r="AB2934" t="s">
        <v>793</v>
      </c>
      <c r="AD2934" t="s">
        <v>794</v>
      </c>
      <c r="AE2934" t="s">
        <v>804</v>
      </c>
      <c r="AF2934" t="s">
        <v>840</v>
      </c>
      <c r="AG2934" t="s">
        <v>797</v>
      </c>
      <c r="AH2934">
        <v>4723627</v>
      </c>
      <c r="AI2934">
        <v>4723627</v>
      </c>
      <c r="AJ2934">
        <v>1</v>
      </c>
    </row>
    <row r="2935" spans="14:36" x14ac:dyDescent="0.3">
      <c r="N2935" t="str">
        <f t="shared" si="177"/>
        <v>Wirral40Park HouseBed based intermediate Care Services (Reablement, rehabilitation, wider short-term services supporting recovery)Bed-based intermediate care with rehabilitation (to support discharge)</v>
      </c>
      <c r="O2935" t="s">
        <v>359</v>
      </c>
      <c r="P2935" t="s">
        <v>1201</v>
      </c>
      <c r="Q2935">
        <v>40</v>
      </c>
      <c r="R2935" t="s">
        <v>7218</v>
      </c>
      <c r="S2935" t="s">
        <v>7555</v>
      </c>
      <c r="T2935" t="s">
        <v>877</v>
      </c>
      <c r="U2935" t="s">
        <v>968</v>
      </c>
      <c r="W2935">
        <v>87</v>
      </c>
      <c r="X2935">
        <v>87</v>
      </c>
      <c r="Y2935" t="s">
        <v>879</v>
      </c>
      <c r="Z2935" t="s">
        <v>792</v>
      </c>
      <c r="AB2935" t="s">
        <v>793</v>
      </c>
      <c r="AD2935" t="s">
        <v>794</v>
      </c>
      <c r="AE2935" t="s">
        <v>804</v>
      </c>
      <c r="AF2935" t="s">
        <v>864</v>
      </c>
      <c r="AG2935" t="s">
        <v>797</v>
      </c>
      <c r="AH2935">
        <v>392200</v>
      </c>
      <c r="AI2935">
        <v>403966</v>
      </c>
      <c r="AJ2935">
        <v>1</v>
      </c>
    </row>
    <row r="2936" spans="14:36" x14ac:dyDescent="0.3">
      <c r="N2936" t="str">
        <f t="shared" si="177"/>
        <v>Wirral22Mobile Nights ServiceHome Care or Domiciliary CareDomiciliary care packages</v>
      </c>
      <c r="O2936" t="s">
        <v>359</v>
      </c>
      <c r="P2936" t="s">
        <v>1201</v>
      </c>
      <c r="Q2936">
        <v>22</v>
      </c>
      <c r="R2936" t="s">
        <v>7208</v>
      </c>
      <c r="S2936" t="s">
        <v>7549</v>
      </c>
      <c r="T2936" t="s">
        <v>842</v>
      </c>
      <c r="U2936" t="s">
        <v>843</v>
      </c>
      <c r="W2936">
        <v>421</v>
      </c>
      <c r="X2936">
        <v>421</v>
      </c>
      <c r="Y2936" t="s">
        <v>844</v>
      </c>
      <c r="Z2936" t="s">
        <v>792</v>
      </c>
      <c r="AB2936" t="s">
        <v>793</v>
      </c>
      <c r="AD2936" t="s">
        <v>794</v>
      </c>
      <c r="AE2936" t="s">
        <v>804</v>
      </c>
      <c r="AF2936" t="s">
        <v>864</v>
      </c>
      <c r="AG2936" t="s">
        <v>797</v>
      </c>
      <c r="AH2936">
        <v>495260</v>
      </c>
      <c r="AI2936">
        <v>510118</v>
      </c>
      <c r="AJ2936">
        <v>1</v>
      </c>
    </row>
    <row r="2937" spans="14:36" x14ac:dyDescent="0.3">
      <c r="N2937" t="str">
        <f t="shared" si="177"/>
        <v>Wirral23Home First Bed based intermediate Care Services (Reablement, rehabilitation, wider short-term services supporting recovery)Bed-based intermediate care with rehabilitation (to support discharge)</v>
      </c>
      <c r="O2937" t="s">
        <v>359</v>
      </c>
      <c r="P2937" t="s">
        <v>1201</v>
      </c>
      <c r="Q2937">
        <v>23</v>
      </c>
      <c r="R2937" t="s">
        <v>4095</v>
      </c>
      <c r="S2937" t="s">
        <v>7556</v>
      </c>
      <c r="T2937" t="s">
        <v>877</v>
      </c>
      <c r="U2937" t="s">
        <v>968</v>
      </c>
      <c r="W2937">
        <v>1020</v>
      </c>
      <c r="X2937">
        <v>2040</v>
      </c>
      <c r="Y2937" t="s">
        <v>879</v>
      </c>
      <c r="Z2937" t="s">
        <v>823</v>
      </c>
      <c r="AB2937" t="s">
        <v>824</v>
      </c>
      <c r="AD2937" t="s">
        <v>794</v>
      </c>
      <c r="AE2937" t="s">
        <v>832</v>
      </c>
      <c r="AF2937" t="s">
        <v>860</v>
      </c>
      <c r="AG2937" t="s">
        <v>797</v>
      </c>
      <c r="AH2937">
        <v>2457969</v>
      </c>
      <c r="AI2937">
        <v>3344764</v>
      </c>
      <c r="AJ2937">
        <v>1</v>
      </c>
    </row>
    <row r="2938" spans="14:36" x14ac:dyDescent="0.3">
      <c r="N2938" t="str">
        <f t="shared" si="177"/>
        <v>Wirral46Melrose HouseBed based intermediate Care Services (Reablement, rehabilitation, wider short-term services supporting recovery)Bed-based intermediate care with rehabilitation (to support discharge)</v>
      </c>
      <c r="O2938" t="s">
        <v>359</v>
      </c>
      <c r="P2938" t="s">
        <v>1201</v>
      </c>
      <c r="Q2938">
        <v>46</v>
      </c>
      <c r="R2938" t="s">
        <v>7222</v>
      </c>
      <c r="S2938" t="s">
        <v>7557</v>
      </c>
      <c r="T2938" t="s">
        <v>877</v>
      </c>
      <c r="U2938" t="s">
        <v>968</v>
      </c>
      <c r="W2938">
        <v>26</v>
      </c>
      <c r="X2938">
        <v>26</v>
      </c>
      <c r="Y2938" t="s">
        <v>879</v>
      </c>
      <c r="Z2938" t="s">
        <v>792</v>
      </c>
      <c r="AB2938" t="s">
        <v>793</v>
      </c>
      <c r="AD2938" t="s">
        <v>794</v>
      </c>
      <c r="AE2938" t="s">
        <v>804</v>
      </c>
      <c r="AF2938" t="s">
        <v>864</v>
      </c>
      <c r="AG2938" t="s">
        <v>861</v>
      </c>
      <c r="AH2938">
        <v>125000</v>
      </c>
      <c r="AI2938">
        <v>0</v>
      </c>
      <c r="AJ2938">
        <v>1</v>
      </c>
    </row>
    <row r="2939" spans="14:36" x14ac:dyDescent="0.3">
      <c r="N2939" t="str">
        <f t="shared" si="177"/>
        <v>Wokingham2Voluntary Sector partnership, social prescribingCarers ServicesOther</v>
      </c>
      <c r="O2939" t="s">
        <v>361</v>
      </c>
      <c r="P2939" t="s">
        <v>1437</v>
      </c>
      <c r="Q2939">
        <v>2</v>
      </c>
      <c r="R2939" t="s">
        <v>7225</v>
      </c>
      <c r="S2939" t="s">
        <v>7558</v>
      </c>
      <c r="T2939" t="s">
        <v>811</v>
      </c>
      <c r="U2939" t="s">
        <v>812</v>
      </c>
      <c r="V2939" t="s">
        <v>822</v>
      </c>
      <c r="W2939">
        <v>179</v>
      </c>
      <c r="X2939">
        <v>189</v>
      </c>
      <c r="Y2939" t="s">
        <v>813</v>
      </c>
      <c r="Z2939" t="s">
        <v>792</v>
      </c>
      <c r="AB2939" t="s">
        <v>793</v>
      </c>
      <c r="AD2939" t="s">
        <v>794</v>
      </c>
      <c r="AE2939" t="s">
        <v>825</v>
      </c>
      <c r="AF2939" t="s">
        <v>1029</v>
      </c>
      <c r="AG2939" t="s">
        <v>797</v>
      </c>
      <c r="AH2939">
        <v>131500</v>
      </c>
      <c r="AI2939">
        <v>131500</v>
      </c>
      <c r="AJ2939">
        <v>0.59959088199214727</v>
      </c>
    </row>
    <row r="2940" spans="14:36" x14ac:dyDescent="0.3">
      <c r="N2940" t="str">
        <f t="shared" si="177"/>
        <v xml:space="preserve">Wokingham4Maximising Independence - START team reablementHome-based intermediate care servicesJoint reablement and rehabilitation service (to support discharge) </v>
      </c>
      <c r="O2940" t="s">
        <v>361</v>
      </c>
      <c r="P2940" t="s">
        <v>1437</v>
      </c>
      <c r="Q2940">
        <v>4</v>
      </c>
      <c r="R2940" t="s">
        <v>7228</v>
      </c>
      <c r="S2940" t="s">
        <v>7559</v>
      </c>
      <c r="T2940" t="s">
        <v>787</v>
      </c>
      <c r="U2940" t="s">
        <v>1551</v>
      </c>
      <c r="W2940">
        <v>145</v>
      </c>
      <c r="X2940">
        <v>145</v>
      </c>
      <c r="Y2940" t="s">
        <v>789</v>
      </c>
      <c r="Z2940" t="s">
        <v>792</v>
      </c>
      <c r="AB2940" t="s">
        <v>793</v>
      </c>
      <c r="AD2940" t="s">
        <v>794</v>
      </c>
      <c r="AE2940" t="s">
        <v>795</v>
      </c>
      <c r="AF2940" t="s">
        <v>1029</v>
      </c>
      <c r="AG2940" t="s">
        <v>797</v>
      </c>
      <c r="AH2940">
        <v>495331</v>
      </c>
      <c r="AI2940">
        <v>495331</v>
      </c>
      <c r="AJ2940">
        <v>0.15091185241084457</v>
      </c>
    </row>
    <row r="2941" spans="14:36" x14ac:dyDescent="0.3">
      <c r="N2941" t="str">
        <f t="shared" si="177"/>
        <v>Wokingham5Disabled Facilities GrantDFG Related SchemesAdaptations, including statutory DFG grants</v>
      </c>
      <c r="O2941" t="s">
        <v>361</v>
      </c>
      <c r="P2941" t="s">
        <v>1437</v>
      </c>
      <c r="Q2941">
        <v>5</v>
      </c>
      <c r="R2941" t="s">
        <v>891</v>
      </c>
      <c r="S2941" t="s">
        <v>891</v>
      </c>
      <c r="T2941" t="s">
        <v>834</v>
      </c>
      <c r="U2941" t="s">
        <v>835</v>
      </c>
      <c r="W2941">
        <v>450</v>
      </c>
      <c r="X2941">
        <v>450</v>
      </c>
      <c r="Y2941" t="s">
        <v>836</v>
      </c>
      <c r="Z2941" t="s">
        <v>792</v>
      </c>
      <c r="AB2941" t="s">
        <v>793</v>
      </c>
      <c r="AD2941" t="s">
        <v>794</v>
      </c>
      <c r="AE2941" t="s">
        <v>795</v>
      </c>
      <c r="AF2941" t="s">
        <v>840</v>
      </c>
      <c r="AG2941" t="s">
        <v>797</v>
      </c>
      <c r="AH2941">
        <v>1075656</v>
      </c>
      <c r="AI2941">
        <v>1075656</v>
      </c>
      <c r="AJ2941">
        <v>1</v>
      </c>
    </row>
    <row r="2942" spans="14:36" x14ac:dyDescent="0.3">
      <c r="N2942" t="str">
        <f t="shared" si="177"/>
        <v>Wokingham6iBCF FundingHome Care or Domiciliary CareDomiciliary care packages</v>
      </c>
      <c r="O2942" t="s">
        <v>361</v>
      </c>
      <c r="P2942" t="s">
        <v>1437</v>
      </c>
      <c r="Q2942">
        <v>6</v>
      </c>
      <c r="R2942" t="s">
        <v>7233</v>
      </c>
      <c r="S2942" t="s">
        <v>7560</v>
      </c>
      <c r="T2942" t="s">
        <v>842</v>
      </c>
      <c r="U2942" t="s">
        <v>843</v>
      </c>
      <c r="W2942">
        <v>2720</v>
      </c>
      <c r="X2942">
        <v>2590</v>
      </c>
      <c r="Y2942" t="s">
        <v>844</v>
      </c>
      <c r="Z2942" t="s">
        <v>792</v>
      </c>
      <c r="AB2942" t="s">
        <v>793</v>
      </c>
      <c r="AD2942" t="s">
        <v>794</v>
      </c>
      <c r="AE2942" t="s">
        <v>795</v>
      </c>
      <c r="AF2942" t="s">
        <v>845</v>
      </c>
      <c r="AG2942" t="s">
        <v>797</v>
      </c>
      <c r="AH2942">
        <v>58202</v>
      </c>
      <c r="AI2942">
        <v>58202</v>
      </c>
      <c r="AJ2942">
        <v>7.780452468886262E-2</v>
      </c>
    </row>
    <row r="2943" spans="14:36" x14ac:dyDescent="0.3">
      <c r="N2943" t="str">
        <f t="shared" si="177"/>
        <v>Wokingham9Protection of ASC - Residential/Nursing/Dom CareResidential PlacementsNursing home</v>
      </c>
      <c r="O2943" t="s">
        <v>361</v>
      </c>
      <c r="P2943" t="s">
        <v>1437</v>
      </c>
      <c r="Q2943">
        <v>9</v>
      </c>
      <c r="R2943" t="s">
        <v>7235</v>
      </c>
      <c r="S2943" t="s">
        <v>7561</v>
      </c>
      <c r="T2943" t="s">
        <v>806</v>
      </c>
      <c r="U2943" t="s">
        <v>917</v>
      </c>
      <c r="W2943">
        <v>21</v>
      </c>
      <c r="X2943">
        <v>21</v>
      </c>
      <c r="Y2943" t="s">
        <v>808</v>
      </c>
      <c r="Z2943" t="s">
        <v>792</v>
      </c>
      <c r="AB2943" t="s">
        <v>793</v>
      </c>
      <c r="AD2943" t="s">
        <v>794</v>
      </c>
      <c r="AE2943" t="s">
        <v>795</v>
      </c>
      <c r="AF2943" t="s">
        <v>796</v>
      </c>
      <c r="AG2943" t="s">
        <v>797</v>
      </c>
      <c r="AH2943">
        <v>1083640</v>
      </c>
      <c r="AI2943">
        <v>1145000</v>
      </c>
      <c r="AJ2943">
        <v>7.780452468886262E-2</v>
      </c>
    </row>
    <row r="2944" spans="14:36" x14ac:dyDescent="0.3">
      <c r="N2944" t="str">
        <f t="shared" si="177"/>
        <v xml:space="preserve">Wokingham10BHFT Sourced Maximising IndependenceHome-based intermediate care servicesJoint reablement and rehabilitation service (to support discharge) </v>
      </c>
      <c r="O2944" t="s">
        <v>361</v>
      </c>
      <c r="P2944" t="s">
        <v>1437</v>
      </c>
      <c r="Q2944">
        <v>10</v>
      </c>
      <c r="R2944" t="s">
        <v>7237</v>
      </c>
      <c r="S2944" t="s">
        <v>7562</v>
      </c>
      <c r="T2944" t="s">
        <v>787</v>
      </c>
      <c r="U2944" t="s">
        <v>1551</v>
      </c>
      <c r="W2944">
        <v>825</v>
      </c>
      <c r="X2944">
        <v>872</v>
      </c>
      <c r="Y2944" t="s">
        <v>789</v>
      </c>
      <c r="Z2944" t="s">
        <v>823</v>
      </c>
      <c r="AB2944" t="s">
        <v>793</v>
      </c>
      <c r="AD2944" t="s">
        <v>794</v>
      </c>
      <c r="AE2944" t="s">
        <v>832</v>
      </c>
      <c r="AF2944" t="s">
        <v>796</v>
      </c>
      <c r="AG2944" t="s">
        <v>797</v>
      </c>
      <c r="AH2944">
        <v>180600</v>
      </c>
      <c r="AI2944">
        <v>190800</v>
      </c>
      <c r="AJ2944">
        <v>0.59270930835294255</v>
      </c>
    </row>
    <row r="2945" spans="14:36" x14ac:dyDescent="0.3">
      <c r="N2945" t="str">
        <f t="shared" si="177"/>
        <v>Wokingham11Rapid Response OTBed based intermediate Care Services (Reablement, rehabilitation, wider short-term services supporting recovery)Bed-based intermediate care with reablement (to support admissions avoidance)</v>
      </c>
      <c r="O2945" t="s">
        <v>361</v>
      </c>
      <c r="P2945" t="s">
        <v>1437</v>
      </c>
      <c r="Q2945">
        <v>11</v>
      </c>
      <c r="R2945" t="s">
        <v>7240</v>
      </c>
      <c r="S2945" t="s">
        <v>7563</v>
      </c>
      <c r="T2945" t="s">
        <v>877</v>
      </c>
      <c r="U2945" t="s">
        <v>995</v>
      </c>
      <c r="W2945">
        <v>69</v>
      </c>
      <c r="X2945">
        <v>69</v>
      </c>
      <c r="Y2945" t="s">
        <v>808</v>
      </c>
      <c r="Z2945" t="s">
        <v>823</v>
      </c>
      <c r="AB2945" t="s">
        <v>793</v>
      </c>
      <c r="AD2945" t="s">
        <v>794</v>
      </c>
      <c r="AE2945" t="s">
        <v>795</v>
      </c>
      <c r="AF2945" t="s">
        <v>796</v>
      </c>
      <c r="AG2945" t="s">
        <v>797</v>
      </c>
      <c r="AH2945">
        <v>21800</v>
      </c>
      <c r="AI2945">
        <v>23000</v>
      </c>
      <c r="AJ2945">
        <v>0.15091185241084457</v>
      </c>
    </row>
    <row r="2946" spans="14:36" x14ac:dyDescent="0.3">
      <c r="N2946" t="str">
        <f t="shared" ref="N2946:N3009" si="178">O2946&amp;Q2946&amp;R2946&amp;T2946&amp;U2946</f>
        <v>Wokingham20Carers FundingCarers ServicesCarer advice and support related to Care Act duties</v>
      </c>
      <c r="O2946" t="s">
        <v>361</v>
      </c>
      <c r="P2946" t="s">
        <v>1437</v>
      </c>
      <c r="Q2946">
        <v>20</v>
      </c>
      <c r="R2946" t="s">
        <v>7243</v>
      </c>
      <c r="S2946" t="s">
        <v>7564</v>
      </c>
      <c r="T2946" t="s">
        <v>811</v>
      </c>
      <c r="U2946" t="s">
        <v>895</v>
      </c>
      <c r="W2946">
        <v>301</v>
      </c>
      <c r="X2946">
        <v>318</v>
      </c>
      <c r="Y2946" t="s">
        <v>813</v>
      </c>
      <c r="Z2946" t="s">
        <v>792</v>
      </c>
      <c r="AB2946" t="s">
        <v>793</v>
      </c>
      <c r="AD2946" t="s">
        <v>794</v>
      </c>
      <c r="AE2946" t="s">
        <v>795</v>
      </c>
      <c r="AF2946" t="s">
        <v>796</v>
      </c>
      <c r="AG2946" t="s">
        <v>797</v>
      </c>
      <c r="AH2946">
        <v>220400</v>
      </c>
      <c r="AI2946">
        <v>232900</v>
      </c>
      <c r="AJ2946">
        <v>0.59959088199214727</v>
      </c>
    </row>
    <row r="2947" spans="14:36" x14ac:dyDescent="0.3">
      <c r="N2947" t="str">
        <f t="shared" si="178"/>
        <v>Wokingham23Protection of ASC - Residential/Nursing/Dom CareResidential PlacementsCare home</v>
      </c>
      <c r="O2947" t="s">
        <v>361</v>
      </c>
      <c r="P2947" t="s">
        <v>1437</v>
      </c>
      <c r="Q2947">
        <v>23</v>
      </c>
      <c r="R2947" t="s">
        <v>7235</v>
      </c>
      <c r="S2947" t="s">
        <v>7561</v>
      </c>
      <c r="T2947" t="s">
        <v>806</v>
      </c>
      <c r="U2947" t="s">
        <v>807</v>
      </c>
      <c r="W2947">
        <v>3</v>
      </c>
      <c r="X2947">
        <v>3</v>
      </c>
      <c r="Y2947" t="s">
        <v>808</v>
      </c>
      <c r="Z2947" t="s">
        <v>792</v>
      </c>
      <c r="AB2947" t="s">
        <v>793</v>
      </c>
      <c r="AD2947" t="s">
        <v>794</v>
      </c>
      <c r="AE2947" t="s">
        <v>795</v>
      </c>
      <c r="AF2947" t="s">
        <v>796</v>
      </c>
      <c r="AG2947" t="s">
        <v>797</v>
      </c>
      <c r="AH2947">
        <v>166630</v>
      </c>
      <c r="AI2947">
        <v>176100</v>
      </c>
      <c r="AJ2947">
        <v>7.780452468886262E-2</v>
      </c>
    </row>
    <row r="2948" spans="14:36" x14ac:dyDescent="0.3">
      <c r="N2948" t="str">
        <f t="shared" si="178"/>
        <v>Wokingham27Wokingham Step Up BedsBed based intermediate Care Services (Reablement, rehabilitation, wider short-term services supporting recovery)Bed-based intermediate care with reablement accepting step up and step down users</v>
      </c>
      <c r="O2948" t="s">
        <v>361</v>
      </c>
      <c r="P2948" t="s">
        <v>1437</v>
      </c>
      <c r="Q2948">
        <v>27</v>
      </c>
      <c r="R2948" t="s">
        <v>7248</v>
      </c>
      <c r="S2948" t="s">
        <v>7565</v>
      </c>
      <c r="T2948" t="s">
        <v>877</v>
      </c>
      <c r="U2948" t="s">
        <v>1259</v>
      </c>
      <c r="W2948">
        <v>206</v>
      </c>
      <c r="X2948">
        <v>206</v>
      </c>
      <c r="Y2948" t="s">
        <v>808</v>
      </c>
      <c r="Z2948" t="s">
        <v>823</v>
      </c>
      <c r="AB2948" t="s">
        <v>793</v>
      </c>
      <c r="AD2948" t="s">
        <v>794</v>
      </c>
      <c r="AE2948" t="s">
        <v>832</v>
      </c>
      <c r="AF2948" t="s">
        <v>796</v>
      </c>
      <c r="AG2948" t="s">
        <v>797</v>
      </c>
      <c r="AH2948">
        <v>102600</v>
      </c>
      <c r="AI2948">
        <v>108400</v>
      </c>
      <c r="AJ2948">
        <v>0.59270930835294255</v>
      </c>
    </row>
    <row r="2949" spans="14:36" x14ac:dyDescent="0.3">
      <c r="N2949" t="str">
        <f t="shared" si="178"/>
        <v>Wokingham29Contribution to Step Down Suffolk Lodge &amp; additional part time co-ordinatorBed based intermediate Care Services (Reablement, rehabilitation, wider short-term services supporting recovery)Bed-based intermediate care with reablement (to support discharge)</v>
      </c>
      <c r="O2949" t="s">
        <v>361</v>
      </c>
      <c r="P2949" t="s">
        <v>1437</v>
      </c>
      <c r="Q2949">
        <v>29</v>
      </c>
      <c r="R2949" t="s">
        <v>7251</v>
      </c>
      <c r="S2949" t="s">
        <v>7566</v>
      </c>
      <c r="T2949" t="s">
        <v>877</v>
      </c>
      <c r="U2949" t="s">
        <v>878</v>
      </c>
      <c r="W2949">
        <v>8</v>
      </c>
      <c r="X2949">
        <v>8</v>
      </c>
      <c r="Y2949" t="s">
        <v>808</v>
      </c>
      <c r="Z2949" t="s">
        <v>792</v>
      </c>
      <c r="AB2949" t="s">
        <v>793</v>
      </c>
      <c r="AD2949" t="s">
        <v>794</v>
      </c>
      <c r="AE2949" t="s">
        <v>795</v>
      </c>
      <c r="AF2949" t="s">
        <v>796</v>
      </c>
      <c r="AG2949" t="s">
        <v>797</v>
      </c>
      <c r="AH2949">
        <v>200500</v>
      </c>
      <c r="AI2949">
        <v>211800</v>
      </c>
      <c r="AJ2949">
        <v>0.59270930835294255</v>
      </c>
    </row>
    <row r="2950" spans="14:36" x14ac:dyDescent="0.3">
      <c r="N2950" t="str">
        <f t="shared" si="178"/>
        <v xml:space="preserve">Wokingham37Surrey Model Reablement ImplementationHome-based intermediate care servicesReablement at home (to support discharge) </v>
      </c>
      <c r="O2950" t="s">
        <v>361</v>
      </c>
      <c r="P2950" t="s">
        <v>1437</v>
      </c>
      <c r="Q2950">
        <v>37</v>
      </c>
      <c r="R2950" t="s">
        <v>7253</v>
      </c>
      <c r="S2950" t="s">
        <v>7567</v>
      </c>
      <c r="T2950" t="s">
        <v>787</v>
      </c>
      <c r="U2950" t="s">
        <v>788</v>
      </c>
      <c r="W2950">
        <v>70</v>
      </c>
      <c r="X2950">
        <v>74</v>
      </c>
      <c r="Y2950" t="s">
        <v>789</v>
      </c>
      <c r="Z2950" t="s">
        <v>792</v>
      </c>
      <c r="AB2950" t="s">
        <v>793</v>
      </c>
      <c r="AD2950" t="s">
        <v>794</v>
      </c>
      <c r="AE2950" t="s">
        <v>804</v>
      </c>
      <c r="AF2950" t="s">
        <v>796</v>
      </c>
      <c r="AG2950" t="s">
        <v>797</v>
      </c>
      <c r="AH2950">
        <v>70000</v>
      </c>
      <c r="AI2950">
        <v>74000</v>
      </c>
      <c r="AJ2950">
        <v>7.780452468886262E-2</v>
      </c>
    </row>
    <row r="2951" spans="14:36" x14ac:dyDescent="0.3">
      <c r="N2951" t="str">
        <f t="shared" si="178"/>
        <v>Wokingham39Protection of ASC - Residential/Nursing/Dom CareHome Care or Domiciliary CareDomiciliary care packages</v>
      </c>
      <c r="O2951" t="s">
        <v>361</v>
      </c>
      <c r="P2951" t="s">
        <v>1437</v>
      </c>
      <c r="Q2951">
        <v>39</v>
      </c>
      <c r="R2951" t="s">
        <v>7235</v>
      </c>
      <c r="S2951" t="s">
        <v>7561</v>
      </c>
      <c r="T2951" t="s">
        <v>842</v>
      </c>
      <c r="U2951" t="s">
        <v>843</v>
      </c>
      <c r="W2951">
        <v>7786</v>
      </c>
      <c r="X2951">
        <v>7837</v>
      </c>
      <c r="Y2951" t="s">
        <v>844</v>
      </c>
      <c r="Z2951" t="s">
        <v>792</v>
      </c>
      <c r="AB2951" t="s">
        <v>793</v>
      </c>
      <c r="AD2951" t="s">
        <v>794</v>
      </c>
      <c r="AE2951" t="s">
        <v>795</v>
      </c>
      <c r="AF2951" t="s">
        <v>796</v>
      </c>
      <c r="AG2951" t="s">
        <v>797</v>
      </c>
      <c r="AH2951">
        <v>166630</v>
      </c>
      <c r="AI2951">
        <v>176100</v>
      </c>
      <c r="AJ2951">
        <v>7.780452468886262E-2</v>
      </c>
    </row>
    <row r="2952" spans="14:36" x14ac:dyDescent="0.3">
      <c r="N2952" t="str">
        <f t="shared" si="178"/>
        <v xml:space="preserve">Wokingham42BHFT reablement contractHome-based intermediate care servicesReablement at home (to support discharge) </v>
      </c>
      <c r="O2952" t="s">
        <v>361</v>
      </c>
      <c r="P2952" t="s">
        <v>1437</v>
      </c>
      <c r="Q2952">
        <v>42</v>
      </c>
      <c r="R2952" t="s">
        <v>7257</v>
      </c>
      <c r="S2952" t="s">
        <v>4186</v>
      </c>
      <c r="T2952" t="s">
        <v>787</v>
      </c>
      <c r="U2952" t="s">
        <v>788</v>
      </c>
      <c r="W2952">
        <v>780</v>
      </c>
      <c r="X2952">
        <v>824</v>
      </c>
      <c r="Y2952" t="s">
        <v>789</v>
      </c>
      <c r="Z2952" t="s">
        <v>823</v>
      </c>
      <c r="AB2952" t="s">
        <v>824</v>
      </c>
      <c r="AD2952" t="s">
        <v>794</v>
      </c>
      <c r="AE2952" t="s">
        <v>832</v>
      </c>
      <c r="AF2952" t="s">
        <v>796</v>
      </c>
      <c r="AG2952" t="s">
        <v>797</v>
      </c>
      <c r="AH2952">
        <v>868170</v>
      </c>
      <c r="AI2952">
        <v>917308.42200000002</v>
      </c>
      <c r="AJ2952">
        <v>0.59270930835294255</v>
      </c>
    </row>
    <row r="2953" spans="14:36" x14ac:dyDescent="0.3">
      <c r="N2953" t="str">
        <f t="shared" si="178"/>
        <v>Wokingham46Care homes staffing costsResidential PlacementsCare home</v>
      </c>
      <c r="O2953" t="s">
        <v>361</v>
      </c>
      <c r="P2953" t="s">
        <v>1437</v>
      </c>
      <c r="Q2953">
        <v>46</v>
      </c>
      <c r="R2953" t="s">
        <v>7259</v>
      </c>
      <c r="S2953" t="s">
        <v>7568</v>
      </c>
      <c r="T2953" t="s">
        <v>806</v>
      </c>
      <c r="U2953" t="s">
        <v>807</v>
      </c>
      <c r="W2953">
        <v>612</v>
      </c>
      <c r="X2953">
        <v>647</v>
      </c>
      <c r="Y2953" t="s">
        <v>808</v>
      </c>
      <c r="Z2953" t="s">
        <v>823</v>
      </c>
      <c r="AB2953" t="s">
        <v>824</v>
      </c>
      <c r="AD2953" t="s">
        <v>794</v>
      </c>
      <c r="AE2953" t="s">
        <v>832</v>
      </c>
      <c r="AF2953" t="s">
        <v>796</v>
      </c>
      <c r="AG2953" t="s">
        <v>797</v>
      </c>
      <c r="AH2953">
        <v>265542</v>
      </c>
      <c r="AI2953">
        <v>280571.67700000003</v>
      </c>
      <c r="AJ2953">
        <v>7.780452468886262E-2</v>
      </c>
    </row>
    <row r="2954" spans="14:36" x14ac:dyDescent="0.3">
      <c r="N2954" t="str">
        <f t="shared" si="178"/>
        <v>Wokingham47Out of Hospital - Speech &amp; Language TherapyHome-based intermediate care servicesReablement at home (accepting step up and step down users)</v>
      </c>
      <c r="O2954" t="s">
        <v>361</v>
      </c>
      <c r="P2954" t="s">
        <v>1437</v>
      </c>
      <c r="Q2954">
        <v>47</v>
      </c>
      <c r="R2954" t="s">
        <v>7262</v>
      </c>
      <c r="S2954" t="s">
        <v>7569</v>
      </c>
      <c r="T2954" t="s">
        <v>787</v>
      </c>
      <c r="U2954" t="s">
        <v>930</v>
      </c>
      <c r="W2954">
        <v>41</v>
      </c>
      <c r="X2954">
        <v>43</v>
      </c>
      <c r="Y2954" t="s">
        <v>789</v>
      </c>
      <c r="Z2954" t="s">
        <v>823</v>
      </c>
      <c r="AB2954" t="s">
        <v>824</v>
      </c>
      <c r="AD2954" t="s">
        <v>794</v>
      </c>
      <c r="AE2954" t="s">
        <v>832</v>
      </c>
      <c r="AF2954" t="s">
        <v>796</v>
      </c>
      <c r="AG2954" t="s">
        <v>797</v>
      </c>
      <c r="AH2954">
        <v>71782</v>
      </c>
      <c r="AI2954">
        <v>75844.861000000004</v>
      </c>
      <c r="AJ2954">
        <v>0.59270930835294255</v>
      </c>
    </row>
    <row r="2955" spans="14:36" x14ac:dyDescent="0.3">
      <c r="N2955" t="str">
        <f t="shared" si="178"/>
        <v>Wokingham48Out of Hospital - Care Homes in ReachBed based intermediate Care Services (Reablement, rehabilitation, wider short-term services supporting recovery)Bed-based intermediate care with rehabilitation (to support admission avoidance)</v>
      </c>
      <c r="O2955" t="s">
        <v>361</v>
      </c>
      <c r="P2955" t="s">
        <v>1437</v>
      </c>
      <c r="Q2955">
        <v>48</v>
      </c>
      <c r="R2955" t="s">
        <v>7264</v>
      </c>
      <c r="S2955" t="s">
        <v>7570</v>
      </c>
      <c r="T2955" t="s">
        <v>877</v>
      </c>
      <c r="U2955" t="s">
        <v>1018</v>
      </c>
      <c r="W2955">
        <v>50</v>
      </c>
      <c r="X2955">
        <v>50</v>
      </c>
      <c r="Y2955" t="s">
        <v>808</v>
      </c>
      <c r="Z2955" t="s">
        <v>823</v>
      </c>
      <c r="AB2955" t="s">
        <v>824</v>
      </c>
      <c r="AD2955" t="s">
        <v>794</v>
      </c>
      <c r="AE2955" t="s">
        <v>832</v>
      </c>
      <c r="AF2955" t="s">
        <v>796</v>
      </c>
      <c r="AG2955" t="s">
        <v>797</v>
      </c>
      <c r="AH2955">
        <v>175818</v>
      </c>
      <c r="AI2955">
        <v>185769.299</v>
      </c>
      <c r="AJ2955">
        <v>0.59270930835294255</v>
      </c>
    </row>
    <row r="2956" spans="14:36" x14ac:dyDescent="0.3">
      <c r="N2956" t="str">
        <f t="shared" si="178"/>
        <v>Wokingham49Out of Hospital - Community GeriatricianBed based intermediate Care Services (Reablement, rehabilitation, wider short-term services supporting recovery)Bed-based intermediate care with reablement (to support admissions avoidance)</v>
      </c>
      <c r="O2956" t="s">
        <v>361</v>
      </c>
      <c r="P2956" t="s">
        <v>1437</v>
      </c>
      <c r="Q2956">
        <v>49</v>
      </c>
      <c r="R2956" t="s">
        <v>7267</v>
      </c>
      <c r="S2956" t="s">
        <v>7571</v>
      </c>
      <c r="T2956" t="s">
        <v>877</v>
      </c>
      <c r="U2956" t="s">
        <v>995</v>
      </c>
      <c r="W2956">
        <v>156</v>
      </c>
      <c r="X2956">
        <v>165</v>
      </c>
      <c r="Y2956" t="s">
        <v>808</v>
      </c>
      <c r="Z2956" t="s">
        <v>823</v>
      </c>
      <c r="AB2956" t="s">
        <v>824</v>
      </c>
      <c r="AD2956" t="s">
        <v>794</v>
      </c>
      <c r="AE2956" t="s">
        <v>832</v>
      </c>
      <c r="AF2956" t="s">
        <v>796</v>
      </c>
      <c r="AG2956" t="s">
        <v>797</v>
      </c>
      <c r="AH2956">
        <v>152742</v>
      </c>
      <c r="AI2956">
        <v>161387.19699999999</v>
      </c>
      <c r="AJ2956">
        <v>0.59270930835294255</v>
      </c>
    </row>
    <row r="2957" spans="14:36" x14ac:dyDescent="0.3">
      <c r="N2957" t="str">
        <f t="shared" si="178"/>
        <v>Wokingham50Out of Hospital - Intermediate Care (Discharge Service)Bed based intermediate Care Services (Reablement, rehabilitation, wider short-term services supporting recovery)Bed-based intermediate care with reablement (to support discharge)</v>
      </c>
      <c r="O2957" t="s">
        <v>361</v>
      </c>
      <c r="P2957" t="s">
        <v>1437</v>
      </c>
      <c r="Q2957">
        <v>50</v>
      </c>
      <c r="R2957" t="s">
        <v>7270</v>
      </c>
      <c r="S2957" t="s">
        <v>7572</v>
      </c>
      <c r="T2957" t="s">
        <v>877</v>
      </c>
      <c r="U2957" t="s">
        <v>878</v>
      </c>
      <c r="W2957">
        <v>108</v>
      </c>
      <c r="X2957">
        <v>114</v>
      </c>
      <c r="Y2957" t="s">
        <v>808</v>
      </c>
      <c r="Z2957" t="s">
        <v>823</v>
      </c>
      <c r="AB2957" t="s">
        <v>824</v>
      </c>
      <c r="AD2957" t="s">
        <v>794</v>
      </c>
      <c r="AE2957" t="s">
        <v>832</v>
      </c>
      <c r="AF2957" t="s">
        <v>796</v>
      </c>
      <c r="AG2957" t="s">
        <v>797</v>
      </c>
      <c r="AH2957">
        <v>730744</v>
      </c>
      <c r="AI2957">
        <v>772104.11</v>
      </c>
      <c r="AJ2957">
        <v>0.59270930835294255</v>
      </c>
    </row>
    <row r="2958" spans="14:36" x14ac:dyDescent="0.3">
      <c r="N2958" t="str">
        <f t="shared" si="178"/>
        <v>Wokingham52Out of Hospital - Intermediate Care (inc night sitting, rapid response, reablement, falls)Bed based intermediate Care Services (Reablement, rehabilitation, wider short-term services supporting recovery)Bed-based intermediate care with reablement (to support admissions avoidance)</v>
      </c>
      <c r="O2958" t="s">
        <v>361</v>
      </c>
      <c r="P2958" t="s">
        <v>1437</v>
      </c>
      <c r="Q2958">
        <v>52</v>
      </c>
      <c r="R2958" t="s">
        <v>7273</v>
      </c>
      <c r="S2958" t="s">
        <v>7573</v>
      </c>
      <c r="T2958" t="s">
        <v>877</v>
      </c>
      <c r="U2958" t="s">
        <v>995</v>
      </c>
      <c r="W2958">
        <v>171</v>
      </c>
      <c r="X2958">
        <v>181</v>
      </c>
      <c r="Y2958" t="s">
        <v>808</v>
      </c>
      <c r="Z2958" t="s">
        <v>823</v>
      </c>
      <c r="AB2958" t="s">
        <v>824</v>
      </c>
      <c r="AD2958" t="s">
        <v>794</v>
      </c>
      <c r="AE2958" t="s">
        <v>832</v>
      </c>
      <c r="AF2958" t="s">
        <v>796</v>
      </c>
      <c r="AG2958" t="s">
        <v>797</v>
      </c>
      <c r="AH2958">
        <v>359327</v>
      </c>
      <c r="AI2958">
        <v>379664.908</v>
      </c>
      <c r="AJ2958">
        <v>0.59270930835294255</v>
      </c>
    </row>
    <row r="2959" spans="14:36" x14ac:dyDescent="0.3">
      <c r="N2959" t="str">
        <f t="shared" si="178"/>
        <v>Wokingham54Carers Funding (CCG)Carers ServicesOther</v>
      </c>
      <c r="O2959" t="s">
        <v>361</v>
      </c>
      <c r="P2959" t="s">
        <v>1437</v>
      </c>
      <c r="Q2959">
        <v>54</v>
      </c>
      <c r="R2959" t="s">
        <v>7275</v>
      </c>
      <c r="S2959" t="s">
        <v>7574</v>
      </c>
      <c r="T2959" t="s">
        <v>811</v>
      </c>
      <c r="U2959" t="s">
        <v>812</v>
      </c>
      <c r="V2959" t="s">
        <v>7575</v>
      </c>
      <c r="W2959">
        <v>50</v>
      </c>
      <c r="X2959">
        <v>50</v>
      </c>
      <c r="Y2959" t="s">
        <v>813</v>
      </c>
      <c r="Z2959" t="s">
        <v>792</v>
      </c>
      <c r="AB2959" t="s">
        <v>824</v>
      </c>
      <c r="AD2959" t="s">
        <v>794</v>
      </c>
      <c r="AE2959" t="s">
        <v>825</v>
      </c>
      <c r="AF2959" t="s">
        <v>796</v>
      </c>
      <c r="AG2959" t="s">
        <v>797</v>
      </c>
      <c r="AH2959">
        <v>88708</v>
      </c>
      <c r="AI2959">
        <v>93728.873000000007</v>
      </c>
      <c r="AJ2959">
        <v>0.59959088199214727</v>
      </c>
    </row>
    <row r="2960" spans="14:36" x14ac:dyDescent="0.3">
      <c r="N2960" t="str">
        <f t="shared" si="178"/>
        <v>Wokingham57Discharge Fund Block BedsResidential PlacementsNursing home</v>
      </c>
      <c r="O2960" t="s">
        <v>361</v>
      </c>
      <c r="P2960" t="s">
        <v>1437</v>
      </c>
      <c r="Q2960">
        <v>57</v>
      </c>
      <c r="R2960" t="s">
        <v>7278</v>
      </c>
      <c r="S2960" t="s">
        <v>7576</v>
      </c>
      <c r="T2960" t="s">
        <v>806</v>
      </c>
      <c r="U2960" t="s">
        <v>917</v>
      </c>
      <c r="W2960">
        <v>5</v>
      </c>
      <c r="X2960">
        <v>9</v>
      </c>
      <c r="Y2960" t="s">
        <v>808</v>
      </c>
      <c r="Z2960" t="s">
        <v>792</v>
      </c>
      <c r="AB2960" t="s">
        <v>793</v>
      </c>
      <c r="AD2960" t="s">
        <v>794</v>
      </c>
      <c r="AE2960" t="s">
        <v>804</v>
      </c>
      <c r="AF2960" t="s">
        <v>860</v>
      </c>
      <c r="AG2960" t="s">
        <v>861</v>
      </c>
      <c r="AH2960">
        <v>248735</v>
      </c>
      <c r="AI2960">
        <v>465621</v>
      </c>
      <c r="AJ2960">
        <v>7.780452468886262E-2</v>
      </c>
    </row>
    <row r="2961" spans="14:36" x14ac:dyDescent="0.3">
      <c r="N2961" t="str">
        <f t="shared" si="178"/>
        <v>Wokingham58Discharge Fund block dom careHome Care or Domiciliary CareDomiciliary care to support hospital discharge (Discharge to Assess pathway 1)</v>
      </c>
      <c r="O2961" t="s">
        <v>361</v>
      </c>
      <c r="P2961" t="s">
        <v>1437</v>
      </c>
      <c r="Q2961">
        <v>58</v>
      </c>
      <c r="R2961" t="s">
        <v>7281</v>
      </c>
      <c r="S2961" t="s">
        <v>7577</v>
      </c>
      <c r="T2961" t="s">
        <v>842</v>
      </c>
      <c r="U2961" t="s">
        <v>856</v>
      </c>
      <c r="W2961">
        <v>200</v>
      </c>
      <c r="X2961">
        <v>340</v>
      </c>
      <c r="Y2961" t="s">
        <v>844</v>
      </c>
      <c r="Z2961" t="s">
        <v>792</v>
      </c>
      <c r="AB2961" t="s">
        <v>793</v>
      </c>
      <c r="AD2961" t="s">
        <v>794</v>
      </c>
      <c r="AE2961" t="s">
        <v>804</v>
      </c>
      <c r="AF2961" t="s">
        <v>860</v>
      </c>
      <c r="AG2961" t="s">
        <v>861</v>
      </c>
      <c r="AH2961">
        <v>211880</v>
      </c>
      <c r="AI2961">
        <v>399220</v>
      </c>
      <c r="AJ2961">
        <v>7.780452468886262E-2</v>
      </c>
    </row>
    <row r="2962" spans="14:36" x14ac:dyDescent="0.3">
      <c r="N2962" t="str">
        <f t="shared" si="178"/>
        <v>Wokingham61Discharge Fund equipmentAssistive Technologies and EquipmentCommunity based equipment</v>
      </c>
      <c r="O2962" t="s">
        <v>361</v>
      </c>
      <c r="P2962" t="s">
        <v>1437</v>
      </c>
      <c r="Q2962">
        <v>61</v>
      </c>
      <c r="R2962" t="s">
        <v>7284</v>
      </c>
      <c r="S2962" t="s">
        <v>7578</v>
      </c>
      <c r="T2962" t="s">
        <v>800</v>
      </c>
      <c r="U2962" t="s">
        <v>903</v>
      </c>
      <c r="W2962">
        <v>75</v>
      </c>
      <c r="X2962">
        <v>100</v>
      </c>
      <c r="Y2962" t="s">
        <v>802</v>
      </c>
      <c r="Z2962" t="s">
        <v>792</v>
      </c>
      <c r="AB2962" t="s">
        <v>793</v>
      </c>
      <c r="AD2962" t="s">
        <v>794</v>
      </c>
      <c r="AE2962" t="s">
        <v>795</v>
      </c>
      <c r="AF2962" t="s">
        <v>860</v>
      </c>
      <c r="AG2962" t="s">
        <v>861</v>
      </c>
      <c r="AH2962">
        <v>35000</v>
      </c>
      <c r="AI2962">
        <v>66400</v>
      </c>
      <c r="AJ2962">
        <v>7.780452468886262E-2</v>
      </c>
    </row>
    <row r="2963" spans="14:36" x14ac:dyDescent="0.3">
      <c r="N2963" t="str">
        <f t="shared" si="178"/>
        <v>Wolverhampton23CarersCarers ServicesRespite services</v>
      </c>
      <c r="O2963" t="s">
        <v>363</v>
      </c>
      <c r="P2963" t="s">
        <v>1172</v>
      </c>
      <c r="Q2963">
        <v>23</v>
      </c>
      <c r="R2963" t="s">
        <v>1250</v>
      </c>
      <c r="S2963" t="s">
        <v>2205</v>
      </c>
      <c r="T2963" t="s">
        <v>811</v>
      </c>
      <c r="U2963" t="s">
        <v>830</v>
      </c>
      <c r="W2963">
        <v>89</v>
      </c>
      <c r="X2963">
        <v>89</v>
      </c>
      <c r="Y2963" t="s">
        <v>813</v>
      </c>
      <c r="Z2963" t="s">
        <v>823</v>
      </c>
      <c r="AB2963" t="s">
        <v>793</v>
      </c>
      <c r="AD2963" t="s">
        <v>794</v>
      </c>
      <c r="AE2963" t="s">
        <v>804</v>
      </c>
      <c r="AF2963" t="s">
        <v>1042</v>
      </c>
      <c r="AG2963" t="s">
        <v>797</v>
      </c>
      <c r="AH2963">
        <v>142520</v>
      </c>
      <c r="AI2963">
        <v>145085</v>
      </c>
      <c r="AJ2963">
        <v>0.2</v>
      </c>
    </row>
    <row r="2964" spans="14:36" x14ac:dyDescent="0.3">
      <c r="N2964" t="str">
        <f t="shared" si="178"/>
        <v>Wolverhampton24Care ActCarers ServicesCarer advice and support related to Care Act duties</v>
      </c>
      <c r="O2964" t="s">
        <v>363</v>
      </c>
      <c r="P2964" t="s">
        <v>1172</v>
      </c>
      <c r="Q2964">
        <v>24</v>
      </c>
      <c r="R2964" t="s">
        <v>2726</v>
      </c>
      <c r="S2964" t="s">
        <v>2207</v>
      </c>
      <c r="T2964" t="s">
        <v>811</v>
      </c>
      <c r="U2964" t="s">
        <v>895</v>
      </c>
      <c r="W2964">
        <v>2700</v>
      </c>
      <c r="X2964">
        <v>3000</v>
      </c>
      <c r="Y2964" t="s">
        <v>813</v>
      </c>
      <c r="Z2964" t="s">
        <v>792</v>
      </c>
      <c r="AB2964" t="s">
        <v>793</v>
      </c>
      <c r="AD2964" t="s">
        <v>794</v>
      </c>
      <c r="AE2964" t="s">
        <v>795</v>
      </c>
      <c r="AF2964" t="s">
        <v>796</v>
      </c>
      <c r="AG2964" t="s">
        <v>797</v>
      </c>
      <c r="AH2964">
        <v>713000</v>
      </c>
      <c r="AI2964">
        <v>713000</v>
      </c>
      <c r="AJ2964">
        <v>0.1</v>
      </c>
    </row>
    <row r="2965" spans="14:36" x14ac:dyDescent="0.3">
      <c r="N2965" t="str">
        <f t="shared" si="178"/>
        <v>Wolverhampton25Demographic GrowthCarers ServicesCarer advice and support related to Care Act duties</v>
      </c>
      <c r="O2965" t="s">
        <v>363</v>
      </c>
      <c r="P2965" t="s">
        <v>1172</v>
      </c>
      <c r="Q2965">
        <v>25</v>
      </c>
      <c r="R2965" t="s">
        <v>7289</v>
      </c>
      <c r="S2965" t="s">
        <v>2207</v>
      </c>
      <c r="T2965" t="s">
        <v>811</v>
      </c>
      <c r="U2965" t="s">
        <v>895</v>
      </c>
      <c r="W2965">
        <v>250</v>
      </c>
      <c r="X2965">
        <v>400</v>
      </c>
      <c r="Y2965" t="s">
        <v>813</v>
      </c>
      <c r="Z2965" t="s">
        <v>792</v>
      </c>
      <c r="AB2965" t="s">
        <v>793</v>
      </c>
      <c r="AD2965" t="s">
        <v>794</v>
      </c>
      <c r="AE2965" t="s">
        <v>795</v>
      </c>
      <c r="AF2965" t="s">
        <v>796</v>
      </c>
      <c r="AG2965" t="s">
        <v>797</v>
      </c>
      <c r="AH2965">
        <v>628000</v>
      </c>
      <c r="AI2965">
        <v>628000</v>
      </c>
      <c r="AJ2965">
        <v>0.15</v>
      </c>
    </row>
    <row r="2966" spans="14:36" x14ac:dyDescent="0.3">
      <c r="N2966" t="str">
        <f t="shared" si="178"/>
        <v>Wolverhampton26Dementia CafesCarers ServicesOther</v>
      </c>
      <c r="O2966" t="s">
        <v>363</v>
      </c>
      <c r="P2966" t="s">
        <v>1172</v>
      </c>
      <c r="Q2966">
        <v>26</v>
      </c>
      <c r="R2966" t="s">
        <v>7292</v>
      </c>
      <c r="S2966" t="s">
        <v>7579</v>
      </c>
      <c r="T2966" t="s">
        <v>811</v>
      </c>
      <c r="U2966" t="s">
        <v>812</v>
      </c>
      <c r="V2966" t="s">
        <v>2207</v>
      </c>
      <c r="W2966">
        <v>250</v>
      </c>
      <c r="X2966">
        <v>250</v>
      </c>
      <c r="Y2966" t="s">
        <v>813</v>
      </c>
      <c r="Z2966" t="s">
        <v>823</v>
      </c>
      <c r="AB2966" t="s">
        <v>793</v>
      </c>
      <c r="AD2966" t="s">
        <v>794</v>
      </c>
      <c r="AE2966" t="s">
        <v>825</v>
      </c>
      <c r="AF2966" t="s">
        <v>1029</v>
      </c>
      <c r="AG2966" t="s">
        <v>797</v>
      </c>
      <c r="AH2966">
        <v>73000</v>
      </c>
      <c r="AI2966">
        <v>73000</v>
      </c>
      <c r="AJ2966">
        <v>0.2</v>
      </c>
    </row>
    <row r="2967" spans="14:36" x14ac:dyDescent="0.3">
      <c r="N2967" t="str">
        <f t="shared" si="178"/>
        <v>Wolverhampton30Reablement TeamHome-based intermediate care servicesReablement at home (accepting step up and step down users)</v>
      </c>
      <c r="O2967" t="s">
        <v>363</v>
      </c>
      <c r="P2967" t="s">
        <v>1172</v>
      </c>
      <c r="Q2967">
        <v>30</v>
      </c>
      <c r="R2967" t="s">
        <v>3699</v>
      </c>
      <c r="S2967" t="s">
        <v>434</v>
      </c>
      <c r="T2967" t="s">
        <v>787</v>
      </c>
      <c r="U2967" t="s">
        <v>930</v>
      </c>
      <c r="W2967">
        <v>400</v>
      </c>
      <c r="X2967">
        <v>450</v>
      </c>
      <c r="Y2967" t="s">
        <v>789</v>
      </c>
      <c r="Z2967" t="s">
        <v>792</v>
      </c>
      <c r="AB2967" t="s">
        <v>793</v>
      </c>
      <c r="AD2967" t="s">
        <v>794</v>
      </c>
      <c r="AE2967" t="s">
        <v>795</v>
      </c>
      <c r="AF2967" t="s">
        <v>1029</v>
      </c>
      <c r="AG2967" t="s">
        <v>797</v>
      </c>
      <c r="AH2967">
        <v>1317040</v>
      </c>
      <c r="AI2967">
        <v>1317040</v>
      </c>
      <c r="AJ2967">
        <v>0.2</v>
      </c>
    </row>
    <row r="2968" spans="14:36" x14ac:dyDescent="0.3">
      <c r="N2968" t="str">
        <f t="shared" si="178"/>
        <v>Wolverhampton32DFGDFG Related SchemesAdaptations, including statutory DFG grants</v>
      </c>
      <c r="O2968" t="s">
        <v>363</v>
      </c>
      <c r="P2968" t="s">
        <v>1172</v>
      </c>
      <c r="Q2968">
        <v>32</v>
      </c>
      <c r="R2968" t="s">
        <v>840</v>
      </c>
      <c r="S2968" t="s">
        <v>840</v>
      </c>
      <c r="T2968" t="s">
        <v>834</v>
      </c>
      <c r="U2968" t="s">
        <v>835</v>
      </c>
      <c r="W2968">
        <v>390</v>
      </c>
      <c r="X2968">
        <v>450</v>
      </c>
      <c r="Y2968" t="s">
        <v>836</v>
      </c>
      <c r="Z2968" t="s">
        <v>792</v>
      </c>
      <c r="AB2968" t="s">
        <v>793</v>
      </c>
      <c r="AD2968" t="s">
        <v>794</v>
      </c>
      <c r="AE2968" t="s">
        <v>795</v>
      </c>
      <c r="AF2968" t="s">
        <v>840</v>
      </c>
      <c r="AG2968" t="s">
        <v>797</v>
      </c>
      <c r="AH2968">
        <v>3571301</v>
      </c>
      <c r="AI2968">
        <v>3571301</v>
      </c>
      <c r="AJ2968">
        <v>1</v>
      </c>
    </row>
    <row r="2969" spans="14:36" x14ac:dyDescent="0.3">
      <c r="N2969" t="str">
        <f t="shared" si="178"/>
        <v>Wolverhampton33Equipment loan Service fixed costAssistive Technologies and EquipmentCommunity based equipment</v>
      </c>
      <c r="O2969" t="s">
        <v>363</v>
      </c>
      <c r="P2969" t="s">
        <v>1172</v>
      </c>
      <c r="Q2969">
        <v>33</v>
      </c>
      <c r="R2969" t="s">
        <v>7298</v>
      </c>
      <c r="S2969" t="s">
        <v>6435</v>
      </c>
      <c r="T2969" t="s">
        <v>800</v>
      </c>
      <c r="U2969" t="s">
        <v>903</v>
      </c>
      <c r="W2969">
        <v>2830</v>
      </c>
      <c r="X2969">
        <v>2830</v>
      </c>
      <c r="Y2969" t="s">
        <v>802</v>
      </c>
      <c r="Z2969" t="s">
        <v>823</v>
      </c>
      <c r="AB2969" t="s">
        <v>793</v>
      </c>
      <c r="AD2969" t="s">
        <v>794</v>
      </c>
      <c r="AE2969" t="s">
        <v>804</v>
      </c>
      <c r="AF2969" t="s">
        <v>1042</v>
      </c>
      <c r="AG2969" t="s">
        <v>797</v>
      </c>
      <c r="AH2969">
        <v>320141</v>
      </c>
      <c r="AI2969">
        <v>325904</v>
      </c>
      <c r="AJ2969">
        <v>0.2</v>
      </c>
    </row>
    <row r="2970" spans="14:36" x14ac:dyDescent="0.3">
      <c r="N2970" t="str">
        <f t="shared" si="178"/>
        <v>Wolverhampton34Equipment loan Service variable costAssistive Technologies and EquipmentCommunity based equipment</v>
      </c>
      <c r="O2970" t="s">
        <v>363</v>
      </c>
      <c r="P2970" t="s">
        <v>1172</v>
      </c>
      <c r="Q2970">
        <v>34</v>
      </c>
      <c r="R2970" t="s">
        <v>7301</v>
      </c>
      <c r="S2970" t="s">
        <v>6435</v>
      </c>
      <c r="T2970" t="s">
        <v>800</v>
      </c>
      <c r="U2970" t="s">
        <v>903</v>
      </c>
      <c r="W2970">
        <v>3670</v>
      </c>
      <c r="X2970">
        <v>3670</v>
      </c>
      <c r="Y2970" t="s">
        <v>802</v>
      </c>
      <c r="Z2970" t="s">
        <v>823</v>
      </c>
      <c r="AB2970" t="s">
        <v>793</v>
      </c>
      <c r="AD2970" t="s">
        <v>794</v>
      </c>
      <c r="AE2970" t="s">
        <v>804</v>
      </c>
      <c r="AF2970" t="s">
        <v>1042</v>
      </c>
      <c r="AG2970" t="s">
        <v>797</v>
      </c>
      <c r="AH2970">
        <v>415202</v>
      </c>
      <c r="AI2970">
        <v>422676</v>
      </c>
      <c r="AJ2970">
        <v>0.25</v>
      </c>
    </row>
    <row r="2971" spans="14:36" x14ac:dyDescent="0.3">
      <c r="N2971" t="str">
        <f t="shared" si="178"/>
        <v>Wolverhampton36Adult Community CareAssistive Technologies and EquipmentAssistive technologies including telecare</v>
      </c>
      <c r="O2971" t="s">
        <v>363</v>
      </c>
      <c r="P2971" t="s">
        <v>1172</v>
      </c>
      <c r="Q2971">
        <v>36</v>
      </c>
      <c r="R2971" t="s">
        <v>7303</v>
      </c>
      <c r="S2971" t="s">
        <v>2108</v>
      </c>
      <c r="T2971" t="s">
        <v>800</v>
      </c>
      <c r="U2971" t="s">
        <v>850</v>
      </c>
      <c r="W2971">
        <v>900</v>
      </c>
      <c r="X2971">
        <v>900</v>
      </c>
      <c r="Y2971" t="s">
        <v>802</v>
      </c>
      <c r="Z2971" t="s">
        <v>792</v>
      </c>
      <c r="AB2971" t="s">
        <v>793</v>
      </c>
      <c r="AD2971" t="s">
        <v>794</v>
      </c>
      <c r="AE2971" t="s">
        <v>804</v>
      </c>
      <c r="AF2971" t="s">
        <v>1029</v>
      </c>
      <c r="AG2971" t="s">
        <v>797</v>
      </c>
      <c r="AH2971">
        <v>598850</v>
      </c>
      <c r="AI2971">
        <v>598850</v>
      </c>
      <c r="AJ2971">
        <v>0.1</v>
      </c>
    </row>
    <row r="2972" spans="14:36" x14ac:dyDescent="0.3">
      <c r="N2972" t="str">
        <f t="shared" si="178"/>
        <v>Wolverhampton39Step Down BedsBed based intermediate Care Services (Reablement, rehabilitation, wider short-term services supporting recovery)Bed-based intermediate care with reablement (to support discharge)</v>
      </c>
      <c r="O2972" t="s">
        <v>363</v>
      </c>
      <c r="P2972" t="s">
        <v>1172</v>
      </c>
      <c r="Q2972">
        <v>39</v>
      </c>
      <c r="R2972" t="s">
        <v>1075</v>
      </c>
      <c r="S2972" t="s">
        <v>1075</v>
      </c>
      <c r="T2972" t="s">
        <v>877</v>
      </c>
      <c r="U2972" t="s">
        <v>878</v>
      </c>
      <c r="W2972">
        <v>100</v>
      </c>
      <c r="X2972">
        <v>115</v>
      </c>
      <c r="Y2972" t="s">
        <v>879</v>
      </c>
      <c r="Z2972" t="s">
        <v>823</v>
      </c>
      <c r="AB2972" t="s">
        <v>824</v>
      </c>
      <c r="AD2972" t="s">
        <v>794</v>
      </c>
      <c r="AE2972" t="s">
        <v>804</v>
      </c>
      <c r="AF2972" t="s">
        <v>1042</v>
      </c>
      <c r="AG2972" t="s">
        <v>797</v>
      </c>
      <c r="AH2972">
        <v>1000000</v>
      </c>
      <c r="AI2972">
        <v>1018000</v>
      </c>
      <c r="AJ2972">
        <v>0.3</v>
      </c>
    </row>
    <row r="2973" spans="14:36" x14ac:dyDescent="0.3">
      <c r="N2973" t="str">
        <f t="shared" si="178"/>
        <v>Wolverhampton40Step Up/Down BlockBed based intermediate Care Services (Reablement, rehabilitation, wider short-term services supporting recovery)Bed-based intermediate care with reablement (to support discharge)</v>
      </c>
      <c r="O2973" t="s">
        <v>363</v>
      </c>
      <c r="P2973" t="s">
        <v>1172</v>
      </c>
      <c r="Q2973">
        <v>40</v>
      </c>
      <c r="R2973" t="s">
        <v>7308</v>
      </c>
      <c r="S2973" t="s">
        <v>7308</v>
      </c>
      <c r="T2973" t="s">
        <v>877</v>
      </c>
      <c r="U2973" t="s">
        <v>878</v>
      </c>
      <c r="W2973">
        <v>100</v>
      </c>
      <c r="X2973">
        <v>115</v>
      </c>
      <c r="Y2973" t="s">
        <v>879</v>
      </c>
      <c r="Z2973" t="s">
        <v>823</v>
      </c>
      <c r="AB2973" t="s">
        <v>824</v>
      </c>
      <c r="AD2973" t="s">
        <v>794</v>
      </c>
      <c r="AE2973" t="s">
        <v>804</v>
      </c>
      <c r="AF2973" t="s">
        <v>1042</v>
      </c>
      <c r="AG2973" t="s">
        <v>797</v>
      </c>
      <c r="AH2973">
        <v>1068900</v>
      </c>
      <c r="AI2973">
        <v>1088140</v>
      </c>
      <c r="AJ2973">
        <v>0.3</v>
      </c>
    </row>
    <row r="2974" spans="14:36" x14ac:dyDescent="0.3">
      <c r="N2974" t="str">
        <f t="shared" si="178"/>
        <v>Wolverhampton41Bradley Respite CentreBed based intermediate Care Services (Reablement, rehabilitation, wider short-term services supporting recovery)Bed-based intermediate care with reablement (to support discharge)</v>
      </c>
      <c r="O2974" t="s">
        <v>363</v>
      </c>
      <c r="P2974" t="s">
        <v>1172</v>
      </c>
      <c r="Q2974">
        <v>41</v>
      </c>
      <c r="R2974" t="s">
        <v>7311</v>
      </c>
      <c r="S2974" t="s">
        <v>7311</v>
      </c>
      <c r="T2974" t="s">
        <v>877</v>
      </c>
      <c r="U2974" t="s">
        <v>878</v>
      </c>
      <c r="W2974">
        <v>244</v>
      </c>
      <c r="X2974">
        <v>244</v>
      </c>
      <c r="Y2974" t="s">
        <v>879</v>
      </c>
      <c r="Z2974" t="s">
        <v>823</v>
      </c>
      <c r="AB2974" t="s">
        <v>824</v>
      </c>
      <c r="AD2974" t="s">
        <v>794</v>
      </c>
      <c r="AE2974" t="s">
        <v>795</v>
      </c>
      <c r="AF2974" t="s">
        <v>1029</v>
      </c>
      <c r="AG2974" t="s">
        <v>797</v>
      </c>
      <c r="AH2974">
        <v>1615000</v>
      </c>
      <c r="AI2974">
        <v>1615000</v>
      </c>
      <c r="AJ2974">
        <v>1</v>
      </c>
    </row>
    <row r="2975" spans="14:36" x14ac:dyDescent="0.3">
      <c r="N2975" t="str">
        <f t="shared" si="178"/>
        <v>Wolverhampton42Older People Care PurchasingResidential PlacementsCare home</v>
      </c>
      <c r="O2975" t="s">
        <v>363</v>
      </c>
      <c r="P2975" t="s">
        <v>1172</v>
      </c>
      <c r="Q2975">
        <v>42</v>
      </c>
      <c r="R2975" t="s">
        <v>7314</v>
      </c>
      <c r="S2975" t="s">
        <v>7314</v>
      </c>
      <c r="T2975" t="s">
        <v>806</v>
      </c>
      <c r="U2975" t="s">
        <v>807</v>
      </c>
      <c r="W2975">
        <v>222</v>
      </c>
      <c r="X2975">
        <v>222</v>
      </c>
      <c r="Y2975" t="s">
        <v>808</v>
      </c>
      <c r="Z2975" t="s">
        <v>792</v>
      </c>
      <c r="AB2975" t="s">
        <v>793</v>
      </c>
      <c r="AD2975" t="s">
        <v>794</v>
      </c>
      <c r="AE2975" t="s">
        <v>795</v>
      </c>
      <c r="AF2975" t="s">
        <v>796</v>
      </c>
      <c r="AG2975" t="s">
        <v>797</v>
      </c>
      <c r="AH2975">
        <v>8680000</v>
      </c>
      <c r="AI2975">
        <v>9482814</v>
      </c>
      <c r="AJ2975">
        <v>0.2</v>
      </c>
    </row>
    <row r="2976" spans="14:36" x14ac:dyDescent="0.3">
      <c r="N2976" t="str">
        <f t="shared" si="178"/>
        <v>Wolverhampton43Older People Care PurchasingResidential PlacementsCare home</v>
      </c>
      <c r="O2976" t="s">
        <v>363</v>
      </c>
      <c r="P2976" t="s">
        <v>1172</v>
      </c>
      <c r="Q2976">
        <v>43</v>
      </c>
      <c r="R2976" t="s">
        <v>7314</v>
      </c>
      <c r="S2976" t="s">
        <v>7314</v>
      </c>
      <c r="T2976" t="s">
        <v>806</v>
      </c>
      <c r="U2976" t="s">
        <v>807</v>
      </c>
      <c r="W2976">
        <v>376</v>
      </c>
      <c r="X2976">
        <v>376</v>
      </c>
      <c r="Y2976" t="s">
        <v>808</v>
      </c>
      <c r="Z2976" t="s">
        <v>792</v>
      </c>
      <c r="AB2976" t="s">
        <v>793</v>
      </c>
      <c r="AD2976" t="s">
        <v>794</v>
      </c>
      <c r="AE2976" t="s">
        <v>795</v>
      </c>
      <c r="AF2976" t="s">
        <v>845</v>
      </c>
      <c r="AG2976" t="s">
        <v>797</v>
      </c>
      <c r="AH2976">
        <v>14761161</v>
      </c>
      <c r="AI2976">
        <v>14761161</v>
      </c>
      <c r="AJ2976">
        <v>0.25</v>
      </c>
    </row>
    <row r="2977" spans="14:36" x14ac:dyDescent="0.3">
      <c r="N2977" t="str">
        <f t="shared" si="178"/>
        <v>Wolverhampton44Older People Care PurchasingResidential PlacementsCare home</v>
      </c>
      <c r="O2977" t="s">
        <v>363</v>
      </c>
      <c r="P2977" t="s">
        <v>1172</v>
      </c>
      <c r="Q2977">
        <v>44</v>
      </c>
      <c r="R2977" t="s">
        <v>7314</v>
      </c>
      <c r="S2977" t="s">
        <v>7314</v>
      </c>
      <c r="T2977" t="s">
        <v>806</v>
      </c>
      <c r="U2977" t="s">
        <v>807</v>
      </c>
      <c r="W2977">
        <v>88</v>
      </c>
      <c r="X2977">
        <v>88</v>
      </c>
      <c r="Y2977" t="s">
        <v>808</v>
      </c>
      <c r="Z2977" t="s">
        <v>792</v>
      </c>
      <c r="AB2977" t="s">
        <v>793</v>
      </c>
      <c r="AD2977" t="s">
        <v>794</v>
      </c>
      <c r="AE2977" t="s">
        <v>804</v>
      </c>
      <c r="AF2977" t="s">
        <v>1029</v>
      </c>
      <c r="AG2977" t="s">
        <v>797</v>
      </c>
      <c r="AH2977">
        <v>3436839</v>
      </c>
      <c r="AI2977">
        <v>3436839</v>
      </c>
      <c r="AJ2977">
        <v>0.1</v>
      </c>
    </row>
    <row r="2978" spans="14:36" x14ac:dyDescent="0.3">
      <c r="N2978" t="str">
        <f t="shared" si="178"/>
        <v>Wolverhampton48Pathway 2 seasonal spot bedsBed based intermediate Care Services (Reablement, rehabilitation, wider short-term services supporting recovery)Bed-based intermediate care with rehabilitation (to support discharge)</v>
      </c>
      <c r="O2978" t="s">
        <v>363</v>
      </c>
      <c r="P2978" t="s">
        <v>1172</v>
      </c>
      <c r="Q2978">
        <v>48</v>
      </c>
      <c r="R2978" t="s">
        <v>7320</v>
      </c>
      <c r="S2978" t="s">
        <v>7580</v>
      </c>
      <c r="T2978" t="s">
        <v>877</v>
      </c>
      <c r="U2978" t="s">
        <v>968</v>
      </c>
      <c r="W2978">
        <v>80</v>
      </c>
      <c r="X2978">
        <v>80</v>
      </c>
      <c r="Y2978" t="s">
        <v>879</v>
      </c>
      <c r="Z2978" t="s">
        <v>823</v>
      </c>
      <c r="AB2978" t="s">
        <v>793</v>
      </c>
      <c r="AD2978" t="s">
        <v>794</v>
      </c>
      <c r="AE2978" t="s">
        <v>804</v>
      </c>
      <c r="AF2978" t="s">
        <v>864</v>
      </c>
      <c r="AG2978" t="s">
        <v>861</v>
      </c>
      <c r="AH2978">
        <v>400000</v>
      </c>
      <c r="AI2978">
        <v>800000</v>
      </c>
      <c r="AJ2978">
        <v>0.05</v>
      </c>
    </row>
    <row r="2979" spans="14:36" x14ac:dyDescent="0.3">
      <c r="N2979" t="str">
        <f t="shared" si="178"/>
        <v>Worcestershire1General Rehab BedsBed based intermediate Care Services (Reablement, rehabilitation, wider short-term services supporting recovery)Bed-based intermediate care with reablement (to support discharge)</v>
      </c>
      <c r="O2979" t="s">
        <v>365</v>
      </c>
      <c r="P2979" t="s">
        <v>1172</v>
      </c>
      <c r="Q2979">
        <v>1</v>
      </c>
      <c r="R2979" t="s">
        <v>3617</v>
      </c>
      <c r="S2979" t="s">
        <v>7581</v>
      </c>
      <c r="T2979" t="s">
        <v>877</v>
      </c>
      <c r="U2979" t="s">
        <v>878</v>
      </c>
      <c r="W2979">
        <v>1704</v>
      </c>
      <c r="X2979">
        <v>1760</v>
      </c>
      <c r="Y2979" t="s">
        <v>879</v>
      </c>
      <c r="Z2979" t="s">
        <v>823</v>
      </c>
      <c r="AB2979" t="s">
        <v>824</v>
      </c>
      <c r="AD2979" t="s">
        <v>794</v>
      </c>
      <c r="AE2979" t="s">
        <v>832</v>
      </c>
      <c r="AF2979" t="s">
        <v>796</v>
      </c>
      <c r="AG2979" t="s">
        <v>797</v>
      </c>
      <c r="AH2979">
        <v>13216339</v>
      </c>
      <c r="AI2979">
        <v>13652479</v>
      </c>
      <c r="AJ2979">
        <v>0.58309999999999995</v>
      </c>
    </row>
    <row r="2980" spans="14:36" x14ac:dyDescent="0.3">
      <c r="N2980" t="str">
        <f t="shared" si="178"/>
        <v>Worcestershire2Intermediate  BedsBed based intermediate Care Services (Reablement, rehabilitation, wider short-term services supporting recovery)Bed-based intermediate care with reablement (to support discharge)</v>
      </c>
      <c r="O2980" t="s">
        <v>365</v>
      </c>
      <c r="P2980" t="s">
        <v>1172</v>
      </c>
      <c r="Q2980">
        <v>2</v>
      </c>
      <c r="R2980" t="s">
        <v>7324</v>
      </c>
      <c r="S2980" t="s">
        <v>7581</v>
      </c>
      <c r="T2980" t="s">
        <v>877</v>
      </c>
      <c r="U2980" t="s">
        <v>878</v>
      </c>
      <c r="W2980">
        <v>246</v>
      </c>
      <c r="X2980">
        <v>254</v>
      </c>
      <c r="Y2980" t="s">
        <v>879</v>
      </c>
      <c r="Z2980" t="s">
        <v>823</v>
      </c>
      <c r="AB2980" t="s">
        <v>824</v>
      </c>
      <c r="AD2980" t="s">
        <v>794</v>
      </c>
      <c r="AE2980" t="s">
        <v>832</v>
      </c>
      <c r="AF2980" t="s">
        <v>796</v>
      </c>
      <c r="AG2980" t="s">
        <v>797</v>
      </c>
      <c r="AH2980">
        <v>1910814</v>
      </c>
      <c r="AI2980">
        <v>1973871</v>
      </c>
      <c r="AJ2980">
        <v>1</v>
      </c>
    </row>
    <row r="2981" spans="14:36" x14ac:dyDescent="0.3">
      <c r="N2981" t="str">
        <f t="shared" si="178"/>
        <v>Worcestershire5Worcestershire IP Unit - Pathway 2Bed based intermediate Care Services (Reablement, rehabilitation, wider short-term services supporting recovery)Bed-based intermediate care with rehabilitation (to support discharge)</v>
      </c>
      <c r="O2981" t="s">
        <v>365</v>
      </c>
      <c r="P2981" t="s">
        <v>1172</v>
      </c>
      <c r="Q2981">
        <v>5</v>
      </c>
      <c r="R2981" t="s">
        <v>7327</v>
      </c>
      <c r="S2981" t="s">
        <v>7582</v>
      </c>
      <c r="T2981" t="s">
        <v>877</v>
      </c>
      <c r="U2981" t="s">
        <v>968</v>
      </c>
      <c r="W2981">
        <v>456</v>
      </c>
      <c r="X2981">
        <v>471</v>
      </c>
      <c r="Y2981" t="s">
        <v>879</v>
      </c>
      <c r="Z2981" t="s">
        <v>823</v>
      </c>
      <c r="AB2981" t="s">
        <v>824</v>
      </c>
      <c r="AD2981" t="s">
        <v>794</v>
      </c>
      <c r="AE2981" t="s">
        <v>832</v>
      </c>
      <c r="AF2981" t="s">
        <v>796</v>
      </c>
      <c r="AG2981" t="s">
        <v>797</v>
      </c>
      <c r="AH2981">
        <v>5331135</v>
      </c>
      <c r="AI2981">
        <v>5507063</v>
      </c>
      <c r="AJ2981">
        <v>0.99780000000000002</v>
      </c>
    </row>
    <row r="2982" spans="14:36" x14ac:dyDescent="0.3">
      <c r="N2982" t="str">
        <f t="shared" si="178"/>
        <v xml:space="preserve">Worcestershire6Pathway 1 (UPI)Home-based intermediate care servicesJoint reablement and rehabilitation service (to support discharge) </v>
      </c>
      <c r="O2982" t="s">
        <v>365</v>
      </c>
      <c r="P2982" t="s">
        <v>1172</v>
      </c>
      <c r="Q2982">
        <v>6</v>
      </c>
      <c r="R2982" t="s">
        <v>7329</v>
      </c>
      <c r="S2982" t="s">
        <v>7583</v>
      </c>
      <c r="T2982" t="s">
        <v>787</v>
      </c>
      <c r="U2982" t="s">
        <v>1551</v>
      </c>
      <c r="W2982">
        <v>5541</v>
      </c>
      <c r="X2982">
        <v>5541</v>
      </c>
      <c r="Y2982" t="s">
        <v>789</v>
      </c>
      <c r="Z2982" t="s">
        <v>792</v>
      </c>
      <c r="AB2982" t="s">
        <v>793</v>
      </c>
      <c r="AD2982" t="s">
        <v>794</v>
      </c>
      <c r="AE2982" t="s">
        <v>795</v>
      </c>
      <c r="AF2982" t="s">
        <v>796</v>
      </c>
      <c r="AG2982" t="s">
        <v>797</v>
      </c>
      <c r="AH2982">
        <v>7162446</v>
      </c>
      <c r="AI2982">
        <v>8551339</v>
      </c>
      <c r="AJ2982">
        <v>0.87</v>
      </c>
    </row>
    <row r="2983" spans="14:36" x14ac:dyDescent="0.3">
      <c r="N2983" t="str">
        <f t="shared" si="178"/>
        <v xml:space="preserve">Worcestershire7Pathway 1 (UPI)Home-based intermediate care servicesJoint reablement and rehabilitation service (to support discharge) </v>
      </c>
      <c r="O2983" t="s">
        <v>365</v>
      </c>
      <c r="P2983" t="s">
        <v>1172</v>
      </c>
      <c r="Q2983">
        <v>7</v>
      </c>
      <c r="R2983" t="s">
        <v>7329</v>
      </c>
      <c r="S2983" t="s">
        <v>7583</v>
      </c>
      <c r="T2983" t="s">
        <v>787</v>
      </c>
      <c r="U2983" t="s">
        <v>1551</v>
      </c>
      <c r="W2983">
        <v>803</v>
      </c>
      <c r="X2983">
        <v>803</v>
      </c>
      <c r="Y2983" t="s">
        <v>789</v>
      </c>
      <c r="Z2983" t="s">
        <v>792</v>
      </c>
      <c r="AB2983" t="s">
        <v>793</v>
      </c>
      <c r="AD2983" t="s">
        <v>794</v>
      </c>
      <c r="AE2983" t="s">
        <v>795</v>
      </c>
      <c r="AF2983" t="s">
        <v>845</v>
      </c>
      <c r="AG2983" t="s">
        <v>797</v>
      </c>
      <c r="AH2983">
        <v>1038224</v>
      </c>
      <c r="AI2983">
        <v>1038224</v>
      </c>
      <c r="AJ2983">
        <v>0.13</v>
      </c>
    </row>
    <row r="2984" spans="14:36" x14ac:dyDescent="0.3">
      <c r="N2984" t="str">
        <f t="shared" si="178"/>
        <v>Worcestershire10Pathway 1+Home Care or Domiciliary CareDomiciliary care to support hospital discharge (Discharge to Assess pathway 1)</v>
      </c>
      <c r="O2984" t="s">
        <v>365</v>
      </c>
      <c r="P2984" t="s">
        <v>1172</v>
      </c>
      <c r="Q2984">
        <v>10</v>
      </c>
      <c r="R2984" t="s">
        <v>7334</v>
      </c>
      <c r="S2984" t="s">
        <v>7584</v>
      </c>
      <c r="T2984" t="s">
        <v>842</v>
      </c>
      <c r="U2984" t="s">
        <v>856</v>
      </c>
      <c r="W2984">
        <v>35040</v>
      </c>
      <c r="X2984">
        <v>52560</v>
      </c>
      <c r="Y2984" t="s">
        <v>844</v>
      </c>
      <c r="Z2984" t="s">
        <v>792</v>
      </c>
      <c r="AB2984" t="s">
        <v>793</v>
      </c>
      <c r="AD2984" t="s">
        <v>794</v>
      </c>
      <c r="AE2984" t="s">
        <v>795</v>
      </c>
      <c r="AF2984" t="s">
        <v>796</v>
      </c>
      <c r="AG2984" t="s">
        <v>797</v>
      </c>
      <c r="AH2984">
        <v>279359</v>
      </c>
      <c r="AI2984">
        <v>463663</v>
      </c>
      <c r="AJ2984">
        <v>1</v>
      </c>
    </row>
    <row r="2985" spans="14:36" x14ac:dyDescent="0.3">
      <c r="N2985" t="str">
        <f t="shared" si="178"/>
        <v>Worcestershire11Pathway 3 (SPOT DTA)Residential PlacementsShort term residential care (without rehabilitation or reablement input)</v>
      </c>
      <c r="O2985" t="s">
        <v>365</v>
      </c>
      <c r="P2985" t="s">
        <v>1172</v>
      </c>
      <c r="Q2985">
        <v>11</v>
      </c>
      <c r="R2985" t="s">
        <v>7337</v>
      </c>
      <c r="S2985" t="s">
        <v>7585</v>
      </c>
      <c r="T2985" t="s">
        <v>806</v>
      </c>
      <c r="U2985" t="s">
        <v>955</v>
      </c>
      <c r="W2985">
        <v>53</v>
      </c>
      <c r="X2985">
        <v>53</v>
      </c>
      <c r="Y2985" t="s">
        <v>808</v>
      </c>
      <c r="Z2985" t="s">
        <v>792</v>
      </c>
      <c r="AB2985" t="s">
        <v>793</v>
      </c>
      <c r="AD2985" t="s">
        <v>794</v>
      </c>
      <c r="AE2985" t="s">
        <v>804</v>
      </c>
      <c r="AF2985" t="s">
        <v>796</v>
      </c>
      <c r="AG2985" t="s">
        <v>797</v>
      </c>
      <c r="AH2985">
        <v>229571</v>
      </c>
      <c r="AI2985">
        <v>229571</v>
      </c>
      <c r="AJ2985">
        <v>0.34</v>
      </c>
    </row>
    <row r="2986" spans="14:36" x14ac:dyDescent="0.3">
      <c r="N2986" t="str">
        <f t="shared" si="178"/>
        <v>Worcestershire12Pathway 3 (SPOT DTA)Residential PlacementsShort term residential care (without rehabilitation or reablement input)</v>
      </c>
      <c r="O2986" t="s">
        <v>365</v>
      </c>
      <c r="P2986" t="s">
        <v>1172</v>
      </c>
      <c r="Q2986">
        <v>12</v>
      </c>
      <c r="R2986" t="s">
        <v>7337</v>
      </c>
      <c r="S2986" t="s">
        <v>7585</v>
      </c>
      <c r="T2986" t="s">
        <v>806</v>
      </c>
      <c r="U2986" t="s">
        <v>955</v>
      </c>
      <c r="W2986">
        <v>103</v>
      </c>
      <c r="X2986">
        <v>103</v>
      </c>
      <c r="Y2986" t="s">
        <v>808</v>
      </c>
      <c r="Z2986" t="s">
        <v>792</v>
      </c>
      <c r="AB2986" t="s">
        <v>793</v>
      </c>
      <c r="AD2986" t="s">
        <v>794</v>
      </c>
      <c r="AE2986" t="s">
        <v>804</v>
      </c>
      <c r="AF2986" t="s">
        <v>845</v>
      </c>
      <c r="AG2986" t="s">
        <v>797</v>
      </c>
      <c r="AH2986">
        <v>440218</v>
      </c>
      <c r="AI2986">
        <v>440218</v>
      </c>
      <c r="AJ2986">
        <v>0.66</v>
      </c>
    </row>
    <row r="2987" spans="14:36" x14ac:dyDescent="0.3">
      <c r="N2987" t="str">
        <f t="shared" si="178"/>
        <v>Worcestershire15CarersCarers ServicesRespite services</v>
      </c>
      <c r="O2987" t="s">
        <v>365</v>
      </c>
      <c r="P2987" t="s">
        <v>1172</v>
      </c>
      <c r="Q2987">
        <v>15</v>
      </c>
      <c r="R2987" t="s">
        <v>1250</v>
      </c>
      <c r="S2987" t="s">
        <v>7586</v>
      </c>
      <c r="T2987" t="s">
        <v>811</v>
      </c>
      <c r="U2987" t="s">
        <v>830</v>
      </c>
      <c r="W2987">
        <v>244</v>
      </c>
      <c r="X2987">
        <v>244</v>
      </c>
      <c r="Y2987" t="s">
        <v>813</v>
      </c>
      <c r="Z2987" t="s">
        <v>792</v>
      </c>
      <c r="AB2987" t="s">
        <v>793</v>
      </c>
      <c r="AD2987" t="s">
        <v>794</v>
      </c>
      <c r="AE2987" t="s">
        <v>795</v>
      </c>
      <c r="AF2987" t="s">
        <v>796</v>
      </c>
      <c r="AG2987" t="s">
        <v>797</v>
      </c>
      <c r="AH2987">
        <v>1158022</v>
      </c>
      <c r="AI2987">
        <v>1158022</v>
      </c>
      <c r="AJ2987">
        <v>0.14000000000000001</v>
      </c>
    </row>
    <row r="2988" spans="14:36" x14ac:dyDescent="0.3">
      <c r="N2988" t="str">
        <f t="shared" si="178"/>
        <v>Worcestershire16CarersCarers ServicesRespite services</v>
      </c>
      <c r="O2988" t="s">
        <v>365</v>
      </c>
      <c r="P2988" t="s">
        <v>1172</v>
      </c>
      <c r="Q2988">
        <v>16</v>
      </c>
      <c r="R2988" t="s">
        <v>1250</v>
      </c>
      <c r="S2988" t="s">
        <v>7586</v>
      </c>
      <c r="T2988" t="s">
        <v>811</v>
      </c>
      <c r="U2988" t="s">
        <v>830</v>
      </c>
      <c r="W2988">
        <v>21</v>
      </c>
      <c r="X2988">
        <v>21</v>
      </c>
      <c r="Y2988" t="s">
        <v>813</v>
      </c>
      <c r="Z2988" t="s">
        <v>792</v>
      </c>
      <c r="AB2988" t="s">
        <v>793</v>
      </c>
      <c r="AD2988" t="s">
        <v>794</v>
      </c>
      <c r="AE2988" t="s">
        <v>795</v>
      </c>
      <c r="AF2988" t="s">
        <v>845</v>
      </c>
      <c r="AG2988" t="s">
        <v>797</v>
      </c>
      <c r="AH2988">
        <v>101978</v>
      </c>
      <c r="AI2988">
        <v>101978</v>
      </c>
      <c r="AJ2988">
        <v>0.01</v>
      </c>
    </row>
    <row r="2989" spans="14:36" x14ac:dyDescent="0.3">
      <c r="N2989" t="str">
        <f t="shared" si="178"/>
        <v>Worcestershire17Implementation of the Care Act- Additional demand for Home CareHome Care or Domiciliary CareOther</v>
      </c>
      <c r="O2989" t="s">
        <v>365</v>
      </c>
      <c r="P2989" t="s">
        <v>1172</v>
      </c>
      <c r="Q2989">
        <v>17</v>
      </c>
      <c r="R2989" t="s">
        <v>7346</v>
      </c>
      <c r="S2989" t="s">
        <v>7587</v>
      </c>
      <c r="T2989" t="s">
        <v>842</v>
      </c>
      <c r="U2989" t="s">
        <v>812</v>
      </c>
      <c r="V2989" t="s">
        <v>7588</v>
      </c>
      <c r="W2989">
        <v>102158</v>
      </c>
      <c r="X2989">
        <v>105222</v>
      </c>
      <c r="Y2989" t="s">
        <v>844</v>
      </c>
      <c r="Z2989" t="s">
        <v>792</v>
      </c>
      <c r="AB2989" t="s">
        <v>793</v>
      </c>
      <c r="AD2989" t="s">
        <v>794</v>
      </c>
      <c r="AE2989" t="s">
        <v>804</v>
      </c>
      <c r="AF2989" t="s">
        <v>796</v>
      </c>
      <c r="AG2989" t="s">
        <v>797</v>
      </c>
      <c r="AH2989">
        <v>2278115</v>
      </c>
      <c r="AI2989">
        <v>2346458</v>
      </c>
      <c r="AJ2989">
        <v>0.08</v>
      </c>
    </row>
    <row r="2990" spans="14:36" x14ac:dyDescent="0.3">
      <c r="N2990" t="str">
        <f t="shared" si="178"/>
        <v>Worcestershire18Implementation of the Care Act- Additional demand for Home CareHome Care or Domiciliary CareOther</v>
      </c>
      <c r="O2990" t="s">
        <v>365</v>
      </c>
      <c r="P2990" t="s">
        <v>1172</v>
      </c>
      <c r="Q2990">
        <v>18</v>
      </c>
      <c r="R2990" t="s">
        <v>7346</v>
      </c>
      <c r="S2990" t="s">
        <v>7587</v>
      </c>
      <c r="T2990" t="s">
        <v>842</v>
      </c>
      <c r="U2990" t="s">
        <v>812</v>
      </c>
      <c r="V2990" t="s">
        <v>7588</v>
      </c>
      <c r="W2990">
        <v>13405</v>
      </c>
      <c r="X2990">
        <v>13405</v>
      </c>
      <c r="Y2990" t="s">
        <v>844</v>
      </c>
      <c r="Z2990" t="s">
        <v>792</v>
      </c>
      <c r="AB2990" t="s">
        <v>793</v>
      </c>
      <c r="AD2990" t="s">
        <v>794</v>
      </c>
      <c r="AE2990" t="s">
        <v>804</v>
      </c>
      <c r="AF2990" t="s">
        <v>845</v>
      </c>
      <c r="AG2990" t="s">
        <v>797</v>
      </c>
      <c r="AH2990">
        <v>298942</v>
      </c>
      <c r="AI2990">
        <v>298942</v>
      </c>
      <c r="AJ2990">
        <v>0.01</v>
      </c>
    </row>
    <row r="2991" spans="14:36" x14ac:dyDescent="0.3">
      <c r="N2991" t="str">
        <f t="shared" si="178"/>
        <v>Worcestershire19Complex CasesResidential PlacementsOther</v>
      </c>
      <c r="O2991" t="s">
        <v>365</v>
      </c>
      <c r="P2991" t="s">
        <v>1172</v>
      </c>
      <c r="Q2991">
        <v>19</v>
      </c>
      <c r="R2991" t="s">
        <v>7351</v>
      </c>
      <c r="S2991" t="s">
        <v>7589</v>
      </c>
      <c r="T2991" t="s">
        <v>806</v>
      </c>
      <c r="U2991" t="s">
        <v>812</v>
      </c>
      <c r="V2991" t="s">
        <v>7590</v>
      </c>
      <c r="W2991">
        <v>15</v>
      </c>
      <c r="X2991">
        <v>15</v>
      </c>
      <c r="Y2991" t="s">
        <v>808</v>
      </c>
      <c r="Z2991" t="s">
        <v>792</v>
      </c>
      <c r="AB2991" t="s">
        <v>793</v>
      </c>
      <c r="AD2991" t="s">
        <v>794</v>
      </c>
      <c r="AE2991" t="s">
        <v>804</v>
      </c>
      <c r="AF2991" t="s">
        <v>796</v>
      </c>
      <c r="AG2991" t="s">
        <v>797</v>
      </c>
      <c r="AH2991">
        <v>803500</v>
      </c>
      <c r="AI2991">
        <v>803500</v>
      </c>
      <c r="AJ2991">
        <v>0.03</v>
      </c>
    </row>
    <row r="2992" spans="14:36" x14ac:dyDescent="0.3">
      <c r="N2992" t="str">
        <f t="shared" si="178"/>
        <v>Worcestershire20WCESAssistive Technologies and EquipmentCommunity based equipment</v>
      </c>
      <c r="O2992" t="s">
        <v>365</v>
      </c>
      <c r="P2992" t="s">
        <v>1172</v>
      </c>
      <c r="Q2992">
        <v>20</v>
      </c>
      <c r="R2992" t="s">
        <v>7354</v>
      </c>
      <c r="S2992" t="s">
        <v>7591</v>
      </c>
      <c r="T2992" t="s">
        <v>800</v>
      </c>
      <c r="U2992" t="s">
        <v>903</v>
      </c>
      <c r="W2992">
        <v>16170</v>
      </c>
      <c r="X2992">
        <v>16170</v>
      </c>
      <c r="Y2992" t="s">
        <v>802</v>
      </c>
      <c r="Z2992" t="s">
        <v>792</v>
      </c>
      <c r="AB2992" t="s">
        <v>793</v>
      </c>
      <c r="AD2992" t="s">
        <v>794</v>
      </c>
      <c r="AE2992" t="s">
        <v>832</v>
      </c>
      <c r="AF2992" t="s">
        <v>796</v>
      </c>
      <c r="AG2992" t="s">
        <v>797</v>
      </c>
      <c r="AH2992">
        <v>1762000</v>
      </c>
      <c r="AI2992">
        <v>1762000</v>
      </c>
      <c r="AJ2992">
        <v>0.46</v>
      </c>
    </row>
    <row r="2993" spans="14:36" x14ac:dyDescent="0.3">
      <c r="N2993" t="str">
        <f t="shared" si="178"/>
        <v>Worcestershire21Disabled Facilities GrantDFG Related SchemesAdaptations, including statutory DFG grants</v>
      </c>
      <c r="O2993" t="s">
        <v>365</v>
      </c>
      <c r="P2993" t="s">
        <v>1172</v>
      </c>
      <c r="Q2993">
        <v>21</v>
      </c>
      <c r="R2993" t="s">
        <v>891</v>
      </c>
      <c r="S2993" t="s">
        <v>7592</v>
      </c>
      <c r="T2993" t="s">
        <v>834</v>
      </c>
      <c r="U2993" t="s">
        <v>835</v>
      </c>
      <c r="W2993">
        <v>570</v>
      </c>
      <c r="X2993">
        <v>570</v>
      </c>
      <c r="Y2993" t="s">
        <v>836</v>
      </c>
      <c r="Z2993" t="s">
        <v>812</v>
      </c>
      <c r="AA2993" t="s">
        <v>7593</v>
      </c>
      <c r="AB2993" t="s">
        <v>793</v>
      </c>
      <c r="AD2993" t="s">
        <v>794</v>
      </c>
      <c r="AE2993" t="s">
        <v>795</v>
      </c>
      <c r="AF2993" t="s">
        <v>840</v>
      </c>
      <c r="AG2993" t="s">
        <v>797</v>
      </c>
      <c r="AH2993">
        <v>5663577</v>
      </c>
      <c r="AI2993">
        <v>5813577</v>
      </c>
      <c r="AJ2993">
        <v>0.91887827474208561</v>
      </c>
    </row>
    <row r="2994" spans="14:36" x14ac:dyDescent="0.3">
      <c r="N2994" t="str">
        <f t="shared" si="178"/>
        <v>Worcestershire22Disabled Facilities GrantDFG Related SchemesDiscretionary use of DFG</v>
      </c>
      <c r="O2994" t="s">
        <v>365</v>
      </c>
      <c r="P2994" t="s">
        <v>1172</v>
      </c>
      <c r="Q2994">
        <v>22</v>
      </c>
      <c r="R2994" t="s">
        <v>891</v>
      </c>
      <c r="S2994" t="s">
        <v>7592</v>
      </c>
      <c r="T2994" t="s">
        <v>834</v>
      </c>
      <c r="U2994" t="s">
        <v>1293</v>
      </c>
      <c r="W2994">
        <v>500</v>
      </c>
      <c r="X2994">
        <v>430</v>
      </c>
      <c r="Y2994" t="s">
        <v>836</v>
      </c>
      <c r="Z2994" t="s">
        <v>812</v>
      </c>
      <c r="AA2994" t="s">
        <v>7593</v>
      </c>
      <c r="AB2994" t="s">
        <v>793</v>
      </c>
      <c r="AD2994" t="s">
        <v>794</v>
      </c>
      <c r="AE2994" t="s">
        <v>795</v>
      </c>
      <c r="AF2994" t="s">
        <v>840</v>
      </c>
      <c r="AG2994" t="s">
        <v>797</v>
      </c>
      <c r="AH2994">
        <v>500000</v>
      </c>
      <c r="AI2994">
        <v>350000</v>
      </c>
      <c r="AJ2994">
        <v>8.1121725257914362E-2</v>
      </c>
    </row>
    <row r="2995" spans="14:36" x14ac:dyDescent="0.3">
      <c r="N2995" t="str">
        <f t="shared" si="178"/>
        <v>Worcestershire24Investment in Care Homes Residential PlacementsCare home</v>
      </c>
      <c r="O2995" t="s">
        <v>365</v>
      </c>
      <c r="P2995" t="s">
        <v>1172</v>
      </c>
      <c r="Q2995">
        <v>24</v>
      </c>
      <c r="R2995" t="s">
        <v>7360</v>
      </c>
      <c r="S2995" t="s">
        <v>7594</v>
      </c>
      <c r="T2995" t="s">
        <v>806</v>
      </c>
      <c r="U2995" t="s">
        <v>807</v>
      </c>
      <c r="W2995">
        <v>62</v>
      </c>
      <c r="X2995">
        <v>62</v>
      </c>
      <c r="Y2995" t="s">
        <v>808</v>
      </c>
      <c r="Z2995" t="s">
        <v>792</v>
      </c>
      <c r="AB2995" t="s">
        <v>793</v>
      </c>
      <c r="AD2995" t="s">
        <v>794</v>
      </c>
      <c r="AE2995" t="s">
        <v>804</v>
      </c>
      <c r="AF2995" t="s">
        <v>796</v>
      </c>
      <c r="AG2995" t="s">
        <v>797</v>
      </c>
      <c r="AH2995">
        <v>2500000</v>
      </c>
      <c r="AI2995">
        <v>2500000</v>
      </c>
      <c r="AJ2995">
        <v>0.09</v>
      </c>
    </row>
    <row r="2996" spans="14:36" x14ac:dyDescent="0.3">
      <c r="N2996" t="str">
        <f t="shared" si="178"/>
        <v>Worcestershire29Pathway 1 (UPI)Home Care or Domiciliary CareDomiciliary care packages</v>
      </c>
      <c r="O2996" t="s">
        <v>365</v>
      </c>
      <c r="P2996" t="s">
        <v>1172</v>
      </c>
      <c r="Q2996">
        <v>29</v>
      </c>
      <c r="R2996" t="s">
        <v>7329</v>
      </c>
      <c r="S2996" t="s">
        <v>7583</v>
      </c>
      <c r="T2996" t="s">
        <v>842</v>
      </c>
      <c r="U2996" t="s">
        <v>843</v>
      </c>
      <c r="W2996">
        <v>6836</v>
      </c>
      <c r="X2996">
        <v>11348</v>
      </c>
      <c r="Y2996" t="s">
        <v>844</v>
      </c>
      <c r="Z2996" t="s">
        <v>792</v>
      </c>
      <c r="AB2996" t="s">
        <v>793</v>
      </c>
      <c r="AD2996" t="s">
        <v>794</v>
      </c>
      <c r="AE2996" t="s">
        <v>795</v>
      </c>
      <c r="AF2996" t="s">
        <v>864</v>
      </c>
      <c r="AG2996" t="s">
        <v>861</v>
      </c>
      <c r="AH2996">
        <v>930246</v>
      </c>
      <c r="AI2996">
        <v>1544208.95</v>
      </c>
      <c r="AJ2996">
        <v>0.11</v>
      </c>
    </row>
    <row r="2997" spans="14:36" x14ac:dyDescent="0.3">
      <c r="N2997" t="str">
        <f t="shared" si="178"/>
        <v xml:space="preserve">Worcestershire30Pathway 1 (UPI)Home-based intermediate care servicesJoint reablement and rehabilitation service (to support discharge) </v>
      </c>
      <c r="O2997" t="s">
        <v>365</v>
      </c>
      <c r="P2997" t="s">
        <v>1172</v>
      </c>
      <c r="Q2997">
        <v>30</v>
      </c>
      <c r="R2997" t="s">
        <v>7329</v>
      </c>
      <c r="S2997" t="s">
        <v>7583</v>
      </c>
      <c r="T2997" t="s">
        <v>787</v>
      </c>
      <c r="U2997" t="s">
        <v>1551</v>
      </c>
      <c r="W2997">
        <v>528</v>
      </c>
      <c r="X2997">
        <v>876</v>
      </c>
      <c r="Y2997" t="s">
        <v>789</v>
      </c>
      <c r="Z2997" t="s">
        <v>792</v>
      </c>
      <c r="AB2997" t="s">
        <v>793</v>
      </c>
      <c r="AD2997" t="s">
        <v>794</v>
      </c>
      <c r="AE2997" t="s">
        <v>795</v>
      </c>
      <c r="AF2997" t="s">
        <v>864</v>
      </c>
      <c r="AG2997" t="s">
        <v>861</v>
      </c>
      <c r="AH2997">
        <v>497938</v>
      </c>
      <c r="AI2997">
        <v>826577</v>
      </c>
      <c r="AJ2997">
        <v>0.06</v>
      </c>
    </row>
    <row r="2998" spans="14:36" x14ac:dyDescent="0.3">
      <c r="N2998" t="str">
        <f t="shared" si="178"/>
        <v>Worcestershire31Pathway 2 Care ServicesBed based intermediate Care Services (Reablement, rehabilitation, wider short-term services supporting recovery)Bed-based intermediate care with rehabilitation (to support discharge)</v>
      </c>
      <c r="O2998" t="s">
        <v>365</v>
      </c>
      <c r="P2998" t="s">
        <v>1172</v>
      </c>
      <c r="Q2998">
        <v>31</v>
      </c>
      <c r="R2998" t="s">
        <v>7368</v>
      </c>
      <c r="S2998" t="s">
        <v>7582</v>
      </c>
      <c r="T2998" t="s">
        <v>877</v>
      </c>
      <c r="U2998" t="s">
        <v>968</v>
      </c>
      <c r="W2998">
        <v>15</v>
      </c>
      <c r="X2998">
        <v>15</v>
      </c>
      <c r="Y2998" t="s">
        <v>879</v>
      </c>
      <c r="Z2998" t="s">
        <v>823</v>
      </c>
      <c r="AB2998" t="s">
        <v>793</v>
      </c>
      <c r="AD2998" t="s">
        <v>794</v>
      </c>
      <c r="AE2998" t="s">
        <v>795</v>
      </c>
      <c r="AF2998" t="s">
        <v>864</v>
      </c>
      <c r="AG2998" t="s">
        <v>861</v>
      </c>
      <c r="AH2998">
        <v>14391</v>
      </c>
      <c r="AI2998">
        <v>23890</v>
      </c>
      <c r="AJ2998">
        <v>5.0000000000000001E-3</v>
      </c>
    </row>
    <row r="2999" spans="14:36" x14ac:dyDescent="0.3">
      <c r="N2999" t="str">
        <f t="shared" si="178"/>
        <v>Worcestershire32Pathway 3 (SPOT DTA)Residential PlacementsShort term residential care (without rehabilitation or reablement input)</v>
      </c>
      <c r="O2999" t="s">
        <v>365</v>
      </c>
      <c r="P2999" t="s">
        <v>1172</v>
      </c>
      <c r="Q2999">
        <v>32</v>
      </c>
      <c r="R2999" t="s">
        <v>7337</v>
      </c>
      <c r="S2999" t="s">
        <v>7585</v>
      </c>
      <c r="T2999" t="s">
        <v>806</v>
      </c>
      <c r="U2999" t="s">
        <v>955</v>
      </c>
      <c r="W2999">
        <v>106</v>
      </c>
      <c r="X2999">
        <v>176</v>
      </c>
      <c r="Y2999" t="s">
        <v>808</v>
      </c>
      <c r="Z2999" t="s">
        <v>792</v>
      </c>
      <c r="AB2999" t="s">
        <v>793</v>
      </c>
      <c r="AD2999" t="s">
        <v>794</v>
      </c>
      <c r="AE2999" t="s">
        <v>795</v>
      </c>
      <c r="AF2999" t="s">
        <v>864</v>
      </c>
      <c r="AG2999" t="s">
        <v>861</v>
      </c>
      <c r="AH2999">
        <v>1218991</v>
      </c>
      <c r="AI2999">
        <v>2023525</v>
      </c>
      <c r="AJ2999">
        <v>1</v>
      </c>
    </row>
    <row r="3000" spans="14:36" x14ac:dyDescent="0.3">
      <c r="N3000" t="str">
        <f t="shared" si="178"/>
        <v>Worcestershire33WCESAssistive Technologies and EquipmentCommunity based equipment</v>
      </c>
      <c r="O3000" t="s">
        <v>365</v>
      </c>
      <c r="P3000" t="s">
        <v>1172</v>
      </c>
      <c r="Q3000">
        <v>33</v>
      </c>
      <c r="R3000" t="s">
        <v>7354</v>
      </c>
      <c r="S3000" t="s">
        <v>7591</v>
      </c>
      <c r="T3000" t="s">
        <v>800</v>
      </c>
      <c r="U3000" t="s">
        <v>903</v>
      </c>
      <c r="W3000">
        <v>144</v>
      </c>
      <c r="X3000">
        <v>239</v>
      </c>
      <c r="Y3000" t="s">
        <v>802</v>
      </c>
      <c r="Z3000" t="s">
        <v>792</v>
      </c>
      <c r="AB3000" t="s">
        <v>793</v>
      </c>
      <c r="AD3000" t="s">
        <v>794</v>
      </c>
      <c r="AE3000" t="s">
        <v>795</v>
      </c>
      <c r="AF3000" t="s">
        <v>864</v>
      </c>
      <c r="AG3000" t="s">
        <v>861</v>
      </c>
      <c r="AH3000">
        <v>5634</v>
      </c>
      <c r="AI3000">
        <v>9351.06</v>
      </c>
      <c r="AJ3000">
        <v>0.01</v>
      </c>
    </row>
    <row r="3001" spans="14:36" x14ac:dyDescent="0.3">
      <c r="N3001" t="str">
        <f t="shared" si="178"/>
        <v>Worcestershire34Pathway 2 Discharge BedsBed based intermediate Care Services (Reablement, rehabilitation, wider short-term services supporting recovery)Bed-based intermediate care with reablement (to support discharge)</v>
      </c>
      <c r="O3001" t="s">
        <v>365</v>
      </c>
      <c r="P3001" t="s">
        <v>1172</v>
      </c>
      <c r="Q3001">
        <v>34</v>
      </c>
      <c r="R3001" t="s">
        <v>7375</v>
      </c>
      <c r="S3001" t="s">
        <v>7581</v>
      </c>
      <c r="T3001" t="s">
        <v>877</v>
      </c>
      <c r="U3001" t="s">
        <v>878</v>
      </c>
      <c r="W3001">
        <v>43</v>
      </c>
      <c r="X3001">
        <v>44</v>
      </c>
      <c r="Y3001" t="s">
        <v>879</v>
      </c>
      <c r="Z3001" t="s">
        <v>823</v>
      </c>
      <c r="AB3001" t="s">
        <v>824</v>
      </c>
      <c r="AD3001" t="s">
        <v>794</v>
      </c>
      <c r="AE3001" t="s">
        <v>795</v>
      </c>
      <c r="AF3001" t="s">
        <v>860</v>
      </c>
      <c r="AG3001" t="s">
        <v>861</v>
      </c>
      <c r="AH3001">
        <v>500000</v>
      </c>
      <c r="AI3001">
        <v>516500</v>
      </c>
      <c r="AJ3001">
        <v>1</v>
      </c>
    </row>
    <row r="3002" spans="14:36" x14ac:dyDescent="0.3">
      <c r="N3002" t="str">
        <f t="shared" si="178"/>
        <v>Worcestershire35Pathway 2 Rehab BedsBed based intermediate Care Services (Reablement, rehabilitation, wider short-term services supporting recovery)Bed-based intermediate care with reablement (to support discharge)</v>
      </c>
      <c r="O3002" t="s">
        <v>365</v>
      </c>
      <c r="P3002" t="s">
        <v>1172</v>
      </c>
      <c r="Q3002">
        <v>35</v>
      </c>
      <c r="R3002" t="s">
        <v>7378</v>
      </c>
      <c r="S3002" t="s">
        <v>7581</v>
      </c>
      <c r="T3002" t="s">
        <v>877</v>
      </c>
      <c r="U3002" t="s">
        <v>878</v>
      </c>
      <c r="W3002">
        <v>57</v>
      </c>
      <c r="X3002">
        <v>59</v>
      </c>
      <c r="Y3002" t="s">
        <v>879</v>
      </c>
      <c r="Z3002" t="s">
        <v>823</v>
      </c>
      <c r="AB3002" t="s">
        <v>824</v>
      </c>
      <c r="AD3002" t="s">
        <v>794</v>
      </c>
      <c r="AE3002" t="s">
        <v>832</v>
      </c>
      <c r="AF3002" t="s">
        <v>860</v>
      </c>
      <c r="AG3002" t="s">
        <v>861</v>
      </c>
      <c r="AH3002">
        <v>899000</v>
      </c>
      <c r="AI3002">
        <v>928667</v>
      </c>
      <c r="AJ3002">
        <v>1</v>
      </c>
    </row>
    <row r="3003" spans="14:36" x14ac:dyDescent="0.3">
      <c r="N3003" t="str">
        <f t="shared" si="178"/>
        <v>York1DFG and FallsDFG Related SchemesDiscretionary use of DFG</v>
      </c>
      <c r="O3003" t="s">
        <v>368</v>
      </c>
      <c r="P3003" t="s">
        <v>922</v>
      </c>
      <c r="Q3003">
        <v>1</v>
      </c>
      <c r="R3003" t="s">
        <v>7380</v>
      </c>
      <c r="S3003" t="s">
        <v>840</v>
      </c>
      <c r="T3003" t="s">
        <v>834</v>
      </c>
      <c r="U3003" t="s">
        <v>1293</v>
      </c>
      <c r="W3003">
        <v>245</v>
      </c>
      <c r="X3003">
        <v>245</v>
      </c>
      <c r="Y3003" t="s">
        <v>836</v>
      </c>
      <c r="Z3003" t="s">
        <v>792</v>
      </c>
      <c r="AB3003" t="s">
        <v>793</v>
      </c>
      <c r="AD3003" t="s">
        <v>794</v>
      </c>
      <c r="AE3003" t="s">
        <v>795</v>
      </c>
      <c r="AF3003" t="s">
        <v>840</v>
      </c>
      <c r="AG3003" t="s">
        <v>797</v>
      </c>
      <c r="AH3003">
        <v>1467977</v>
      </c>
      <c r="AI3003">
        <v>1467977</v>
      </c>
      <c r="AJ3003">
        <v>0.75552084405558417</v>
      </c>
    </row>
    <row r="3004" spans="14:36" x14ac:dyDescent="0.3">
      <c r="N3004" t="str">
        <f t="shared" si="178"/>
        <v>York2Packages of Care - Care at HomeHome Care or Domiciliary CareDomiciliary care packages</v>
      </c>
      <c r="O3004" t="s">
        <v>368</v>
      </c>
      <c r="P3004" t="s">
        <v>922</v>
      </c>
      <c r="Q3004">
        <v>2</v>
      </c>
      <c r="R3004" t="s">
        <v>7382</v>
      </c>
      <c r="S3004" t="s">
        <v>7595</v>
      </c>
      <c r="T3004" t="s">
        <v>842</v>
      </c>
      <c r="U3004" t="s">
        <v>843</v>
      </c>
      <c r="W3004">
        <v>123568</v>
      </c>
      <c r="X3004">
        <v>123568</v>
      </c>
      <c r="Y3004" t="s">
        <v>844</v>
      </c>
      <c r="Z3004" t="s">
        <v>792</v>
      </c>
      <c r="AB3004" t="s">
        <v>793</v>
      </c>
      <c r="AD3004" t="s">
        <v>794</v>
      </c>
      <c r="AE3004" t="s">
        <v>804</v>
      </c>
      <c r="AF3004" t="s">
        <v>796</v>
      </c>
      <c r="AG3004" t="s">
        <v>797</v>
      </c>
      <c r="AH3004">
        <v>2965627</v>
      </c>
      <c r="AI3004">
        <v>3133481.4882</v>
      </c>
      <c r="AJ3004">
        <v>0.10547505669567188</v>
      </c>
    </row>
    <row r="3005" spans="14:36" x14ac:dyDescent="0.3">
      <c r="N3005" t="str">
        <f t="shared" si="178"/>
        <v>York3Packages of Care - Care at HomeHome Care or Domiciliary CareDomiciliary care packages</v>
      </c>
      <c r="O3005" t="s">
        <v>368</v>
      </c>
      <c r="P3005" t="s">
        <v>922</v>
      </c>
      <c r="Q3005">
        <v>3</v>
      </c>
      <c r="R3005" t="s">
        <v>7382</v>
      </c>
      <c r="S3005" t="s">
        <v>7595</v>
      </c>
      <c r="T3005" t="s">
        <v>842</v>
      </c>
      <c r="U3005" t="s">
        <v>843</v>
      </c>
      <c r="W3005">
        <v>49578</v>
      </c>
      <c r="X3005">
        <v>49578</v>
      </c>
      <c r="Y3005" t="s">
        <v>844</v>
      </c>
      <c r="Z3005" t="s">
        <v>792</v>
      </c>
      <c r="AB3005" t="s">
        <v>793</v>
      </c>
      <c r="AD3005" t="s">
        <v>794</v>
      </c>
      <c r="AE3005" t="s">
        <v>804</v>
      </c>
      <c r="AF3005" t="s">
        <v>845</v>
      </c>
      <c r="AG3005" t="s">
        <v>797</v>
      </c>
      <c r="AH3005">
        <v>1189878</v>
      </c>
      <c r="AI3005">
        <v>1189878</v>
      </c>
      <c r="AJ3005">
        <v>4.2319027143647089E-2</v>
      </c>
    </row>
    <row r="3006" spans="14:36" x14ac:dyDescent="0.3">
      <c r="N3006" t="str">
        <f t="shared" si="178"/>
        <v>York4Packages of Care - Care at HomeHome Care or Domiciliary CareDomiciliary care packages</v>
      </c>
      <c r="O3006" t="s">
        <v>368</v>
      </c>
      <c r="P3006" t="s">
        <v>922</v>
      </c>
      <c r="Q3006">
        <v>4</v>
      </c>
      <c r="R3006" t="s">
        <v>7382</v>
      </c>
      <c r="S3006" t="s">
        <v>7596</v>
      </c>
      <c r="T3006" t="s">
        <v>842</v>
      </c>
      <c r="U3006" t="s">
        <v>843</v>
      </c>
      <c r="W3006">
        <v>6542</v>
      </c>
      <c r="X3006">
        <v>6542</v>
      </c>
      <c r="Y3006" t="s">
        <v>844</v>
      </c>
      <c r="Z3006" t="s">
        <v>792</v>
      </c>
      <c r="AB3006" t="s">
        <v>793</v>
      </c>
      <c r="AD3006" t="s">
        <v>794</v>
      </c>
      <c r="AE3006" t="s">
        <v>804</v>
      </c>
      <c r="AF3006" t="s">
        <v>796</v>
      </c>
      <c r="AG3006" t="s">
        <v>797</v>
      </c>
      <c r="AH3006">
        <v>157000</v>
      </c>
      <c r="AI3006">
        <v>165886.20000000001</v>
      </c>
      <c r="AJ3006">
        <v>5.5838390671586434E-3</v>
      </c>
    </row>
    <row r="3007" spans="14:36" x14ac:dyDescent="0.3">
      <c r="N3007" t="str">
        <f t="shared" si="178"/>
        <v>York5Packages of Care - Care at HomeHome Care or Domiciliary CareDomiciliary care packages</v>
      </c>
      <c r="O3007" t="s">
        <v>368</v>
      </c>
      <c r="P3007" t="s">
        <v>922</v>
      </c>
      <c r="Q3007">
        <v>5</v>
      </c>
      <c r="R3007" t="s">
        <v>7382</v>
      </c>
      <c r="S3007" t="s">
        <v>7596</v>
      </c>
      <c r="T3007" t="s">
        <v>842</v>
      </c>
      <c r="U3007" t="s">
        <v>843</v>
      </c>
      <c r="W3007">
        <v>6392</v>
      </c>
      <c r="X3007">
        <v>6392</v>
      </c>
      <c r="Y3007" t="s">
        <v>844</v>
      </c>
      <c r="Z3007" t="s">
        <v>792</v>
      </c>
      <c r="AB3007" t="s">
        <v>793</v>
      </c>
      <c r="AD3007" t="s">
        <v>794</v>
      </c>
      <c r="AE3007" t="s">
        <v>804</v>
      </c>
      <c r="AF3007" t="s">
        <v>845</v>
      </c>
      <c r="AG3007" t="s">
        <v>797</v>
      </c>
      <c r="AH3007">
        <v>153416</v>
      </c>
      <c r="AI3007">
        <v>153416</v>
      </c>
      <c r="AJ3007">
        <v>5.4563710466701302E-3</v>
      </c>
    </row>
    <row r="3008" spans="14:36" x14ac:dyDescent="0.3">
      <c r="N3008" t="str">
        <f t="shared" si="178"/>
        <v>York7Carers SupportCarers ServicesRespite services</v>
      </c>
      <c r="O3008" t="s">
        <v>368</v>
      </c>
      <c r="P3008" t="s">
        <v>922</v>
      </c>
      <c r="Q3008">
        <v>7</v>
      </c>
      <c r="R3008" t="s">
        <v>1781</v>
      </c>
      <c r="S3008" t="s">
        <v>7597</v>
      </c>
      <c r="T3008" t="s">
        <v>811</v>
      </c>
      <c r="U3008" t="s">
        <v>830</v>
      </c>
      <c r="W3008">
        <v>1047</v>
      </c>
      <c r="X3008">
        <v>1099</v>
      </c>
      <c r="Y3008" t="s">
        <v>813</v>
      </c>
      <c r="Z3008" t="s">
        <v>792</v>
      </c>
      <c r="AB3008" t="s">
        <v>793</v>
      </c>
      <c r="AD3008" t="s">
        <v>794</v>
      </c>
      <c r="AE3008" t="s">
        <v>825</v>
      </c>
      <c r="AF3008" t="s">
        <v>796</v>
      </c>
      <c r="AG3008" t="s">
        <v>797</v>
      </c>
      <c r="AH3008">
        <v>715301</v>
      </c>
      <c r="AI3008">
        <v>755787.03659999999</v>
      </c>
      <c r="AJ3008">
        <v>0.82485699668670798</v>
      </c>
    </row>
    <row r="3009" spans="14:36" x14ac:dyDescent="0.3">
      <c r="N3009" t="str">
        <f t="shared" si="178"/>
        <v xml:space="preserve">York10Reablement contractHome-based intermediate care servicesReablement at home (to support discharge) </v>
      </c>
      <c r="O3009" t="s">
        <v>368</v>
      </c>
      <c r="P3009" t="s">
        <v>922</v>
      </c>
      <c r="Q3009">
        <v>10</v>
      </c>
      <c r="R3009" t="s">
        <v>3051</v>
      </c>
      <c r="S3009" t="s">
        <v>7598</v>
      </c>
      <c r="T3009" t="s">
        <v>787</v>
      </c>
      <c r="U3009" t="s">
        <v>788</v>
      </c>
      <c r="W3009">
        <v>617</v>
      </c>
      <c r="X3009">
        <v>617</v>
      </c>
      <c r="Y3009" t="s">
        <v>789</v>
      </c>
      <c r="Z3009" t="s">
        <v>792</v>
      </c>
      <c r="AB3009" t="s">
        <v>793</v>
      </c>
      <c r="AD3009" t="s">
        <v>794</v>
      </c>
      <c r="AE3009" t="s">
        <v>825</v>
      </c>
      <c r="AF3009" t="s">
        <v>796</v>
      </c>
      <c r="AG3009" t="s">
        <v>797</v>
      </c>
      <c r="AH3009">
        <v>1194078</v>
      </c>
      <c r="AI3009">
        <v>1261662.8148000001</v>
      </c>
      <c r="AJ3009">
        <v>0.75021440028549014</v>
      </c>
    </row>
    <row r="3010" spans="14:36" x14ac:dyDescent="0.3">
      <c r="N3010" t="str">
        <f t="shared" ref="N3010:N3030" si="179">O3010&amp;Q3010&amp;R3010&amp;T3010&amp;U3010</f>
        <v>York11FNH and other Step-up/Step-down bedsBed based intermediate Care Services (Reablement, rehabilitation, wider short-term services supporting recovery)Bed-based intermediate care with reablement accepting step up and step down users</v>
      </c>
      <c r="O3010" t="s">
        <v>368</v>
      </c>
      <c r="P3010" t="s">
        <v>922</v>
      </c>
      <c r="Q3010">
        <v>11</v>
      </c>
      <c r="R3010" t="s">
        <v>7394</v>
      </c>
      <c r="S3010" t="s">
        <v>7599</v>
      </c>
      <c r="T3010" t="s">
        <v>877</v>
      </c>
      <c r="U3010" t="s">
        <v>1259</v>
      </c>
      <c r="W3010">
        <v>572</v>
      </c>
      <c r="X3010">
        <v>572</v>
      </c>
      <c r="Y3010" t="s">
        <v>879</v>
      </c>
      <c r="Z3010" t="s">
        <v>792</v>
      </c>
      <c r="AB3010" t="s">
        <v>793</v>
      </c>
      <c r="AD3010" t="s">
        <v>794</v>
      </c>
      <c r="AE3010" t="s">
        <v>804</v>
      </c>
      <c r="AF3010" t="s">
        <v>796</v>
      </c>
      <c r="AG3010" t="s">
        <v>797</v>
      </c>
      <c r="AH3010">
        <v>269982</v>
      </c>
      <c r="AI3010">
        <v>285262.98119999998</v>
      </c>
      <c r="AJ3010">
        <v>0.26134962198580874</v>
      </c>
    </row>
    <row r="3011" spans="14:36" x14ac:dyDescent="0.3">
      <c r="N3011" t="str">
        <f t="shared" si="179"/>
        <v>York12Telecare and FallsAssistive Technologies and EquipmentAssistive technologies including telecare</v>
      </c>
      <c r="O3011" t="s">
        <v>368</v>
      </c>
      <c r="P3011" t="s">
        <v>922</v>
      </c>
      <c r="Q3011">
        <v>12</v>
      </c>
      <c r="R3011" t="s">
        <v>7397</v>
      </c>
      <c r="S3011" t="s">
        <v>7600</v>
      </c>
      <c r="T3011" t="s">
        <v>800</v>
      </c>
      <c r="U3011" t="s">
        <v>850</v>
      </c>
      <c r="W3011">
        <v>224</v>
      </c>
      <c r="X3011">
        <v>224</v>
      </c>
      <c r="Y3011" t="s">
        <v>802</v>
      </c>
      <c r="Z3011" t="s">
        <v>792</v>
      </c>
      <c r="AB3011" t="s">
        <v>793</v>
      </c>
      <c r="AD3011" t="s">
        <v>794</v>
      </c>
      <c r="AE3011" t="s">
        <v>795</v>
      </c>
      <c r="AF3011" t="s">
        <v>796</v>
      </c>
      <c r="AG3011" t="s">
        <v>797</v>
      </c>
      <c r="AH3011">
        <v>210035</v>
      </c>
      <c r="AI3011">
        <v>221922.981</v>
      </c>
      <c r="AJ3011">
        <v>9.0696127920684336E-2</v>
      </c>
    </row>
    <row r="3012" spans="14:36" x14ac:dyDescent="0.3">
      <c r="N3012" t="str">
        <f t="shared" si="179"/>
        <v>York13Community EquipmentAssistive Technologies and EquipmentCommunity based equipment</v>
      </c>
      <c r="O3012" t="s">
        <v>368</v>
      </c>
      <c r="P3012" t="s">
        <v>922</v>
      </c>
      <c r="Q3012">
        <v>13</v>
      </c>
      <c r="R3012" t="s">
        <v>1051</v>
      </c>
      <c r="S3012" t="s">
        <v>7600</v>
      </c>
      <c r="T3012" t="s">
        <v>800</v>
      </c>
      <c r="U3012" t="s">
        <v>903</v>
      </c>
      <c r="W3012">
        <v>1102</v>
      </c>
      <c r="X3012">
        <v>1102</v>
      </c>
      <c r="Y3012" t="s">
        <v>802</v>
      </c>
      <c r="Z3012" t="s">
        <v>792</v>
      </c>
      <c r="AB3012" t="s">
        <v>793</v>
      </c>
      <c r="AD3012" t="s">
        <v>794</v>
      </c>
      <c r="AE3012" t="s">
        <v>795</v>
      </c>
      <c r="AF3012" t="s">
        <v>796</v>
      </c>
      <c r="AG3012" t="s">
        <v>797</v>
      </c>
      <c r="AH3012">
        <v>196327</v>
      </c>
      <c r="AI3012">
        <v>207439.10819999999</v>
      </c>
      <c r="AJ3012">
        <v>8.4776816750942438E-2</v>
      </c>
    </row>
    <row r="3013" spans="14:36" x14ac:dyDescent="0.3">
      <c r="N3013" t="str">
        <f t="shared" si="179"/>
        <v>York15Packages of Care - Care at HomeHome Care or Domiciliary CareDomiciliary care packages</v>
      </c>
      <c r="O3013" t="s">
        <v>368</v>
      </c>
      <c r="P3013" t="s">
        <v>922</v>
      </c>
      <c r="Q3013">
        <v>15</v>
      </c>
      <c r="R3013" t="s">
        <v>7382</v>
      </c>
      <c r="S3013" t="s">
        <v>7601</v>
      </c>
      <c r="T3013" t="s">
        <v>842</v>
      </c>
      <c r="U3013" t="s">
        <v>843</v>
      </c>
      <c r="W3013">
        <v>7703</v>
      </c>
      <c r="X3013">
        <v>7703</v>
      </c>
      <c r="Y3013" t="s">
        <v>844</v>
      </c>
      <c r="Z3013" t="s">
        <v>792</v>
      </c>
      <c r="AB3013" t="s">
        <v>793</v>
      </c>
      <c r="AD3013" t="s">
        <v>794</v>
      </c>
      <c r="AE3013" t="s">
        <v>825</v>
      </c>
      <c r="AF3013" t="s">
        <v>845</v>
      </c>
      <c r="AG3013" t="s">
        <v>797</v>
      </c>
      <c r="AH3013">
        <v>184871</v>
      </c>
      <c r="AI3013">
        <v>184871</v>
      </c>
      <c r="AJ3013">
        <v>6.5750949820680615E-3</v>
      </c>
    </row>
    <row r="3014" spans="14:36" x14ac:dyDescent="0.3">
      <c r="N3014" t="str">
        <f t="shared" si="179"/>
        <v>York25Physiotherapy in step-down bedsBed based intermediate Care Services (Reablement, rehabilitation, wider short-term services supporting recovery)Bed-based intermediate care with rehabilitation (to support discharge)</v>
      </c>
      <c r="O3014" t="s">
        <v>368</v>
      </c>
      <c r="P3014" t="s">
        <v>922</v>
      </c>
      <c r="Q3014">
        <v>25</v>
      </c>
      <c r="R3014" t="s">
        <v>7404</v>
      </c>
      <c r="S3014" t="s">
        <v>7404</v>
      </c>
      <c r="T3014" t="s">
        <v>877</v>
      </c>
      <c r="U3014" t="s">
        <v>968</v>
      </c>
      <c r="W3014">
        <v>104</v>
      </c>
      <c r="X3014">
        <v>104</v>
      </c>
      <c r="Y3014" t="s">
        <v>879</v>
      </c>
      <c r="Z3014" t="s">
        <v>792</v>
      </c>
      <c r="AB3014" t="s">
        <v>824</v>
      </c>
      <c r="AD3014" t="s">
        <v>794</v>
      </c>
      <c r="AE3014" t="s">
        <v>832</v>
      </c>
      <c r="AF3014" t="s">
        <v>796</v>
      </c>
      <c r="AG3014" t="s">
        <v>797</v>
      </c>
      <c r="AH3014">
        <v>46462</v>
      </c>
      <c r="AI3014">
        <v>49091.749199999998</v>
      </c>
      <c r="AJ3014">
        <v>4.4976428564514101E-2</v>
      </c>
    </row>
    <row r="3015" spans="14:36" x14ac:dyDescent="0.3">
      <c r="N3015" t="str">
        <f t="shared" si="179"/>
        <v>York27Home from HospitalHome Care or Domiciliary CareDomiciliary care packages</v>
      </c>
      <c r="O3015" t="s">
        <v>368</v>
      </c>
      <c r="P3015" t="s">
        <v>922</v>
      </c>
      <c r="Q3015">
        <v>27</v>
      </c>
      <c r="R3015" t="s">
        <v>1008</v>
      </c>
      <c r="S3015" t="s">
        <v>1008</v>
      </c>
      <c r="T3015" t="s">
        <v>842</v>
      </c>
      <c r="U3015" t="s">
        <v>843</v>
      </c>
      <c r="W3015">
        <v>2340</v>
      </c>
      <c r="X3015">
        <v>2340</v>
      </c>
      <c r="Y3015" t="s">
        <v>844</v>
      </c>
      <c r="Z3015" t="s">
        <v>792</v>
      </c>
      <c r="AB3015" t="s">
        <v>824</v>
      </c>
      <c r="AD3015" t="s">
        <v>794</v>
      </c>
      <c r="AE3015" t="s">
        <v>825</v>
      </c>
      <c r="AF3015" t="s">
        <v>796</v>
      </c>
      <c r="AG3015" t="s">
        <v>797</v>
      </c>
      <c r="AH3015">
        <v>31880</v>
      </c>
      <c r="AI3015">
        <v>33684.408000000003</v>
      </c>
      <c r="AJ3015">
        <v>1.1338394233185833E-3</v>
      </c>
    </row>
    <row r="3016" spans="14:36" x14ac:dyDescent="0.3">
      <c r="N3016" t="str">
        <f t="shared" si="179"/>
        <v>York28Home from HospitalHome Care or Domiciliary CareDomiciliary care packages</v>
      </c>
      <c r="O3016" t="s">
        <v>368</v>
      </c>
      <c r="P3016" t="s">
        <v>922</v>
      </c>
      <c r="Q3016">
        <v>28</v>
      </c>
      <c r="R3016" t="s">
        <v>1008</v>
      </c>
      <c r="S3016" t="s">
        <v>1008</v>
      </c>
      <c r="T3016" t="s">
        <v>842</v>
      </c>
      <c r="U3016" t="s">
        <v>843</v>
      </c>
      <c r="W3016">
        <v>1560</v>
      </c>
      <c r="X3016">
        <v>1560</v>
      </c>
      <c r="Y3016" t="s">
        <v>844</v>
      </c>
      <c r="Z3016" t="s">
        <v>792</v>
      </c>
      <c r="AB3016" t="s">
        <v>824</v>
      </c>
      <c r="AD3016" t="s">
        <v>794</v>
      </c>
      <c r="AE3016" t="s">
        <v>825</v>
      </c>
      <c r="AF3016" t="s">
        <v>845</v>
      </c>
      <c r="AG3016" t="s">
        <v>797</v>
      </c>
      <c r="AH3016">
        <v>23315</v>
      </c>
      <c r="AI3016">
        <v>23315</v>
      </c>
      <c r="AJ3016">
        <v>8.2921788440002396E-4</v>
      </c>
    </row>
    <row r="3017" spans="14:36" x14ac:dyDescent="0.3">
      <c r="N3017" t="str">
        <f t="shared" si="179"/>
        <v>York29Packages of Care - PlacementsBed based intermediate Care Services (Reablement, rehabilitation, wider short-term services supporting recovery)Bed-based intermediate care with reablement accepting step up and step down users</v>
      </c>
      <c r="O3017" t="s">
        <v>368</v>
      </c>
      <c r="P3017" t="s">
        <v>922</v>
      </c>
      <c r="Q3017">
        <v>29</v>
      </c>
      <c r="R3017" t="s">
        <v>7411</v>
      </c>
      <c r="S3017" t="s">
        <v>7602</v>
      </c>
      <c r="T3017" t="s">
        <v>877</v>
      </c>
      <c r="U3017" t="s">
        <v>1259</v>
      </c>
      <c r="W3017">
        <v>45</v>
      </c>
      <c r="X3017">
        <v>45</v>
      </c>
      <c r="Y3017" t="s">
        <v>879</v>
      </c>
      <c r="Z3017" t="s">
        <v>792</v>
      </c>
      <c r="AB3017" t="s">
        <v>793</v>
      </c>
      <c r="AD3017" t="s">
        <v>794</v>
      </c>
      <c r="AE3017" t="s">
        <v>804</v>
      </c>
      <c r="AF3017" t="s">
        <v>845</v>
      </c>
      <c r="AG3017" t="s">
        <v>797</v>
      </c>
      <c r="AH3017">
        <v>40170</v>
      </c>
      <c r="AI3017">
        <v>40170</v>
      </c>
      <c r="AJ3017">
        <v>3.8885608356001279E-2</v>
      </c>
    </row>
    <row r="3018" spans="14:36" x14ac:dyDescent="0.3">
      <c r="N3018" t="str">
        <f t="shared" si="179"/>
        <v>York30Packages of Care - PlacementsResidential PlacementsCare home</v>
      </c>
      <c r="O3018" t="s">
        <v>368</v>
      </c>
      <c r="P3018" t="s">
        <v>922</v>
      </c>
      <c r="Q3018">
        <v>30</v>
      </c>
      <c r="R3018" t="s">
        <v>7411</v>
      </c>
      <c r="S3018" t="s">
        <v>7603</v>
      </c>
      <c r="T3018" t="s">
        <v>806</v>
      </c>
      <c r="U3018" t="s">
        <v>807</v>
      </c>
      <c r="W3018">
        <v>256</v>
      </c>
      <c r="X3018">
        <v>256</v>
      </c>
      <c r="Y3018" t="s">
        <v>808</v>
      </c>
      <c r="Z3018" t="s">
        <v>792</v>
      </c>
      <c r="AB3018" t="s">
        <v>793</v>
      </c>
      <c r="AD3018" t="s">
        <v>794</v>
      </c>
      <c r="AE3018" t="s">
        <v>804</v>
      </c>
      <c r="AF3018" t="s">
        <v>845</v>
      </c>
      <c r="AG3018" t="s">
        <v>797</v>
      </c>
      <c r="AH3018">
        <v>230720</v>
      </c>
      <c r="AI3018">
        <v>230720</v>
      </c>
      <c r="AJ3018">
        <v>2.9914821492265649E-3</v>
      </c>
    </row>
    <row r="3019" spans="14:36" x14ac:dyDescent="0.3">
      <c r="N3019" t="str">
        <f t="shared" si="179"/>
        <v>York31Packages of Care - PlacementsResidential PlacementsCare home</v>
      </c>
      <c r="O3019" t="s">
        <v>368</v>
      </c>
      <c r="P3019" t="s">
        <v>922</v>
      </c>
      <c r="Q3019">
        <v>31</v>
      </c>
      <c r="R3019" t="s">
        <v>7411</v>
      </c>
      <c r="S3019" t="s">
        <v>7604</v>
      </c>
      <c r="T3019" t="s">
        <v>806</v>
      </c>
      <c r="U3019" t="s">
        <v>807</v>
      </c>
      <c r="W3019">
        <v>402</v>
      </c>
      <c r="X3019">
        <v>402</v>
      </c>
      <c r="Y3019" t="s">
        <v>808</v>
      </c>
      <c r="Z3019" t="s">
        <v>792</v>
      </c>
      <c r="AB3019" t="s">
        <v>793</v>
      </c>
      <c r="AD3019" t="s">
        <v>794</v>
      </c>
      <c r="AE3019" t="s">
        <v>804</v>
      </c>
      <c r="AF3019" t="s">
        <v>845</v>
      </c>
      <c r="AG3019" t="s">
        <v>797</v>
      </c>
      <c r="AH3019">
        <v>361530</v>
      </c>
      <c r="AI3019">
        <v>361530</v>
      </c>
      <c r="AJ3019">
        <v>4.6875456891898402E-3</v>
      </c>
    </row>
    <row r="3020" spans="14:36" x14ac:dyDescent="0.3">
      <c r="N3020" t="str">
        <f t="shared" si="179"/>
        <v>York33Packages of Care - PlacementsHome Care or Domiciliary CareDomiciliary care to support hospital discharge (Discharge to Assess pathway 1)</v>
      </c>
      <c r="O3020" t="s">
        <v>368</v>
      </c>
      <c r="P3020" t="s">
        <v>922</v>
      </c>
      <c r="Q3020">
        <v>33</v>
      </c>
      <c r="R3020" t="s">
        <v>7411</v>
      </c>
      <c r="S3020" t="s">
        <v>5135</v>
      </c>
      <c r="T3020" t="s">
        <v>842</v>
      </c>
      <c r="U3020" t="s">
        <v>856</v>
      </c>
      <c r="W3020">
        <v>3605</v>
      </c>
      <c r="X3020">
        <v>3605</v>
      </c>
      <c r="Y3020" t="s">
        <v>844</v>
      </c>
      <c r="Z3020" t="s">
        <v>792</v>
      </c>
      <c r="AB3020" t="s">
        <v>793</v>
      </c>
      <c r="AD3020" t="s">
        <v>794</v>
      </c>
      <c r="AE3020" t="s">
        <v>795</v>
      </c>
      <c r="AF3020" t="s">
        <v>845</v>
      </c>
      <c r="AG3020" t="s">
        <v>797</v>
      </c>
      <c r="AH3020">
        <v>86520</v>
      </c>
      <c r="AI3020">
        <v>86520</v>
      </c>
      <c r="AJ3020">
        <v>3.0771576821055149E-3</v>
      </c>
    </row>
    <row r="3021" spans="14:36" x14ac:dyDescent="0.3">
      <c r="N3021" t="str">
        <f t="shared" si="179"/>
        <v>York37Hospice at Home Home Care or Domiciliary CareDomiciliary care packages</v>
      </c>
      <c r="O3021" t="s">
        <v>368</v>
      </c>
      <c r="P3021" t="s">
        <v>922</v>
      </c>
      <c r="Q3021">
        <v>37</v>
      </c>
      <c r="R3021" t="s">
        <v>7419</v>
      </c>
      <c r="S3021" t="s">
        <v>7605</v>
      </c>
      <c r="T3021" t="s">
        <v>842</v>
      </c>
      <c r="U3021" t="s">
        <v>843</v>
      </c>
      <c r="W3021">
        <v>6033</v>
      </c>
      <c r="X3021">
        <v>6374</v>
      </c>
      <c r="Y3021" t="s">
        <v>844</v>
      </c>
      <c r="Z3021" t="s">
        <v>823</v>
      </c>
      <c r="AB3021" t="s">
        <v>824</v>
      </c>
      <c r="AD3021" t="s">
        <v>794</v>
      </c>
      <c r="AE3021" t="s">
        <v>795</v>
      </c>
      <c r="AF3021" t="s">
        <v>796</v>
      </c>
      <c r="AG3021" t="s">
        <v>797</v>
      </c>
      <c r="AH3021">
        <v>173078</v>
      </c>
      <c r="AI3021">
        <v>182874.21479999999</v>
      </c>
      <c r="AJ3021">
        <v>6.1556668666604055E-3</v>
      </c>
    </row>
    <row r="3022" spans="14:36" x14ac:dyDescent="0.3">
      <c r="N3022" t="str">
        <f t="shared" si="179"/>
        <v>York42FNH and other Step-up/Step-down bedsBed based intermediate Care Services (Reablement, rehabilitation, wider short-term services supporting recovery)Bed-based intermediate care with reablement (to support discharge)</v>
      </c>
      <c r="O3022" t="s">
        <v>368</v>
      </c>
      <c r="P3022" t="s">
        <v>922</v>
      </c>
      <c r="Q3022">
        <v>42</v>
      </c>
      <c r="R3022" t="s">
        <v>7394</v>
      </c>
      <c r="S3022" t="s">
        <v>7606</v>
      </c>
      <c r="T3022" t="s">
        <v>877</v>
      </c>
      <c r="U3022" t="s">
        <v>878</v>
      </c>
      <c r="W3022">
        <v>104</v>
      </c>
      <c r="X3022">
        <v>104</v>
      </c>
      <c r="Y3022" t="s">
        <v>879</v>
      </c>
      <c r="Z3022" t="s">
        <v>823</v>
      </c>
      <c r="AB3022" t="s">
        <v>824</v>
      </c>
      <c r="AD3022" t="s">
        <v>794</v>
      </c>
      <c r="AE3022" t="s">
        <v>804</v>
      </c>
      <c r="AF3022" t="s">
        <v>845</v>
      </c>
      <c r="AG3022" t="s">
        <v>797</v>
      </c>
      <c r="AH3022">
        <v>205896</v>
      </c>
      <c r="AI3022">
        <v>205896</v>
      </c>
      <c r="AJ3022">
        <v>0.19931270147043165</v>
      </c>
    </row>
    <row r="3023" spans="14:36" x14ac:dyDescent="0.3">
      <c r="N3023" t="str">
        <f t="shared" si="179"/>
        <v>York46FNH and other Step-up/Step-down bedsBed based intermediate Care Services (Reablement, rehabilitation, wider short-term services supporting recovery)Bed-based intermediate care with reablement accepting step up and step down users</v>
      </c>
      <c r="O3023" t="s">
        <v>368</v>
      </c>
      <c r="P3023" t="s">
        <v>922</v>
      </c>
      <c r="Q3023">
        <v>46</v>
      </c>
      <c r="R3023" t="s">
        <v>7394</v>
      </c>
      <c r="S3023" t="s">
        <v>7607</v>
      </c>
      <c r="T3023" t="s">
        <v>877</v>
      </c>
      <c r="U3023" t="s">
        <v>1259</v>
      </c>
      <c r="W3023">
        <v>91</v>
      </c>
      <c r="X3023">
        <v>91</v>
      </c>
      <c r="Y3023" t="s">
        <v>879</v>
      </c>
      <c r="Z3023" t="s">
        <v>792</v>
      </c>
      <c r="AB3023" t="s">
        <v>793</v>
      </c>
      <c r="AD3023" t="s">
        <v>794</v>
      </c>
      <c r="AE3023" t="s">
        <v>804</v>
      </c>
      <c r="AF3023" t="s">
        <v>796</v>
      </c>
      <c r="AG3023" t="s">
        <v>797</v>
      </c>
      <c r="AH3023">
        <v>91440</v>
      </c>
      <c r="AI3023">
        <v>96615.504000000001</v>
      </c>
      <c r="AJ3023">
        <v>8.8516306399620534E-2</v>
      </c>
    </row>
    <row r="3024" spans="14:36" x14ac:dyDescent="0.3">
      <c r="N3024" t="str">
        <f t="shared" si="179"/>
        <v>York47FNH and other Step-up/Step-down bedsBed based intermediate Care Services (Reablement, rehabilitation, wider short-term services supporting recovery)Bed-based intermediate care with reablement accepting step up and step down users</v>
      </c>
      <c r="O3024" t="s">
        <v>368</v>
      </c>
      <c r="P3024" t="s">
        <v>922</v>
      </c>
      <c r="Q3024">
        <v>47</v>
      </c>
      <c r="R3024" t="s">
        <v>7394</v>
      </c>
      <c r="S3024" t="s">
        <v>7607</v>
      </c>
      <c r="T3024" t="s">
        <v>877</v>
      </c>
      <c r="U3024" t="s">
        <v>1259</v>
      </c>
      <c r="W3024">
        <v>49</v>
      </c>
      <c r="X3024">
        <v>49</v>
      </c>
      <c r="Y3024" t="s">
        <v>879</v>
      </c>
      <c r="Z3024" t="s">
        <v>792</v>
      </c>
      <c r="AB3024" t="s">
        <v>793</v>
      </c>
      <c r="AD3024" t="s">
        <v>794</v>
      </c>
      <c r="AE3024" t="s">
        <v>804</v>
      </c>
      <c r="AF3024" t="s">
        <v>845</v>
      </c>
      <c r="AG3024" t="s">
        <v>797</v>
      </c>
      <c r="AH3024">
        <v>49000</v>
      </c>
      <c r="AI3024">
        <v>49000</v>
      </c>
      <c r="AJ3024">
        <v>4.743327880119648E-2</v>
      </c>
    </row>
    <row r="3025" spans="14:36" x14ac:dyDescent="0.3">
      <c r="N3025" t="str">
        <f t="shared" si="179"/>
        <v>York56Packages of Care - Care at HomeHome Care or Domiciliary CareDomiciliary care to support hospital discharge (Discharge to Assess pathway 1)</v>
      </c>
      <c r="O3025" t="s">
        <v>368</v>
      </c>
      <c r="P3025" t="s">
        <v>922</v>
      </c>
      <c r="Q3025">
        <v>56</v>
      </c>
      <c r="R3025" t="s">
        <v>7382</v>
      </c>
      <c r="S3025" t="s">
        <v>7608</v>
      </c>
      <c r="T3025" t="s">
        <v>842</v>
      </c>
      <c r="U3025" t="s">
        <v>856</v>
      </c>
      <c r="W3025">
        <v>8237</v>
      </c>
      <c r="X3025">
        <v>8237</v>
      </c>
      <c r="Y3025" t="s">
        <v>844</v>
      </c>
      <c r="Z3025" t="s">
        <v>792</v>
      </c>
      <c r="AB3025" t="s">
        <v>793</v>
      </c>
      <c r="AD3025" t="s">
        <v>794</v>
      </c>
      <c r="AE3025" t="s">
        <v>795</v>
      </c>
      <c r="AF3025" t="s">
        <v>796</v>
      </c>
      <c r="AG3025" t="s">
        <v>797</v>
      </c>
      <c r="AH3025">
        <v>212444</v>
      </c>
      <c r="AI3025">
        <v>224468.33040000001</v>
      </c>
      <c r="AJ3025">
        <v>7.5557522725060557E-3</v>
      </c>
    </row>
    <row r="3026" spans="14:36" x14ac:dyDescent="0.3">
      <c r="N3026" t="str">
        <f t="shared" si="179"/>
        <v>York57Packages of Care - Care at HomeHome Care or Domiciliary CareDomiciliary care to support hospital discharge (Discharge to Assess pathway 1)</v>
      </c>
      <c r="O3026" t="s">
        <v>368</v>
      </c>
      <c r="P3026" t="s">
        <v>922</v>
      </c>
      <c r="Q3026">
        <v>57</v>
      </c>
      <c r="R3026" t="s">
        <v>7382</v>
      </c>
      <c r="S3026" t="s">
        <v>7608</v>
      </c>
      <c r="T3026" t="s">
        <v>842</v>
      </c>
      <c r="U3026" t="s">
        <v>856</v>
      </c>
      <c r="W3026">
        <v>1939</v>
      </c>
      <c r="X3026">
        <v>1939</v>
      </c>
      <c r="Y3026" t="s">
        <v>844</v>
      </c>
      <c r="Z3026" t="s">
        <v>792</v>
      </c>
      <c r="AB3026" t="s">
        <v>793</v>
      </c>
      <c r="AD3026" t="s">
        <v>794</v>
      </c>
      <c r="AE3026" t="s">
        <v>795</v>
      </c>
      <c r="AF3026" t="s">
        <v>845</v>
      </c>
      <c r="AG3026" t="s">
        <v>797</v>
      </c>
      <c r="AH3026">
        <v>50000</v>
      </c>
      <c r="AI3026">
        <v>50000</v>
      </c>
      <c r="AJ3026">
        <v>1.7782926965473388E-3</v>
      </c>
    </row>
    <row r="3027" spans="14:36" x14ac:dyDescent="0.3">
      <c r="N3027" t="str">
        <f t="shared" si="179"/>
        <v>York59Nursing care bedsResidential PlacementsNursing home</v>
      </c>
      <c r="O3027" t="s">
        <v>368</v>
      </c>
      <c r="P3027" t="s">
        <v>922</v>
      </c>
      <c r="Q3027">
        <v>59</v>
      </c>
      <c r="R3027" t="s">
        <v>7430</v>
      </c>
      <c r="S3027" t="s">
        <v>7609</v>
      </c>
      <c r="T3027" t="s">
        <v>806</v>
      </c>
      <c r="U3027" t="s">
        <v>917</v>
      </c>
      <c r="W3027">
        <v>208</v>
      </c>
      <c r="X3027">
        <v>335</v>
      </c>
      <c r="Y3027" t="s">
        <v>808</v>
      </c>
      <c r="Z3027" t="s">
        <v>792</v>
      </c>
      <c r="AB3027" t="s">
        <v>793</v>
      </c>
      <c r="AD3027" t="s">
        <v>794</v>
      </c>
      <c r="AE3027" t="s">
        <v>795</v>
      </c>
      <c r="AF3027" t="s">
        <v>864</v>
      </c>
      <c r="AG3027" t="s">
        <v>797</v>
      </c>
      <c r="AH3027">
        <v>223050.88000000009</v>
      </c>
      <c r="AI3027">
        <v>329593</v>
      </c>
      <c r="AJ3027">
        <v>2.8920454485492236E-3</v>
      </c>
    </row>
    <row r="3028" spans="14:36" x14ac:dyDescent="0.3">
      <c r="N3028" t="str">
        <f t="shared" si="179"/>
        <v>York60Home CareHome Care or Domiciliary CareDomiciliary care packages</v>
      </c>
      <c r="O3028" t="s">
        <v>368</v>
      </c>
      <c r="P3028" t="s">
        <v>922</v>
      </c>
      <c r="Q3028">
        <v>60</v>
      </c>
      <c r="R3028" t="s">
        <v>1447</v>
      </c>
      <c r="S3028" t="s">
        <v>7610</v>
      </c>
      <c r="T3028" t="s">
        <v>842</v>
      </c>
      <c r="U3028" t="s">
        <v>843</v>
      </c>
      <c r="W3028">
        <v>11960</v>
      </c>
      <c r="X3028">
        <v>19048</v>
      </c>
      <c r="Y3028" t="s">
        <v>844</v>
      </c>
      <c r="Z3028" t="s">
        <v>792</v>
      </c>
      <c r="AB3028" t="s">
        <v>793</v>
      </c>
      <c r="AD3028" t="s">
        <v>794</v>
      </c>
      <c r="AE3028" t="s">
        <v>795</v>
      </c>
      <c r="AF3028" t="s">
        <v>864</v>
      </c>
      <c r="AG3028" t="s">
        <v>797</v>
      </c>
      <c r="AH3028">
        <v>287027.59999999974</v>
      </c>
      <c r="AI3028">
        <v>401701.74</v>
      </c>
      <c r="AJ3028">
        <v>1.020838169575021E-2</v>
      </c>
    </row>
    <row r="3029" spans="14:36" x14ac:dyDescent="0.3">
      <c r="N3029" t="str">
        <f t="shared" si="179"/>
        <v xml:space="preserve">York63Additional reablementHome-based intermediate care servicesReablement at home (to support discharge) </v>
      </c>
      <c r="O3029" t="s">
        <v>368</v>
      </c>
      <c r="P3029" t="s">
        <v>922</v>
      </c>
      <c r="Q3029">
        <v>63</v>
      </c>
      <c r="R3029" t="s">
        <v>7434</v>
      </c>
      <c r="S3029" t="s">
        <v>7601</v>
      </c>
      <c r="T3029" t="s">
        <v>787</v>
      </c>
      <c r="U3029" t="s">
        <v>788</v>
      </c>
      <c r="W3029">
        <v>69</v>
      </c>
      <c r="X3029">
        <v>94</v>
      </c>
      <c r="Y3029" t="s">
        <v>789</v>
      </c>
      <c r="Z3029" t="s">
        <v>792</v>
      </c>
      <c r="AB3029" t="s">
        <v>824</v>
      </c>
      <c r="AD3029" t="s">
        <v>794</v>
      </c>
      <c r="AE3029" t="s">
        <v>804</v>
      </c>
      <c r="AF3029" t="s">
        <v>860</v>
      </c>
      <c r="AG3029" t="s">
        <v>797</v>
      </c>
      <c r="AH3029">
        <v>135127</v>
      </c>
      <c r="AI3029">
        <v>191264.63228249049</v>
      </c>
      <c r="AJ3029">
        <v>8.4897486820272566E-2</v>
      </c>
    </row>
    <row r="3030" spans="14:36" x14ac:dyDescent="0.3">
      <c r="N3030" t="str">
        <f t="shared" si="179"/>
        <v>York68ImmedicareAssistive Technologies and EquipmentAssistive technologies including telecare</v>
      </c>
      <c r="O3030" t="s">
        <v>368</v>
      </c>
      <c r="P3030" t="s">
        <v>922</v>
      </c>
      <c r="Q3030">
        <v>68</v>
      </c>
      <c r="R3030" t="s">
        <v>7437</v>
      </c>
      <c r="S3030" t="s">
        <v>7611</v>
      </c>
      <c r="T3030" t="s">
        <v>800</v>
      </c>
      <c r="U3030" t="s">
        <v>850</v>
      </c>
      <c r="W3030">
        <v>1283</v>
      </c>
      <c r="X3030">
        <v>1283</v>
      </c>
      <c r="Y3030" t="s">
        <v>802</v>
      </c>
      <c r="Z3030" t="s">
        <v>823</v>
      </c>
      <c r="AB3030" t="s">
        <v>824</v>
      </c>
      <c r="AD3030" t="s">
        <v>794</v>
      </c>
      <c r="AE3030" t="s">
        <v>804</v>
      </c>
      <c r="AF3030" t="s">
        <v>860</v>
      </c>
      <c r="AG3030" t="s">
        <v>797</v>
      </c>
      <c r="AH3030">
        <v>176272</v>
      </c>
      <c r="AI3030">
        <v>249503.05462046192</v>
      </c>
      <c r="AJ3030">
        <v>7.6116779873996565E-2</v>
      </c>
    </row>
  </sheetData>
  <autoFilter ref="N1:AJ3030" xr:uid="{BB5AEEE6-CEB5-429E-BAC4-67496EA9C0B3}">
    <sortState xmlns:xlrd2="http://schemas.microsoft.com/office/spreadsheetml/2017/richdata2" ref="N2:AJ3030">
      <sortCondition ref="O1:O3030"/>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6A7B-2E6C-4E0A-A287-6A4D4915D13B}">
  <dimension ref="A1:Y1065"/>
  <sheetViews>
    <sheetView zoomScale="80" zoomScaleNormal="80" workbookViewId="0">
      <selection activeCell="D27" sqref="D27"/>
    </sheetView>
  </sheetViews>
  <sheetFormatPr defaultRowHeight="14.4" x14ac:dyDescent="0.3"/>
  <cols>
    <col min="1" max="1" width="28.33203125" customWidth="1"/>
    <col min="2" max="2" width="35.5546875" customWidth="1"/>
    <col min="3" max="3" width="38.6640625" bestFit="1" customWidth="1"/>
    <col min="4" max="4" width="81.109375" bestFit="1" customWidth="1"/>
    <col min="5" max="16" width="14.44140625" bestFit="1" customWidth="1"/>
    <col min="17" max="17" width="81.109375" bestFit="1" customWidth="1"/>
    <col min="18" max="18" width="6.5546875" bestFit="1" customWidth="1"/>
    <col min="19" max="19" width="8.109375" bestFit="1" customWidth="1"/>
    <col min="20" max="20" width="7.5546875" bestFit="1" customWidth="1"/>
    <col min="21" max="21" width="13" bestFit="1" customWidth="1"/>
    <col min="22" max="22" width="15" bestFit="1" customWidth="1"/>
    <col min="23" max="23" width="80.88671875" style="118" bestFit="1" customWidth="1"/>
    <col min="24" max="24" width="33.88671875" style="118" bestFit="1" customWidth="1"/>
    <col min="25" max="25" width="36.109375" style="118" bestFit="1" customWidth="1"/>
  </cols>
  <sheetData>
    <row r="1" spans="1:25" x14ac:dyDescent="0.3">
      <c r="A1" s="9" t="s">
        <v>7612</v>
      </c>
      <c r="B1" s="9" t="s">
        <v>735</v>
      </c>
      <c r="C1" t="s">
        <v>443</v>
      </c>
      <c r="D1" t="s">
        <v>691</v>
      </c>
      <c r="E1" t="s">
        <v>737</v>
      </c>
      <c r="F1" t="s">
        <v>738</v>
      </c>
      <c r="G1" t="s">
        <v>739</v>
      </c>
      <c r="H1" t="s">
        <v>740</v>
      </c>
      <c r="I1" t="s">
        <v>741</v>
      </c>
      <c r="J1" t="s">
        <v>742</v>
      </c>
      <c r="K1" t="s">
        <v>743</v>
      </c>
      <c r="L1" t="s">
        <v>744</v>
      </c>
      <c r="M1" t="s">
        <v>745</v>
      </c>
      <c r="N1" t="s">
        <v>746</v>
      </c>
      <c r="O1" t="s">
        <v>747</v>
      </c>
      <c r="P1" t="s">
        <v>748</v>
      </c>
      <c r="Q1" t="s">
        <v>3829</v>
      </c>
      <c r="R1" t="s">
        <v>793</v>
      </c>
      <c r="S1" t="s">
        <v>1739</v>
      </c>
      <c r="W1"/>
      <c r="X1"/>
      <c r="Y1"/>
    </row>
    <row r="2" spans="1:25" x14ac:dyDescent="0.3">
      <c r="A2" t="str">
        <f>Table_Capacity_HD_frontsheet[[#This Row],[Name]]&amp;B2</f>
        <v>Barking and DagenhamSocial support (including VCS) (pathway 0)</v>
      </c>
      <c r="B2" t="str">
        <f>VLOOKUP(Table_Capacity_HD_frontsheet[[#This Row],[Service Area]],PathwayLookup!A:B,2,0)</f>
        <v>Social support (including VCS) (pathway 0)</v>
      </c>
      <c r="C2" t="s">
        <v>65</v>
      </c>
      <c r="D2" t="s">
        <v>726</v>
      </c>
      <c r="E2">
        <v>36</v>
      </c>
      <c r="F2">
        <v>39</v>
      </c>
      <c r="G2">
        <v>41</v>
      </c>
      <c r="H2">
        <v>43</v>
      </c>
      <c r="I2">
        <v>45</v>
      </c>
      <c r="J2">
        <v>47</v>
      </c>
      <c r="K2">
        <v>50</v>
      </c>
      <c r="L2">
        <v>52</v>
      </c>
      <c r="M2">
        <v>54</v>
      </c>
      <c r="N2">
        <v>56</v>
      </c>
      <c r="O2">
        <v>59</v>
      </c>
      <c r="P2">
        <v>61</v>
      </c>
      <c r="R2">
        <v>1</v>
      </c>
      <c r="W2"/>
      <c r="X2"/>
      <c r="Y2"/>
    </row>
    <row r="3" spans="1:25" x14ac:dyDescent="0.3">
      <c r="A3" t="str">
        <f>Table_Capacity_HD_frontsheet[[#This Row],[Name]]&amp;B3</f>
        <v>Barking and DagenhamReablement &amp; Rehabilitation at home  (pathway 1)</v>
      </c>
      <c r="B3" t="str">
        <f>VLOOKUP(Table_Capacity_HD_frontsheet[[#This Row],[Service Area]],PathwayLookup!A:B,2,0)</f>
        <v>Reablement &amp; Rehabilitation at home  (pathway 1)</v>
      </c>
      <c r="C3" t="s">
        <v>65</v>
      </c>
      <c r="D3" t="s">
        <v>728</v>
      </c>
      <c r="E3">
        <v>64</v>
      </c>
      <c r="F3">
        <v>64</v>
      </c>
      <c r="G3">
        <v>64</v>
      </c>
      <c r="H3">
        <v>64</v>
      </c>
      <c r="I3">
        <v>64</v>
      </c>
      <c r="J3">
        <v>64</v>
      </c>
      <c r="K3">
        <v>67</v>
      </c>
      <c r="L3">
        <v>67</v>
      </c>
      <c r="M3">
        <v>67</v>
      </c>
      <c r="N3">
        <v>67</v>
      </c>
      <c r="O3">
        <v>67</v>
      </c>
      <c r="P3">
        <v>67</v>
      </c>
      <c r="R3">
        <v>1</v>
      </c>
      <c r="W3"/>
      <c r="X3"/>
      <c r="Y3"/>
    </row>
    <row r="4" spans="1:25" x14ac:dyDescent="0.3">
      <c r="A4" t="str">
        <f>Table_Capacity_HD_frontsheet[[#This Row],[Name]]&amp;B4</f>
        <v>Barking and DagenhamReablement &amp; Rehabilitation at home  (pathway 1)</v>
      </c>
      <c r="B4" t="str">
        <f>VLOOKUP(Table_Capacity_HD_frontsheet[[#This Row],[Service Area]],PathwayLookup!A:B,2,0)</f>
        <v>Reablement &amp; Rehabilitation at home  (pathway 1)</v>
      </c>
      <c r="C4" t="s">
        <v>65</v>
      </c>
      <c r="D4" t="s">
        <v>721</v>
      </c>
      <c r="E4">
        <v>12.7</v>
      </c>
      <c r="F4">
        <v>12.7</v>
      </c>
      <c r="G4">
        <v>12.7</v>
      </c>
      <c r="H4">
        <v>12.7</v>
      </c>
      <c r="I4">
        <v>12.7</v>
      </c>
      <c r="J4">
        <v>12.7</v>
      </c>
      <c r="K4">
        <v>12.7</v>
      </c>
      <c r="L4">
        <v>12.7</v>
      </c>
      <c r="M4">
        <v>12.7</v>
      </c>
      <c r="N4">
        <v>12.7</v>
      </c>
      <c r="O4">
        <v>12.7</v>
      </c>
      <c r="P4">
        <v>12.7</v>
      </c>
      <c r="Q4">
        <v>1</v>
      </c>
      <c r="W4"/>
      <c r="X4"/>
      <c r="Y4"/>
    </row>
    <row r="5" spans="1:25" x14ac:dyDescent="0.3">
      <c r="A5" t="str">
        <f>Table_Capacity_HD_frontsheet[[#This Row],[Name]]&amp;B5</f>
        <v>Barking and DagenhamShort term domiciliary care (pathway 1)</v>
      </c>
      <c r="B5" t="str">
        <f>VLOOKUP(Table_Capacity_HD_frontsheet[[#This Row],[Service Area]],PathwayLookup!A:B,2,0)</f>
        <v>Short term domiciliary care (pathway 1)</v>
      </c>
      <c r="C5" t="s">
        <v>65</v>
      </c>
      <c r="D5" t="s">
        <v>730</v>
      </c>
      <c r="W5"/>
      <c r="X5"/>
      <c r="Y5"/>
    </row>
    <row r="6" spans="1:25" x14ac:dyDescent="0.3">
      <c r="A6" t="str">
        <f>Table_Capacity_HD_frontsheet[[#This Row],[Name]]&amp;B6</f>
        <v>Barking and DagenhamReablement &amp; Rehabilitation in a bedded setting (pathway 2)</v>
      </c>
      <c r="B6" t="str">
        <f>VLOOKUP(Table_Capacity_HD_frontsheet[[#This Row],[Service Area]],PathwayLookup!A:B,2,0)</f>
        <v>Reablement &amp; Rehabilitation in a bedded setting (pathway 2)</v>
      </c>
      <c r="C6" t="s">
        <v>65</v>
      </c>
      <c r="D6" t="s">
        <v>723</v>
      </c>
      <c r="W6"/>
      <c r="X6"/>
      <c r="Y6"/>
    </row>
    <row r="7" spans="1:25" x14ac:dyDescent="0.3">
      <c r="A7" t="str">
        <f>Table_Capacity_HD_frontsheet[[#This Row],[Name]]&amp;B7</f>
        <v>Barking and DagenhamReablement &amp; Rehabilitation in a bedded setting (pathway 2)</v>
      </c>
      <c r="B7" t="str">
        <f>VLOOKUP(Table_Capacity_HD_frontsheet[[#This Row],[Service Area]],PathwayLookup!A:B,2,0)</f>
        <v>Reablement &amp; Rehabilitation in a bedded setting (pathway 2)</v>
      </c>
      <c r="C7" t="s">
        <v>65</v>
      </c>
      <c r="D7" t="s">
        <v>725</v>
      </c>
      <c r="E7">
        <v>16</v>
      </c>
      <c r="F7">
        <v>15</v>
      </c>
      <c r="G7">
        <v>15</v>
      </c>
      <c r="H7">
        <v>15</v>
      </c>
      <c r="I7">
        <v>15</v>
      </c>
      <c r="J7">
        <v>15</v>
      </c>
      <c r="K7">
        <v>15</v>
      </c>
      <c r="L7">
        <v>16</v>
      </c>
      <c r="M7">
        <v>16</v>
      </c>
      <c r="N7">
        <v>16</v>
      </c>
      <c r="O7">
        <v>16</v>
      </c>
      <c r="P7">
        <v>16</v>
      </c>
      <c r="Q7">
        <v>1</v>
      </c>
      <c r="W7"/>
      <c r="X7"/>
      <c r="Y7"/>
    </row>
    <row r="8" spans="1:25" x14ac:dyDescent="0.3">
      <c r="A8" t="str">
        <f>Table_Capacity_HD_frontsheet[[#This Row],[Name]]&amp;B8</f>
        <v>Barking and DagenhamShort-term residential/nursing care for someone likely to require a longer-term care home placement (pathway 3)</v>
      </c>
      <c r="B8" t="str">
        <f>VLOOKUP(Table_Capacity_HD_frontsheet[[#This Row],[Service Area]],PathwayLookup!A:B,2,0)</f>
        <v>Short-term residential/nursing care for someone likely to require a longer-term care home placement (pathway 3)</v>
      </c>
      <c r="C8" t="s">
        <v>65</v>
      </c>
      <c r="D8" t="s">
        <v>731</v>
      </c>
      <c r="E8">
        <v>3</v>
      </c>
      <c r="F8">
        <v>3</v>
      </c>
      <c r="G8">
        <v>3</v>
      </c>
      <c r="H8">
        <v>3</v>
      </c>
      <c r="I8">
        <v>3</v>
      </c>
      <c r="J8">
        <v>3</v>
      </c>
      <c r="K8">
        <v>3</v>
      </c>
      <c r="L8">
        <v>3</v>
      </c>
      <c r="M8">
        <v>3</v>
      </c>
      <c r="N8">
        <v>3</v>
      </c>
      <c r="O8">
        <v>3</v>
      </c>
      <c r="P8">
        <v>3</v>
      </c>
      <c r="R8">
        <v>1</v>
      </c>
      <c r="W8"/>
      <c r="X8"/>
      <c r="Y8"/>
    </row>
    <row r="9" spans="1:25" x14ac:dyDescent="0.3">
      <c r="A9" t="str">
        <f>Table_Capacity_HD_frontsheet[[#This Row],[Name]]&amp;B9</f>
        <v>BarnetSocial support (including VCS) (pathway 0)</v>
      </c>
      <c r="B9" t="str">
        <f>VLOOKUP(Table_Capacity_HD_frontsheet[[#This Row],[Service Area]],PathwayLookup!A:B,2,0)</f>
        <v>Social support (including VCS) (pathway 0)</v>
      </c>
      <c r="C9" t="s">
        <v>67</v>
      </c>
      <c r="D9" t="s">
        <v>726</v>
      </c>
      <c r="E9">
        <v>81</v>
      </c>
      <c r="F9">
        <v>81</v>
      </c>
      <c r="G9">
        <v>81</v>
      </c>
      <c r="H9">
        <v>81</v>
      </c>
      <c r="I9">
        <v>81</v>
      </c>
      <c r="J9">
        <v>81</v>
      </c>
      <c r="K9">
        <v>81</v>
      </c>
      <c r="L9">
        <v>81</v>
      </c>
      <c r="M9">
        <v>81</v>
      </c>
      <c r="N9">
        <v>81</v>
      </c>
      <c r="O9">
        <v>81</v>
      </c>
      <c r="P9">
        <v>81</v>
      </c>
      <c r="Q9">
        <v>1</v>
      </c>
      <c r="R9">
        <v>0</v>
      </c>
      <c r="S9">
        <v>0</v>
      </c>
      <c r="W9"/>
      <c r="X9"/>
      <c r="Y9"/>
    </row>
    <row r="10" spans="1:25" x14ac:dyDescent="0.3">
      <c r="A10" t="str">
        <f>Table_Capacity_HD_frontsheet[[#This Row],[Name]]&amp;B10</f>
        <v>BarnetReablement &amp; Rehabilitation at home  (pathway 1)</v>
      </c>
      <c r="B10" t="str">
        <f>VLOOKUP(Table_Capacity_HD_frontsheet[[#This Row],[Service Area]],PathwayLookup!A:B,2,0)</f>
        <v>Reablement &amp; Rehabilitation at home  (pathway 1)</v>
      </c>
      <c r="C10" t="s">
        <v>67</v>
      </c>
      <c r="D10" t="s">
        <v>728</v>
      </c>
      <c r="E10">
        <v>255</v>
      </c>
      <c r="F10">
        <v>280</v>
      </c>
      <c r="G10">
        <v>233</v>
      </c>
      <c r="H10">
        <v>210</v>
      </c>
      <c r="I10">
        <v>201</v>
      </c>
      <c r="J10">
        <v>218</v>
      </c>
      <c r="K10">
        <v>225</v>
      </c>
      <c r="L10">
        <v>246</v>
      </c>
      <c r="M10">
        <v>260</v>
      </c>
      <c r="N10">
        <v>284</v>
      </c>
      <c r="O10">
        <v>243</v>
      </c>
      <c r="P10">
        <v>204</v>
      </c>
      <c r="Q10">
        <v>0</v>
      </c>
      <c r="R10">
        <v>1</v>
      </c>
      <c r="S10">
        <v>0</v>
      </c>
      <c r="W10"/>
      <c r="X10"/>
      <c r="Y10"/>
    </row>
    <row r="11" spans="1:25" x14ac:dyDescent="0.3">
      <c r="A11" t="str">
        <f>Table_Capacity_HD_frontsheet[[#This Row],[Name]]&amp;B11</f>
        <v>BarnetReablement &amp; Rehabilitation at home  (pathway 1)</v>
      </c>
      <c r="B11" t="str">
        <f>VLOOKUP(Table_Capacity_HD_frontsheet[[#This Row],[Service Area]],PathwayLookup!A:B,2,0)</f>
        <v>Reablement &amp; Rehabilitation at home  (pathway 1)</v>
      </c>
      <c r="C11" t="s">
        <v>67</v>
      </c>
      <c r="D11" t="s">
        <v>721</v>
      </c>
      <c r="E11">
        <v>68</v>
      </c>
      <c r="F11">
        <v>49</v>
      </c>
      <c r="G11">
        <v>58</v>
      </c>
      <c r="H11">
        <v>158</v>
      </c>
      <c r="I11">
        <v>50</v>
      </c>
      <c r="J11">
        <v>142</v>
      </c>
      <c r="K11">
        <v>62</v>
      </c>
      <c r="L11">
        <v>35</v>
      </c>
      <c r="M11">
        <v>67</v>
      </c>
      <c r="N11">
        <v>12</v>
      </c>
      <c r="O11">
        <v>66</v>
      </c>
      <c r="P11">
        <v>113</v>
      </c>
      <c r="Q11">
        <v>1</v>
      </c>
      <c r="R11">
        <v>0</v>
      </c>
      <c r="S11">
        <v>0</v>
      </c>
      <c r="W11"/>
      <c r="X11"/>
      <c r="Y11"/>
    </row>
    <row r="12" spans="1:25" x14ac:dyDescent="0.3">
      <c r="A12" t="str">
        <f>Table_Capacity_HD_frontsheet[[#This Row],[Name]]&amp;B12</f>
        <v>BarnetShort term domiciliary care (pathway 1)</v>
      </c>
      <c r="B12" t="str">
        <f>VLOOKUP(Table_Capacity_HD_frontsheet[[#This Row],[Service Area]],PathwayLookup!A:B,2,0)</f>
        <v>Short term domiciliary care (pathway 1)</v>
      </c>
      <c r="C12" t="s">
        <v>67</v>
      </c>
      <c r="D12" t="s">
        <v>730</v>
      </c>
      <c r="E12">
        <v>0</v>
      </c>
      <c r="F12">
        <v>0</v>
      </c>
      <c r="G12">
        <v>0</v>
      </c>
      <c r="H12">
        <v>0</v>
      </c>
      <c r="I12">
        <v>0</v>
      </c>
      <c r="J12">
        <v>0</v>
      </c>
      <c r="K12">
        <v>0</v>
      </c>
      <c r="L12">
        <v>0</v>
      </c>
      <c r="M12">
        <v>0</v>
      </c>
      <c r="N12">
        <v>0</v>
      </c>
      <c r="O12">
        <v>0</v>
      </c>
      <c r="P12">
        <v>0</v>
      </c>
      <c r="Q12">
        <v>0</v>
      </c>
      <c r="R12">
        <v>0</v>
      </c>
      <c r="S12">
        <v>0</v>
      </c>
      <c r="W12"/>
      <c r="X12"/>
      <c r="Y12"/>
    </row>
    <row r="13" spans="1:25" x14ac:dyDescent="0.3">
      <c r="A13" t="str">
        <f>Table_Capacity_HD_frontsheet[[#This Row],[Name]]&amp;B13</f>
        <v>BarnetReablement &amp; Rehabilitation in a bedded setting (pathway 2)</v>
      </c>
      <c r="B13" t="str">
        <f>VLOOKUP(Table_Capacity_HD_frontsheet[[#This Row],[Service Area]],PathwayLookup!A:B,2,0)</f>
        <v>Reablement &amp; Rehabilitation in a bedded setting (pathway 2)</v>
      </c>
      <c r="C13" t="s">
        <v>67</v>
      </c>
      <c r="D13" t="s">
        <v>723</v>
      </c>
      <c r="E13">
        <v>22</v>
      </c>
      <c r="F13">
        <v>23</v>
      </c>
      <c r="G13">
        <v>22</v>
      </c>
      <c r="H13">
        <v>23</v>
      </c>
      <c r="I13">
        <v>23</v>
      </c>
      <c r="J13">
        <v>22</v>
      </c>
      <c r="K13">
        <v>23</v>
      </c>
      <c r="L13">
        <v>22</v>
      </c>
      <c r="M13">
        <v>23</v>
      </c>
      <c r="N13">
        <v>23</v>
      </c>
      <c r="O13">
        <v>21</v>
      </c>
      <c r="P13">
        <v>22</v>
      </c>
      <c r="Q13">
        <v>1</v>
      </c>
      <c r="R13">
        <v>0</v>
      </c>
      <c r="S13">
        <v>0</v>
      </c>
      <c r="W13"/>
      <c r="X13"/>
      <c r="Y13"/>
    </row>
    <row r="14" spans="1:25" x14ac:dyDescent="0.3">
      <c r="A14" t="str">
        <f>Table_Capacity_HD_frontsheet[[#This Row],[Name]]&amp;B14</f>
        <v>BarnetReablement &amp; Rehabilitation in a bedded setting (pathway 2)</v>
      </c>
      <c r="B14" t="str">
        <f>VLOOKUP(Table_Capacity_HD_frontsheet[[#This Row],[Service Area]],PathwayLookup!A:B,2,0)</f>
        <v>Reablement &amp; Rehabilitation in a bedded setting (pathway 2)</v>
      </c>
      <c r="C14" t="s">
        <v>67</v>
      </c>
      <c r="D14" t="s">
        <v>725</v>
      </c>
      <c r="E14">
        <v>78</v>
      </c>
      <c r="F14">
        <v>80</v>
      </c>
      <c r="G14">
        <v>78</v>
      </c>
      <c r="H14">
        <v>80</v>
      </c>
      <c r="I14">
        <v>80</v>
      </c>
      <c r="J14">
        <v>78</v>
      </c>
      <c r="K14">
        <v>80</v>
      </c>
      <c r="L14">
        <v>78</v>
      </c>
      <c r="M14">
        <v>80</v>
      </c>
      <c r="N14">
        <v>80</v>
      </c>
      <c r="O14">
        <v>72</v>
      </c>
      <c r="P14">
        <v>78</v>
      </c>
      <c r="Q14">
        <v>1</v>
      </c>
      <c r="R14">
        <v>0</v>
      </c>
      <c r="S14">
        <v>0</v>
      </c>
      <c r="W14"/>
      <c r="X14"/>
      <c r="Y14"/>
    </row>
    <row r="15" spans="1:25" x14ac:dyDescent="0.3">
      <c r="A15" t="str">
        <f>Table_Capacity_HD_frontsheet[[#This Row],[Name]]&amp;B15</f>
        <v>BarnetShort-term residential/nursing care for someone likely to require a longer-term care home placement (pathway 3)</v>
      </c>
      <c r="B15" t="str">
        <f>VLOOKUP(Table_Capacity_HD_frontsheet[[#This Row],[Service Area]],PathwayLookup!A:B,2,0)</f>
        <v>Short-term residential/nursing care for someone likely to require a longer-term care home placement (pathway 3)</v>
      </c>
      <c r="C15" t="s">
        <v>67</v>
      </c>
      <c r="D15" t="s">
        <v>731</v>
      </c>
      <c r="E15">
        <v>30</v>
      </c>
      <c r="F15">
        <v>30</v>
      </c>
      <c r="G15">
        <v>30</v>
      </c>
      <c r="H15">
        <v>30</v>
      </c>
      <c r="I15">
        <v>30</v>
      </c>
      <c r="J15">
        <v>30</v>
      </c>
      <c r="K15">
        <v>30</v>
      </c>
      <c r="L15">
        <v>30</v>
      </c>
      <c r="M15">
        <v>30</v>
      </c>
      <c r="N15">
        <v>30</v>
      </c>
      <c r="O15">
        <v>30</v>
      </c>
      <c r="P15">
        <v>30</v>
      </c>
      <c r="Q15">
        <v>0.15</v>
      </c>
      <c r="R15">
        <v>0.85</v>
      </c>
      <c r="S15">
        <v>0</v>
      </c>
      <c r="W15"/>
      <c r="X15"/>
      <c r="Y15"/>
    </row>
    <row r="16" spans="1:25" x14ac:dyDescent="0.3">
      <c r="A16" t="str">
        <f>Table_Capacity_HD_frontsheet[[#This Row],[Name]]&amp;B16</f>
        <v>BarnsleySocial support (including VCS) (pathway 0)</v>
      </c>
      <c r="B16" t="str">
        <f>VLOOKUP(Table_Capacity_HD_frontsheet[[#This Row],[Service Area]],PathwayLookup!A:B,2,0)</f>
        <v>Social support (including VCS) (pathway 0)</v>
      </c>
      <c r="C16" t="s">
        <v>69</v>
      </c>
      <c r="D16" t="s">
        <v>726</v>
      </c>
      <c r="E16">
        <v>1806</v>
      </c>
      <c r="F16">
        <v>1866</v>
      </c>
      <c r="G16">
        <v>1806</v>
      </c>
      <c r="H16">
        <v>1866</v>
      </c>
      <c r="I16">
        <v>1866</v>
      </c>
      <c r="J16">
        <v>1806</v>
      </c>
      <c r="K16">
        <v>1866</v>
      </c>
      <c r="L16">
        <v>1806</v>
      </c>
      <c r="M16">
        <v>1866</v>
      </c>
      <c r="N16">
        <v>1866</v>
      </c>
      <c r="O16">
        <v>1686</v>
      </c>
      <c r="P16">
        <v>1866</v>
      </c>
      <c r="W16"/>
      <c r="X16"/>
      <c r="Y16"/>
    </row>
    <row r="17" spans="1:25" x14ac:dyDescent="0.3">
      <c r="A17" t="str">
        <f>Table_Capacity_HD_frontsheet[[#This Row],[Name]]&amp;B17</f>
        <v>BarnsleyReablement &amp; Rehabilitation at home  (pathway 1)</v>
      </c>
      <c r="B17" t="str">
        <f>VLOOKUP(Table_Capacity_HD_frontsheet[[#This Row],[Service Area]],PathwayLookup!A:B,2,0)</f>
        <v>Reablement &amp; Rehabilitation at home  (pathway 1)</v>
      </c>
      <c r="C17" t="s">
        <v>69</v>
      </c>
      <c r="D17" t="s">
        <v>728</v>
      </c>
      <c r="E17">
        <v>83</v>
      </c>
      <c r="F17">
        <v>83</v>
      </c>
      <c r="G17">
        <v>83</v>
      </c>
      <c r="H17">
        <v>83</v>
      </c>
      <c r="I17">
        <v>83</v>
      </c>
      <c r="J17">
        <v>83</v>
      </c>
      <c r="K17">
        <v>83</v>
      </c>
      <c r="L17">
        <v>83</v>
      </c>
      <c r="M17">
        <v>83</v>
      </c>
      <c r="N17">
        <v>83</v>
      </c>
      <c r="O17">
        <v>83</v>
      </c>
      <c r="P17">
        <v>83</v>
      </c>
      <c r="R17">
        <v>1</v>
      </c>
      <c r="W17"/>
      <c r="X17"/>
      <c r="Y17"/>
    </row>
    <row r="18" spans="1:25" x14ac:dyDescent="0.3">
      <c r="A18" t="str">
        <f>Table_Capacity_HD_frontsheet[[#This Row],[Name]]&amp;B18</f>
        <v>BarnsleyReablement &amp; Rehabilitation at home  (pathway 1)</v>
      </c>
      <c r="B18" t="str">
        <f>VLOOKUP(Table_Capacity_HD_frontsheet[[#This Row],[Service Area]],PathwayLookup!A:B,2,0)</f>
        <v>Reablement &amp; Rehabilitation at home  (pathway 1)</v>
      </c>
      <c r="C18" t="s">
        <v>69</v>
      </c>
      <c r="D18" t="s">
        <v>721</v>
      </c>
      <c r="E18">
        <v>160</v>
      </c>
      <c r="F18">
        <v>166</v>
      </c>
      <c r="G18">
        <v>160</v>
      </c>
      <c r="H18">
        <v>166</v>
      </c>
      <c r="I18">
        <v>166</v>
      </c>
      <c r="J18">
        <v>160</v>
      </c>
      <c r="K18">
        <v>166</v>
      </c>
      <c r="L18">
        <v>160</v>
      </c>
      <c r="M18">
        <v>166</v>
      </c>
      <c r="N18">
        <v>166</v>
      </c>
      <c r="O18">
        <v>150</v>
      </c>
      <c r="P18">
        <v>166</v>
      </c>
      <c r="Q18">
        <v>1</v>
      </c>
      <c r="W18"/>
      <c r="X18"/>
      <c r="Y18"/>
    </row>
    <row r="19" spans="1:25" x14ac:dyDescent="0.3">
      <c r="A19" t="str">
        <f>Table_Capacity_HD_frontsheet[[#This Row],[Name]]&amp;B19</f>
        <v>BarnsleyShort term domiciliary care (pathway 1)</v>
      </c>
      <c r="B19" t="str">
        <f>VLOOKUP(Table_Capacity_HD_frontsheet[[#This Row],[Service Area]],PathwayLookup!A:B,2,0)</f>
        <v>Short term domiciliary care (pathway 1)</v>
      </c>
      <c r="C19" t="s">
        <v>69</v>
      </c>
      <c r="D19" t="s">
        <v>730</v>
      </c>
      <c r="W19"/>
      <c r="X19"/>
      <c r="Y19"/>
    </row>
    <row r="20" spans="1:25" x14ac:dyDescent="0.3">
      <c r="A20" t="str">
        <f>Table_Capacity_HD_frontsheet[[#This Row],[Name]]&amp;B20</f>
        <v>BarnsleyReablement &amp; Rehabilitation in a bedded setting (pathway 2)</v>
      </c>
      <c r="B20" t="str">
        <f>VLOOKUP(Table_Capacity_HD_frontsheet[[#This Row],[Service Area]],PathwayLookup!A:B,2,0)</f>
        <v>Reablement &amp; Rehabilitation in a bedded setting (pathway 2)</v>
      </c>
      <c r="C20" t="s">
        <v>69</v>
      </c>
      <c r="D20" t="s">
        <v>723</v>
      </c>
      <c r="W20"/>
      <c r="X20"/>
      <c r="Y20"/>
    </row>
    <row r="21" spans="1:25" x14ac:dyDescent="0.3">
      <c r="A21" t="str">
        <f>Table_Capacity_HD_frontsheet[[#This Row],[Name]]&amp;B21</f>
        <v>BarnsleyReablement &amp; Rehabilitation in a bedded setting (pathway 2)</v>
      </c>
      <c r="B21" t="str">
        <f>VLOOKUP(Table_Capacity_HD_frontsheet[[#This Row],[Service Area]],PathwayLookup!A:B,2,0)</f>
        <v>Reablement &amp; Rehabilitation in a bedded setting (pathway 2)</v>
      </c>
      <c r="C21" t="s">
        <v>69</v>
      </c>
      <c r="D21" t="s">
        <v>725</v>
      </c>
      <c r="E21">
        <v>167</v>
      </c>
      <c r="F21">
        <v>173</v>
      </c>
      <c r="G21">
        <v>167</v>
      </c>
      <c r="H21">
        <v>173</v>
      </c>
      <c r="I21">
        <v>173</v>
      </c>
      <c r="J21">
        <v>167</v>
      </c>
      <c r="K21">
        <v>173</v>
      </c>
      <c r="L21">
        <v>167</v>
      </c>
      <c r="M21">
        <v>173</v>
      </c>
      <c r="N21">
        <v>173</v>
      </c>
      <c r="O21">
        <v>156</v>
      </c>
      <c r="P21">
        <v>173</v>
      </c>
      <c r="Q21">
        <v>1</v>
      </c>
      <c r="W21"/>
      <c r="X21"/>
      <c r="Y21"/>
    </row>
    <row r="22" spans="1:25" x14ac:dyDescent="0.3">
      <c r="A22" t="str">
        <f>Table_Capacity_HD_frontsheet[[#This Row],[Name]]&amp;B22</f>
        <v>BarnsleyShort-term residential/nursing care for someone likely to require a longer-term care home placement (pathway 3)</v>
      </c>
      <c r="B22" t="str">
        <f>VLOOKUP(Table_Capacity_HD_frontsheet[[#This Row],[Service Area]],PathwayLookup!A:B,2,0)</f>
        <v>Short-term residential/nursing care for someone likely to require a longer-term care home placement (pathway 3)</v>
      </c>
      <c r="C22" t="s">
        <v>69</v>
      </c>
      <c r="D22" t="s">
        <v>731</v>
      </c>
      <c r="W22"/>
      <c r="X22"/>
      <c r="Y22"/>
    </row>
    <row r="23" spans="1:25" x14ac:dyDescent="0.3">
      <c r="A23" t="str">
        <f>Table_Capacity_HD_frontsheet[[#This Row],[Name]]&amp;B23</f>
        <v>Bath and North East SomersetSocial support (including VCS) (pathway 0)</v>
      </c>
      <c r="B23" t="str">
        <f>VLOOKUP(Table_Capacity_HD_frontsheet[[#This Row],[Service Area]],PathwayLookup!A:B,2,0)</f>
        <v>Social support (including VCS) (pathway 0)</v>
      </c>
      <c r="C23" t="s">
        <v>71</v>
      </c>
      <c r="D23" t="s">
        <v>726</v>
      </c>
      <c r="E23">
        <v>0</v>
      </c>
      <c r="F23">
        <v>0</v>
      </c>
      <c r="G23">
        <v>0</v>
      </c>
      <c r="H23">
        <v>0</v>
      </c>
      <c r="I23">
        <v>0</v>
      </c>
      <c r="J23">
        <v>0</v>
      </c>
      <c r="K23">
        <v>0</v>
      </c>
      <c r="L23">
        <v>0</v>
      </c>
      <c r="M23">
        <v>0</v>
      </c>
      <c r="N23">
        <v>0</v>
      </c>
      <c r="O23">
        <v>0</v>
      </c>
      <c r="P23">
        <v>0</v>
      </c>
      <c r="S23">
        <v>1</v>
      </c>
      <c r="W23"/>
      <c r="X23"/>
      <c r="Y23"/>
    </row>
    <row r="24" spans="1:25" x14ac:dyDescent="0.3">
      <c r="A24" t="str">
        <f>Table_Capacity_HD_frontsheet[[#This Row],[Name]]&amp;B24</f>
        <v>Bath and North East SomersetReablement &amp; Rehabilitation at home  (pathway 1)</v>
      </c>
      <c r="B24" t="str">
        <f>VLOOKUP(Table_Capacity_HD_frontsheet[[#This Row],[Service Area]],PathwayLookup!A:B,2,0)</f>
        <v>Reablement &amp; Rehabilitation at home  (pathway 1)</v>
      </c>
      <c r="C24" t="s">
        <v>71</v>
      </c>
      <c r="D24" t="s">
        <v>728</v>
      </c>
      <c r="E24">
        <v>200</v>
      </c>
      <c r="F24">
        <v>209</v>
      </c>
      <c r="G24">
        <v>204</v>
      </c>
      <c r="H24">
        <v>212</v>
      </c>
      <c r="I24">
        <v>209</v>
      </c>
      <c r="J24">
        <v>197</v>
      </c>
      <c r="K24">
        <v>198</v>
      </c>
      <c r="L24">
        <v>189</v>
      </c>
      <c r="M24">
        <v>196</v>
      </c>
      <c r="N24">
        <v>196</v>
      </c>
      <c r="O24">
        <v>180</v>
      </c>
      <c r="P24">
        <v>189</v>
      </c>
      <c r="S24">
        <v>1</v>
      </c>
      <c r="W24"/>
      <c r="X24"/>
      <c r="Y24"/>
    </row>
    <row r="25" spans="1:25" x14ac:dyDescent="0.3">
      <c r="A25" t="str">
        <f>Table_Capacity_HD_frontsheet[[#This Row],[Name]]&amp;B25</f>
        <v>Bath and North East SomersetReablement &amp; Rehabilitation at home  (pathway 1)</v>
      </c>
      <c r="B25" t="str">
        <f>VLOOKUP(Table_Capacity_HD_frontsheet[[#This Row],[Service Area]],PathwayLookup!A:B,2,0)</f>
        <v>Reablement &amp; Rehabilitation at home  (pathway 1)</v>
      </c>
      <c r="C25" t="s">
        <v>71</v>
      </c>
      <c r="D25" t="s">
        <v>721</v>
      </c>
      <c r="E25">
        <v>0</v>
      </c>
      <c r="F25">
        <v>0</v>
      </c>
      <c r="G25">
        <v>0</v>
      </c>
      <c r="H25">
        <v>0</v>
      </c>
      <c r="I25">
        <v>0</v>
      </c>
      <c r="J25">
        <v>0</v>
      </c>
      <c r="K25">
        <v>0</v>
      </c>
      <c r="L25">
        <v>0</v>
      </c>
      <c r="M25">
        <v>0</v>
      </c>
      <c r="N25">
        <v>0</v>
      </c>
      <c r="O25">
        <v>0</v>
      </c>
      <c r="P25">
        <v>0</v>
      </c>
      <c r="W25"/>
      <c r="X25"/>
      <c r="Y25"/>
    </row>
    <row r="26" spans="1:25" x14ac:dyDescent="0.3">
      <c r="A26" t="str">
        <f>Table_Capacity_HD_frontsheet[[#This Row],[Name]]&amp;B26</f>
        <v>Bath and North East SomersetShort term domiciliary care (pathway 1)</v>
      </c>
      <c r="B26" t="str">
        <f>VLOOKUP(Table_Capacity_HD_frontsheet[[#This Row],[Service Area]],PathwayLookup!A:B,2,0)</f>
        <v>Short term domiciliary care (pathway 1)</v>
      </c>
      <c r="C26" t="s">
        <v>71</v>
      </c>
      <c r="D26" t="s">
        <v>730</v>
      </c>
      <c r="E26">
        <v>46</v>
      </c>
      <c r="F26">
        <v>46</v>
      </c>
      <c r="G26">
        <v>46</v>
      </c>
      <c r="H26">
        <v>46</v>
      </c>
      <c r="I26">
        <v>46</v>
      </c>
      <c r="J26">
        <v>46</v>
      </c>
      <c r="K26">
        <v>46</v>
      </c>
      <c r="L26">
        <v>47</v>
      </c>
      <c r="M26">
        <v>47</v>
      </c>
      <c r="N26">
        <v>47</v>
      </c>
      <c r="O26">
        <v>46</v>
      </c>
      <c r="P26">
        <v>46</v>
      </c>
      <c r="W26"/>
      <c r="X26"/>
      <c r="Y26"/>
    </row>
    <row r="27" spans="1:25" x14ac:dyDescent="0.3">
      <c r="A27" t="str">
        <f>Table_Capacity_HD_frontsheet[[#This Row],[Name]]&amp;B27</f>
        <v>Bath and North East SomersetReablement &amp; Rehabilitation in a bedded setting (pathway 2)</v>
      </c>
      <c r="B27" t="str">
        <f>VLOOKUP(Table_Capacity_HD_frontsheet[[#This Row],[Service Area]],PathwayLookup!A:B,2,0)</f>
        <v>Reablement &amp; Rehabilitation in a bedded setting (pathway 2)</v>
      </c>
      <c r="C27" t="s">
        <v>71</v>
      </c>
      <c r="D27" t="s">
        <v>723</v>
      </c>
      <c r="E27">
        <v>9</v>
      </c>
      <c r="F27">
        <v>9</v>
      </c>
      <c r="G27">
        <v>8</v>
      </c>
      <c r="H27">
        <v>8</v>
      </c>
      <c r="I27">
        <v>7</v>
      </c>
      <c r="J27">
        <v>6</v>
      </c>
      <c r="K27">
        <v>6</v>
      </c>
      <c r="L27">
        <v>5</v>
      </c>
      <c r="M27">
        <v>5</v>
      </c>
      <c r="N27">
        <v>5</v>
      </c>
      <c r="O27">
        <v>4</v>
      </c>
      <c r="P27">
        <v>4</v>
      </c>
      <c r="W27"/>
      <c r="X27"/>
      <c r="Y27"/>
    </row>
    <row r="28" spans="1:25" x14ac:dyDescent="0.3">
      <c r="A28" t="str">
        <f>Table_Capacity_HD_frontsheet[[#This Row],[Name]]&amp;B28</f>
        <v>Bath and North East SomersetReablement &amp; Rehabilitation in a bedded setting (pathway 2)</v>
      </c>
      <c r="B28" t="str">
        <f>VLOOKUP(Table_Capacity_HD_frontsheet[[#This Row],[Service Area]],PathwayLookup!A:B,2,0)</f>
        <v>Reablement &amp; Rehabilitation in a bedded setting (pathway 2)</v>
      </c>
      <c r="C28" t="s">
        <v>71</v>
      </c>
      <c r="D28" t="s">
        <v>725</v>
      </c>
      <c r="E28">
        <v>0</v>
      </c>
      <c r="F28">
        <v>0</v>
      </c>
      <c r="G28">
        <v>0</v>
      </c>
      <c r="H28">
        <v>0</v>
      </c>
      <c r="I28">
        <v>0</v>
      </c>
      <c r="J28">
        <v>0</v>
      </c>
      <c r="K28">
        <v>0</v>
      </c>
      <c r="L28">
        <v>0</v>
      </c>
      <c r="M28">
        <v>0</v>
      </c>
      <c r="N28">
        <v>0</v>
      </c>
      <c r="O28">
        <v>0</v>
      </c>
      <c r="P28">
        <v>0</v>
      </c>
      <c r="W28"/>
      <c r="X28"/>
      <c r="Y28"/>
    </row>
    <row r="29" spans="1:25" x14ac:dyDescent="0.3">
      <c r="A29" t="str">
        <f>Table_Capacity_HD_frontsheet[[#This Row],[Name]]&amp;B29</f>
        <v>Bath and North East SomersetShort-term residential/nursing care for someone likely to require a longer-term care home placement (pathway 3)</v>
      </c>
      <c r="B29" t="str">
        <f>VLOOKUP(Table_Capacity_HD_frontsheet[[#This Row],[Service Area]],PathwayLookup!A:B,2,0)</f>
        <v>Short-term residential/nursing care for someone likely to require a longer-term care home placement (pathway 3)</v>
      </c>
      <c r="C29" t="s">
        <v>71</v>
      </c>
      <c r="D29" t="s">
        <v>731</v>
      </c>
      <c r="E29">
        <v>17</v>
      </c>
      <c r="F29">
        <v>18</v>
      </c>
      <c r="G29">
        <v>17</v>
      </c>
      <c r="H29">
        <v>18</v>
      </c>
      <c r="I29">
        <v>18</v>
      </c>
      <c r="J29">
        <v>17</v>
      </c>
      <c r="K29">
        <v>18</v>
      </c>
      <c r="L29">
        <v>17</v>
      </c>
      <c r="M29">
        <v>18</v>
      </c>
      <c r="N29">
        <v>18</v>
      </c>
      <c r="O29">
        <v>17</v>
      </c>
      <c r="P29">
        <v>18</v>
      </c>
      <c r="S29">
        <v>1</v>
      </c>
      <c r="W29"/>
      <c r="X29"/>
      <c r="Y29"/>
    </row>
    <row r="30" spans="1:25" x14ac:dyDescent="0.3">
      <c r="A30" t="str">
        <f>Table_Capacity_HD_frontsheet[[#This Row],[Name]]&amp;B30</f>
        <v>BedfordSocial support (including VCS) (pathway 0)</v>
      </c>
      <c r="B30" t="str">
        <f>VLOOKUP(Table_Capacity_HD_frontsheet[[#This Row],[Service Area]],PathwayLookup!A:B,2,0)</f>
        <v>Social support (including VCS) (pathway 0)</v>
      </c>
      <c r="C30" t="s">
        <v>73</v>
      </c>
      <c r="D30" t="s">
        <v>726</v>
      </c>
      <c r="W30"/>
      <c r="X30"/>
      <c r="Y30"/>
    </row>
    <row r="31" spans="1:25" x14ac:dyDescent="0.3">
      <c r="A31" t="str">
        <f>Table_Capacity_HD_frontsheet[[#This Row],[Name]]&amp;B31</f>
        <v>BedfordReablement &amp; Rehabilitation at home  (pathway 1)</v>
      </c>
      <c r="B31" t="str">
        <f>VLOOKUP(Table_Capacity_HD_frontsheet[[#This Row],[Service Area]],PathwayLookup!A:B,2,0)</f>
        <v>Reablement &amp; Rehabilitation at home  (pathway 1)</v>
      </c>
      <c r="C31" t="s">
        <v>73</v>
      </c>
      <c r="D31" t="s">
        <v>728</v>
      </c>
      <c r="W31"/>
      <c r="X31"/>
      <c r="Y31"/>
    </row>
    <row r="32" spans="1:25" x14ac:dyDescent="0.3">
      <c r="A32" t="str">
        <f>Table_Capacity_HD_frontsheet[[#This Row],[Name]]&amp;B32</f>
        <v>BedfordReablement &amp; Rehabilitation at home  (pathway 1)</v>
      </c>
      <c r="B32" t="str">
        <f>VLOOKUP(Table_Capacity_HD_frontsheet[[#This Row],[Service Area]],PathwayLookup!A:B,2,0)</f>
        <v>Reablement &amp; Rehabilitation at home  (pathway 1)</v>
      </c>
      <c r="C32" t="s">
        <v>73</v>
      </c>
      <c r="D32" t="s">
        <v>721</v>
      </c>
      <c r="W32"/>
      <c r="X32"/>
      <c r="Y32"/>
    </row>
    <row r="33" spans="1:25" x14ac:dyDescent="0.3">
      <c r="A33" t="str">
        <f>Table_Capacity_HD_frontsheet[[#This Row],[Name]]&amp;B33</f>
        <v>BedfordShort term domiciliary care (pathway 1)</v>
      </c>
      <c r="B33" t="str">
        <f>VLOOKUP(Table_Capacity_HD_frontsheet[[#This Row],[Service Area]],PathwayLookup!A:B,2,0)</f>
        <v>Short term domiciliary care (pathway 1)</v>
      </c>
      <c r="C33" t="s">
        <v>73</v>
      </c>
      <c r="D33" t="s">
        <v>730</v>
      </c>
      <c r="W33"/>
      <c r="X33"/>
      <c r="Y33"/>
    </row>
    <row r="34" spans="1:25" x14ac:dyDescent="0.3">
      <c r="A34" t="str">
        <f>Table_Capacity_HD_frontsheet[[#This Row],[Name]]&amp;B34</f>
        <v>BedfordReablement &amp; Rehabilitation in a bedded setting (pathway 2)</v>
      </c>
      <c r="B34" t="str">
        <f>VLOOKUP(Table_Capacity_HD_frontsheet[[#This Row],[Service Area]],PathwayLookup!A:B,2,0)</f>
        <v>Reablement &amp; Rehabilitation in a bedded setting (pathway 2)</v>
      </c>
      <c r="C34" t="s">
        <v>73</v>
      </c>
      <c r="D34" t="s">
        <v>723</v>
      </c>
      <c r="E34">
        <v>15</v>
      </c>
      <c r="F34">
        <v>16</v>
      </c>
      <c r="G34">
        <v>15</v>
      </c>
      <c r="H34">
        <v>16</v>
      </c>
      <c r="I34">
        <v>16</v>
      </c>
      <c r="J34">
        <v>15</v>
      </c>
      <c r="K34">
        <v>16</v>
      </c>
      <c r="L34">
        <v>15</v>
      </c>
      <c r="M34">
        <v>16</v>
      </c>
      <c r="N34">
        <v>16</v>
      </c>
      <c r="O34">
        <v>14</v>
      </c>
      <c r="P34">
        <v>16</v>
      </c>
      <c r="Q34">
        <v>1</v>
      </c>
      <c r="W34"/>
      <c r="X34"/>
      <c r="Y34"/>
    </row>
    <row r="35" spans="1:25" x14ac:dyDescent="0.3">
      <c r="A35" t="str">
        <f>Table_Capacity_HD_frontsheet[[#This Row],[Name]]&amp;B35</f>
        <v>BedfordReablement &amp; Rehabilitation in a bedded setting (pathway 2)</v>
      </c>
      <c r="B35" t="str">
        <f>VLOOKUP(Table_Capacity_HD_frontsheet[[#This Row],[Service Area]],PathwayLookup!A:B,2,0)</f>
        <v>Reablement &amp; Rehabilitation in a bedded setting (pathway 2)</v>
      </c>
      <c r="C35" t="s">
        <v>73</v>
      </c>
      <c r="D35" t="s">
        <v>725</v>
      </c>
      <c r="E35">
        <v>10</v>
      </c>
      <c r="F35">
        <v>10</v>
      </c>
      <c r="G35">
        <v>10</v>
      </c>
      <c r="H35">
        <v>10</v>
      </c>
      <c r="I35">
        <v>10</v>
      </c>
      <c r="J35">
        <v>10</v>
      </c>
      <c r="K35">
        <v>10</v>
      </c>
      <c r="L35">
        <v>10</v>
      </c>
      <c r="M35">
        <v>10</v>
      </c>
      <c r="N35">
        <v>10</v>
      </c>
      <c r="O35">
        <v>9</v>
      </c>
      <c r="P35">
        <v>10</v>
      </c>
      <c r="Q35">
        <v>1</v>
      </c>
      <c r="W35"/>
      <c r="X35"/>
      <c r="Y35"/>
    </row>
    <row r="36" spans="1:25" x14ac:dyDescent="0.3">
      <c r="A36" t="str">
        <f>Table_Capacity_HD_frontsheet[[#This Row],[Name]]&amp;B36</f>
        <v>BedfordShort-term residential/nursing care for someone likely to require a longer-term care home placement (pathway 3)</v>
      </c>
      <c r="B36" t="str">
        <f>VLOOKUP(Table_Capacity_HD_frontsheet[[#This Row],[Service Area]],PathwayLookup!A:B,2,0)</f>
        <v>Short-term residential/nursing care for someone likely to require a longer-term care home placement (pathway 3)</v>
      </c>
      <c r="C36" t="s">
        <v>73</v>
      </c>
      <c r="D36" t="s">
        <v>731</v>
      </c>
      <c r="W36"/>
      <c r="X36"/>
      <c r="Y36"/>
    </row>
    <row r="37" spans="1:25" x14ac:dyDescent="0.3">
      <c r="A37" t="str">
        <f>Table_Capacity_HD_frontsheet[[#This Row],[Name]]&amp;B37</f>
        <v>BexleySocial support (including VCS) (pathway 0)</v>
      </c>
      <c r="B37" t="str">
        <f>VLOOKUP(Table_Capacity_HD_frontsheet[[#This Row],[Service Area]],PathwayLookup!A:B,2,0)</f>
        <v>Social support (including VCS) (pathway 0)</v>
      </c>
      <c r="C37" t="s">
        <v>75</v>
      </c>
      <c r="D37" t="s">
        <v>726</v>
      </c>
      <c r="E37">
        <v>17</v>
      </c>
      <c r="F37">
        <v>17</v>
      </c>
      <c r="G37">
        <v>17</v>
      </c>
      <c r="H37">
        <v>17</v>
      </c>
      <c r="I37">
        <v>17</v>
      </c>
      <c r="J37">
        <v>17</v>
      </c>
      <c r="K37">
        <v>17</v>
      </c>
      <c r="L37">
        <v>17</v>
      </c>
      <c r="M37">
        <v>17</v>
      </c>
      <c r="N37">
        <v>17</v>
      </c>
      <c r="O37">
        <v>17</v>
      </c>
      <c r="P37">
        <v>17</v>
      </c>
      <c r="Q37">
        <v>0</v>
      </c>
      <c r="R37">
        <v>1</v>
      </c>
      <c r="S37">
        <v>0</v>
      </c>
      <c r="W37"/>
      <c r="X37"/>
      <c r="Y37"/>
    </row>
    <row r="38" spans="1:25" x14ac:dyDescent="0.3">
      <c r="A38" t="str">
        <f>Table_Capacity_HD_frontsheet[[#This Row],[Name]]&amp;B38</f>
        <v>BexleyReablement &amp; Rehabilitation at home  (pathway 1)</v>
      </c>
      <c r="B38" t="str">
        <f>VLOOKUP(Table_Capacity_HD_frontsheet[[#This Row],[Service Area]],PathwayLookup!A:B,2,0)</f>
        <v>Reablement &amp; Rehabilitation at home  (pathway 1)</v>
      </c>
      <c r="C38" t="s">
        <v>75</v>
      </c>
      <c r="D38" t="s">
        <v>728</v>
      </c>
      <c r="E38">
        <v>100</v>
      </c>
      <c r="F38">
        <v>100</v>
      </c>
      <c r="G38">
        <v>100</v>
      </c>
      <c r="H38">
        <v>100</v>
      </c>
      <c r="I38">
        <v>100</v>
      </c>
      <c r="J38">
        <v>100</v>
      </c>
      <c r="K38">
        <v>100</v>
      </c>
      <c r="L38">
        <v>100</v>
      </c>
      <c r="M38">
        <v>100</v>
      </c>
      <c r="N38">
        <v>100</v>
      </c>
      <c r="O38">
        <v>100</v>
      </c>
      <c r="P38">
        <v>100</v>
      </c>
      <c r="Q38">
        <v>0.10100000000000001</v>
      </c>
      <c r="R38">
        <v>0.89900000000000002</v>
      </c>
      <c r="S38">
        <v>0</v>
      </c>
      <c r="W38"/>
      <c r="X38"/>
      <c r="Y38"/>
    </row>
    <row r="39" spans="1:25" x14ac:dyDescent="0.3">
      <c r="A39" t="str">
        <f>Table_Capacity_HD_frontsheet[[#This Row],[Name]]&amp;B39</f>
        <v>BexleyReablement &amp; Rehabilitation at home  (pathway 1)</v>
      </c>
      <c r="B39" t="str">
        <f>VLOOKUP(Table_Capacity_HD_frontsheet[[#This Row],[Service Area]],PathwayLookup!A:B,2,0)</f>
        <v>Reablement &amp; Rehabilitation at home  (pathway 1)</v>
      </c>
      <c r="C39" t="s">
        <v>75</v>
      </c>
      <c r="D39" t="s">
        <v>721</v>
      </c>
      <c r="E39">
        <v>59</v>
      </c>
      <c r="F39">
        <v>59</v>
      </c>
      <c r="G39">
        <v>59</v>
      </c>
      <c r="H39">
        <v>59</v>
      </c>
      <c r="I39">
        <v>59</v>
      </c>
      <c r="J39">
        <v>59</v>
      </c>
      <c r="K39">
        <v>59</v>
      </c>
      <c r="L39">
        <v>59</v>
      </c>
      <c r="M39">
        <v>59</v>
      </c>
      <c r="N39">
        <v>59</v>
      </c>
      <c r="O39">
        <v>59</v>
      </c>
      <c r="P39">
        <v>59</v>
      </c>
      <c r="Q39">
        <v>1</v>
      </c>
      <c r="R39">
        <v>0</v>
      </c>
      <c r="S39">
        <v>0</v>
      </c>
      <c r="W39"/>
      <c r="X39"/>
      <c r="Y39"/>
    </row>
    <row r="40" spans="1:25" x14ac:dyDescent="0.3">
      <c r="A40" t="str">
        <f>Table_Capacity_HD_frontsheet[[#This Row],[Name]]&amp;B40</f>
        <v>BexleyShort term domiciliary care (pathway 1)</v>
      </c>
      <c r="B40" t="str">
        <f>VLOOKUP(Table_Capacity_HD_frontsheet[[#This Row],[Service Area]],PathwayLookup!A:B,2,0)</f>
        <v>Short term domiciliary care (pathway 1)</v>
      </c>
      <c r="C40" t="s">
        <v>75</v>
      </c>
      <c r="D40" t="s">
        <v>730</v>
      </c>
      <c r="E40">
        <v>37</v>
      </c>
      <c r="F40">
        <v>38</v>
      </c>
      <c r="G40">
        <v>38</v>
      </c>
      <c r="H40">
        <v>37</v>
      </c>
      <c r="I40">
        <v>38</v>
      </c>
      <c r="J40">
        <v>37</v>
      </c>
      <c r="K40">
        <v>37</v>
      </c>
      <c r="L40">
        <v>37</v>
      </c>
      <c r="M40">
        <v>37</v>
      </c>
      <c r="N40">
        <v>38</v>
      </c>
      <c r="O40">
        <v>38</v>
      </c>
      <c r="P40">
        <v>38</v>
      </c>
      <c r="Q40">
        <v>0.78600000000000003</v>
      </c>
      <c r="R40">
        <v>0.214</v>
      </c>
      <c r="S40">
        <v>0</v>
      </c>
      <c r="W40"/>
      <c r="X40"/>
      <c r="Y40"/>
    </row>
    <row r="41" spans="1:25" x14ac:dyDescent="0.3">
      <c r="A41" t="str">
        <f>Table_Capacity_HD_frontsheet[[#This Row],[Name]]&amp;B41</f>
        <v>BexleyReablement &amp; Rehabilitation in a bedded setting (pathway 2)</v>
      </c>
      <c r="B41" t="str">
        <f>VLOOKUP(Table_Capacity_HD_frontsheet[[#This Row],[Service Area]],PathwayLookup!A:B,2,0)</f>
        <v>Reablement &amp; Rehabilitation in a bedded setting (pathway 2)</v>
      </c>
      <c r="C41" t="s">
        <v>75</v>
      </c>
      <c r="D41" t="s">
        <v>723</v>
      </c>
      <c r="E41">
        <v>10</v>
      </c>
      <c r="F41">
        <v>10</v>
      </c>
      <c r="G41">
        <v>10</v>
      </c>
      <c r="H41">
        <v>10</v>
      </c>
      <c r="I41">
        <v>10</v>
      </c>
      <c r="J41">
        <v>10</v>
      </c>
      <c r="K41">
        <v>10</v>
      </c>
      <c r="L41">
        <v>10</v>
      </c>
      <c r="M41">
        <v>10</v>
      </c>
      <c r="N41">
        <v>10</v>
      </c>
      <c r="O41">
        <v>10</v>
      </c>
      <c r="P41">
        <v>10</v>
      </c>
      <c r="Q41">
        <v>0</v>
      </c>
      <c r="R41">
        <v>1</v>
      </c>
      <c r="S41">
        <v>0</v>
      </c>
      <c r="W41"/>
      <c r="X41"/>
      <c r="Y41"/>
    </row>
    <row r="42" spans="1:25" x14ac:dyDescent="0.3">
      <c r="A42" t="str">
        <f>Table_Capacity_HD_frontsheet[[#This Row],[Name]]&amp;B42</f>
        <v>BexleyReablement &amp; Rehabilitation in a bedded setting (pathway 2)</v>
      </c>
      <c r="B42" t="str">
        <f>VLOOKUP(Table_Capacity_HD_frontsheet[[#This Row],[Service Area]],PathwayLookup!A:B,2,0)</f>
        <v>Reablement &amp; Rehabilitation in a bedded setting (pathway 2)</v>
      </c>
      <c r="C42" t="s">
        <v>75</v>
      </c>
      <c r="D42" t="s">
        <v>725</v>
      </c>
      <c r="E42">
        <v>22</v>
      </c>
      <c r="F42">
        <v>22</v>
      </c>
      <c r="G42">
        <v>22</v>
      </c>
      <c r="H42">
        <v>22</v>
      </c>
      <c r="I42">
        <v>22</v>
      </c>
      <c r="J42">
        <v>22</v>
      </c>
      <c r="K42">
        <v>22</v>
      </c>
      <c r="L42">
        <v>22</v>
      </c>
      <c r="M42">
        <v>22</v>
      </c>
      <c r="N42">
        <v>22</v>
      </c>
      <c r="O42">
        <v>22</v>
      </c>
      <c r="P42">
        <v>22</v>
      </c>
      <c r="Q42">
        <v>1</v>
      </c>
      <c r="R42">
        <v>0</v>
      </c>
      <c r="S42">
        <v>0</v>
      </c>
      <c r="W42"/>
      <c r="X42"/>
      <c r="Y42"/>
    </row>
    <row r="43" spans="1:25" x14ac:dyDescent="0.3">
      <c r="A43" t="str">
        <f>Table_Capacity_HD_frontsheet[[#This Row],[Name]]&amp;B43</f>
        <v>BexleyShort-term residential/nursing care for someone likely to require a longer-term care home placement (pathway 3)</v>
      </c>
      <c r="B43" t="str">
        <f>VLOOKUP(Table_Capacity_HD_frontsheet[[#This Row],[Service Area]],PathwayLookup!A:B,2,0)</f>
        <v>Short-term residential/nursing care for someone likely to require a longer-term care home placement (pathway 3)</v>
      </c>
      <c r="C43" t="s">
        <v>75</v>
      </c>
      <c r="D43" t="s">
        <v>731</v>
      </c>
      <c r="E43">
        <v>10</v>
      </c>
      <c r="F43">
        <v>10</v>
      </c>
      <c r="G43">
        <v>11</v>
      </c>
      <c r="H43">
        <v>11</v>
      </c>
      <c r="I43">
        <v>11</v>
      </c>
      <c r="J43">
        <v>11</v>
      </c>
      <c r="K43">
        <v>11</v>
      </c>
      <c r="L43">
        <v>11</v>
      </c>
      <c r="M43">
        <v>11</v>
      </c>
      <c r="N43">
        <v>11</v>
      </c>
      <c r="O43">
        <v>11</v>
      </c>
      <c r="P43">
        <v>11</v>
      </c>
      <c r="Q43">
        <v>0.498</v>
      </c>
      <c r="R43">
        <v>0.502</v>
      </c>
      <c r="S43">
        <v>0</v>
      </c>
      <c r="W43"/>
      <c r="X43"/>
      <c r="Y43"/>
    </row>
    <row r="44" spans="1:25" x14ac:dyDescent="0.3">
      <c r="A44" t="str">
        <f>Table_Capacity_HD_frontsheet[[#This Row],[Name]]&amp;B44</f>
        <v>BirminghamSocial support (including VCS) (pathway 0)</v>
      </c>
      <c r="B44" t="str">
        <f>VLOOKUP(Table_Capacity_HD_frontsheet[[#This Row],[Service Area]],PathwayLookup!A:B,2,0)</f>
        <v>Social support (including VCS) (pathway 0)</v>
      </c>
      <c r="C44" t="s">
        <v>77</v>
      </c>
      <c r="D44" t="s">
        <v>726</v>
      </c>
      <c r="E44">
        <v>120</v>
      </c>
      <c r="F44">
        <v>120</v>
      </c>
      <c r="G44">
        <v>120</v>
      </c>
      <c r="H44">
        <v>120</v>
      </c>
      <c r="I44">
        <v>120</v>
      </c>
      <c r="J44">
        <v>120</v>
      </c>
      <c r="K44">
        <v>120</v>
      </c>
      <c r="L44">
        <v>135</v>
      </c>
      <c r="M44">
        <v>135</v>
      </c>
      <c r="N44">
        <v>135</v>
      </c>
      <c r="O44">
        <v>135</v>
      </c>
      <c r="P44">
        <v>135</v>
      </c>
      <c r="W44"/>
      <c r="X44"/>
      <c r="Y44"/>
    </row>
    <row r="45" spans="1:25" x14ac:dyDescent="0.3">
      <c r="A45" t="str">
        <f>Table_Capacity_HD_frontsheet[[#This Row],[Name]]&amp;B45</f>
        <v>BirminghamReablement &amp; Rehabilitation at home  (pathway 1)</v>
      </c>
      <c r="B45" t="str">
        <f>VLOOKUP(Table_Capacity_HD_frontsheet[[#This Row],[Service Area]],PathwayLookup!A:B,2,0)</f>
        <v>Reablement &amp; Rehabilitation at home  (pathway 1)</v>
      </c>
      <c r="C45" t="s">
        <v>77</v>
      </c>
      <c r="D45" t="s">
        <v>728</v>
      </c>
      <c r="E45">
        <v>200</v>
      </c>
      <c r="F45">
        <v>200</v>
      </c>
      <c r="G45">
        <v>200</v>
      </c>
      <c r="H45">
        <v>200</v>
      </c>
      <c r="I45">
        <v>200</v>
      </c>
      <c r="J45">
        <v>200</v>
      </c>
      <c r="K45">
        <v>200</v>
      </c>
      <c r="L45">
        <v>200</v>
      </c>
      <c r="M45">
        <v>200</v>
      </c>
      <c r="N45">
        <v>200</v>
      </c>
      <c r="O45">
        <v>200</v>
      </c>
      <c r="P45">
        <v>200</v>
      </c>
      <c r="W45"/>
      <c r="X45"/>
      <c r="Y45"/>
    </row>
    <row r="46" spans="1:25" x14ac:dyDescent="0.3">
      <c r="A46" t="str">
        <f>Table_Capacity_HD_frontsheet[[#This Row],[Name]]&amp;B46</f>
        <v>BirminghamReablement &amp; Rehabilitation at home  (pathway 1)</v>
      </c>
      <c r="B46" t="str">
        <f>VLOOKUP(Table_Capacity_HD_frontsheet[[#This Row],[Service Area]],PathwayLookup!A:B,2,0)</f>
        <v>Reablement &amp; Rehabilitation at home  (pathway 1)</v>
      </c>
      <c r="C46" t="s">
        <v>77</v>
      </c>
      <c r="D46" t="s">
        <v>721</v>
      </c>
      <c r="E46">
        <v>600</v>
      </c>
      <c r="F46">
        <v>600</v>
      </c>
      <c r="G46">
        <v>600</v>
      </c>
      <c r="H46">
        <v>600</v>
      </c>
      <c r="I46">
        <v>600</v>
      </c>
      <c r="J46">
        <v>600</v>
      </c>
      <c r="K46">
        <v>600</v>
      </c>
      <c r="L46">
        <v>600</v>
      </c>
      <c r="M46">
        <v>600</v>
      </c>
      <c r="N46">
        <v>600</v>
      </c>
      <c r="O46">
        <v>600</v>
      </c>
      <c r="P46">
        <v>600</v>
      </c>
      <c r="W46"/>
      <c r="X46"/>
      <c r="Y46"/>
    </row>
    <row r="47" spans="1:25" x14ac:dyDescent="0.3">
      <c r="A47" t="str">
        <f>Table_Capacity_HD_frontsheet[[#This Row],[Name]]&amp;B47</f>
        <v>BirminghamShort term domiciliary care (pathway 1)</v>
      </c>
      <c r="B47" t="str">
        <f>VLOOKUP(Table_Capacity_HD_frontsheet[[#This Row],[Service Area]],PathwayLookup!A:B,2,0)</f>
        <v>Short term domiciliary care (pathway 1)</v>
      </c>
      <c r="C47" t="s">
        <v>77</v>
      </c>
      <c r="D47" t="s">
        <v>730</v>
      </c>
      <c r="W47"/>
      <c r="X47"/>
      <c r="Y47"/>
    </row>
    <row r="48" spans="1:25" x14ac:dyDescent="0.3">
      <c r="A48" t="str">
        <f>Table_Capacity_HD_frontsheet[[#This Row],[Name]]&amp;B48</f>
        <v>BirminghamReablement &amp; Rehabilitation in a bedded setting (pathway 2)</v>
      </c>
      <c r="B48" t="str">
        <f>VLOOKUP(Table_Capacity_HD_frontsheet[[#This Row],[Service Area]],PathwayLookup!A:B,2,0)</f>
        <v>Reablement &amp; Rehabilitation in a bedded setting (pathway 2)</v>
      </c>
      <c r="C48" t="s">
        <v>77</v>
      </c>
      <c r="D48" t="s">
        <v>723</v>
      </c>
      <c r="W48"/>
      <c r="X48"/>
      <c r="Y48"/>
    </row>
    <row r="49" spans="1:25" x14ac:dyDescent="0.3">
      <c r="A49" t="str">
        <f>Table_Capacity_HD_frontsheet[[#This Row],[Name]]&amp;B49</f>
        <v>BirminghamReablement &amp; Rehabilitation in a bedded setting (pathway 2)</v>
      </c>
      <c r="B49" t="str">
        <f>VLOOKUP(Table_Capacity_HD_frontsheet[[#This Row],[Service Area]],PathwayLookup!A:B,2,0)</f>
        <v>Reablement &amp; Rehabilitation in a bedded setting (pathway 2)</v>
      </c>
      <c r="C49" t="s">
        <v>77</v>
      </c>
      <c r="D49" t="s">
        <v>725</v>
      </c>
      <c r="E49">
        <v>360</v>
      </c>
      <c r="F49">
        <v>360</v>
      </c>
      <c r="G49">
        <v>360</v>
      </c>
      <c r="H49">
        <v>360</v>
      </c>
      <c r="I49">
        <v>360</v>
      </c>
      <c r="J49">
        <v>360</v>
      </c>
      <c r="K49">
        <v>360</v>
      </c>
      <c r="L49">
        <v>360</v>
      </c>
      <c r="M49">
        <v>360</v>
      </c>
      <c r="N49">
        <v>360</v>
      </c>
      <c r="O49">
        <v>360</v>
      </c>
      <c r="P49">
        <v>360</v>
      </c>
      <c r="W49"/>
      <c r="X49"/>
      <c r="Y49"/>
    </row>
    <row r="50" spans="1:25" x14ac:dyDescent="0.3">
      <c r="A50" t="str">
        <f>Table_Capacity_HD_frontsheet[[#This Row],[Name]]&amp;B50</f>
        <v>BirminghamShort-term residential/nursing care for someone likely to require a longer-term care home placement (pathway 3)</v>
      </c>
      <c r="B50" t="str">
        <f>VLOOKUP(Table_Capacity_HD_frontsheet[[#This Row],[Service Area]],PathwayLookup!A:B,2,0)</f>
        <v>Short-term residential/nursing care for someone likely to require a longer-term care home placement (pathway 3)</v>
      </c>
      <c r="C50" t="s">
        <v>77</v>
      </c>
      <c r="D50" t="s">
        <v>731</v>
      </c>
      <c r="E50">
        <v>3</v>
      </c>
      <c r="F50">
        <v>3</v>
      </c>
      <c r="G50">
        <v>3</v>
      </c>
      <c r="H50">
        <v>3</v>
      </c>
      <c r="I50">
        <v>3</v>
      </c>
      <c r="J50">
        <v>3</v>
      </c>
      <c r="K50">
        <v>3</v>
      </c>
      <c r="L50">
        <v>3</v>
      </c>
      <c r="M50">
        <v>3</v>
      </c>
      <c r="N50">
        <v>3</v>
      </c>
      <c r="O50">
        <v>3</v>
      </c>
      <c r="P50">
        <v>3</v>
      </c>
      <c r="W50"/>
      <c r="X50"/>
      <c r="Y50"/>
    </row>
    <row r="51" spans="1:25" x14ac:dyDescent="0.3">
      <c r="A51" t="str">
        <f>Table_Capacity_HD_frontsheet[[#This Row],[Name]]&amp;B51</f>
        <v>Blackburn with DarwenSocial support (including VCS) (pathway 0)</v>
      </c>
      <c r="B51" t="str">
        <f>VLOOKUP(Table_Capacity_HD_frontsheet[[#This Row],[Service Area]],PathwayLookup!A:B,2,0)</f>
        <v>Social support (including VCS) (pathway 0)</v>
      </c>
      <c r="C51" t="s">
        <v>79</v>
      </c>
      <c r="D51" t="s">
        <v>726</v>
      </c>
      <c r="E51">
        <v>1426</v>
      </c>
      <c r="F51">
        <v>1608</v>
      </c>
      <c r="G51">
        <v>1542</v>
      </c>
      <c r="H51">
        <v>1472</v>
      </c>
      <c r="I51">
        <v>1392</v>
      </c>
      <c r="J51">
        <v>1423</v>
      </c>
      <c r="K51">
        <v>1514</v>
      </c>
      <c r="L51">
        <v>1572</v>
      </c>
      <c r="M51">
        <v>1567</v>
      </c>
      <c r="N51">
        <v>1472</v>
      </c>
      <c r="O51">
        <v>1371</v>
      </c>
      <c r="P51">
        <v>1518</v>
      </c>
      <c r="S51">
        <v>1</v>
      </c>
      <c r="W51"/>
      <c r="X51"/>
      <c r="Y51"/>
    </row>
    <row r="52" spans="1:25" x14ac:dyDescent="0.3">
      <c r="A52" t="str">
        <f>Table_Capacity_HD_frontsheet[[#This Row],[Name]]&amp;B52</f>
        <v>Blackburn with DarwenReablement &amp; Rehabilitation at home  (pathway 1)</v>
      </c>
      <c r="B52" t="str">
        <f>VLOOKUP(Table_Capacity_HD_frontsheet[[#This Row],[Service Area]],PathwayLookup!A:B,2,0)</f>
        <v>Reablement &amp; Rehabilitation at home  (pathway 1)</v>
      </c>
      <c r="C52" t="s">
        <v>79</v>
      </c>
      <c r="D52" t="s">
        <v>728</v>
      </c>
      <c r="E52">
        <v>46</v>
      </c>
      <c r="F52">
        <v>46</v>
      </c>
      <c r="G52">
        <v>46</v>
      </c>
      <c r="H52">
        <v>46</v>
      </c>
      <c r="I52">
        <v>46</v>
      </c>
      <c r="J52">
        <v>46</v>
      </c>
      <c r="K52">
        <v>46</v>
      </c>
      <c r="L52">
        <v>46</v>
      </c>
      <c r="M52">
        <v>46</v>
      </c>
      <c r="N52">
        <v>46</v>
      </c>
      <c r="O52">
        <v>46</v>
      </c>
      <c r="P52">
        <v>46</v>
      </c>
      <c r="R52">
        <v>1</v>
      </c>
      <c r="W52"/>
      <c r="X52"/>
      <c r="Y52"/>
    </row>
    <row r="53" spans="1:25" x14ac:dyDescent="0.3">
      <c r="A53" t="str">
        <f>Table_Capacity_HD_frontsheet[[#This Row],[Name]]&amp;B53</f>
        <v>Blackburn with DarwenReablement &amp; Rehabilitation at home  (pathway 1)</v>
      </c>
      <c r="B53" t="str">
        <f>VLOOKUP(Table_Capacity_HD_frontsheet[[#This Row],[Service Area]],PathwayLookup!A:B,2,0)</f>
        <v>Reablement &amp; Rehabilitation at home  (pathway 1)</v>
      </c>
      <c r="C53" t="s">
        <v>79</v>
      </c>
      <c r="D53" t="s">
        <v>721</v>
      </c>
      <c r="E53">
        <v>15</v>
      </c>
      <c r="F53">
        <v>15</v>
      </c>
      <c r="G53">
        <v>15</v>
      </c>
      <c r="H53">
        <v>15</v>
      </c>
      <c r="I53">
        <v>15</v>
      </c>
      <c r="J53">
        <v>15</v>
      </c>
      <c r="K53">
        <v>15</v>
      </c>
      <c r="L53">
        <v>15</v>
      </c>
      <c r="M53">
        <v>15</v>
      </c>
      <c r="N53">
        <v>15</v>
      </c>
      <c r="O53">
        <v>15</v>
      </c>
      <c r="P53">
        <v>15</v>
      </c>
      <c r="R53">
        <v>1</v>
      </c>
      <c r="W53"/>
      <c r="X53"/>
      <c r="Y53"/>
    </row>
    <row r="54" spans="1:25" x14ac:dyDescent="0.3">
      <c r="A54" t="str">
        <f>Table_Capacity_HD_frontsheet[[#This Row],[Name]]&amp;B54</f>
        <v>Blackburn with DarwenShort term domiciliary care (pathway 1)</v>
      </c>
      <c r="B54" t="str">
        <f>VLOOKUP(Table_Capacity_HD_frontsheet[[#This Row],[Service Area]],PathwayLookup!A:B,2,0)</f>
        <v>Short term domiciliary care (pathway 1)</v>
      </c>
      <c r="C54" t="s">
        <v>79</v>
      </c>
      <c r="D54" t="s">
        <v>730</v>
      </c>
      <c r="E54">
        <v>13</v>
      </c>
      <c r="F54">
        <v>13</v>
      </c>
      <c r="G54">
        <v>13</v>
      </c>
      <c r="H54">
        <v>13</v>
      </c>
      <c r="I54">
        <v>13</v>
      </c>
      <c r="J54">
        <v>13</v>
      </c>
      <c r="K54">
        <v>13</v>
      </c>
      <c r="L54">
        <v>13</v>
      </c>
      <c r="M54">
        <v>13</v>
      </c>
      <c r="N54">
        <v>13</v>
      </c>
      <c r="O54">
        <v>13</v>
      </c>
      <c r="P54">
        <v>13</v>
      </c>
      <c r="R54">
        <v>1</v>
      </c>
      <c r="W54"/>
      <c r="X54"/>
      <c r="Y54"/>
    </row>
    <row r="55" spans="1:25" x14ac:dyDescent="0.3">
      <c r="A55" t="str">
        <f>Table_Capacity_HD_frontsheet[[#This Row],[Name]]&amp;B55</f>
        <v>Blackburn with DarwenReablement &amp; Rehabilitation in a bedded setting (pathway 2)</v>
      </c>
      <c r="B55" t="str">
        <f>VLOOKUP(Table_Capacity_HD_frontsheet[[#This Row],[Service Area]],PathwayLookup!A:B,2,0)</f>
        <v>Reablement &amp; Rehabilitation in a bedded setting (pathway 2)</v>
      </c>
      <c r="C55" t="s">
        <v>79</v>
      </c>
      <c r="D55" t="s">
        <v>723</v>
      </c>
      <c r="E55">
        <v>31</v>
      </c>
      <c r="F55">
        <v>31</v>
      </c>
      <c r="G55">
        <v>31</v>
      </c>
      <c r="H55">
        <v>31</v>
      </c>
      <c r="I55">
        <v>31</v>
      </c>
      <c r="J55">
        <v>31</v>
      </c>
      <c r="K55">
        <v>31</v>
      </c>
      <c r="L55">
        <v>31</v>
      </c>
      <c r="M55">
        <v>31</v>
      </c>
      <c r="N55">
        <v>31</v>
      </c>
      <c r="O55">
        <v>31</v>
      </c>
      <c r="P55">
        <v>31</v>
      </c>
      <c r="S55">
        <v>1</v>
      </c>
      <c r="W55"/>
      <c r="X55"/>
      <c r="Y55"/>
    </row>
    <row r="56" spans="1:25" x14ac:dyDescent="0.3">
      <c r="A56" t="str">
        <f>Table_Capacity_HD_frontsheet[[#This Row],[Name]]&amp;B56</f>
        <v>Blackburn with DarwenReablement &amp; Rehabilitation in a bedded setting (pathway 2)</v>
      </c>
      <c r="B56" t="str">
        <f>VLOOKUP(Table_Capacity_HD_frontsheet[[#This Row],[Service Area]],PathwayLookup!A:B,2,0)</f>
        <v>Reablement &amp; Rehabilitation in a bedded setting (pathway 2)</v>
      </c>
      <c r="C56" t="s">
        <v>79</v>
      </c>
      <c r="D56" t="s">
        <v>725</v>
      </c>
      <c r="E56">
        <v>0</v>
      </c>
      <c r="F56">
        <v>0</v>
      </c>
      <c r="G56">
        <v>0</v>
      </c>
      <c r="H56">
        <v>0</v>
      </c>
      <c r="I56">
        <v>0</v>
      </c>
      <c r="J56">
        <v>0</v>
      </c>
      <c r="K56">
        <v>0</v>
      </c>
      <c r="L56">
        <v>0</v>
      </c>
      <c r="M56">
        <v>0</v>
      </c>
      <c r="N56">
        <v>0</v>
      </c>
      <c r="O56">
        <v>0</v>
      </c>
      <c r="P56">
        <v>0</v>
      </c>
      <c r="S56">
        <v>1</v>
      </c>
      <c r="W56"/>
      <c r="X56"/>
      <c r="Y56"/>
    </row>
    <row r="57" spans="1:25" x14ac:dyDescent="0.3">
      <c r="A57" t="str">
        <f>Table_Capacity_HD_frontsheet[[#This Row],[Name]]&amp;B57</f>
        <v>Blackburn with DarwenShort-term residential/nursing care for someone likely to require a longer-term care home placement (pathway 3)</v>
      </c>
      <c r="B57" t="str">
        <f>VLOOKUP(Table_Capacity_HD_frontsheet[[#This Row],[Service Area]],PathwayLookup!A:B,2,0)</f>
        <v>Short-term residential/nursing care for someone likely to require a longer-term care home placement (pathway 3)</v>
      </c>
      <c r="C57" t="s">
        <v>79</v>
      </c>
      <c r="D57" t="s">
        <v>731</v>
      </c>
      <c r="E57">
        <v>47</v>
      </c>
      <c r="F57">
        <v>47</v>
      </c>
      <c r="G57">
        <v>47</v>
      </c>
      <c r="H57">
        <v>47</v>
      </c>
      <c r="I57">
        <v>47</v>
      </c>
      <c r="J57">
        <v>47</v>
      </c>
      <c r="K57">
        <v>47</v>
      </c>
      <c r="L57">
        <v>47</v>
      </c>
      <c r="M57">
        <v>47</v>
      </c>
      <c r="N57">
        <v>47</v>
      </c>
      <c r="O57">
        <v>47</v>
      </c>
      <c r="P57">
        <v>47</v>
      </c>
      <c r="Q57">
        <v>0.25</v>
      </c>
      <c r="R57">
        <v>0.75</v>
      </c>
      <c r="W57"/>
      <c r="X57"/>
      <c r="Y57"/>
    </row>
    <row r="58" spans="1:25" x14ac:dyDescent="0.3">
      <c r="A58" t="str">
        <f>Table_Capacity_HD_frontsheet[[#This Row],[Name]]&amp;B58</f>
        <v>BlackpoolSocial support (including VCS) (pathway 0)</v>
      </c>
      <c r="B58" t="str">
        <f>VLOOKUP(Table_Capacity_HD_frontsheet[[#This Row],[Service Area]],PathwayLookup!A:B,2,0)</f>
        <v>Social support (including VCS) (pathway 0)</v>
      </c>
      <c r="C58" t="s">
        <v>81</v>
      </c>
      <c r="D58" t="s">
        <v>726</v>
      </c>
      <c r="E58">
        <v>53</v>
      </c>
      <c r="F58">
        <v>53</v>
      </c>
      <c r="G58">
        <v>53</v>
      </c>
      <c r="H58">
        <v>53</v>
      </c>
      <c r="I58">
        <v>53</v>
      </c>
      <c r="J58">
        <v>53</v>
      </c>
      <c r="K58">
        <v>53</v>
      </c>
      <c r="L58">
        <v>53</v>
      </c>
      <c r="M58">
        <v>53</v>
      </c>
      <c r="N58">
        <v>53</v>
      </c>
      <c r="O58">
        <v>53</v>
      </c>
      <c r="P58">
        <v>53</v>
      </c>
      <c r="W58"/>
      <c r="X58"/>
      <c r="Y58"/>
    </row>
    <row r="59" spans="1:25" x14ac:dyDescent="0.3">
      <c r="A59" t="str">
        <f>Table_Capacity_HD_frontsheet[[#This Row],[Name]]&amp;B59</f>
        <v>BlackpoolReablement &amp; Rehabilitation at home  (pathway 1)</v>
      </c>
      <c r="B59" t="str">
        <f>VLOOKUP(Table_Capacity_HD_frontsheet[[#This Row],[Service Area]],PathwayLookup!A:B,2,0)</f>
        <v>Reablement &amp; Rehabilitation at home  (pathway 1)</v>
      </c>
      <c r="C59" t="s">
        <v>81</v>
      </c>
      <c r="D59" t="s">
        <v>728</v>
      </c>
      <c r="E59">
        <v>0</v>
      </c>
      <c r="F59">
        <v>0</v>
      </c>
      <c r="G59">
        <v>0</v>
      </c>
      <c r="H59">
        <v>0</v>
      </c>
      <c r="I59">
        <v>0</v>
      </c>
      <c r="J59">
        <v>0</v>
      </c>
      <c r="K59">
        <v>0</v>
      </c>
      <c r="L59">
        <v>0</v>
      </c>
      <c r="M59">
        <v>0</v>
      </c>
      <c r="N59">
        <v>0</v>
      </c>
      <c r="O59">
        <v>0</v>
      </c>
      <c r="P59">
        <v>0</v>
      </c>
      <c r="W59"/>
      <c r="X59"/>
      <c r="Y59"/>
    </row>
    <row r="60" spans="1:25" x14ac:dyDescent="0.3">
      <c r="A60" t="str">
        <f>Table_Capacity_HD_frontsheet[[#This Row],[Name]]&amp;B60</f>
        <v>BlackpoolReablement &amp; Rehabilitation at home  (pathway 1)</v>
      </c>
      <c r="B60" t="str">
        <f>VLOOKUP(Table_Capacity_HD_frontsheet[[#This Row],[Service Area]],PathwayLookup!A:B,2,0)</f>
        <v>Reablement &amp; Rehabilitation at home  (pathway 1)</v>
      </c>
      <c r="C60" t="s">
        <v>81</v>
      </c>
      <c r="D60" t="s">
        <v>721</v>
      </c>
      <c r="E60">
        <v>0</v>
      </c>
      <c r="F60">
        <v>0</v>
      </c>
      <c r="G60">
        <v>0</v>
      </c>
      <c r="H60">
        <v>0</v>
      </c>
      <c r="I60">
        <v>0</v>
      </c>
      <c r="J60">
        <v>0</v>
      </c>
      <c r="K60">
        <v>0</v>
      </c>
      <c r="L60">
        <v>0</v>
      </c>
      <c r="M60">
        <v>0</v>
      </c>
      <c r="N60">
        <v>0</v>
      </c>
      <c r="O60">
        <v>0</v>
      </c>
      <c r="P60">
        <v>0</v>
      </c>
      <c r="W60"/>
      <c r="X60"/>
      <c r="Y60"/>
    </row>
    <row r="61" spans="1:25" x14ac:dyDescent="0.3">
      <c r="A61" t="str">
        <f>Table_Capacity_HD_frontsheet[[#This Row],[Name]]&amp;B61</f>
        <v>BlackpoolShort term domiciliary care (pathway 1)</v>
      </c>
      <c r="B61" t="str">
        <f>VLOOKUP(Table_Capacity_HD_frontsheet[[#This Row],[Service Area]],PathwayLookup!A:B,2,0)</f>
        <v>Short term domiciliary care (pathway 1)</v>
      </c>
      <c r="C61" t="s">
        <v>81</v>
      </c>
      <c r="D61" t="s">
        <v>730</v>
      </c>
      <c r="E61">
        <v>74</v>
      </c>
      <c r="F61">
        <v>78</v>
      </c>
      <c r="G61">
        <v>76</v>
      </c>
      <c r="H61">
        <v>78</v>
      </c>
      <c r="I61">
        <v>78</v>
      </c>
      <c r="J61">
        <v>76</v>
      </c>
      <c r="K61">
        <v>78</v>
      </c>
      <c r="L61">
        <v>76</v>
      </c>
      <c r="M61">
        <v>77</v>
      </c>
      <c r="N61">
        <v>78</v>
      </c>
      <c r="O61">
        <v>73</v>
      </c>
      <c r="P61">
        <v>78</v>
      </c>
      <c r="R61">
        <v>1</v>
      </c>
      <c r="W61"/>
      <c r="X61"/>
      <c r="Y61"/>
    </row>
    <row r="62" spans="1:25" x14ac:dyDescent="0.3">
      <c r="A62" t="str">
        <f>Table_Capacity_HD_frontsheet[[#This Row],[Name]]&amp;B62</f>
        <v>BlackpoolReablement &amp; Rehabilitation in a bedded setting (pathway 2)</v>
      </c>
      <c r="B62" t="str">
        <f>VLOOKUP(Table_Capacity_HD_frontsheet[[#This Row],[Service Area]],PathwayLookup!A:B,2,0)</f>
        <v>Reablement &amp; Rehabilitation in a bedded setting (pathway 2)</v>
      </c>
      <c r="C62" t="s">
        <v>81</v>
      </c>
      <c r="D62" t="s">
        <v>723</v>
      </c>
      <c r="E62">
        <v>32</v>
      </c>
      <c r="F62">
        <v>32</v>
      </c>
      <c r="G62">
        <v>32</v>
      </c>
      <c r="H62">
        <v>32</v>
      </c>
      <c r="I62">
        <v>32</v>
      </c>
      <c r="J62">
        <v>32</v>
      </c>
      <c r="K62">
        <v>32</v>
      </c>
      <c r="L62">
        <v>32</v>
      </c>
      <c r="M62">
        <v>32</v>
      </c>
      <c r="N62">
        <v>32</v>
      </c>
      <c r="O62">
        <v>32</v>
      </c>
      <c r="P62">
        <v>32</v>
      </c>
      <c r="R62">
        <v>1</v>
      </c>
      <c r="W62"/>
      <c r="X62"/>
      <c r="Y62"/>
    </row>
    <row r="63" spans="1:25" x14ac:dyDescent="0.3">
      <c r="A63" t="str">
        <f>Table_Capacity_HD_frontsheet[[#This Row],[Name]]&amp;B63</f>
        <v>BlackpoolReablement &amp; Rehabilitation in a bedded setting (pathway 2)</v>
      </c>
      <c r="B63" t="str">
        <f>VLOOKUP(Table_Capacity_HD_frontsheet[[#This Row],[Service Area]],PathwayLookup!A:B,2,0)</f>
        <v>Reablement &amp; Rehabilitation in a bedded setting (pathway 2)</v>
      </c>
      <c r="C63" t="s">
        <v>81</v>
      </c>
      <c r="D63" t="s">
        <v>725</v>
      </c>
      <c r="E63">
        <v>16</v>
      </c>
      <c r="F63">
        <v>16</v>
      </c>
      <c r="G63">
        <v>16</v>
      </c>
      <c r="H63">
        <v>16</v>
      </c>
      <c r="I63">
        <v>16</v>
      </c>
      <c r="J63">
        <v>16</v>
      </c>
      <c r="K63">
        <v>16</v>
      </c>
      <c r="L63">
        <v>16</v>
      </c>
      <c r="M63">
        <v>16</v>
      </c>
      <c r="N63">
        <v>16</v>
      </c>
      <c r="O63">
        <v>16</v>
      </c>
      <c r="P63">
        <v>16</v>
      </c>
      <c r="W63"/>
      <c r="X63"/>
      <c r="Y63"/>
    </row>
    <row r="64" spans="1:25" x14ac:dyDescent="0.3">
      <c r="A64" t="str">
        <f>Table_Capacity_HD_frontsheet[[#This Row],[Name]]&amp;B64</f>
        <v>BlackpoolShort-term residential/nursing care for someone likely to require a longer-term care home placement (pathway 3)</v>
      </c>
      <c r="B64" t="str">
        <f>VLOOKUP(Table_Capacity_HD_frontsheet[[#This Row],[Service Area]],PathwayLookup!A:B,2,0)</f>
        <v>Short-term residential/nursing care for someone likely to require a longer-term care home placement (pathway 3)</v>
      </c>
      <c r="C64" t="s">
        <v>81</v>
      </c>
      <c r="D64" t="s">
        <v>731</v>
      </c>
      <c r="E64">
        <v>5</v>
      </c>
      <c r="F64">
        <v>5</v>
      </c>
      <c r="G64">
        <v>5</v>
      </c>
      <c r="H64">
        <v>5</v>
      </c>
      <c r="I64">
        <v>5</v>
      </c>
      <c r="J64">
        <v>5</v>
      </c>
      <c r="K64">
        <v>5</v>
      </c>
      <c r="L64">
        <v>5</v>
      </c>
      <c r="M64">
        <v>5</v>
      </c>
      <c r="N64">
        <v>5</v>
      </c>
      <c r="O64">
        <v>5</v>
      </c>
      <c r="P64">
        <v>5</v>
      </c>
      <c r="R64">
        <v>1</v>
      </c>
      <c r="W64"/>
      <c r="X64"/>
      <c r="Y64"/>
    </row>
    <row r="65" spans="1:25" x14ac:dyDescent="0.3">
      <c r="A65" t="str">
        <f>Table_Capacity_HD_frontsheet[[#This Row],[Name]]&amp;B65</f>
        <v>BoltonSocial support (including VCS) (pathway 0)</v>
      </c>
      <c r="B65" t="str">
        <f>VLOOKUP(Table_Capacity_HD_frontsheet[[#This Row],[Service Area]],PathwayLookup!A:B,2,0)</f>
        <v>Social support (including VCS) (pathway 0)</v>
      </c>
      <c r="C65" t="s">
        <v>83</v>
      </c>
      <c r="D65" t="s">
        <v>726</v>
      </c>
      <c r="E65">
        <v>70</v>
      </c>
      <c r="F65">
        <v>70</v>
      </c>
      <c r="G65">
        <v>70</v>
      </c>
      <c r="H65">
        <v>70</v>
      </c>
      <c r="I65">
        <v>70</v>
      </c>
      <c r="J65">
        <v>70</v>
      </c>
      <c r="K65">
        <v>70</v>
      </c>
      <c r="L65">
        <v>70</v>
      </c>
      <c r="M65">
        <v>70</v>
      </c>
      <c r="N65">
        <v>70</v>
      </c>
      <c r="O65">
        <v>70</v>
      </c>
      <c r="P65">
        <v>70</v>
      </c>
      <c r="Q65">
        <v>1</v>
      </c>
      <c r="R65">
        <v>0</v>
      </c>
      <c r="S65">
        <v>0</v>
      </c>
      <c r="W65"/>
      <c r="X65"/>
      <c r="Y65"/>
    </row>
    <row r="66" spans="1:25" x14ac:dyDescent="0.3">
      <c r="A66" t="str">
        <f>Table_Capacity_HD_frontsheet[[#This Row],[Name]]&amp;B66</f>
        <v>BoltonReablement &amp; Rehabilitation at home  (pathway 1)</v>
      </c>
      <c r="B66" t="str">
        <f>VLOOKUP(Table_Capacity_HD_frontsheet[[#This Row],[Service Area]],PathwayLookup!A:B,2,0)</f>
        <v>Reablement &amp; Rehabilitation at home  (pathway 1)</v>
      </c>
      <c r="C66" t="s">
        <v>83</v>
      </c>
      <c r="D66" t="s">
        <v>728</v>
      </c>
      <c r="E66">
        <v>0</v>
      </c>
      <c r="F66">
        <v>0</v>
      </c>
      <c r="G66">
        <v>0</v>
      </c>
      <c r="H66">
        <v>0</v>
      </c>
      <c r="I66">
        <v>0</v>
      </c>
      <c r="J66">
        <v>0</v>
      </c>
      <c r="K66">
        <v>0</v>
      </c>
      <c r="L66">
        <v>0</v>
      </c>
      <c r="M66">
        <v>0</v>
      </c>
      <c r="N66">
        <v>0</v>
      </c>
      <c r="O66">
        <v>0</v>
      </c>
      <c r="P66">
        <v>0</v>
      </c>
      <c r="Q66">
        <v>0</v>
      </c>
      <c r="R66">
        <v>0</v>
      </c>
      <c r="S66">
        <v>0</v>
      </c>
      <c r="W66"/>
      <c r="X66"/>
      <c r="Y66"/>
    </row>
    <row r="67" spans="1:25" x14ac:dyDescent="0.3">
      <c r="A67" t="str">
        <f>Table_Capacity_HD_frontsheet[[#This Row],[Name]]&amp;B67</f>
        <v>BoltonReablement &amp; Rehabilitation at home  (pathway 1)</v>
      </c>
      <c r="B67" t="str">
        <f>VLOOKUP(Table_Capacity_HD_frontsheet[[#This Row],[Service Area]],PathwayLookup!A:B,2,0)</f>
        <v>Reablement &amp; Rehabilitation at home  (pathway 1)</v>
      </c>
      <c r="C67" t="s">
        <v>83</v>
      </c>
      <c r="D67" t="s">
        <v>721</v>
      </c>
      <c r="E67">
        <v>150</v>
      </c>
      <c r="F67">
        <v>150</v>
      </c>
      <c r="G67">
        <v>150</v>
      </c>
      <c r="H67">
        <v>150</v>
      </c>
      <c r="I67">
        <v>150</v>
      </c>
      <c r="J67">
        <v>150</v>
      </c>
      <c r="K67">
        <v>150</v>
      </c>
      <c r="L67">
        <v>150</v>
      </c>
      <c r="M67">
        <v>150</v>
      </c>
      <c r="N67">
        <v>150</v>
      </c>
      <c r="O67">
        <v>150</v>
      </c>
      <c r="P67">
        <v>150</v>
      </c>
      <c r="Q67">
        <v>0.85</v>
      </c>
      <c r="R67">
        <v>0.15</v>
      </c>
      <c r="S67">
        <v>0</v>
      </c>
      <c r="W67"/>
      <c r="X67"/>
      <c r="Y67"/>
    </row>
    <row r="68" spans="1:25" x14ac:dyDescent="0.3">
      <c r="A68" t="str">
        <f>Table_Capacity_HD_frontsheet[[#This Row],[Name]]&amp;B68</f>
        <v>BoltonShort term domiciliary care (pathway 1)</v>
      </c>
      <c r="B68" t="str">
        <f>VLOOKUP(Table_Capacity_HD_frontsheet[[#This Row],[Service Area]],PathwayLookup!A:B,2,0)</f>
        <v>Short term domiciliary care (pathway 1)</v>
      </c>
      <c r="C68" t="s">
        <v>83</v>
      </c>
      <c r="D68" t="s">
        <v>730</v>
      </c>
      <c r="E68">
        <v>40</v>
      </c>
      <c r="F68">
        <v>40</v>
      </c>
      <c r="G68">
        <v>40</v>
      </c>
      <c r="H68">
        <v>40</v>
      </c>
      <c r="I68">
        <v>40</v>
      </c>
      <c r="J68">
        <v>40</v>
      </c>
      <c r="K68">
        <v>40</v>
      </c>
      <c r="L68">
        <v>40</v>
      </c>
      <c r="M68">
        <v>40</v>
      </c>
      <c r="N68">
        <v>40</v>
      </c>
      <c r="O68">
        <v>40</v>
      </c>
      <c r="P68">
        <v>40</v>
      </c>
      <c r="Q68">
        <v>0</v>
      </c>
      <c r="R68">
        <v>1</v>
      </c>
      <c r="S68">
        <v>0</v>
      </c>
      <c r="W68"/>
      <c r="X68"/>
      <c r="Y68"/>
    </row>
    <row r="69" spans="1:25" x14ac:dyDescent="0.3">
      <c r="A69" t="str">
        <f>Table_Capacity_HD_frontsheet[[#This Row],[Name]]&amp;B69</f>
        <v>BoltonReablement &amp; Rehabilitation in a bedded setting (pathway 2)</v>
      </c>
      <c r="B69" t="str">
        <f>VLOOKUP(Table_Capacity_HD_frontsheet[[#This Row],[Service Area]],PathwayLookup!A:B,2,0)</f>
        <v>Reablement &amp; Rehabilitation in a bedded setting (pathway 2)</v>
      </c>
      <c r="C69" t="s">
        <v>83</v>
      </c>
      <c r="D69" t="s">
        <v>723</v>
      </c>
      <c r="E69">
        <v>0</v>
      </c>
      <c r="F69">
        <v>0</v>
      </c>
      <c r="G69">
        <v>0</v>
      </c>
      <c r="H69">
        <v>0</v>
      </c>
      <c r="I69">
        <v>0</v>
      </c>
      <c r="J69">
        <v>0</v>
      </c>
      <c r="K69">
        <v>0</v>
      </c>
      <c r="L69">
        <v>0</v>
      </c>
      <c r="M69">
        <v>0</v>
      </c>
      <c r="N69">
        <v>0</v>
      </c>
      <c r="O69">
        <v>0</v>
      </c>
      <c r="P69">
        <v>0</v>
      </c>
      <c r="Q69">
        <v>0</v>
      </c>
      <c r="R69">
        <v>0</v>
      </c>
      <c r="S69">
        <v>0</v>
      </c>
      <c r="W69"/>
      <c r="X69"/>
      <c r="Y69"/>
    </row>
    <row r="70" spans="1:25" x14ac:dyDescent="0.3">
      <c r="A70" t="str">
        <f>Table_Capacity_HD_frontsheet[[#This Row],[Name]]&amp;B70</f>
        <v>BoltonReablement &amp; Rehabilitation in a bedded setting (pathway 2)</v>
      </c>
      <c r="B70" t="str">
        <f>VLOOKUP(Table_Capacity_HD_frontsheet[[#This Row],[Service Area]],PathwayLookup!A:B,2,0)</f>
        <v>Reablement &amp; Rehabilitation in a bedded setting (pathway 2)</v>
      </c>
      <c r="C70" t="s">
        <v>83</v>
      </c>
      <c r="D70" t="s">
        <v>725</v>
      </c>
      <c r="E70">
        <v>69</v>
      </c>
      <c r="F70">
        <v>69</v>
      </c>
      <c r="G70">
        <v>69</v>
      </c>
      <c r="H70">
        <v>69</v>
      </c>
      <c r="I70">
        <v>69</v>
      </c>
      <c r="J70">
        <v>69</v>
      </c>
      <c r="K70">
        <v>69</v>
      </c>
      <c r="L70">
        <v>69</v>
      </c>
      <c r="M70">
        <v>85</v>
      </c>
      <c r="N70">
        <v>85</v>
      </c>
      <c r="O70">
        <v>85</v>
      </c>
      <c r="P70">
        <v>85</v>
      </c>
      <c r="Q70">
        <v>0.89</v>
      </c>
      <c r="R70">
        <v>0.11</v>
      </c>
      <c r="S70">
        <v>0</v>
      </c>
      <c r="W70"/>
      <c r="X70"/>
      <c r="Y70"/>
    </row>
    <row r="71" spans="1:25" x14ac:dyDescent="0.3">
      <c r="A71" t="str">
        <f>Table_Capacity_HD_frontsheet[[#This Row],[Name]]&amp;B71</f>
        <v>BoltonShort-term residential/nursing care for someone likely to require a longer-term care home placement (pathway 3)</v>
      </c>
      <c r="B71" t="str">
        <f>VLOOKUP(Table_Capacity_HD_frontsheet[[#This Row],[Service Area]],PathwayLookup!A:B,2,0)</f>
        <v>Short-term residential/nursing care for someone likely to require a longer-term care home placement (pathway 3)</v>
      </c>
      <c r="C71" t="s">
        <v>83</v>
      </c>
      <c r="D71" t="s">
        <v>731</v>
      </c>
      <c r="E71">
        <v>2</v>
      </c>
      <c r="F71">
        <v>2</v>
      </c>
      <c r="G71">
        <v>2</v>
      </c>
      <c r="H71">
        <v>2</v>
      </c>
      <c r="I71">
        <v>2</v>
      </c>
      <c r="J71">
        <v>2</v>
      </c>
      <c r="K71">
        <v>2</v>
      </c>
      <c r="L71">
        <v>2</v>
      </c>
      <c r="M71">
        <v>2</v>
      </c>
      <c r="N71">
        <v>2</v>
      </c>
      <c r="O71">
        <v>2</v>
      </c>
      <c r="P71">
        <v>2</v>
      </c>
      <c r="Q71">
        <v>0</v>
      </c>
      <c r="R71">
        <v>0</v>
      </c>
      <c r="S71">
        <v>0</v>
      </c>
      <c r="W71"/>
      <c r="X71"/>
      <c r="Y71"/>
    </row>
    <row r="72" spans="1:25" x14ac:dyDescent="0.3">
      <c r="A72" t="str">
        <f>Table_Capacity_HD_frontsheet[[#This Row],[Name]]&amp;B72</f>
        <v>Bournemouth, Christchurch and PooleSocial support (including VCS) (pathway 0)</v>
      </c>
      <c r="B72" t="str">
        <f>VLOOKUP(Table_Capacity_HD_frontsheet[[#This Row],[Service Area]],PathwayLookup!A:B,2,0)</f>
        <v>Social support (including VCS) (pathway 0)</v>
      </c>
      <c r="C72" t="s">
        <v>85</v>
      </c>
      <c r="D72" t="s">
        <v>726</v>
      </c>
      <c r="E72">
        <v>38</v>
      </c>
      <c r="F72">
        <v>38</v>
      </c>
      <c r="G72">
        <v>38</v>
      </c>
      <c r="H72">
        <v>38</v>
      </c>
      <c r="I72">
        <v>38</v>
      </c>
      <c r="J72">
        <v>38</v>
      </c>
      <c r="K72">
        <v>38</v>
      </c>
      <c r="L72">
        <v>38</v>
      </c>
      <c r="M72">
        <v>38</v>
      </c>
      <c r="N72">
        <v>38</v>
      </c>
      <c r="O72">
        <v>38</v>
      </c>
      <c r="P72">
        <v>38</v>
      </c>
      <c r="W72"/>
      <c r="X72"/>
      <c r="Y72"/>
    </row>
    <row r="73" spans="1:25" x14ac:dyDescent="0.3">
      <c r="A73" t="str">
        <f>Table_Capacity_HD_frontsheet[[#This Row],[Name]]&amp;B73</f>
        <v>Bournemouth, Christchurch and PooleReablement &amp; Rehabilitation at home  (pathway 1)</v>
      </c>
      <c r="B73" t="str">
        <f>VLOOKUP(Table_Capacity_HD_frontsheet[[#This Row],[Service Area]],PathwayLookup!A:B,2,0)</f>
        <v>Reablement &amp; Rehabilitation at home  (pathway 1)</v>
      </c>
      <c r="C73" t="s">
        <v>85</v>
      </c>
      <c r="D73" t="s">
        <v>728</v>
      </c>
      <c r="E73">
        <v>27</v>
      </c>
      <c r="F73">
        <v>15</v>
      </c>
      <c r="G73">
        <v>20</v>
      </c>
      <c r="H73">
        <v>29</v>
      </c>
      <c r="I73">
        <v>23</v>
      </c>
      <c r="J73">
        <v>13</v>
      </c>
      <c r="K73">
        <v>24</v>
      </c>
      <c r="L73">
        <v>25</v>
      </c>
      <c r="M73">
        <v>30</v>
      </c>
      <c r="N73">
        <v>26</v>
      </c>
      <c r="O73">
        <v>27</v>
      </c>
      <c r="P73">
        <v>35</v>
      </c>
      <c r="W73"/>
      <c r="X73"/>
      <c r="Y73"/>
    </row>
    <row r="74" spans="1:25" x14ac:dyDescent="0.3">
      <c r="A74" t="str">
        <f>Table_Capacity_HD_frontsheet[[#This Row],[Name]]&amp;B74</f>
        <v>Bournemouth, Christchurch and PooleReablement &amp; Rehabilitation at home  (pathway 1)</v>
      </c>
      <c r="B74" t="str">
        <f>VLOOKUP(Table_Capacity_HD_frontsheet[[#This Row],[Service Area]],PathwayLookup!A:B,2,0)</f>
        <v>Reablement &amp; Rehabilitation at home  (pathway 1)</v>
      </c>
      <c r="C74" t="s">
        <v>85</v>
      </c>
      <c r="D74" t="s">
        <v>721</v>
      </c>
      <c r="E74">
        <v>178</v>
      </c>
      <c r="F74">
        <v>178</v>
      </c>
      <c r="G74">
        <v>178</v>
      </c>
      <c r="H74">
        <v>178</v>
      </c>
      <c r="I74">
        <v>178</v>
      </c>
      <c r="J74">
        <v>178</v>
      </c>
      <c r="K74">
        <v>178</v>
      </c>
      <c r="L74">
        <v>178</v>
      </c>
      <c r="M74">
        <v>178</v>
      </c>
      <c r="N74">
        <v>178</v>
      </c>
      <c r="O74">
        <v>178</v>
      </c>
      <c r="P74">
        <v>178</v>
      </c>
      <c r="W74"/>
      <c r="X74"/>
      <c r="Y74"/>
    </row>
    <row r="75" spans="1:25" x14ac:dyDescent="0.3">
      <c r="A75" t="str">
        <f>Table_Capacity_HD_frontsheet[[#This Row],[Name]]&amp;B75</f>
        <v>Bournemouth, Christchurch and PooleShort term domiciliary care (pathway 1)</v>
      </c>
      <c r="B75" t="str">
        <f>VLOOKUP(Table_Capacity_HD_frontsheet[[#This Row],[Service Area]],PathwayLookup!A:B,2,0)</f>
        <v>Short term domiciliary care (pathway 1)</v>
      </c>
      <c r="C75" t="s">
        <v>85</v>
      </c>
      <c r="D75" t="s">
        <v>730</v>
      </c>
      <c r="E75">
        <v>12</v>
      </c>
      <c r="F75">
        <v>16</v>
      </c>
      <c r="G75">
        <v>27</v>
      </c>
      <c r="H75">
        <v>27</v>
      </c>
      <c r="I75">
        <v>27</v>
      </c>
      <c r="J75">
        <v>27</v>
      </c>
      <c r="K75">
        <v>27</v>
      </c>
      <c r="L75">
        <v>27</v>
      </c>
      <c r="M75">
        <v>27</v>
      </c>
      <c r="N75">
        <v>27</v>
      </c>
      <c r="O75">
        <v>27</v>
      </c>
      <c r="P75">
        <v>27</v>
      </c>
      <c r="W75"/>
      <c r="X75"/>
      <c r="Y75"/>
    </row>
    <row r="76" spans="1:25" x14ac:dyDescent="0.3">
      <c r="A76" t="str">
        <f>Table_Capacity_HD_frontsheet[[#This Row],[Name]]&amp;B76</f>
        <v>Bournemouth, Christchurch and PooleReablement &amp; Rehabilitation in a bedded setting (pathway 2)</v>
      </c>
      <c r="B76" t="str">
        <f>VLOOKUP(Table_Capacity_HD_frontsheet[[#This Row],[Service Area]],PathwayLookup!A:B,2,0)</f>
        <v>Reablement &amp; Rehabilitation in a bedded setting (pathway 2)</v>
      </c>
      <c r="C76" t="s">
        <v>85</v>
      </c>
      <c r="D76" t="s">
        <v>723</v>
      </c>
      <c r="E76">
        <v>86</v>
      </c>
      <c r="F76">
        <v>86</v>
      </c>
      <c r="G76">
        <v>86</v>
      </c>
      <c r="H76">
        <v>86</v>
      </c>
      <c r="I76">
        <v>86</v>
      </c>
      <c r="J76">
        <v>86</v>
      </c>
      <c r="K76">
        <v>86</v>
      </c>
      <c r="L76">
        <v>86</v>
      </c>
      <c r="M76">
        <v>86</v>
      </c>
      <c r="N76">
        <v>86</v>
      </c>
      <c r="O76">
        <v>86</v>
      </c>
      <c r="P76">
        <v>86</v>
      </c>
      <c r="W76"/>
      <c r="X76"/>
      <c r="Y76"/>
    </row>
    <row r="77" spans="1:25" x14ac:dyDescent="0.3">
      <c r="A77" t="str">
        <f>Table_Capacity_HD_frontsheet[[#This Row],[Name]]&amp;B77</f>
        <v>Bournemouth, Christchurch and PooleReablement &amp; Rehabilitation in a bedded setting (pathway 2)</v>
      </c>
      <c r="B77" t="str">
        <f>VLOOKUP(Table_Capacity_HD_frontsheet[[#This Row],[Service Area]],PathwayLookup!A:B,2,0)</f>
        <v>Reablement &amp; Rehabilitation in a bedded setting (pathway 2)</v>
      </c>
      <c r="C77" t="s">
        <v>85</v>
      </c>
      <c r="D77" t="s">
        <v>725</v>
      </c>
      <c r="E77">
        <v>49</v>
      </c>
      <c r="F77">
        <v>49</v>
      </c>
      <c r="G77">
        <v>49</v>
      </c>
      <c r="H77">
        <v>49</v>
      </c>
      <c r="I77">
        <v>49</v>
      </c>
      <c r="J77">
        <v>49</v>
      </c>
      <c r="K77">
        <v>49</v>
      </c>
      <c r="L77">
        <v>49</v>
      </c>
      <c r="M77">
        <v>49</v>
      </c>
      <c r="N77">
        <v>49</v>
      </c>
      <c r="O77">
        <v>49</v>
      </c>
      <c r="P77">
        <v>49</v>
      </c>
      <c r="W77"/>
      <c r="X77"/>
      <c r="Y77"/>
    </row>
    <row r="78" spans="1:25" x14ac:dyDescent="0.3">
      <c r="A78" t="str">
        <f>Table_Capacity_HD_frontsheet[[#This Row],[Name]]&amp;B78</f>
        <v>Bournemouth, Christchurch and PooleShort-term residential/nursing care for someone likely to require a longer-term care home placement (pathway 3)</v>
      </c>
      <c r="B78" t="str">
        <f>VLOOKUP(Table_Capacity_HD_frontsheet[[#This Row],[Service Area]],PathwayLookup!A:B,2,0)</f>
        <v>Short-term residential/nursing care for someone likely to require a longer-term care home placement (pathway 3)</v>
      </c>
      <c r="C78" t="s">
        <v>85</v>
      </c>
      <c r="D78" t="s">
        <v>731</v>
      </c>
      <c r="E78">
        <v>19</v>
      </c>
      <c r="F78">
        <v>8</v>
      </c>
      <c r="G78">
        <v>12</v>
      </c>
      <c r="H78">
        <v>12</v>
      </c>
      <c r="I78">
        <v>17</v>
      </c>
      <c r="J78">
        <v>4</v>
      </c>
      <c r="K78">
        <v>10</v>
      </c>
      <c r="L78">
        <v>13</v>
      </c>
      <c r="M78">
        <v>15</v>
      </c>
      <c r="N78">
        <v>14</v>
      </c>
      <c r="O78">
        <v>14</v>
      </c>
      <c r="P78">
        <v>16</v>
      </c>
      <c r="W78"/>
      <c r="X78"/>
      <c r="Y78"/>
    </row>
    <row r="79" spans="1:25" x14ac:dyDescent="0.3">
      <c r="A79" t="str">
        <f>Table_Capacity_HD_frontsheet[[#This Row],[Name]]&amp;B79</f>
        <v>Bracknell ForestSocial support (including VCS) (pathway 0)</v>
      </c>
      <c r="B79" t="str">
        <f>VLOOKUP(Table_Capacity_HD_frontsheet[[#This Row],[Service Area]],PathwayLookup!A:B,2,0)</f>
        <v>Social support (including VCS) (pathway 0)</v>
      </c>
      <c r="C79" t="s">
        <v>87</v>
      </c>
      <c r="D79" t="s">
        <v>726</v>
      </c>
      <c r="E79">
        <v>22</v>
      </c>
      <c r="F79">
        <v>22</v>
      </c>
      <c r="G79">
        <v>22</v>
      </c>
      <c r="H79">
        <v>22</v>
      </c>
      <c r="I79">
        <v>22</v>
      </c>
      <c r="J79">
        <v>22</v>
      </c>
      <c r="K79">
        <v>22</v>
      </c>
      <c r="L79">
        <v>22</v>
      </c>
      <c r="M79">
        <v>22</v>
      </c>
      <c r="N79">
        <v>22</v>
      </c>
      <c r="O79">
        <v>22</v>
      </c>
      <c r="P79">
        <v>22</v>
      </c>
      <c r="Q79">
        <v>1</v>
      </c>
      <c r="R79">
        <v>0</v>
      </c>
      <c r="W79"/>
      <c r="X79"/>
      <c r="Y79"/>
    </row>
    <row r="80" spans="1:25" x14ac:dyDescent="0.3">
      <c r="A80" t="str">
        <f>Table_Capacity_HD_frontsheet[[#This Row],[Name]]&amp;B80</f>
        <v>Bracknell ForestReablement &amp; Rehabilitation at home  (pathway 1)</v>
      </c>
      <c r="B80" t="str">
        <f>VLOOKUP(Table_Capacity_HD_frontsheet[[#This Row],[Service Area]],PathwayLookup!A:B,2,0)</f>
        <v>Reablement &amp; Rehabilitation at home  (pathway 1)</v>
      </c>
      <c r="C80" t="s">
        <v>87</v>
      </c>
      <c r="D80" t="s">
        <v>728</v>
      </c>
      <c r="E80">
        <v>27</v>
      </c>
      <c r="F80">
        <v>27</v>
      </c>
      <c r="G80">
        <v>30</v>
      </c>
      <c r="H80">
        <v>30</v>
      </c>
      <c r="I80">
        <v>28</v>
      </c>
      <c r="J80">
        <v>29</v>
      </c>
      <c r="K80">
        <v>28</v>
      </c>
      <c r="L80">
        <v>27</v>
      </c>
      <c r="M80">
        <v>28</v>
      </c>
      <c r="N80">
        <v>30</v>
      </c>
      <c r="O80">
        <v>31</v>
      </c>
      <c r="P80">
        <v>32</v>
      </c>
      <c r="Q80">
        <v>0.35</v>
      </c>
      <c r="R80">
        <v>0.65</v>
      </c>
      <c r="W80"/>
      <c r="X80"/>
      <c r="Y80"/>
    </row>
    <row r="81" spans="1:25" x14ac:dyDescent="0.3">
      <c r="A81" t="str">
        <f>Table_Capacity_HD_frontsheet[[#This Row],[Name]]&amp;B81</f>
        <v>Bracknell ForestReablement &amp; Rehabilitation at home  (pathway 1)</v>
      </c>
      <c r="B81" t="str">
        <f>VLOOKUP(Table_Capacity_HD_frontsheet[[#This Row],[Service Area]],PathwayLookup!A:B,2,0)</f>
        <v>Reablement &amp; Rehabilitation at home  (pathway 1)</v>
      </c>
      <c r="C81" t="s">
        <v>87</v>
      </c>
      <c r="D81" t="s">
        <v>721</v>
      </c>
      <c r="E81">
        <v>0</v>
      </c>
      <c r="F81">
        <v>0</v>
      </c>
      <c r="G81">
        <v>0</v>
      </c>
      <c r="H81">
        <v>0</v>
      </c>
      <c r="I81">
        <v>0</v>
      </c>
      <c r="J81">
        <v>0</v>
      </c>
      <c r="K81">
        <v>0</v>
      </c>
      <c r="L81">
        <v>0</v>
      </c>
      <c r="M81">
        <v>0</v>
      </c>
      <c r="N81">
        <v>0</v>
      </c>
      <c r="O81">
        <v>0</v>
      </c>
      <c r="P81">
        <v>0</v>
      </c>
      <c r="Q81">
        <v>0</v>
      </c>
      <c r="R81">
        <v>0</v>
      </c>
      <c r="W81"/>
      <c r="X81"/>
      <c r="Y81"/>
    </row>
    <row r="82" spans="1:25" x14ac:dyDescent="0.3">
      <c r="A82" t="str">
        <f>Table_Capacity_HD_frontsheet[[#This Row],[Name]]&amp;B82</f>
        <v>Bracknell ForestShort term domiciliary care (pathway 1)</v>
      </c>
      <c r="B82" t="str">
        <f>VLOOKUP(Table_Capacity_HD_frontsheet[[#This Row],[Service Area]],PathwayLookup!A:B,2,0)</f>
        <v>Short term domiciliary care (pathway 1)</v>
      </c>
      <c r="C82" t="s">
        <v>87</v>
      </c>
      <c r="D82" t="s">
        <v>730</v>
      </c>
      <c r="E82">
        <v>1100</v>
      </c>
      <c r="F82">
        <v>1100</v>
      </c>
      <c r="G82">
        <v>1100</v>
      </c>
      <c r="H82">
        <v>1100</v>
      </c>
      <c r="I82">
        <v>1100</v>
      </c>
      <c r="J82">
        <v>1100</v>
      </c>
      <c r="K82">
        <v>1300</v>
      </c>
      <c r="L82">
        <v>1300</v>
      </c>
      <c r="M82">
        <v>1300</v>
      </c>
      <c r="N82">
        <v>1300</v>
      </c>
      <c r="O82">
        <v>1300</v>
      </c>
      <c r="P82">
        <v>1300</v>
      </c>
      <c r="Q82">
        <v>0</v>
      </c>
      <c r="R82">
        <v>1</v>
      </c>
      <c r="W82"/>
      <c r="X82"/>
      <c r="Y82"/>
    </row>
    <row r="83" spans="1:25" x14ac:dyDescent="0.3">
      <c r="A83" t="str">
        <f>Table_Capacity_HD_frontsheet[[#This Row],[Name]]&amp;B83</f>
        <v>Bracknell ForestReablement &amp; Rehabilitation in a bedded setting (pathway 2)</v>
      </c>
      <c r="B83" t="str">
        <f>VLOOKUP(Table_Capacity_HD_frontsheet[[#This Row],[Service Area]],PathwayLookup!A:B,2,0)</f>
        <v>Reablement &amp; Rehabilitation in a bedded setting (pathway 2)</v>
      </c>
      <c r="C83" t="s">
        <v>87</v>
      </c>
      <c r="D83" t="s">
        <v>723</v>
      </c>
      <c r="E83">
        <v>20</v>
      </c>
      <c r="F83">
        <v>20</v>
      </c>
      <c r="G83">
        <v>20</v>
      </c>
      <c r="H83">
        <v>20</v>
      </c>
      <c r="I83">
        <v>20</v>
      </c>
      <c r="J83">
        <v>20</v>
      </c>
      <c r="K83">
        <v>20</v>
      </c>
      <c r="L83">
        <v>20</v>
      </c>
      <c r="M83">
        <v>20</v>
      </c>
      <c r="N83">
        <v>20</v>
      </c>
      <c r="O83">
        <v>20</v>
      </c>
      <c r="P83">
        <v>20</v>
      </c>
      <c r="Q83">
        <v>1</v>
      </c>
      <c r="R83">
        <v>0</v>
      </c>
      <c r="W83"/>
      <c r="X83"/>
      <c r="Y83"/>
    </row>
    <row r="84" spans="1:25" x14ac:dyDescent="0.3">
      <c r="A84" t="str">
        <f>Table_Capacity_HD_frontsheet[[#This Row],[Name]]&amp;B84</f>
        <v>Bracknell ForestReablement &amp; Rehabilitation in a bedded setting (pathway 2)</v>
      </c>
      <c r="B84" t="str">
        <f>VLOOKUP(Table_Capacity_HD_frontsheet[[#This Row],[Service Area]],PathwayLookup!A:B,2,0)</f>
        <v>Reablement &amp; Rehabilitation in a bedded setting (pathway 2)</v>
      </c>
      <c r="C84" t="s">
        <v>87</v>
      </c>
      <c r="D84" t="s">
        <v>725</v>
      </c>
      <c r="E84">
        <v>0</v>
      </c>
      <c r="F84">
        <v>0</v>
      </c>
      <c r="G84">
        <v>0</v>
      </c>
      <c r="H84">
        <v>0</v>
      </c>
      <c r="I84">
        <v>0</v>
      </c>
      <c r="J84">
        <v>0</v>
      </c>
      <c r="K84">
        <v>0</v>
      </c>
      <c r="L84">
        <v>0</v>
      </c>
      <c r="M84">
        <v>0</v>
      </c>
      <c r="N84">
        <v>0</v>
      </c>
      <c r="O84">
        <v>0</v>
      </c>
      <c r="P84">
        <v>0</v>
      </c>
      <c r="Q84">
        <v>0</v>
      </c>
      <c r="R84">
        <v>0</v>
      </c>
      <c r="W84"/>
      <c r="X84"/>
      <c r="Y84"/>
    </row>
    <row r="85" spans="1:25" x14ac:dyDescent="0.3">
      <c r="A85" t="str">
        <f>Table_Capacity_HD_frontsheet[[#This Row],[Name]]&amp;B85</f>
        <v>Bracknell ForestShort-term residential/nursing care for someone likely to require a longer-term care home placement (pathway 3)</v>
      </c>
      <c r="B85" t="str">
        <f>VLOOKUP(Table_Capacity_HD_frontsheet[[#This Row],[Service Area]],PathwayLookup!A:B,2,0)</f>
        <v>Short-term residential/nursing care for someone likely to require a longer-term care home placement (pathway 3)</v>
      </c>
      <c r="C85" t="s">
        <v>87</v>
      </c>
      <c r="D85" t="s">
        <v>731</v>
      </c>
      <c r="E85">
        <v>8</v>
      </c>
      <c r="F85">
        <v>9</v>
      </c>
      <c r="G85">
        <v>8</v>
      </c>
      <c r="H85">
        <v>9</v>
      </c>
      <c r="I85">
        <v>9</v>
      </c>
      <c r="J85">
        <v>9</v>
      </c>
      <c r="K85">
        <v>10</v>
      </c>
      <c r="L85">
        <v>6</v>
      </c>
      <c r="M85">
        <v>9</v>
      </c>
      <c r="N85">
        <v>10</v>
      </c>
      <c r="O85">
        <v>7</v>
      </c>
      <c r="P85">
        <v>5</v>
      </c>
      <c r="Q85">
        <v>0</v>
      </c>
      <c r="R85">
        <v>1</v>
      </c>
      <c r="W85"/>
      <c r="X85"/>
      <c r="Y85"/>
    </row>
    <row r="86" spans="1:25" x14ac:dyDescent="0.3">
      <c r="A86" t="str">
        <f>Table_Capacity_HD_frontsheet[[#This Row],[Name]]&amp;B86</f>
        <v>BradfordSocial support (including VCS) (pathway 0)</v>
      </c>
      <c r="B86" t="str">
        <f>VLOOKUP(Table_Capacity_HD_frontsheet[[#This Row],[Service Area]],PathwayLookup!A:B,2,0)</f>
        <v>Social support (including VCS) (pathway 0)</v>
      </c>
      <c r="C86" t="s">
        <v>89</v>
      </c>
      <c r="D86" t="s">
        <v>726</v>
      </c>
      <c r="E86">
        <v>329</v>
      </c>
      <c r="F86">
        <v>329</v>
      </c>
      <c r="G86">
        <v>329</v>
      </c>
      <c r="H86">
        <v>329</v>
      </c>
      <c r="I86">
        <v>329</v>
      </c>
      <c r="J86">
        <v>329</v>
      </c>
      <c r="K86">
        <v>329</v>
      </c>
      <c r="L86">
        <v>329</v>
      </c>
      <c r="M86">
        <v>329</v>
      </c>
      <c r="N86">
        <v>329</v>
      </c>
      <c r="O86">
        <v>329</v>
      </c>
      <c r="P86">
        <v>329</v>
      </c>
      <c r="R86">
        <v>1</v>
      </c>
      <c r="W86"/>
      <c r="X86"/>
      <c r="Y86"/>
    </row>
    <row r="87" spans="1:25" x14ac:dyDescent="0.3">
      <c r="A87" t="str">
        <f>Table_Capacity_HD_frontsheet[[#This Row],[Name]]&amp;B87</f>
        <v>BradfordReablement &amp; Rehabilitation at home  (pathway 1)</v>
      </c>
      <c r="B87" t="str">
        <f>VLOOKUP(Table_Capacity_HD_frontsheet[[#This Row],[Service Area]],PathwayLookup!A:B,2,0)</f>
        <v>Reablement &amp; Rehabilitation at home  (pathway 1)</v>
      </c>
      <c r="C87" t="s">
        <v>89</v>
      </c>
      <c r="D87" t="s">
        <v>728</v>
      </c>
      <c r="E87">
        <v>137</v>
      </c>
      <c r="F87">
        <v>172</v>
      </c>
      <c r="G87">
        <v>141</v>
      </c>
      <c r="H87">
        <v>126</v>
      </c>
      <c r="I87">
        <v>138</v>
      </c>
      <c r="J87">
        <v>152</v>
      </c>
      <c r="K87">
        <v>148</v>
      </c>
      <c r="L87">
        <v>145</v>
      </c>
      <c r="M87">
        <v>122</v>
      </c>
      <c r="N87">
        <v>184</v>
      </c>
      <c r="O87">
        <v>157</v>
      </c>
      <c r="P87">
        <v>153</v>
      </c>
      <c r="R87">
        <v>1</v>
      </c>
      <c r="W87"/>
      <c r="X87"/>
      <c r="Y87"/>
    </row>
    <row r="88" spans="1:25" x14ac:dyDescent="0.3">
      <c r="A88" t="str">
        <f>Table_Capacity_HD_frontsheet[[#This Row],[Name]]&amp;B88</f>
        <v>BradfordReablement &amp; Rehabilitation at home  (pathway 1)</v>
      </c>
      <c r="B88" t="str">
        <f>VLOOKUP(Table_Capacity_HD_frontsheet[[#This Row],[Service Area]],PathwayLookup!A:B,2,0)</f>
        <v>Reablement &amp; Rehabilitation at home  (pathway 1)</v>
      </c>
      <c r="C88" t="s">
        <v>89</v>
      </c>
      <c r="D88" t="s">
        <v>721</v>
      </c>
      <c r="W88"/>
      <c r="X88"/>
      <c r="Y88"/>
    </row>
    <row r="89" spans="1:25" x14ac:dyDescent="0.3">
      <c r="A89" t="str">
        <f>Table_Capacity_HD_frontsheet[[#This Row],[Name]]&amp;B89</f>
        <v>BradfordShort term domiciliary care (pathway 1)</v>
      </c>
      <c r="B89" t="str">
        <f>VLOOKUP(Table_Capacity_HD_frontsheet[[#This Row],[Service Area]],PathwayLookup!A:B,2,0)</f>
        <v>Short term domiciliary care (pathway 1)</v>
      </c>
      <c r="C89" t="s">
        <v>89</v>
      </c>
      <c r="D89" t="s">
        <v>730</v>
      </c>
      <c r="W89"/>
      <c r="X89"/>
      <c r="Y89"/>
    </row>
    <row r="90" spans="1:25" x14ac:dyDescent="0.3">
      <c r="A90" t="str">
        <f>Table_Capacity_HD_frontsheet[[#This Row],[Name]]&amp;B90</f>
        <v>BradfordReablement &amp; Rehabilitation in a bedded setting (pathway 2)</v>
      </c>
      <c r="B90" t="str">
        <f>VLOOKUP(Table_Capacity_HD_frontsheet[[#This Row],[Service Area]],PathwayLookup!A:B,2,0)</f>
        <v>Reablement &amp; Rehabilitation in a bedded setting (pathway 2)</v>
      </c>
      <c r="C90" t="s">
        <v>89</v>
      </c>
      <c r="D90" t="s">
        <v>723</v>
      </c>
      <c r="E90">
        <v>24</v>
      </c>
      <c r="F90">
        <v>24</v>
      </c>
      <c r="G90">
        <v>24</v>
      </c>
      <c r="H90">
        <v>17</v>
      </c>
      <c r="I90">
        <v>36</v>
      </c>
      <c r="J90">
        <v>30</v>
      </c>
      <c r="K90">
        <v>19</v>
      </c>
      <c r="L90">
        <v>28</v>
      </c>
      <c r="M90">
        <v>23</v>
      </c>
      <c r="N90">
        <v>12</v>
      </c>
      <c r="O90">
        <v>11</v>
      </c>
      <c r="P90">
        <v>10</v>
      </c>
      <c r="R90">
        <v>1</v>
      </c>
      <c r="W90"/>
      <c r="X90"/>
      <c r="Y90"/>
    </row>
    <row r="91" spans="1:25" x14ac:dyDescent="0.3">
      <c r="A91" t="str">
        <f>Table_Capacity_HD_frontsheet[[#This Row],[Name]]&amp;B91</f>
        <v>BradfordReablement &amp; Rehabilitation in a bedded setting (pathway 2)</v>
      </c>
      <c r="B91" t="str">
        <f>VLOOKUP(Table_Capacity_HD_frontsheet[[#This Row],[Service Area]],PathwayLookup!A:B,2,0)</f>
        <v>Reablement &amp; Rehabilitation in a bedded setting (pathway 2)</v>
      </c>
      <c r="C91" t="s">
        <v>89</v>
      </c>
      <c r="D91" t="s">
        <v>725</v>
      </c>
      <c r="E91">
        <v>11</v>
      </c>
      <c r="F91">
        <v>22</v>
      </c>
      <c r="G91">
        <v>16</v>
      </c>
      <c r="H91">
        <v>9</v>
      </c>
      <c r="I91">
        <v>15</v>
      </c>
      <c r="J91">
        <v>16</v>
      </c>
      <c r="K91">
        <v>19</v>
      </c>
      <c r="L91">
        <v>8</v>
      </c>
      <c r="M91">
        <v>20</v>
      </c>
      <c r="N91">
        <v>6</v>
      </c>
      <c r="O91">
        <v>11</v>
      </c>
      <c r="P91">
        <v>11</v>
      </c>
      <c r="R91">
        <v>1</v>
      </c>
      <c r="W91"/>
      <c r="X91"/>
      <c r="Y91"/>
    </row>
    <row r="92" spans="1:25" x14ac:dyDescent="0.3">
      <c r="A92" t="str">
        <f>Table_Capacity_HD_frontsheet[[#This Row],[Name]]&amp;B92</f>
        <v>BradfordShort-term residential/nursing care for someone likely to require a longer-term care home placement (pathway 3)</v>
      </c>
      <c r="B92" t="str">
        <f>VLOOKUP(Table_Capacity_HD_frontsheet[[#This Row],[Service Area]],PathwayLookup!A:B,2,0)</f>
        <v>Short-term residential/nursing care for someone likely to require a longer-term care home placement (pathway 3)</v>
      </c>
      <c r="C92" t="s">
        <v>89</v>
      </c>
      <c r="D92" t="s">
        <v>731</v>
      </c>
      <c r="E92">
        <v>43</v>
      </c>
      <c r="F92">
        <v>43</v>
      </c>
      <c r="G92">
        <v>43</v>
      </c>
      <c r="H92">
        <v>43</v>
      </c>
      <c r="I92">
        <v>43</v>
      </c>
      <c r="J92">
        <v>43</v>
      </c>
      <c r="K92">
        <v>43</v>
      </c>
      <c r="L92">
        <v>43</v>
      </c>
      <c r="M92">
        <v>43</v>
      </c>
      <c r="N92">
        <v>43</v>
      </c>
      <c r="O92">
        <v>43</v>
      </c>
      <c r="P92">
        <v>43</v>
      </c>
      <c r="W92"/>
      <c r="X92"/>
      <c r="Y92"/>
    </row>
    <row r="93" spans="1:25" x14ac:dyDescent="0.3">
      <c r="A93" t="str">
        <f>Table_Capacity_HD_frontsheet[[#This Row],[Name]]&amp;B93</f>
        <v>BrentSocial support (including VCS) (pathway 0)</v>
      </c>
      <c r="B93" t="str">
        <f>VLOOKUP(Table_Capacity_HD_frontsheet[[#This Row],[Service Area]],PathwayLookup!A:B,2,0)</f>
        <v>Social support (including VCS) (pathway 0)</v>
      </c>
      <c r="C93" t="s">
        <v>91</v>
      </c>
      <c r="D93" t="s">
        <v>726</v>
      </c>
      <c r="E93">
        <v>58</v>
      </c>
      <c r="F93">
        <v>58</v>
      </c>
      <c r="G93">
        <v>58</v>
      </c>
      <c r="H93">
        <v>58</v>
      </c>
      <c r="I93">
        <v>58</v>
      </c>
      <c r="J93">
        <v>58</v>
      </c>
      <c r="K93">
        <v>58</v>
      </c>
      <c r="L93">
        <v>58</v>
      </c>
      <c r="M93">
        <v>58</v>
      </c>
      <c r="N93">
        <v>58</v>
      </c>
      <c r="O93">
        <v>58</v>
      </c>
      <c r="P93">
        <v>58</v>
      </c>
      <c r="Q93">
        <v>0.8</v>
      </c>
      <c r="R93">
        <v>0.2</v>
      </c>
      <c r="S93">
        <v>0</v>
      </c>
      <c r="W93"/>
      <c r="X93"/>
      <c r="Y93"/>
    </row>
    <row r="94" spans="1:25" x14ac:dyDescent="0.3">
      <c r="A94" t="str">
        <f>Table_Capacity_HD_frontsheet[[#This Row],[Name]]&amp;B94</f>
        <v>BrentReablement &amp; Rehabilitation at home  (pathway 1)</v>
      </c>
      <c r="B94" t="str">
        <f>VLOOKUP(Table_Capacity_HD_frontsheet[[#This Row],[Service Area]],PathwayLookup!A:B,2,0)</f>
        <v>Reablement &amp; Rehabilitation at home  (pathway 1)</v>
      </c>
      <c r="C94" t="s">
        <v>91</v>
      </c>
      <c r="D94" t="s">
        <v>728</v>
      </c>
      <c r="E94">
        <v>113</v>
      </c>
      <c r="F94">
        <v>123</v>
      </c>
      <c r="G94">
        <v>121</v>
      </c>
      <c r="H94">
        <v>127</v>
      </c>
      <c r="I94">
        <v>121</v>
      </c>
      <c r="J94">
        <v>122</v>
      </c>
      <c r="K94">
        <v>126</v>
      </c>
      <c r="L94">
        <v>126</v>
      </c>
      <c r="M94">
        <v>119</v>
      </c>
      <c r="N94">
        <v>125</v>
      </c>
      <c r="O94">
        <v>119</v>
      </c>
      <c r="P94">
        <v>128</v>
      </c>
      <c r="Q94">
        <v>0</v>
      </c>
      <c r="R94">
        <v>1</v>
      </c>
      <c r="S94">
        <v>0</v>
      </c>
      <c r="W94"/>
      <c r="X94"/>
      <c r="Y94"/>
    </row>
    <row r="95" spans="1:25" x14ac:dyDescent="0.3">
      <c r="A95" t="str">
        <f>Table_Capacity_HD_frontsheet[[#This Row],[Name]]&amp;B95</f>
        <v>BrentReablement &amp; Rehabilitation at home  (pathway 1)</v>
      </c>
      <c r="B95" t="str">
        <f>VLOOKUP(Table_Capacity_HD_frontsheet[[#This Row],[Service Area]],PathwayLookup!A:B,2,0)</f>
        <v>Reablement &amp; Rehabilitation at home  (pathway 1)</v>
      </c>
      <c r="C95" t="s">
        <v>91</v>
      </c>
      <c r="D95" t="s">
        <v>721</v>
      </c>
      <c r="E95">
        <v>113</v>
      </c>
      <c r="F95">
        <v>123</v>
      </c>
      <c r="G95">
        <v>121</v>
      </c>
      <c r="H95">
        <v>127</v>
      </c>
      <c r="I95">
        <v>121</v>
      </c>
      <c r="J95">
        <v>122</v>
      </c>
      <c r="K95">
        <v>126</v>
      </c>
      <c r="L95">
        <v>126</v>
      </c>
      <c r="M95">
        <v>119</v>
      </c>
      <c r="N95">
        <v>125</v>
      </c>
      <c r="O95">
        <v>119</v>
      </c>
      <c r="P95">
        <v>128</v>
      </c>
      <c r="Q95">
        <v>1</v>
      </c>
      <c r="R95">
        <v>0</v>
      </c>
      <c r="S95">
        <v>0</v>
      </c>
      <c r="W95"/>
      <c r="X95"/>
      <c r="Y95"/>
    </row>
    <row r="96" spans="1:25" x14ac:dyDescent="0.3">
      <c r="A96" t="str">
        <f>Table_Capacity_HD_frontsheet[[#This Row],[Name]]&amp;B96</f>
        <v>BrentShort term domiciliary care (pathway 1)</v>
      </c>
      <c r="B96" t="str">
        <f>VLOOKUP(Table_Capacity_HD_frontsheet[[#This Row],[Service Area]],PathwayLookup!A:B,2,0)</f>
        <v>Short term domiciliary care (pathway 1)</v>
      </c>
      <c r="C96" t="s">
        <v>91</v>
      </c>
      <c r="D96" t="s">
        <v>730</v>
      </c>
      <c r="E96">
        <v>113</v>
      </c>
      <c r="F96">
        <v>123</v>
      </c>
      <c r="G96">
        <v>121</v>
      </c>
      <c r="H96">
        <v>127</v>
      </c>
      <c r="I96">
        <v>121</v>
      </c>
      <c r="J96">
        <v>122</v>
      </c>
      <c r="K96">
        <v>126</v>
      </c>
      <c r="L96">
        <v>126</v>
      </c>
      <c r="M96">
        <v>119</v>
      </c>
      <c r="N96">
        <v>125</v>
      </c>
      <c r="O96">
        <v>119</v>
      </c>
      <c r="P96">
        <v>128</v>
      </c>
      <c r="Q96">
        <v>1</v>
      </c>
      <c r="R96">
        <v>0</v>
      </c>
      <c r="S96">
        <v>0</v>
      </c>
      <c r="W96"/>
      <c r="X96"/>
      <c r="Y96"/>
    </row>
    <row r="97" spans="1:25" x14ac:dyDescent="0.3">
      <c r="A97" t="str">
        <f>Table_Capacity_HD_frontsheet[[#This Row],[Name]]&amp;B97</f>
        <v>BrentReablement &amp; Rehabilitation in a bedded setting (pathway 2)</v>
      </c>
      <c r="B97" t="str">
        <f>VLOOKUP(Table_Capacity_HD_frontsheet[[#This Row],[Service Area]],PathwayLookup!A:B,2,0)</f>
        <v>Reablement &amp; Rehabilitation in a bedded setting (pathway 2)</v>
      </c>
      <c r="C97" t="s">
        <v>91</v>
      </c>
      <c r="D97" t="s">
        <v>723</v>
      </c>
      <c r="E97">
        <v>0</v>
      </c>
      <c r="F97">
        <v>0</v>
      </c>
      <c r="G97">
        <v>0</v>
      </c>
      <c r="H97">
        <v>0</v>
      </c>
      <c r="I97">
        <v>0</v>
      </c>
      <c r="J97">
        <v>0</v>
      </c>
      <c r="K97">
        <v>0</v>
      </c>
      <c r="L97">
        <v>0</v>
      </c>
      <c r="M97">
        <v>0</v>
      </c>
      <c r="N97">
        <v>0</v>
      </c>
      <c r="O97">
        <v>0</v>
      </c>
      <c r="P97">
        <v>0</v>
      </c>
      <c r="Q97">
        <v>0</v>
      </c>
      <c r="R97">
        <v>0</v>
      </c>
      <c r="S97">
        <v>0</v>
      </c>
      <c r="W97"/>
      <c r="X97"/>
      <c r="Y97"/>
    </row>
    <row r="98" spans="1:25" x14ac:dyDescent="0.3">
      <c r="A98" t="str">
        <f>Table_Capacity_HD_frontsheet[[#This Row],[Name]]&amp;B98</f>
        <v>BrentReablement &amp; Rehabilitation in a bedded setting (pathway 2)</v>
      </c>
      <c r="B98" t="str">
        <f>VLOOKUP(Table_Capacity_HD_frontsheet[[#This Row],[Service Area]],PathwayLookup!A:B,2,0)</f>
        <v>Reablement &amp; Rehabilitation in a bedded setting (pathway 2)</v>
      </c>
      <c r="C98" t="s">
        <v>91</v>
      </c>
      <c r="D98" t="s">
        <v>725</v>
      </c>
      <c r="E98">
        <v>48</v>
      </c>
      <c r="F98">
        <v>53</v>
      </c>
      <c r="G98">
        <v>51</v>
      </c>
      <c r="H98">
        <v>54</v>
      </c>
      <c r="I98">
        <v>51</v>
      </c>
      <c r="J98">
        <v>51</v>
      </c>
      <c r="K98">
        <v>53</v>
      </c>
      <c r="L98">
        <v>53</v>
      </c>
      <c r="M98">
        <v>50</v>
      </c>
      <c r="N98">
        <v>52</v>
      </c>
      <c r="O98">
        <v>49</v>
      </c>
      <c r="P98">
        <v>54</v>
      </c>
      <c r="Q98">
        <v>1</v>
      </c>
      <c r="R98">
        <v>0</v>
      </c>
      <c r="S98">
        <v>0</v>
      </c>
      <c r="W98"/>
      <c r="X98"/>
      <c r="Y98"/>
    </row>
    <row r="99" spans="1:25" x14ac:dyDescent="0.3">
      <c r="A99" t="str">
        <f>Table_Capacity_HD_frontsheet[[#This Row],[Name]]&amp;B99</f>
        <v>BrentShort-term residential/nursing care for someone likely to require a longer-term care home placement (pathway 3)</v>
      </c>
      <c r="B99" t="str">
        <f>VLOOKUP(Table_Capacity_HD_frontsheet[[#This Row],[Service Area]],PathwayLookup!A:B,2,0)</f>
        <v>Short-term residential/nursing care for someone likely to require a longer-term care home placement (pathway 3)</v>
      </c>
      <c r="C99" t="s">
        <v>91</v>
      </c>
      <c r="D99" t="s">
        <v>731</v>
      </c>
      <c r="E99">
        <v>68</v>
      </c>
      <c r="F99">
        <v>74</v>
      </c>
      <c r="G99">
        <v>73</v>
      </c>
      <c r="H99">
        <v>76</v>
      </c>
      <c r="I99">
        <v>73</v>
      </c>
      <c r="J99">
        <v>74</v>
      </c>
      <c r="K99">
        <v>75</v>
      </c>
      <c r="L99">
        <v>75</v>
      </c>
      <c r="M99">
        <v>72</v>
      </c>
      <c r="N99">
        <v>75</v>
      </c>
      <c r="O99">
        <v>71</v>
      </c>
      <c r="P99">
        <v>77</v>
      </c>
      <c r="Q99">
        <v>0</v>
      </c>
      <c r="R99">
        <v>1</v>
      </c>
      <c r="S99">
        <v>0</v>
      </c>
      <c r="W99"/>
      <c r="X99"/>
      <c r="Y99"/>
    </row>
    <row r="100" spans="1:25" x14ac:dyDescent="0.3">
      <c r="A100" t="str">
        <f>Table_Capacity_HD_frontsheet[[#This Row],[Name]]&amp;B100</f>
        <v>Brighton and HoveSocial support (including VCS) (pathway 0)</v>
      </c>
      <c r="B100" t="str">
        <f>VLOOKUP(Table_Capacity_HD_frontsheet[[#This Row],[Service Area]],PathwayLookup!A:B,2,0)</f>
        <v>Social support (including VCS) (pathway 0)</v>
      </c>
      <c r="C100" t="s">
        <v>93</v>
      </c>
      <c r="D100" t="s">
        <v>726</v>
      </c>
      <c r="E100">
        <v>32</v>
      </c>
      <c r="F100">
        <v>32</v>
      </c>
      <c r="G100">
        <v>32</v>
      </c>
      <c r="H100">
        <v>32</v>
      </c>
      <c r="I100">
        <v>32</v>
      </c>
      <c r="J100">
        <v>32</v>
      </c>
      <c r="K100">
        <v>32</v>
      </c>
      <c r="L100">
        <v>32</v>
      </c>
      <c r="M100">
        <v>32</v>
      </c>
      <c r="N100">
        <v>32</v>
      </c>
      <c r="O100">
        <v>32</v>
      </c>
      <c r="P100">
        <v>32</v>
      </c>
      <c r="W100"/>
      <c r="X100"/>
      <c r="Y100"/>
    </row>
    <row r="101" spans="1:25" x14ac:dyDescent="0.3">
      <c r="A101" t="str">
        <f>Table_Capacity_HD_frontsheet[[#This Row],[Name]]&amp;B101</f>
        <v>Brighton and HoveReablement &amp; Rehabilitation at home  (pathway 1)</v>
      </c>
      <c r="B101" t="str">
        <f>VLOOKUP(Table_Capacity_HD_frontsheet[[#This Row],[Service Area]],PathwayLookup!A:B,2,0)</f>
        <v>Reablement &amp; Rehabilitation at home  (pathway 1)</v>
      </c>
      <c r="C101" t="s">
        <v>93</v>
      </c>
      <c r="D101" t="s">
        <v>728</v>
      </c>
      <c r="E101">
        <v>68</v>
      </c>
      <c r="F101">
        <v>70</v>
      </c>
      <c r="G101">
        <v>68</v>
      </c>
      <c r="H101">
        <v>70</v>
      </c>
      <c r="I101">
        <v>70</v>
      </c>
      <c r="J101">
        <v>68</v>
      </c>
      <c r="K101">
        <v>70</v>
      </c>
      <c r="L101">
        <v>68</v>
      </c>
      <c r="M101">
        <v>70</v>
      </c>
      <c r="N101">
        <v>70</v>
      </c>
      <c r="O101">
        <v>65</v>
      </c>
      <c r="P101">
        <v>70</v>
      </c>
      <c r="W101"/>
      <c r="X101"/>
      <c r="Y101"/>
    </row>
    <row r="102" spans="1:25" x14ac:dyDescent="0.3">
      <c r="A102" t="str">
        <f>Table_Capacity_HD_frontsheet[[#This Row],[Name]]&amp;B102</f>
        <v>Brighton and HoveReablement &amp; Rehabilitation at home  (pathway 1)</v>
      </c>
      <c r="B102" t="str">
        <f>VLOOKUP(Table_Capacity_HD_frontsheet[[#This Row],[Service Area]],PathwayLookup!A:B,2,0)</f>
        <v>Reablement &amp; Rehabilitation at home  (pathway 1)</v>
      </c>
      <c r="C102" t="s">
        <v>93</v>
      </c>
      <c r="D102" t="s">
        <v>721</v>
      </c>
      <c r="E102">
        <v>139</v>
      </c>
      <c r="F102">
        <v>143</v>
      </c>
      <c r="G102">
        <v>139</v>
      </c>
      <c r="H102">
        <v>143</v>
      </c>
      <c r="I102">
        <v>143</v>
      </c>
      <c r="J102">
        <v>139</v>
      </c>
      <c r="K102">
        <v>143</v>
      </c>
      <c r="L102">
        <v>139</v>
      </c>
      <c r="M102">
        <v>143</v>
      </c>
      <c r="N102">
        <v>143</v>
      </c>
      <c r="O102">
        <v>134</v>
      </c>
      <c r="P102">
        <v>143</v>
      </c>
      <c r="W102"/>
      <c r="X102"/>
      <c r="Y102"/>
    </row>
    <row r="103" spans="1:25" x14ac:dyDescent="0.3">
      <c r="A103" t="str">
        <f>Table_Capacity_HD_frontsheet[[#This Row],[Name]]&amp;B103</f>
        <v>Brighton and HoveShort term domiciliary care (pathway 1)</v>
      </c>
      <c r="B103" t="str">
        <f>VLOOKUP(Table_Capacity_HD_frontsheet[[#This Row],[Service Area]],PathwayLookup!A:B,2,0)</f>
        <v>Short term domiciliary care (pathway 1)</v>
      </c>
      <c r="C103" t="s">
        <v>93</v>
      </c>
      <c r="D103" t="s">
        <v>730</v>
      </c>
      <c r="E103">
        <v>6</v>
      </c>
      <c r="F103">
        <v>6</v>
      </c>
      <c r="G103">
        <v>6</v>
      </c>
      <c r="H103">
        <v>6</v>
      </c>
      <c r="I103">
        <v>6</v>
      </c>
      <c r="J103">
        <v>6</v>
      </c>
      <c r="K103">
        <v>6</v>
      </c>
      <c r="L103">
        <v>6</v>
      </c>
      <c r="M103">
        <v>6</v>
      </c>
      <c r="N103">
        <v>6</v>
      </c>
      <c r="O103">
        <v>6</v>
      </c>
      <c r="P103">
        <v>6</v>
      </c>
      <c r="W103"/>
      <c r="X103"/>
      <c r="Y103"/>
    </row>
    <row r="104" spans="1:25" x14ac:dyDescent="0.3">
      <c r="A104" t="str">
        <f>Table_Capacity_HD_frontsheet[[#This Row],[Name]]&amp;B104</f>
        <v>Brighton and HoveReablement &amp; Rehabilitation in a bedded setting (pathway 2)</v>
      </c>
      <c r="B104" t="str">
        <f>VLOOKUP(Table_Capacity_HD_frontsheet[[#This Row],[Service Area]],PathwayLookup!A:B,2,0)</f>
        <v>Reablement &amp; Rehabilitation in a bedded setting (pathway 2)</v>
      </c>
      <c r="C104" t="s">
        <v>93</v>
      </c>
      <c r="D104" t="s">
        <v>723</v>
      </c>
      <c r="E104">
        <v>67</v>
      </c>
      <c r="F104">
        <v>70</v>
      </c>
      <c r="G104">
        <v>67</v>
      </c>
      <c r="H104">
        <v>70</v>
      </c>
      <c r="I104">
        <v>70</v>
      </c>
      <c r="J104">
        <v>67</v>
      </c>
      <c r="K104">
        <v>70</v>
      </c>
      <c r="L104">
        <v>67</v>
      </c>
      <c r="M104">
        <v>70</v>
      </c>
      <c r="N104">
        <v>70</v>
      </c>
      <c r="O104">
        <v>65</v>
      </c>
      <c r="P104">
        <v>70</v>
      </c>
      <c r="W104"/>
      <c r="X104"/>
      <c r="Y104"/>
    </row>
    <row r="105" spans="1:25" x14ac:dyDescent="0.3">
      <c r="A105" t="str">
        <f>Table_Capacity_HD_frontsheet[[#This Row],[Name]]&amp;B105</f>
        <v>Brighton and HoveReablement &amp; Rehabilitation in a bedded setting (pathway 2)</v>
      </c>
      <c r="B105" t="str">
        <f>VLOOKUP(Table_Capacity_HD_frontsheet[[#This Row],[Service Area]],PathwayLookup!A:B,2,0)</f>
        <v>Reablement &amp; Rehabilitation in a bedded setting (pathway 2)</v>
      </c>
      <c r="C105" t="s">
        <v>93</v>
      </c>
      <c r="D105" t="s">
        <v>725</v>
      </c>
      <c r="E105">
        <v>78</v>
      </c>
      <c r="F105">
        <v>78</v>
      </c>
      <c r="G105">
        <v>78</v>
      </c>
      <c r="H105">
        <v>78</v>
      </c>
      <c r="I105">
        <v>78</v>
      </c>
      <c r="J105">
        <v>78</v>
      </c>
      <c r="K105">
        <v>78</v>
      </c>
      <c r="L105">
        <v>78</v>
      </c>
      <c r="M105">
        <v>78</v>
      </c>
      <c r="N105">
        <v>78</v>
      </c>
      <c r="O105">
        <v>78</v>
      </c>
      <c r="P105">
        <v>78</v>
      </c>
      <c r="W105"/>
      <c r="X105"/>
      <c r="Y105"/>
    </row>
    <row r="106" spans="1:25" x14ac:dyDescent="0.3">
      <c r="A106" t="str">
        <f>Table_Capacity_HD_frontsheet[[#This Row],[Name]]&amp;B106</f>
        <v>Brighton and HoveShort-term residential/nursing care for someone likely to require a longer-term care home placement (pathway 3)</v>
      </c>
      <c r="B106" t="str">
        <f>VLOOKUP(Table_Capacity_HD_frontsheet[[#This Row],[Service Area]],PathwayLookup!A:B,2,0)</f>
        <v>Short-term residential/nursing care for someone likely to require a longer-term care home placement (pathway 3)</v>
      </c>
      <c r="C106" t="s">
        <v>93</v>
      </c>
      <c r="D106" t="s">
        <v>731</v>
      </c>
      <c r="E106">
        <v>29</v>
      </c>
      <c r="F106">
        <v>29</v>
      </c>
      <c r="G106">
        <v>29</v>
      </c>
      <c r="H106">
        <v>29</v>
      </c>
      <c r="I106">
        <v>29</v>
      </c>
      <c r="J106">
        <v>29</v>
      </c>
      <c r="K106">
        <v>29</v>
      </c>
      <c r="L106">
        <v>29</v>
      </c>
      <c r="M106">
        <v>29</v>
      </c>
      <c r="N106">
        <v>29</v>
      </c>
      <c r="O106">
        <v>29</v>
      </c>
      <c r="P106">
        <v>29</v>
      </c>
      <c r="W106"/>
      <c r="X106"/>
      <c r="Y106"/>
    </row>
    <row r="107" spans="1:25" x14ac:dyDescent="0.3">
      <c r="A107" t="str">
        <f>Table_Capacity_HD_frontsheet[[#This Row],[Name]]&amp;B107</f>
        <v>Bristol, City ofSocial support (including VCS) (pathway 0)</v>
      </c>
      <c r="B107" t="str">
        <f>VLOOKUP(Table_Capacity_HD_frontsheet[[#This Row],[Service Area]],PathwayLookup!A:B,2,0)</f>
        <v>Social support (including VCS) (pathway 0)</v>
      </c>
      <c r="C107" t="s">
        <v>95</v>
      </c>
      <c r="D107" t="s">
        <v>726</v>
      </c>
      <c r="E107">
        <v>568</v>
      </c>
      <c r="F107">
        <v>568</v>
      </c>
      <c r="G107">
        <v>568</v>
      </c>
      <c r="H107">
        <v>568</v>
      </c>
      <c r="I107">
        <v>568</v>
      </c>
      <c r="J107">
        <v>568</v>
      </c>
      <c r="K107">
        <v>568</v>
      </c>
      <c r="L107">
        <v>568</v>
      </c>
      <c r="M107">
        <v>568</v>
      </c>
      <c r="N107">
        <v>564</v>
      </c>
      <c r="O107">
        <v>564</v>
      </c>
      <c r="P107">
        <v>564</v>
      </c>
      <c r="S107">
        <v>1</v>
      </c>
      <c r="W107"/>
      <c r="X107"/>
      <c r="Y107"/>
    </row>
    <row r="108" spans="1:25" x14ac:dyDescent="0.3">
      <c r="A108" t="str">
        <f>Table_Capacity_HD_frontsheet[[#This Row],[Name]]&amp;B108</f>
        <v>Bristol, City ofReablement &amp; Rehabilitation at home  (pathway 1)</v>
      </c>
      <c r="B108" t="str">
        <f>VLOOKUP(Table_Capacity_HD_frontsheet[[#This Row],[Service Area]],PathwayLookup!A:B,2,0)</f>
        <v>Reablement &amp; Rehabilitation at home  (pathway 1)</v>
      </c>
      <c r="C108" t="s">
        <v>95</v>
      </c>
      <c r="D108" t="s">
        <v>728</v>
      </c>
      <c r="E108">
        <v>70</v>
      </c>
      <c r="F108">
        <v>65</v>
      </c>
      <c r="G108">
        <v>61</v>
      </c>
      <c r="H108">
        <v>62</v>
      </c>
      <c r="I108">
        <v>61</v>
      </c>
      <c r="J108">
        <v>62</v>
      </c>
      <c r="K108">
        <v>60</v>
      </c>
      <c r="L108">
        <v>65</v>
      </c>
      <c r="M108">
        <v>64</v>
      </c>
      <c r="N108">
        <v>66</v>
      </c>
      <c r="O108">
        <v>64</v>
      </c>
      <c r="P108">
        <v>60</v>
      </c>
      <c r="R108">
        <v>1</v>
      </c>
      <c r="W108"/>
      <c r="X108"/>
      <c r="Y108"/>
    </row>
    <row r="109" spans="1:25" x14ac:dyDescent="0.3">
      <c r="A109" t="str">
        <f>Table_Capacity_HD_frontsheet[[#This Row],[Name]]&amp;B109</f>
        <v>Bristol, City ofReablement &amp; Rehabilitation at home  (pathway 1)</v>
      </c>
      <c r="B109" t="str">
        <f>VLOOKUP(Table_Capacity_HD_frontsheet[[#This Row],[Service Area]],PathwayLookup!A:B,2,0)</f>
        <v>Reablement &amp; Rehabilitation at home  (pathway 1)</v>
      </c>
      <c r="C109" t="s">
        <v>95</v>
      </c>
      <c r="D109" t="s">
        <v>721</v>
      </c>
      <c r="E109">
        <v>172</v>
      </c>
      <c r="F109">
        <v>178</v>
      </c>
      <c r="G109">
        <v>172</v>
      </c>
      <c r="H109">
        <v>178</v>
      </c>
      <c r="I109">
        <v>178</v>
      </c>
      <c r="J109">
        <v>172</v>
      </c>
      <c r="K109">
        <v>178</v>
      </c>
      <c r="L109">
        <v>172</v>
      </c>
      <c r="M109">
        <v>178</v>
      </c>
      <c r="N109">
        <v>178</v>
      </c>
      <c r="O109">
        <v>167</v>
      </c>
      <c r="P109">
        <v>178</v>
      </c>
      <c r="Q109">
        <v>1</v>
      </c>
      <c r="W109"/>
      <c r="X109"/>
      <c r="Y109"/>
    </row>
    <row r="110" spans="1:25" x14ac:dyDescent="0.3">
      <c r="A110" t="str">
        <f>Table_Capacity_HD_frontsheet[[#This Row],[Name]]&amp;B110</f>
        <v>Bristol, City ofShort term domiciliary care (pathway 1)</v>
      </c>
      <c r="B110" t="str">
        <f>VLOOKUP(Table_Capacity_HD_frontsheet[[#This Row],[Service Area]],PathwayLookup!A:B,2,0)</f>
        <v>Short term domiciliary care (pathway 1)</v>
      </c>
      <c r="C110" t="s">
        <v>95</v>
      </c>
      <c r="D110" t="s">
        <v>730</v>
      </c>
      <c r="S110">
        <v>1</v>
      </c>
      <c r="W110"/>
      <c r="X110"/>
      <c r="Y110"/>
    </row>
    <row r="111" spans="1:25" x14ac:dyDescent="0.3">
      <c r="A111" t="str">
        <f>Table_Capacity_HD_frontsheet[[#This Row],[Name]]&amp;B111</f>
        <v>Bristol, City ofReablement &amp; Rehabilitation in a bedded setting (pathway 2)</v>
      </c>
      <c r="B111" t="str">
        <f>VLOOKUP(Table_Capacity_HD_frontsheet[[#This Row],[Service Area]],PathwayLookup!A:B,2,0)</f>
        <v>Reablement &amp; Rehabilitation in a bedded setting (pathway 2)</v>
      </c>
      <c r="C111" t="s">
        <v>95</v>
      </c>
      <c r="D111" t="s">
        <v>723</v>
      </c>
      <c r="E111">
        <v>0</v>
      </c>
      <c r="F111">
        <v>0</v>
      </c>
      <c r="G111">
        <v>0</v>
      </c>
      <c r="H111">
        <v>0</v>
      </c>
      <c r="I111">
        <v>0</v>
      </c>
      <c r="J111">
        <v>0</v>
      </c>
      <c r="K111">
        <v>0</v>
      </c>
      <c r="L111">
        <v>0</v>
      </c>
      <c r="M111">
        <v>0</v>
      </c>
      <c r="N111">
        <v>0</v>
      </c>
      <c r="O111">
        <v>0</v>
      </c>
      <c r="P111">
        <v>0</v>
      </c>
      <c r="Q111">
        <v>1</v>
      </c>
      <c r="W111"/>
      <c r="X111"/>
      <c r="Y111"/>
    </row>
    <row r="112" spans="1:25" x14ac:dyDescent="0.3">
      <c r="A112" t="str">
        <f>Table_Capacity_HD_frontsheet[[#This Row],[Name]]&amp;B112</f>
        <v>Bristol, City ofReablement &amp; Rehabilitation in a bedded setting (pathway 2)</v>
      </c>
      <c r="B112" t="str">
        <f>VLOOKUP(Table_Capacity_HD_frontsheet[[#This Row],[Service Area]],PathwayLookup!A:B,2,0)</f>
        <v>Reablement &amp; Rehabilitation in a bedded setting (pathway 2)</v>
      </c>
      <c r="C112" t="s">
        <v>95</v>
      </c>
      <c r="D112" t="s">
        <v>725</v>
      </c>
      <c r="E112">
        <v>47</v>
      </c>
      <c r="F112">
        <v>49</v>
      </c>
      <c r="G112">
        <v>47</v>
      </c>
      <c r="H112">
        <v>49</v>
      </c>
      <c r="I112">
        <v>49</v>
      </c>
      <c r="J112">
        <v>47</v>
      </c>
      <c r="K112">
        <v>54</v>
      </c>
      <c r="L112">
        <v>52</v>
      </c>
      <c r="M112">
        <v>54</v>
      </c>
      <c r="N112">
        <v>65</v>
      </c>
      <c r="O112">
        <v>51</v>
      </c>
      <c r="P112">
        <v>65</v>
      </c>
      <c r="Q112">
        <v>1</v>
      </c>
      <c r="W112"/>
      <c r="X112"/>
      <c r="Y112"/>
    </row>
    <row r="113" spans="1:25" x14ac:dyDescent="0.3">
      <c r="A113" t="str">
        <f>Table_Capacity_HD_frontsheet[[#This Row],[Name]]&amp;B113</f>
        <v>Bristol, City ofShort-term residential/nursing care for someone likely to require a longer-term care home placement (pathway 3)</v>
      </c>
      <c r="B113" t="str">
        <f>VLOOKUP(Table_Capacity_HD_frontsheet[[#This Row],[Service Area]],PathwayLookup!A:B,2,0)</f>
        <v>Short-term residential/nursing care for someone likely to require a longer-term care home placement (pathway 3)</v>
      </c>
      <c r="C113" t="s">
        <v>95</v>
      </c>
      <c r="D113" t="s">
        <v>731</v>
      </c>
      <c r="E113">
        <v>17</v>
      </c>
      <c r="F113">
        <v>18</v>
      </c>
      <c r="G113">
        <v>17</v>
      </c>
      <c r="H113">
        <v>18</v>
      </c>
      <c r="I113">
        <v>18</v>
      </c>
      <c r="J113">
        <v>17</v>
      </c>
      <c r="K113">
        <v>17</v>
      </c>
      <c r="L113">
        <v>16</v>
      </c>
      <c r="M113">
        <v>17</v>
      </c>
      <c r="N113">
        <v>20</v>
      </c>
      <c r="O113">
        <v>19</v>
      </c>
      <c r="P113">
        <v>20</v>
      </c>
      <c r="S113">
        <v>1</v>
      </c>
      <c r="W113"/>
      <c r="X113"/>
      <c r="Y113"/>
    </row>
    <row r="114" spans="1:25" x14ac:dyDescent="0.3">
      <c r="A114" t="str">
        <f>Table_Capacity_HD_frontsheet[[#This Row],[Name]]&amp;B114</f>
        <v>BromleySocial support (including VCS) (pathway 0)</v>
      </c>
      <c r="B114" t="str">
        <f>VLOOKUP(Table_Capacity_HD_frontsheet[[#This Row],[Service Area]],PathwayLookup!A:B,2,0)</f>
        <v>Social support (including VCS) (pathway 0)</v>
      </c>
      <c r="C114" t="s">
        <v>97</v>
      </c>
      <c r="D114" t="s">
        <v>726</v>
      </c>
      <c r="E114">
        <v>330</v>
      </c>
      <c r="F114">
        <v>330</v>
      </c>
      <c r="G114">
        <v>330</v>
      </c>
      <c r="H114">
        <v>330</v>
      </c>
      <c r="I114">
        <v>330</v>
      </c>
      <c r="J114">
        <v>345</v>
      </c>
      <c r="K114">
        <v>345</v>
      </c>
      <c r="L114">
        <v>345</v>
      </c>
      <c r="M114">
        <v>345</v>
      </c>
      <c r="N114">
        <v>345</v>
      </c>
      <c r="O114">
        <v>330</v>
      </c>
      <c r="P114">
        <v>330</v>
      </c>
      <c r="Q114">
        <v>0.2</v>
      </c>
      <c r="R114">
        <v>0.8</v>
      </c>
      <c r="W114"/>
      <c r="X114"/>
      <c r="Y114"/>
    </row>
    <row r="115" spans="1:25" x14ac:dyDescent="0.3">
      <c r="A115" t="str">
        <f>Table_Capacity_HD_frontsheet[[#This Row],[Name]]&amp;B115</f>
        <v>BromleyReablement &amp; Rehabilitation at home  (pathway 1)</v>
      </c>
      <c r="B115" t="str">
        <f>VLOOKUP(Table_Capacity_HD_frontsheet[[#This Row],[Service Area]],PathwayLookup!A:B,2,0)</f>
        <v>Reablement &amp; Rehabilitation at home  (pathway 1)</v>
      </c>
      <c r="C115" t="s">
        <v>97</v>
      </c>
      <c r="D115" t="s">
        <v>728</v>
      </c>
      <c r="E115">
        <v>20</v>
      </c>
      <c r="F115">
        <v>20</v>
      </c>
      <c r="G115">
        <v>20</v>
      </c>
      <c r="H115">
        <v>20</v>
      </c>
      <c r="I115">
        <v>25</v>
      </c>
      <c r="J115">
        <v>30</v>
      </c>
      <c r="K115">
        <v>30</v>
      </c>
      <c r="L115">
        <v>30</v>
      </c>
      <c r="M115">
        <v>30</v>
      </c>
      <c r="N115">
        <v>30</v>
      </c>
      <c r="O115">
        <v>30</v>
      </c>
      <c r="P115">
        <v>30</v>
      </c>
      <c r="R115">
        <v>1</v>
      </c>
      <c r="W115"/>
      <c r="X115"/>
      <c r="Y115"/>
    </row>
    <row r="116" spans="1:25" x14ac:dyDescent="0.3">
      <c r="A116" t="str">
        <f>Table_Capacity_HD_frontsheet[[#This Row],[Name]]&amp;B116</f>
        <v>BromleyReablement &amp; Rehabilitation at home  (pathway 1)</v>
      </c>
      <c r="B116" t="str">
        <f>VLOOKUP(Table_Capacity_HD_frontsheet[[#This Row],[Service Area]],PathwayLookup!A:B,2,0)</f>
        <v>Reablement &amp; Rehabilitation at home  (pathway 1)</v>
      </c>
      <c r="C116" t="s">
        <v>97</v>
      </c>
      <c r="D116" t="s">
        <v>721</v>
      </c>
      <c r="E116">
        <v>60</v>
      </c>
      <c r="F116">
        <v>60</v>
      </c>
      <c r="G116">
        <v>60</v>
      </c>
      <c r="H116">
        <v>60</v>
      </c>
      <c r="I116">
        <v>60</v>
      </c>
      <c r="J116">
        <v>70</v>
      </c>
      <c r="K116">
        <v>70</v>
      </c>
      <c r="L116">
        <v>70</v>
      </c>
      <c r="M116">
        <v>70</v>
      </c>
      <c r="N116">
        <v>70</v>
      </c>
      <c r="O116">
        <v>60</v>
      </c>
      <c r="P116">
        <v>60</v>
      </c>
      <c r="Q116">
        <v>1</v>
      </c>
      <c r="W116"/>
      <c r="X116"/>
      <c r="Y116"/>
    </row>
    <row r="117" spans="1:25" x14ac:dyDescent="0.3">
      <c r="A117" t="str">
        <f>Table_Capacity_HD_frontsheet[[#This Row],[Name]]&amp;B117</f>
        <v>BromleyReablement &amp; Rehabilitation in a bedded setting (pathway 2)</v>
      </c>
      <c r="B117" t="str">
        <f>VLOOKUP(Table_Capacity_HD_frontsheet[[#This Row],[Service Area]],PathwayLookup!A:B,2,0)</f>
        <v>Reablement &amp; Rehabilitation in a bedded setting (pathway 2)</v>
      </c>
      <c r="C117" t="s">
        <v>97</v>
      </c>
      <c r="D117" t="s">
        <v>723</v>
      </c>
      <c r="E117">
        <v>3</v>
      </c>
      <c r="F117">
        <v>3</v>
      </c>
      <c r="G117">
        <v>3</v>
      </c>
      <c r="H117">
        <v>3</v>
      </c>
      <c r="I117">
        <v>3</v>
      </c>
      <c r="J117">
        <v>3</v>
      </c>
      <c r="K117">
        <v>3</v>
      </c>
      <c r="L117">
        <v>3</v>
      </c>
      <c r="M117">
        <v>3</v>
      </c>
      <c r="N117">
        <v>3</v>
      </c>
      <c r="O117">
        <v>3</v>
      </c>
      <c r="P117">
        <v>3</v>
      </c>
      <c r="W117"/>
      <c r="X117"/>
      <c r="Y117"/>
    </row>
    <row r="118" spans="1:25" x14ac:dyDescent="0.3">
      <c r="A118" t="str">
        <f>Table_Capacity_HD_frontsheet[[#This Row],[Name]]&amp;B118</f>
        <v>BromleyReablement &amp; Rehabilitation in a bedded setting (pathway 2)</v>
      </c>
      <c r="B118" t="str">
        <f>VLOOKUP(Table_Capacity_HD_frontsheet[[#This Row],[Service Area]],PathwayLookup!A:B,2,0)</f>
        <v>Reablement &amp; Rehabilitation in a bedded setting (pathway 2)</v>
      </c>
      <c r="C118" t="s">
        <v>97</v>
      </c>
      <c r="D118" t="s">
        <v>725</v>
      </c>
      <c r="E118">
        <v>12</v>
      </c>
      <c r="F118">
        <v>12</v>
      </c>
      <c r="G118">
        <v>12</v>
      </c>
      <c r="H118">
        <v>12</v>
      </c>
      <c r="I118">
        <v>12</v>
      </c>
      <c r="J118">
        <v>12</v>
      </c>
      <c r="K118">
        <v>16</v>
      </c>
      <c r="L118">
        <v>16</v>
      </c>
      <c r="M118">
        <v>16</v>
      </c>
      <c r="N118">
        <v>16</v>
      </c>
      <c r="O118">
        <v>12</v>
      </c>
      <c r="P118">
        <v>12</v>
      </c>
      <c r="Q118">
        <v>1</v>
      </c>
      <c r="W118"/>
      <c r="X118"/>
      <c r="Y118"/>
    </row>
    <row r="119" spans="1:25" x14ac:dyDescent="0.3">
      <c r="A119" t="str">
        <f>Table_Capacity_HD_frontsheet[[#This Row],[Name]]&amp;B119</f>
        <v>BromleyShort term domiciliary care (pathway 1)</v>
      </c>
      <c r="B119" t="str">
        <f>VLOOKUP(Table_Capacity_HD_frontsheet[[#This Row],[Service Area]],PathwayLookup!A:B,2,0)</f>
        <v>Short term domiciliary care (pathway 1)</v>
      </c>
      <c r="C119" t="s">
        <v>97</v>
      </c>
      <c r="D119" t="s">
        <v>730</v>
      </c>
      <c r="E119">
        <v>95</v>
      </c>
      <c r="F119">
        <v>95</v>
      </c>
      <c r="G119">
        <v>95</v>
      </c>
      <c r="H119">
        <v>95</v>
      </c>
      <c r="I119">
        <v>85</v>
      </c>
      <c r="J119">
        <v>95</v>
      </c>
      <c r="K119">
        <v>115</v>
      </c>
      <c r="L119">
        <v>115</v>
      </c>
      <c r="M119">
        <v>115</v>
      </c>
      <c r="N119">
        <v>130</v>
      </c>
      <c r="O119">
        <v>100</v>
      </c>
      <c r="P119">
        <v>110</v>
      </c>
      <c r="R119">
        <v>1</v>
      </c>
      <c r="W119"/>
      <c r="X119"/>
      <c r="Y119"/>
    </row>
    <row r="120" spans="1:25" x14ac:dyDescent="0.3">
      <c r="A120" t="str">
        <f>Table_Capacity_HD_frontsheet[[#This Row],[Name]]&amp;B120</f>
        <v>BromleyShort-term residential/nursing care for someone likely to require a longer-term care home placement (pathway 3)</v>
      </c>
      <c r="B120" t="str">
        <f>VLOOKUP(Table_Capacity_HD_frontsheet[[#This Row],[Service Area]],PathwayLookup!A:B,2,0)</f>
        <v>Short-term residential/nursing care for someone likely to require a longer-term care home placement (pathway 3)</v>
      </c>
      <c r="C120" t="s">
        <v>97</v>
      </c>
      <c r="D120" t="s">
        <v>731</v>
      </c>
      <c r="E120">
        <v>20</v>
      </c>
      <c r="F120">
        <v>20</v>
      </c>
      <c r="G120">
        <v>20</v>
      </c>
      <c r="H120">
        <v>20</v>
      </c>
      <c r="I120">
        <v>20</v>
      </c>
      <c r="J120">
        <v>20</v>
      </c>
      <c r="K120">
        <v>20</v>
      </c>
      <c r="L120">
        <v>20</v>
      </c>
      <c r="M120">
        <v>20</v>
      </c>
      <c r="N120">
        <v>20</v>
      </c>
      <c r="O120">
        <v>20</v>
      </c>
      <c r="P120">
        <v>20</v>
      </c>
      <c r="Q120">
        <v>0.2</v>
      </c>
      <c r="R120">
        <v>0.8</v>
      </c>
      <c r="W120"/>
      <c r="X120"/>
      <c r="Y120"/>
    </row>
    <row r="121" spans="1:25" x14ac:dyDescent="0.3">
      <c r="A121" t="str">
        <f>Table_Capacity_HD_frontsheet[[#This Row],[Name]]&amp;B121</f>
        <v>BuckinghamshireSocial support (including VCS) (pathway 0)</v>
      </c>
      <c r="B121" t="str">
        <f>VLOOKUP(Table_Capacity_HD_frontsheet[[#This Row],[Service Area]],PathwayLookup!A:B,2,0)</f>
        <v>Social support (including VCS) (pathway 0)</v>
      </c>
      <c r="C121" t="s">
        <v>99</v>
      </c>
      <c r="D121" t="s">
        <v>726</v>
      </c>
      <c r="E121">
        <v>120</v>
      </c>
      <c r="F121">
        <v>158</v>
      </c>
      <c r="G121">
        <v>170</v>
      </c>
      <c r="H121">
        <v>136</v>
      </c>
      <c r="I121">
        <v>180</v>
      </c>
      <c r="J121">
        <v>147</v>
      </c>
      <c r="K121">
        <v>185</v>
      </c>
      <c r="L121">
        <v>168</v>
      </c>
      <c r="M121">
        <v>184</v>
      </c>
      <c r="N121">
        <v>169</v>
      </c>
      <c r="O121">
        <v>151</v>
      </c>
      <c r="P121">
        <v>174</v>
      </c>
      <c r="R121">
        <v>1</v>
      </c>
      <c r="W121"/>
      <c r="X121"/>
      <c r="Y121"/>
    </row>
    <row r="122" spans="1:25" x14ac:dyDescent="0.3">
      <c r="A122" t="str">
        <f>Table_Capacity_HD_frontsheet[[#This Row],[Name]]&amp;B122</f>
        <v>BuckinghamshireReablement &amp; Rehabilitation at home  (pathway 1)</v>
      </c>
      <c r="B122" t="str">
        <f>VLOOKUP(Table_Capacity_HD_frontsheet[[#This Row],[Service Area]],PathwayLookup!A:B,2,0)</f>
        <v>Reablement &amp; Rehabilitation at home  (pathway 1)</v>
      </c>
      <c r="C122" t="s">
        <v>99</v>
      </c>
      <c r="D122" t="s">
        <v>728</v>
      </c>
      <c r="E122">
        <v>60</v>
      </c>
      <c r="F122">
        <v>60</v>
      </c>
      <c r="G122">
        <v>60</v>
      </c>
      <c r="H122">
        <v>60</v>
      </c>
      <c r="I122">
        <v>60</v>
      </c>
      <c r="J122">
        <v>60</v>
      </c>
      <c r="K122">
        <v>60</v>
      </c>
      <c r="L122">
        <v>60</v>
      </c>
      <c r="M122">
        <v>60</v>
      </c>
      <c r="N122">
        <v>60</v>
      </c>
      <c r="O122">
        <v>60</v>
      </c>
      <c r="P122">
        <v>60</v>
      </c>
      <c r="R122">
        <v>1</v>
      </c>
      <c r="W122"/>
      <c r="X122"/>
      <c r="Y122"/>
    </row>
    <row r="123" spans="1:25" x14ac:dyDescent="0.3">
      <c r="A123" t="str">
        <f>Table_Capacity_HD_frontsheet[[#This Row],[Name]]&amp;B123</f>
        <v>BuckinghamshireReablement &amp; Rehabilitation at home  (pathway 1)</v>
      </c>
      <c r="B123" t="str">
        <f>VLOOKUP(Table_Capacity_HD_frontsheet[[#This Row],[Service Area]],PathwayLookup!A:B,2,0)</f>
        <v>Reablement &amp; Rehabilitation at home  (pathway 1)</v>
      </c>
      <c r="C123" t="s">
        <v>99</v>
      </c>
      <c r="D123" t="s">
        <v>721</v>
      </c>
      <c r="E123">
        <v>181</v>
      </c>
      <c r="F123">
        <v>171</v>
      </c>
      <c r="G123">
        <v>157</v>
      </c>
      <c r="H123">
        <v>160</v>
      </c>
      <c r="I123">
        <v>150</v>
      </c>
      <c r="J123">
        <v>189</v>
      </c>
      <c r="K123">
        <v>184</v>
      </c>
      <c r="L123">
        <v>157</v>
      </c>
      <c r="M123">
        <v>133</v>
      </c>
      <c r="N123">
        <v>175</v>
      </c>
      <c r="O123">
        <v>186</v>
      </c>
      <c r="P123">
        <v>195</v>
      </c>
      <c r="Q123">
        <v>1</v>
      </c>
      <c r="W123"/>
      <c r="X123"/>
      <c r="Y123"/>
    </row>
    <row r="124" spans="1:25" x14ac:dyDescent="0.3">
      <c r="A124" t="str">
        <f>Table_Capacity_HD_frontsheet[[#This Row],[Name]]&amp;B124</f>
        <v>BuckinghamshireShort term domiciliary care (pathway 1)</v>
      </c>
      <c r="B124" t="str">
        <f>VLOOKUP(Table_Capacity_HD_frontsheet[[#This Row],[Service Area]],PathwayLookup!A:B,2,0)</f>
        <v>Short term domiciliary care (pathway 1)</v>
      </c>
      <c r="C124" t="s">
        <v>99</v>
      </c>
      <c r="D124" t="s">
        <v>730</v>
      </c>
      <c r="E124">
        <v>220</v>
      </c>
      <c r="F124">
        <v>220</v>
      </c>
      <c r="G124">
        <v>220</v>
      </c>
      <c r="H124">
        <v>220</v>
      </c>
      <c r="I124">
        <v>220</v>
      </c>
      <c r="J124">
        <v>220</v>
      </c>
      <c r="K124">
        <v>220</v>
      </c>
      <c r="L124">
        <v>220</v>
      </c>
      <c r="M124">
        <v>220</v>
      </c>
      <c r="N124">
        <v>220</v>
      </c>
      <c r="O124">
        <v>220</v>
      </c>
      <c r="P124">
        <v>220</v>
      </c>
      <c r="Q124">
        <v>1</v>
      </c>
      <c r="W124"/>
      <c r="X124"/>
      <c r="Y124"/>
    </row>
    <row r="125" spans="1:25" x14ac:dyDescent="0.3">
      <c r="A125" t="str">
        <f>Table_Capacity_HD_frontsheet[[#This Row],[Name]]&amp;B125</f>
        <v>BuckinghamshireReablement &amp; Rehabilitation in a bedded setting (pathway 2)</v>
      </c>
      <c r="B125" t="str">
        <f>VLOOKUP(Table_Capacity_HD_frontsheet[[#This Row],[Service Area]],PathwayLookup!A:B,2,0)</f>
        <v>Reablement &amp; Rehabilitation in a bedded setting (pathway 2)</v>
      </c>
      <c r="C125" t="s">
        <v>99</v>
      </c>
      <c r="D125" t="s">
        <v>723</v>
      </c>
      <c r="E125">
        <v>28</v>
      </c>
      <c r="F125">
        <v>13</v>
      </c>
      <c r="G125">
        <v>14</v>
      </c>
      <c r="H125">
        <v>20</v>
      </c>
      <c r="I125">
        <v>20</v>
      </c>
      <c r="J125">
        <v>20</v>
      </c>
      <c r="K125">
        <v>36</v>
      </c>
      <c r="L125">
        <v>36</v>
      </c>
      <c r="M125">
        <v>36</v>
      </c>
      <c r="N125">
        <v>36</v>
      </c>
      <c r="O125">
        <v>36</v>
      </c>
      <c r="P125">
        <v>36</v>
      </c>
      <c r="S125">
        <v>1</v>
      </c>
      <c r="W125"/>
      <c r="X125"/>
      <c r="Y125"/>
    </row>
    <row r="126" spans="1:25" x14ac:dyDescent="0.3">
      <c r="A126" t="str">
        <f>Table_Capacity_HD_frontsheet[[#This Row],[Name]]&amp;B126</f>
        <v>BuckinghamshireReablement &amp; Rehabilitation in a bedded setting (pathway 2)</v>
      </c>
      <c r="B126" t="str">
        <f>VLOOKUP(Table_Capacity_HD_frontsheet[[#This Row],[Service Area]],PathwayLookup!A:B,2,0)</f>
        <v>Reablement &amp; Rehabilitation in a bedded setting (pathway 2)</v>
      </c>
      <c r="C126" t="s">
        <v>99</v>
      </c>
      <c r="D126" t="s">
        <v>725</v>
      </c>
      <c r="E126">
        <v>149</v>
      </c>
      <c r="F126">
        <v>122</v>
      </c>
      <c r="G126">
        <v>122</v>
      </c>
      <c r="H126">
        <v>121</v>
      </c>
      <c r="I126">
        <v>116</v>
      </c>
      <c r="J126">
        <v>127</v>
      </c>
      <c r="K126">
        <v>111</v>
      </c>
      <c r="L126">
        <v>131</v>
      </c>
      <c r="M126">
        <v>121</v>
      </c>
      <c r="N126">
        <v>117</v>
      </c>
      <c r="O126">
        <v>134</v>
      </c>
      <c r="P126">
        <v>131</v>
      </c>
      <c r="S126">
        <v>1</v>
      </c>
      <c r="W126"/>
      <c r="X126"/>
      <c r="Y126"/>
    </row>
    <row r="127" spans="1:25" x14ac:dyDescent="0.3">
      <c r="A127" t="str">
        <f>Table_Capacity_HD_frontsheet[[#This Row],[Name]]&amp;B127</f>
        <v>BuckinghamshireShort-term residential/nursing care for someone likely to require a longer-term care home placement (pathway 3)</v>
      </c>
      <c r="B127" t="str">
        <f>VLOOKUP(Table_Capacity_HD_frontsheet[[#This Row],[Service Area]],PathwayLookup!A:B,2,0)</f>
        <v>Short-term residential/nursing care for someone likely to require a longer-term care home placement (pathway 3)</v>
      </c>
      <c r="C127" t="s">
        <v>99</v>
      </c>
      <c r="D127" t="s">
        <v>731</v>
      </c>
      <c r="E127">
        <v>7</v>
      </c>
      <c r="F127">
        <v>13</v>
      </c>
      <c r="G127">
        <v>14</v>
      </c>
      <c r="H127">
        <v>20</v>
      </c>
      <c r="I127">
        <v>20</v>
      </c>
      <c r="J127">
        <v>20</v>
      </c>
      <c r="K127">
        <v>20</v>
      </c>
      <c r="L127">
        <v>20</v>
      </c>
      <c r="M127">
        <v>20</v>
      </c>
      <c r="N127">
        <v>20</v>
      </c>
      <c r="O127">
        <v>20</v>
      </c>
      <c r="P127">
        <v>20</v>
      </c>
      <c r="S127">
        <v>1</v>
      </c>
      <c r="W127"/>
      <c r="X127"/>
      <c r="Y127"/>
    </row>
    <row r="128" spans="1:25" x14ac:dyDescent="0.3">
      <c r="A128" t="str">
        <f>Table_Capacity_HD_frontsheet[[#This Row],[Name]]&amp;B128</f>
        <v>BurySocial support (including VCS) (pathway 0)</v>
      </c>
      <c r="B128" t="str">
        <f>VLOOKUP(Table_Capacity_HD_frontsheet[[#This Row],[Service Area]],PathwayLookup!A:B,2,0)</f>
        <v>Social support (including VCS) (pathway 0)</v>
      </c>
      <c r="C128" t="s">
        <v>101</v>
      </c>
      <c r="D128" t="s">
        <v>726</v>
      </c>
      <c r="E128">
        <v>31</v>
      </c>
      <c r="F128">
        <v>55</v>
      </c>
      <c r="G128">
        <v>48</v>
      </c>
      <c r="H128">
        <v>40</v>
      </c>
      <c r="I128">
        <v>44</v>
      </c>
      <c r="J128">
        <v>48</v>
      </c>
      <c r="K128">
        <v>48</v>
      </c>
      <c r="L128">
        <v>48</v>
      </c>
      <c r="M128">
        <v>48</v>
      </c>
      <c r="N128">
        <v>50</v>
      </c>
      <c r="O128">
        <v>40</v>
      </c>
      <c r="P128">
        <v>30</v>
      </c>
      <c r="W128"/>
      <c r="X128"/>
      <c r="Y128"/>
    </row>
    <row r="129" spans="1:25" x14ac:dyDescent="0.3">
      <c r="A129" t="str">
        <f>Table_Capacity_HD_frontsheet[[#This Row],[Name]]&amp;B129</f>
        <v>BuryReablement &amp; Rehabilitation at home  (pathway 1)</v>
      </c>
      <c r="B129" t="str">
        <f>VLOOKUP(Table_Capacity_HD_frontsheet[[#This Row],[Service Area]],PathwayLookup!A:B,2,0)</f>
        <v>Reablement &amp; Rehabilitation at home  (pathway 1)</v>
      </c>
      <c r="C129" t="s">
        <v>101</v>
      </c>
      <c r="D129" t="s">
        <v>728</v>
      </c>
      <c r="E129">
        <v>28</v>
      </c>
      <c r="F129">
        <v>28</v>
      </c>
      <c r="G129">
        <v>28</v>
      </c>
      <c r="H129">
        <v>28</v>
      </c>
      <c r="I129">
        <v>28</v>
      </c>
      <c r="J129">
        <v>28</v>
      </c>
      <c r="K129">
        <v>28</v>
      </c>
      <c r="L129">
        <v>28</v>
      </c>
      <c r="M129">
        <v>28</v>
      </c>
      <c r="N129">
        <v>28</v>
      </c>
      <c r="O129">
        <v>28</v>
      </c>
      <c r="P129">
        <v>28</v>
      </c>
      <c r="W129"/>
      <c r="X129"/>
      <c r="Y129"/>
    </row>
    <row r="130" spans="1:25" x14ac:dyDescent="0.3">
      <c r="A130" t="str">
        <f>Table_Capacity_HD_frontsheet[[#This Row],[Name]]&amp;B130</f>
        <v>BuryReablement &amp; Rehabilitation at home  (pathway 1)</v>
      </c>
      <c r="B130" t="str">
        <f>VLOOKUP(Table_Capacity_HD_frontsheet[[#This Row],[Service Area]],PathwayLookup!A:B,2,0)</f>
        <v>Reablement &amp; Rehabilitation at home  (pathway 1)</v>
      </c>
      <c r="C130" t="s">
        <v>101</v>
      </c>
      <c r="D130" t="s">
        <v>721</v>
      </c>
      <c r="E130">
        <v>33</v>
      </c>
      <c r="F130">
        <v>33</v>
      </c>
      <c r="G130">
        <v>33</v>
      </c>
      <c r="H130">
        <v>33</v>
      </c>
      <c r="I130">
        <v>33</v>
      </c>
      <c r="J130">
        <v>33</v>
      </c>
      <c r="K130">
        <v>33</v>
      </c>
      <c r="L130">
        <v>33</v>
      </c>
      <c r="M130">
        <v>33</v>
      </c>
      <c r="N130">
        <v>33</v>
      </c>
      <c r="O130">
        <v>33</v>
      </c>
      <c r="P130">
        <v>33</v>
      </c>
      <c r="W130"/>
      <c r="X130"/>
      <c r="Y130"/>
    </row>
    <row r="131" spans="1:25" x14ac:dyDescent="0.3">
      <c r="A131" t="str">
        <f>Table_Capacity_HD_frontsheet[[#This Row],[Name]]&amp;B131</f>
        <v>BuryShort term domiciliary care (pathway 1)</v>
      </c>
      <c r="B131" t="str">
        <f>VLOOKUP(Table_Capacity_HD_frontsheet[[#This Row],[Service Area]],PathwayLookup!A:B,2,0)</f>
        <v>Short term domiciliary care (pathway 1)</v>
      </c>
      <c r="C131" t="s">
        <v>101</v>
      </c>
      <c r="D131" t="s">
        <v>730</v>
      </c>
      <c r="E131">
        <v>33</v>
      </c>
      <c r="F131">
        <v>233</v>
      </c>
      <c r="G131">
        <v>204</v>
      </c>
      <c r="H131">
        <v>230</v>
      </c>
      <c r="I131">
        <v>230</v>
      </c>
      <c r="J131">
        <v>300</v>
      </c>
      <c r="K131">
        <v>230</v>
      </c>
      <c r="L131">
        <v>230</v>
      </c>
      <c r="M131">
        <v>245</v>
      </c>
      <c r="N131">
        <v>186</v>
      </c>
      <c r="O131">
        <v>230</v>
      </c>
      <c r="P131">
        <v>230</v>
      </c>
      <c r="W131"/>
      <c r="X131"/>
      <c r="Y131"/>
    </row>
    <row r="132" spans="1:25" x14ac:dyDescent="0.3">
      <c r="A132" t="str">
        <f>Table_Capacity_HD_frontsheet[[#This Row],[Name]]&amp;B132</f>
        <v>BuryReablement &amp; Rehabilitation in a bedded setting (pathway 2)</v>
      </c>
      <c r="B132" t="str">
        <f>VLOOKUP(Table_Capacity_HD_frontsheet[[#This Row],[Service Area]],PathwayLookup!A:B,2,0)</f>
        <v>Reablement &amp; Rehabilitation in a bedded setting (pathway 2)</v>
      </c>
      <c r="C132" t="s">
        <v>101</v>
      </c>
      <c r="D132" t="s">
        <v>723</v>
      </c>
      <c r="E132">
        <v>12</v>
      </c>
      <c r="F132">
        <v>15</v>
      </c>
      <c r="G132">
        <v>15</v>
      </c>
      <c r="H132">
        <v>15</v>
      </c>
      <c r="I132">
        <v>15</v>
      </c>
      <c r="J132">
        <v>15</v>
      </c>
      <c r="K132">
        <v>15</v>
      </c>
      <c r="L132">
        <v>15</v>
      </c>
      <c r="M132">
        <v>15</v>
      </c>
      <c r="N132">
        <v>15</v>
      </c>
      <c r="O132">
        <v>15</v>
      </c>
      <c r="P132">
        <v>15</v>
      </c>
      <c r="W132"/>
      <c r="X132"/>
      <c r="Y132"/>
    </row>
    <row r="133" spans="1:25" x14ac:dyDescent="0.3">
      <c r="A133" t="str">
        <f>Table_Capacity_HD_frontsheet[[#This Row],[Name]]&amp;B133</f>
        <v>BuryReablement &amp; Rehabilitation in a bedded setting (pathway 2)</v>
      </c>
      <c r="B133" t="str">
        <f>VLOOKUP(Table_Capacity_HD_frontsheet[[#This Row],[Service Area]],PathwayLookup!A:B,2,0)</f>
        <v>Reablement &amp; Rehabilitation in a bedded setting (pathway 2)</v>
      </c>
      <c r="C133" t="s">
        <v>101</v>
      </c>
      <c r="D133" t="s">
        <v>725</v>
      </c>
      <c r="E133">
        <v>12</v>
      </c>
      <c r="F133">
        <v>15</v>
      </c>
      <c r="G133">
        <v>15</v>
      </c>
      <c r="H133">
        <v>15</v>
      </c>
      <c r="I133">
        <v>15</v>
      </c>
      <c r="J133">
        <v>15</v>
      </c>
      <c r="K133">
        <v>15</v>
      </c>
      <c r="L133">
        <v>15</v>
      </c>
      <c r="M133">
        <v>15</v>
      </c>
      <c r="N133">
        <v>15</v>
      </c>
      <c r="O133">
        <v>15</v>
      </c>
      <c r="P133">
        <v>15</v>
      </c>
      <c r="W133"/>
      <c r="X133"/>
      <c r="Y133"/>
    </row>
    <row r="134" spans="1:25" x14ac:dyDescent="0.3">
      <c r="A134" t="str">
        <f>Table_Capacity_HD_frontsheet[[#This Row],[Name]]&amp;B134</f>
        <v>BuryShort-term residential/nursing care for someone likely to require a longer-term care home placement (pathway 3)</v>
      </c>
      <c r="B134" t="str">
        <f>VLOOKUP(Table_Capacity_HD_frontsheet[[#This Row],[Service Area]],PathwayLookup!A:B,2,0)</f>
        <v>Short-term residential/nursing care for someone likely to require a longer-term care home placement (pathway 3)</v>
      </c>
      <c r="C134" t="s">
        <v>101</v>
      </c>
      <c r="D134" t="s">
        <v>731</v>
      </c>
      <c r="E134">
        <v>6</v>
      </c>
      <c r="F134">
        <v>6</v>
      </c>
      <c r="G134">
        <v>6</v>
      </c>
      <c r="H134">
        <v>6</v>
      </c>
      <c r="I134">
        <v>6</v>
      </c>
      <c r="J134">
        <v>6</v>
      </c>
      <c r="K134">
        <v>6</v>
      </c>
      <c r="L134">
        <v>6</v>
      </c>
      <c r="M134">
        <v>6</v>
      </c>
      <c r="N134">
        <v>6</v>
      </c>
      <c r="O134">
        <v>6</v>
      </c>
      <c r="P134">
        <v>5</v>
      </c>
      <c r="W134"/>
      <c r="X134"/>
      <c r="Y134"/>
    </row>
    <row r="135" spans="1:25" x14ac:dyDescent="0.3">
      <c r="A135" t="str">
        <f>Table_Capacity_HD_frontsheet[[#This Row],[Name]]&amp;B135</f>
        <v>CalderdaleSocial support (including VCS) (pathway 0)</v>
      </c>
      <c r="B135" t="str">
        <f>VLOOKUP(Table_Capacity_HD_frontsheet[[#This Row],[Service Area]],PathwayLookup!A:B,2,0)</f>
        <v>Social support (including VCS) (pathway 0)</v>
      </c>
      <c r="C135" t="s">
        <v>103</v>
      </c>
      <c r="D135" t="s">
        <v>726</v>
      </c>
      <c r="E135">
        <v>1100</v>
      </c>
      <c r="F135">
        <v>1100</v>
      </c>
      <c r="G135">
        <v>1100</v>
      </c>
      <c r="H135">
        <v>1100</v>
      </c>
      <c r="I135">
        <v>1100</v>
      </c>
      <c r="J135">
        <v>1100</v>
      </c>
      <c r="K135">
        <v>1200</v>
      </c>
      <c r="L135">
        <v>1200</v>
      </c>
      <c r="M135">
        <v>1200</v>
      </c>
      <c r="N135">
        <v>1200</v>
      </c>
      <c r="O135">
        <v>1200</v>
      </c>
      <c r="P135">
        <v>1200</v>
      </c>
      <c r="Q135">
        <v>0.28000000000000003</v>
      </c>
      <c r="R135">
        <v>0.66</v>
      </c>
      <c r="S135">
        <v>0.06</v>
      </c>
      <c r="W135"/>
      <c r="X135"/>
      <c r="Y135"/>
    </row>
    <row r="136" spans="1:25" x14ac:dyDescent="0.3">
      <c r="A136" t="str">
        <f>Table_Capacity_HD_frontsheet[[#This Row],[Name]]&amp;B136</f>
        <v>CalderdaleReablement &amp; Rehabilitation at home  (pathway 1)</v>
      </c>
      <c r="B136" t="str">
        <f>VLOOKUP(Table_Capacity_HD_frontsheet[[#This Row],[Service Area]],PathwayLookup!A:B,2,0)</f>
        <v>Reablement &amp; Rehabilitation at home  (pathway 1)</v>
      </c>
      <c r="C136" t="s">
        <v>103</v>
      </c>
      <c r="D136" t="s">
        <v>728</v>
      </c>
      <c r="E136">
        <v>40</v>
      </c>
      <c r="F136">
        <v>40</v>
      </c>
      <c r="G136">
        <v>40</v>
      </c>
      <c r="H136">
        <v>40</v>
      </c>
      <c r="I136">
        <v>40</v>
      </c>
      <c r="J136">
        <v>40</v>
      </c>
      <c r="K136">
        <v>40</v>
      </c>
      <c r="L136">
        <v>40</v>
      </c>
      <c r="M136">
        <v>40</v>
      </c>
      <c r="N136">
        <v>40</v>
      </c>
      <c r="O136">
        <v>40</v>
      </c>
      <c r="P136">
        <v>40</v>
      </c>
      <c r="Q136">
        <v>0.5</v>
      </c>
      <c r="R136">
        <v>0.49</v>
      </c>
      <c r="S136">
        <v>0.01</v>
      </c>
      <c r="W136"/>
      <c r="X136"/>
      <c r="Y136"/>
    </row>
    <row r="137" spans="1:25" x14ac:dyDescent="0.3">
      <c r="A137" t="str">
        <f>Table_Capacity_HD_frontsheet[[#This Row],[Name]]&amp;B137</f>
        <v>CalderdaleReablement &amp; Rehabilitation at home  (pathway 1)</v>
      </c>
      <c r="B137" t="str">
        <f>VLOOKUP(Table_Capacity_HD_frontsheet[[#This Row],[Service Area]],PathwayLookup!A:B,2,0)</f>
        <v>Reablement &amp; Rehabilitation at home  (pathway 1)</v>
      </c>
      <c r="C137" t="s">
        <v>103</v>
      </c>
      <c r="D137" t="s">
        <v>721</v>
      </c>
      <c r="E137">
        <v>35</v>
      </c>
      <c r="F137">
        <v>35</v>
      </c>
      <c r="G137">
        <v>35</v>
      </c>
      <c r="H137">
        <v>35</v>
      </c>
      <c r="I137">
        <v>35</v>
      </c>
      <c r="J137">
        <v>35</v>
      </c>
      <c r="K137">
        <v>35</v>
      </c>
      <c r="L137">
        <v>35</v>
      </c>
      <c r="M137">
        <v>35</v>
      </c>
      <c r="N137">
        <v>35</v>
      </c>
      <c r="O137">
        <v>35</v>
      </c>
      <c r="P137">
        <v>35</v>
      </c>
      <c r="S137">
        <v>1</v>
      </c>
      <c r="W137"/>
      <c r="X137"/>
      <c r="Y137"/>
    </row>
    <row r="138" spans="1:25" x14ac:dyDescent="0.3">
      <c r="A138" t="str">
        <f>Table_Capacity_HD_frontsheet[[#This Row],[Name]]&amp;B138</f>
        <v>CalderdaleShort term domiciliary care (pathway 1)</v>
      </c>
      <c r="B138" t="str">
        <f>VLOOKUP(Table_Capacity_HD_frontsheet[[#This Row],[Service Area]],PathwayLookup!A:B,2,0)</f>
        <v>Short term domiciliary care (pathway 1)</v>
      </c>
      <c r="C138" t="s">
        <v>103</v>
      </c>
      <c r="D138" t="s">
        <v>730</v>
      </c>
      <c r="E138">
        <v>50</v>
      </c>
      <c r="F138">
        <v>50</v>
      </c>
      <c r="G138">
        <v>50</v>
      </c>
      <c r="H138">
        <v>50</v>
      </c>
      <c r="I138">
        <v>50</v>
      </c>
      <c r="J138">
        <v>60</v>
      </c>
      <c r="K138">
        <v>60</v>
      </c>
      <c r="L138">
        <v>60</v>
      </c>
      <c r="M138">
        <v>70</v>
      </c>
      <c r="N138">
        <v>70</v>
      </c>
      <c r="O138">
        <v>70</v>
      </c>
      <c r="P138">
        <v>70</v>
      </c>
      <c r="Q138">
        <v>0.1</v>
      </c>
      <c r="R138">
        <v>0.9</v>
      </c>
      <c r="S138">
        <v>0</v>
      </c>
      <c r="W138"/>
      <c r="X138"/>
      <c r="Y138"/>
    </row>
    <row r="139" spans="1:25" x14ac:dyDescent="0.3">
      <c r="A139" t="str">
        <f>Table_Capacity_HD_frontsheet[[#This Row],[Name]]&amp;B139</f>
        <v>CalderdaleReablement &amp; Rehabilitation in a bedded setting (pathway 2)</v>
      </c>
      <c r="B139" t="str">
        <f>VLOOKUP(Table_Capacity_HD_frontsheet[[#This Row],[Service Area]],PathwayLookup!A:B,2,0)</f>
        <v>Reablement &amp; Rehabilitation in a bedded setting (pathway 2)</v>
      </c>
      <c r="C139" t="s">
        <v>103</v>
      </c>
      <c r="D139" t="s">
        <v>723</v>
      </c>
      <c r="E139">
        <v>50</v>
      </c>
      <c r="F139">
        <v>50</v>
      </c>
      <c r="G139">
        <v>50</v>
      </c>
      <c r="H139">
        <v>50</v>
      </c>
      <c r="I139">
        <v>50</v>
      </c>
      <c r="J139">
        <v>50</v>
      </c>
      <c r="K139">
        <v>50</v>
      </c>
      <c r="L139">
        <v>50</v>
      </c>
      <c r="M139">
        <v>50</v>
      </c>
      <c r="N139">
        <v>50</v>
      </c>
      <c r="O139">
        <v>50</v>
      </c>
      <c r="P139">
        <v>50</v>
      </c>
      <c r="S139">
        <v>1</v>
      </c>
      <c r="W139"/>
      <c r="X139"/>
      <c r="Y139"/>
    </row>
    <row r="140" spans="1:25" x14ac:dyDescent="0.3">
      <c r="A140" t="str">
        <f>Table_Capacity_HD_frontsheet[[#This Row],[Name]]&amp;B140</f>
        <v>CalderdaleReablement &amp; Rehabilitation in a bedded setting (pathway 2)</v>
      </c>
      <c r="B140" t="str">
        <f>VLOOKUP(Table_Capacity_HD_frontsheet[[#This Row],[Service Area]],PathwayLookup!A:B,2,0)</f>
        <v>Reablement &amp; Rehabilitation in a bedded setting (pathway 2)</v>
      </c>
      <c r="C140" t="s">
        <v>103</v>
      </c>
      <c r="D140" t="s">
        <v>725</v>
      </c>
      <c r="E140">
        <v>20</v>
      </c>
      <c r="F140">
        <v>20</v>
      </c>
      <c r="G140">
        <v>20</v>
      </c>
      <c r="H140">
        <v>12</v>
      </c>
      <c r="I140">
        <v>12</v>
      </c>
      <c r="J140">
        <v>12</v>
      </c>
      <c r="K140">
        <v>12</v>
      </c>
      <c r="L140">
        <v>12</v>
      </c>
      <c r="M140">
        <v>12</v>
      </c>
      <c r="N140">
        <v>12</v>
      </c>
      <c r="O140">
        <v>12</v>
      </c>
      <c r="P140">
        <v>12</v>
      </c>
      <c r="S140">
        <v>1</v>
      </c>
      <c r="W140"/>
      <c r="X140"/>
      <c r="Y140"/>
    </row>
    <row r="141" spans="1:25" x14ac:dyDescent="0.3">
      <c r="A141" t="str">
        <f>Table_Capacity_HD_frontsheet[[#This Row],[Name]]&amp;B141</f>
        <v>CalderdaleShort-term residential/nursing care for someone likely to require a longer-term care home placement (pathway 3)</v>
      </c>
      <c r="B141" t="str">
        <f>VLOOKUP(Table_Capacity_HD_frontsheet[[#This Row],[Service Area]],PathwayLookup!A:B,2,0)</f>
        <v>Short-term residential/nursing care for someone likely to require a longer-term care home placement (pathway 3)</v>
      </c>
      <c r="C141" t="s">
        <v>103</v>
      </c>
      <c r="D141" t="s">
        <v>731</v>
      </c>
      <c r="E141">
        <v>5</v>
      </c>
      <c r="F141">
        <v>4</v>
      </c>
      <c r="G141">
        <v>3</v>
      </c>
      <c r="H141">
        <v>8</v>
      </c>
      <c r="I141">
        <v>6</v>
      </c>
      <c r="J141">
        <v>4</v>
      </c>
      <c r="K141">
        <v>8</v>
      </c>
      <c r="L141">
        <v>7</v>
      </c>
      <c r="M141">
        <v>7</v>
      </c>
      <c r="N141">
        <v>7</v>
      </c>
      <c r="O141">
        <v>7</v>
      </c>
      <c r="P141">
        <v>6</v>
      </c>
      <c r="Q141">
        <v>1</v>
      </c>
      <c r="R141">
        <v>0</v>
      </c>
      <c r="S141">
        <v>0</v>
      </c>
      <c r="W141"/>
      <c r="X141"/>
      <c r="Y141"/>
    </row>
    <row r="142" spans="1:25" x14ac:dyDescent="0.3">
      <c r="A142" t="str">
        <f>Table_Capacity_HD_frontsheet[[#This Row],[Name]]&amp;B142</f>
        <v>CambridgeshireSocial support (including VCS) (pathway 0)</v>
      </c>
      <c r="B142" t="str">
        <f>VLOOKUP(Table_Capacity_HD_frontsheet[[#This Row],[Service Area]],PathwayLookup!A:B,2,0)</f>
        <v>Social support (including VCS) (pathway 0)</v>
      </c>
      <c r="C142" t="s">
        <v>105</v>
      </c>
      <c r="D142" t="s">
        <v>726</v>
      </c>
      <c r="E142">
        <v>70</v>
      </c>
      <c r="F142">
        <v>77</v>
      </c>
      <c r="G142">
        <v>72</v>
      </c>
      <c r="H142">
        <v>64</v>
      </c>
      <c r="I142">
        <v>68</v>
      </c>
      <c r="J142">
        <v>60</v>
      </c>
      <c r="K142">
        <v>80</v>
      </c>
      <c r="L142">
        <v>113</v>
      </c>
      <c r="M142">
        <v>87</v>
      </c>
      <c r="N142">
        <v>83</v>
      </c>
      <c r="O142">
        <v>63</v>
      </c>
      <c r="P142">
        <v>83</v>
      </c>
      <c r="Q142">
        <v>0.75</v>
      </c>
      <c r="R142">
        <v>0.09</v>
      </c>
      <c r="S142">
        <v>0.16</v>
      </c>
      <c r="W142"/>
      <c r="X142"/>
      <c r="Y142"/>
    </row>
    <row r="143" spans="1:25" x14ac:dyDescent="0.3">
      <c r="A143" t="str">
        <f>Table_Capacity_HD_frontsheet[[#This Row],[Name]]&amp;B143</f>
        <v>CambridgeshireReablement &amp; Rehabilitation at home  (pathway 1)</v>
      </c>
      <c r="B143" t="str">
        <f>VLOOKUP(Table_Capacity_HD_frontsheet[[#This Row],[Service Area]],PathwayLookup!A:B,2,0)</f>
        <v>Reablement &amp; Rehabilitation at home  (pathway 1)</v>
      </c>
      <c r="C143" t="s">
        <v>105</v>
      </c>
      <c r="D143" t="s">
        <v>728</v>
      </c>
      <c r="E143">
        <v>161</v>
      </c>
      <c r="F143">
        <v>269</v>
      </c>
      <c r="G143">
        <v>161</v>
      </c>
      <c r="H143">
        <v>269</v>
      </c>
      <c r="I143">
        <v>269</v>
      </c>
      <c r="J143">
        <v>161</v>
      </c>
      <c r="K143">
        <v>269</v>
      </c>
      <c r="L143">
        <v>159</v>
      </c>
      <c r="M143">
        <v>269</v>
      </c>
      <c r="N143">
        <v>269</v>
      </c>
      <c r="O143">
        <v>149</v>
      </c>
      <c r="P143">
        <v>269</v>
      </c>
      <c r="Q143">
        <v>0</v>
      </c>
      <c r="R143">
        <v>1</v>
      </c>
      <c r="S143">
        <v>0</v>
      </c>
      <c r="W143"/>
      <c r="X143"/>
      <c r="Y143"/>
    </row>
    <row r="144" spans="1:25" x14ac:dyDescent="0.3">
      <c r="A144" t="str">
        <f>Table_Capacity_HD_frontsheet[[#This Row],[Name]]&amp;B144</f>
        <v>CambridgeshireReablement &amp; Rehabilitation at home  (pathway 1)</v>
      </c>
      <c r="B144" t="str">
        <f>VLOOKUP(Table_Capacity_HD_frontsheet[[#This Row],[Service Area]],PathwayLookup!A:B,2,0)</f>
        <v>Reablement &amp; Rehabilitation at home  (pathway 1)</v>
      </c>
      <c r="C144" t="s">
        <v>105</v>
      </c>
      <c r="D144" t="s">
        <v>721</v>
      </c>
      <c r="E144">
        <v>160</v>
      </c>
      <c r="F144">
        <v>166</v>
      </c>
      <c r="G144">
        <v>160</v>
      </c>
      <c r="H144">
        <v>166</v>
      </c>
      <c r="I144">
        <v>166</v>
      </c>
      <c r="J144">
        <v>160</v>
      </c>
      <c r="K144">
        <v>166</v>
      </c>
      <c r="L144">
        <v>162</v>
      </c>
      <c r="M144">
        <v>166</v>
      </c>
      <c r="N144">
        <v>166</v>
      </c>
      <c r="O144">
        <v>150</v>
      </c>
      <c r="P144">
        <v>166</v>
      </c>
      <c r="Q144">
        <v>1</v>
      </c>
      <c r="R144">
        <v>0</v>
      </c>
      <c r="S144">
        <v>0</v>
      </c>
      <c r="W144"/>
      <c r="X144"/>
      <c r="Y144"/>
    </row>
    <row r="145" spans="1:25" x14ac:dyDescent="0.3">
      <c r="A145" t="str">
        <f>Table_Capacity_HD_frontsheet[[#This Row],[Name]]&amp;B145</f>
        <v>CambridgeshireShort term domiciliary care (pathway 1)</v>
      </c>
      <c r="B145" t="str">
        <f>VLOOKUP(Table_Capacity_HD_frontsheet[[#This Row],[Service Area]],PathwayLookup!A:B,2,0)</f>
        <v>Short term domiciliary care (pathway 1)</v>
      </c>
      <c r="C145" t="s">
        <v>105</v>
      </c>
      <c r="D145" t="s">
        <v>730</v>
      </c>
      <c r="E145">
        <v>0</v>
      </c>
      <c r="F145">
        <v>0</v>
      </c>
      <c r="G145">
        <v>0</v>
      </c>
      <c r="H145">
        <v>0</v>
      </c>
      <c r="I145">
        <v>0</v>
      </c>
      <c r="J145">
        <v>0</v>
      </c>
      <c r="K145">
        <v>0</v>
      </c>
      <c r="L145">
        <v>0</v>
      </c>
      <c r="M145">
        <v>0</v>
      </c>
      <c r="N145">
        <v>0</v>
      </c>
      <c r="O145">
        <v>0</v>
      </c>
      <c r="P145">
        <v>0</v>
      </c>
      <c r="Q145">
        <v>0</v>
      </c>
      <c r="R145">
        <v>0</v>
      </c>
      <c r="S145">
        <v>0</v>
      </c>
      <c r="W145"/>
      <c r="X145"/>
      <c r="Y145"/>
    </row>
    <row r="146" spans="1:25" x14ac:dyDescent="0.3">
      <c r="A146" t="str">
        <f>Table_Capacity_HD_frontsheet[[#This Row],[Name]]&amp;B146</f>
        <v>CambridgeshireReablement &amp; Rehabilitation in a bedded setting (pathway 2)</v>
      </c>
      <c r="B146" t="str">
        <f>VLOOKUP(Table_Capacity_HD_frontsheet[[#This Row],[Service Area]],PathwayLookup!A:B,2,0)</f>
        <v>Reablement &amp; Rehabilitation in a bedded setting (pathway 2)</v>
      </c>
      <c r="C146" t="s">
        <v>105</v>
      </c>
      <c r="D146" t="s">
        <v>723</v>
      </c>
      <c r="E146">
        <v>0</v>
      </c>
      <c r="F146">
        <v>0</v>
      </c>
      <c r="G146">
        <v>0</v>
      </c>
      <c r="H146">
        <v>0</v>
      </c>
      <c r="I146">
        <v>0</v>
      </c>
      <c r="J146">
        <v>0</v>
      </c>
      <c r="K146">
        <v>0</v>
      </c>
      <c r="L146">
        <v>0</v>
      </c>
      <c r="M146">
        <v>0</v>
      </c>
      <c r="N146">
        <v>0</v>
      </c>
      <c r="O146">
        <v>0</v>
      </c>
      <c r="P146">
        <v>0</v>
      </c>
      <c r="Q146">
        <v>0</v>
      </c>
      <c r="R146">
        <v>0</v>
      </c>
      <c r="S146">
        <v>0</v>
      </c>
      <c r="W146"/>
      <c r="X146"/>
      <c r="Y146"/>
    </row>
    <row r="147" spans="1:25" x14ac:dyDescent="0.3">
      <c r="A147" t="str">
        <f>Table_Capacity_HD_frontsheet[[#This Row],[Name]]&amp;B147</f>
        <v>CambridgeshireReablement &amp; Rehabilitation in a bedded setting (pathway 2)</v>
      </c>
      <c r="B147" t="str">
        <f>VLOOKUP(Table_Capacity_HD_frontsheet[[#This Row],[Service Area]],PathwayLookup!A:B,2,0)</f>
        <v>Reablement &amp; Rehabilitation in a bedded setting (pathway 2)</v>
      </c>
      <c r="C147" t="s">
        <v>105</v>
      </c>
      <c r="D147" t="s">
        <v>725</v>
      </c>
      <c r="E147">
        <v>117</v>
      </c>
      <c r="F147">
        <v>115</v>
      </c>
      <c r="G147">
        <v>111</v>
      </c>
      <c r="H147">
        <v>114</v>
      </c>
      <c r="I147">
        <v>113</v>
      </c>
      <c r="J147">
        <v>114</v>
      </c>
      <c r="K147">
        <v>110</v>
      </c>
      <c r="L147">
        <v>113</v>
      </c>
      <c r="M147">
        <v>113</v>
      </c>
      <c r="N147">
        <v>113</v>
      </c>
      <c r="O147">
        <v>111</v>
      </c>
      <c r="P147">
        <v>115</v>
      </c>
      <c r="Q147">
        <v>1</v>
      </c>
      <c r="R147">
        <v>0</v>
      </c>
      <c r="S147">
        <v>0</v>
      </c>
      <c r="W147"/>
      <c r="X147"/>
      <c r="Y147"/>
    </row>
    <row r="148" spans="1:25" x14ac:dyDescent="0.3">
      <c r="A148" t="str">
        <f>Table_Capacity_HD_frontsheet[[#This Row],[Name]]&amp;B148</f>
        <v>CambridgeshireShort-term residential/nursing care for someone likely to require a longer-term care home placement (pathway 3)</v>
      </c>
      <c r="B148" t="str">
        <f>VLOOKUP(Table_Capacity_HD_frontsheet[[#This Row],[Service Area]],PathwayLookup!A:B,2,0)</f>
        <v>Short-term residential/nursing care for someone likely to require a longer-term care home placement (pathway 3)</v>
      </c>
      <c r="C148" t="s">
        <v>105</v>
      </c>
      <c r="D148" t="s">
        <v>731</v>
      </c>
      <c r="E148">
        <v>140</v>
      </c>
      <c r="F148">
        <v>134</v>
      </c>
      <c r="G148">
        <v>195</v>
      </c>
      <c r="H148">
        <v>218</v>
      </c>
      <c r="I148">
        <v>218</v>
      </c>
      <c r="J148">
        <v>194</v>
      </c>
      <c r="K148">
        <v>202</v>
      </c>
      <c r="L148">
        <v>236</v>
      </c>
      <c r="M148">
        <v>202</v>
      </c>
      <c r="N148">
        <v>167</v>
      </c>
      <c r="O148">
        <v>193</v>
      </c>
      <c r="P148">
        <v>213</v>
      </c>
      <c r="Q148">
        <v>0.33</v>
      </c>
      <c r="R148">
        <v>0.77</v>
      </c>
      <c r="S148">
        <v>0</v>
      </c>
      <c r="W148"/>
      <c r="X148"/>
      <c r="Y148"/>
    </row>
    <row r="149" spans="1:25" x14ac:dyDescent="0.3">
      <c r="A149" t="str">
        <f>Table_Capacity_HD_frontsheet[[#This Row],[Name]]&amp;B149</f>
        <v>CamdenSocial support (including VCS) (pathway 0)</v>
      </c>
      <c r="B149" t="str">
        <f>VLOOKUP(Table_Capacity_HD_frontsheet[[#This Row],[Service Area]],PathwayLookup!A:B,2,0)</f>
        <v>Social support (including VCS) (pathway 0)</v>
      </c>
      <c r="C149" t="s">
        <v>107</v>
      </c>
      <c r="D149" t="s">
        <v>726</v>
      </c>
      <c r="E149">
        <v>0</v>
      </c>
      <c r="F149">
        <v>0</v>
      </c>
      <c r="G149">
        <v>0</v>
      </c>
      <c r="H149">
        <v>0</v>
      </c>
      <c r="I149">
        <v>0</v>
      </c>
      <c r="J149">
        <v>0</v>
      </c>
      <c r="K149">
        <v>0</v>
      </c>
      <c r="L149">
        <v>0</v>
      </c>
      <c r="M149">
        <v>0</v>
      </c>
      <c r="N149">
        <v>0</v>
      </c>
      <c r="O149">
        <v>0</v>
      </c>
      <c r="P149">
        <v>0</v>
      </c>
      <c r="W149"/>
      <c r="X149"/>
      <c r="Y149"/>
    </row>
    <row r="150" spans="1:25" x14ac:dyDescent="0.3">
      <c r="A150" t="str">
        <f>Table_Capacity_HD_frontsheet[[#This Row],[Name]]&amp;B150</f>
        <v>CamdenReablement &amp; Rehabilitation at home  (pathway 1)</v>
      </c>
      <c r="B150" t="str">
        <f>VLOOKUP(Table_Capacity_HD_frontsheet[[#This Row],[Service Area]],PathwayLookup!A:B,2,0)</f>
        <v>Reablement &amp; Rehabilitation at home  (pathway 1)</v>
      </c>
      <c r="C150" t="s">
        <v>107</v>
      </c>
      <c r="D150" t="s">
        <v>728</v>
      </c>
      <c r="E150">
        <v>79</v>
      </c>
      <c r="F150">
        <v>94</v>
      </c>
      <c r="G150">
        <v>80</v>
      </c>
      <c r="H150">
        <v>88</v>
      </c>
      <c r="I150">
        <v>78</v>
      </c>
      <c r="J150">
        <v>90</v>
      </c>
      <c r="K150">
        <v>68</v>
      </c>
      <c r="L150">
        <v>73</v>
      </c>
      <c r="M150">
        <v>82</v>
      </c>
      <c r="N150">
        <v>65</v>
      </c>
      <c r="O150">
        <v>72</v>
      </c>
      <c r="P150">
        <v>81</v>
      </c>
      <c r="R150">
        <v>1</v>
      </c>
      <c r="W150"/>
      <c r="X150"/>
      <c r="Y150"/>
    </row>
    <row r="151" spans="1:25" x14ac:dyDescent="0.3">
      <c r="A151" t="str">
        <f>Table_Capacity_HD_frontsheet[[#This Row],[Name]]&amp;B151</f>
        <v>CamdenReablement &amp; Rehabilitation at home  (pathway 1)</v>
      </c>
      <c r="B151" t="str">
        <f>VLOOKUP(Table_Capacity_HD_frontsheet[[#This Row],[Service Area]],PathwayLookup!A:B,2,0)</f>
        <v>Reablement &amp; Rehabilitation at home  (pathway 1)</v>
      </c>
      <c r="C151" t="s">
        <v>107</v>
      </c>
      <c r="D151" t="s">
        <v>721</v>
      </c>
      <c r="E151">
        <v>43</v>
      </c>
      <c r="F151">
        <v>45</v>
      </c>
      <c r="G151">
        <v>43</v>
      </c>
      <c r="H151">
        <v>45</v>
      </c>
      <c r="I151">
        <v>45</v>
      </c>
      <c r="J151">
        <v>43</v>
      </c>
      <c r="K151">
        <v>45</v>
      </c>
      <c r="L151">
        <v>43</v>
      </c>
      <c r="M151">
        <v>45</v>
      </c>
      <c r="N151">
        <v>45</v>
      </c>
      <c r="O151">
        <v>41</v>
      </c>
      <c r="P151">
        <v>45</v>
      </c>
      <c r="Q151">
        <v>1</v>
      </c>
      <c r="W151"/>
      <c r="X151"/>
      <c r="Y151"/>
    </row>
    <row r="152" spans="1:25" x14ac:dyDescent="0.3">
      <c r="A152" t="str">
        <f>Table_Capacity_HD_frontsheet[[#This Row],[Name]]&amp;B152</f>
        <v>CamdenShort term domiciliary care (pathway 1)</v>
      </c>
      <c r="B152" t="str">
        <f>VLOOKUP(Table_Capacity_HD_frontsheet[[#This Row],[Service Area]],PathwayLookup!A:B,2,0)</f>
        <v>Short term domiciliary care (pathway 1)</v>
      </c>
      <c r="C152" t="s">
        <v>107</v>
      </c>
      <c r="D152" t="s">
        <v>730</v>
      </c>
      <c r="E152">
        <v>82</v>
      </c>
      <c r="F152">
        <v>65</v>
      </c>
      <c r="G152">
        <v>64</v>
      </c>
      <c r="H152">
        <v>78</v>
      </c>
      <c r="I152">
        <v>52</v>
      </c>
      <c r="J152">
        <v>85</v>
      </c>
      <c r="K152">
        <v>84</v>
      </c>
      <c r="L152">
        <v>75</v>
      </c>
      <c r="M152">
        <v>104</v>
      </c>
      <c r="N152">
        <v>103</v>
      </c>
      <c r="O152">
        <v>108</v>
      </c>
      <c r="P152">
        <v>94</v>
      </c>
      <c r="Q152">
        <v>1</v>
      </c>
      <c r="W152"/>
      <c r="X152"/>
      <c r="Y152"/>
    </row>
    <row r="153" spans="1:25" x14ac:dyDescent="0.3">
      <c r="A153" t="str">
        <f>Table_Capacity_HD_frontsheet[[#This Row],[Name]]&amp;B153</f>
        <v>CamdenReablement &amp; Rehabilitation in a bedded setting (pathway 2)</v>
      </c>
      <c r="B153" t="str">
        <f>VLOOKUP(Table_Capacity_HD_frontsheet[[#This Row],[Service Area]],PathwayLookup!A:B,2,0)</f>
        <v>Reablement &amp; Rehabilitation in a bedded setting (pathway 2)</v>
      </c>
      <c r="C153" t="s">
        <v>107</v>
      </c>
      <c r="D153" t="s">
        <v>723</v>
      </c>
      <c r="E153">
        <v>5</v>
      </c>
      <c r="F153">
        <v>5</v>
      </c>
      <c r="G153">
        <v>5</v>
      </c>
      <c r="H153">
        <v>5</v>
      </c>
      <c r="I153">
        <v>5</v>
      </c>
      <c r="J153">
        <v>5</v>
      </c>
      <c r="K153">
        <v>5</v>
      </c>
      <c r="L153">
        <v>5</v>
      </c>
      <c r="M153">
        <v>5</v>
      </c>
      <c r="N153">
        <v>5</v>
      </c>
      <c r="O153">
        <v>5</v>
      </c>
      <c r="P153">
        <v>5</v>
      </c>
      <c r="R153">
        <v>1</v>
      </c>
      <c r="W153"/>
      <c r="X153"/>
      <c r="Y153"/>
    </row>
    <row r="154" spans="1:25" x14ac:dyDescent="0.3">
      <c r="A154" t="str">
        <f>Table_Capacity_HD_frontsheet[[#This Row],[Name]]&amp;B154</f>
        <v>CamdenReablement &amp; Rehabilitation in a bedded setting (pathway 2)</v>
      </c>
      <c r="B154" t="str">
        <f>VLOOKUP(Table_Capacity_HD_frontsheet[[#This Row],[Service Area]],PathwayLookup!A:B,2,0)</f>
        <v>Reablement &amp; Rehabilitation in a bedded setting (pathway 2)</v>
      </c>
      <c r="C154" t="s">
        <v>107</v>
      </c>
      <c r="D154" t="s">
        <v>725</v>
      </c>
      <c r="E154">
        <v>30</v>
      </c>
      <c r="F154">
        <v>32</v>
      </c>
      <c r="G154">
        <v>25</v>
      </c>
      <c r="H154">
        <v>37</v>
      </c>
      <c r="I154">
        <v>29</v>
      </c>
      <c r="J154">
        <v>33</v>
      </c>
      <c r="K154">
        <v>28</v>
      </c>
      <c r="L154">
        <v>36</v>
      </c>
      <c r="M154">
        <v>39</v>
      </c>
      <c r="N154">
        <v>46</v>
      </c>
      <c r="O154">
        <v>36</v>
      </c>
      <c r="P154">
        <v>34</v>
      </c>
      <c r="Q154">
        <v>1</v>
      </c>
      <c r="W154"/>
      <c r="X154"/>
      <c r="Y154"/>
    </row>
    <row r="155" spans="1:25" x14ac:dyDescent="0.3">
      <c r="A155" t="str">
        <f>Table_Capacity_HD_frontsheet[[#This Row],[Name]]&amp;B155</f>
        <v>CamdenShort-term residential/nursing care for someone likely to require a longer-term care home placement (pathway 3)</v>
      </c>
      <c r="B155" t="str">
        <f>VLOOKUP(Table_Capacity_HD_frontsheet[[#This Row],[Service Area]],PathwayLookup!A:B,2,0)</f>
        <v>Short-term residential/nursing care for someone likely to require a longer-term care home placement (pathway 3)</v>
      </c>
      <c r="C155" t="s">
        <v>107</v>
      </c>
      <c r="D155" t="s">
        <v>731</v>
      </c>
      <c r="E155">
        <v>12</v>
      </c>
      <c r="F155">
        <v>14</v>
      </c>
      <c r="G155">
        <v>6</v>
      </c>
      <c r="H155">
        <v>10</v>
      </c>
      <c r="I155">
        <v>12</v>
      </c>
      <c r="J155">
        <v>9</v>
      </c>
      <c r="K155">
        <v>14</v>
      </c>
      <c r="L155">
        <v>14</v>
      </c>
      <c r="M155">
        <v>13</v>
      </c>
      <c r="N155">
        <v>19</v>
      </c>
      <c r="O155">
        <v>12</v>
      </c>
      <c r="P155">
        <v>14</v>
      </c>
      <c r="R155">
        <v>1</v>
      </c>
      <c r="W155"/>
      <c r="X155"/>
      <c r="Y155"/>
    </row>
    <row r="156" spans="1:25" x14ac:dyDescent="0.3">
      <c r="A156" t="str">
        <f>Table_Capacity_HD_frontsheet[[#This Row],[Name]]&amp;B156</f>
        <v>Central BedfordshireSocial support (including VCS) (pathway 0)</v>
      </c>
      <c r="B156" t="str">
        <f>VLOOKUP(Table_Capacity_HD_frontsheet[[#This Row],[Service Area]],PathwayLookup!A:B,2,0)</f>
        <v>Social support (including VCS) (pathway 0)</v>
      </c>
      <c r="C156" t="s">
        <v>109</v>
      </c>
      <c r="D156" t="s">
        <v>726</v>
      </c>
      <c r="E156">
        <v>758</v>
      </c>
      <c r="F156">
        <v>849</v>
      </c>
      <c r="G156">
        <v>758</v>
      </c>
      <c r="H156">
        <v>812</v>
      </c>
      <c r="I156">
        <v>781</v>
      </c>
      <c r="J156">
        <v>766</v>
      </c>
      <c r="K156">
        <v>728</v>
      </c>
      <c r="L156">
        <v>728</v>
      </c>
      <c r="M156">
        <v>736</v>
      </c>
      <c r="N156">
        <v>736</v>
      </c>
      <c r="O156">
        <v>675</v>
      </c>
      <c r="P156">
        <v>774</v>
      </c>
      <c r="W156"/>
      <c r="X156"/>
      <c r="Y156"/>
    </row>
    <row r="157" spans="1:25" x14ac:dyDescent="0.3">
      <c r="A157" t="str">
        <f>Table_Capacity_HD_frontsheet[[#This Row],[Name]]&amp;B157</f>
        <v>Central BedfordshireReablement &amp; Rehabilitation at home  (pathway 1)</v>
      </c>
      <c r="B157" t="str">
        <f>VLOOKUP(Table_Capacity_HD_frontsheet[[#This Row],[Service Area]],PathwayLookup!A:B,2,0)</f>
        <v>Reablement &amp; Rehabilitation at home  (pathway 1)</v>
      </c>
      <c r="C157" t="s">
        <v>109</v>
      </c>
      <c r="D157" t="s">
        <v>728</v>
      </c>
      <c r="E157">
        <v>44</v>
      </c>
      <c r="F157">
        <v>48</v>
      </c>
      <c r="G157">
        <v>62</v>
      </c>
      <c r="H157">
        <v>42</v>
      </c>
      <c r="I157">
        <v>64</v>
      </c>
      <c r="J157">
        <v>50</v>
      </c>
      <c r="K157">
        <v>50</v>
      </c>
      <c r="L157">
        <v>53</v>
      </c>
      <c r="M157">
        <v>57</v>
      </c>
      <c r="N157">
        <v>58</v>
      </c>
      <c r="O157">
        <v>46</v>
      </c>
      <c r="P157">
        <v>44</v>
      </c>
      <c r="W157"/>
      <c r="X157"/>
      <c r="Y157"/>
    </row>
    <row r="158" spans="1:25" x14ac:dyDescent="0.3">
      <c r="A158" t="str">
        <f>Table_Capacity_HD_frontsheet[[#This Row],[Name]]&amp;B158</f>
        <v>Central BedfordshireReablement &amp; Rehabilitation at home  (pathway 1)</v>
      </c>
      <c r="B158" t="str">
        <f>VLOOKUP(Table_Capacity_HD_frontsheet[[#This Row],[Service Area]],PathwayLookup!A:B,2,0)</f>
        <v>Reablement &amp; Rehabilitation at home  (pathway 1)</v>
      </c>
      <c r="C158" t="s">
        <v>109</v>
      </c>
      <c r="D158" t="s">
        <v>721</v>
      </c>
      <c r="E158">
        <v>0</v>
      </c>
      <c r="F158">
        <v>0</v>
      </c>
      <c r="G158">
        <v>0</v>
      </c>
      <c r="H158">
        <v>0</v>
      </c>
      <c r="I158">
        <v>0</v>
      </c>
      <c r="J158">
        <v>0</v>
      </c>
      <c r="K158">
        <v>0</v>
      </c>
      <c r="L158">
        <v>0</v>
      </c>
      <c r="M158">
        <v>0</v>
      </c>
      <c r="N158">
        <v>0</v>
      </c>
      <c r="O158">
        <v>0</v>
      </c>
      <c r="P158">
        <v>0</v>
      </c>
      <c r="W158"/>
      <c r="X158"/>
      <c r="Y158"/>
    </row>
    <row r="159" spans="1:25" x14ac:dyDescent="0.3">
      <c r="A159" t="str">
        <f>Table_Capacity_HD_frontsheet[[#This Row],[Name]]&amp;B159</f>
        <v>Central BedfordshireShort term domiciliary care (pathway 1)</v>
      </c>
      <c r="B159" t="str">
        <f>VLOOKUP(Table_Capacity_HD_frontsheet[[#This Row],[Service Area]],PathwayLookup!A:B,2,0)</f>
        <v>Short term domiciliary care (pathway 1)</v>
      </c>
      <c r="C159" t="s">
        <v>109</v>
      </c>
      <c r="D159" t="s">
        <v>730</v>
      </c>
      <c r="E159">
        <v>10</v>
      </c>
      <c r="F159">
        <v>7</v>
      </c>
      <c r="G159">
        <v>11</v>
      </c>
      <c r="H159">
        <v>14</v>
      </c>
      <c r="I159">
        <v>11</v>
      </c>
      <c r="J159">
        <v>9</v>
      </c>
      <c r="K159">
        <v>17</v>
      </c>
      <c r="L159">
        <v>10</v>
      </c>
      <c r="M159">
        <v>14</v>
      </c>
      <c r="N159">
        <v>11</v>
      </c>
      <c r="O159">
        <v>12</v>
      </c>
      <c r="P159">
        <v>10</v>
      </c>
      <c r="W159"/>
      <c r="X159"/>
      <c r="Y159"/>
    </row>
    <row r="160" spans="1:25" x14ac:dyDescent="0.3">
      <c r="A160" t="str">
        <f>Table_Capacity_HD_frontsheet[[#This Row],[Name]]&amp;B160</f>
        <v>Central BedfordshireReablement &amp; Rehabilitation in a bedded setting (pathway 2)</v>
      </c>
      <c r="B160" t="str">
        <f>VLOOKUP(Table_Capacity_HD_frontsheet[[#This Row],[Service Area]],PathwayLookup!A:B,2,0)</f>
        <v>Reablement &amp; Rehabilitation in a bedded setting (pathway 2)</v>
      </c>
      <c r="C160" t="s">
        <v>109</v>
      </c>
      <c r="D160" t="s">
        <v>723</v>
      </c>
      <c r="E160">
        <v>0</v>
      </c>
      <c r="F160">
        <v>0</v>
      </c>
      <c r="G160">
        <v>0</v>
      </c>
      <c r="H160">
        <v>0</v>
      </c>
      <c r="I160">
        <v>0</v>
      </c>
      <c r="J160">
        <v>0</v>
      </c>
      <c r="K160">
        <v>0</v>
      </c>
      <c r="L160">
        <v>0</v>
      </c>
      <c r="M160">
        <v>0</v>
      </c>
      <c r="N160">
        <v>0</v>
      </c>
      <c r="O160">
        <v>0</v>
      </c>
      <c r="P160">
        <v>0</v>
      </c>
      <c r="W160"/>
      <c r="X160"/>
      <c r="Y160"/>
    </row>
    <row r="161" spans="1:25" x14ac:dyDescent="0.3">
      <c r="A161" t="str">
        <f>Table_Capacity_HD_frontsheet[[#This Row],[Name]]&amp;B161</f>
        <v>Central BedfordshireReablement &amp; Rehabilitation in a bedded setting (pathway 2)</v>
      </c>
      <c r="B161" t="str">
        <f>VLOOKUP(Table_Capacity_HD_frontsheet[[#This Row],[Service Area]],PathwayLookup!A:B,2,0)</f>
        <v>Reablement &amp; Rehabilitation in a bedded setting (pathway 2)</v>
      </c>
      <c r="C161" t="s">
        <v>109</v>
      </c>
      <c r="D161" t="s">
        <v>725</v>
      </c>
      <c r="E161">
        <v>71</v>
      </c>
      <c r="F161">
        <v>78</v>
      </c>
      <c r="G161">
        <v>101</v>
      </c>
      <c r="H161">
        <v>69</v>
      </c>
      <c r="I161">
        <v>104</v>
      </c>
      <c r="J161">
        <v>82</v>
      </c>
      <c r="K161">
        <v>82</v>
      </c>
      <c r="L161">
        <v>86</v>
      </c>
      <c r="M161">
        <v>93</v>
      </c>
      <c r="N161">
        <v>95</v>
      </c>
      <c r="O161">
        <v>76</v>
      </c>
      <c r="P161">
        <v>71</v>
      </c>
      <c r="W161"/>
      <c r="X161"/>
      <c r="Y161"/>
    </row>
    <row r="162" spans="1:25" x14ac:dyDescent="0.3">
      <c r="A162" t="str">
        <f>Table_Capacity_HD_frontsheet[[#This Row],[Name]]&amp;B162</f>
        <v>Central BedfordshireShort-term residential/nursing care for someone likely to require a longer-term care home placement (pathway 3)</v>
      </c>
      <c r="B162" t="str">
        <f>VLOOKUP(Table_Capacity_HD_frontsheet[[#This Row],[Service Area]],PathwayLookup!A:B,2,0)</f>
        <v>Short-term residential/nursing care for someone likely to require a longer-term care home placement (pathway 3)</v>
      </c>
      <c r="C162" t="s">
        <v>109</v>
      </c>
      <c r="D162" t="s">
        <v>731</v>
      </c>
      <c r="E162">
        <v>41</v>
      </c>
      <c r="F162">
        <v>36</v>
      </c>
      <c r="G162">
        <v>39</v>
      </c>
      <c r="H162">
        <v>34</v>
      </c>
      <c r="I162">
        <v>27</v>
      </c>
      <c r="J162">
        <v>31</v>
      </c>
      <c r="K162">
        <v>36</v>
      </c>
      <c r="L162">
        <v>29</v>
      </c>
      <c r="M162">
        <v>37</v>
      </c>
      <c r="N162">
        <v>37</v>
      </c>
      <c r="O162">
        <v>35</v>
      </c>
      <c r="P162">
        <v>38</v>
      </c>
      <c r="W162"/>
      <c r="X162"/>
      <c r="Y162"/>
    </row>
    <row r="163" spans="1:25" x14ac:dyDescent="0.3">
      <c r="A163" t="str">
        <f>Table_Capacity_HD_frontsheet[[#This Row],[Name]]&amp;B163</f>
        <v>Cheshire EastSocial support (including VCS) (pathway 0)</v>
      </c>
      <c r="B163" t="str">
        <f>VLOOKUP(Table_Capacity_HD_frontsheet[[#This Row],[Service Area]],PathwayLookup!A:B,2,0)</f>
        <v>Social support (including VCS) (pathway 0)</v>
      </c>
      <c r="C163" t="s">
        <v>111</v>
      </c>
      <c r="D163" t="s">
        <v>726</v>
      </c>
      <c r="R163">
        <v>1</v>
      </c>
      <c r="W163"/>
      <c r="X163"/>
      <c r="Y163"/>
    </row>
    <row r="164" spans="1:25" x14ac:dyDescent="0.3">
      <c r="A164" t="str">
        <f>Table_Capacity_HD_frontsheet[[#This Row],[Name]]&amp;B164</f>
        <v>Cheshire EastReablement &amp; Rehabilitation at home  (pathway 1)</v>
      </c>
      <c r="B164" t="str">
        <f>VLOOKUP(Table_Capacity_HD_frontsheet[[#This Row],[Service Area]],PathwayLookup!A:B,2,0)</f>
        <v>Reablement &amp; Rehabilitation at home  (pathway 1)</v>
      </c>
      <c r="C164" t="s">
        <v>111</v>
      </c>
      <c r="D164" t="s">
        <v>728</v>
      </c>
      <c r="E164">
        <v>42</v>
      </c>
      <c r="F164">
        <v>42</v>
      </c>
      <c r="G164">
        <v>42</v>
      </c>
      <c r="H164">
        <v>42</v>
      </c>
      <c r="I164">
        <v>42</v>
      </c>
      <c r="J164">
        <v>42</v>
      </c>
      <c r="K164">
        <v>42</v>
      </c>
      <c r="L164">
        <v>42</v>
      </c>
      <c r="M164">
        <v>42</v>
      </c>
      <c r="N164">
        <v>42</v>
      </c>
      <c r="O164">
        <v>42</v>
      </c>
      <c r="P164">
        <v>42</v>
      </c>
      <c r="Q164">
        <v>0.4</v>
      </c>
      <c r="R164">
        <v>0.6</v>
      </c>
      <c r="W164"/>
      <c r="X164"/>
      <c r="Y164"/>
    </row>
    <row r="165" spans="1:25" x14ac:dyDescent="0.3">
      <c r="A165" t="str">
        <f>Table_Capacity_HD_frontsheet[[#This Row],[Name]]&amp;B165</f>
        <v>Cheshire EastReablement &amp; Rehabilitation at home  (pathway 1)</v>
      </c>
      <c r="B165" t="str">
        <f>VLOOKUP(Table_Capacity_HD_frontsheet[[#This Row],[Service Area]],PathwayLookup!A:B,2,0)</f>
        <v>Reablement &amp; Rehabilitation at home  (pathway 1)</v>
      </c>
      <c r="C165" t="s">
        <v>111</v>
      </c>
      <c r="D165" t="s">
        <v>721</v>
      </c>
      <c r="E165">
        <v>18</v>
      </c>
      <c r="F165">
        <v>18</v>
      </c>
      <c r="G165">
        <v>18</v>
      </c>
      <c r="H165">
        <v>18</v>
      </c>
      <c r="I165">
        <v>18</v>
      </c>
      <c r="J165">
        <v>18</v>
      </c>
      <c r="K165">
        <v>18</v>
      </c>
      <c r="L165">
        <v>18</v>
      </c>
      <c r="M165">
        <v>18</v>
      </c>
      <c r="N165">
        <v>18</v>
      </c>
      <c r="O165">
        <v>18</v>
      </c>
      <c r="P165">
        <v>18</v>
      </c>
      <c r="R165">
        <v>1</v>
      </c>
      <c r="W165"/>
      <c r="X165"/>
      <c r="Y165"/>
    </row>
    <row r="166" spans="1:25" x14ac:dyDescent="0.3">
      <c r="A166" t="str">
        <f>Table_Capacity_HD_frontsheet[[#This Row],[Name]]&amp;B166</f>
        <v>Cheshire EastShort term domiciliary care (pathway 1)</v>
      </c>
      <c r="B166" t="str">
        <f>VLOOKUP(Table_Capacity_HD_frontsheet[[#This Row],[Service Area]],PathwayLookup!A:B,2,0)</f>
        <v>Short term domiciliary care (pathway 1)</v>
      </c>
      <c r="C166" t="s">
        <v>111</v>
      </c>
      <c r="D166" t="s">
        <v>730</v>
      </c>
      <c r="R166">
        <v>1</v>
      </c>
      <c r="W166"/>
      <c r="X166"/>
      <c r="Y166"/>
    </row>
    <row r="167" spans="1:25" x14ac:dyDescent="0.3">
      <c r="A167" t="str">
        <f>Table_Capacity_HD_frontsheet[[#This Row],[Name]]&amp;B167</f>
        <v>Cheshire EastReablement &amp; Rehabilitation in a bedded setting (pathway 2)</v>
      </c>
      <c r="B167" t="str">
        <f>VLOOKUP(Table_Capacity_HD_frontsheet[[#This Row],[Service Area]],PathwayLookup!A:B,2,0)</f>
        <v>Reablement &amp; Rehabilitation in a bedded setting (pathway 2)</v>
      </c>
      <c r="C167" t="s">
        <v>111</v>
      </c>
      <c r="D167" t="s">
        <v>723</v>
      </c>
      <c r="W167"/>
      <c r="X167"/>
      <c r="Y167"/>
    </row>
    <row r="168" spans="1:25" x14ac:dyDescent="0.3">
      <c r="A168" t="str">
        <f>Table_Capacity_HD_frontsheet[[#This Row],[Name]]&amp;B168</f>
        <v>Cheshire EastReablement &amp; Rehabilitation in a bedded setting (pathway 2)</v>
      </c>
      <c r="B168" t="str">
        <f>VLOOKUP(Table_Capacity_HD_frontsheet[[#This Row],[Service Area]],PathwayLookup!A:B,2,0)</f>
        <v>Reablement &amp; Rehabilitation in a bedded setting (pathway 2)</v>
      </c>
      <c r="C168" t="s">
        <v>111</v>
      </c>
      <c r="D168" t="s">
        <v>725</v>
      </c>
      <c r="E168">
        <v>114</v>
      </c>
      <c r="F168">
        <v>114</v>
      </c>
      <c r="G168">
        <v>114</v>
      </c>
      <c r="H168">
        <v>114</v>
      </c>
      <c r="I168">
        <v>114</v>
      </c>
      <c r="J168">
        <v>114</v>
      </c>
      <c r="K168">
        <v>114</v>
      </c>
      <c r="L168">
        <v>114</v>
      </c>
      <c r="M168">
        <v>114</v>
      </c>
      <c r="N168">
        <v>114</v>
      </c>
      <c r="O168">
        <v>114</v>
      </c>
      <c r="P168">
        <v>114</v>
      </c>
      <c r="Q168">
        <v>0.5</v>
      </c>
      <c r="R168">
        <v>0.5</v>
      </c>
      <c r="W168"/>
      <c r="X168"/>
      <c r="Y168"/>
    </row>
    <row r="169" spans="1:25" x14ac:dyDescent="0.3">
      <c r="A169" t="str">
        <f>Table_Capacity_HD_frontsheet[[#This Row],[Name]]&amp;B169</f>
        <v>Cheshire EastShort-term residential/nursing care for someone likely to require a longer-term care home placement (pathway 3)</v>
      </c>
      <c r="B169" t="str">
        <f>VLOOKUP(Table_Capacity_HD_frontsheet[[#This Row],[Service Area]],PathwayLookup!A:B,2,0)</f>
        <v>Short-term residential/nursing care for someone likely to require a longer-term care home placement (pathway 3)</v>
      </c>
      <c r="C169" t="s">
        <v>111</v>
      </c>
      <c r="D169" t="s">
        <v>731</v>
      </c>
      <c r="E169">
        <v>19</v>
      </c>
      <c r="F169">
        <v>20</v>
      </c>
      <c r="G169">
        <v>21</v>
      </c>
      <c r="H169">
        <v>22</v>
      </c>
      <c r="I169">
        <v>20</v>
      </c>
      <c r="J169">
        <v>22</v>
      </c>
      <c r="K169">
        <v>22</v>
      </c>
      <c r="L169">
        <v>23</v>
      </c>
      <c r="M169">
        <v>21</v>
      </c>
      <c r="N169">
        <v>19</v>
      </c>
      <c r="O169">
        <v>19</v>
      </c>
      <c r="P169">
        <v>19</v>
      </c>
      <c r="Q169">
        <v>1</v>
      </c>
      <c r="W169"/>
      <c r="X169"/>
      <c r="Y169"/>
    </row>
    <row r="170" spans="1:25" x14ac:dyDescent="0.3">
      <c r="A170" t="str">
        <f>Table_Capacity_HD_frontsheet[[#This Row],[Name]]&amp;B170</f>
        <v>Cheshire West and ChesterSocial support (including VCS) (pathway 0)</v>
      </c>
      <c r="B170" t="str">
        <f>VLOOKUP(Table_Capacity_HD_frontsheet[[#This Row],[Service Area]],PathwayLookup!A:B,2,0)</f>
        <v>Social support (including VCS) (pathway 0)</v>
      </c>
      <c r="C170" t="s">
        <v>113</v>
      </c>
      <c r="D170" t="s">
        <v>726</v>
      </c>
      <c r="E170">
        <v>57</v>
      </c>
      <c r="F170">
        <v>57</v>
      </c>
      <c r="G170">
        <v>57</v>
      </c>
      <c r="H170">
        <v>57</v>
      </c>
      <c r="I170">
        <v>57</v>
      </c>
      <c r="J170">
        <v>57</v>
      </c>
      <c r="K170">
        <v>70</v>
      </c>
      <c r="L170">
        <v>70</v>
      </c>
      <c r="M170">
        <v>70</v>
      </c>
      <c r="N170">
        <v>70</v>
      </c>
      <c r="O170">
        <v>70</v>
      </c>
      <c r="P170">
        <v>70</v>
      </c>
      <c r="R170">
        <v>1</v>
      </c>
      <c r="W170"/>
      <c r="X170"/>
      <c r="Y170"/>
    </row>
    <row r="171" spans="1:25" x14ac:dyDescent="0.3">
      <c r="A171" t="str">
        <f>Table_Capacity_HD_frontsheet[[#This Row],[Name]]&amp;B171</f>
        <v>Cheshire West and ChesterReablement &amp; Rehabilitation at home  (pathway 1)</v>
      </c>
      <c r="B171" t="str">
        <f>VLOOKUP(Table_Capacity_HD_frontsheet[[#This Row],[Service Area]],PathwayLookup!A:B,2,0)</f>
        <v>Reablement &amp; Rehabilitation at home  (pathway 1)</v>
      </c>
      <c r="C171" t="s">
        <v>113</v>
      </c>
      <c r="D171" t="s">
        <v>728</v>
      </c>
      <c r="E171">
        <v>30</v>
      </c>
      <c r="F171">
        <v>31</v>
      </c>
      <c r="G171">
        <v>30</v>
      </c>
      <c r="H171">
        <v>31</v>
      </c>
      <c r="I171">
        <v>31</v>
      </c>
      <c r="J171">
        <v>30</v>
      </c>
      <c r="K171">
        <v>39</v>
      </c>
      <c r="L171">
        <v>39</v>
      </c>
      <c r="M171">
        <v>39</v>
      </c>
      <c r="N171">
        <v>39</v>
      </c>
      <c r="O171">
        <v>39</v>
      </c>
      <c r="P171">
        <v>39</v>
      </c>
      <c r="R171">
        <v>1</v>
      </c>
      <c r="W171"/>
      <c r="X171"/>
      <c r="Y171"/>
    </row>
    <row r="172" spans="1:25" x14ac:dyDescent="0.3">
      <c r="A172" t="str">
        <f>Table_Capacity_HD_frontsheet[[#This Row],[Name]]&amp;B172</f>
        <v>Cheshire West and ChesterReablement &amp; Rehabilitation at home  (pathway 1)</v>
      </c>
      <c r="B172" t="str">
        <f>VLOOKUP(Table_Capacity_HD_frontsheet[[#This Row],[Service Area]],PathwayLookup!A:B,2,0)</f>
        <v>Reablement &amp; Rehabilitation at home  (pathway 1)</v>
      </c>
      <c r="C172" t="s">
        <v>113</v>
      </c>
      <c r="D172" t="s">
        <v>721</v>
      </c>
      <c r="E172">
        <v>192</v>
      </c>
      <c r="F172">
        <v>198</v>
      </c>
      <c r="G172">
        <v>192</v>
      </c>
      <c r="H172">
        <v>198</v>
      </c>
      <c r="I172">
        <v>198</v>
      </c>
      <c r="J172">
        <v>242</v>
      </c>
      <c r="K172">
        <v>250</v>
      </c>
      <c r="L172">
        <v>243</v>
      </c>
      <c r="M172">
        <v>250</v>
      </c>
      <c r="N172">
        <v>250</v>
      </c>
      <c r="O172">
        <v>234</v>
      </c>
      <c r="P172">
        <v>242</v>
      </c>
      <c r="Q172">
        <v>1</v>
      </c>
      <c r="W172"/>
      <c r="X172"/>
      <c r="Y172"/>
    </row>
    <row r="173" spans="1:25" x14ac:dyDescent="0.3">
      <c r="A173" t="str">
        <f>Table_Capacity_HD_frontsheet[[#This Row],[Name]]&amp;B173</f>
        <v>Cheshire West and ChesterShort term domiciliary care (pathway 1)</v>
      </c>
      <c r="B173" t="str">
        <f>VLOOKUP(Table_Capacity_HD_frontsheet[[#This Row],[Service Area]],PathwayLookup!A:B,2,0)</f>
        <v>Short term domiciliary care (pathway 1)</v>
      </c>
      <c r="C173" t="s">
        <v>113</v>
      </c>
      <c r="D173" t="s">
        <v>730</v>
      </c>
      <c r="E173">
        <v>35</v>
      </c>
      <c r="F173">
        <v>35</v>
      </c>
      <c r="G173">
        <v>35</v>
      </c>
      <c r="H173">
        <v>35</v>
      </c>
      <c r="I173">
        <v>35</v>
      </c>
      <c r="J173">
        <v>35</v>
      </c>
      <c r="K173">
        <v>35</v>
      </c>
      <c r="L173">
        <v>35</v>
      </c>
      <c r="M173">
        <v>35</v>
      </c>
      <c r="N173">
        <v>35</v>
      </c>
      <c r="O173">
        <v>35</v>
      </c>
      <c r="P173">
        <v>35</v>
      </c>
      <c r="R173">
        <v>1</v>
      </c>
      <c r="W173"/>
      <c r="X173"/>
      <c r="Y173"/>
    </row>
    <row r="174" spans="1:25" x14ac:dyDescent="0.3">
      <c r="A174" t="str">
        <f>Table_Capacity_HD_frontsheet[[#This Row],[Name]]&amp;B174</f>
        <v>Cheshire West and ChesterReablement &amp; Rehabilitation in a bedded setting (pathway 2)</v>
      </c>
      <c r="B174" t="str">
        <f>VLOOKUP(Table_Capacity_HD_frontsheet[[#This Row],[Service Area]],PathwayLookup!A:B,2,0)</f>
        <v>Reablement &amp; Rehabilitation in a bedded setting (pathway 2)</v>
      </c>
      <c r="C174" t="s">
        <v>113</v>
      </c>
      <c r="D174" t="s">
        <v>723</v>
      </c>
      <c r="E174">
        <v>30</v>
      </c>
      <c r="F174">
        <v>32</v>
      </c>
      <c r="G174">
        <v>30</v>
      </c>
      <c r="H174">
        <v>32</v>
      </c>
      <c r="I174">
        <v>32</v>
      </c>
      <c r="J174">
        <v>30</v>
      </c>
      <c r="K174">
        <v>30</v>
      </c>
      <c r="L174">
        <v>30</v>
      </c>
      <c r="M174">
        <v>30</v>
      </c>
      <c r="N174">
        <v>30</v>
      </c>
      <c r="O174">
        <v>30</v>
      </c>
      <c r="P174">
        <v>30</v>
      </c>
      <c r="S174">
        <v>1</v>
      </c>
      <c r="W174"/>
      <c r="X174"/>
      <c r="Y174"/>
    </row>
    <row r="175" spans="1:25" x14ac:dyDescent="0.3">
      <c r="A175" t="str">
        <f>Table_Capacity_HD_frontsheet[[#This Row],[Name]]&amp;B175</f>
        <v>Cheshire West and ChesterReablement &amp; Rehabilitation in a bedded setting (pathway 2)</v>
      </c>
      <c r="B175" t="str">
        <f>VLOOKUP(Table_Capacity_HD_frontsheet[[#This Row],[Service Area]],PathwayLookup!A:B,2,0)</f>
        <v>Reablement &amp; Rehabilitation in a bedded setting (pathway 2)</v>
      </c>
      <c r="C175" t="s">
        <v>113</v>
      </c>
      <c r="D175" t="s">
        <v>725</v>
      </c>
      <c r="E175">
        <v>117</v>
      </c>
      <c r="F175">
        <v>121</v>
      </c>
      <c r="G175">
        <v>117</v>
      </c>
      <c r="H175">
        <v>121</v>
      </c>
      <c r="I175">
        <v>121</v>
      </c>
      <c r="J175">
        <v>117</v>
      </c>
      <c r="K175">
        <v>121</v>
      </c>
      <c r="L175">
        <v>117</v>
      </c>
      <c r="M175">
        <v>121</v>
      </c>
      <c r="N175">
        <v>121</v>
      </c>
      <c r="O175">
        <v>113</v>
      </c>
      <c r="P175">
        <v>121</v>
      </c>
      <c r="Q175">
        <v>1</v>
      </c>
      <c r="W175"/>
      <c r="X175"/>
      <c r="Y175"/>
    </row>
    <row r="176" spans="1:25" x14ac:dyDescent="0.3">
      <c r="A176" t="str">
        <f>Table_Capacity_HD_frontsheet[[#This Row],[Name]]&amp;B176</f>
        <v>Cheshire West and ChesterShort-term residential/nursing care for someone likely to require a longer-term care home placement (pathway 3)</v>
      </c>
      <c r="B176" t="str">
        <f>VLOOKUP(Table_Capacity_HD_frontsheet[[#This Row],[Service Area]],PathwayLookup!A:B,2,0)</f>
        <v>Short-term residential/nursing care for someone likely to require a longer-term care home placement (pathway 3)</v>
      </c>
      <c r="C176" t="s">
        <v>113</v>
      </c>
      <c r="D176" t="s">
        <v>731</v>
      </c>
      <c r="E176">
        <v>0</v>
      </c>
      <c r="F176">
        <v>0</v>
      </c>
      <c r="G176">
        <v>0</v>
      </c>
      <c r="H176">
        <v>0</v>
      </c>
      <c r="I176">
        <v>0</v>
      </c>
      <c r="J176">
        <v>0</v>
      </c>
      <c r="K176">
        <v>0</v>
      </c>
      <c r="L176">
        <v>0</v>
      </c>
      <c r="M176">
        <v>0</v>
      </c>
      <c r="N176">
        <v>0</v>
      </c>
      <c r="O176">
        <v>0</v>
      </c>
      <c r="P176">
        <v>0</v>
      </c>
      <c r="W176"/>
      <c r="X176"/>
      <c r="Y176"/>
    </row>
    <row r="177" spans="1:25" x14ac:dyDescent="0.3">
      <c r="A177" t="str">
        <f>Table_Capacity_HD_frontsheet[[#This Row],[Name]]&amp;B177</f>
        <v>City of LondonSocial support (including VCS) (pathway 0)</v>
      </c>
      <c r="B177" t="str">
        <f>VLOOKUP(Table_Capacity_HD_frontsheet[[#This Row],[Service Area]],PathwayLookup!A:B,2,0)</f>
        <v>Social support (including VCS) (pathway 0)</v>
      </c>
      <c r="C177" t="s">
        <v>115</v>
      </c>
      <c r="D177" t="s">
        <v>726</v>
      </c>
      <c r="E177">
        <v>0</v>
      </c>
      <c r="F177">
        <v>0</v>
      </c>
      <c r="G177">
        <v>0</v>
      </c>
      <c r="H177">
        <v>0</v>
      </c>
      <c r="I177">
        <v>0</v>
      </c>
      <c r="J177">
        <v>0</v>
      </c>
      <c r="K177">
        <v>0</v>
      </c>
      <c r="L177">
        <v>0</v>
      </c>
      <c r="M177">
        <v>0</v>
      </c>
      <c r="N177">
        <v>0</v>
      </c>
      <c r="O177">
        <v>0</v>
      </c>
      <c r="P177">
        <v>0</v>
      </c>
      <c r="Q177">
        <v>0</v>
      </c>
      <c r="R177">
        <v>0</v>
      </c>
      <c r="S177">
        <v>0</v>
      </c>
      <c r="W177"/>
      <c r="X177"/>
      <c r="Y177"/>
    </row>
    <row r="178" spans="1:25" x14ac:dyDescent="0.3">
      <c r="A178" t="str">
        <f>Table_Capacity_HD_frontsheet[[#This Row],[Name]]&amp;B178</f>
        <v>City of LondonReablement &amp; Rehabilitation at home  (pathway 1)</v>
      </c>
      <c r="B178" t="str">
        <f>VLOOKUP(Table_Capacity_HD_frontsheet[[#This Row],[Service Area]],PathwayLookup!A:B,2,0)</f>
        <v>Reablement &amp; Rehabilitation at home  (pathway 1)</v>
      </c>
      <c r="C178" t="s">
        <v>115</v>
      </c>
      <c r="D178" t="s">
        <v>728</v>
      </c>
      <c r="E178">
        <v>0.54793397923831588</v>
      </c>
      <c r="F178">
        <v>0.64724611859360237</v>
      </c>
      <c r="G178">
        <v>0.61633628847725963</v>
      </c>
      <c r="H178">
        <v>0.6183969438183492</v>
      </c>
      <c r="I178">
        <v>0.58213513385778781</v>
      </c>
      <c r="J178">
        <v>0.58121928703952597</v>
      </c>
      <c r="K178">
        <v>0.57686901465278129</v>
      </c>
      <c r="L178">
        <v>0.59667420209769717</v>
      </c>
      <c r="M178">
        <v>0.59231700131584442</v>
      </c>
      <c r="N178">
        <v>0.72323278429627824</v>
      </c>
      <c r="O178">
        <v>0.57209115419219492</v>
      </c>
      <c r="P178">
        <v>0.57675453380049868</v>
      </c>
      <c r="Q178">
        <v>0</v>
      </c>
      <c r="R178">
        <v>1</v>
      </c>
      <c r="S178">
        <v>0</v>
      </c>
      <c r="W178"/>
      <c r="X178"/>
      <c r="Y178"/>
    </row>
    <row r="179" spans="1:25" x14ac:dyDescent="0.3">
      <c r="A179" t="str">
        <f>Table_Capacity_HD_frontsheet[[#This Row],[Name]]&amp;B179</f>
        <v>City of LondonReablement &amp; Rehabilitation at home  (pathway 1)</v>
      </c>
      <c r="B179" t="str">
        <f>VLOOKUP(Table_Capacity_HD_frontsheet[[#This Row],[Service Area]],PathwayLookup!A:B,2,0)</f>
        <v>Reablement &amp; Rehabilitation at home  (pathway 1)</v>
      </c>
      <c r="C179" t="s">
        <v>115</v>
      </c>
      <c r="D179" t="s">
        <v>721</v>
      </c>
      <c r="E179">
        <v>2.2230250170651465E-2</v>
      </c>
      <c r="F179">
        <v>1.9434442291078647E-2</v>
      </c>
      <c r="G179">
        <v>1.5345005497220138E-2</v>
      </c>
      <c r="H179">
        <v>7.0153584585933695E-2</v>
      </c>
      <c r="I179">
        <v>7.1401933731830527E-2</v>
      </c>
      <c r="J179">
        <v>7.7112907674581441E-2</v>
      </c>
      <c r="K179">
        <v>7.0476999047675057E-2</v>
      </c>
      <c r="L179">
        <v>7.6141598323289497E-2</v>
      </c>
      <c r="M179">
        <v>4.7456087065518647E-2</v>
      </c>
      <c r="N179">
        <v>5.487057050993005E-3</v>
      </c>
      <c r="O179">
        <v>1.4120549569485484E-2</v>
      </c>
      <c r="P179">
        <v>7.501096024573059E-2</v>
      </c>
      <c r="Q179">
        <v>0</v>
      </c>
      <c r="R179">
        <v>0</v>
      </c>
      <c r="S179">
        <v>0</v>
      </c>
      <c r="W179"/>
      <c r="X179"/>
      <c r="Y179"/>
    </row>
    <row r="180" spans="1:25" x14ac:dyDescent="0.3">
      <c r="A180" t="str">
        <f>Table_Capacity_HD_frontsheet[[#This Row],[Name]]&amp;B180</f>
        <v>City of LondonShort term domiciliary care (pathway 1)</v>
      </c>
      <c r="B180" t="str">
        <f>VLOOKUP(Table_Capacity_HD_frontsheet[[#This Row],[Service Area]],PathwayLookup!A:B,2,0)</f>
        <v>Short term domiciliary care (pathway 1)</v>
      </c>
      <c r="C180" t="s">
        <v>115</v>
      </c>
      <c r="D180" t="s">
        <v>730</v>
      </c>
      <c r="E180">
        <v>2</v>
      </c>
      <c r="F180">
        <v>2</v>
      </c>
      <c r="G180">
        <v>2</v>
      </c>
      <c r="H180">
        <v>2</v>
      </c>
      <c r="I180">
        <v>2</v>
      </c>
      <c r="J180">
        <v>2</v>
      </c>
      <c r="K180">
        <v>2</v>
      </c>
      <c r="L180">
        <v>2</v>
      </c>
      <c r="M180">
        <v>2</v>
      </c>
      <c r="N180">
        <v>2</v>
      </c>
      <c r="O180">
        <v>2</v>
      </c>
      <c r="P180">
        <v>2</v>
      </c>
      <c r="Q180">
        <v>0</v>
      </c>
      <c r="R180">
        <v>1</v>
      </c>
      <c r="S180">
        <v>0</v>
      </c>
      <c r="W180"/>
      <c r="X180"/>
      <c r="Y180"/>
    </row>
    <row r="181" spans="1:25" x14ac:dyDescent="0.3">
      <c r="A181" t="str">
        <f>Table_Capacity_HD_frontsheet[[#This Row],[Name]]&amp;B181</f>
        <v>City of LondonReablement &amp; Rehabilitation in a bedded setting (pathway 2)</v>
      </c>
      <c r="B181" t="str">
        <f>VLOOKUP(Table_Capacity_HD_frontsheet[[#This Row],[Service Area]],PathwayLookup!A:B,2,0)</f>
        <v>Reablement &amp; Rehabilitation in a bedded setting (pathway 2)</v>
      </c>
      <c r="C181" t="s">
        <v>115</v>
      </c>
      <c r="D181" t="s">
        <v>723</v>
      </c>
      <c r="E181">
        <v>1</v>
      </c>
      <c r="F181">
        <v>1</v>
      </c>
      <c r="G181">
        <v>1</v>
      </c>
      <c r="H181">
        <v>1</v>
      </c>
      <c r="I181">
        <v>1</v>
      </c>
      <c r="J181">
        <v>1</v>
      </c>
      <c r="K181">
        <v>1</v>
      </c>
      <c r="L181">
        <v>1</v>
      </c>
      <c r="M181">
        <v>1</v>
      </c>
      <c r="N181">
        <v>1</v>
      </c>
      <c r="O181">
        <v>1</v>
      </c>
      <c r="P181">
        <v>1</v>
      </c>
      <c r="Q181">
        <v>0</v>
      </c>
      <c r="R181">
        <v>1</v>
      </c>
      <c r="S181">
        <v>0</v>
      </c>
      <c r="W181"/>
      <c r="X181"/>
      <c r="Y181"/>
    </row>
    <row r="182" spans="1:25" x14ac:dyDescent="0.3">
      <c r="A182" t="str">
        <f>Table_Capacity_HD_frontsheet[[#This Row],[Name]]&amp;B182</f>
        <v>City of LondonReablement &amp; Rehabilitation in a bedded setting (pathway 2)</v>
      </c>
      <c r="B182" t="str">
        <f>VLOOKUP(Table_Capacity_HD_frontsheet[[#This Row],[Service Area]],PathwayLookup!A:B,2,0)</f>
        <v>Reablement &amp; Rehabilitation in a bedded setting (pathway 2)</v>
      </c>
      <c r="C182" t="s">
        <v>115</v>
      </c>
      <c r="D182" t="s">
        <v>725</v>
      </c>
      <c r="E182">
        <v>2.5413857243035062E-2</v>
      </c>
      <c r="F182">
        <v>3.0291786844576861E-2</v>
      </c>
      <c r="G182">
        <v>2.7012159438812064E-2</v>
      </c>
      <c r="H182">
        <v>2.7580578183696029E-2</v>
      </c>
      <c r="I182">
        <v>2.8492298956462169E-2</v>
      </c>
      <c r="J182">
        <v>2.7451880529399057E-2</v>
      </c>
      <c r="K182">
        <v>2.7199903817148766E-2</v>
      </c>
      <c r="L182">
        <v>2.7585299152417309E-2</v>
      </c>
      <c r="M182">
        <v>3.3968365441820712E-2</v>
      </c>
      <c r="N182">
        <v>2.7461275869547656E-2</v>
      </c>
      <c r="O182">
        <v>1.4522925984814855E-2</v>
      </c>
      <c r="P182">
        <v>2.7397647968668528E-2</v>
      </c>
      <c r="Q182">
        <v>0</v>
      </c>
      <c r="R182">
        <v>0</v>
      </c>
      <c r="S182">
        <v>0</v>
      </c>
      <c r="W182"/>
      <c r="X182"/>
      <c r="Y182"/>
    </row>
    <row r="183" spans="1:25" x14ac:dyDescent="0.3">
      <c r="A183" t="str">
        <f>Table_Capacity_HD_frontsheet[[#This Row],[Name]]&amp;B183</f>
        <v>City of LondonShort-term residential/nursing care for someone likely to require a longer-term care home placement (pathway 3)</v>
      </c>
      <c r="B183" t="str">
        <f>VLOOKUP(Table_Capacity_HD_frontsheet[[#This Row],[Service Area]],PathwayLookup!A:B,2,0)</f>
        <v>Short-term residential/nursing care for someone likely to require a longer-term care home placement (pathway 3)</v>
      </c>
      <c r="C183" t="s">
        <v>115</v>
      </c>
      <c r="D183" t="s">
        <v>731</v>
      </c>
      <c r="E183">
        <v>7.378123435994631E-2</v>
      </c>
      <c r="F183">
        <v>9.3266121589113252E-2</v>
      </c>
      <c r="G183">
        <v>8.2186542382438055E-2</v>
      </c>
      <c r="H183">
        <v>9.2974830237091077E-2</v>
      </c>
      <c r="I183">
        <v>9.5412221286911916E-2</v>
      </c>
      <c r="J183">
        <v>9.5681740630166517E-2</v>
      </c>
      <c r="K183">
        <v>1</v>
      </c>
      <c r="L183">
        <v>1</v>
      </c>
      <c r="M183">
        <v>1</v>
      </c>
      <c r="N183">
        <v>0</v>
      </c>
      <c r="O183">
        <v>8.2812209135084039E-2</v>
      </c>
      <c r="P183">
        <v>0.10208910003548148</v>
      </c>
      <c r="Q183">
        <v>0</v>
      </c>
      <c r="R183">
        <v>1</v>
      </c>
      <c r="S183">
        <v>0</v>
      </c>
      <c r="W183"/>
      <c r="X183"/>
      <c r="Y183"/>
    </row>
    <row r="184" spans="1:25" x14ac:dyDescent="0.3">
      <c r="A184" t="str">
        <f>Table_Capacity_HD_frontsheet[[#This Row],[Name]]&amp;B184</f>
        <v>Cornwall &amp; ScillySocial support (including VCS) (pathway 0)</v>
      </c>
      <c r="B184" t="str">
        <f>VLOOKUP(Table_Capacity_HD_frontsheet[[#This Row],[Service Area]],PathwayLookup!A:B,2,0)</f>
        <v>Social support (including VCS) (pathway 0)</v>
      </c>
      <c r="C184" t="s">
        <v>117</v>
      </c>
      <c r="D184" t="s">
        <v>726</v>
      </c>
      <c r="E184">
        <v>300</v>
      </c>
      <c r="F184">
        <v>301</v>
      </c>
      <c r="G184">
        <v>300</v>
      </c>
      <c r="H184">
        <v>293</v>
      </c>
      <c r="I184">
        <v>293</v>
      </c>
      <c r="J184">
        <v>292</v>
      </c>
      <c r="K184">
        <v>286</v>
      </c>
      <c r="L184">
        <v>285</v>
      </c>
      <c r="M184">
        <v>286</v>
      </c>
      <c r="N184">
        <v>282</v>
      </c>
      <c r="O184">
        <v>280</v>
      </c>
      <c r="P184">
        <v>282</v>
      </c>
      <c r="Q184">
        <v>0.89600000000000002</v>
      </c>
      <c r="R184">
        <v>0.1</v>
      </c>
      <c r="S184">
        <v>0</v>
      </c>
      <c r="W184"/>
      <c r="X184"/>
      <c r="Y184"/>
    </row>
    <row r="185" spans="1:25" x14ac:dyDescent="0.3">
      <c r="A185" t="str">
        <f>Table_Capacity_HD_frontsheet[[#This Row],[Name]]&amp;B185</f>
        <v>Cornwall &amp; ScillyReablement &amp; Rehabilitation at home  (pathway 1)</v>
      </c>
      <c r="B185" t="str">
        <f>VLOOKUP(Table_Capacity_HD_frontsheet[[#This Row],[Service Area]],PathwayLookup!A:B,2,0)</f>
        <v>Reablement &amp; Rehabilitation at home  (pathway 1)</v>
      </c>
      <c r="C185" t="s">
        <v>117</v>
      </c>
      <c r="D185" t="s">
        <v>728</v>
      </c>
      <c r="E185">
        <v>190</v>
      </c>
      <c r="F185">
        <v>196</v>
      </c>
      <c r="G185">
        <v>190</v>
      </c>
      <c r="H185">
        <v>196</v>
      </c>
      <c r="I185">
        <v>196</v>
      </c>
      <c r="J185">
        <v>190</v>
      </c>
      <c r="K185">
        <v>196</v>
      </c>
      <c r="L185">
        <v>190</v>
      </c>
      <c r="M185">
        <v>196</v>
      </c>
      <c r="N185">
        <v>196</v>
      </c>
      <c r="O185">
        <v>177</v>
      </c>
      <c r="P185">
        <v>190</v>
      </c>
      <c r="Q185">
        <v>0</v>
      </c>
      <c r="R185">
        <v>1</v>
      </c>
      <c r="S185">
        <v>0</v>
      </c>
      <c r="W185"/>
      <c r="X185"/>
      <c r="Y185"/>
    </row>
    <row r="186" spans="1:25" x14ac:dyDescent="0.3">
      <c r="A186" t="str">
        <f>Table_Capacity_HD_frontsheet[[#This Row],[Name]]&amp;B186</f>
        <v>Cornwall &amp; ScillyReablement &amp; Rehabilitation at home  (pathway 1)</v>
      </c>
      <c r="B186" t="str">
        <f>VLOOKUP(Table_Capacity_HD_frontsheet[[#This Row],[Service Area]],PathwayLookup!A:B,2,0)</f>
        <v>Reablement &amp; Rehabilitation at home  (pathway 1)</v>
      </c>
      <c r="C186" t="s">
        <v>117</v>
      </c>
      <c r="D186" t="s">
        <v>721</v>
      </c>
      <c r="E186">
        <v>159</v>
      </c>
      <c r="F186">
        <v>159</v>
      </c>
      <c r="G186">
        <v>159</v>
      </c>
      <c r="H186">
        <v>159</v>
      </c>
      <c r="I186">
        <v>159</v>
      </c>
      <c r="J186">
        <v>159</v>
      </c>
      <c r="K186">
        <v>159</v>
      </c>
      <c r="L186">
        <v>159</v>
      </c>
      <c r="M186">
        <v>159</v>
      </c>
      <c r="N186">
        <v>159</v>
      </c>
      <c r="O186">
        <v>159</v>
      </c>
      <c r="P186">
        <v>159</v>
      </c>
      <c r="Q186">
        <v>1</v>
      </c>
      <c r="R186">
        <v>0</v>
      </c>
      <c r="S186">
        <v>0</v>
      </c>
      <c r="W186"/>
      <c r="X186"/>
      <c r="Y186"/>
    </row>
    <row r="187" spans="1:25" x14ac:dyDescent="0.3">
      <c r="A187" t="str">
        <f>Table_Capacity_HD_frontsheet[[#This Row],[Name]]&amp;B187</f>
        <v>Cornwall &amp; ScillyShort term domiciliary care (pathway 1)</v>
      </c>
      <c r="B187" t="str">
        <f>VLOOKUP(Table_Capacity_HD_frontsheet[[#This Row],[Service Area]],PathwayLookup!A:B,2,0)</f>
        <v>Short term domiciliary care (pathway 1)</v>
      </c>
      <c r="C187" t="s">
        <v>117</v>
      </c>
      <c r="D187" t="s">
        <v>730</v>
      </c>
      <c r="E187">
        <v>187</v>
      </c>
      <c r="F187">
        <v>206</v>
      </c>
      <c r="G187">
        <v>227</v>
      </c>
      <c r="H187">
        <v>273</v>
      </c>
      <c r="I187">
        <v>263</v>
      </c>
      <c r="J187">
        <v>269</v>
      </c>
      <c r="K187">
        <v>263</v>
      </c>
      <c r="L187">
        <v>273</v>
      </c>
      <c r="M187">
        <v>268</v>
      </c>
      <c r="N187">
        <v>279</v>
      </c>
      <c r="O187">
        <v>280</v>
      </c>
      <c r="P187">
        <v>284</v>
      </c>
      <c r="Q187">
        <v>1</v>
      </c>
      <c r="R187">
        <v>0</v>
      </c>
      <c r="S187">
        <v>0</v>
      </c>
      <c r="W187"/>
      <c r="X187"/>
      <c r="Y187"/>
    </row>
    <row r="188" spans="1:25" x14ac:dyDescent="0.3">
      <c r="A188" t="str">
        <f>Table_Capacity_HD_frontsheet[[#This Row],[Name]]&amp;B188</f>
        <v>Cornwall &amp; ScillyReablement &amp; Rehabilitation in a bedded setting (pathway 2)</v>
      </c>
      <c r="B188" t="str">
        <f>VLOOKUP(Table_Capacity_HD_frontsheet[[#This Row],[Service Area]],PathwayLookup!A:B,2,0)</f>
        <v>Reablement &amp; Rehabilitation in a bedded setting (pathway 2)</v>
      </c>
      <c r="C188" t="s">
        <v>117</v>
      </c>
      <c r="D188" t="s">
        <v>723</v>
      </c>
      <c r="E188">
        <v>27</v>
      </c>
      <c r="F188">
        <v>27</v>
      </c>
      <c r="G188">
        <v>27</v>
      </c>
      <c r="H188">
        <v>27</v>
      </c>
      <c r="I188">
        <v>27</v>
      </c>
      <c r="J188">
        <v>27</v>
      </c>
      <c r="K188">
        <v>27</v>
      </c>
      <c r="L188">
        <v>27</v>
      </c>
      <c r="M188">
        <v>27</v>
      </c>
      <c r="N188">
        <v>27</v>
      </c>
      <c r="O188">
        <v>27</v>
      </c>
      <c r="P188">
        <v>27</v>
      </c>
      <c r="Q188">
        <v>1</v>
      </c>
      <c r="R188">
        <v>0</v>
      </c>
      <c r="S188">
        <v>0</v>
      </c>
      <c r="W188"/>
      <c r="X188"/>
      <c r="Y188"/>
    </row>
    <row r="189" spans="1:25" x14ac:dyDescent="0.3">
      <c r="A189" t="str">
        <f>Table_Capacity_HD_frontsheet[[#This Row],[Name]]&amp;B189</f>
        <v>Cornwall &amp; ScillyReablement &amp; Rehabilitation in a bedded setting (pathway 2)</v>
      </c>
      <c r="B189" t="str">
        <f>VLOOKUP(Table_Capacity_HD_frontsheet[[#This Row],[Service Area]],PathwayLookup!A:B,2,0)</f>
        <v>Reablement &amp; Rehabilitation in a bedded setting (pathway 2)</v>
      </c>
      <c r="C189" t="s">
        <v>117</v>
      </c>
      <c r="D189" t="s">
        <v>725</v>
      </c>
      <c r="E189">
        <v>316</v>
      </c>
      <c r="F189">
        <v>316</v>
      </c>
      <c r="G189">
        <v>316</v>
      </c>
      <c r="H189">
        <v>316</v>
      </c>
      <c r="I189">
        <v>316</v>
      </c>
      <c r="J189">
        <v>316</v>
      </c>
      <c r="K189">
        <v>316</v>
      </c>
      <c r="L189">
        <v>316</v>
      </c>
      <c r="M189">
        <v>316</v>
      </c>
      <c r="N189">
        <v>316</v>
      </c>
      <c r="O189">
        <v>316</v>
      </c>
      <c r="P189">
        <v>316</v>
      </c>
      <c r="Q189">
        <v>1</v>
      </c>
      <c r="R189">
        <v>0</v>
      </c>
      <c r="S189">
        <v>0</v>
      </c>
      <c r="W189"/>
      <c r="X189"/>
      <c r="Y189"/>
    </row>
    <row r="190" spans="1:25" x14ac:dyDescent="0.3">
      <c r="A190" t="str">
        <f>Table_Capacity_HD_frontsheet[[#This Row],[Name]]&amp;B190</f>
        <v>Cornwall &amp; ScillyShort-term residential/nursing care for someone likely to require a longer-term care home placement (pathway 3)</v>
      </c>
      <c r="B190" t="str">
        <f>VLOOKUP(Table_Capacity_HD_frontsheet[[#This Row],[Service Area]],PathwayLookup!A:B,2,0)</f>
        <v>Short-term residential/nursing care for someone likely to require a longer-term care home placement (pathway 3)</v>
      </c>
      <c r="C190" t="s">
        <v>117</v>
      </c>
      <c r="D190" t="s">
        <v>731</v>
      </c>
      <c r="E190">
        <v>158</v>
      </c>
      <c r="F190">
        <v>158</v>
      </c>
      <c r="G190">
        <v>162</v>
      </c>
      <c r="H190">
        <v>168</v>
      </c>
      <c r="I190">
        <v>167</v>
      </c>
      <c r="J190">
        <v>160</v>
      </c>
      <c r="K190">
        <v>172</v>
      </c>
      <c r="L190">
        <v>176</v>
      </c>
      <c r="M190">
        <v>180</v>
      </c>
      <c r="N190">
        <v>165</v>
      </c>
      <c r="O190">
        <v>115</v>
      </c>
      <c r="P190">
        <v>122</v>
      </c>
      <c r="Q190">
        <v>0.33</v>
      </c>
      <c r="R190">
        <v>0.67</v>
      </c>
      <c r="S190">
        <v>0</v>
      </c>
      <c r="W190"/>
      <c r="X190"/>
      <c r="Y190"/>
    </row>
    <row r="191" spans="1:25" x14ac:dyDescent="0.3">
      <c r="A191" t="str">
        <f>Table_Capacity_HD_frontsheet[[#This Row],[Name]]&amp;B191</f>
        <v>County DurhamSocial support (including VCS) (pathway 0)</v>
      </c>
      <c r="B191" t="str">
        <f>VLOOKUP(Table_Capacity_HD_frontsheet[[#This Row],[Service Area]],PathwayLookup!A:B,2,0)</f>
        <v>Social support (including VCS) (pathway 0)</v>
      </c>
      <c r="C191" t="s">
        <v>119</v>
      </c>
      <c r="D191" t="s">
        <v>726</v>
      </c>
      <c r="E191">
        <v>34</v>
      </c>
      <c r="F191">
        <v>35</v>
      </c>
      <c r="G191">
        <v>34</v>
      </c>
      <c r="H191">
        <v>35</v>
      </c>
      <c r="I191">
        <v>35</v>
      </c>
      <c r="J191">
        <v>34</v>
      </c>
      <c r="K191">
        <v>39</v>
      </c>
      <c r="L191">
        <v>38</v>
      </c>
      <c r="M191">
        <v>40</v>
      </c>
      <c r="N191">
        <v>40</v>
      </c>
      <c r="O191">
        <v>32</v>
      </c>
      <c r="P191">
        <v>35</v>
      </c>
      <c r="Q191">
        <v>0</v>
      </c>
      <c r="R191">
        <v>1</v>
      </c>
      <c r="S191">
        <v>0</v>
      </c>
      <c r="W191"/>
      <c r="X191"/>
      <c r="Y191"/>
    </row>
    <row r="192" spans="1:25" x14ac:dyDescent="0.3">
      <c r="A192" t="str">
        <f>Table_Capacity_HD_frontsheet[[#This Row],[Name]]&amp;B192</f>
        <v>County DurhamReablement &amp; Rehabilitation at home  (pathway 1)</v>
      </c>
      <c r="B192" t="str">
        <f>VLOOKUP(Table_Capacity_HD_frontsheet[[#This Row],[Service Area]],PathwayLookup!A:B,2,0)</f>
        <v>Reablement &amp; Rehabilitation at home  (pathway 1)</v>
      </c>
      <c r="C192" t="s">
        <v>119</v>
      </c>
      <c r="D192" t="s">
        <v>728</v>
      </c>
      <c r="E192">
        <v>124</v>
      </c>
      <c r="F192">
        <v>128</v>
      </c>
      <c r="G192">
        <v>123</v>
      </c>
      <c r="H192">
        <v>128</v>
      </c>
      <c r="I192">
        <v>128</v>
      </c>
      <c r="J192">
        <v>123</v>
      </c>
      <c r="K192">
        <v>141</v>
      </c>
      <c r="L192">
        <v>135</v>
      </c>
      <c r="M192">
        <v>147</v>
      </c>
      <c r="N192">
        <v>147</v>
      </c>
      <c r="O192">
        <v>115</v>
      </c>
      <c r="P192">
        <v>128</v>
      </c>
      <c r="Q192">
        <v>0</v>
      </c>
      <c r="R192">
        <v>1</v>
      </c>
      <c r="S192">
        <v>0</v>
      </c>
      <c r="W192"/>
      <c r="X192"/>
      <c r="Y192"/>
    </row>
    <row r="193" spans="1:25" x14ac:dyDescent="0.3">
      <c r="A193" t="str">
        <f>Table_Capacity_HD_frontsheet[[#This Row],[Name]]&amp;B193</f>
        <v>County DurhamReablement &amp; Rehabilitation at home  (pathway 1)</v>
      </c>
      <c r="B193" t="str">
        <f>VLOOKUP(Table_Capacity_HD_frontsheet[[#This Row],[Service Area]],PathwayLookup!A:B,2,0)</f>
        <v>Reablement &amp; Rehabilitation at home  (pathway 1)</v>
      </c>
      <c r="C193" t="s">
        <v>119</v>
      </c>
      <c r="D193" t="s">
        <v>721</v>
      </c>
      <c r="Q193">
        <v>0</v>
      </c>
      <c r="R193">
        <v>0</v>
      </c>
      <c r="S193">
        <v>0</v>
      </c>
      <c r="W193"/>
      <c r="X193"/>
      <c r="Y193"/>
    </row>
    <row r="194" spans="1:25" x14ac:dyDescent="0.3">
      <c r="A194" t="str">
        <f>Table_Capacity_HD_frontsheet[[#This Row],[Name]]&amp;B194</f>
        <v>County DurhamShort term domiciliary care (pathway 1)</v>
      </c>
      <c r="B194" t="str">
        <f>VLOOKUP(Table_Capacity_HD_frontsheet[[#This Row],[Service Area]],PathwayLookup!A:B,2,0)</f>
        <v>Short term domiciliary care (pathway 1)</v>
      </c>
      <c r="C194" t="s">
        <v>119</v>
      </c>
      <c r="D194" t="s">
        <v>730</v>
      </c>
      <c r="E194">
        <v>151</v>
      </c>
      <c r="F194">
        <v>156</v>
      </c>
      <c r="G194">
        <v>151</v>
      </c>
      <c r="H194">
        <v>156</v>
      </c>
      <c r="I194">
        <v>156</v>
      </c>
      <c r="J194">
        <v>151</v>
      </c>
      <c r="K194">
        <v>172</v>
      </c>
      <c r="L194">
        <v>166</v>
      </c>
      <c r="M194">
        <v>179</v>
      </c>
      <c r="N194">
        <v>179</v>
      </c>
      <c r="O194">
        <v>141</v>
      </c>
      <c r="P194">
        <v>156</v>
      </c>
      <c r="Q194">
        <v>0</v>
      </c>
      <c r="R194">
        <v>1</v>
      </c>
      <c r="S194">
        <v>0</v>
      </c>
      <c r="W194"/>
      <c r="X194"/>
      <c r="Y194"/>
    </row>
    <row r="195" spans="1:25" x14ac:dyDescent="0.3">
      <c r="A195" t="str">
        <f>Table_Capacity_HD_frontsheet[[#This Row],[Name]]&amp;B195</f>
        <v>County DurhamReablement &amp; Rehabilitation in a bedded setting (pathway 2)</v>
      </c>
      <c r="B195" t="str">
        <f>VLOOKUP(Table_Capacity_HD_frontsheet[[#This Row],[Service Area]],PathwayLookup!A:B,2,0)</f>
        <v>Reablement &amp; Rehabilitation in a bedded setting (pathway 2)</v>
      </c>
      <c r="C195" t="s">
        <v>119</v>
      </c>
      <c r="D195" t="s">
        <v>723</v>
      </c>
      <c r="Q195">
        <v>0</v>
      </c>
      <c r="R195">
        <v>0</v>
      </c>
      <c r="S195">
        <v>0</v>
      </c>
      <c r="W195"/>
      <c r="X195"/>
      <c r="Y195"/>
    </row>
    <row r="196" spans="1:25" x14ac:dyDescent="0.3">
      <c r="A196" t="str">
        <f>Table_Capacity_HD_frontsheet[[#This Row],[Name]]&amp;B196</f>
        <v>County DurhamReablement &amp; Rehabilitation in a bedded setting (pathway 2)</v>
      </c>
      <c r="B196" t="str">
        <f>VLOOKUP(Table_Capacity_HD_frontsheet[[#This Row],[Service Area]],PathwayLookup!A:B,2,0)</f>
        <v>Reablement &amp; Rehabilitation in a bedded setting (pathway 2)</v>
      </c>
      <c r="C196" t="s">
        <v>119</v>
      </c>
      <c r="D196" t="s">
        <v>725</v>
      </c>
      <c r="E196">
        <v>178</v>
      </c>
      <c r="F196">
        <v>184</v>
      </c>
      <c r="G196">
        <v>178</v>
      </c>
      <c r="H196">
        <v>184</v>
      </c>
      <c r="I196">
        <v>184</v>
      </c>
      <c r="J196">
        <v>178</v>
      </c>
      <c r="K196">
        <v>202</v>
      </c>
      <c r="L196">
        <v>196</v>
      </c>
      <c r="M196">
        <v>212</v>
      </c>
      <c r="N196">
        <v>212</v>
      </c>
      <c r="O196">
        <v>167</v>
      </c>
      <c r="P196">
        <v>184</v>
      </c>
      <c r="Q196">
        <v>0</v>
      </c>
      <c r="R196">
        <v>1</v>
      </c>
      <c r="S196">
        <v>0</v>
      </c>
      <c r="W196"/>
      <c r="X196"/>
      <c r="Y196"/>
    </row>
    <row r="197" spans="1:25" x14ac:dyDescent="0.3">
      <c r="A197" t="str">
        <f>Table_Capacity_HD_frontsheet[[#This Row],[Name]]&amp;B197</f>
        <v>County DurhamShort-term residential/nursing care for someone likely to require a longer-term care home placement (pathway 3)</v>
      </c>
      <c r="B197" t="str">
        <f>VLOOKUP(Table_Capacity_HD_frontsheet[[#This Row],[Service Area]],PathwayLookup!A:B,2,0)</f>
        <v>Short-term residential/nursing care for someone likely to require a longer-term care home placement (pathway 3)</v>
      </c>
      <c r="C197" t="s">
        <v>119</v>
      </c>
      <c r="D197" t="s">
        <v>731</v>
      </c>
      <c r="E197">
        <v>9</v>
      </c>
      <c r="F197">
        <v>9</v>
      </c>
      <c r="G197">
        <v>9</v>
      </c>
      <c r="H197">
        <v>9</v>
      </c>
      <c r="I197">
        <v>9</v>
      </c>
      <c r="J197">
        <v>9</v>
      </c>
      <c r="K197">
        <v>10</v>
      </c>
      <c r="L197">
        <v>10</v>
      </c>
      <c r="M197">
        <v>11</v>
      </c>
      <c r="N197">
        <v>11</v>
      </c>
      <c r="O197">
        <v>8</v>
      </c>
      <c r="P197">
        <v>9</v>
      </c>
      <c r="Q197">
        <v>0</v>
      </c>
      <c r="R197">
        <v>1</v>
      </c>
      <c r="S197">
        <v>0</v>
      </c>
      <c r="W197"/>
      <c r="X197"/>
      <c r="Y197"/>
    </row>
    <row r="198" spans="1:25" x14ac:dyDescent="0.3">
      <c r="A198" t="str">
        <f>Table_Capacity_HD_frontsheet[[#This Row],[Name]]&amp;B198</f>
        <v>CoventrySocial support (including VCS) (pathway 0)</v>
      </c>
      <c r="B198" t="str">
        <f>VLOOKUP(Table_Capacity_HD_frontsheet[[#This Row],[Service Area]],PathwayLookup!A:B,2,0)</f>
        <v>Social support (including VCS) (pathway 0)</v>
      </c>
      <c r="C198" t="s">
        <v>121</v>
      </c>
      <c r="D198" t="s">
        <v>726</v>
      </c>
      <c r="W198"/>
      <c r="X198"/>
      <c r="Y198"/>
    </row>
    <row r="199" spans="1:25" x14ac:dyDescent="0.3">
      <c r="A199" t="str">
        <f>Table_Capacity_HD_frontsheet[[#This Row],[Name]]&amp;B199</f>
        <v>CoventryReablement &amp; Rehabilitation at home  (pathway 1)</v>
      </c>
      <c r="B199" t="str">
        <f>VLOOKUP(Table_Capacity_HD_frontsheet[[#This Row],[Service Area]],PathwayLookup!A:B,2,0)</f>
        <v>Reablement &amp; Rehabilitation at home  (pathway 1)</v>
      </c>
      <c r="C199" t="s">
        <v>121</v>
      </c>
      <c r="D199" t="s">
        <v>728</v>
      </c>
      <c r="E199">
        <v>205</v>
      </c>
      <c r="F199">
        <v>185</v>
      </c>
      <c r="G199">
        <v>202</v>
      </c>
      <c r="H199">
        <v>189</v>
      </c>
      <c r="I199">
        <v>200</v>
      </c>
      <c r="J199">
        <v>206</v>
      </c>
      <c r="K199">
        <v>195</v>
      </c>
      <c r="L199">
        <v>211</v>
      </c>
      <c r="M199">
        <v>188</v>
      </c>
      <c r="N199">
        <v>217</v>
      </c>
      <c r="O199">
        <v>200</v>
      </c>
      <c r="P199">
        <v>226</v>
      </c>
      <c r="S199">
        <v>1</v>
      </c>
      <c r="W199"/>
      <c r="X199"/>
      <c r="Y199"/>
    </row>
    <row r="200" spans="1:25" x14ac:dyDescent="0.3">
      <c r="A200" t="str">
        <f>Table_Capacity_HD_frontsheet[[#This Row],[Name]]&amp;B200</f>
        <v>CoventryReablement &amp; Rehabilitation at home  (pathway 1)</v>
      </c>
      <c r="B200" t="str">
        <f>VLOOKUP(Table_Capacity_HD_frontsheet[[#This Row],[Service Area]],PathwayLookup!A:B,2,0)</f>
        <v>Reablement &amp; Rehabilitation at home  (pathway 1)</v>
      </c>
      <c r="C200" t="s">
        <v>121</v>
      </c>
      <c r="D200" t="s">
        <v>721</v>
      </c>
      <c r="W200"/>
      <c r="X200"/>
      <c r="Y200"/>
    </row>
    <row r="201" spans="1:25" x14ac:dyDescent="0.3">
      <c r="A201" t="str">
        <f>Table_Capacity_HD_frontsheet[[#This Row],[Name]]&amp;B201</f>
        <v>CoventryShort term domiciliary care (pathway 1)</v>
      </c>
      <c r="B201" t="str">
        <f>VLOOKUP(Table_Capacity_HD_frontsheet[[#This Row],[Service Area]],PathwayLookup!A:B,2,0)</f>
        <v>Short term domiciliary care (pathway 1)</v>
      </c>
      <c r="C201" t="s">
        <v>121</v>
      </c>
      <c r="D201" t="s">
        <v>730</v>
      </c>
      <c r="W201"/>
      <c r="X201"/>
      <c r="Y201"/>
    </row>
    <row r="202" spans="1:25" x14ac:dyDescent="0.3">
      <c r="A202" t="str">
        <f>Table_Capacity_HD_frontsheet[[#This Row],[Name]]&amp;B202</f>
        <v>CoventryReablement &amp; Rehabilitation in a bedded setting (pathway 2)</v>
      </c>
      <c r="B202" t="str">
        <f>VLOOKUP(Table_Capacity_HD_frontsheet[[#This Row],[Service Area]],PathwayLookup!A:B,2,0)</f>
        <v>Reablement &amp; Rehabilitation in a bedded setting (pathway 2)</v>
      </c>
      <c r="C202" t="s">
        <v>121</v>
      </c>
      <c r="D202" t="s">
        <v>723</v>
      </c>
      <c r="E202">
        <v>102</v>
      </c>
      <c r="F202">
        <v>98</v>
      </c>
      <c r="G202">
        <v>88</v>
      </c>
      <c r="H202">
        <v>88</v>
      </c>
      <c r="I202">
        <v>88</v>
      </c>
      <c r="J202">
        <v>88</v>
      </c>
      <c r="K202">
        <v>88</v>
      </c>
      <c r="L202">
        <v>98</v>
      </c>
      <c r="M202">
        <v>98</v>
      </c>
      <c r="N202">
        <v>98</v>
      </c>
      <c r="O202">
        <v>98</v>
      </c>
      <c r="P202">
        <v>98</v>
      </c>
      <c r="Q202">
        <v>0.46</v>
      </c>
      <c r="R202">
        <v>0.54</v>
      </c>
      <c r="W202"/>
      <c r="X202"/>
      <c r="Y202"/>
    </row>
    <row r="203" spans="1:25" x14ac:dyDescent="0.3">
      <c r="A203" t="str">
        <f>Table_Capacity_HD_frontsheet[[#This Row],[Name]]&amp;B203</f>
        <v>CoventryReablement &amp; Rehabilitation in a bedded setting (pathway 2)</v>
      </c>
      <c r="B203" t="str">
        <f>VLOOKUP(Table_Capacity_HD_frontsheet[[#This Row],[Service Area]],PathwayLookup!A:B,2,0)</f>
        <v>Reablement &amp; Rehabilitation in a bedded setting (pathway 2)</v>
      </c>
      <c r="C203" t="s">
        <v>121</v>
      </c>
      <c r="D203" t="s">
        <v>725</v>
      </c>
      <c r="W203"/>
      <c r="X203"/>
      <c r="Y203"/>
    </row>
    <row r="204" spans="1:25" x14ac:dyDescent="0.3">
      <c r="A204" t="str">
        <f>Table_Capacity_HD_frontsheet[[#This Row],[Name]]&amp;B204</f>
        <v>CoventryShort-term residential/nursing care for someone likely to require a longer-term care home placement (pathway 3)</v>
      </c>
      <c r="B204" t="str">
        <f>VLOOKUP(Table_Capacity_HD_frontsheet[[#This Row],[Service Area]],PathwayLookup!A:B,2,0)</f>
        <v>Short-term residential/nursing care for someone likely to require a longer-term care home placement (pathway 3)</v>
      </c>
      <c r="C204" t="s">
        <v>121</v>
      </c>
      <c r="D204" t="s">
        <v>731</v>
      </c>
      <c r="W204"/>
      <c r="X204"/>
      <c r="Y204"/>
    </row>
    <row r="205" spans="1:25" x14ac:dyDescent="0.3">
      <c r="A205" t="str">
        <f>Table_Capacity_HD_frontsheet[[#This Row],[Name]]&amp;B205</f>
        <v>CroydonSocial support (including VCS) (pathway 0)</v>
      </c>
      <c r="B205" t="str">
        <f>VLOOKUP(Table_Capacity_HD_frontsheet[[#This Row],[Service Area]],PathwayLookup!A:B,2,0)</f>
        <v>Social support (including VCS) (pathway 0)</v>
      </c>
      <c r="C205" t="s">
        <v>123</v>
      </c>
      <c r="D205" t="s">
        <v>726</v>
      </c>
      <c r="E205">
        <v>50</v>
      </c>
      <c r="F205">
        <v>50</v>
      </c>
      <c r="G205">
        <v>50</v>
      </c>
      <c r="H205">
        <v>50</v>
      </c>
      <c r="I205">
        <v>50</v>
      </c>
      <c r="J205">
        <v>50</v>
      </c>
      <c r="K205">
        <v>50</v>
      </c>
      <c r="L205">
        <v>50</v>
      </c>
      <c r="M205">
        <v>50</v>
      </c>
      <c r="N205">
        <v>50</v>
      </c>
      <c r="O205">
        <v>50</v>
      </c>
      <c r="P205">
        <v>50</v>
      </c>
      <c r="Q205">
        <v>1</v>
      </c>
      <c r="W205"/>
      <c r="X205"/>
      <c r="Y205"/>
    </row>
    <row r="206" spans="1:25" x14ac:dyDescent="0.3">
      <c r="A206" t="str">
        <f>Table_Capacity_HD_frontsheet[[#This Row],[Name]]&amp;B206</f>
        <v>CroydonReablement &amp; Rehabilitation at home  (pathway 1)</v>
      </c>
      <c r="B206" t="str">
        <f>VLOOKUP(Table_Capacity_HD_frontsheet[[#This Row],[Service Area]],PathwayLookup!A:B,2,0)</f>
        <v>Reablement &amp; Rehabilitation at home  (pathway 1)</v>
      </c>
      <c r="C206" t="s">
        <v>123</v>
      </c>
      <c r="D206" t="s">
        <v>728</v>
      </c>
      <c r="E206">
        <v>312</v>
      </c>
      <c r="F206">
        <v>312</v>
      </c>
      <c r="G206">
        <v>312</v>
      </c>
      <c r="H206">
        <v>312</v>
      </c>
      <c r="I206">
        <v>312</v>
      </c>
      <c r="J206">
        <v>312</v>
      </c>
      <c r="K206">
        <v>550</v>
      </c>
      <c r="L206">
        <v>550</v>
      </c>
      <c r="M206">
        <v>550</v>
      </c>
      <c r="N206">
        <v>550</v>
      </c>
      <c r="O206">
        <v>550</v>
      </c>
      <c r="P206">
        <v>550</v>
      </c>
      <c r="S206">
        <v>1</v>
      </c>
      <c r="W206"/>
      <c r="X206"/>
      <c r="Y206"/>
    </row>
    <row r="207" spans="1:25" x14ac:dyDescent="0.3">
      <c r="A207" t="str">
        <f>Table_Capacity_HD_frontsheet[[#This Row],[Name]]&amp;B207</f>
        <v>CroydonReablement &amp; Rehabilitation at home  (pathway 1)</v>
      </c>
      <c r="B207" t="str">
        <f>VLOOKUP(Table_Capacity_HD_frontsheet[[#This Row],[Service Area]],PathwayLookup!A:B,2,0)</f>
        <v>Reablement &amp; Rehabilitation at home  (pathway 1)</v>
      </c>
      <c r="C207" t="s">
        <v>123</v>
      </c>
      <c r="D207" t="s">
        <v>721</v>
      </c>
      <c r="E207">
        <v>14</v>
      </c>
      <c r="F207">
        <v>15</v>
      </c>
      <c r="G207">
        <v>14</v>
      </c>
      <c r="H207">
        <v>15</v>
      </c>
      <c r="I207">
        <v>15</v>
      </c>
      <c r="J207">
        <v>14</v>
      </c>
      <c r="K207">
        <v>37</v>
      </c>
      <c r="L207">
        <v>39</v>
      </c>
      <c r="M207">
        <v>39</v>
      </c>
      <c r="N207">
        <v>46</v>
      </c>
      <c r="O207">
        <v>40</v>
      </c>
      <c r="P207">
        <v>59</v>
      </c>
      <c r="S207">
        <v>1</v>
      </c>
      <c r="W207"/>
      <c r="X207"/>
      <c r="Y207"/>
    </row>
    <row r="208" spans="1:25" x14ac:dyDescent="0.3">
      <c r="A208" t="str">
        <f>Table_Capacity_HD_frontsheet[[#This Row],[Name]]&amp;B208</f>
        <v>CroydonShort term domiciliary care (pathway 1)</v>
      </c>
      <c r="B208" t="str">
        <f>VLOOKUP(Table_Capacity_HD_frontsheet[[#This Row],[Service Area]],PathwayLookup!A:B,2,0)</f>
        <v>Short term domiciliary care (pathway 1)</v>
      </c>
      <c r="C208" t="s">
        <v>123</v>
      </c>
      <c r="D208" t="s">
        <v>730</v>
      </c>
      <c r="E208">
        <v>0</v>
      </c>
      <c r="F208">
        <v>0</v>
      </c>
      <c r="G208">
        <v>0</v>
      </c>
      <c r="H208">
        <v>0</v>
      </c>
      <c r="I208">
        <v>0</v>
      </c>
      <c r="J208">
        <v>0</v>
      </c>
      <c r="K208">
        <v>0</v>
      </c>
      <c r="L208">
        <v>0</v>
      </c>
      <c r="M208">
        <v>0</v>
      </c>
      <c r="N208">
        <v>0</v>
      </c>
      <c r="O208">
        <v>0</v>
      </c>
      <c r="P208">
        <v>0</v>
      </c>
      <c r="W208"/>
      <c r="X208"/>
      <c r="Y208"/>
    </row>
    <row r="209" spans="1:25" x14ac:dyDescent="0.3">
      <c r="A209" t="str">
        <f>Table_Capacity_HD_frontsheet[[#This Row],[Name]]&amp;B209</f>
        <v>CroydonReablement &amp; Rehabilitation in a bedded setting (pathway 2)</v>
      </c>
      <c r="B209" t="str">
        <f>VLOOKUP(Table_Capacity_HD_frontsheet[[#This Row],[Service Area]],PathwayLookup!A:B,2,0)</f>
        <v>Reablement &amp; Rehabilitation in a bedded setting (pathway 2)</v>
      </c>
      <c r="C209" t="s">
        <v>123</v>
      </c>
      <c r="D209" t="s">
        <v>723</v>
      </c>
      <c r="E209">
        <v>104</v>
      </c>
      <c r="F209">
        <v>104</v>
      </c>
      <c r="G209">
        <v>104</v>
      </c>
      <c r="H209">
        <v>104</v>
      </c>
      <c r="I209">
        <v>104</v>
      </c>
      <c r="J209">
        <v>104</v>
      </c>
      <c r="K209">
        <v>104</v>
      </c>
      <c r="L209">
        <v>104</v>
      </c>
      <c r="M209">
        <v>104</v>
      </c>
      <c r="N209">
        <v>106</v>
      </c>
      <c r="O209">
        <v>106</v>
      </c>
      <c r="P209">
        <v>106</v>
      </c>
      <c r="R209">
        <v>1</v>
      </c>
      <c r="W209"/>
      <c r="X209"/>
      <c r="Y209"/>
    </row>
    <row r="210" spans="1:25" x14ac:dyDescent="0.3">
      <c r="A210" t="str">
        <f>Table_Capacity_HD_frontsheet[[#This Row],[Name]]&amp;B210</f>
        <v>CroydonReablement &amp; Rehabilitation in a bedded setting (pathway 2)</v>
      </c>
      <c r="B210" t="str">
        <f>VLOOKUP(Table_Capacity_HD_frontsheet[[#This Row],[Service Area]],PathwayLookup!A:B,2,0)</f>
        <v>Reablement &amp; Rehabilitation in a bedded setting (pathway 2)</v>
      </c>
      <c r="C210" t="s">
        <v>123</v>
      </c>
      <c r="D210" t="s">
        <v>725</v>
      </c>
      <c r="E210">
        <v>18</v>
      </c>
      <c r="F210">
        <v>19</v>
      </c>
      <c r="G210">
        <v>18</v>
      </c>
      <c r="H210">
        <v>19</v>
      </c>
      <c r="I210">
        <v>19</v>
      </c>
      <c r="J210">
        <v>18</v>
      </c>
      <c r="K210">
        <v>19</v>
      </c>
      <c r="L210">
        <v>18</v>
      </c>
      <c r="M210">
        <v>19</v>
      </c>
      <c r="N210">
        <v>19</v>
      </c>
      <c r="O210">
        <v>17</v>
      </c>
      <c r="P210">
        <v>19</v>
      </c>
      <c r="Q210">
        <v>1</v>
      </c>
      <c r="W210"/>
      <c r="X210"/>
      <c r="Y210"/>
    </row>
    <row r="211" spans="1:25" x14ac:dyDescent="0.3">
      <c r="A211" t="str">
        <f>Table_Capacity_HD_frontsheet[[#This Row],[Name]]&amp;B211</f>
        <v>CroydonShort-term residential/nursing care for someone likely to require a longer-term care home placement (pathway 3)</v>
      </c>
      <c r="B211" t="str">
        <f>VLOOKUP(Table_Capacity_HD_frontsheet[[#This Row],[Service Area]],PathwayLookup!A:B,2,0)</f>
        <v>Short-term residential/nursing care for someone likely to require a longer-term care home placement (pathway 3)</v>
      </c>
      <c r="C211" t="s">
        <v>123</v>
      </c>
      <c r="D211" t="s">
        <v>731</v>
      </c>
      <c r="E211">
        <v>0</v>
      </c>
      <c r="F211">
        <v>0</v>
      </c>
      <c r="G211">
        <v>0</v>
      </c>
      <c r="H211">
        <v>0</v>
      </c>
      <c r="I211">
        <v>0</v>
      </c>
      <c r="J211">
        <v>0</v>
      </c>
      <c r="K211">
        <v>0</v>
      </c>
      <c r="L211">
        <v>0</v>
      </c>
      <c r="M211">
        <v>0</v>
      </c>
      <c r="N211">
        <v>14</v>
      </c>
      <c r="O211">
        <v>13</v>
      </c>
      <c r="P211">
        <v>14</v>
      </c>
      <c r="S211">
        <v>1</v>
      </c>
      <c r="W211"/>
      <c r="X211"/>
      <c r="Y211"/>
    </row>
    <row r="212" spans="1:25" x14ac:dyDescent="0.3">
      <c r="A212" t="str">
        <f>Table_Capacity_HD_frontsheet[[#This Row],[Name]]&amp;B212</f>
        <v>CumberlandSocial support (including VCS) (pathway 0)</v>
      </c>
      <c r="B212" t="str">
        <f>VLOOKUP(Table_Capacity_HD_frontsheet[[#This Row],[Service Area]],PathwayLookup!A:B,2,0)</f>
        <v>Social support (including VCS) (pathway 0)</v>
      </c>
      <c r="C212" t="s">
        <v>125</v>
      </c>
      <c r="D212" t="s">
        <v>726</v>
      </c>
      <c r="E212">
        <v>188</v>
      </c>
      <c r="F212">
        <v>171</v>
      </c>
      <c r="G212">
        <v>156</v>
      </c>
      <c r="H212">
        <v>165</v>
      </c>
      <c r="I212">
        <v>145</v>
      </c>
      <c r="J212">
        <v>148</v>
      </c>
      <c r="K212">
        <v>156</v>
      </c>
      <c r="L212">
        <v>161</v>
      </c>
      <c r="M212">
        <v>163</v>
      </c>
      <c r="N212">
        <v>158</v>
      </c>
      <c r="O212">
        <v>150</v>
      </c>
      <c r="P212">
        <v>154</v>
      </c>
      <c r="Q212">
        <v>0.9</v>
      </c>
      <c r="R212">
        <v>0.1</v>
      </c>
      <c r="W212"/>
      <c r="X212"/>
      <c r="Y212"/>
    </row>
    <row r="213" spans="1:25" x14ac:dyDescent="0.3">
      <c r="A213" t="str">
        <f>Table_Capacity_HD_frontsheet[[#This Row],[Name]]&amp;B213</f>
        <v>CumberlandReablement &amp; Rehabilitation at home  (pathway 1)</v>
      </c>
      <c r="B213" t="str">
        <f>VLOOKUP(Table_Capacity_HD_frontsheet[[#This Row],[Service Area]],PathwayLookup!A:B,2,0)</f>
        <v>Reablement &amp; Rehabilitation at home  (pathway 1)</v>
      </c>
      <c r="C213" t="s">
        <v>125</v>
      </c>
      <c r="D213" t="s">
        <v>728</v>
      </c>
      <c r="E213">
        <v>141</v>
      </c>
      <c r="F213">
        <v>126</v>
      </c>
      <c r="G213">
        <v>115</v>
      </c>
      <c r="H213">
        <v>120</v>
      </c>
      <c r="I213">
        <v>106</v>
      </c>
      <c r="J213">
        <v>109</v>
      </c>
      <c r="K213">
        <v>115</v>
      </c>
      <c r="L213">
        <v>118</v>
      </c>
      <c r="M213">
        <v>120</v>
      </c>
      <c r="N213">
        <v>117</v>
      </c>
      <c r="O213">
        <v>111</v>
      </c>
      <c r="P213">
        <v>112</v>
      </c>
      <c r="R213">
        <v>1</v>
      </c>
      <c r="W213"/>
      <c r="X213"/>
      <c r="Y213"/>
    </row>
    <row r="214" spans="1:25" x14ac:dyDescent="0.3">
      <c r="A214" t="str">
        <f>Table_Capacity_HD_frontsheet[[#This Row],[Name]]&amp;B214</f>
        <v>CumberlandReablement &amp; Rehabilitation at home  (pathway 1)</v>
      </c>
      <c r="B214" t="str">
        <f>VLOOKUP(Table_Capacity_HD_frontsheet[[#This Row],[Service Area]],PathwayLookup!A:B,2,0)</f>
        <v>Reablement &amp; Rehabilitation at home  (pathway 1)</v>
      </c>
      <c r="C214" t="s">
        <v>125</v>
      </c>
      <c r="D214" t="s">
        <v>721</v>
      </c>
      <c r="E214">
        <v>124</v>
      </c>
      <c r="F214">
        <v>113</v>
      </c>
      <c r="G214">
        <v>102</v>
      </c>
      <c r="H214">
        <v>106</v>
      </c>
      <c r="I214">
        <v>95</v>
      </c>
      <c r="J214">
        <v>98</v>
      </c>
      <c r="K214">
        <v>104</v>
      </c>
      <c r="L214">
        <v>107</v>
      </c>
      <c r="M214">
        <v>106</v>
      </c>
      <c r="N214">
        <v>105</v>
      </c>
      <c r="O214">
        <v>101</v>
      </c>
      <c r="P214">
        <v>101</v>
      </c>
      <c r="Q214">
        <v>1</v>
      </c>
      <c r="W214"/>
      <c r="X214"/>
      <c r="Y214"/>
    </row>
    <row r="215" spans="1:25" x14ac:dyDescent="0.3">
      <c r="A215" t="str">
        <f>Table_Capacity_HD_frontsheet[[#This Row],[Name]]&amp;B215</f>
        <v>CumberlandShort term domiciliary care (pathway 1)</v>
      </c>
      <c r="B215" t="str">
        <f>VLOOKUP(Table_Capacity_HD_frontsheet[[#This Row],[Service Area]],PathwayLookup!A:B,2,0)</f>
        <v>Short term domiciliary care (pathway 1)</v>
      </c>
      <c r="C215" t="s">
        <v>125</v>
      </c>
      <c r="D215" t="s">
        <v>730</v>
      </c>
      <c r="E215">
        <v>0</v>
      </c>
      <c r="F215">
        <v>0</v>
      </c>
      <c r="G215">
        <v>0</v>
      </c>
      <c r="H215">
        <v>0</v>
      </c>
      <c r="I215">
        <v>0</v>
      </c>
      <c r="J215">
        <v>0</v>
      </c>
      <c r="K215">
        <v>0</v>
      </c>
      <c r="L215">
        <v>0</v>
      </c>
      <c r="M215">
        <v>0</v>
      </c>
      <c r="N215">
        <v>0</v>
      </c>
      <c r="O215">
        <v>0</v>
      </c>
      <c r="P215">
        <v>0</v>
      </c>
      <c r="W215"/>
      <c r="X215"/>
      <c r="Y215"/>
    </row>
    <row r="216" spans="1:25" x14ac:dyDescent="0.3">
      <c r="A216" t="str">
        <f>Table_Capacity_HD_frontsheet[[#This Row],[Name]]&amp;B216</f>
        <v>CumberlandReablement &amp; Rehabilitation in a bedded setting (pathway 2)</v>
      </c>
      <c r="B216" t="str">
        <f>VLOOKUP(Table_Capacity_HD_frontsheet[[#This Row],[Service Area]],PathwayLookup!A:B,2,0)</f>
        <v>Reablement &amp; Rehabilitation in a bedded setting (pathway 2)</v>
      </c>
      <c r="C216" t="s">
        <v>125</v>
      </c>
      <c r="D216" t="s">
        <v>723</v>
      </c>
      <c r="E216">
        <v>0</v>
      </c>
      <c r="F216">
        <v>0</v>
      </c>
      <c r="G216">
        <v>0</v>
      </c>
      <c r="H216">
        <v>0</v>
      </c>
      <c r="I216">
        <v>0</v>
      </c>
      <c r="J216">
        <v>0</v>
      </c>
      <c r="K216">
        <v>0</v>
      </c>
      <c r="L216">
        <v>0</v>
      </c>
      <c r="M216">
        <v>0</v>
      </c>
      <c r="N216">
        <v>0</v>
      </c>
      <c r="O216">
        <v>0</v>
      </c>
      <c r="P216">
        <v>0</v>
      </c>
      <c r="W216"/>
      <c r="X216"/>
      <c r="Y216"/>
    </row>
    <row r="217" spans="1:25" x14ac:dyDescent="0.3">
      <c r="A217" t="str">
        <f>Table_Capacity_HD_frontsheet[[#This Row],[Name]]&amp;B217</f>
        <v>CumberlandReablement &amp; Rehabilitation in a bedded setting (pathway 2)</v>
      </c>
      <c r="B217" t="str">
        <f>VLOOKUP(Table_Capacity_HD_frontsheet[[#This Row],[Service Area]],PathwayLookup!A:B,2,0)</f>
        <v>Reablement &amp; Rehabilitation in a bedded setting (pathway 2)</v>
      </c>
      <c r="C217" t="s">
        <v>125</v>
      </c>
      <c r="D217" t="s">
        <v>725</v>
      </c>
      <c r="E217">
        <v>99</v>
      </c>
      <c r="F217">
        <v>88</v>
      </c>
      <c r="G217">
        <v>81</v>
      </c>
      <c r="H217">
        <v>84</v>
      </c>
      <c r="I217">
        <v>74</v>
      </c>
      <c r="J217">
        <v>77</v>
      </c>
      <c r="K217">
        <v>81</v>
      </c>
      <c r="L217">
        <v>83</v>
      </c>
      <c r="M217">
        <v>84</v>
      </c>
      <c r="N217">
        <v>82</v>
      </c>
      <c r="O217">
        <v>78</v>
      </c>
      <c r="P217">
        <v>79</v>
      </c>
      <c r="S217">
        <v>1</v>
      </c>
      <c r="W217"/>
      <c r="X217"/>
      <c r="Y217"/>
    </row>
    <row r="218" spans="1:25" x14ac:dyDescent="0.3">
      <c r="A218" t="str">
        <f>Table_Capacity_HD_frontsheet[[#This Row],[Name]]&amp;B218</f>
        <v>CumberlandShort-term residential/nursing care for someone likely to require a longer-term care home placement (pathway 3)</v>
      </c>
      <c r="B218" t="str">
        <f>VLOOKUP(Table_Capacity_HD_frontsheet[[#This Row],[Service Area]],PathwayLookup!A:B,2,0)</f>
        <v>Short-term residential/nursing care for someone likely to require a longer-term care home placement (pathway 3)</v>
      </c>
      <c r="C218" t="s">
        <v>125</v>
      </c>
      <c r="D218" t="s">
        <v>731</v>
      </c>
      <c r="E218">
        <v>111</v>
      </c>
      <c r="F218">
        <v>100</v>
      </c>
      <c r="G218">
        <v>91</v>
      </c>
      <c r="H218">
        <v>95</v>
      </c>
      <c r="I218">
        <v>84</v>
      </c>
      <c r="J218">
        <v>87</v>
      </c>
      <c r="K218">
        <v>92</v>
      </c>
      <c r="L218">
        <v>93</v>
      </c>
      <c r="M218">
        <v>95</v>
      </c>
      <c r="N218">
        <v>93</v>
      </c>
      <c r="O218">
        <v>88</v>
      </c>
      <c r="P218">
        <v>88</v>
      </c>
      <c r="Q218">
        <v>0.1</v>
      </c>
      <c r="R218">
        <v>0.9</v>
      </c>
      <c r="W218"/>
      <c r="X218"/>
      <c r="Y218"/>
    </row>
    <row r="219" spans="1:25" x14ac:dyDescent="0.3">
      <c r="A219" t="str">
        <f>Table_Capacity_HD_frontsheet[[#This Row],[Name]]&amp;B219</f>
        <v>DarlingtonSocial support (including VCS) (pathway 0)</v>
      </c>
      <c r="B219" t="str">
        <f>VLOOKUP(Table_Capacity_HD_frontsheet[[#This Row],[Service Area]],PathwayLookup!A:B,2,0)</f>
        <v>Social support (including VCS) (pathway 0)</v>
      </c>
      <c r="C219" t="s">
        <v>127</v>
      </c>
      <c r="D219" t="s">
        <v>726</v>
      </c>
      <c r="E219">
        <v>0</v>
      </c>
      <c r="F219">
        <v>0</v>
      </c>
      <c r="G219">
        <v>0</v>
      </c>
      <c r="H219">
        <v>0</v>
      </c>
      <c r="I219">
        <v>0</v>
      </c>
      <c r="J219">
        <v>0</v>
      </c>
      <c r="K219">
        <v>0</v>
      </c>
      <c r="L219">
        <v>0</v>
      </c>
      <c r="M219">
        <v>0</v>
      </c>
      <c r="N219">
        <v>0</v>
      </c>
      <c r="O219">
        <v>0</v>
      </c>
      <c r="P219">
        <v>0</v>
      </c>
      <c r="W219"/>
      <c r="X219"/>
      <c r="Y219"/>
    </row>
    <row r="220" spans="1:25" x14ac:dyDescent="0.3">
      <c r="A220" t="str">
        <f>Table_Capacity_HD_frontsheet[[#This Row],[Name]]&amp;B220</f>
        <v>DarlingtonReablement &amp; Rehabilitation at home  (pathway 1)</v>
      </c>
      <c r="B220" t="str">
        <f>VLOOKUP(Table_Capacity_HD_frontsheet[[#This Row],[Service Area]],PathwayLookup!A:B,2,0)</f>
        <v>Reablement &amp; Rehabilitation at home  (pathway 1)</v>
      </c>
      <c r="C220" t="s">
        <v>127</v>
      </c>
      <c r="D220" t="s">
        <v>728</v>
      </c>
      <c r="E220">
        <v>42</v>
      </c>
      <c r="F220">
        <v>42</v>
      </c>
      <c r="G220">
        <v>42</v>
      </c>
      <c r="H220">
        <v>42</v>
      </c>
      <c r="I220">
        <v>42</v>
      </c>
      <c r="J220">
        <v>42</v>
      </c>
      <c r="K220">
        <v>42</v>
      </c>
      <c r="L220">
        <v>42</v>
      </c>
      <c r="M220">
        <v>42</v>
      </c>
      <c r="N220">
        <v>42</v>
      </c>
      <c r="O220">
        <v>42</v>
      </c>
      <c r="P220">
        <v>42</v>
      </c>
      <c r="W220"/>
      <c r="X220"/>
      <c r="Y220"/>
    </row>
    <row r="221" spans="1:25" x14ac:dyDescent="0.3">
      <c r="A221" t="str">
        <f>Table_Capacity_HD_frontsheet[[#This Row],[Name]]&amp;B221</f>
        <v>DarlingtonReablement &amp; Rehabilitation at home  (pathway 1)</v>
      </c>
      <c r="B221" t="str">
        <f>VLOOKUP(Table_Capacity_HD_frontsheet[[#This Row],[Service Area]],PathwayLookup!A:B,2,0)</f>
        <v>Reablement &amp; Rehabilitation at home  (pathway 1)</v>
      </c>
      <c r="C221" t="s">
        <v>127</v>
      </c>
      <c r="D221" t="s">
        <v>721</v>
      </c>
      <c r="E221">
        <v>23</v>
      </c>
      <c r="F221">
        <v>23</v>
      </c>
      <c r="G221">
        <v>23</v>
      </c>
      <c r="H221">
        <v>23</v>
      </c>
      <c r="I221">
        <v>23</v>
      </c>
      <c r="J221">
        <v>23</v>
      </c>
      <c r="K221">
        <v>23</v>
      </c>
      <c r="L221">
        <v>23</v>
      </c>
      <c r="M221">
        <v>23</v>
      </c>
      <c r="N221">
        <v>23</v>
      </c>
      <c r="O221">
        <v>23</v>
      </c>
      <c r="P221">
        <v>23</v>
      </c>
      <c r="W221"/>
      <c r="X221"/>
      <c r="Y221"/>
    </row>
    <row r="222" spans="1:25" x14ac:dyDescent="0.3">
      <c r="A222" t="str">
        <f>Table_Capacity_HD_frontsheet[[#This Row],[Name]]&amp;B222</f>
        <v>DarlingtonShort term domiciliary care (pathway 1)</v>
      </c>
      <c r="B222" t="str">
        <f>VLOOKUP(Table_Capacity_HD_frontsheet[[#This Row],[Service Area]],PathwayLookup!A:B,2,0)</f>
        <v>Short term domiciliary care (pathway 1)</v>
      </c>
      <c r="C222" t="s">
        <v>127</v>
      </c>
      <c r="D222" t="s">
        <v>730</v>
      </c>
      <c r="E222">
        <v>0</v>
      </c>
      <c r="F222">
        <v>0</v>
      </c>
      <c r="G222">
        <v>0</v>
      </c>
      <c r="H222">
        <v>0</v>
      </c>
      <c r="I222">
        <v>0</v>
      </c>
      <c r="J222">
        <v>0</v>
      </c>
      <c r="K222">
        <v>0</v>
      </c>
      <c r="L222">
        <v>0</v>
      </c>
      <c r="M222">
        <v>0</v>
      </c>
      <c r="N222">
        <v>0</v>
      </c>
      <c r="O222">
        <v>0</v>
      </c>
      <c r="P222">
        <v>0</v>
      </c>
      <c r="W222"/>
      <c r="X222"/>
      <c r="Y222"/>
    </row>
    <row r="223" spans="1:25" x14ac:dyDescent="0.3">
      <c r="A223" t="str">
        <f>Table_Capacity_HD_frontsheet[[#This Row],[Name]]&amp;B223</f>
        <v>DarlingtonReablement &amp; Rehabilitation in a bedded setting (pathway 2)</v>
      </c>
      <c r="B223" t="str">
        <f>VLOOKUP(Table_Capacity_HD_frontsheet[[#This Row],[Service Area]],PathwayLookup!A:B,2,0)</f>
        <v>Reablement &amp; Rehabilitation in a bedded setting (pathway 2)</v>
      </c>
      <c r="C223" t="s">
        <v>127</v>
      </c>
      <c r="D223" t="s">
        <v>723</v>
      </c>
      <c r="E223">
        <v>26</v>
      </c>
      <c r="F223">
        <v>27</v>
      </c>
      <c r="G223">
        <v>26</v>
      </c>
      <c r="H223">
        <v>27</v>
      </c>
      <c r="I223">
        <v>27</v>
      </c>
      <c r="J223">
        <v>26</v>
      </c>
      <c r="K223">
        <v>27</v>
      </c>
      <c r="L223">
        <v>26</v>
      </c>
      <c r="M223">
        <v>27</v>
      </c>
      <c r="N223">
        <v>27</v>
      </c>
      <c r="O223">
        <v>26</v>
      </c>
      <c r="P223">
        <v>27</v>
      </c>
      <c r="W223"/>
      <c r="X223"/>
      <c r="Y223"/>
    </row>
    <row r="224" spans="1:25" x14ac:dyDescent="0.3">
      <c r="A224" t="str">
        <f>Table_Capacity_HD_frontsheet[[#This Row],[Name]]&amp;B224</f>
        <v>DarlingtonReablement &amp; Rehabilitation in a bedded setting (pathway 2)</v>
      </c>
      <c r="B224" t="str">
        <f>VLOOKUP(Table_Capacity_HD_frontsheet[[#This Row],[Service Area]],PathwayLookup!A:B,2,0)</f>
        <v>Reablement &amp; Rehabilitation in a bedded setting (pathway 2)</v>
      </c>
      <c r="C224" t="s">
        <v>127</v>
      </c>
      <c r="D224" t="s">
        <v>725</v>
      </c>
      <c r="E224">
        <v>0</v>
      </c>
      <c r="F224">
        <v>0</v>
      </c>
      <c r="G224">
        <v>0</v>
      </c>
      <c r="H224">
        <v>0</v>
      </c>
      <c r="I224">
        <v>0</v>
      </c>
      <c r="J224">
        <v>0</v>
      </c>
      <c r="K224">
        <v>0</v>
      </c>
      <c r="L224">
        <v>0</v>
      </c>
      <c r="M224">
        <v>0</v>
      </c>
      <c r="N224">
        <v>0</v>
      </c>
      <c r="O224">
        <v>0</v>
      </c>
      <c r="P224">
        <v>0</v>
      </c>
      <c r="W224"/>
      <c r="X224"/>
      <c r="Y224"/>
    </row>
    <row r="225" spans="1:25" x14ac:dyDescent="0.3">
      <c r="A225" t="str">
        <f>Table_Capacity_HD_frontsheet[[#This Row],[Name]]&amp;B225</f>
        <v>DarlingtonShort-term residential/nursing care for someone likely to require a longer-term care home placement (pathway 3)</v>
      </c>
      <c r="B225" t="str">
        <f>VLOOKUP(Table_Capacity_HD_frontsheet[[#This Row],[Service Area]],PathwayLookup!A:B,2,0)</f>
        <v>Short-term residential/nursing care for someone likely to require a longer-term care home placement (pathway 3)</v>
      </c>
      <c r="C225" t="s">
        <v>127</v>
      </c>
      <c r="D225" t="s">
        <v>731</v>
      </c>
      <c r="E225">
        <v>2</v>
      </c>
      <c r="F225">
        <v>2</v>
      </c>
      <c r="G225">
        <v>2</v>
      </c>
      <c r="H225">
        <v>2</v>
      </c>
      <c r="I225">
        <v>2</v>
      </c>
      <c r="J225">
        <v>2</v>
      </c>
      <c r="K225">
        <v>2</v>
      </c>
      <c r="L225">
        <v>2</v>
      </c>
      <c r="M225">
        <v>2</v>
      </c>
      <c r="N225">
        <v>2</v>
      </c>
      <c r="O225">
        <v>2</v>
      </c>
      <c r="P225">
        <v>2</v>
      </c>
      <c r="W225"/>
      <c r="X225"/>
      <c r="Y225"/>
    </row>
    <row r="226" spans="1:25" x14ac:dyDescent="0.3">
      <c r="A226" t="str">
        <f>Table_Capacity_HD_frontsheet[[#This Row],[Name]]&amp;B226</f>
        <v>DerbySocial support (including VCS) (pathway 0)</v>
      </c>
      <c r="B226" t="str">
        <f>VLOOKUP(Table_Capacity_HD_frontsheet[[#This Row],[Service Area]],PathwayLookup!A:B,2,0)</f>
        <v>Social support (including VCS) (pathway 0)</v>
      </c>
      <c r="C226" t="s">
        <v>129</v>
      </c>
      <c r="D226" t="s">
        <v>726</v>
      </c>
      <c r="E226">
        <v>65</v>
      </c>
      <c r="F226">
        <v>65</v>
      </c>
      <c r="G226">
        <v>65</v>
      </c>
      <c r="H226">
        <v>65</v>
      </c>
      <c r="I226">
        <v>65</v>
      </c>
      <c r="J226">
        <v>65</v>
      </c>
      <c r="K226">
        <v>65</v>
      </c>
      <c r="L226">
        <v>65</v>
      </c>
      <c r="M226">
        <v>65</v>
      </c>
      <c r="N226">
        <v>65</v>
      </c>
      <c r="O226">
        <v>65</v>
      </c>
      <c r="P226">
        <v>65</v>
      </c>
      <c r="W226"/>
      <c r="X226"/>
      <c r="Y226"/>
    </row>
    <row r="227" spans="1:25" x14ac:dyDescent="0.3">
      <c r="A227" t="str">
        <f>Table_Capacity_HD_frontsheet[[#This Row],[Name]]&amp;B227</f>
        <v>DerbyReablement &amp; Rehabilitation at home  (pathway 1)</v>
      </c>
      <c r="B227" t="str">
        <f>VLOOKUP(Table_Capacity_HD_frontsheet[[#This Row],[Service Area]],PathwayLookup!A:B,2,0)</f>
        <v>Reablement &amp; Rehabilitation at home  (pathway 1)</v>
      </c>
      <c r="C227" t="s">
        <v>129</v>
      </c>
      <c r="D227" t="s">
        <v>728</v>
      </c>
      <c r="E227">
        <v>65</v>
      </c>
      <c r="F227">
        <v>64</v>
      </c>
      <c r="G227">
        <v>64</v>
      </c>
      <c r="H227">
        <v>60</v>
      </c>
      <c r="I227">
        <v>64</v>
      </c>
      <c r="J227">
        <v>65</v>
      </c>
      <c r="K227">
        <v>82</v>
      </c>
      <c r="L227">
        <v>73</v>
      </c>
      <c r="M227">
        <v>74</v>
      </c>
      <c r="N227">
        <v>84</v>
      </c>
      <c r="O227">
        <v>94</v>
      </c>
      <c r="P227">
        <v>88</v>
      </c>
      <c r="W227"/>
      <c r="X227"/>
      <c r="Y227"/>
    </row>
    <row r="228" spans="1:25" x14ac:dyDescent="0.3">
      <c r="A228" t="str">
        <f>Table_Capacity_HD_frontsheet[[#This Row],[Name]]&amp;B228</f>
        <v>DerbyReablement &amp; Rehabilitation at home  (pathway 1)</v>
      </c>
      <c r="B228" t="str">
        <f>VLOOKUP(Table_Capacity_HD_frontsheet[[#This Row],[Service Area]],PathwayLookup!A:B,2,0)</f>
        <v>Reablement &amp; Rehabilitation at home  (pathway 1)</v>
      </c>
      <c r="C228" t="s">
        <v>129</v>
      </c>
      <c r="D228" t="s">
        <v>721</v>
      </c>
      <c r="E228">
        <v>24</v>
      </c>
      <c r="F228">
        <v>33</v>
      </c>
      <c r="G228">
        <v>30</v>
      </c>
      <c r="H228">
        <v>37</v>
      </c>
      <c r="I228">
        <v>36</v>
      </c>
      <c r="J228">
        <v>33</v>
      </c>
      <c r="K228">
        <v>38</v>
      </c>
      <c r="L228">
        <v>39</v>
      </c>
      <c r="M228">
        <v>37</v>
      </c>
      <c r="N228">
        <v>44</v>
      </c>
      <c r="O228">
        <v>35</v>
      </c>
      <c r="P228">
        <v>35</v>
      </c>
      <c r="W228"/>
      <c r="X228"/>
      <c r="Y228"/>
    </row>
    <row r="229" spans="1:25" x14ac:dyDescent="0.3">
      <c r="A229" t="str">
        <f>Table_Capacity_HD_frontsheet[[#This Row],[Name]]&amp;B229</f>
        <v>DerbyReablement &amp; Rehabilitation in a bedded setting (pathway 2)</v>
      </c>
      <c r="B229" t="str">
        <f>VLOOKUP(Table_Capacity_HD_frontsheet[[#This Row],[Service Area]],PathwayLookup!A:B,2,0)</f>
        <v>Reablement &amp; Rehabilitation in a bedded setting (pathway 2)</v>
      </c>
      <c r="C229" t="s">
        <v>129</v>
      </c>
      <c r="D229" t="s">
        <v>723</v>
      </c>
      <c r="E229">
        <v>25</v>
      </c>
      <c r="F229">
        <v>25</v>
      </c>
      <c r="G229">
        <v>25</v>
      </c>
      <c r="H229">
        <v>25</v>
      </c>
      <c r="I229">
        <v>25</v>
      </c>
      <c r="J229">
        <v>25</v>
      </c>
      <c r="K229">
        <v>25</v>
      </c>
      <c r="L229">
        <v>25</v>
      </c>
      <c r="M229">
        <v>25</v>
      </c>
      <c r="N229">
        <v>25</v>
      </c>
      <c r="O229">
        <v>25</v>
      </c>
      <c r="P229">
        <v>25</v>
      </c>
      <c r="W229"/>
      <c r="X229"/>
      <c r="Y229"/>
    </row>
    <row r="230" spans="1:25" x14ac:dyDescent="0.3">
      <c r="A230" t="str">
        <f>Table_Capacity_HD_frontsheet[[#This Row],[Name]]&amp;B230</f>
        <v>DerbyReablement &amp; Rehabilitation in a bedded setting (pathway 2)</v>
      </c>
      <c r="B230" t="str">
        <f>VLOOKUP(Table_Capacity_HD_frontsheet[[#This Row],[Service Area]],PathwayLookup!A:B,2,0)</f>
        <v>Reablement &amp; Rehabilitation in a bedded setting (pathway 2)</v>
      </c>
      <c r="C230" t="s">
        <v>129</v>
      </c>
      <c r="D230" t="s">
        <v>725</v>
      </c>
      <c r="E230">
        <v>24</v>
      </c>
      <c r="F230">
        <v>25</v>
      </c>
      <c r="G230">
        <v>24</v>
      </c>
      <c r="H230">
        <v>25</v>
      </c>
      <c r="I230">
        <v>25</v>
      </c>
      <c r="J230">
        <v>24</v>
      </c>
      <c r="K230">
        <v>25</v>
      </c>
      <c r="L230">
        <v>24</v>
      </c>
      <c r="M230">
        <v>25</v>
      </c>
      <c r="N230">
        <v>25</v>
      </c>
      <c r="O230">
        <v>23</v>
      </c>
      <c r="P230">
        <v>25</v>
      </c>
      <c r="W230"/>
      <c r="X230"/>
      <c r="Y230"/>
    </row>
    <row r="231" spans="1:25" x14ac:dyDescent="0.3">
      <c r="A231" t="str">
        <f>Table_Capacity_HD_frontsheet[[#This Row],[Name]]&amp;B231</f>
        <v>DerbyShort term domiciliary care (pathway 1)</v>
      </c>
      <c r="B231" t="str">
        <f>VLOOKUP(Table_Capacity_HD_frontsheet[[#This Row],[Service Area]],PathwayLookup!A:B,2,0)</f>
        <v>Short term domiciliary care (pathway 1)</v>
      </c>
      <c r="C231" t="s">
        <v>129</v>
      </c>
      <c r="D231" t="s">
        <v>730</v>
      </c>
      <c r="W231"/>
      <c r="X231"/>
      <c r="Y231"/>
    </row>
    <row r="232" spans="1:25" x14ac:dyDescent="0.3">
      <c r="A232" t="str">
        <f>Table_Capacity_HD_frontsheet[[#This Row],[Name]]&amp;B232</f>
        <v>DerbyShort-term residential/nursing care for someone likely to require a longer-term care home placement (pathway 3)</v>
      </c>
      <c r="B232" t="str">
        <f>VLOOKUP(Table_Capacity_HD_frontsheet[[#This Row],[Service Area]],PathwayLookup!A:B,2,0)</f>
        <v>Short-term residential/nursing care for someone likely to require a longer-term care home placement (pathway 3)</v>
      </c>
      <c r="C232" t="s">
        <v>129</v>
      </c>
      <c r="D232" t="s">
        <v>731</v>
      </c>
      <c r="E232">
        <v>16</v>
      </c>
      <c r="F232">
        <v>14</v>
      </c>
      <c r="G232">
        <v>15</v>
      </c>
      <c r="H232">
        <v>18</v>
      </c>
      <c r="I232">
        <v>14</v>
      </c>
      <c r="J232">
        <v>14</v>
      </c>
      <c r="K232">
        <v>17</v>
      </c>
      <c r="L232">
        <v>13</v>
      </c>
      <c r="M232">
        <v>14</v>
      </c>
      <c r="N232">
        <v>15</v>
      </c>
      <c r="O232">
        <v>14</v>
      </c>
      <c r="P232">
        <v>16</v>
      </c>
      <c r="W232"/>
      <c r="X232"/>
      <c r="Y232"/>
    </row>
    <row r="233" spans="1:25" x14ac:dyDescent="0.3">
      <c r="A233" t="str">
        <f>Table_Capacity_HD_frontsheet[[#This Row],[Name]]&amp;B233</f>
        <v>DerbyshireSocial support (including VCS) (pathway 0)</v>
      </c>
      <c r="B233" t="str">
        <f>VLOOKUP(Table_Capacity_HD_frontsheet[[#This Row],[Service Area]],PathwayLookup!A:B,2,0)</f>
        <v>Social support (including VCS) (pathway 0)</v>
      </c>
      <c r="C233" t="s">
        <v>131</v>
      </c>
      <c r="D233" t="s">
        <v>726</v>
      </c>
      <c r="E233">
        <v>96</v>
      </c>
      <c r="F233">
        <v>95</v>
      </c>
      <c r="G233">
        <v>96</v>
      </c>
      <c r="H233">
        <v>97</v>
      </c>
      <c r="I233">
        <v>96</v>
      </c>
      <c r="J233">
        <v>96</v>
      </c>
      <c r="K233">
        <v>97</v>
      </c>
      <c r="L233">
        <v>95</v>
      </c>
      <c r="M233">
        <v>97</v>
      </c>
      <c r="N233">
        <v>96</v>
      </c>
      <c r="O233">
        <v>95</v>
      </c>
      <c r="P233">
        <v>96</v>
      </c>
      <c r="Q233">
        <v>0.2</v>
      </c>
      <c r="R233">
        <v>0.8</v>
      </c>
      <c r="W233"/>
      <c r="X233"/>
      <c r="Y233"/>
    </row>
    <row r="234" spans="1:25" x14ac:dyDescent="0.3">
      <c r="A234" t="str">
        <f>Table_Capacity_HD_frontsheet[[#This Row],[Name]]&amp;B234</f>
        <v>DerbyshireReablement &amp; Rehabilitation at home  (pathway 1)</v>
      </c>
      <c r="B234" t="str">
        <f>VLOOKUP(Table_Capacity_HD_frontsheet[[#This Row],[Service Area]],PathwayLookup!A:B,2,0)</f>
        <v>Reablement &amp; Rehabilitation at home  (pathway 1)</v>
      </c>
      <c r="C234" t="s">
        <v>131</v>
      </c>
      <c r="D234" t="s">
        <v>728</v>
      </c>
      <c r="E234">
        <v>229</v>
      </c>
      <c r="F234">
        <v>232</v>
      </c>
      <c r="G234">
        <v>231</v>
      </c>
      <c r="H234">
        <v>231</v>
      </c>
      <c r="I234">
        <v>231</v>
      </c>
      <c r="J234">
        <v>231</v>
      </c>
      <c r="K234">
        <v>181</v>
      </c>
      <c r="L234">
        <v>181</v>
      </c>
      <c r="M234">
        <v>213</v>
      </c>
      <c r="N234">
        <v>231</v>
      </c>
      <c r="O234">
        <v>231</v>
      </c>
      <c r="P234">
        <v>231</v>
      </c>
      <c r="R234">
        <v>1</v>
      </c>
      <c r="W234"/>
      <c r="X234"/>
      <c r="Y234"/>
    </row>
    <row r="235" spans="1:25" x14ac:dyDescent="0.3">
      <c r="A235" t="str">
        <f>Table_Capacity_HD_frontsheet[[#This Row],[Name]]&amp;B235</f>
        <v>DerbyshireReablement &amp; Rehabilitation at home  (pathway 1)</v>
      </c>
      <c r="B235" t="str">
        <f>VLOOKUP(Table_Capacity_HD_frontsheet[[#This Row],[Service Area]],PathwayLookup!A:B,2,0)</f>
        <v>Reablement &amp; Rehabilitation at home  (pathway 1)</v>
      </c>
      <c r="C235" t="s">
        <v>131</v>
      </c>
      <c r="D235" t="s">
        <v>721</v>
      </c>
      <c r="E235">
        <v>162</v>
      </c>
      <c r="F235">
        <v>168</v>
      </c>
      <c r="G235">
        <v>157</v>
      </c>
      <c r="H235">
        <v>154</v>
      </c>
      <c r="I235">
        <v>156</v>
      </c>
      <c r="J235">
        <v>153</v>
      </c>
      <c r="K235">
        <v>154</v>
      </c>
      <c r="L235">
        <v>155</v>
      </c>
      <c r="M235">
        <v>167</v>
      </c>
      <c r="N235">
        <v>167</v>
      </c>
      <c r="O235">
        <v>150</v>
      </c>
      <c r="P235">
        <v>143</v>
      </c>
      <c r="Q235">
        <v>0.28000000000000003</v>
      </c>
      <c r="R235">
        <v>0.72</v>
      </c>
      <c r="W235"/>
      <c r="X235"/>
      <c r="Y235"/>
    </row>
    <row r="236" spans="1:25" x14ac:dyDescent="0.3">
      <c r="A236" t="str">
        <f>Table_Capacity_HD_frontsheet[[#This Row],[Name]]&amp;B236</f>
        <v>DerbyshireShort term domiciliary care (pathway 1)</v>
      </c>
      <c r="B236" t="str">
        <f>VLOOKUP(Table_Capacity_HD_frontsheet[[#This Row],[Service Area]],PathwayLookup!A:B,2,0)</f>
        <v>Short term domiciliary care (pathway 1)</v>
      </c>
      <c r="C236" t="s">
        <v>131</v>
      </c>
      <c r="D236" t="s">
        <v>730</v>
      </c>
      <c r="E236">
        <v>61</v>
      </c>
      <c r="F236">
        <v>61</v>
      </c>
      <c r="G236">
        <v>61</v>
      </c>
      <c r="H236">
        <v>61</v>
      </c>
      <c r="I236">
        <v>61</v>
      </c>
      <c r="J236">
        <v>61</v>
      </c>
      <c r="K236">
        <v>61</v>
      </c>
      <c r="L236">
        <v>61</v>
      </c>
      <c r="M236">
        <v>61</v>
      </c>
      <c r="N236">
        <v>61</v>
      </c>
      <c r="O236">
        <v>61</v>
      </c>
      <c r="P236">
        <v>61</v>
      </c>
      <c r="Q236">
        <v>1</v>
      </c>
      <c r="W236"/>
      <c r="X236"/>
      <c r="Y236"/>
    </row>
    <row r="237" spans="1:25" x14ac:dyDescent="0.3">
      <c r="A237" t="str">
        <f>Table_Capacity_HD_frontsheet[[#This Row],[Name]]&amp;B237</f>
        <v>DerbyshireReablement &amp; Rehabilitation in a bedded setting (pathway 2)</v>
      </c>
      <c r="B237" t="str">
        <f>VLOOKUP(Table_Capacity_HD_frontsheet[[#This Row],[Service Area]],PathwayLookup!A:B,2,0)</f>
        <v>Reablement &amp; Rehabilitation in a bedded setting (pathway 2)</v>
      </c>
      <c r="C237" t="s">
        <v>131</v>
      </c>
      <c r="D237" t="s">
        <v>723</v>
      </c>
      <c r="E237">
        <v>76</v>
      </c>
      <c r="F237">
        <v>79</v>
      </c>
      <c r="G237">
        <v>76</v>
      </c>
      <c r="H237">
        <v>79</v>
      </c>
      <c r="I237">
        <v>79</v>
      </c>
      <c r="J237">
        <v>76</v>
      </c>
      <c r="K237">
        <v>79</v>
      </c>
      <c r="L237">
        <v>76</v>
      </c>
      <c r="M237">
        <v>79</v>
      </c>
      <c r="N237">
        <v>79</v>
      </c>
      <c r="O237">
        <v>74</v>
      </c>
      <c r="P237">
        <v>79</v>
      </c>
      <c r="R237">
        <v>1</v>
      </c>
      <c r="W237"/>
      <c r="X237"/>
      <c r="Y237"/>
    </row>
    <row r="238" spans="1:25" x14ac:dyDescent="0.3">
      <c r="A238" t="str">
        <f>Table_Capacity_HD_frontsheet[[#This Row],[Name]]&amp;B238</f>
        <v>DerbyshireReablement &amp; Rehabilitation in a bedded setting (pathway 2)</v>
      </c>
      <c r="B238" t="str">
        <f>VLOOKUP(Table_Capacity_HD_frontsheet[[#This Row],[Service Area]],PathwayLookup!A:B,2,0)</f>
        <v>Reablement &amp; Rehabilitation in a bedded setting (pathway 2)</v>
      </c>
      <c r="C238" t="s">
        <v>131</v>
      </c>
      <c r="D238" t="s">
        <v>725</v>
      </c>
      <c r="W238"/>
      <c r="X238"/>
      <c r="Y238"/>
    </row>
    <row r="239" spans="1:25" x14ac:dyDescent="0.3">
      <c r="A239" t="str">
        <f>Table_Capacity_HD_frontsheet[[#This Row],[Name]]&amp;B239</f>
        <v>DerbyshireShort-term residential/nursing care for someone likely to require a longer-term care home placement (pathway 3)</v>
      </c>
      <c r="B239" t="str">
        <f>VLOOKUP(Table_Capacity_HD_frontsheet[[#This Row],[Service Area]],PathwayLookup!A:B,2,0)</f>
        <v>Short-term residential/nursing care for someone likely to require a longer-term care home placement (pathway 3)</v>
      </c>
      <c r="C239" t="s">
        <v>131</v>
      </c>
      <c r="D239" t="s">
        <v>731</v>
      </c>
      <c r="E239">
        <v>54</v>
      </c>
      <c r="F239">
        <v>46</v>
      </c>
      <c r="G239">
        <v>54</v>
      </c>
      <c r="H239">
        <v>60</v>
      </c>
      <c r="I239">
        <v>49</v>
      </c>
      <c r="J239">
        <v>50</v>
      </c>
      <c r="K239">
        <v>59</v>
      </c>
      <c r="L239">
        <v>49</v>
      </c>
      <c r="M239">
        <v>49</v>
      </c>
      <c r="N239">
        <v>54</v>
      </c>
      <c r="O239">
        <v>51</v>
      </c>
      <c r="P239">
        <v>54</v>
      </c>
      <c r="Q239">
        <v>0.1</v>
      </c>
      <c r="R239">
        <v>0.9</v>
      </c>
      <c r="W239"/>
      <c r="X239"/>
      <c r="Y239"/>
    </row>
    <row r="240" spans="1:25" x14ac:dyDescent="0.3">
      <c r="A240" t="str">
        <f>Table_Capacity_HD_frontsheet[[#This Row],[Name]]&amp;B240</f>
        <v>DevonSocial support (including VCS) (pathway 0)</v>
      </c>
      <c r="B240" t="str">
        <f>VLOOKUP(Table_Capacity_HD_frontsheet[[#This Row],[Service Area]],PathwayLookup!A:B,2,0)</f>
        <v>Social support (including VCS) (pathway 0)</v>
      </c>
      <c r="C240" t="s">
        <v>133</v>
      </c>
      <c r="D240" t="s">
        <v>726</v>
      </c>
      <c r="W240"/>
      <c r="X240"/>
      <c r="Y240"/>
    </row>
    <row r="241" spans="1:25" x14ac:dyDescent="0.3">
      <c r="A241" t="str">
        <f>Table_Capacity_HD_frontsheet[[#This Row],[Name]]&amp;B241</f>
        <v>DevonReablement &amp; Rehabilitation at home  (pathway 1)</v>
      </c>
      <c r="B241" t="str">
        <f>VLOOKUP(Table_Capacity_HD_frontsheet[[#This Row],[Service Area]],PathwayLookup!A:B,2,0)</f>
        <v>Reablement &amp; Rehabilitation at home  (pathway 1)</v>
      </c>
      <c r="C241" t="s">
        <v>133</v>
      </c>
      <c r="D241" t="s">
        <v>728</v>
      </c>
      <c r="W241"/>
      <c r="X241"/>
      <c r="Y241"/>
    </row>
    <row r="242" spans="1:25" x14ac:dyDescent="0.3">
      <c r="A242" t="str">
        <f>Table_Capacity_HD_frontsheet[[#This Row],[Name]]&amp;B242</f>
        <v>DevonReablement &amp; Rehabilitation at home  (pathway 1)</v>
      </c>
      <c r="B242" t="str">
        <f>VLOOKUP(Table_Capacity_HD_frontsheet[[#This Row],[Service Area]],PathwayLookup!A:B,2,0)</f>
        <v>Reablement &amp; Rehabilitation at home  (pathway 1)</v>
      </c>
      <c r="C242" t="s">
        <v>133</v>
      </c>
      <c r="D242" t="s">
        <v>721</v>
      </c>
      <c r="W242"/>
      <c r="X242"/>
      <c r="Y242"/>
    </row>
    <row r="243" spans="1:25" x14ac:dyDescent="0.3">
      <c r="A243" t="str">
        <f>Table_Capacity_HD_frontsheet[[#This Row],[Name]]&amp;B243</f>
        <v>DevonShort term domiciliary care (pathway 1)</v>
      </c>
      <c r="B243" t="str">
        <f>VLOOKUP(Table_Capacity_HD_frontsheet[[#This Row],[Service Area]],PathwayLookup!A:B,2,0)</f>
        <v>Short term domiciliary care (pathway 1)</v>
      </c>
      <c r="C243" t="s">
        <v>133</v>
      </c>
      <c r="D243" t="s">
        <v>730</v>
      </c>
      <c r="W243"/>
      <c r="X243"/>
      <c r="Y243"/>
    </row>
    <row r="244" spans="1:25" x14ac:dyDescent="0.3">
      <c r="A244" t="str">
        <f>Table_Capacity_HD_frontsheet[[#This Row],[Name]]&amp;B244</f>
        <v>DevonReablement &amp; Rehabilitation in a bedded setting (pathway 2)</v>
      </c>
      <c r="B244" t="str">
        <f>VLOOKUP(Table_Capacity_HD_frontsheet[[#This Row],[Service Area]],PathwayLookup!A:B,2,0)</f>
        <v>Reablement &amp; Rehabilitation in a bedded setting (pathway 2)</v>
      </c>
      <c r="C244" t="s">
        <v>133</v>
      </c>
      <c r="D244" t="s">
        <v>723</v>
      </c>
      <c r="E244">
        <v>170</v>
      </c>
      <c r="F244">
        <v>170</v>
      </c>
      <c r="G244">
        <v>170</v>
      </c>
      <c r="H244">
        <v>170</v>
      </c>
      <c r="I244">
        <v>170</v>
      </c>
      <c r="J244">
        <v>170</v>
      </c>
      <c r="K244">
        <v>170</v>
      </c>
      <c r="L244">
        <v>170</v>
      </c>
      <c r="M244">
        <v>170</v>
      </c>
      <c r="N244">
        <v>170</v>
      </c>
      <c r="O244">
        <v>170</v>
      </c>
      <c r="P244">
        <v>170</v>
      </c>
      <c r="W244"/>
      <c r="X244"/>
      <c r="Y244"/>
    </row>
    <row r="245" spans="1:25" x14ac:dyDescent="0.3">
      <c r="A245" t="str">
        <f>Table_Capacity_HD_frontsheet[[#This Row],[Name]]&amp;B245</f>
        <v>DevonReablement &amp; Rehabilitation in a bedded setting (pathway 2)</v>
      </c>
      <c r="B245" t="str">
        <f>VLOOKUP(Table_Capacity_HD_frontsheet[[#This Row],[Service Area]],PathwayLookup!A:B,2,0)</f>
        <v>Reablement &amp; Rehabilitation in a bedded setting (pathway 2)</v>
      </c>
      <c r="C245" t="s">
        <v>133</v>
      </c>
      <c r="D245" t="s">
        <v>725</v>
      </c>
      <c r="W245"/>
      <c r="X245"/>
      <c r="Y245"/>
    </row>
    <row r="246" spans="1:25" x14ac:dyDescent="0.3">
      <c r="A246" t="str">
        <f>Table_Capacity_HD_frontsheet[[#This Row],[Name]]&amp;B246</f>
        <v>DevonShort-term residential/nursing care for someone likely to require a longer-term care home placement (pathway 3)</v>
      </c>
      <c r="B246" t="str">
        <f>VLOOKUP(Table_Capacity_HD_frontsheet[[#This Row],[Service Area]],PathwayLookup!A:B,2,0)</f>
        <v>Short-term residential/nursing care for someone likely to require a longer-term care home placement (pathway 3)</v>
      </c>
      <c r="C246" t="s">
        <v>133</v>
      </c>
      <c r="D246" t="s">
        <v>731</v>
      </c>
      <c r="E246">
        <v>132</v>
      </c>
      <c r="F246">
        <v>132</v>
      </c>
      <c r="G246">
        <v>132</v>
      </c>
      <c r="H246">
        <v>132</v>
      </c>
      <c r="I246">
        <v>132</v>
      </c>
      <c r="J246">
        <v>132</v>
      </c>
      <c r="K246">
        <v>132</v>
      </c>
      <c r="L246">
        <v>132</v>
      </c>
      <c r="M246">
        <v>132</v>
      </c>
      <c r="N246">
        <v>132</v>
      </c>
      <c r="O246">
        <v>132</v>
      </c>
      <c r="P246">
        <v>132</v>
      </c>
      <c r="W246"/>
      <c r="X246"/>
      <c r="Y246"/>
    </row>
    <row r="247" spans="1:25" x14ac:dyDescent="0.3">
      <c r="A247" t="str">
        <f>Table_Capacity_HD_frontsheet[[#This Row],[Name]]&amp;B247</f>
        <v>DoncasterSocial support (including VCS) (pathway 0)</v>
      </c>
      <c r="B247" t="str">
        <f>VLOOKUP(Table_Capacity_HD_frontsheet[[#This Row],[Service Area]],PathwayLookup!A:B,2,0)</f>
        <v>Social support (including VCS) (pathway 0)</v>
      </c>
      <c r="C247" t="s">
        <v>135</v>
      </c>
      <c r="D247" t="s">
        <v>726</v>
      </c>
      <c r="E247">
        <v>34</v>
      </c>
      <c r="F247">
        <v>34</v>
      </c>
      <c r="G247">
        <v>34</v>
      </c>
      <c r="H247">
        <v>34</v>
      </c>
      <c r="I247">
        <v>34</v>
      </c>
      <c r="J247">
        <v>34</v>
      </c>
      <c r="K247">
        <v>34</v>
      </c>
      <c r="L247">
        <v>34</v>
      </c>
      <c r="M247">
        <v>34</v>
      </c>
      <c r="N247">
        <v>34</v>
      </c>
      <c r="O247">
        <v>34</v>
      </c>
      <c r="P247">
        <v>34</v>
      </c>
      <c r="R247">
        <v>1</v>
      </c>
      <c r="W247"/>
      <c r="X247"/>
      <c r="Y247"/>
    </row>
    <row r="248" spans="1:25" x14ac:dyDescent="0.3">
      <c r="A248" t="str">
        <f>Table_Capacity_HD_frontsheet[[#This Row],[Name]]&amp;B248</f>
        <v>DoncasterReablement &amp; Rehabilitation at home  (pathway 1)</v>
      </c>
      <c r="B248" t="str">
        <f>VLOOKUP(Table_Capacity_HD_frontsheet[[#This Row],[Service Area]],PathwayLookup!A:B,2,0)</f>
        <v>Reablement &amp; Rehabilitation at home  (pathway 1)</v>
      </c>
      <c r="C248" t="s">
        <v>135</v>
      </c>
      <c r="D248" t="s">
        <v>728</v>
      </c>
      <c r="E248">
        <v>150</v>
      </c>
      <c r="F248">
        <v>154</v>
      </c>
      <c r="G248">
        <v>144</v>
      </c>
      <c r="H248">
        <v>170</v>
      </c>
      <c r="I248">
        <v>170</v>
      </c>
      <c r="J248">
        <v>170</v>
      </c>
      <c r="K248">
        <v>170</v>
      </c>
      <c r="L248">
        <v>170</v>
      </c>
      <c r="M248">
        <v>170</v>
      </c>
      <c r="N248">
        <v>170</v>
      </c>
      <c r="O248">
        <v>170</v>
      </c>
      <c r="P248">
        <v>170</v>
      </c>
      <c r="R248">
        <v>1</v>
      </c>
      <c r="W248"/>
      <c r="X248"/>
      <c r="Y248"/>
    </row>
    <row r="249" spans="1:25" x14ac:dyDescent="0.3">
      <c r="A249" t="str">
        <f>Table_Capacity_HD_frontsheet[[#This Row],[Name]]&amp;B249</f>
        <v>DoncasterReablement &amp; Rehabilitation at home  (pathway 1)</v>
      </c>
      <c r="B249" t="str">
        <f>VLOOKUP(Table_Capacity_HD_frontsheet[[#This Row],[Service Area]],PathwayLookup!A:B,2,0)</f>
        <v>Reablement &amp; Rehabilitation at home  (pathway 1)</v>
      </c>
      <c r="C249" t="s">
        <v>135</v>
      </c>
      <c r="D249" t="s">
        <v>721</v>
      </c>
      <c r="E249">
        <v>20</v>
      </c>
      <c r="F249">
        <v>20</v>
      </c>
      <c r="G249">
        <v>20</v>
      </c>
      <c r="H249">
        <v>20</v>
      </c>
      <c r="I249">
        <v>20</v>
      </c>
      <c r="J249">
        <v>20</v>
      </c>
      <c r="K249">
        <v>20</v>
      </c>
      <c r="L249">
        <v>20</v>
      </c>
      <c r="M249">
        <v>20</v>
      </c>
      <c r="N249">
        <v>20</v>
      </c>
      <c r="O249">
        <v>20</v>
      </c>
      <c r="P249">
        <v>20</v>
      </c>
      <c r="Q249">
        <v>1</v>
      </c>
      <c r="W249"/>
      <c r="X249"/>
      <c r="Y249"/>
    </row>
    <row r="250" spans="1:25" x14ac:dyDescent="0.3">
      <c r="A250" t="str">
        <f>Table_Capacity_HD_frontsheet[[#This Row],[Name]]&amp;B250</f>
        <v>DoncasterShort term domiciliary care (pathway 1)</v>
      </c>
      <c r="B250" t="str">
        <f>VLOOKUP(Table_Capacity_HD_frontsheet[[#This Row],[Service Area]],PathwayLookup!A:B,2,0)</f>
        <v>Short term domiciliary care (pathway 1)</v>
      </c>
      <c r="C250" t="s">
        <v>135</v>
      </c>
      <c r="D250" t="s">
        <v>730</v>
      </c>
      <c r="W250"/>
      <c r="X250"/>
      <c r="Y250"/>
    </row>
    <row r="251" spans="1:25" x14ac:dyDescent="0.3">
      <c r="A251" t="str">
        <f>Table_Capacity_HD_frontsheet[[#This Row],[Name]]&amp;B251</f>
        <v>DoncasterReablement &amp; Rehabilitation in a bedded setting (pathway 2)</v>
      </c>
      <c r="B251" t="str">
        <f>VLOOKUP(Table_Capacity_HD_frontsheet[[#This Row],[Service Area]],PathwayLookup!A:B,2,0)</f>
        <v>Reablement &amp; Rehabilitation in a bedded setting (pathway 2)</v>
      </c>
      <c r="C251" t="s">
        <v>135</v>
      </c>
      <c r="D251" t="s">
        <v>723</v>
      </c>
      <c r="E251">
        <v>52</v>
      </c>
      <c r="F251">
        <v>52</v>
      </c>
      <c r="G251">
        <v>52</v>
      </c>
      <c r="H251">
        <v>52</v>
      </c>
      <c r="I251">
        <v>59</v>
      </c>
      <c r="J251">
        <v>59</v>
      </c>
      <c r="K251">
        <v>59</v>
      </c>
      <c r="L251">
        <v>59</v>
      </c>
      <c r="M251">
        <v>59</v>
      </c>
      <c r="N251">
        <v>59</v>
      </c>
      <c r="O251">
        <v>59</v>
      </c>
      <c r="P251">
        <v>59</v>
      </c>
      <c r="R251">
        <v>1</v>
      </c>
      <c r="W251"/>
      <c r="X251"/>
      <c r="Y251"/>
    </row>
    <row r="252" spans="1:25" x14ac:dyDescent="0.3">
      <c r="A252" t="str">
        <f>Table_Capacity_HD_frontsheet[[#This Row],[Name]]&amp;B252</f>
        <v>DoncasterReablement &amp; Rehabilitation in a bedded setting (pathway 2)</v>
      </c>
      <c r="B252" t="str">
        <f>VLOOKUP(Table_Capacity_HD_frontsheet[[#This Row],[Service Area]],PathwayLookup!A:B,2,0)</f>
        <v>Reablement &amp; Rehabilitation in a bedded setting (pathway 2)</v>
      </c>
      <c r="C252" t="s">
        <v>135</v>
      </c>
      <c r="D252" t="s">
        <v>725</v>
      </c>
      <c r="E252">
        <v>40</v>
      </c>
      <c r="F252">
        <v>40</v>
      </c>
      <c r="G252">
        <v>40</v>
      </c>
      <c r="H252">
        <v>40</v>
      </c>
      <c r="I252">
        <v>40</v>
      </c>
      <c r="J252">
        <v>40</v>
      </c>
      <c r="K252">
        <v>40</v>
      </c>
      <c r="L252">
        <v>40</v>
      </c>
      <c r="M252">
        <v>40</v>
      </c>
      <c r="N252">
        <v>40</v>
      </c>
      <c r="O252">
        <v>40</v>
      </c>
      <c r="P252">
        <v>40</v>
      </c>
      <c r="Q252">
        <v>1</v>
      </c>
      <c r="W252"/>
      <c r="X252"/>
      <c r="Y252"/>
    </row>
    <row r="253" spans="1:25" x14ac:dyDescent="0.3">
      <c r="A253" t="str">
        <f>Table_Capacity_HD_frontsheet[[#This Row],[Name]]&amp;B253</f>
        <v>DoncasterShort-term residential/nursing care for someone likely to require a longer-term care home placement (pathway 3)</v>
      </c>
      <c r="B253" t="str">
        <f>VLOOKUP(Table_Capacity_HD_frontsheet[[#This Row],[Service Area]],PathwayLookup!A:B,2,0)</f>
        <v>Short-term residential/nursing care for someone likely to require a longer-term care home placement (pathway 3)</v>
      </c>
      <c r="C253" t="s">
        <v>135</v>
      </c>
      <c r="D253" t="s">
        <v>731</v>
      </c>
      <c r="W253"/>
      <c r="X253"/>
      <c r="Y253"/>
    </row>
    <row r="254" spans="1:25" x14ac:dyDescent="0.3">
      <c r="A254" t="str">
        <f>Table_Capacity_HD_frontsheet[[#This Row],[Name]]&amp;B254</f>
        <v>DorsetSocial support (including VCS) (pathway 0)</v>
      </c>
      <c r="B254" t="str">
        <f>VLOOKUP(Table_Capacity_HD_frontsheet[[#This Row],[Service Area]],PathwayLookup!A:B,2,0)</f>
        <v>Social support (including VCS) (pathway 0)</v>
      </c>
      <c r="C254" t="s">
        <v>137</v>
      </c>
      <c r="D254" t="s">
        <v>726</v>
      </c>
      <c r="E254">
        <v>150</v>
      </c>
      <c r="F254">
        <v>150</v>
      </c>
      <c r="G254">
        <v>150</v>
      </c>
      <c r="H254">
        <v>150</v>
      </c>
      <c r="I254">
        <v>150</v>
      </c>
      <c r="J254">
        <v>150</v>
      </c>
      <c r="K254">
        <v>150</v>
      </c>
      <c r="L254">
        <v>150</v>
      </c>
      <c r="M254">
        <v>150</v>
      </c>
      <c r="N254">
        <v>150</v>
      </c>
      <c r="O254">
        <v>150</v>
      </c>
      <c r="P254">
        <v>150</v>
      </c>
      <c r="R254">
        <v>1</v>
      </c>
      <c r="W254"/>
      <c r="X254"/>
      <c r="Y254"/>
    </row>
    <row r="255" spans="1:25" x14ac:dyDescent="0.3">
      <c r="A255" t="str">
        <f>Table_Capacity_HD_frontsheet[[#This Row],[Name]]&amp;B255</f>
        <v>DorsetReablement &amp; Rehabilitation at home  (pathway 1)</v>
      </c>
      <c r="B255" t="str">
        <f>VLOOKUP(Table_Capacity_HD_frontsheet[[#This Row],[Service Area]],PathwayLookup!A:B,2,0)</f>
        <v>Reablement &amp; Rehabilitation at home  (pathway 1)</v>
      </c>
      <c r="C255" t="s">
        <v>137</v>
      </c>
      <c r="D255" t="s">
        <v>728</v>
      </c>
      <c r="E255">
        <v>113</v>
      </c>
      <c r="F255">
        <v>113</v>
      </c>
      <c r="G255">
        <v>113</v>
      </c>
      <c r="H255">
        <v>113</v>
      </c>
      <c r="I255">
        <v>113</v>
      </c>
      <c r="J255">
        <v>113</v>
      </c>
      <c r="K255">
        <v>113</v>
      </c>
      <c r="L255">
        <v>113</v>
      </c>
      <c r="M255">
        <v>113</v>
      </c>
      <c r="N255">
        <v>113</v>
      </c>
      <c r="O255">
        <v>113</v>
      </c>
      <c r="P255">
        <v>113</v>
      </c>
      <c r="R255">
        <v>1</v>
      </c>
      <c r="W255"/>
      <c r="X255"/>
      <c r="Y255"/>
    </row>
    <row r="256" spans="1:25" x14ac:dyDescent="0.3">
      <c r="A256" t="str">
        <f>Table_Capacity_HD_frontsheet[[#This Row],[Name]]&amp;B256</f>
        <v>DorsetReablement &amp; Rehabilitation at home  (pathway 1)</v>
      </c>
      <c r="B256" t="str">
        <f>VLOOKUP(Table_Capacity_HD_frontsheet[[#This Row],[Service Area]],PathwayLookup!A:B,2,0)</f>
        <v>Reablement &amp; Rehabilitation at home  (pathway 1)</v>
      </c>
      <c r="C256" t="s">
        <v>137</v>
      </c>
      <c r="D256" t="s">
        <v>721</v>
      </c>
      <c r="E256">
        <v>29</v>
      </c>
      <c r="F256">
        <v>29</v>
      </c>
      <c r="G256">
        <v>29</v>
      </c>
      <c r="H256">
        <v>29</v>
      </c>
      <c r="I256">
        <v>29</v>
      </c>
      <c r="J256">
        <v>29</v>
      </c>
      <c r="K256">
        <v>29</v>
      </c>
      <c r="L256">
        <v>29</v>
      </c>
      <c r="M256">
        <v>29</v>
      </c>
      <c r="N256">
        <v>29</v>
      </c>
      <c r="O256">
        <v>29</v>
      </c>
      <c r="P256">
        <v>29</v>
      </c>
      <c r="Q256">
        <v>1</v>
      </c>
      <c r="W256"/>
      <c r="X256"/>
      <c r="Y256"/>
    </row>
    <row r="257" spans="1:25" x14ac:dyDescent="0.3">
      <c r="A257" t="str">
        <f>Table_Capacity_HD_frontsheet[[#This Row],[Name]]&amp;B257</f>
        <v>DorsetShort term domiciliary care (pathway 1)</v>
      </c>
      <c r="B257" t="str">
        <f>VLOOKUP(Table_Capacity_HD_frontsheet[[#This Row],[Service Area]],PathwayLookup!A:B,2,0)</f>
        <v>Short term domiciliary care (pathway 1)</v>
      </c>
      <c r="C257" t="s">
        <v>137</v>
      </c>
      <c r="D257" t="s">
        <v>730</v>
      </c>
      <c r="W257"/>
      <c r="X257"/>
      <c r="Y257"/>
    </row>
    <row r="258" spans="1:25" x14ac:dyDescent="0.3">
      <c r="A258" t="str">
        <f>Table_Capacity_HD_frontsheet[[#This Row],[Name]]&amp;B258</f>
        <v>DorsetReablement &amp; Rehabilitation in a bedded setting (pathway 2)</v>
      </c>
      <c r="B258" t="str">
        <f>VLOOKUP(Table_Capacity_HD_frontsheet[[#This Row],[Service Area]],PathwayLookup!A:B,2,0)</f>
        <v>Reablement &amp; Rehabilitation in a bedded setting (pathway 2)</v>
      </c>
      <c r="C258" t="s">
        <v>137</v>
      </c>
      <c r="D258" t="s">
        <v>723</v>
      </c>
      <c r="E258">
        <v>28</v>
      </c>
      <c r="F258">
        <v>28</v>
      </c>
      <c r="G258">
        <v>28</v>
      </c>
      <c r="H258">
        <v>37</v>
      </c>
      <c r="I258">
        <v>37</v>
      </c>
      <c r="J258">
        <v>36</v>
      </c>
      <c r="K258">
        <v>36</v>
      </c>
      <c r="L258">
        <v>36</v>
      </c>
      <c r="M258">
        <v>36</v>
      </c>
      <c r="N258">
        <v>36</v>
      </c>
      <c r="O258">
        <v>36</v>
      </c>
      <c r="P258">
        <v>36</v>
      </c>
      <c r="Q258">
        <v>0.3</v>
      </c>
      <c r="R258">
        <v>0.7</v>
      </c>
      <c r="W258"/>
      <c r="X258"/>
      <c r="Y258"/>
    </row>
    <row r="259" spans="1:25" x14ac:dyDescent="0.3">
      <c r="A259" t="str">
        <f>Table_Capacity_HD_frontsheet[[#This Row],[Name]]&amp;B259</f>
        <v>DorsetReablement &amp; Rehabilitation in a bedded setting (pathway 2)</v>
      </c>
      <c r="B259" t="str">
        <f>VLOOKUP(Table_Capacity_HD_frontsheet[[#This Row],[Service Area]],PathwayLookup!A:B,2,0)</f>
        <v>Reablement &amp; Rehabilitation in a bedded setting (pathway 2)</v>
      </c>
      <c r="C259" t="s">
        <v>137</v>
      </c>
      <c r="D259" t="s">
        <v>725</v>
      </c>
      <c r="E259">
        <v>97</v>
      </c>
      <c r="F259">
        <v>97</v>
      </c>
      <c r="G259">
        <v>97</v>
      </c>
      <c r="H259">
        <v>97</v>
      </c>
      <c r="I259">
        <v>97</v>
      </c>
      <c r="J259">
        <v>97</v>
      </c>
      <c r="K259">
        <v>97</v>
      </c>
      <c r="L259">
        <v>97</v>
      </c>
      <c r="M259">
        <v>97</v>
      </c>
      <c r="N259">
        <v>97</v>
      </c>
      <c r="O259">
        <v>97</v>
      </c>
      <c r="P259">
        <v>97</v>
      </c>
      <c r="Q259">
        <v>1</v>
      </c>
      <c r="W259"/>
      <c r="X259"/>
      <c r="Y259"/>
    </row>
    <row r="260" spans="1:25" x14ac:dyDescent="0.3">
      <c r="A260" t="str">
        <f>Table_Capacity_HD_frontsheet[[#This Row],[Name]]&amp;B260</f>
        <v>DorsetShort-term residential/nursing care for someone likely to require a longer-term care home placement (pathway 3)</v>
      </c>
      <c r="B260" t="str">
        <f>VLOOKUP(Table_Capacity_HD_frontsheet[[#This Row],[Service Area]],PathwayLookup!A:B,2,0)</f>
        <v>Short-term residential/nursing care for someone likely to require a longer-term care home placement (pathway 3)</v>
      </c>
      <c r="C260" t="s">
        <v>137</v>
      </c>
      <c r="D260" t="s">
        <v>731</v>
      </c>
      <c r="E260">
        <v>5</v>
      </c>
      <c r="F260">
        <v>15</v>
      </c>
      <c r="G260">
        <v>11</v>
      </c>
      <c r="H260">
        <v>10</v>
      </c>
      <c r="I260">
        <v>15</v>
      </c>
      <c r="J260">
        <v>17</v>
      </c>
      <c r="K260">
        <v>28</v>
      </c>
      <c r="L260">
        <v>23</v>
      </c>
      <c r="M260">
        <v>24</v>
      </c>
      <c r="N260">
        <v>15</v>
      </c>
      <c r="O260">
        <v>23</v>
      </c>
      <c r="P260">
        <v>11</v>
      </c>
      <c r="Q260">
        <v>0.4</v>
      </c>
      <c r="R260">
        <v>0.6</v>
      </c>
      <c r="W260"/>
      <c r="X260"/>
      <c r="Y260"/>
    </row>
    <row r="261" spans="1:25" x14ac:dyDescent="0.3">
      <c r="A261" t="str">
        <f>Table_Capacity_HD_frontsheet[[#This Row],[Name]]&amp;B261</f>
        <v>DudleySocial support (including VCS) (pathway 0)</v>
      </c>
      <c r="B261" t="str">
        <f>VLOOKUP(Table_Capacity_HD_frontsheet[[#This Row],[Service Area]],PathwayLookup!A:B,2,0)</f>
        <v>Social support (including VCS) (pathway 0)</v>
      </c>
      <c r="C261" t="s">
        <v>139</v>
      </c>
      <c r="D261" t="s">
        <v>726</v>
      </c>
      <c r="E261">
        <v>0</v>
      </c>
      <c r="F261">
        <v>0</v>
      </c>
      <c r="G261">
        <v>0</v>
      </c>
      <c r="H261">
        <v>0</v>
      </c>
      <c r="I261">
        <v>0</v>
      </c>
      <c r="J261">
        <v>0</v>
      </c>
      <c r="K261">
        <v>0</v>
      </c>
      <c r="L261">
        <v>0</v>
      </c>
      <c r="M261">
        <v>0</v>
      </c>
      <c r="N261">
        <v>0</v>
      </c>
      <c r="O261">
        <v>0</v>
      </c>
      <c r="P261">
        <v>0</v>
      </c>
      <c r="W261"/>
      <c r="X261"/>
      <c r="Y261"/>
    </row>
    <row r="262" spans="1:25" x14ac:dyDescent="0.3">
      <c r="A262" t="str">
        <f>Table_Capacity_HD_frontsheet[[#This Row],[Name]]&amp;B262</f>
        <v>DudleyReablement &amp; Rehabilitation at home  (pathway 1)</v>
      </c>
      <c r="B262" t="str">
        <f>VLOOKUP(Table_Capacity_HD_frontsheet[[#This Row],[Service Area]],PathwayLookup!A:B,2,0)</f>
        <v>Reablement &amp; Rehabilitation at home  (pathway 1)</v>
      </c>
      <c r="C262" t="s">
        <v>139</v>
      </c>
      <c r="D262" t="s">
        <v>728</v>
      </c>
      <c r="E262">
        <v>175</v>
      </c>
      <c r="F262">
        <v>175</v>
      </c>
      <c r="G262">
        <v>175</v>
      </c>
      <c r="H262">
        <v>175</v>
      </c>
      <c r="I262">
        <v>175</v>
      </c>
      <c r="J262">
        <v>175</v>
      </c>
      <c r="K262">
        <v>175</v>
      </c>
      <c r="L262">
        <v>175</v>
      </c>
      <c r="M262">
        <v>175</v>
      </c>
      <c r="N262">
        <v>175</v>
      </c>
      <c r="O262">
        <v>175</v>
      </c>
      <c r="P262">
        <v>175</v>
      </c>
      <c r="R262">
        <v>1</v>
      </c>
      <c r="W262"/>
      <c r="X262"/>
      <c r="Y262"/>
    </row>
    <row r="263" spans="1:25" x14ac:dyDescent="0.3">
      <c r="A263" t="str">
        <f>Table_Capacity_HD_frontsheet[[#This Row],[Name]]&amp;B263</f>
        <v>DudleyReablement &amp; Rehabilitation at home  (pathway 1)</v>
      </c>
      <c r="B263" t="str">
        <f>VLOOKUP(Table_Capacity_HD_frontsheet[[#This Row],[Service Area]],PathwayLookup!A:B,2,0)</f>
        <v>Reablement &amp; Rehabilitation at home  (pathway 1)</v>
      </c>
      <c r="C263" t="s">
        <v>139</v>
      </c>
      <c r="D263" t="s">
        <v>721</v>
      </c>
      <c r="E263">
        <v>0</v>
      </c>
      <c r="F263">
        <v>0</v>
      </c>
      <c r="G263">
        <v>0</v>
      </c>
      <c r="H263">
        <v>0</v>
      </c>
      <c r="I263">
        <v>0</v>
      </c>
      <c r="J263">
        <v>0</v>
      </c>
      <c r="K263">
        <v>0</v>
      </c>
      <c r="L263">
        <v>0</v>
      </c>
      <c r="M263">
        <v>0</v>
      </c>
      <c r="N263">
        <v>0</v>
      </c>
      <c r="O263">
        <v>0</v>
      </c>
      <c r="P263">
        <v>0</v>
      </c>
      <c r="W263"/>
      <c r="X263"/>
      <c r="Y263"/>
    </row>
    <row r="264" spans="1:25" x14ac:dyDescent="0.3">
      <c r="A264" t="str">
        <f>Table_Capacity_HD_frontsheet[[#This Row],[Name]]&amp;B264</f>
        <v>DudleyShort term domiciliary care (pathway 1)</v>
      </c>
      <c r="B264" t="str">
        <f>VLOOKUP(Table_Capacity_HD_frontsheet[[#This Row],[Service Area]],PathwayLookup!A:B,2,0)</f>
        <v>Short term domiciliary care (pathway 1)</v>
      </c>
      <c r="C264" t="s">
        <v>139</v>
      </c>
      <c r="D264" t="s">
        <v>730</v>
      </c>
      <c r="E264">
        <v>0</v>
      </c>
      <c r="F264">
        <v>0</v>
      </c>
      <c r="G264">
        <v>0</v>
      </c>
      <c r="H264">
        <v>0</v>
      </c>
      <c r="I264">
        <v>0</v>
      </c>
      <c r="J264">
        <v>0</v>
      </c>
      <c r="K264">
        <v>0</v>
      </c>
      <c r="L264">
        <v>0</v>
      </c>
      <c r="M264">
        <v>0</v>
      </c>
      <c r="N264">
        <v>0</v>
      </c>
      <c r="O264">
        <v>0</v>
      </c>
      <c r="P264">
        <v>0</v>
      </c>
      <c r="W264"/>
      <c r="X264"/>
      <c r="Y264"/>
    </row>
    <row r="265" spans="1:25" x14ac:dyDescent="0.3">
      <c r="A265" t="str">
        <f>Table_Capacity_HD_frontsheet[[#This Row],[Name]]&amp;B265</f>
        <v>DudleyReablement &amp; Rehabilitation in a bedded setting (pathway 2)</v>
      </c>
      <c r="B265" t="str">
        <f>VLOOKUP(Table_Capacity_HD_frontsheet[[#This Row],[Service Area]],PathwayLookup!A:B,2,0)</f>
        <v>Reablement &amp; Rehabilitation in a bedded setting (pathway 2)</v>
      </c>
      <c r="C265" t="s">
        <v>139</v>
      </c>
      <c r="D265" t="s">
        <v>723</v>
      </c>
      <c r="E265">
        <v>18</v>
      </c>
      <c r="F265">
        <v>12</v>
      </c>
      <c r="G265">
        <v>12</v>
      </c>
      <c r="H265">
        <v>12</v>
      </c>
      <c r="I265">
        <v>12</v>
      </c>
      <c r="J265">
        <v>12</v>
      </c>
      <c r="K265">
        <v>22</v>
      </c>
      <c r="L265">
        <v>22</v>
      </c>
      <c r="M265">
        <v>22</v>
      </c>
      <c r="N265">
        <v>22</v>
      </c>
      <c r="O265">
        <v>22</v>
      </c>
      <c r="P265">
        <v>22</v>
      </c>
      <c r="Q265">
        <v>1</v>
      </c>
      <c r="W265"/>
      <c r="X265"/>
      <c r="Y265"/>
    </row>
    <row r="266" spans="1:25" x14ac:dyDescent="0.3">
      <c r="A266" t="str">
        <f>Table_Capacity_HD_frontsheet[[#This Row],[Name]]&amp;B266</f>
        <v>DudleyReablement &amp; Rehabilitation in a bedded setting (pathway 2)</v>
      </c>
      <c r="B266" t="str">
        <f>VLOOKUP(Table_Capacity_HD_frontsheet[[#This Row],[Service Area]],PathwayLookup!A:B,2,0)</f>
        <v>Reablement &amp; Rehabilitation in a bedded setting (pathway 2)</v>
      </c>
      <c r="C266" t="s">
        <v>139</v>
      </c>
      <c r="D266" t="s">
        <v>725</v>
      </c>
      <c r="E266">
        <v>92</v>
      </c>
      <c r="F266">
        <v>98</v>
      </c>
      <c r="G266">
        <v>98</v>
      </c>
      <c r="H266">
        <v>98</v>
      </c>
      <c r="I266">
        <v>98</v>
      </c>
      <c r="J266">
        <v>98</v>
      </c>
      <c r="K266">
        <v>120</v>
      </c>
      <c r="L266">
        <v>120</v>
      </c>
      <c r="M266">
        <v>120</v>
      </c>
      <c r="N266">
        <v>120</v>
      </c>
      <c r="O266">
        <v>120</v>
      </c>
      <c r="P266">
        <v>120</v>
      </c>
      <c r="Q266">
        <v>1</v>
      </c>
      <c r="W266"/>
      <c r="X266"/>
      <c r="Y266"/>
    </row>
    <row r="267" spans="1:25" x14ac:dyDescent="0.3">
      <c r="A267" t="str">
        <f>Table_Capacity_HD_frontsheet[[#This Row],[Name]]&amp;B267</f>
        <v>DudleyShort-term residential/nursing care for someone likely to require a longer-term care home placement (pathway 3)</v>
      </c>
      <c r="B267" t="str">
        <f>VLOOKUP(Table_Capacity_HD_frontsheet[[#This Row],[Service Area]],PathwayLookup!A:B,2,0)</f>
        <v>Short-term residential/nursing care for someone likely to require a longer-term care home placement (pathway 3)</v>
      </c>
      <c r="C267" t="s">
        <v>139</v>
      </c>
      <c r="D267" t="s">
        <v>731</v>
      </c>
      <c r="E267">
        <v>65</v>
      </c>
      <c r="F267">
        <v>65</v>
      </c>
      <c r="G267">
        <v>65</v>
      </c>
      <c r="H267">
        <v>65</v>
      </c>
      <c r="I267">
        <v>65</v>
      </c>
      <c r="J267">
        <v>65</v>
      </c>
      <c r="K267">
        <v>65</v>
      </c>
      <c r="L267">
        <v>65</v>
      </c>
      <c r="M267">
        <v>65</v>
      </c>
      <c r="N267">
        <v>65</v>
      </c>
      <c r="O267">
        <v>65</v>
      </c>
      <c r="P267">
        <v>65</v>
      </c>
      <c r="R267">
        <v>1</v>
      </c>
      <c r="W267"/>
      <c r="X267"/>
      <c r="Y267"/>
    </row>
    <row r="268" spans="1:25" x14ac:dyDescent="0.3">
      <c r="A268" t="str">
        <f>Table_Capacity_HD_frontsheet[[#This Row],[Name]]&amp;B268</f>
        <v>EalingSocial support (including VCS) (pathway 0)</v>
      </c>
      <c r="B268" t="str">
        <f>VLOOKUP(Table_Capacity_HD_frontsheet[[#This Row],[Service Area]],PathwayLookup!A:B,2,0)</f>
        <v>Social support (including VCS) (pathway 0)</v>
      </c>
      <c r="C268" t="s">
        <v>141</v>
      </c>
      <c r="D268" t="s">
        <v>726</v>
      </c>
      <c r="E268">
        <v>25</v>
      </c>
      <c r="F268">
        <v>25</v>
      </c>
      <c r="G268">
        <v>25</v>
      </c>
      <c r="H268">
        <v>25</v>
      </c>
      <c r="I268">
        <v>0</v>
      </c>
      <c r="J268">
        <v>0</v>
      </c>
      <c r="K268">
        <v>26</v>
      </c>
      <c r="L268">
        <v>54</v>
      </c>
      <c r="M268">
        <v>54</v>
      </c>
      <c r="N268">
        <v>54</v>
      </c>
      <c r="O268">
        <v>54</v>
      </c>
      <c r="P268">
        <v>54</v>
      </c>
      <c r="Q268">
        <v>1</v>
      </c>
      <c r="W268"/>
      <c r="X268"/>
      <c r="Y268"/>
    </row>
    <row r="269" spans="1:25" x14ac:dyDescent="0.3">
      <c r="A269" t="str">
        <f>Table_Capacity_HD_frontsheet[[#This Row],[Name]]&amp;B269</f>
        <v>EalingReablement &amp; Rehabilitation at home  (pathway 1)</v>
      </c>
      <c r="B269" t="str">
        <f>VLOOKUP(Table_Capacity_HD_frontsheet[[#This Row],[Service Area]],PathwayLookup!A:B,2,0)</f>
        <v>Reablement &amp; Rehabilitation at home  (pathway 1)</v>
      </c>
      <c r="C269" t="s">
        <v>141</v>
      </c>
      <c r="D269" t="s">
        <v>728</v>
      </c>
      <c r="E269">
        <v>210.49780000000001</v>
      </c>
      <c r="F269">
        <v>221.69810000000001</v>
      </c>
      <c r="G269">
        <v>223.5427</v>
      </c>
      <c r="H269">
        <v>211.6183</v>
      </c>
      <c r="I269">
        <v>207.7773</v>
      </c>
      <c r="J269">
        <v>211.8963</v>
      </c>
      <c r="K269">
        <v>206.64769999999999</v>
      </c>
      <c r="L269">
        <v>217.73939999999999</v>
      </c>
      <c r="M269">
        <v>204.0633</v>
      </c>
      <c r="N269">
        <v>216.60560000000001</v>
      </c>
      <c r="O269">
        <v>201.17</v>
      </c>
      <c r="P269">
        <v>223.6275</v>
      </c>
      <c r="Q269">
        <v>0.91700000000000004</v>
      </c>
      <c r="R269">
        <v>8.3000000000000004E-2</v>
      </c>
      <c r="W269"/>
      <c r="X269"/>
      <c r="Y269"/>
    </row>
    <row r="270" spans="1:25" x14ac:dyDescent="0.3">
      <c r="A270" t="str">
        <f>Table_Capacity_HD_frontsheet[[#This Row],[Name]]&amp;B270</f>
        <v>EalingReablement &amp; Rehabilitation at home  (pathway 1)</v>
      </c>
      <c r="B270" t="str">
        <f>VLOOKUP(Table_Capacity_HD_frontsheet[[#This Row],[Service Area]],PathwayLookup!A:B,2,0)</f>
        <v>Reablement &amp; Rehabilitation at home  (pathway 1)</v>
      </c>
      <c r="C270" t="s">
        <v>141</v>
      </c>
      <c r="D270" t="s">
        <v>721</v>
      </c>
      <c r="E270">
        <v>210.49780000000001</v>
      </c>
      <c r="F270">
        <v>221.69810000000001</v>
      </c>
      <c r="G270">
        <v>223.5427</v>
      </c>
      <c r="H270">
        <v>211.6183</v>
      </c>
      <c r="I270">
        <v>207.7773</v>
      </c>
      <c r="J270">
        <v>211.8963</v>
      </c>
      <c r="K270">
        <v>206.64769999999999</v>
      </c>
      <c r="L270">
        <v>217.73939999999999</v>
      </c>
      <c r="M270">
        <v>204.0633</v>
      </c>
      <c r="N270">
        <v>216.60560000000001</v>
      </c>
      <c r="O270">
        <v>201.17</v>
      </c>
      <c r="P270">
        <v>223.6275</v>
      </c>
      <c r="Q270">
        <v>1</v>
      </c>
      <c r="W270"/>
      <c r="X270"/>
      <c r="Y270"/>
    </row>
    <row r="271" spans="1:25" x14ac:dyDescent="0.3">
      <c r="A271" t="str">
        <f>Table_Capacity_HD_frontsheet[[#This Row],[Name]]&amp;B271</f>
        <v>EalingShort term domiciliary care (pathway 1)</v>
      </c>
      <c r="B271" t="str">
        <f>VLOOKUP(Table_Capacity_HD_frontsheet[[#This Row],[Service Area]],PathwayLookup!A:B,2,0)</f>
        <v>Short term domiciliary care (pathway 1)</v>
      </c>
      <c r="C271" t="s">
        <v>141</v>
      </c>
      <c r="D271" t="s">
        <v>730</v>
      </c>
      <c r="E271">
        <v>210.49780000000001</v>
      </c>
      <c r="F271">
        <v>221.69810000000001</v>
      </c>
      <c r="G271">
        <v>223.5427</v>
      </c>
      <c r="H271">
        <v>211.6183</v>
      </c>
      <c r="I271">
        <v>207.7773</v>
      </c>
      <c r="J271">
        <v>411.8963</v>
      </c>
      <c r="K271">
        <v>406.64769999999999</v>
      </c>
      <c r="L271">
        <v>417.73939999999999</v>
      </c>
      <c r="M271">
        <v>404.06330000000003</v>
      </c>
      <c r="N271">
        <v>416.60559999999998</v>
      </c>
      <c r="O271">
        <v>401.17</v>
      </c>
      <c r="P271">
        <v>423.6275</v>
      </c>
      <c r="Q271">
        <v>0.61799999999999999</v>
      </c>
      <c r="R271">
        <v>0.38200000000000001</v>
      </c>
      <c r="W271"/>
      <c r="X271"/>
      <c r="Y271"/>
    </row>
    <row r="272" spans="1:25" x14ac:dyDescent="0.3">
      <c r="A272" t="str">
        <f>Table_Capacity_HD_frontsheet[[#This Row],[Name]]&amp;B272</f>
        <v>EalingReablement &amp; Rehabilitation in a bedded setting (pathway 2)</v>
      </c>
      <c r="B272" t="str">
        <f>VLOOKUP(Table_Capacity_HD_frontsheet[[#This Row],[Service Area]],PathwayLookup!A:B,2,0)</f>
        <v>Reablement &amp; Rehabilitation in a bedded setting (pathway 2)</v>
      </c>
      <c r="C272" t="s">
        <v>141</v>
      </c>
      <c r="D272" t="s">
        <v>723</v>
      </c>
      <c r="E272">
        <v>0</v>
      </c>
      <c r="F272">
        <v>0</v>
      </c>
      <c r="G272">
        <v>0</v>
      </c>
      <c r="H272">
        <v>0</v>
      </c>
      <c r="I272">
        <v>0</v>
      </c>
      <c r="J272">
        <v>0</v>
      </c>
      <c r="K272">
        <v>0</v>
      </c>
      <c r="L272">
        <v>0</v>
      </c>
      <c r="M272">
        <v>0</v>
      </c>
      <c r="N272">
        <v>0</v>
      </c>
      <c r="O272">
        <v>0</v>
      </c>
      <c r="P272">
        <v>0</v>
      </c>
      <c r="Q272">
        <v>1</v>
      </c>
      <c r="W272"/>
      <c r="X272"/>
      <c r="Y272"/>
    </row>
    <row r="273" spans="1:25" x14ac:dyDescent="0.3">
      <c r="A273" t="str">
        <f>Table_Capacity_HD_frontsheet[[#This Row],[Name]]&amp;B273</f>
        <v>EalingReablement &amp; Rehabilitation in a bedded setting (pathway 2)</v>
      </c>
      <c r="B273" t="str">
        <f>VLOOKUP(Table_Capacity_HD_frontsheet[[#This Row],[Service Area]],PathwayLookup!A:B,2,0)</f>
        <v>Reablement &amp; Rehabilitation in a bedded setting (pathway 2)</v>
      </c>
      <c r="C273" t="s">
        <v>141</v>
      </c>
      <c r="D273" t="s">
        <v>725</v>
      </c>
      <c r="E273">
        <v>111.6185</v>
      </c>
      <c r="F273">
        <v>117.6918</v>
      </c>
      <c r="G273">
        <v>119.4633</v>
      </c>
      <c r="H273">
        <v>111.97369999999999</v>
      </c>
      <c r="I273">
        <v>109.0146</v>
      </c>
      <c r="J273">
        <v>112.00360000000001</v>
      </c>
      <c r="K273">
        <v>107.9885</v>
      </c>
      <c r="L273">
        <v>114.3545</v>
      </c>
      <c r="M273">
        <v>107.2497</v>
      </c>
      <c r="N273">
        <v>114.2354</v>
      </c>
      <c r="O273">
        <v>105.81059999999999</v>
      </c>
      <c r="P273">
        <v>117.7201</v>
      </c>
      <c r="Q273">
        <v>1</v>
      </c>
      <c r="W273"/>
      <c r="X273"/>
      <c r="Y273"/>
    </row>
    <row r="274" spans="1:25" x14ac:dyDescent="0.3">
      <c r="A274" t="str">
        <f>Table_Capacity_HD_frontsheet[[#This Row],[Name]]&amp;B274</f>
        <v>EalingShort-term residential/nursing care for someone likely to require a longer-term care home placement (pathway 3)</v>
      </c>
      <c r="B274" t="str">
        <f>VLOOKUP(Table_Capacity_HD_frontsheet[[#This Row],[Service Area]],PathwayLookup!A:B,2,0)</f>
        <v>Short-term residential/nursing care for someone likely to require a longer-term care home placement (pathway 3)</v>
      </c>
      <c r="C274" t="s">
        <v>141</v>
      </c>
      <c r="D274" t="s">
        <v>731</v>
      </c>
      <c r="E274">
        <v>97.564999999999998</v>
      </c>
      <c r="F274">
        <v>102.59050000000001</v>
      </c>
      <c r="G274">
        <v>102.46550000000002</v>
      </c>
      <c r="H274">
        <v>98.379499999999993</v>
      </c>
      <c r="I274">
        <v>97.738500000000002</v>
      </c>
      <c r="J274">
        <v>111.65349999999999</v>
      </c>
      <c r="K274">
        <v>110.74250000000001</v>
      </c>
      <c r="L274">
        <v>115.285</v>
      </c>
      <c r="M274">
        <v>108.7645</v>
      </c>
      <c r="N274">
        <v>114.164</v>
      </c>
      <c r="O274">
        <v>107.306</v>
      </c>
      <c r="P274">
        <v>117.7135</v>
      </c>
      <c r="Q274">
        <v>0.94099999999999995</v>
      </c>
      <c r="R274">
        <v>5.8999999999999997E-2</v>
      </c>
      <c r="W274"/>
      <c r="X274"/>
      <c r="Y274"/>
    </row>
    <row r="275" spans="1:25" x14ac:dyDescent="0.3">
      <c r="A275" t="str">
        <f>Table_Capacity_HD_frontsheet[[#This Row],[Name]]&amp;B275</f>
        <v>East Riding of YorkshireSocial support (including VCS) (pathway 0)</v>
      </c>
      <c r="B275" t="str">
        <f>VLOOKUP(Table_Capacity_HD_frontsheet[[#This Row],[Service Area]],PathwayLookup!A:B,2,0)</f>
        <v>Social support (including VCS) (pathway 0)</v>
      </c>
      <c r="C275" t="s">
        <v>143</v>
      </c>
      <c r="D275" t="s">
        <v>726</v>
      </c>
      <c r="E275">
        <v>96.5</v>
      </c>
      <c r="F275">
        <v>115.5</v>
      </c>
      <c r="G275">
        <v>112.5</v>
      </c>
      <c r="H275">
        <v>98.5</v>
      </c>
      <c r="I275">
        <v>108.5</v>
      </c>
      <c r="J275">
        <v>105.5</v>
      </c>
      <c r="K275">
        <v>111.5</v>
      </c>
      <c r="L275">
        <v>105.5</v>
      </c>
      <c r="M275">
        <v>105.5</v>
      </c>
      <c r="N275">
        <v>116.5</v>
      </c>
      <c r="O275">
        <v>107.5</v>
      </c>
      <c r="P275">
        <v>108.5</v>
      </c>
      <c r="Q275">
        <v>0.57999999999999996</v>
      </c>
      <c r="R275">
        <v>0.42</v>
      </c>
      <c r="W275"/>
      <c r="X275"/>
      <c r="Y275"/>
    </row>
    <row r="276" spans="1:25" x14ac:dyDescent="0.3">
      <c r="A276" t="str">
        <f>Table_Capacity_HD_frontsheet[[#This Row],[Name]]&amp;B276</f>
        <v>East Riding of YorkshireReablement &amp; Rehabilitation at home  (pathway 1)</v>
      </c>
      <c r="B276" t="str">
        <f>VLOOKUP(Table_Capacity_HD_frontsheet[[#This Row],[Service Area]],PathwayLookup!A:B,2,0)</f>
        <v>Reablement &amp; Rehabilitation at home  (pathway 1)</v>
      </c>
      <c r="C276" t="s">
        <v>143</v>
      </c>
      <c r="D276" t="s">
        <v>728</v>
      </c>
      <c r="E276">
        <v>50</v>
      </c>
      <c r="F276">
        <v>50</v>
      </c>
      <c r="G276">
        <v>50</v>
      </c>
      <c r="H276">
        <v>50</v>
      </c>
      <c r="I276">
        <v>50</v>
      </c>
      <c r="J276">
        <v>50</v>
      </c>
      <c r="K276">
        <v>50</v>
      </c>
      <c r="L276">
        <v>50</v>
      </c>
      <c r="M276">
        <v>50</v>
      </c>
      <c r="N276">
        <v>50</v>
      </c>
      <c r="O276">
        <v>50</v>
      </c>
      <c r="P276">
        <v>50</v>
      </c>
      <c r="R276">
        <v>1</v>
      </c>
      <c r="W276"/>
      <c r="X276"/>
      <c r="Y276"/>
    </row>
    <row r="277" spans="1:25" x14ac:dyDescent="0.3">
      <c r="A277" t="str">
        <f>Table_Capacity_HD_frontsheet[[#This Row],[Name]]&amp;B277</f>
        <v>East Riding of YorkshireReablement &amp; Rehabilitation at home  (pathway 1)</v>
      </c>
      <c r="B277" t="str">
        <f>VLOOKUP(Table_Capacity_HD_frontsheet[[#This Row],[Service Area]],PathwayLookup!A:B,2,0)</f>
        <v>Reablement &amp; Rehabilitation at home  (pathway 1)</v>
      </c>
      <c r="C277" t="s">
        <v>143</v>
      </c>
      <c r="D277" t="s">
        <v>721</v>
      </c>
      <c r="E277">
        <v>44</v>
      </c>
      <c r="F277">
        <v>44</v>
      </c>
      <c r="G277">
        <v>42</v>
      </c>
      <c r="H277">
        <v>42</v>
      </c>
      <c r="I277">
        <v>42</v>
      </c>
      <c r="J277">
        <v>44</v>
      </c>
      <c r="K277">
        <v>44</v>
      </c>
      <c r="L277">
        <v>46</v>
      </c>
      <c r="M277">
        <v>48</v>
      </c>
      <c r="N277">
        <v>46</v>
      </c>
      <c r="O277">
        <v>44</v>
      </c>
      <c r="P277">
        <v>42</v>
      </c>
      <c r="Q277">
        <v>1</v>
      </c>
      <c r="W277"/>
      <c r="X277"/>
      <c r="Y277"/>
    </row>
    <row r="278" spans="1:25" x14ac:dyDescent="0.3">
      <c r="A278" t="str">
        <f>Table_Capacity_HD_frontsheet[[#This Row],[Name]]&amp;B278</f>
        <v>East Riding of YorkshireShort term domiciliary care (pathway 1)</v>
      </c>
      <c r="B278" t="str">
        <f>VLOOKUP(Table_Capacity_HD_frontsheet[[#This Row],[Service Area]],PathwayLookup!A:B,2,0)</f>
        <v>Short term domiciliary care (pathway 1)</v>
      </c>
      <c r="C278" t="s">
        <v>143</v>
      </c>
      <c r="D278" t="s">
        <v>730</v>
      </c>
      <c r="W278"/>
      <c r="X278"/>
      <c r="Y278"/>
    </row>
    <row r="279" spans="1:25" x14ac:dyDescent="0.3">
      <c r="A279" t="str">
        <f>Table_Capacity_HD_frontsheet[[#This Row],[Name]]&amp;B279</f>
        <v>East Riding of YorkshireReablement &amp; Rehabilitation in a bedded setting (pathway 2)</v>
      </c>
      <c r="B279" t="str">
        <f>VLOOKUP(Table_Capacity_HD_frontsheet[[#This Row],[Service Area]],PathwayLookup!A:B,2,0)</f>
        <v>Reablement &amp; Rehabilitation in a bedded setting (pathway 2)</v>
      </c>
      <c r="C279" t="s">
        <v>143</v>
      </c>
      <c r="D279" t="s">
        <v>723</v>
      </c>
      <c r="E279">
        <v>28</v>
      </c>
      <c r="F279">
        <v>28</v>
      </c>
      <c r="G279">
        <v>28</v>
      </c>
      <c r="H279">
        <v>28</v>
      </c>
      <c r="I279">
        <v>28</v>
      </c>
      <c r="J279">
        <v>28</v>
      </c>
      <c r="K279">
        <v>28</v>
      </c>
      <c r="L279">
        <v>28</v>
      </c>
      <c r="M279">
        <v>28</v>
      </c>
      <c r="N279">
        <v>28</v>
      </c>
      <c r="O279">
        <v>28</v>
      </c>
      <c r="P279">
        <v>28</v>
      </c>
      <c r="R279">
        <v>1</v>
      </c>
      <c r="W279"/>
      <c r="X279"/>
      <c r="Y279"/>
    </row>
    <row r="280" spans="1:25" x14ac:dyDescent="0.3">
      <c r="A280" t="str">
        <f>Table_Capacity_HD_frontsheet[[#This Row],[Name]]&amp;B280</f>
        <v>East Riding of YorkshireReablement &amp; Rehabilitation in a bedded setting (pathway 2)</v>
      </c>
      <c r="B280" t="str">
        <f>VLOOKUP(Table_Capacity_HD_frontsheet[[#This Row],[Service Area]],PathwayLookup!A:B,2,0)</f>
        <v>Reablement &amp; Rehabilitation in a bedded setting (pathway 2)</v>
      </c>
      <c r="C280" t="s">
        <v>143</v>
      </c>
      <c r="D280" t="s">
        <v>725</v>
      </c>
      <c r="E280">
        <v>50</v>
      </c>
      <c r="F280">
        <v>50</v>
      </c>
      <c r="G280">
        <v>45</v>
      </c>
      <c r="H280">
        <v>45</v>
      </c>
      <c r="I280">
        <v>45</v>
      </c>
      <c r="J280">
        <v>50</v>
      </c>
      <c r="K280">
        <v>50</v>
      </c>
      <c r="L280">
        <v>55</v>
      </c>
      <c r="M280">
        <v>60</v>
      </c>
      <c r="N280">
        <v>55</v>
      </c>
      <c r="O280">
        <v>48</v>
      </c>
      <c r="P280">
        <v>47</v>
      </c>
      <c r="Q280">
        <v>1</v>
      </c>
      <c r="W280"/>
      <c r="X280"/>
      <c r="Y280"/>
    </row>
    <row r="281" spans="1:25" x14ac:dyDescent="0.3">
      <c r="A281" t="str">
        <f>Table_Capacity_HD_frontsheet[[#This Row],[Name]]&amp;B281</f>
        <v>East Riding of YorkshireShort-term residential/nursing care for someone likely to require a longer-term care home placement (pathway 3)</v>
      </c>
      <c r="B281" t="str">
        <f>VLOOKUP(Table_Capacity_HD_frontsheet[[#This Row],[Service Area]],PathwayLookup!A:B,2,0)</f>
        <v>Short-term residential/nursing care for someone likely to require a longer-term care home placement (pathway 3)</v>
      </c>
      <c r="C281" t="s">
        <v>143</v>
      </c>
      <c r="D281" t="s">
        <v>731</v>
      </c>
      <c r="E281">
        <v>50</v>
      </c>
      <c r="F281">
        <v>50</v>
      </c>
      <c r="G281">
        <v>50</v>
      </c>
      <c r="H281">
        <v>50</v>
      </c>
      <c r="I281">
        <v>50</v>
      </c>
      <c r="J281">
        <v>50</v>
      </c>
      <c r="K281">
        <v>50</v>
      </c>
      <c r="L281">
        <v>50</v>
      </c>
      <c r="M281">
        <v>50</v>
      </c>
      <c r="N281">
        <v>50</v>
      </c>
      <c r="O281">
        <v>50</v>
      </c>
      <c r="P281">
        <v>50</v>
      </c>
      <c r="R281">
        <v>1</v>
      </c>
      <c r="W281"/>
      <c r="X281"/>
      <c r="Y281"/>
    </row>
    <row r="282" spans="1:25" x14ac:dyDescent="0.3">
      <c r="A282" t="str">
        <f>Table_Capacity_HD_frontsheet[[#This Row],[Name]]&amp;B282</f>
        <v>East SussexSocial support (including VCS) (pathway 0)</v>
      </c>
      <c r="B282" t="str">
        <f>VLOOKUP(Table_Capacity_HD_frontsheet[[#This Row],[Service Area]],PathwayLookup!A:B,2,0)</f>
        <v>Social support (including VCS) (pathway 0)</v>
      </c>
      <c r="C282" t="s">
        <v>145</v>
      </c>
      <c r="D282" t="s">
        <v>726</v>
      </c>
      <c r="E282">
        <v>100</v>
      </c>
      <c r="F282">
        <v>100</v>
      </c>
      <c r="G282">
        <v>100</v>
      </c>
      <c r="H282">
        <v>100</v>
      </c>
      <c r="I282">
        <v>100</v>
      </c>
      <c r="J282">
        <v>100</v>
      </c>
      <c r="K282">
        <v>100</v>
      </c>
      <c r="L282">
        <v>100</v>
      </c>
      <c r="M282">
        <v>100</v>
      </c>
      <c r="N282">
        <v>100</v>
      </c>
      <c r="O282">
        <v>100</v>
      </c>
      <c r="P282">
        <v>100</v>
      </c>
      <c r="S282">
        <v>1</v>
      </c>
      <c r="W282"/>
      <c r="X282"/>
      <c r="Y282"/>
    </row>
    <row r="283" spans="1:25" x14ac:dyDescent="0.3">
      <c r="A283" t="str">
        <f>Table_Capacity_HD_frontsheet[[#This Row],[Name]]&amp;B283</f>
        <v>East SussexReablement &amp; Rehabilitation at home  (pathway 1)</v>
      </c>
      <c r="B283" t="str">
        <f>VLOOKUP(Table_Capacity_HD_frontsheet[[#This Row],[Service Area]],PathwayLookup!A:B,2,0)</f>
        <v>Reablement &amp; Rehabilitation at home  (pathway 1)</v>
      </c>
      <c r="C283" t="s">
        <v>145</v>
      </c>
      <c r="D283" t="s">
        <v>728</v>
      </c>
      <c r="E283">
        <v>48</v>
      </c>
      <c r="F283">
        <v>48</v>
      </c>
      <c r="G283">
        <v>48</v>
      </c>
      <c r="H283">
        <v>48</v>
      </c>
      <c r="I283">
        <v>48</v>
      </c>
      <c r="J283">
        <v>48</v>
      </c>
      <c r="K283">
        <v>48</v>
      </c>
      <c r="L283">
        <v>48</v>
      </c>
      <c r="M283">
        <v>48</v>
      </c>
      <c r="N283">
        <v>48</v>
      </c>
      <c r="O283">
        <v>48</v>
      </c>
      <c r="P283">
        <v>48</v>
      </c>
      <c r="R283">
        <v>1</v>
      </c>
      <c r="W283"/>
      <c r="X283"/>
      <c r="Y283"/>
    </row>
    <row r="284" spans="1:25" x14ac:dyDescent="0.3">
      <c r="A284" t="str">
        <f>Table_Capacity_HD_frontsheet[[#This Row],[Name]]&amp;B284</f>
        <v>East SussexReablement &amp; Rehabilitation at home  (pathway 1)</v>
      </c>
      <c r="B284" t="str">
        <f>VLOOKUP(Table_Capacity_HD_frontsheet[[#This Row],[Service Area]],PathwayLookup!A:B,2,0)</f>
        <v>Reablement &amp; Rehabilitation at home  (pathway 1)</v>
      </c>
      <c r="C284" t="s">
        <v>145</v>
      </c>
      <c r="D284" t="s">
        <v>721</v>
      </c>
      <c r="E284">
        <v>246</v>
      </c>
      <c r="F284">
        <v>246</v>
      </c>
      <c r="G284">
        <v>246</v>
      </c>
      <c r="H284">
        <v>246</v>
      </c>
      <c r="I284">
        <v>246</v>
      </c>
      <c r="J284">
        <v>246</v>
      </c>
      <c r="K284">
        <v>246</v>
      </c>
      <c r="L284">
        <v>246</v>
      </c>
      <c r="M284">
        <v>246</v>
      </c>
      <c r="N284">
        <v>246</v>
      </c>
      <c r="O284">
        <v>246</v>
      </c>
      <c r="P284">
        <v>246</v>
      </c>
      <c r="Q284">
        <v>1</v>
      </c>
      <c r="W284"/>
      <c r="X284"/>
      <c r="Y284"/>
    </row>
    <row r="285" spans="1:25" x14ac:dyDescent="0.3">
      <c r="A285" t="str">
        <f>Table_Capacity_HD_frontsheet[[#This Row],[Name]]&amp;B285</f>
        <v>East SussexShort term domiciliary care (pathway 1)</v>
      </c>
      <c r="B285" t="str">
        <f>VLOOKUP(Table_Capacity_HD_frontsheet[[#This Row],[Service Area]],PathwayLookup!A:B,2,0)</f>
        <v>Short term domiciliary care (pathway 1)</v>
      </c>
      <c r="C285" t="s">
        <v>145</v>
      </c>
      <c r="D285" t="s">
        <v>730</v>
      </c>
      <c r="E285">
        <v>87</v>
      </c>
      <c r="F285">
        <v>87</v>
      </c>
      <c r="G285">
        <v>87</v>
      </c>
      <c r="H285">
        <v>87</v>
      </c>
      <c r="I285">
        <v>87</v>
      </c>
      <c r="J285">
        <v>87</v>
      </c>
      <c r="K285">
        <v>87</v>
      </c>
      <c r="L285">
        <v>87</v>
      </c>
      <c r="M285">
        <v>87</v>
      </c>
      <c r="N285">
        <v>87</v>
      </c>
      <c r="O285">
        <v>87</v>
      </c>
      <c r="P285">
        <v>87</v>
      </c>
      <c r="Q285">
        <v>1</v>
      </c>
      <c r="W285"/>
      <c r="X285"/>
      <c r="Y285"/>
    </row>
    <row r="286" spans="1:25" x14ac:dyDescent="0.3">
      <c r="A286" t="str">
        <f>Table_Capacity_HD_frontsheet[[#This Row],[Name]]&amp;B286</f>
        <v>East SussexReablement &amp; Rehabilitation in a bedded setting (pathway 2)</v>
      </c>
      <c r="B286" t="str">
        <f>VLOOKUP(Table_Capacity_HD_frontsheet[[#This Row],[Service Area]],PathwayLookup!A:B,2,0)</f>
        <v>Reablement &amp; Rehabilitation in a bedded setting (pathway 2)</v>
      </c>
      <c r="C286" t="s">
        <v>145</v>
      </c>
      <c r="D286" t="s">
        <v>723</v>
      </c>
      <c r="E286">
        <v>23</v>
      </c>
      <c r="F286">
        <v>23</v>
      </c>
      <c r="G286">
        <v>23</v>
      </c>
      <c r="H286">
        <v>23</v>
      </c>
      <c r="I286">
        <v>23</v>
      </c>
      <c r="J286">
        <v>23</v>
      </c>
      <c r="K286">
        <v>23</v>
      </c>
      <c r="L286">
        <v>23</v>
      </c>
      <c r="M286">
        <v>23</v>
      </c>
      <c r="N286">
        <v>23</v>
      </c>
      <c r="O286">
        <v>23</v>
      </c>
      <c r="P286">
        <v>23</v>
      </c>
      <c r="S286">
        <v>1</v>
      </c>
      <c r="W286"/>
      <c r="X286"/>
      <c r="Y286"/>
    </row>
    <row r="287" spans="1:25" x14ac:dyDescent="0.3">
      <c r="A287" t="str">
        <f>Table_Capacity_HD_frontsheet[[#This Row],[Name]]&amp;B287</f>
        <v>East SussexReablement &amp; Rehabilitation in a bedded setting (pathway 2)</v>
      </c>
      <c r="B287" t="str">
        <f>VLOOKUP(Table_Capacity_HD_frontsheet[[#This Row],[Service Area]],PathwayLookup!A:B,2,0)</f>
        <v>Reablement &amp; Rehabilitation in a bedded setting (pathway 2)</v>
      </c>
      <c r="C287" t="s">
        <v>145</v>
      </c>
      <c r="D287" t="s">
        <v>725</v>
      </c>
      <c r="E287">
        <v>115</v>
      </c>
      <c r="F287">
        <v>115</v>
      </c>
      <c r="G287">
        <v>115</v>
      </c>
      <c r="H287">
        <v>115</v>
      </c>
      <c r="I287">
        <v>115</v>
      </c>
      <c r="J287">
        <v>115</v>
      </c>
      <c r="K287">
        <v>115</v>
      </c>
      <c r="L287">
        <v>115</v>
      </c>
      <c r="M287">
        <v>115</v>
      </c>
      <c r="N287">
        <v>115</v>
      </c>
      <c r="O287">
        <v>115</v>
      </c>
      <c r="P287">
        <v>115</v>
      </c>
      <c r="Q287">
        <v>1</v>
      </c>
      <c r="W287"/>
      <c r="X287"/>
      <c r="Y287"/>
    </row>
    <row r="288" spans="1:25" x14ac:dyDescent="0.3">
      <c r="A288" t="str">
        <f>Table_Capacity_HD_frontsheet[[#This Row],[Name]]&amp;B288</f>
        <v>East SussexShort-term residential/nursing care for someone likely to require a longer-term care home placement (pathway 3)</v>
      </c>
      <c r="B288" t="str">
        <f>VLOOKUP(Table_Capacity_HD_frontsheet[[#This Row],[Service Area]],PathwayLookup!A:B,2,0)</f>
        <v>Short-term residential/nursing care for someone likely to require a longer-term care home placement (pathway 3)</v>
      </c>
      <c r="C288" t="s">
        <v>145</v>
      </c>
      <c r="D288" t="s">
        <v>731</v>
      </c>
      <c r="E288">
        <v>83</v>
      </c>
      <c r="F288">
        <v>83</v>
      </c>
      <c r="G288">
        <v>83</v>
      </c>
      <c r="H288">
        <v>83</v>
      </c>
      <c r="I288">
        <v>83</v>
      </c>
      <c r="J288">
        <v>83</v>
      </c>
      <c r="K288">
        <v>83</v>
      </c>
      <c r="L288">
        <v>83</v>
      </c>
      <c r="M288">
        <v>83</v>
      </c>
      <c r="N288">
        <v>83</v>
      </c>
      <c r="O288">
        <v>83</v>
      </c>
      <c r="P288">
        <v>83</v>
      </c>
      <c r="Q288">
        <v>1</v>
      </c>
      <c r="W288"/>
      <c r="X288"/>
      <c r="Y288"/>
    </row>
    <row r="289" spans="1:25" x14ac:dyDescent="0.3">
      <c r="A289" t="str">
        <f>Table_Capacity_HD_frontsheet[[#This Row],[Name]]&amp;B289</f>
        <v>EnfieldSocial support (including VCS) (pathway 0)</v>
      </c>
      <c r="B289" t="str">
        <f>VLOOKUP(Table_Capacity_HD_frontsheet[[#This Row],[Service Area]],PathwayLookup!A:B,2,0)</f>
        <v>Social support (including VCS) (pathway 0)</v>
      </c>
      <c r="C289" t="s">
        <v>147</v>
      </c>
      <c r="D289" t="s">
        <v>726</v>
      </c>
      <c r="E289">
        <v>83</v>
      </c>
      <c r="F289">
        <v>83</v>
      </c>
      <c r="G289">
        <v>83</v>
      </c>
      <c r="H289">
        <v>83</v>
      </c>
      <c r="I289">
        <v>83</v>
      </c>
      <c r="J289">
        <v>83</v>
      </c>
      <c r="K289">
        <v>83</v>
      </c>
      <c r="L289">
        <v>83</v>
      </c>
      <c r="M289">
        <v>83</v>
      </c>
      <c r="N289">
        <v>83</v>
      </c>
      <c r="O289">
        <v>83</v>
      </c>
      <c r="P289">
        <v>83</v>
      </c>
      <c r="R289">
        <v>1</v>
      </c>
      <c r="W289"/>
      <c r="X289"/>
      <c r="Y289"/>
    </row>
    <row r="290" spans="1:25" x14ac:dyDescent="0.3">
      <c r="A290" t="str">
        <f>Table_Capacity_HD_frontsheet[[#This Row],[Name]]&amp;B290</f>
        <v>EnfieldReablement &amp; Rehabilitation at home  (pathway 1)</v>
      </c>
      <c r="B290" t="str">
        <f>VLOOKUP(Table_Capacity_HD_frontsheet[[#This Row],[Service Area]],PathwayLookup!A:B,2,0)</f>
        <v>Reablement &amp; Rehabilitation at home  (pathway 1)</v>
      </c>
      <c r="C290" t="s">
        <v>147</v>
      </c>
      <c r="D290" t="s">
        <v>728</v>
      </c>
      <c r="E290">
        <v>70</v>
      </c>
      <c r="F290">
        <v>71</v>
      </c>
      <c r="G290">
        <v>72</v>
      </c>
      <c r="H290">
        <v>73</v>
      </c>
      <c r="I290">
        <v>74</v>
      </c>
      <c r="J290">
        <v>75</v>
      </c>
      <c r="K290">
        <v>76</v>
      </c>
      <c r="L290">
        <v>78</v>
      </c>
      <c r="M290">
        <v>80</v>
      </c>
      <c r="N290">
        <v>82</v>
      </c>
      <c r="O290">
        <v>84</v>
      </c>
      <c r="P290">
        <v>86</v>
      </c>
      <c r="R290">
        <v>1</v>
      </c>
      <c r="W290"/>
      <c r="X290"/>
      <c r="Y290"/>
    </row>
    <row r="291" spans="1:25" x14ac:dyDescent="0.3">
      <c r="A291" t="str">
        <f>Table_Capacity_HD_frontsheet[[#This Row],[Name]]&amp;B291</f>
        <v>EnfieldReablement &amp; Rehabilitation at home  (pathway 1)</v>
      </c>
      <c r="B291" t="str">
        <f>VLOOKUP(Table_Capacity_HD_frontsheet[[#This Row],[Service Area]],PathwayLookup!A:B,2,0)</f>
        <v>Reablement &amp; Rehabilitation at home  (pathway 1)</v>
      </c>
      <c r="C291" t="s">
        <v>147</v>
      </c>
      <c r="D291" t="s">
        <v>721</v>
      </c>
      <c r="E291">
        <v>0</v>
      </c>
      <c r="F291">
        <v>0</v>
      </c>
      <c r="G291">
        <v>0</v>
      </c>
      <c r="H291">
        <v>0</v>
      </c>
      <c r="I291">
        <v>0</v>
      </c>
      <c r="J291">
        <v>0</v>
      </c>
      <c r="K291">
        <v>0</v>
      </c>
      <c r="L291">
        <v>0</v>
      </c>
      <c r="M291">
        <v>0</v>
      </c>
      <c r="N291">
        <v>0</v>
      </c>
      <c r="O291">
        <v>0</v>
      </c>
      <c r="P291">
        <v>0</v>
      </c>
      <c r="Q291">
        <v>1</v>
      </c>
      <c r="W291"/>
      <c r="X291"/>
      <c r="Y291"/>
    </row>
    <row r="292" spans="1:25" x14ac:dyDescent="0.3">
      <c r="A292" t="str">
        <f>Table_Capacity_HD_frontsheet[[#This Row],[Name]]&amp;B292</f>
        <v>EnfieldShort term domiciliary care (pathway 1)</v>
      </c>
      <c r="B292" t="str">
        <f>VLOOKUP(Table_Capacity_HD_frontsheet[[#This Row],[Service Area]],PathwayLookup!A:B,2,0)</f>
        <v>Short term domiciliary care (pathway 1)</v>
      </c>
      <c r="C292" t="s">
        <v>147</v>
      </c>
      <c r="D292" t="s">
        <v>730</v>
      </c>
      <c r="E292">
        <v>30</v>
      </c>
      <c r="F292">
        <v>30</v>
      </c>
      <c r="G292">
        <v>30</v>
      </c>
      <c r="H292">
        <v>30</v>
      </c>
      <c r="I292">
        <v>30</v>
      </c>
      <c r="J292">
        <v>30</v>
      </c>
      <c r="K292">
        <v>30</v>
      </c>
      <c r="L292">
        <v>30</v>
      </c>
      <c r="M292">
        <v>30</v>
      </c>
      <c r="N292">
        <v>30</v>
      </c>
      <c r="O292">
        <v>30</v>
      </c>
      <c r="P292">
        <v>30</v>
      </c>
      <c r="R292">
        <v>1</v>
      </c>
      <c r="W292"/>
      <c r="X292"/>
      <c r="Y292"/>
    </row>
    <row r="293" spans="1:25" x14ac:dyDescent="0.3">
      <c r="A293" t="str">
        <f>Table_Capacity_HD_frontsheet[[#This Row],[Name]]&amp;B293</f>
        <v>EnfieldReablement &amp; Rehabilitation in a bedded setting (pathway 2)</v>
      </c>
      <c r="B293" t="str">
        <f>VLOOKUP(Table_Capacity_HD_frontsheet[[#This Row],[Service Area]],PathwayLookup!A:B,2,0)</f>
        <v>Reablement &amp; Rehabilitation in a bedded setting (pathway 2)</v>
      </c>
      <c r="C293" t="s">
        <v>147</v>
      </c>
      <c r="D293" t="s">
        <v>723</v>
      </c>
      <c r="E293">
        <v>0</v>
      </c>
      <c r="F293">
        <v>0</v>
      </c>
      <c r="G293">
        <v>0</v>
      </c>
      <c r="H293">
        <v>0</v>
      </c>
      <c r="I293">
        <v>0</v>
      </c>
      <c r="J293">
        <v>0</v>
      </c>
      <c r="K293">
        <v>0</v>
      </c>
      <c r="L293">
        <v>0</v>
      </c>
      <c r="M293">
        <v>0</v>
      </c>
      <c r="N293">
        <v>0</v>
      </c>
      <c r="O293">
        <v>0</v>
      </c>
      <c r="P293">
        <v>0</v>
      </c>
      <c r="Q293">
        <v>1</v>
      </c>
      <c r="W293"/>
      <c r="X293"/>
      <c r="Y293"/>
    </row>
    <row r="294" spans="1:25" x14ac:dyDescent="0.3">
      <c r="A294" t="str">
        <f>Table_Capacity_HD_frontsheet[[#This Row],[Name]]&amp;B294</f>
        <v>EnfieldReablement &amp; Rehabilitation in a bedded setting (pathway 2)</v>
      </c>
      <c r="B294" t="str">
        <f>VLOOKUP(Table_Capacity_HD_frontsheet[[#This Row],[Service Area]],PathwayLookup!A:B,2,0)</f>
        <v>Reablement &amp; Rehabilitation in a bedded setting (pathway 2)</v>
      </c>
      <c r="C294" t="s">
        <v>147</v>
      </c>
      <c r="D294" t="s">
        <v>725</v>
      </c>
      <c r="E294">
        <v>0</v>
      </c>
      <c r="F294">
        <v>0</v>
      </c>
      <c r="G294">
        <v>0</v>
      </c>
      <c r="H294">
        <v>0</v>
      </c>
      <c r="I294">
        <v>0</v>
      </c>
      <c r="J294">
        <v>0</v>
      </c>
      <c r="K294">
        <v>0</v>
      </c>
      <c r="L294">
        <v>0</v>
      </c>
      <c r="M294">
        <v>0</v>
      </c>
      <c r="N294">
        <v>0</v>
      </c>
      <c r="O294">
        <v>0</v>
      </c>
      <c r="P294">
        <v>0</v>
      </c>
      <c r="Q294">
        <v>1</v>
      </c>
      <c r="W294"/>
      <c r="X294"/>
      <c r="Y294"/>
    </row>
    <row r="295" spans="1:25" x14ac:dyDescent="0.3">
      <c r="A295" t="str">
        <f>Table_Capacity_HD_frontsheet[[#This Row],[Name]]&amp;B295</f>
        <v>EnfieldShort-term residential/nursing care for someone likely to require a longer-term care home placement (pathway 3)</v>
      </c>
      <c r="B295" t="str">
        <f>VLOOKUP(Table_Capacity_HD_frontsheet[[#This Row],[Service Area]],PathwayLookup!A:B,2,0)</f>
        <v>Short-term residential/nursing care for someone likely to require a longer-term care home placement (pathway 3)</v>
      </c>
      <c r="C295" t="s">
        <v>147</v>
      </c>
      <c r="D295" t="s">
        <v>731</v>
      </c>
      <c r="E295">
        <v>12</v>
      </c>
      <c r="F295">
        <v>12</v>
      </c>
      <c r="G295">
        <v>12</v>
      </c>
      <c r="H295">
        <v>12</v>
      </c>
      <c r="I295">
        <v>12</v>
      </c>
      <c r="J295">
        <v>12</v>
      </c>
      <c r="K295">
        <v>12</v>
      </c>
      <c r="L295">
        <v>12</v>
      </c>
      <c r="M295">
        <v>12</v>
      </c>
      <c r="N295">
        <v>12</v>
      </c>
      <c r="O295">
        <v>12</v>
      </c>
      <c r="P295">
        <v>12</v>
      </c>
      <c r="R295">
        <v>1</v>
      </c>
      <c r="W295"/>
      <c r="X295"/>
      <c r="Y295"/>
    </row>
    <row r="296" spans="1:25" x14ac:dyDescent="0.3">
      <c r="A296" t="str">
        <f>Table_Capacity_HD_frontsheet[[#This Row],[Name]]&amp;B296</f>
        <v>EssexSocial support (including VCS) (pathway 0)</v>
      </c>
      <c r="B296" t="str">
        <f>VLOOKUP(Table_Capacity_HD_frontsheet[[#This Row],[Service Area]],PathwayLookup!A:B,2,0)</f>
        <v>Social support (including VCS) (pathway 0)</v>
      </c>
      <c r="C296" t="s">
        <v>149</v>
      </c>
      <c r="D296" t="s">
        <v>726</v>
      </c>
      <c r="E296">
        <v>5959</v>
      </c>
      <c r="F296">
        <v>6076</v>
      </c>
      <c r="G296">
        <v>5963</v>
      </c>
      <c r="H296">
        <v>6070</v>
      </c>
      <c r="I296">
        <v>6048</v>
      </c>
      <c r="J296">
        <v>6074</v>
      </c>
      <c r="K296">
        <v>6248</v>
      </c>
      <c r="L296">
        <v>6241</v>
      </c>
      <c r="M296">
        <v>6305</v>
      </c>
      <c r="N296">
        <v>6251</v>
      </c>
      <c r="O296">
        <v>6205</v>
      </c>
      <c r="P296">
        <v>6315</v>
      </c>
      <c r="W296"/>
      <c r="X296"/>
      <c r="Y296"/>
    </row>
    <row r="297" spans="1:25" x14ac:dyDescent="0.3">
      <c r="A297" t="str">
        <f>Table_Capacity_HD_frontsheet[[#This Row],[Name]]&amp;B297</f>
        <v>EssexReablement &amp; Rehabilitation at home  (pathway 1)</v>
      </c>
      <c r="B297" t="str">
        <f>VLOOKUP(Table_Capacity_HD_frontsheet[[#This Row],[Service Area]],PathwayLookup!A:B,2,0)</f>
        <v>Reablement &amp; Rehabilitation at home  (pathway 1)</v>
      </c>
      <c r="C297" t="s">
        <v>149</v>
      </c>
      <c r="D297" t="s">
        <v>728</v>
      </c>
      <c r="E297">
        <v>623</v>
      </c>
      <c r="F297">
        <v>649</v>
      </c>
      <c r="G297">
        <v>711</v>
      </c>
      <c r="H297">
        <v>680</v>
      </c>
      <c r="I297">
        <v>711</v>
      </c>
      <c r="J297">
        <v>680</v>
      </c>
      <c r="K297">
        <v>737</v>
      </c>
      <c r="L297">
        <v>737</v>
      </c>
      <c r="M297">
        <v>643</v>
      </c>
      <c r="N297">
        <v>788</v>
      </c>
      <c r="O297">
        <v>757</v>
      </c>
      <c r="P297">
        <v>726</v>
      </c>
      <c r="R297">
        <v>1</v>
      </c>
      <c r="W297"/>
      <c r="X297"/>
      <c r="Y297"/>
    </row>
    <row r="298" spans="1:25" x14ac:dyDescent="0.3">
      <c r="A298" t="str">
        <f>Table_Capacity_HD_frontsheet[[#This Row],[Name]]&amp;B298</f>
        <v>EssexReablement &amp; Rehabilitation at home  (pathway 1)</v>
      </c>
      <c r="B298" t="str">
        <f>VLOOKUP(Table_Capacity_HD_frontsheet[[#This Row],[Service Area]],PathwayLookup!A:B,2,0)</f>
        <v>Reablement &amp; Rehabilitation at home  (pathway 1)</v>
      </c>
      <c r="C298" t="s">
        <v>149</v>
      </c>
      <c r="D298" t="s">
        <v>721</v>
      </c>
      <c r="E298">
        <v>621</v>
      </c>
      <c r="F298">
        <v>608</v>
      </c>
      <c r="G298">
        <v>589</v>
      </c>
      <c r="H298">
        <v>676</v>
      </c>
      <c r="I298">
        <v>648</v>
      </c>
      <c r="J298">
        <v>625</v>
      </c>
      <c r="K298">
        <v>640</v>
      </c>
      <c r="L298">
        <v>567</v>
      </c>
      <c r="M298">
        <v>623</v>
      </c>
      <c r="N298">
        <v>650</v>
      </c>
      <c r="O298">
        <v>647</v>
      </c>
      <c r="P298">
        <v>710</v>
      </c>
      <c r="W298"/>
      <c r="X298"/>
      <c r="Y298"/>
    </row>
    <row r="299" spans="1:25" x14ac:dyDescent="0.3">
      <c r="A299" t="str">
        <f>Table_Capacity_HD_frontsheet[[#This Row],[Name]]&amp;B299</f>
        <v>EssexShort term domiciliary care (pathway 1)</v>
      </c>
      <c r="B299" t="str">
        <f>VLOOKUP(Table_Capacity_HD_frontsheet[[#This Row],[Service Area]],PathwayLookup!A:B,2,0)</f>
        <v>Short term domiciliary care (pathway 1)</v>
      </c>
      <c r="C299" t="s">
        <v>149</v>
      </c>
      <c r="D299" t="s">
        <v>730</v>
      </c>
      <c r="E299">
        <v>313</v>
      </c>
      <c r="F299">
        <v>252</v>
      </c>
      <c r="G299">
        <v>277</v>
      </c>
      <c r="H299">
        <v>264</v>
      </c>
      <c r="I299">
        <v>277</v>
      </c>
      <c r="J299">
        <v>264</v>
      </c>
      <c r="K299">
        <v>277</v>
      </c>
      <c r="L299">
        <v>277</v>
      </c>
      <c r="M299">
        <v>240</v>
      </c>
      <c r="N299">
        <v>277</v>
      </c>
      <c r="O299">
        <v>264</v>
      </c>
      <c r="P299">
        <v>252</v>
      </c>
      <c r="R299">
        <v>1</v>
      </c>
      <c r="W299"/>
      <c r="X299"/>
      <c r="Y299"/>
    </row>
    <row r="300" spans="1:25" x14ac:dyDescent="0.3">
      <c r="A300" t="str">
        <f>Table_Capacity_HD_frontsheet[[#This Row],[Name]]&amp;B300</f>
        <v>EssexReablement &amp; Rehabilitation in a bedded setting (pathway 2)</v>
      </c>
      <c r="B300" t="str">
        <f>VLOOKUP(Table_Capacity_HD_frontsheet[[#This Row],[Service Area]],PathwayLookup!A:B,2,0)</f>
        <v>Reablement &amp; Rehabilitation in a bedded setting (pathway 2)</v>
      </c>
      <c r="C300" t="s">
        <v>149</v>
      </c>
      <c r="D300" t="s">
        <v>723</v>
      </c>
      <c r="E300">
        <v>143</v>
      </c>
      <c r="F300">
        <v>154</v>
      </c>
      <c r="G300">
        <v>165</v>
      </c>
      <c r="H300">
        <v>160</v>
      </c>
      <c r="I300">
        <v>165</v>
      </c>
      <c r="J300">
        <v>160</v>
      </c>
      <c r="K300">
        <v>214</v>
      </c>
      <c r="L300">
        <v>214</v>
      </c>
      <c r="M300">
        <v>198</v>
      </c>
      <c r="N300">
        <v>214</v>
      </c>
      <c r="O300">
        <v>209</v>
      </c>
      <c r="P300">
        <v>203</v>
      </c>
      <c r="R300">
        <v>1</v>
      </c>
      <c r="W300"/>
      <c r="X300"/>
      <c r="Y300"/>
    </row>
    <row r="301" spans="1:25" x14ac:dyDescent="0.3">
      <c r="A301" t="str">
        <f>Table_Capacity_HD_frontsheet[[#This Row],[Name]]&amp;B301</f>
        <v>EssexReablement &amp; Rehabilitation in a bedded setting (pathway 2)</v>
      </c>
      <c r="B301" t="str">
        <f>VLOOKUP(Table_Capacity_HD_frontsheet[[#This Row],[Service Area]],PathwayLookup!A:B,2,0)</f>
        <v>Reablement &amp; Rehabilitation in a bedded setting (pathway 2)</v>
      </c>
      <c r="C301" t="s">
        <v>149</v>
      </c>
      <c r="D301" t="s">
        <v>725</v>
      </c>
      <c r="E301">
        <v>220</v>
      </c>
      <c r="F301">
        <v>215</v>
      </c>
      <c r="G301">
        <v>210</v>
      </c>
      <c r="H301">
        <v>212</v>
      </c>
      <c r="I301">
        <v>210</v>
      </c>
      <c r="J301">
        <v>212</v>
      </c>
      <c r="K301">
        <v>210</v>
      </c>
      <c r="L301">
        <v>210</v>
      </c>
      <c r="M301">
        <v>217</v>
      </c>
      <c r="N301">
        <v>210</v>
      </c>
      <c r="O301">
        <v>212</v>
      </c>
      <c r="P301">
        <v>215</v>
      </c>
      <c r="W301"/>
      <c r="X301"/>
      <c r="Y301"/>
    </row>
    <row r="302" spans="1:25" x14ac:dyDescent="0.3">
      <c r="A302" t="str">
        <f>Table_Capacity_HD_frontsheet[[#This Row],[Name]]&amp;B302</f>
        <v>EssexShort-term residential/nursing care for someone likely to require a longer-term care home placement (pathway 3)</v>
      </c>
      <c r="B302" t="str">
        <f>VLOOKUP(Table_Capacity_HD_frontsheet[[#This Row],[Service Area]],PathwayLookup!A:B,2,0)</f>
        <v>Short-term residential/nursing care for someone likely to require a longer-term care home placement (pathway 3)</v>
      </c>
      <c r="C302" t="s">
        <v>149</v>
      </c>
      <c r="D302" t="s">
        <v>731</v>
      </c>
      <c r="E302">
        <v>46</v>
      </c>
      <c r="F302">
        <v>51</v>
      </c>
      <c r="G302">
        <v>55</v>
      </c>
      <c r="H302">
        <v>53</v>
      </c>
      <c r="I302">
        <v>55</v>
      </c>
      <c r="J302">
        <v>53</v>
      </c>
      <c r="K302">
        <v>55</v>
      </c>
      <c r="L302">
        <v>55</v>
      </c>
      <c r="M302">
        <v>49</v>
      </c>
      <c r="N302">
        <v>55</v>
      </c>
      <c r="O302">
        <v>53</v>
      </c>
      <c r="P302">
        <v>51</v>
      </c>
      <c r="W302"/>
      <c r="X302"/>
      <c r="Y302"/>
    </row>
    <row r="303" spans="1:25" x14ac:dyDescent="0.3">
      <c r="A303" t="str">
        <f>Table_Capacity_HD_frontsheet[[#This Row],[Name]]&amp;B303</f>
        <v>GatesheadSocial support (including VCS) (pathway 0)</v>
      </c>
      <c r="B303" t="str">
        <f>VLOOKUP(Table_Capacity_HD_frontsheet[[#This Row],[Service Area]],PathwayLookup!A:B,2,0)</f>
        <v>Social support (including VCS) (pathway 0)</v>
      </c>
      <c r="C303" t="s">
        <v>151</v>
      </c>
      <c r="D303" t="s">
        <v>726</v>
      </c>
      <c r="E303">
        <v>330</v>
      </c>
      <c r="F303">
        <v>341</v>
      </c>
      <c r="G303">
        <v>330</v>
      </c>
      <c r="H303">
        <v>341</v>
      </c>
      <c r="I303">
        <v>341</v>
      </c>
      <c r="J303">
        <v>330</v>
      </c>
      <c r="K303">
        <v>341</v>
      </c>
      <c r="L303">
        <v>330</v>
      </c>
      <c r="M303">
        <v>341</v>
      </c>
      <c r="N303">
        <v>341</v>
      </c>
      <c r="O303">
        <v>319</v>
      </c>
      <c r="P303">
        <v>341</v>
      </c>
      <c r="Q303">
        <v>1</v>
      </c>
      <c r="W303"/>
      <c r="X303"/>
      <c r="Y303"/>
    </row>
    <row r="304" spans="1:25" x14ac:dyDescent="0.3">
      <c r="A304" t="str">
        <f>Table_Capacity_HD_frontsheet[[#This Row],[Name]]&amp;B304</f>
        <v>GatesheadReablement &amp; Rehabilitation at home  (pathway 1)</v>
      </c>
      <c r="B304" t="str">
        <f>VLOOKUP(Table_Capacity_HD_frontsheet[[#This Row],[Service Area]],PathwayLookup!A:B,2,0)</f>
        <v>Reablement &amp; Rehabilitation at home  (pathway 1)</v>
      </c>
      <c r="C304" t="s">
        <v>151</v>
      </c>
      <c r="D304" t="s">
        <v>728</v>
      </c>
      <c r="E304">
        <v>65</v>
      </c>
      <c r="F304">
        <v>65</v>
      </c>
      <c r="G304">
        <v>65</v>
      </c>
      <c r="H304">
        <v>65</v>
      </c>
      <c r="I304">
        <v>65</v>
      </c>
      <c r="J304">
        <v>65</v>
      </c>
      <c r="K304">
        <v>75</v>
      </c>
      <c r="L304">
        <v>75</v>
      </c>
      <c r="M304">
        <v>80</v>
      </c>
      <c r="N304">
        <v>80</v>
      </c>
      <c r="O304">
        <v>80</v>
      </c>
      <c r="P304">
        <v>80</v>
      </c>
      <c r="S304">
        <v>1</v>
      </c>
      <c r="W304"/>
      <c r="X304"/>
      <c r="Y304"/>
    </row>
    <row r="305" spans="1:25" x14ac:dyDescent="0.3">
      <c r="A305" t="str">
        <f>Table_Capacity_HD_frontsheet[[#This Row],[Name]]&amp;B305</f>
        <v>GatesheadReablement &amp; Rehabilitation at home  (pathway 1)</v>
      </c>
      <c r="B305" t="str">
        <f>VLOOKUP(Table_Capacity_HD_frontsheet[[#This Row],[Service Area]],PathwayLookup!A:B,2,0)</f>
        <v>Reablement &amp; Rehabilitation at home  (pathway 1)</v>
      </c>
      <c r="C305" t="s">
        <v>151</v>
      </c>
      <c r="D305" t="s">
        <v>721</v>
      </c>
      <c r="E305">
        <v>76</v>
      </c>
      <c r="F305">
        <v>63</v>
      </c>
      <c r="G305">
        <v>70</v>
      </c>
      <c r="H305">
        <v>77</v>
      </c>
      <c r="I305">
        <v>66</v>
      </c>
      <c r="J305">
        <v>76</v>
      </c>
      <c r="K305">
        <v>72</v>
      </c>
      <c r="L305">
        <v>71</v>
      </c>
      <c r="M305">
        <v>68</v>
      </c>
      <c r="N305">
        <v>86</v>
      </c>
      <c r="O305">
        <v>96</v>
      </c>
      <c r="P305">
        <v>65</v>
      </c>
      <c r="S305">
        <v>1</v>
      </c>
      <c r="W305"/>
      <c r="X305"/>
      <c r="Y305"/>
    </row>
    <row r="306" spans="1:25" x14ac:dyDescent="0.3">
      <c r="A306" t="str">
        <f>Table_Capacity_HD_frontsheet[[#This Row],[Name]]&amp;B306</f>
        <v>GatesheadShort term domiciliary care (pathway 1)</v>
      </c>
      <c r="B306" t="str">
        <f>VLOOKUP(Table_Capacity_HD_frontsheet[[#This Row],[Service Area]],PathwayLookup!A:B,2,0)</f>
        <v>Short term domiciliary care (pathway 1)</v>
      </c>
      <c r="C306" t="s">
        <v>151</v>
      </c>
      <c r="D306" t="s">
        <v>730</v>
      </c>
      <c r="E306">
        <v>41</v>
      </c>
      <c r="F306">
        <v>42</v>
      </c>
      <c r="G306">
        <v>20</v>
      </c>
      <c r="H306">
        <v>21</v>
      </c>
      <c r="I306">
        <v>21</v>
      </c>
      <c r="J306">
        <v>20</v>
      </c>
      <c r="K306">
        <v>63</v>
      </c>
      <c r="L306">
        <v>61</v>
      </c>
      <c r="M306">
        <v>63</v>
      </c>
      <c r="N306">
        <v>63</v>
      </c>
      <c r="O306">
        <v>59</v>
      </c>
      <c r="P306">
        <v>63</v>
      </c>
      <c r="S306">
        <v>1</v>
      </c>
      <c r="W306"/>
      <c r="X306"/>
      <c r="Y306"/>
    </row>
    <row r="307" spans="1:25" x14ac:dyDescent="0.3">
      <c r="A307" t="str">
        <f>Table_Capacity_HD_frontsheet[[#This Row],[Name]]&amp;B307</f>
        <v>GatesheadReablement &amp; Rehabilitation in a bedded setting (pathway 2)</v>
      </c>
      <c r="B307" t="str">
        <f>VLOOKUP(Table_Capacity_HD_frontsheet[[#This Row],[Service Area]],PathwayLookup!A:B,2,0)</f>
        <v>Reablement &amp; Rehabilitation in a bedded setting (pathway 2)</v>
      </c>
      <c r="C307" t="s">
        <v>151</v>
      </c>
      <c r="D307" t="s">
        <v>723</v>
      </c>
      <c r="E307">
        <v>12</v>
      </c>
      <c r="F307">
        <v>12</v>
      </c>
      <c r="G307">
        <v>12</v>
      </c>
      <c r="H307">
        <v>12</v>
      </c>
      <c r="I307">
        <v>12</v>
      </c>
      <c r="J307">
        <v>12</v>
      </c>
      <c r="K307">
        <v>9</v>
      </c>
      <c r="L307">
        <v>5</v>
      </c>
      <c r="M307">
        <v>17</v>
      </c>
      <c r="N307">
        <v>17</v>
      </c>
      <c r="O307">
        <v>17</v>
      </c>
      <c r="P307">
        <v>17</v>
      </c>
      <c r="R307">
        <v>0.86</v>
      </c>
      <c r="S307">
        <v>0.14000000000000001</v>
      </c>
      <c r="W307"/>
      <c r="X307"/>
      <c r="Y307"/>
    </row>
    <row r="308" spans="1:25" x14ac:dyDescent="0.3">
      <c r="A308" t="str">
        <f>Table_Capacity_HD_frontsheet[[#This Row],[Name]]&amp;B308</f>
        <v>GatesheadReablement &amp; Rehabilitation in a bedded setting (pathway 2)</v>
      </c>
      <c r="B308" t="str">
        <f>VLOOKUP(Table_Capacity_HD_frontsheet[[#This Row],[Service Area]],PathwayLookup!A:B,2,0)</f>
        <v>Reablement &amp; Rehabilitation in a bedded setting (pathway 2)</v>
      </c>
      <c r="C308" t="s">
        <v>151</v>
      </c>
      <c r="D308" t="s">
        <v>725</v>
      </c>
      <c r="E308">
        <v>17</v>
      </c>
      <c r="F308">
        <v>17</v>
      </c>
      <c r="G308">
        <v>17</v>
      </c>
      <c r="H308">
        <v>17</v>
      </c>
      <c r="I308">
        <v>17</v>
      </c>
      <c r="J308">
        <v>17</v>
      </c>
      <c r="K308">
        <v>11</v>
      </c>
      <c r="L308">
        <v>6</v>
      </c>
      <c r="M308">
        <v>18</v>
      </c>
      <c r="N308">
        <v>18</v>
      </c>
      <c r="O308">
        <v>18</v>
      </c>
      <c r="P308">
        <v>18</v>
      </c>
      <c r="R308">
        <v>0.86</v>
      </c>
      <c r="S308">
        <v>0.14000000000000001</v>
      </c>
      <c r="W308"/>
      <c r="X308"/>
      <c r="Y308"/>
    </row>
    <row r="309" spans="1:25" x14ac:dyDescent="0.3">
      <c r="A309" t="str">
        <f>Table_Capacity_HD_frontsheet[[#This Row],[Name]]&amp;B309</f>
        <v>GatesheadShort-term residential/nursing care for someone likely to require a longer-term care home placement (pathway 3)</v>
      </c>
      <c r="B309" t="str">
        <f>VLOOKUP(Table_Capacity_HD_frontsheet[[#This Row],[Service Area]],PathwayLookup!A:B,2,0)</f>
        <v>Short-term residential/nursing care for someone likely to require a longer-term care home placement (pathway 3)</v>
      </c>
      <c r="C309" t="s">
        <v>151</v>
      </c>
      <c r="D309" t="s">
        <v>731</v>
      </c>
      <c r="E309">
        <v>17</v>
      </c>
      <c r="F309">
        <v>18</v>
      </c>
      <c r="G309">
        <v>17</v>
      </c>
      <c r="H309">
        <v>18</v>
      </c>
      <c r="I309">
        <v>18</v>
      </c>
      <c r="J309">
        <v>17</v>
      </c>
      <c r="K309">
        <v>18</v>
      </c>
      <c r="L309">
        <v>17</v>
      </c>
      <c r="M309">
        <v>18</v>
      </c>
      <c r="N309">
        <v>18</v>
      </c>
      <c r="O309">
        <v>17</v>
      </c>
      <c r="P309">
        <v>18</v>
      </c>
      <c r="S309">
        <v>1</v>
      </c>
      <c r="W309"/>
      <c r="X309"/>
      <c r="Y309"/>
    </row>
    <row r="310" spans="1:25" x14ac:dyDescent="0.3">
      <c r="A310" t="str">
        <f>Table_Capacity_HD_frontsheet[[#This Row],[Name]]&amp;B310</f>
        <v>GloucestershireSocial support (including VCS) (pathway 0)</v>
      </c>
      <c r="B310" t="str">
        <f>VLOOKUP(Table_Capacity_HD_frontsheet[[#This Row],[Service Area]],PathwayLookup!A:B,2,0)</f>
        <v>Social support (including VCS) (pathway 0)</v>
      </c>
      <c r="C310" t="s">
        <v>153</v>
      </c>
      <c r="D310" t="s">
        <v>726</v>
      </c>
      <c r="E310">
        <v>135</v>
      </c>
      <c r="F310">
        <v>135</v>
      </c>
      <c r="G310">
        <v>135</v>
      </c>
      <c r="H310">
        <v>135</v>
      </c>
      <c r="I310">
        <v>135</v>
      </c>
      <c r="J310">
        <v>135</v>
      </c>
      <c r="K310">
        <v>135</v>
      </c>
      <c r="L310">
        <v>135</v>
      </c>
      <c r="M310">
        <v>135</v>
      </c>
      <c r="N310">
        <v>135</v>
      </c>
      <c r="O310">
        <v>135</v>
      </c>
      <c r="P310">
        <v>135</v>
      </c>
      <c r="Q310">
        <v>0.51</v>
      </c>
      <c r="R310">
        <v>0.49</v>
      </c>
      <c r="W310"/>
      <c r="X310"/>
      <c r="Y310"/>
    </row>
    <row r="311" spans="1:25" x14ac:dyDescent="0.3">
      <c r="A311" t="str">
        <f>Table_Capacity_HD_frontsheet[[#This Row],[Name]]&amp;B311</f>
        <v>GloucestershireReablement &amp; Rehabilitation at home  (pathway 1)</v>
      </c>
      <c r="B311" t="str">
        <f>VLOOKUP(Table_Capacity_HD_frontsheet[[#This Row],[Service Area]],PathwayLookup!A:B,2,0)</f>
        <v>Reablement &amp; Rehabilitation at home  (pathway 1)</v>
      </c>
      <c r="C311" t="s">
        <v>153</v>
      </c>
      <c r="D311" t="s">
        <v>728</v>
      </c>
      <c r="E311">
        <v>56</v>
      </c>
      <c r="F311">
        <v>57</v>
      </c>
      <c r="G311">
        <v>74</v>
      </c>
      <c r="H311">
        <v>84</v>
      </c>
      <c r="I311">
        <v>93</v>
      </c>
      <c r="J311">
        <v>101</v>
      </c>
      <c r="K311">
        <v>110</v>
      </c>
      <c r="L311">
        <v>118</v>
      </c>
      <c r="M311">
        <v>125</v>
      </c>
      <c r="N311">
        <v>134</v>
      </c>
      <c r="O311">
        <v>142</v>
      </c>
      <c r="P311">
        <v>150</v>
      </c>
      <c r="Q311">
        <v>0.15</v>
      </c>
      <c r="R311">
        <v>0.85</v>
      </c>
      <c r="W311"/>
      <c r="X311"/>
      <c r="Y311"/>
    </row>
    <row r="312" spans="1:25" x14ac:dyDescent="0.3">
      <c r="A312" t="str">
        <f>Table_Capacity_HD_frontsheet[[#This Row],[Name]]&amp;B312</f>
        <v>GloucestershireReablement &amp; Rehabilitation at home  (pathway 1)</v>
      </c>
      <c r="B312" t="str">
        <f>VLOOKUP(Table_Capacity_HD_frontsheet[[#This Row],[Service Area]],PathwayLookup!A:B,2,0)</f>
        <v>Reablement &amp; Rehabilitation at home  (pathway 1)</v>
      </c>
      <c r="C312" t="s">
        <v>153</v>
      </c>
      <c r="D312" t="s">
        <v>721</v>
      </c>
      <c r="E312">
        <v>0</v>
      </c>
      <c r="F312">
        <v>0</v>
      </c>
      <c r="G312">
        <v>0</v>
      </c>
      <c r="H312">
        <v>0</v>
      </c>
      <c r="I312">
        <v>0</v>
      </c>
      <c r="J312">
        <v>0</v>
      </c>
      <c r="K312">
        <v>0</v>
      </c>
      <c r="L312">
        <v>0</v>
      </c>
      <c r="M312">
        <v>0</v>
      </c>
      <c r="N312">
        <v>0</v>
      </c>
      <c r="O312">
        <v>0</v>
      </c>
      <c r="P312">
        <v>0</v>
      </c>
      <c r="Q312">
        <v>0</v>
      </c>
      <c r="R312">
        <v>0</v>
      </c>
      <c r="S312">
        <v>0</v>
      </c>
      <c r="W312"/>
      <c r="X312"/>
      <c r="Y312"/>
    </row>
    <row r="313" spans="1:25" x14ac:dyDescent="0.3">
      <c r="A313" t="str">
        <f>Table_Capacity_HD_frontsheet[[#This Row],[Name]]&amp;B313</f>
        <v>GloucestershireShort term domiciliary care (pathway 1)</v>
      </c>
      <c r="B313" t="str">
        <f>VLOOKUP(Table_Capacity_HD_frontsheet[[#This Row],[Service Area]],PathwayLookup!A:B,2,0)</f>
        <v>Short term domiciliary care (pathway 1)</v>
      </c>
      <c r="C313" t="s">
        <v>153</v>
      </c>
      <c r="D313" t="s">
        <v>730</v>
      </c>
      <c r="E313">
        <v>244</v>
      </c>
      <c r="F313">
        <v>224</v>
      </c>
      <c r="G313">
        <v>200</v>
      </c>
      <c r="H313">
        <v>194</v>
      </c>
      <c r="I313">
        <v>198</v>
      </c>
      <c r="J313">
        <v>201</v>
      </c>
      <c r="K313">
        <v>203</v>
      </c>
      <c r="L313">
        <v>205</v>
      </c>
      <c r="M313">
        <v>207</v>
      </c>
      <c r="N313">
        <v>208</v>
      </c>
      <c r="O313">
        <v>210</v>
      </c>
      <c r="P313">
        <v>211</v>
      </c>
      <c r="S313">
        <v>1</v>
      </c>
      <c r="W313"/>
      <c r="X313"/>
      <c r="Y313"/>
    </row>
    <row r="314" spans="1:25" x14ac:dyDescent="0.3">
      <c r="A314" t="str">
        <f>Table_Capacity_HD_frontsheet[[#This Row],[Name]]&amp;B314</f>
        <v>GloucestershireReablement &amp; Rehabilitation in a bedded setting (pathway 2)</v>
      </c>
      <c r="B314" t="str">
        <f>VLOOKUP(Table_Capacity_HD_frontsheet[[#This Row],[Service Area]],PathwayLookup!A:B,2,0)</f>
        <v>Reablement &amp; Rehabilitation in a bedded setting (pathway 2)</v>
      </c>
      <c r="C314" t="s">
        <v>153</v>
      </c>
      <c r="D314" t="s">
        <v>723</v>
      </c>
      <c r="E314">
        <v>25</v>
      </c>
      <c r="F314">
        <v>30</v>
      </c>
      <c r="G314">
        <v>19</v>
      </c>
      <c r="H314">
        <v>13</v>
      </c>
      <c r="I314">
        <v>12</v>
      </c>
      <c r="J314">
        <v>10</v>
      </c>
      <c r="K314">
        <v>10</v>
      </c>
      <c r="L314">
        <v>8</v>
      </c>
      <c r="M314">
        <v>8</v>
      </c>
      <c r="N314">
        <v>8</v>
      </c>
      <c r="O314">
        <v>8</v>
      </c>
      <c r="P314">
        <v>8</v>
      </c>
      <c r="S314">
        <v>1</v>
      </c>
      <c r="W314"/>
      <c r="X314"/>
      <c r="Y314"/>
    </row>
    <row r="315" spans="1:25" x14ac:dyDescent="0.3">
      <c r="A315" t="str">
        <f>Table_Capacity_HD_frontsheet[[#This Row],[Name]]&amp;B315</f>
        <v>GloucestershireReablement &amp; Rehabilitation in a bedded setting (pathway 2)</v>
      </c>
      <c r="B315" t="str">
        <f>VLOOKUP(Table_Capacity_HD_frontsheet[[#This Row],[Service Area]],PathwayLookup!A:B,2,0)</f>
        <v>Reablement &amp; Rehabilitation in a bedded setting (pathway 2)</v>
      </c>
      <c r="C315" t="s">
        <v>153</v>
      </c>
      <c r="D315" t="s">
        <v>725</v>
      </c>
      <c r="E315">
        <v>0</v>
      </c>
      <c r="F315">
        <v>0</v>
      </c>
      <c r="G315">
        <v>0</v>
      </c>
      <c r="H315">
        <v>0</v>
      </c>
      <c r="I315">
        <v>0</v>
      </c>
      <c r="J315">
        <v>0</v>
      </c>
      <c r="K315">
        <v>0</v>
      </c>
      <c r="L315">
        <v>0</v>
      </c>
      <c r="M315">
        <v>0</v>
      </c>
      <c r="N315">
        <v>0</v>
      </c>
      <c r="O315">
        <v>0</v>
      </c>
      <c r="P315">
        <v>0</v>
      </c>
      <c r="Q315">
        <v>0</v>
      </c>
      <c r="R315">
        <v>0</v>
      </c>
      <c r="S315">
        <v>0</v>
      </c>
      <c r="W315"/>
      <c r="X315"/>
      <c r="Y315"/>
    </row>
    <row r="316" spans="1:25" x14ac:dyDescent="0.3">
      <c r="A316" t="str">
        <f>Table_Capacity_HD_frontsheet[[#This Row],[Name]]&amp;B316</f>
        <v>GloucestershireShort-term residential/nursing care for someone likely to require a longer-term care home placement (pathway 3)</v>
      </c>
      <c r="B316" t="str">
        <f>VLOOKUP(Table_Capacity_HD_frontsheet[[#This Row],[Service Area]],PathwayLookup!A:B,2,0)</f>
        <v>Short-term residential/nursing care for someone likely to require a longer-term care home placement (pathway 3)</v>
      </c>
      <c r="C316" t="s">
        <v>153</v>
      </c>
      <c r="D316" t="s">
        <v>731</v>
      </c>
      <c r="E316">
        <v>128</v>
      </c>
      <c r="F316">
        <v>126</v>
      </c>
      <c r="G316">
        <v>130</v>
      </c>
      <c r="H316">
        <v>87</v>
      </c>
      <c r="I316">
        <v>81</v>
      </c>
      <c r="J316">
        <v>69</v>
      </c>
      <c r="K316">
        <v>69</v>
      </c>
      <c r="L316">
        <v>53</v>
      </c>
      <c r="M316">
        <v>53</v>
      </c>
      <c r="N316">
        <v>53</v>
      </c>
      <c r="O316">
        <v>53</v>
      </c>
      <c r="P316">
        <v>53</v>
      </c>
      <c r="Q316">
        <v>0.85</v>
      </c>
      <c r="R316">
        <v>0.15</v>
      </c>
      <c r="W316"/>
      <c r="X316"/>
      <c r="Y316"/>
    </row>
    <row r="317" spans="1:25" x14ac:dyDescent="0.3">
      <c r="A317" t="str">
        <f>Table_Capacity_HD_frontsheet[[#This Row],[Name]]&amp;B317</f>
        <v>GreenwichSocial support (including VCS) (pathway 0)</v>
      </c>
      <c r="B317" t="str">
        <f>VLOOKUP(Table_Capacity_HD_frontsheet[[#This Row],[Service Area]],PathwayLookup!A:B,2,0)</f>
        <v>Social support (including VCS) (pathway 0)</v>
      </c>
      <c r="C317" t="s">
        <v>155</v>
      </c>
      <c r="D317" t="s">
        <v>726</v>
      </c>
      <c r="E317">
        <v>10</v>
      </c>
      <c r="F317">
        <v>12</v>
      </c>
      <c r="G317">
        <v>15</v>
      </c>
      <c r="H317">
        <v>20</v>
      </c>
      <c r="I317">
        <v>20</v>
      </c>
      <c r="J317">
        <v>27</v>
      </c>
      <c r="K317">
        <v>34</v>
      </c>
      <c r="L317">
        <v>38</v>
      </c>
      <c r="M317">
        <v>43</v>
      </c>
      <c r="N317">
        <v>36</v>
      </c>
      <c r="O317">
        <v>31</v>
      </c>
      <c r="P317">
        <v>20</v>
      </c>
      <c r="Q317">
        <v>1</v>
      </c>
      <c r="R317">
        <v>0</v>
      </c>
      <c r="W317"/>
      <c r="X317"/>
      <c r="Y317"/>
    </row>
    <row r="318" spans="1:25" x14ac:dyDescent="0.3">
      <c r="A318" t="str">
        <f>Table_Capacity_HD_frontsheet[[#This Row],[Name]]&amp;B318</f>
        <v>GreenwichReablement &amp; Rehabilitation at home  (pathway 1)</v>
      </c>
      <c r="B318" t="str">
        <f>VLOOKUP(Table_Capacity_HD_frontsheet[[#This Row],[Service Area]],PathwayLookup!A:B,2,0)</f>
        <v>Reablement &amp; Rehabilitation at home  (pathway 1)</v>
      </c>
      <c r="C318" t="s">
        <v>155</v>
      </c>
      <c r="D318" t="s">
        <v>728</v>
      </c>
      <c r="E318">
        <v>22</v>
      </c>
      <c r="F318">
        <v>24</v>
      </c>
      <c r="G318">
        <v>24</v>
      </c>
      <c r="H318">
        <v>27</v>
      </c>
      <c r="I318">
        <v>28</v>
      </c>
      <c r="J318">
        <v>28</v>
      </c>
      <c r="K318">
        <v>31</v>
      </c>
      <c r="L318">
        <v>30</v>
      </c>
      <c r="M318">
        <v>32</v>
      </c>
      <c r="N318">
        <v>33</v>
      </c>
      <c r="O318">
        <v>30</v>
      </c>
      <c r="P318">
        <v>34</v>
      </c>
      <c r="Q318">
        <v>0</v>
      </c>
      <c r="R318">
        <v>1</v>
      </c>
      <c r="W318"/>
      <c r="X318"/>
      <c r="Y318"/>
    </row>
    <row r="319" spans="1:25" x14ac:dyDescent="0.3">
      <c r="A319" t="str">
        <f>Table_Capacity_HD_frontsheet[[#This Row],[Name]]&amp;B319</f>
        <v>GreenwichReablement &amp; Rehabilitation at home  (pathway 1)</v>
      </c>
      <c r="B319" t="str">
        <f>VLOOKUP(Table_Capacity_HD_frontsheet[[#This Row],[Service Area]],PathwayLookup!A:B,2,0)</f>
        <v>Reablement &amp; Rehabilitation at home  (pathway 1)</v>
      </c>
      <c r="C319" t="s">
        <v>155</v>
      </c>
      <c r="D319" t="s">
        <v>721</v>
      </c>
      <c r="E319">
        <v>69</v>
      </c>
      <c r="F319">
        <v>69</v>
      </c>
      <c r="G319">
        <v>69</v>
      </c>
      <c r="H319">
        <v>69</v>
      </c>
      <c r="I319">
        <v>69</v>
      </c>
      <c r="J319">
        <v>69</v>
      </c>
      <c r="K319">
        <v>69</v>
      </c>
      <c r="L319">
        <v>69</v>
      </c>
      <c r="M319">
        <v>69</v>
      </c>
      <c r="N319">
        <v>69</v>
      </c>
      <c r="O319">
        <v>69</v>
      </c>
      <c r="P319">
        <v>69</v>
      </c>
      <c r="Q319">
        <v>1</v>
      </c>
      <c r="R319">
        <v>0</v>
      </c>
      <c r="W319"/>
      <c r="X319"/>
      <c r="Y319"/>
    </row>
    <row r="320" spans="1:25" x14ac:dyDescent="0.3">
      <c r="A320" t="str">
        <f>Table_Capacity_HD_frontsheet[[#This Row],[Name]]&amp;B320</f>
        <v>GreenwichShort term domiciliary care (pathway 1)</v>
      </c>
      <c r="B320" t="str">
        <f>VLOOKUP(Table_Capacity_HD_frontsheet[[#This Row],[Service Area]],PathwayLookup!A:B,2,0)</f>
        <v>Short term domiciliary care (pathway 1)</v>
      </c>
      <c r="C320" t="s">
        <v>155</v>
      </c>
      <c r="D320" t="s">
        <v>730</v>
      </c>
      <c r="E320">
        <v>110</v>
      </c>
      <c r="F320">
        <v>129</v>
      </c>
      <c r="G320">
        <v>136</v>
      </c>
      <c r="H320">
        <v>123</v>
      </c>
      <c r="I320">
        <v>135</v>
      </c>
      <c r="J320">
        <v>109</v>
      </c>
      <c r="K320">
        <v>111</v>
      </c>
      <c r="L320">
        <v>105</v>
      </c>
      <c r="M320">
        <v>132</v>
      </c>
      <c r="N320">
        <v>86</v>
      </c>
      <c r="O320">
        <v>82</v>
      </c>
      <c r="P320">
        <v>119</v>
      </c>
      <c r="Q320">
        <v>0</v>
      </c>
      <c r="R320">
        <v>1</v>
      </c>
      <c r="W320"/>
      <c r="X320"/>
      <c r="Y320"/>
    </row>
    <row r="321" spans="1:25" x14ac:dyDescent="0.3">
      <c r="A321" t="str">
        <f>Table_Capacity_HD_frontsheet[[#This Row],[Name]]&amp;B321</f>
        <v>GreenwichReablement &amp; Rehabilitation in a bedded setting (pathway 2)</v>
      </c>
      <c r="B321" t="str">
        <f>VLOOKUP(Table_Capacity_HD_frontsheet[[#This Row],[Service Area]],PathwayLookup!A:B,2,0)</f>
        <v>Reablement &amp; Rehabilitation in a bedded setting (pathway 2)</v>
      </c>
      <c r="C321" t="s">
        <v>155</v>
      </c>
      <c r="D321" t="s">
        <v>723</v>
      </c>
      <c r="E321">
        <v>0</v>
      </c>
      <c r="F321">
        <v>0</v>
      </c>
      <c r="G321">
        <v>0</v>
      </c>
      <c r="H321">
        <v>0</v>
      </c>
      <c r="I321">
        <v>0</v>
      </c>
      <c r="J321">
        <v>0</v>
      </c>
      <c r="K321">
        <v>0</v>
      </c>
      <c r="L321">
        <v>0</v>
      </c>
      <c r="M321">
        <v>0</v>
      </c>
      <c r="N321">
        <v>0</v>
      </c>
      <c r="O321">
        <v>0</v>
      </c>
      <c r="P321">
        <v>0</v>
      </c>
      <c r="Q321">
        <v>0</v>
      </c>
      <c r="R321">
        <v>0</v>
      </c>
      <c r="W321"/>
      <c r="X321"/>
      <c r="Y321"/>
    </row>
    <row r="322" spans="1:25" x14ac:dyDescent="0.3">
      <c r="A322" t="str">
        <f>Table_Capacity_HD_frontsheet[[#This Row],[Name]]&amp;B322</f>
        <v>GreenwichReablement &amp; Rehabilitation in a bedded setting (pathway 2)</v>
      </c>
      <c r="B322" t="str">
        <f>VLOOKUP(Table_Capacity_HD_frontsheet[[#This Row],[Service Area]],PathwayLookup!A:B,2,0)</f>
        <v>Reablement &amp; Rehabilitation in a bedded setting (pathway 2)</v>
      </c>
      <c r="C322" t="s">
        <v>155</v>
      </c>
      <c r="D322" t="s">
        <v>725</v>
      </c>
      <c r="E322">
        <v>26</v>
      </c>
      <c r="F322">
        <v>26</v>
      </c>
      <c r="G322">
        <v>26</v>
      </c>
      <c r="H322">
        <v>26</v>
      </c>
      <c r="I322">
        <v>26</v>
      </c>
      <c r="J322">
        <v>26</v>
      </c>
      <c r="K322">
        <v>26</v>
      </c>
      <c r="L322">
        <v>26</v>
      </c>
      <c r="M322">
        <v>26</v>
      </c>
      <c r="N322">
        <v>26</v>
      </c>
      <c r="O322">
        <v>26</v>
      </c>
      <c r="P322">
        <v>26</v>
      </c>
      <c r="Q322">
        <v>1</v>
      </c>
      <c r="R322">
        <v>0</v>
      </c>
      <c r="W322"/>
      <c r="X322"/>
      <c r="Y322"/>
    </row>
    <row r="323" spans="1:25" x14ac:dyDescent="0.3">
      <c r="A323" t="str">
        <f>Table_Capacity_HD_frontsheet[[#This Row],[Name]]&amp;B323</f>
        <v>GreenwichShort-term residential/nursing care for someone likely to require a longer-term care home placement (pathway 3)</v>
      </c>
      <c r="B323" t="str">
        <f>VLOOKUP(Table_Capacity_HD_frontsheet[[#This Row],[Service Area]],PathwayLookup!A:B,2,0)</f>
        <v>Short-term residential/nursing care for someone likely to require a longer-term care home placement (pathway 3)</v>
      </c>
      <c r="C323" t="s">
        <v>155</v>
      </c>
      <c r="D323" t="s">
        <v>731</v>
      </c>
      <c r="E323">
        <v>11</v>
      </c>
      <c r="F323">
        <v>13</v>
      </c>
      <c r="G323">
        <v>11</v>
      </c>
      <c r="H323">
        <v>13</v>
      </c>
      <c r="I323">
        <v>16</v>
      </c>
      <c r="J323">
        <v>11</v>
      </c>
      <c r="K323">
        <v>15</v>
      </c>
      <c r="L323">
        <v>16</v>
      </c>
      <c r="M323">
        <v>10</v>
      </c>
      <c r="N323">
        <v>19</v>
      </c>
      <c r="O323">
        <v>16</v>
      </c>
      <c r="P323">
        <v>17</v>
      </c>
      <c r="Q323">
        <v>0</v>
      </c>
      <c r="R323">
        <v>1</v>
      </c>
      <c r="W323"/>
      <c r="X323"/>
      <c r="Y323"/>
    </row>
    <row r="324" spans="1:25" x14ac:dyDescent="0.3">
      <c r="A324" t="str">
        <f>Table_Capacity_HD_frontsheet[[#This Row],[Name]]&amp;B324</f>
        <v>HackneySocial support (including VCS) (pathway 0)</v>
      </c>
      <c r="B324" t="str">
        <f>VLOOKUP(Table_Capacity_HD_frontsheet[[#This Row],[Service Area]],PathwayLookup!A:B,2,0)</f>
        <v>Social support (including VCS) (pathway 0)</v>
      </c>
      <c r="C324" t="s">
        <v>157</v>
      </c>
      <c r="D324" t="s">
        <v>726</v>
      </c>
      <c r="E324">
        <v>83</v>
      </c>
      <c r="F324">
        <v>83</v>
      </c>
      <c r="G324">
        <v>83</v>
      </c>
      <c r="H324">
        <v>83</v>
      </c>
      <c r="I324">
        <v>83</v>
      </c>
      <c r="J324">
        <v>83</v>
      </c>
      <c r="K324">
        <v>83</v>
      </c>
      <c r="L324">
        <v>83</v>
      </c>
      <c r="M324">
        <v>83</v>
      </c>
      <c r="N324">
        <v>83</v>
      </c>
      <c r="O324">
        <v>83</v>
      </c>
      <c r="P324">
        <v>83</v>
      </c>
      <c r="Q324">
        <v>1</v>
      </c>
      <c r="R324">
        <v>0</v>
      </c>
      <c r="S324">
        <v>0</v>
      </c>
      <c r="W324"/>
      <c r="X324"/>
      <c r="Y324"/>
    </row>
    <row r="325" spans="1:25" x14ac:dyDescent="0.3">
      <c r="A325" t="str">
        <f>Table_Capacity_HD_frontsheet[[#This Row],[Name]]&amp;B325</f>
        <v>HackneyReablement &amp; Rehabilitation at home  (pathway 1)</v>
      </c>
      <c r="B325" t="str">
        <f>VLOOKUP(Table_Capacity_HD_frontsheet[[#This Row],[Service Area]],PathwayLookup!A:B,2,0)</f>
        <v>Reablement &amp; Rehabilitation at home  (pathway 1)</v>
      </c>
      <c r="C325" t="s">
        <v>157</v>
      </c>
      <c r="D325" t="s">
        <v>728</v>
      </c>
      <c r="E325">
        <v>15</v>
      </c>
      <c r="F325">
        <v>15</v>
      </c>
      <c r="G325">
        <v>15</v>
      </c>
      <c r="H325">
        <v>15</v>
      </c>
      <c r="I325">
        <v>15</v>
      </c>
      <c r="J325">
        <v>15</v>
      </c>
      <c r="K325">
        <v>15</v>
      </c>
      <c r="L325">
        <v>15</v>
      </c>
      <c r="M325">
        <v>15</v>
      </c>
      <c r="N325">
        <v>15</v>
      </c>
      <c r="O325">
        <v>15</v>
      </c>
      <c r="P325">
        <v>15</v>
      </c>
      <c r="Q325">
        <v>0</v>
      </c>
      <c r="R325">
        <v>1</v>
      </c>
      <c r="S325">
        <v>0</v>
      </c>
      <c r="W325"/>
      <c r="X325"/>
      <c r="Y325"/>
    </row>
    <row r="326" spans="1:25" x14ac:dyDescent="0.3">
      <c r="A326" t="str">
        <f>Table_Capacity_HD_frontsheet[[#This Row],[Name]]&amp;B326</f>
        <v>HackneyReablement &amp; Rehabilitation at home  (pathway 1)</v>
      </c>
      <c r="B326" t="str">
        <f>VLOOKUP(Table_Capacity_HD_frontsheet[[#This Row],[Service Area]],PathwayLookup!A:B,2,0)</f>
        <v>Reablement &amp; Rehabilitation at home  (pathway 1)</v>
      </c>
      <c r="C326" t="s">
        <v>157</v>
      </c>
      <c r="D326" t="s">
        <v>721</v>
      </c>
      <c r="E326">
        <v>57</v>
      </c>
      <c r="F326">
        <v>57</v>
      </c>
      <c r="G326">
        <v>57</v>
      </c>
      <c r="H326">
        <v>57</v>
      </c>
      <c r="I326">
        <v>57</v>
      </c>
      <c r="J326">
        <v>57</v>
      </c>
      <c r="K326">
        <v>57</v>
      </c>
      <c r="L326">
        <v>57</v>
      </c>
      <c r="M326">
        <v>57</v>
      </c>
      <c r="N326">
        <v>57</v>
      </c>
      <c r="O326">
        <v>57</v>
      </c>
      <c r="P326">
        <v>57</v>
      </c>
      <c r="Q326">
        <v>1</v>
      </c>
      <c r="R326">
        <v>0</v>
      </c>
      <c r="S326">
        <v>0</v>
      </c>
      <c r="W326"/>
      <c r="X326"/>
      <c r="Y326"/>
    </row>
    <row r="327" spans="1:25" x14ac:dyDescent="0.3">
      <c r="A327" t="str">
        <f>Table_Capacity_HD_frontsheet[[#This Row],[Name]]&amp;B327</f>
        <v>HackneyShort term domiciliary care (pathway 1)</v>
      </c>
      <c r="B327" t="str">
        <f>VLOOKUP(Table_Capacity_HD_frontsheet[[#This Row],[Service Area]],PathwayLookup!A:B,2,0)</f>
        <v>Short term domiciliary care (pathway 1)</v>
      </c>
      <c r="C327" t="s">
        <v>157</v>
      </c>
      <c r="D327" t="s">
        <v>730</v>
      </c>
      <c r="E327">
        <v>84</v>
      </c>
      <c r="F327">
        <v>84</v>
      </c>
      <c r="G327">
        <v>84</v>
      </c>
      <c r="H327">
        <v>84</v>
      </c>
      <c r="I327">
        <v>84</v>
      </c>
      <c r="J327">
        <v>84</v>
      </c>
      <c r="K327">
        <v>84</v>
      </c>
      <c r="L327">
        <v>84</v>
      </c>
      <c r="M327">
        <v>84</v>
      </c>
      <c r="N327">
        <v>84</v>
      </c>
      <c r="O327">
        <v>84</v>
      </c>
      <c r="P327">
        <v>84</v>
      </c>
      <c r="Q327">
        <v>0</v>
      </c>
      <c r="R327">
        <v>1</v>
      </c>
      <c r="S327">
        <v>0</v>
      </c>
      <c r="W327"/>
      <c r="X327"/>
      <c r="Y327"/>
    </row>
    <row r="328" spans="1:25" x14ac:dyDescent="0.3">
      <c r="A328" t="str">
        <f>Table_Capacity_HD_frontsheet[[#This Row],[Name]]&amp;B328</f>
        <v>HackneyReablement &amp; Rehabilitation in a bedded setting (pathway 2)</v>
      </c>
      <c r="B328" t="str">
        <f>VLOOKUP(Table_Capacity_HD_frontsheet[[#This Row],[Service Area]],PathwayLookup!A:B,2,0)</f>
        <v>Reablement &amp; Rehabilitation in a bedded setting (pathway 2)</v>
      </c>
      <c r="C328" t="s">
        <v>157</v>
      </c>
      <c r="D328" t="s">
        <v>723</v>
      </c>
      <c r="E328">
        <v>25</v>
      </c>
      <c r="F328">
        <v>25</v>
      </c>
      <c r="G328">
        <v>25</v>
      </c>
      <c r="H328">
        <v>21</v>
      </c>
      <c r="I328">
        <v>21</v>
      </c>
      <c r="J328">
        <v>21</v>
      </c>
      <c r="K328">
        <v>21</v>
      </c>
      <c r="L328">
        <v>21</v>
      </c>
      <c r="M328">
        <v>21</v>
      </c>
      <c r="N328">
        <v>21</v>
      </c>
      <c r="O328">
        <v>21</v>
      </c>
      <c r="P328">
        <v>21</v>
      </c>
      <c r="Q328">
        <v>0</v>
      </c>
      <c r="R328">
        <v>1</v>
      </c>
      <c r="S328">
        <v>0</v>
      </c>
      <c r="W328"/>
      <c r="X328"/>
      <c r="Y328"/>
    </row>
    <row r="329" spans="1:25" x14ac:dyDescent="0.3">
      <c r="A329" t="str">
        <f>Table_Capacity_HD_frontsheet[[#This Row],[Name]]&amp;B329</f>
        <v>HackneyReablement &amp; Rehabilitation in a bedded setting (pathway 2)</v>
      </c>
      <c r="B329" t="str">
        <f>VLOOKUP(Table_Capacity_HD_frontsheet[[#This Row],[Service Area]],PathwayLookup!A:B,2,0)</f>
        <v>Reablement &amp; Rehabilitation in a bedded setting (pathway 2)</v>
      </c>
      <c r="C329" t="s">
        <v>157</v>
      </c>
      <c r="D329" t="s">
        <v>725</v>
      </c>
      <c r="E329">
        <v>4</v>
      </c>
      <c r="F329">
        <v>4</v>
      </c>
      <c r="G329">
        <v>4</v>
      </c>
      <c r="H329">
        <v>4</v>
      </c>
      <c r="I329">
        <v>4</v>
      </c>
      <c r="J329">
        <v>4</v>
      </c>
      <c r="K329">
        <v>4</v>
      </c>
      <c r="L329">
        <v>4</v>
      </c>
      <c r="M329">
        <v>4</v>
      </c>
      <c r="N329">
        <v>4</v>
      </c>
      <c r="O329">
        <v>4</v>
      </c>
      <c r="P329">
        <v>4</v>
      </c>
      <c r="Q329">
        <v>0.5</v>
      </c>
      <c r="R329">
        <v>0.5</v>
      </c>
      <c r="S329">
        <v>0</v>
      </c>
      <c r="W329"/>
      <c r="X329"/>
      <c r="Y329"/>
    </row>
    <row r="330" spans="1:25" x14ac:dyDescent="0.3">
      <c r="A330" t="str">
        <f>Table_Capacity_HD_frontsheet[[#This Row],[Name]]&amp;B330</f>
        <v>HackneyShort-term residential/nursing care for someone likely to require a longer-term care home placement (pathway 3)</v>
      </c>
      <c r="B330" t="str">
        <f>VLOOKUP(Table_Capacity_HD_frontsheet[[#This Row],[Service Area]],PathwayLookup!A:B,2,0)</f>
        <v>Short-term residential/nursing care for someone likely to require a longer-term care home placement (pathway 3)</v>
      </c>
      <c r="C330" t="s">
        <v>157</v>
      </c>
      <c r="D330" t="s">
        <v>731</v>
      </c>
      <c r="E330">
        <v>7</v>
      </c>
      <c r="F330">
        <v>7</v>
      </c>
      <c r="G330">
        <v>7</v>
      </c>
      <c r="H330">
        <v>7</v>
      </c>
      <c r="I330">
        <v>7</v>
      </c>
      <c r="J330">
        <v>7</v>
      </c>
      <c r="K330">
        <v>7</v>
      </c>
      <c r="L330">
        <v>7</v>
      </c>
      <c r="M330">
        <v>7</v>
      </c>
      <c r="N330">
        <v>7</v>
      </c>
      <c r="O330">
        <v>7</v>
      </c>
      <c r="P330">
        <v>7</v>
      </c>
      <c r="Q330">
        <v>0.08</v>
      </c>
      <c r="R330">
        <v>1</v>
      </c>
      <c r="S330">
        <v>0</v>
      </c>
      <c r="W330"/>
      <c r="X330"/>
      <c r="Y330"/>
    </row>
    <row r="331" spans="1:25" x14ac:dyDescent="0.3">
      <c r="A331" t="str">
        <f>Table_Capacity_HD_frontsheet[[#This Row],[Name]]&amp;B331</f>
        <v>HaltonSocial support (including VCS) (pathway 0)</v>
      </c>
      <c r="B331" t="str">
        <f>VLOOKUP(Table_Capacity_HD_frontsheet[[#This Row],[Service Area]],PathwayLookup!A:B,2,0)</f>
        <v>Social support (including VCS) (pathway 0)</v>
      </c>
      <c r="C331" t="s">
        <v>159</v>
      </c>
      <c r="D331" t="s">
        <v>726</v>
      </c>
      <c r="E331">
        <v>9</v>
      </c>
      <c r="F331">
        <v>9</v>
      </c>
      <c r="G331">
        <v>9</v>
      </c>
      <c r="H331">
        <v>9</v>
      </c>
      <c r="I331">
        <v>9</v>
      </c>
      <c r="J331">
        <v>9</v>
      </c>
      <c r="K331">
        <v>9</v>
      </c>
      <c r="L331">
        <v>9</v>
      </c>
      <c r="M331">
        <v>9</v>
      </c>
      <c r="N331">
        <v>9</v>
      </c>
      <c r="O331">
        <v>9</v>
      </c>
      <c r="P331">
        <v>9</v>
      </c>
      <c r="Q331">
        <v>0</v>
      </c>
      <c r="R331">
        <v>0</v>
      </c>
      <c r="S331">
        <v>1</v>
      </c>
      <c r="W331"/>
      <c r="X331"/>
      <c r="Y331"/>
    </row>
    <row r="332" spans="1:25" x14ac:dyDescent="0.3">
      <c r="A332" t="str">
        <f>Table_Capacity_HD_frontsheet[[#This Row],[Name]]&amp;B332</f>
        <v>HaltonReablement &amp; Rehabilitation at home  (pathway 1)</v>
      </c>
      <c r="B332" t="str">
        <f>VLOOKUP(Table_Capacity_HD_frontsheet[[#This Row],[Service Area]],PathwayLookup!A:B,2,0)</f>
        <v>Reablement &amp; Rehabilitation at home  (pathway 1)</v>
      </c>
      <c r="C332" t="s">
        <v>159</v>
      </c>
      <c r="D332" t="s">
        <v>728</v>
      </c>
      <c r="E332">
        <v>0</v>
      </c>
      <c r="F332">
        <v>0</v>
      </c>
      <c r="G332">
        <v>0</v>
      </c>
      <c r="H332">
        <v>0</v>
      </c>
      <c r="I332">
        <v>0</v>
      </c>
      <c r="J332">
        <v>0</v>
      </c>
      <c r="K332">
        <v>0</v>
      </c>
      <c r="L332">
        <v>0</v>
      </c>
      <c r="M332">
        <v>0</v>
      </c>
      <c r="N332">
        <v>0</v>
      </c>
      <c r="O332">
        <v>0</v>
      </c>
      <c r="P332">
        <v>0</v>
      </c>
      <c r="Q332">
        <v>0</v>
      </c>
      <c r="R332">
        <v>0</v>
      </c>
      <c r="S332">
        <v>0</v>
      </c>
      <c r="W332"/>
      <c r="X332"/>
      <c r="Y332"/>
    </row>
    <row r="333" spans="1:25" x14ac:dyDescent="0.3">
      <c r="A333" t="str">
        <f>Table_Capacity_HD_frontsheet[[#This Row],[Name]]&amp;B333</f>
        <v>HaltonReablement &amp; Rehabilitation at home  (pathway 1)</v>
      </c>
      <c r="B333" t="str">
        <f>VLOOKUP(Table_Capacity_HD_frontsheet[[#This Row],[Service Area]],PathwayLookup!A:B,2,0)</f>
        <v>Reablement &amp; Rehabilitation at home  (pathway 1)</v>
      </c>
      <c r="C333" t="s">
        <v>159</v>
      </c>
      <c r="D333" t="s">
        <v>721</v>
      </c>
      <c r="E333">
        <v>77</v>
      </c>
      <c r="F333">
        <v>77</v>
      </c>
      <c r="G333">
        <v>77</v>
      </c>
      <c r="H333">
        <v>77</v>
      </c>
      <c r="I333">
        <v>77</v>
      </c>
      <c r="J333">
        <v>77</v>
      </c>
      <c r="K333">
        <v>77</v>
      </c>
      <c r="L333">
        <v>77</v>
      </c>
      <c r="M333">
        <v>77</v>
      </c>
      <c r="N333">
        <v>77</v>
      </c>
      <c r="O333">
        <v>77</v>
      </c>
      <c r="P333">
        <v>77</v>
      </c>
      <c r="Q333">
        <v>0</v>
      </c>
      <c r="R333">
        <v>0</v>
      </c>
      <c r="S333">
        <v>1</v>
      </c>
      <c r="W333"/>
      <c r="X333"/>
      <c r="Y333"/>
    </row>
    <row r="334" spans="1:25" x14ac:dyDescent="0.3">
      <c r="A334" t="str">
        <f>Table_Capacity_HD_frontsheet[[#This Row],[Name]]&amp;B334</f>
        <v>HaltonShort term domiciliary care (pathway 1)</v>
      </c>
      <c r="B334" t="str">
        <f>VLOOKUP(Table_Capacity_HD_frontsheet[[#This Row],[Service Area]],PathwayLookup!A:B,2,0)</f>
        <v>Short term domiciliary care (pathway 1)</v>
      </c>
      <c r="C334" t="s">
        <v>159</v>
      </c>
      <c r="D334" t="s">
        <v>730</v>
      </c>
      <c r="E334">
        <v>0</v>
      </c>
      <c r="F334">
        <v>0</v>
      </c>
      <c r="G334">
        <v>0</v>
      </c>
      <c r="H334">
        <v>0</v>
      </c>
      <c r="I334">
        <v>0</v>
      </c>
      <c r="J334">
        <v>0</v>
      </c>
      <c r="K334">
        <v>0</v>
      </c>
      <c r="L334">
        <v>0</v>
      </c>
      <c r="M334">
        <v>0</v>
      </c>
      <c r="N334">
        <v>0</v>
      </c>
      <c r="O334">
        <v>0</v>
      </c>
      <c r="P334">
        <v>0</v>
      </c>
      <c r="Q334">
        <v>0</v>
      </c>
      <c r="R334">
        <v>0</v>
      </c>
      <c r="S334">
        <v>0</v>
      </c>
      <c r="W334"/>
      <c r="X334"/>
      <c r="Y334"/>
    </row>
    <row r="335" spans="1:25" x14ac:dyDescent="0.3">
      <c r="A335" t="str">
        <f>Table_Capacity_HD_frontsheet[[#This Row],[Name]]&amp;B335</f>
        <v>HaltonReablement &amp; Rehabilitation in a bedded setting (pathway 2)</v>
      </c>
      <c r="B335" t="str">
        <f>VLOOKUP(Table_Capacity_HD_frontsheet[[#This Row],[Service Area]],PathwayLookup!A:B,2,0)</f>
        <v>Reablement &amp; Rehabilitation in a bedded setting (pathway 2)</v>
      </c>
      <c r="C335" t="s">
        <v>159</v>
      </c>
      <c r="D335" t="s">
        <v>723</v>
      </c>
      <c r="E335">
        <v>0</v>
      </c>
      <c r="F335">
        <v>0</v>
      </c>
      <c r="G335">
        <v>0</v>
      </c>
      <c r="H335">
        <v>0</v>
      </c>
      <c r="I335">
        <v>0</v>
      </c>
      <c r="J335">
        <v>0</v>
      </c>
      <c r="K335">
        <v>0</v>
      </c>
      <c r="L335">
        <v>0</v>
      </c>
      <c r="M335">
        <v>0</v>
      </c>
      <c r="N335">
        <v>0</v>
      </c>
      <c r="O335">
        <v>0</v>
      </c>
      <c r="P335">
        <v>0</v>
      </c>
      <c r="Q335">
        <v>0</v>
      </c>
      <c r="R335">
        <v>0</v>
      </c>
      <c r="S335">
        <v>0</v>
      </c>
      <c r="W335"/>
      <c r="X335"/>
      <c r="Y335"/>
    </row>
    <row r="336" spans="1:25" x14ac:dyDescent="0.3">
      <c r="A336" t="str">
        <f>Table_Capacity_HD_frontsheet[[#This Row],[Name]]&amp;B336</f>
        <v>HaltonReablement &amp; Rehabilitation in a bedded setting (pathway 2)</v>
      </c>
      <c r="B336" t="str">
        <f>VLOOKUP(Table_Capacity_HD_frontsheet[[#This Row],[Service Area]],PathwayLookup!A:B,2,0)</f>
        <v>Reablement &amp; Rehabilitation in a bedded setting (pathway 2)</v>
      </c>
      <c r="C336" t="s">
        <v>159</v>
      </c>
      <c r="D336" t="s">
        <v>725</v>
      </c>
      <c r="E336">
        <v>30</v>
      </c>
      <c r="F336">
        <v>30</v>
      </c>
      <c r="G336">
        <v>30</v>
      </c>
      <c r="H336">
        <v>30</v>
      </c>
      <c r="I336">
        <v>30</v>
      </c>
      <c r="J336">
        <v>30</v>
      </c>
      <c r="K336">
        <v>30</v>
      </c>
      <c r="L336">
        <v>30</v>
      </c>
      <c r="M336">
        <v>30</v>
      </c>
      <c r="N336">
        <v>30</v>
      </c>
      <c r="O336">
        <v>30</v>
      </c>
      <c r="P336">
        <v>30</v>
      </c>
      <c r="Q336">
        <v>0</v>
      </c>
      <c r="R336">
        <v>0</v>
      </c>
      <c r="S336">
        <v>1</v>
      </c>
      <c r="W336"/>
      <c r="X336"/>
      <c r="Y336"/>
    </row>
    <row r="337" spans="1:25" x14ac:dyDescent="0.3">
      <c r="A337" t="str">
        <f>Table_Capacity_HD_frontsheet[[#This Row],[Name]]&amp;B337</f>
        <v>HaltonShort-term residential/nursing care for someone likely to require a longer-term care home placement (pathway 3)</v>
      </c>
      <c r="B337" t="str">
        <f>VLOOKUP(Table_Capacity_HD_frontsheet[[#This Row],[Service Area]],PathwayLookup!A:B,2,0)</f>
        <v>Short-term residential/nursing care for someone likely to require a longer-term care home placement (pathway 3)</v>
      </c>
      <c r="C337" t="s">
        <v>159</v>
      </c>
      <c r="D337" t="s">
        <v>731</v>
      </c>
      <c r="E337">
        <v>18</v>
      </c>
      <c r="F337">
        <v>18</v>
      </c>
      <c r="G337">
        <v>18</v>
      </c>
      <c r="H337">
        <v>18</v>
      </c>
      <c r="I337">
        <v>18</v>
      </c>
      <c r="J337">
        <v>18</v>
      </c>
      <c r="K337">
        <v>18</v>
      </c>
      <c r="L337">
        <v>18</v>
      </c>
      <c r="M337">
        <v>18</v>
      </c>
      <c r="N337">
        <v>18</v>
      </c>
      <c r="O337">
        <v>18</v>
      </c>
      <c r="P337">
        <v>18</v>
      </c>
      <c r="Q337">
        <v>0</v>
      </c>
      <c r="R337">
        <v>0</v>
      </c>
      <c r="S337">
        <v>1</v>
      </c>
      <c r="W337"/>
      <c r="X337"/>
      <c r="Y337"/>
    </row>
    <row r="338" spans="1:25" x14ac:dyDescent="0.3">
      <c r="A338" t="str">
        <f>Table_Capacity_HD_frontsheet[[#This Row],[Name]]&amp;B338</f>
        <v>Hammersmith and FulhamSocial support (including VCS) (pathway 0)</v>
      </c>
      <c r="B338" t="str">
        <f>VLOOKUP(Table_Capacity_HD_frontsheet[[#This Row],[Service Area]],PathwayLookup!A:B,2,0)</f>
        <v>Social support (including VCS) (pathway 0)</v>
      </c>
      <c r="C338" t="s">
        <v>161</v>
      </c>
      <c r="D338" t="s">
        <v>726</v>
      </c>
      <c r="E338">
        <v>2427</v>
      </c>
      <c r="F338">
        <v>2427</v>
      </c>
      <c r="G338">
        <v>2427</v>
      </c>
      <c r="H338">
        <v>2427</v>
      </c>
      <c r="I338">
        <v>2427</v>
      </c>
      <c r="J338">
        <v>2427</v>
      </c>
      <c r="K338">
        <v>2427</v>
      </c>
      <c r="L338">
        <v>2427</v>
      </c>
      <c r="M338">
        <v>2427</v>
      </c>
      <c r="N338">
        <v>2427</v>
      </c>
      <c r="O338">
        <v>2427</v>
      </c>
      <c r="P338">
        <v>2427</v>
      </c>
      <c r="W338"/>
      <c r="X338"/>
      <c r="Y338"/>
    </row>
    <row r="339" spans="1:25" x14ac:dyDescent="0.3">
      <c r="A339" t="str">
        <f>Table_Capacity_HD_frontsheet[[#This Row],[Name]]&amp;B339</f>
        <v>Hammersmith and FulhamReablement &amp; Rehabilitation at home  (pathway 1)</v>
      </c>
      <c r="B339" t="str">
        <f>VLOOKUP(Table_Capacity_HD_frontsheet[[#This Row],[Service Area]],PathwayLookup!A:B,2,0)</f>
        <v>Reablement &amp; Rehabilitation at home  (pathway 1)</v>
      </c>
      <c r="C339" t="s">
        <v>161</v>
      </c>
      <c r="D339" t="s">
        <v>728</v>
      </c>
      <c r="E339">
        <v>125</v>
      </c>
      <c r="F339">
        <v>125</v>
      </c>
      <c r="G339">
        <v>125</v>
      </c>
      <c r="H339">
        <v>125</v>
      </c>
      <c r="I339">
        <v>125</v>
      </c>
      <c r="J339">
        <v>125</v>
      </c>
      <c r="K339">
        <v>125</v>
      </c>
      <c r="L339">
        <v>125</v>
      </c>
      <c r="M339">
        <v>125</v>
      </c>
      <c r="N339">
        <v>125</v>
      </c>
      <c r="O339">
        <v>125</v>
      </c>
      <c r="P339">
        <v>125</v>
      </c>
      <c r="W339"/>
      <c r="X339"/>
      <c r="Y339"/>
    </row>
    <row r="340" spans="1:25" x14ac:dyDescent="0.3">
      <c r="A340" t="str">
        <f>Table_Capacity_HD_frontsheet[[#This Row],[Name]]&amp;B340</f>
        <v>Hammersmith and FulhamReablement &amp; Rehabilitation at home  (pathway 1)</v>
      </c>
      <c r="B340" t="str">
        <f>VLOOKUP(Table_Capacity_HD_frontsheet[[#This Row],[Service Area]],PathwayLookup!A:B,2,0)</f>
        <v>Reablement &amp; Rehabilitation at home  (pathway 1)</v>
      </c>
      <c r="C340" t="s">
        <v>161</v>
      </c>
      <c r="D340" t="s">
        <v>721</v>
      </c>
      <c r="E340">
        <v>125</v>
      </c>
      <c r="F340">
        <v>125</v>
      </c>
      <c r="G340">
        <v>125</v>
      </c>
      <c r="H340">
        <v>125</v>
      </c>
      <c r="I340">
        <v>125</v>
      </c>
      <c r="J340">
        <v>125</v>
      </c>
      <c r="K340">
        <v>125</v>
      </c>
      <c r="L340">
        <v>125</v>
      </c>
      <c r="M340">
        <v>125</v>
      </c>
      <c r="N340">
        <v>125</v>
      </c>
      <c r="O340">
        <v>125</v>
      </c>
      <c r="P340">
        <v>125</v>
      </c>
      <c r="W340"/>
      <c r="X340"/>
      <c r="Y340"/>
    </row>
    <row r="341" spans="1:25" x14ac:dyDescent="0.3">
      <c r="A341" t="str">
        <f>Table_Capacity_HD_frontsheet[[#This Row],[Name]]&amp;B341</f>
        <v>Hammersmith and FulhamShort term domiciliary care (pathway 1)</v>
      </c>
      <c r="B341" t="str">
        <f>VLOOKUP(Table_Capacity_HD_frontsheet[[#This Row],[Service Area]],PathwayLookup!A:B,2,0)</f>
        <v>Short term domiciliary care (pathway 1)</v>
      </c>
      <c r="C341" t="s">
        <v>161</v>
      </c>
      <c r="D341" t="s">
        <v>730</v>
      </c>
      <c r="E341">
        <v>125</v>
      </c>
      <c r="F341">
        <v>125</v>
      </c>
      <c r="G341">
        <v>125</v>
      </c>
      <c r="H341">
        <v>125</v>
      </c>
      <c r="I341">
        <v>125</v>
      </c>
      <c r="J341">
        <v>125</v>
      </c>
      <c r="K341">
        <v>125</v>
      </c>
      <c r="L341">
        <v>125</v>
      </c>
      <c r="M341">
        <v>125</v>
      </c>
      <c r="N341">
        <v>125</v>
      </c>
      <c r="O341">
        <v>125</v>
      </c>
      <c r="P341">
        <v>125</v>
      </c>
      <c r="W341"/>
      <c r="X341"/>
      <c r="Y341"/>
    </row>
    <row r="342" spans="1:25" x14ac:dyDescent="0.3">
      <c r="A342" t="str">
        <f>Table_Capacity_HD_frontsheet[[#This Row],[Name]]&amp;B342</f>
        <v>Hammersmith and FulhamReablement &amp; Rehabilitation in a bedded setting (pathway 2)</v>
      </c>
      <c r="B342" t="str">
        <f>VLOOKUP(Table_Capacity_HD_frontsheet[[#This Row],[Service Area]],PathwayLookup!A:B,2,0)</f>
        <v>Reablement &amp; Rehabilitation in a bedded setting (pathway 2)</v>
      </c>
      <c r="C342" t="s">
        <v>161</v>
      </c>
      <c r="D342" t="s">
        <v>723</v>
      </c>
      <c r="E342">
        <v>0</v>
      </c>
      <c r="F342">
        <v>0</v>
      </c>
      <c r="G342">
        <v>0</v>
      </c>
      <c r="H342">
        <v>0</v>
      </c>
      <c r="I342">
        <v>0</v>
      </c>
      <c r="J342">
        <v>0</v>
      </c>
      <c r="K342">
        <v>0</v>
      </c>
      <c r="L342">
        <v>0</v>
      </c>
      <c r="M342">
        <v>0</v>
      </c>
      <c r="N342">
        <v>0</v>
      </c>
      <c r="O342">
        <v>0</v>
      </c>
      <c r="P342">
        <v>0</v>
      </c>
      <c r="W342"/>
      <c r="X342"/>
      <c r="Y342"/>
    </row>
    <row r="343" spans="1:25" x14ac:dyDescent="0.3">
      <c r="A343" t="str">
        <f>Table_Capacity_HD_frontsheet[[#This Row],[Name]]&amp;B343</f>
        <v>Hammersmith and FulhamReablement &amp; Rehabilitation in a bedded setting (pathway 2)</v>
      </c>
      <c r="B343" t="str">
        <f>VLOOKUP(Table_Capacity_HD_frontsheet[[#This Row],[Service Area]],PathwayLookup!A:B,2,0)</f>
        <v>Reablement &amp; Rehabilitation in a bedded setting (pathway 2)</v>
      </c>
      <c r="C343" t="s">
        <v>161</v>
      </c>
      <c r="D343" t="s">
        <v>725</v>
      </c>
      <c r="E343">
        <v>52</v>
      </c>
      <c r="F343">
        <v>52</v>
      </c>
      <c r="G343">
        <v>52</v>
      </c>
      <c r="H343">
        <v>52</v>
      </c>
      <c r="I343">
        <v>52</v>
      </c>
      <c r="J343">
        <v>52</v>
      </c>
      <c r="K343">
        <v>52</v>
      </c>
      <c r="L343">
        <v>52</v>
      </c>
      <c r="M343">
        <v>52</v>
      </c>
      <c r="N343">
        <v>52</v>
      </c>
      <c r="O343">
        <v>52</v>
      </c>
      <c r="P343">
        <v>52</v>
      </c>
      <c r="W343"/>
      <c r="X343"/>
      <c r="Y343"/>
    </row>
    <row r="344" spans="1:25" x14ac:dyDescent="0.3">
      <c r="A344" t="str">
        <f>Table_Capacity_HD_frontsheet[[#This Row],[Name]]&amp;B344</f>
        <v>Hammersmith and FulhamShort-term residential/nursing care for someone likely to require a longer-term care home placement (pathway 3)</v>
      </c>
      <c r="B344" t="str">
        <f>VLOOKUP(Table_Capacity_HD_frontsheet[[#This Row],[Service Area]],PathwayLookup!A:B,2,0)</f>
        <v>Short-term residential/nursing care for someone likely to require a longer-term care home placement (pathway 3)</v>
      </c>
      <c r="C344" t="s">
        <v>161</v>
      </c>
      <c r="D344" t="s">
        <v>731</v>
      </c>
      <c r="E344">
        <v>75</v>
      </c>
      <c r="F344">
        <v>75</v>
      </c>
      <c r="G344">
        <v>75</v>
      </c>
      <c r="H344">
        <v>75</v>
      </c>
      <c r="I344">
        <v>75</v>
      </c>
      <c r="J344">
        <v>75</v>
      </c>
      <c r="K344">
        <v>75</v>
      </c>
      <c r="L344">
        <v>75</v>
      </c>
      <c r="M344">
        <v>75</v>
      </c>
      <c r="N344">
        <v>75</v>
      </c>
      <c r="O344">
        <v>75</v>
      </c>
      <c r="P344">
        <v>75</v>
      </c>
      <c r="W344"/>
      <c r="X344"/>
      <c r="Y344"/>
    </row>
    <row r="345" spans="1:25" x14ac:dyDescent="0.3">
      <c r="A345" t="str">
        <f>Table_Capacity_HD_frontsheet[[#This Row],[Name]]&amp;B345</f>
        <v>HampshireSocial support (including VCS) (pathway 0)</v>
      </c>
      <c r="B345" t="str">
        <f>VLOOKUP(Table_Capacity_HD_frontsheet[[#This Row],[Service Area]],PathwayLookup!A:B,2,0)</f>
        <v>Social support (including VCS) (pathway 0)</v>
      </c>
      <c r="C345" t="s">
        <v>163</v>
      </c>
      <c r="D345" t="s">
        <v>726</v>
      </c>
      <c r="W345"/>
      <c r="X345"/>
      <c r="Y345"/>
    </row>
    <row r="346" spans="1:25" x14ac:dyDescent="0.3">
      <c r="A346" t="str">
        <f>Table_Capacity_HD_frontsheet[[#This Row],[Name]]&amp;B346</f>
        <v>HampshireReablement &amp; Rehabilitation at home  (pathway 1)</v>
      </c>
      <c r="B346" t="str">
        <f>VLOOKUP(Table_Capacity_HD_frontsheet[[#This Row],[Service Area]],PathwayLookup!A:B,2,0)</f>
        <v>Reablement &amp; Rehabilitation at home  (pathway 1)</v>
      </c>
      <c r="C346" t="s">
        <v>163</v>
      </c>
      <c r="D346" t="s">
        <v>728</v>
      </c>
      <c r="E346">
        <v>335</v>
      </c>
      <c r="F346">
        <v>335</v>
      </c>
      <c r="G346">
        <v>335</v>
      </c>
      <c r="H346">
        <v>335</v>
      </c>
      <c r="I346">
        <v>335</v>
      </c>
      <c r="J346">
        <v>335</v>
      </c>
      <c r="K346">
        <v>335</v>
      </c>
      <c r="L346">
        <v>335</v>
      </c>
      <c r="M346">
        <v>335</v>
      </c>
      <c r="N346">
        <v>335</v>
      </c>
      <c r="O346">
        <v>335</v>
      </c>
      <c r="P346">
        <v>335</v>
      </c>
      <c r="R346">
        <v>1</v>
      </c>
      <c r="W346"/>
      <c r="X346"/>
      <c r="Y346"/>
    </row>
    <row r="347" spans="1:25" x14ac:dyDescent="0.3">
      <c r="A347" t="str">
        <f>Table_Capacity_HD_frontsheet[[#This Row],[Name]]&amp;B347</f>
        <v>HampshireReablement &amp; Rehabilitation at home  (pathway 1)</v>
      </c>
      <c r="B347" t="str">
        <f>VLOOKUP(Table_Capacity_HD_frontsheet[[#This Row],[Service Area]],PathwayLookup!A:B,2,0)</f>
        <v>Reablement &amp; Rehabilitation at home  (pathway 1)</v>
      </c>
      <c r="C347" t="s">
        <v>163</v>
      </c>
      <c r="D347" t="s">
        <v>721</v>
      </c>
      <c r="E347">
        <v>595</v>
      </c>
      <c r="F347">
        <v>595</v>
      </c>
      <c r="G347">
        <v>595</v>
      </c>
      <c r="H347">
        <v>595</v>
      </c>
      <c r="I347">
        <v>595</v>
      </c>
      <c r="J347">
        <v>595</v>
      </c>
      <c r="K347">
        <v>595</v>
      </c>
      <c r="L347">
        <v>595</v>
      </c>
      <c r="M347">
        <v>595</v>
      </c>
      <c r="N347">
        <v>595</v>
      </c>
      <c r="O347">
        <v>595</v>
      </c>
      <c r="P347">
        <v>595</v>
      </c>
      <c r="Q347">
        <v>1</v>
      </c>
      <c r="W347"/>
      <c r="X347"/>
      <c r="Y347"/>
    </row>
    <row r="348" spans="1:25" x14ac:dyDescent="0.3">
      <c r="A348" t="str">
        <f>Table_Capacity_HD_frontsheet[[#This Row],[Name]]&amp;B348</f>
        <v>HampshireShort term domiciliary care (pathway 1)</v>
      </c>
      <c r="B348" t="str">
        <f>VLOOKUP(Table_Capacity_HD_frontsheet[[#This Row],[Service Area]],PathwayLookup!A:B,2,0)</f>
        <v>Short term domiciliary care (pathway 1)</v>
      </c>
      <c r="C348" t="s">
        <v>163</v>
      </c>
      <c r="D348" t="s">
        <v>730</v>
      </c>
      <c r="E348">
        <v>354</v>
      </c>
      <c r="F348">
        <v>354</v>
      </c>
      <c r="G348">
        <v>354</v>
      </c>
      <c r="H348">
        <v>354</v>
      </c>
      <c r="I348">
        <v>354</v>
      </c>
      <c r="J348">
        <v>354</v>
      </c>
      <c r="K348">
        <v>354</v>
      </c>
      <c r="L348">
        <v>394</v>
      </c>
      <c r="M348">
        <v>376</v>
      </c>
      <c r="N348">
        <v>376</v>
      </c>
      <c r="O348">
        <v>376</v>
      </c>
      <c r="P348">
        <v>376</v>
      </c>
      <c r="S348">
        <v>1</v>
      </c>
      <c r="W348"/>
      <c r="X348"/>
      <c r="Y348"/>
    </row>
    <row r="349" spans="1:25" x14ac:dyDescent="0.3">
      <c r="A349" t="str">
        <f>Table_Capacity_HD_frontsheet[[#This Row],[Name]]&amp;B349</f>
        <v>HampshireReablement &amp; Rehabilitation in a bedded setting (pathway 2)</v>
      </c>
      <c r="B349" t="str">
        <f>VLOOKUP(Table_Capacity_HD_frontsheet[[#This Row],[Service Area]],PathwayLookup!A:B,2,0)</f>
        <v>Reablement &amp; Rehabilitation in a bedded setting (pathway 2)</v>
      </c>
      <c r="C349" t="s">
        <v>163</v>
      </c>
      <c r="D349" t="s">
        <v>723</v>
      </c>
      <c r="E349">
        <v>142</v>
      </c>
      <c r="F349">
        <v>147</v>
      </c>
      <c r="G349">
        <v>142</v>
      </c>
      <c r="H349">
        <v>133</v>
      </c>
      <c r="I349">
        <v>133</v>
      </c>
      <c r="J349">
        <v>129</v>
      </c>
      <c r="K349">
        <v>133</v>
      </c>
      <c r="L349">
        <v>158</v>
      </c>
      <c r="M349">
        <v>163</v>
      </c>
      <c r="N349">
        <v>163</v>
      </c>
      <c r="O349">
        <v>153</v>
      </c>
      <c r="P349">
        <v>163</v>
      </c>
      <c r="S349">
        <v>1</v>
      </c>
      <c r="W349"/>
      <c r="X349"/>
      <c r="Y349"/>
    </row>
    <row r="350" spans="1:25" x14ac:dyDescent="0.3">
      <c r="A350" t="str">
        <f>Table_Capacity_HD_frontsheet[[#This Row],[Name]]&amp;B350</f>
        <v>HampshireReablement &amp; Rehabilitation in a bedded setting (pathway 2)</v>
      </c>
      <c r="B350" t="str">
        <f>VLOOKUP(Table_Capacity_HD_frontsheet[[#This Row],[Service Area]],PathwayLookup!A:B,2,0)</f>
        <v>Reablement &amp; Rehabilitation in a bedded setting (pathway 2)</v>
      </c>
      <c r="C350" t="s">
        <v>163</v>
      </c>
      <c r="D350" t="s">
        <v>725</v>
      </c>
      <c r="E350">
        <v>225</v>
      </c>
      <c r="F350">
        <v>232</v>
      </c>
      <c r="G350">
        <v>225</v>
      </c>
      <c r="H350">
        <v>232</v>
      </c>
      <c r="I350">
        <v>232</v>
      </c>
      <c r="J350">
        <v>225</v>
      </c>
      <c r="K350">
        <v>232</v>
      </c>
      <c r="L350">
        <v>225</v>
      </c>
      <c r="M350">
        <v>232</v>
      </c>
      <c r="N350">
        <v>232</v>
      </c>
      <c r="O350">
        <v>217</v>
      </c>
      <c r="P350">
        <v>232</v>
      </c>
      <c r="Q350">
        <v>1</v>
      </c>
      <c r="W350"/>
      <c r="X350"/>
      <c r="Y350"/>
    </row>
    <row r="351" spans="1:25" x14ac:dyDescent="0.3">
      <c r="A351" t="str">
        <f>Table_Capacity_HD_frontsheet[[#This Row],[Name]]&amp;B351</f>
        <v>HampshireShort-term residential/nursing care for someone likely to require a longer-term care home placement (pathway 3)</v>
      </c>
      <c r="B351" t="str">
        <f>VLOOKUP(Table_Capacity_HD_frontsheet[[#This Row],[Service Area]],PathwayLookup!A:B,2,0)</f>
        <v>Short-term residential/nursing care for someone likely to require a longer-term care home placement (pathway 3)</v>
      </c>
      <c r="C351" t="s">
        <v>163</v>
      </c>
      <c r="D351" t="s">
        <v>731</v>
      </c>
      <c r="E351">
        <v>100</v>
      </c>
      <c r="F351">
        <v>100</v>
      </c>
      <c r="G351">
        <v>100</v>
      </c>
      <c r="H351">
        <v>100</v>
      </c>
      <c r="I351">
        <v>100</v>
      </c>
      <c r="J351">
        <v>100</v>
      </c>
      <c r="K351">
        <v>100</v>
      </c>
      <c r="L351">
        <v>100</v>
      </c>
      <c r="M351">
        <v>100</v>
      </c>
      <c r="N351">
        <v>100</v>
      </c>
      <c r="O351">
        <v>100</v>
      </c>
      <c r="P351">
        <v>100</v>
      </c>
      <c r="Q351">
        <v>1</v>
      </c>
      <c r="W351"/>
      <c r="X351"/>
      <c r="Y351"/>
    </row>
    <row r="352" spans="1:25" x14ac:dyDescent="0.3">
      <c r="A352" t="str">
        <f>Table_Capacity_HD_frontsheet[[#This Row],[Name]]&amp;B352</f>
        <v>HaringeySocial support (including VCS) (pathway 0)</v>
      </c>
      <c r="B352" t="str">
        <f>VLOOKUP(Table_Capacity_HD_frontsheet[[#This Row],[Service Area]],PathwayLookup!A:B,2,0)</f>
        <v>Social support (including VCS) (pathway 0)</v>
      </c>
      <c r="C352" t="s">
        <v>165</v>
      </c>
      <c r="D352" t="s">
        <v>726</v>
      </c>
      <c r="E352">
        <v>80</v>
      </c>
      <c r="F352">
        <v>80</v>
      </c>
      <c r="G352">
        <v>80</v>
      </c>
      <c r="H352">
        <v>80</v>
      </c>
      <c r="I352">
        <v>80</v>
      </c>
      <c r="J352">
        <v>80</v>
      </c>
      <c r="K352">
        <v>80</v>
      </c>
      <c r="L352">
        <v>80</v>
      </c>
      <c r="M352">
        <v>80</v>
      </c>
      <c r="N352">
        <v>80</v>
      </c>
      <c r="O352">
        <v>80</v>
      </c>
      <c r="P352">
        <v>80</v>
      </c>
      <c r="Q352">
        <v>0</v>
      </c>
      <c r="R352">
        <v>1</v>
      </c>
      <c r="S352">
        <v>0</v>
      </c>
      <c r="W352"/>
      <c r="X352"/>
      <c r="Y352"/>
    </row>
    <row r="353" spans="1:25" x14ac:dyDescent="0.3">
      <c r="A353" t="str">
        <f>Table_Capacity_HD_frontsheet[[#This Row],[Name]]&amp;B353</f>
        <v>HaringeyReablement &amp; Rehabilitation at home  (pathway 1)</v>
      </c>
      <c r="B353" t="str">
        <f>VLOOKUP(Table_Capacity_HD_frontsheet[[#This Row],[Service Area]],PathwayLookup!A:B,2,0)</f>
        <v>Reablement &amp; Rehabilitation at home  (pathway 1)</v>
      </c>
      <c r="C353" t="s">
        <v>165</v>
      </c>
      <c r="D353" t="s">
        <v>728</v>
      </c>
      <c r="E353">
        <v>120</v>
      </c>
      <c r="F353">
        <v>120</v>
      </c>
      <c r="G353">
        <v>120</v>
      </c>
      <c r="H353">
        <v>120</v>
      </c>
      <c r="I353">
        <v>120</v>
      </c>
      <c r="J353">
        <v>120</v>
      </c>
      <c r="K353">
        <v>120</v>
      </c>
      <c r="L353">
        <v>120</v>
      </c>
      <c r="M353">
        <v>120</v>
      </c>
      <c r="N353">
        <v>120</v>
      </c>
      <c r="O353">
        <v>120</v>
      </c>
      <c r="P353">
        <v>120</v>
      </c>
      <c r="Q353">
        <v>0</v>
      </c>
      <c r="R353">
        <v>1</v>
      </c>
      <c r="S353">
        <v>0</v>
      </c>
      <c r="W353"/>
      <c r="X353"/>
      <c r="Y353"/>
    </row>
    <row r="354" spans="1:25" x14ac:dyDescent="0.3">
      <c r="A354" t="str">
        <f>Table_Capacity_HD_frontsheet[[#This Row],[Name]]&amp;B354</f>
        <v>HaringeyReablement &amp; Rehabilitation at home  (pathway 1)</v>
      </c>
      <c r="B354" t="str">
        <f>VLOOKUP(Table_Capacity_HD_frontsheet[[#This Row],[Service Area]],PathwayLookup!A:B,2,0)</f>
        <v>Reablement &amp; Rehabilitation at home  (pathway 1)</v>
      </c>
      <c r="C354" t="s">
        <v>165</v>
      </c>
      <c r="D354" t="s">
        <v>721</v>
      </c>
      <c r="E354">
        <v>2</v>
      </c>
      <c r="F354">
        <v>4</v>
      </c>
      <c r="G354">
        <v>6</v>
      </c>
      <c r="H354">
        <v>6</v>
      </c>
      <c r="I354">
        <v>11</v>
      </c>
      <c r="J354">
        <v>11</v>
      </c>
      <c r="K354">
        <v>13</v>
      </c>
      <c r="L354">
        <v>13</v>
      </c>
      <c r="M354">
        <v>13</v>
      </c>
      <c r="N354">
        <v>14</v>
      </c>
      <c r="O354">
        <v>13</v>
      </c>
      <c r="P354">
        <v>13</v>
      </c>
      <c r="Q354">
        <v>1</v>
      </c>
      <c r="R354">
        <v>0</v>
      </c>
      <c r="S354">
        <v>0</v>
      </c>
      <c r="W354"/>
      <c r="X354"/>
      <c r="Y354"/>
    </row>
    <row r="355" spans="1:25" x14ac:dyDescent="0.3">
      <c r="A355" t="str">
        <f>Table_Capacity_HD_frontsheet[[#This Row],[Name]]&amp;B355</f>
        <v>HaringeyShort term domiciliary care (pathway 1)</v>
      </c>
      <c r="B355" t="str">
        <f>VLOOKUP(Table_Capacity_HD_frontsheet[[#This Row],[Service Area]],PathwayLookup!A:B,2,0)</f>
        <v>Short term domiciliary care (pathway 1)</v>
      </c>
      <c r="C355" t="s">
        <v>165</v>
      </c>
      <c r="D355" t="s">
        <v>730</v>
      </c>
      <c r="E355">
        <v>7</v>
      </c>
      <c r="F355">
        <v>7</v>
      </c>
      <c r="G355">
        <v>7</v>
      </c>
      <c r="H355">
        <v>7</v>
      </c>
      <c r="I355">
        <v>7</v>
      </c>
      <c r="J355">
        <v>7</v>
      </c>
      <c r="K355">
        <v>7</v>
      </c>
      <c r="L355">
        <v>7</v>
      </c>
      <c r="M355">
        <v>7</v>
      </c>
      <c r="N355">
        <v>7</v>
      </c>
      <c r="O355">
        <v>7</v>
      </c>
      <c r="P355">
        <v>7</v>
      </c>
      <c r="Q355">
        <v>1</v>
      </c>
      <c r="R355">
        <v>0</v>
      </c>
      <c r="S355">
        <v>0</v>
      </c>
      <c r="W355"/>
      <c r="X355"/>
      <c r="Y355"/>
    </row>
    <row r="356" spans="1:25" x14ac:dyDescent="0.3">
      <c r="A356" t="str">
        <f>Table_Capacity_HD_frontsheet[[#This Row],[Name]]&amp;B356</f>
        <v>HaringeyReablement &amp; Rehabilitation in a bedded setting (pathway 2)</v>
      </c>
      <c r="B356" t="str">
        <f>VLOOKUP(Table_Capacity_HD_frontsheet[[#This Row],[Service Area]],PathwayLookup!A:B,2,0)</f>
        <v>Reablement &amp; Rehabilitation in a bedded setting (pathway 2)</v>
      </c>
      <c r="C356" t="s">
        <v>165</v>
      </c>
      <c r="D356" t="s">
        <v>723</v>
      </c>
      <c r="E356">
        <v>13</v>
      </c>
      <c r="F356">
        <v>13</v>
      </c>
      <c r="G356">
        <v>13</v>
      </c>
      <c r="H356">
        <v>13</v>
      </c>
      <c r="I356">
        <v>13</v>
      </c>
      <c r="J356">
        <v>13</v>
      </c>
      <c r="K356">
        <v>14</v>
      </c>
      <c r="L356">
        <v>14</v>
      </c>
      <c r="M356">
        <v>14</v>
      </c>
      <c r="N356">
        <v>14</v>
      </c>
      <c r="O356">
        <v>14</v>
      </c>
      <c r="P356">
        <v>14</v>
      </c>
      <c r="Q356">
        <v>0</v>
      </c>
      <c r="R356">
        <v>1</v>
      </c>
      <c r="S356">
        <v>0</v>
      </c>
      <c r="W356"/>
      <c r="X356"/>
      <c r="Y356"/>
    </row>
    <row r="357" spans="1:25" x14ac:dyDescent="0.3">
      <c r="A357" t="str">
        <f>Table_Capacity_HD_frontsheet[[#This Row],[Name]]&amp;B357</f>
        <v>HaringeyReablement &amp; Rehabilitation in a bedded setting (pathway 2)</v>
      </c>
      <c r="B357" t="str">
        <f>VLOOKUP(Table_Capacity_HD_frontsheet[[#This Row],[Service Area]],PathwayLookup!A:B,2,0)</f>
        <v>Reablement &amp; Rehabilitation in a bedded setting (pathway 2)</v>
      </c>
      <c r="C357" t="s">
        <v>165</v>
      </c>
      <c r="D357" t="s">
        <v>725</v>
      </c>
      <c r="E357">
        <v>0</v>
      </c>
      <c r="F357">
        <v>0</v>
      </c>
      <c r="G357">
        <v>0</v>
      </c>
      <c r="H357">
        <v>0</v>
      </c>
      <c r="I357">
        <v>0</v>
      </c>
      <c r="J357">
        <v>0</v>
      </c>
      <c r="K357">
        <v>0</v>
      </c>
      <c r="L357">
        <v>0</v>
      </c>
      <c r="M357">
        <v>0</v>
      </c>
      <c r="N357">
        <v>0</v>
      </c>
      <c r="O357">
        <v>0</v>
      </c>
      <c r="P357">
        <v>0</v>
      </c>
      <c r="Q357">
        <v>1</v>
      </c>
      <c r="R357">
        <v>0</v>
      </c>
      <c r="S357">
        <v>0</v>
      </c>
      <c r="W357"/>
      <c r="X357"/>
      <c r="Y357"/>
    </row>
    <row r="358" spans="1:25" x14ac:dyDescent="0.3">
      <c r="A358" t="str">
        <f>Table_Capacity_HD_frontsheet[[#This Row],[Name]]&amp;B358</f>
        <v>HaringeyShort-term residential/nursing care for someone likely to require a longer-term care home placement (pathway 3)</v>
      </c>
      <c r="B358" t="str">
        <f>VLOOKUP(Table_Capacity_HD_frontsheet[[#This Row],[Service Area]],PathwayLookup!A:B,2,0)</f>
        <v>Short-term residential/nursing care for someone likely to require a longer-term care home placement (pathway 3)</v>
      </c>
      <c r="C358" t="s">
        <v>165</v>
      </c>
      <c r="D358" t="s">
        <v>731</v>
      </c>
      <c r="E358">
        <v>15</v>
      </c>
      <c r="F358">
        <v>15</v>
      </c>
      <c r="G358">
        <v>15</v>
      </c>
      <c r="H358">
        <v>15</v>
      </c>
      <c r="I358">
        <v>15</v>
      </c>
      <c r="J358">
        <v>15</v>
      </c>
      <c r="K358">
        <v>15</v>
      </c>
      <c r="L358">
        <v>15</v>
      </c>
      <c r="M358">
        <v>15</v>
      </c>
      <c r="N358">
        <v>15</v>
      </c>
      <c r="O358">
        <v>15</v>
      </c>
      <c r="P358">
        <v>15</v>
      </c>
      <c r="Q358">
        <v>0.14000000000000001</v>
      </c>
      <c r="R358">
        <v>0.86</v>
      </c>
      <c r="S358">
        <v>0</v>
      </c>
      <c r="W358"/>
      <c r="X358"/>
      <c r="Y358"/>
    </row>
    <row r="359" spans="1:25" x14ac:dyDescent="0.3">
      <c r="A359" t="str">
        <f>Table_Capacity_HD_frontsheet[[#This Row],[Name]]&amp;B359</f>
        <v>HarrowSocial support (including VCS) (pathway 0)</v>
      </c>
      <c r="B359" t="str">
        <f>VLOOKUP(Table_Capacity_HD_frontsheet[[#This Row],[Service Area]],PathwayLookup!A:B,2,0)</f>
        <v>Social support (including VCS) (pathway 0)</v>
      </c>
      <c r="C359" t="s">
        <v>167</v>
      </c>
      <c r="D359" t="s">
        <v>726</v>
      </c>
      <c r="E359">
        <v>131</v>
      </c>
      <c r="F359">
        <v>131</v>
      </c>
      <c r="G359">
        <v>131</v>
      </c>
      <c r="H359">
        <v>131</v>
      </c>
      <c r="I359">
        <v>131</v>
      </c>
      <c r="J359">
        <v>131</v>
      </c>
      <c r="K359">
        <v>131</v>
      </c>
      <c r="L359">
        <v>131</v>
      </c>
      <c r="M359">
        <v>131</v>
      </c>
      <c r="N359">
        <v>131</v>
      </c>
      <c r="O359">
        <v>131</v>
      </c>
      <c r="P359">
        <v>131</v>
      </c>
      <c r="Q359">
        <v>0.99</v>
      </c>
      <c r="R359">
        <v>0.01</v>
      </c>
      <c r="S359">
        <v>0</v>
      </c>
      <c r="W359"/>
      <c r="X359"/>
      <c r="Y359"/>
    </row>
    <row r="360" spans="1:25" x14ac:dyDescent="0.3">
      <c r="A360" t="str">
        <f>Table_Capacity_HD_frontsheet[[#This Row],[Name]]&amp;B360</f>
        <v>HarrowReablement &amp; Rehabilitation at home  (pathway 1)</v>
      </c>
      <c r="B360" t="str">
        <f>VLOOKUP(Table_Capacity_HD_frontsheet[[#This Row],[Service Area]],PathwayLookup!A:B,2,0)</f>
        <v>Reablement &amp; Rehabilitation at home  (pathway 1)</v>
      </c>
      <c r="C360" t="s">
        <v>167</v>
      </c>
      <c r="D360" t="s">
        <v>728</v>
      </c>
      <c r="E360">
        <v>99</v>
      </c>
      <c r="F360">
        <v>99</v>
      </c>
      <c r="G360">
        <v>99</v>
      </c>
      <c r="H360">
        <v>99</v>
      </c>
      <c r="I360">
        <v>99</v>
      </c>
      <c r="J360">
        <v>99</v>
      </c>
      <c r="K360">
        <v>99</v>
      </c>
      <c r="L360">
        <v>99</v>
      </c>
      <c r="M360">
        <v>99</v>
      </c>
      <c r="N360">
        <v>99</v>
      </c>
      <c r="O360">
        <v>99</v>
      </c>
      <c r="P360">
        <v>99</v>
      </c>
      <c r="Q360">
        <v>0</v>
      </c>
      <c r="R360">
        <v>1</v>
      </c>
      <c r="S360">
        <v>0</v>
      </c>
      <c r="W360"/>
      <c r="X360"/>
      <c r="Y360"/>
    </row>
    <row r="361" spans="1:25" x14ac:dyDescent="0.3">
      <c r="A361" t="str">
        <f>Table_Capacity_HD_frontsheet[[#This Row],[Name]]&amp;B361</f>
        <v>HarrowReablement &amp; Rehabilitation at home  (pathway 1)</v>
      </c>
      <c r="B361" t="str">
        <f>VLOOKUP(Table_Capacity_HD_frontsheet[[#This Row],[Service Area]],PathwayLookup!A:B,2,0)</f>
        <v>Reablement &amp; Rehabilitation at home  (pathway 1)</v>
      </c>
      <c r="C361" t="s">
        <v>167</v>
      </c>
      <c r="D361" t="s">
        <v>721</v>
      </c>
      <c r="E361">
        <v>104</v>
      </c>
      <c r="F361">
        <v>104</v>
      </c>
      <c r="G361">
        <v>104</v>
      </c>
      <c r="H361">
        <v>104</v>
      </c>
      <c r="I361">
        <v>104</v>
      </c>
      <c r="J361">
        <v>104</v>
      </c>
      <c r="K361">
        <v>104</v>
      </c>
      <c r="L361">
        <v>104</v>
      </c>
      <c r="M361">
        <v>104</v>
      </c>
      <c r="N361">
        <v>104</v>
      </c>
      <c r="O361">
        <v>104</v>
      </c>
      <c r="P361">
        <v>104</v>
      </c>
      <c r="Q361">
        <v>1</v>
      </c>
      <c r="R361">
        <v>0</v>
      </c>
      <c r="S361">
        <v>0</v>
      </c>
      <c r="W361"/>
      <c r="X361"/>
      <c r="Y361"/>
    </row>
    <row r="362" spans="1:25" x14ac:dyDescent="0.3">
      <c r="A362" t="str">
        <f>Table_Capacity_HD_frontsheet[[#This Row],[Name]]&amp;B362</f>
        <v>HarrowShort term domiciliary care (pathway 1)</v>
      </c>
      <c r="B362" t="str">
        <f>VLOOKUP(Table_Capacity_HD_frontsheet[[#This Row],[Service Area]],PathwayLookup!A:B,2,0)</f>
        <v>Short term domiciliary care (pathway 1)</v>
      </c>
      <c r="C362" t="s">
        <v>167</v>
      </c>
      <c r="D362" t="s">
        <v>730</v>
      </c>
      <c r="E362">
        <v>98.688333333333333</v>
      </c>
      <c r="F362">
        <v>98.688333333333333</v>
      </c>
      <c r="G362">
        <v>98.688333333333333</v>
      </c>
      <c r="H362">
        <v>98.688333333333333</v>
      </c>
      <c r="I362">
        <v>98.688333333333333</v>
      </c>
      <c r="J362">
        <v>98.688333333333333</v>
      </c>
      <c r="K362">
        <v>98.688333333333333</v>
      </c>
      <c r="L362">
        <v>98.688333333333333</v>
      </c>
      <c r="M362">
        <v>98.688333333333333</v>
      </c>
      <c r="N362">
        <v>98.688333333333333</v>
      </c>
      <c r="O362">
        <v>98.688333333333333</v>
      </c>
      <c r="P362">
        <v>98.688333333333333</v>
      </c>
      <c r="Q362">
        <v>0</v>
      </c>
      <c r="R362">
        <v>1</v>
      </c>
      <c r="S362">
        <v>0</v>
      </c>
      <c r="W362"/>
      <c r="X362"/>
      <c r="Y362"/>
    </row>
    <row r="363" spans="1:25" x14ac:dyDescent="0.3">
      <c r="A363" t="str">
        <f>Table_Capacity_HD_frontsheet[[#This Row],[Name]]&amp;B363</f>
        <v>HarrowReablement &amp; Rehabilitation in a bedded setting (pathway 2)</v>
      </c>
      <c r="B363" t="str">
        <f>VLOOKUP(Table_Capacity_HD_frontsheet[[#This Row],[Service Area]],PathwayLookup!A:B,2,0)</f>
        <v>Reablement &amp; Rehabilitation in a bedded setting (pathway 2)</v>
      </c>
      <c r="C363" t="s">
        <v>167</v>
      </c>
      <c r="D363" t="s">
        <v>723</v>
      </c>
      <c r="E363">
        <v>0</v>
      </c>
      <c r="F363">
        <v>0</v>
      </c>
      <c r="G363">
        <v>0</v>
      </c>
      <c r="H363">
        <v>0</v>
      </c>
      <c r="I363">
        <v>0</v>
      </c>
      <c r="J363">
        <v>0</v>
      </c>
      <c r="K363">
        <v>0</v>
      </c>
      <c r="L363">
        <v>0</v>
      </c>
      <c r="M363">
        <v>0</v>
      </c>
      <c r="N363">
        <v>0</v>
      </c>
      <c r="O363">
        <v>0</v>
      </c>
      <c r="P363">
        <v>0</v>
      </c>
      <c r="Q363">
        <v>0</v>
      </c>
      <c r="R363">
        <v>0</v>
      </c>
      <c r="S363">
        <v>0</v>
      </c>
      <c r="W363"/>
      <c r="X363"/>
      <c r="Y363"/>
    </row>
    <row r="364" spans="1:25" x14ac:dyDescent="0.3">
      <c r="A364" t="str">
        <f>Table_Capacity_HD_frontsheet[[#This Row],[Name]]&amp;B364</f>
        <v>HarrowReablement &amp; Rehabilitation in a bedded setting (pathway 2)</v>
      </c>
      <c r="B364" t="str">
        <f>VLOOKUP(Table_Capacity_HD_frontsheet[[#This Row],[Service Area]],PathwayLookup!A:B,2,0)</f>
        <v>Reablement &amp; Rehabilitation in a bedded setting (pathway 2)</v>
      </c>
      <c r="C364" t="s">
        <v>167</v>
      </c>
      <c r="D364" t="s">
        <v>725</v>
      </c>
      <c r="E364">
        <v>45</v>
      </c>
      <c r="F364">
        <v>45</v>
      </c>
      <c r="G364">
        <v>45</v>
      </c>
      <c r="H364">
        <v>45</v>
      </c>
      <c r="I364">
        <v>45</v>
      </c>
      <c r="J364">
        <v>45</v>
      </c>
      <c r="K364">
        <v>45</v>
      </c>
      <c r="L364">
        <v>45</v>
      </c>
      <c r="M364">
        <v>45</v>
      </c>
      <c r="N364">
        <v>45</v>
      </c>
      <c r="O364">
        <v>45</v>
      </c>
      <c r="P364">
        <v>45</v>
      </c>
      <c r="Q364">
        <v>1</v>
      </c>
      <c r="R364">
        <v>0</v>
      </c>
      <c r="S364">
        <v>0</v>
      </c>
      <c r="W364"/>
      <c r="X364"/>
      <c r="Y364"/>
    </row>
    <row r="365" spans="1:25" x14ac:dyDescent="0.3">
      <c r="A365" t="str">
        <f>Table_Capacity_HD_frontsheet[[#This Row],[Name]]&amp;B365</f>
        <v>HarrowShort-term residential/nursing care for someone likely to require a longer-term care home placement (pathway 3)</v>
      </c>
      <c r="B365" t="str">
        <f>VLOOKUP(Table_Capacity_HD_frontsheet[[#This Row],[Service Area]],PathwayLookup!A:B,2,0)</f>
        <v>Short-term residential/nursing care for someone likely to require a longer-term care home placement (pathway 3)</v>
      </c>
      <c r="C365" t="s">
        <v>167</v>
      </c>
      <c r="D365" t="s">
        <v>731</v>
      </c>
      <c r="E365">
        <v>5</v>
      </c>
      <c r="F365">
        <v>5</v>
      </c>
      <c r="G365">
        <v>5</v>
      </c>
      <c r="H365">
        <v>5</v>
      </c>
      <c r="I365">
        <v>5</v>
      </c>
      <c r="J365">
        <v>5</v>
      </c>
      <c r="K365">
        <v>5</v>
      </c>
      <c r="L365">
        <v>5</v>
      </c>
      <c r="M365">
        <v>5</v>
      </c>
      <c r="N365">
        <v>5</v>
      </c>
      <c r="O365">
        <v>5</v>
      </c>
      <c r="P365">
        <v>5</v>
      </c>
      <c r="Q365">
        <v>0</v>
      </c>
      <c r="R365">
        <v>1</v>
      </c>
      <c r="S365">
        <v>0</v>
      </c>
      <c r="W365"/>
      <c r="X365"/>
      <c r="Y365"/>
    </row>
    <row r="366" spans="1:25" x14ac:dyDescent="0.3">
      <c r="A366" t="str">
        <f>Table_Capacity_HD_frontsheet[[#This Row],[Name]]&amp;B366</f>
        <v>HartlepoolSocial support (including VCS) (pathway 0)</v>
      </c>
      <c r="B366" t="str">
        <f>VLOOKUP(Table_Capacity_HD_frontsheet[[#This Row],[Service Area]],PathwayLookup!A:B,2,0)</f>
        <v>Social support (including VCS) (pathway 0)</v>
      </c>
      <c r="C366" t="s">
        <v>169</v>
      </c>
      <c r="D366" t="s">
        <v>726</v>
      </c>
      <c r="E366">
        <v>0</v>
      </c>
      <c r="F366">
        <v>0</v>
      </c>
      <c r="G366">
        <v>0</v>
      </c>
      <c r="H366">
        <v>0</v>
      </c>
      <c r="I366">
        <v>0</v>
      </c>
      <c r="J366">
        <v>0</v>
      </c>
      <c r="K366">
        <v>0</v>
      </c>
      <c r="L366">
        <v>0</v>
      </c>
      <c r="M366">
        <v>0</v>
      </c>
      <c r="N366">
        <v>0</v>
      </c>
      <c r="O366">
        <v>0</v>
      </c>
      <c r="P366">
        <v>0</v>
      </c>
      <c r="Q366">
        <v>0</v>
      </c>
      <c r="R366">
        <v>0</v>
      </c>
      <c r="S366">
        <v>0</v>
      </c>
      <c r="W366"/>
      <c r="X366"/>
      <c r="Y366"/>
    </row>
    <row r="367" spans="1:25" x14ac:dyDescent="0.3">
      <c r="A367" t="str">
        <f>Table_Capacity_HD_frontsheet[[#This Row],[Name]]&amp;B367</f>
        <v>HartlepoolReablement &amp; Rehabilitation at home  (pathway 1)</v>
      </c>
      <c r="B367" t="str">
        <f>VLOOKUP(Table_Capacity_HD_frontsheet[[#This Row],[Service Area]],PathwayLookup!A:B,2,0)</f>
        <v>Reablement &amp; Rehabilitation at home  (pathway 1)</v>
      </c>
      <c r="C367" t="s">
        <v>169</v>
      </c>
      <c r="D367" t="s">
        <v>728</v>
      </c>
      <c r="E367">
        <v>59</v>
      </c>
      <c r="F367">
        <v>59</v>
      </c>
      <c r="G367">
        <v>68</v>
      </c>
      <c r="H367">
        <v>70</v>
      </c>
      <c r="I367">
        <v>70</v>
      </c>
      <c r="J367">
        <v>71</v>
      </c>
      <c r="K367">
        <v>72</v>
      </c>
      <c r="L367">
        <v>70</v>
      </c>
      <c r="M367">
        <v>60</v>
      </c>
      <c r="N367">
        <v>65</v>
      </c>
      <c r="O367">
        <v>62</v>
      </c>
      <c r="P367">
        <v>59</v>
      </c>
      <c r="Q367">
        <v>0.22</v>
      </c>
      <c r="R367">
        <v>0.78</v>
      </c>
      <c r="S367">
        <v>0</v>
      </c>
      <c r="W367"/>
      <c r="X367"/>
      <c r="Y367"/>
    </row>
    <row r="368" spans="1:25" x14ac:dyDescent="0.3">
      <c r="A368" t="str">
        <f>Table_Capacity_HD_frontsheet[[#This Row],[Name]]&amp;B368</f>
        <v>HartlepoolReablement &amp; Rehabilitation at home  (pathway 1)</v>
      </c>
      <c r="B368" t="str">
        <f>VLOOKUP(Table_Capacity_HD_frontsheet[[#This Row],[Service Area]],PathwayLookup!A:B,2,0)</f>
        <v>Reablement &amp; Rehabilitation at home  (pathway 1)</v>
      </c>
      <c r="C368" t="s">
        <v>169</v>
      </c>
      <c r="D368" t="s">
        <v>721</v>
      </c>
      <c r="E368">
        <v>1</v>
      </c>
      <c r="F368">
        <v>2</v>
      </c>
      <c r="G368">
        <v>0</v>
      </c>
      <c r="H368">
        <v>2</v>
      </c>
      <c r="I368">
        <v>4</v>
      </c>
      <c r="J368">
        <v>6</v>
      </c>
      <c r="K368">
        <v>1</v>
      </c>
      <c r="L368">
        <v>1</v>
      </c>
      <c r="M368">
        <v>1</v>
      </c>
      <c r="N368">
        <v>2</v>
      </c>
      <c r="O368">
        <v>5</v>
      </c>
      <c r="P368">
        <v>3</v>
      </c>
      <c r="Q368">
        <v>1</v>
      </c>
      <c r="R368">
        <v>0</v>
      </c>
      <c r="S368">
        <v>0</v>
      </c>
      <c r="W368"/>
      <c r="X368"/>
      <c r="Y368"/>
    </row>
    <row r="369" spans="1:25" x14ac:dyDescent="0.3">
      <c r="A369" t="str">
        <f>Table_Capacity_HD_frontsheet[[#This Row],[Name]]&amp;B369</f>
        <v>HartlepoolShort term domiciliary care (pathway 1)</v>
      </c>
      <c r="B369" t="str">
        <f>VLOOKUP(Table_Capacity_HD_frontsheet[[#This Row],[Service Area]],PathwayLookup!A:B,2,0)</f>
        <v>Short term domiciliary care (pathway 1)</v>
      </c>
      <c r="C369" t="s">
        <v>169</v>
      </c>
      <c r="D369" t="s">
        <v>730</v>
      </c>
      <c r="E369">
        <v>0</v>
      </c>
      <c r="F369">
        <v>0</v>
      </c>
      <c r="G369">
        <v>0</v>
      </c>
      <c r="H369">
        <v>0</v>
      </c>
      <c r="I369">
        <v>0</v>
      </c>
      <c r="J369">
        <v>0</v>
      </c>
      <c r="K369">
        <v>0</v>
      </c>
      <c r="L369">
        <v>0</v>
      </c>
      <c r="M369">
        <v>0</v>
      </c>
      <c r="N369">
        <v>0</v>
      </c>
      <c r="O369">
        <v>0</v>
      </c>
      <c r="P369">
        <v>0</v>
      </c>
      <c r="Q369">
        <v>0</v>
      </c>
      <c r="R369">
        <v>0</v>
      </c>
      <c r="S369">
        <v>0</v>
      </c>
      <c r="W369"/>
      <c r="X369"/>
      <c r="Y369"/>
    </row>
    <row r="370" spans="1:25" x14ac:dyDescent="0.3">
      <c r="A370" t="str">
        <f>Table_Capacity_HD_frontsheet[[#This Row],[Name]]&amp;B370</f>
        <v>HartlepoolReablement &amp; Rehabilitation in a bedded setting (pathway 2)</v>
      </c>
      <c r="B370" t="str">
        <f>VLOOKUP(Table_Capacity_HD_frontsheet[[#This Row],[Service Area]],PathwayLookup!A:B,2,0)</f>
        <v>Reablement &amp; Rehabilitation in a bedded setting (pathway 2)</v>
      </c>
      <c r="C370" t="s">
        <v>169</v>
      </c>
      <c r="D370" t="s">
        <v>723</v>
      </c>
      <c r="E370">
        <v>46</v>
      </c>
      <c r="F370">
        <v>48</v>
      </c>
      <c r="G370">
        <v>46</v>
      </c>
      <c r="H370">
        <v>48</v>
      </c>
      <c r="I370">
        <v>48</v>
      </c>
      <c r="J370">
        <v>46</v>
      </c>
      <c r="K370">
        <v>48</v>
      </c>
      <c r="L370">
        <v>46</v>
      </c>
      <c r="M370">
        <v>48</v>
      </c>
      <c r="N370">
        <v>48</v>
      </c>
      <c r="O370">
        <v>45</v>
      </c>
      <c r="P370">
        <v>48</v>
      </c>
      <c r="Q370">
        <v>0</v>
      </c>
      <c r="R370">
        <v>1</v>
      </c>
      <c r="S370">
        <v>0</v>
      </c>
      <c r="W370"/>
      <c r="X370"/>
      <c r="Y370"/>
    </row>
    <row r="371" spans="1:25" x14ac:dyDescent="0.3">
      <c r="A371" t="str">
        <f>Table_Capacity_HD_frontsheet[[#This Row],[Name]]&amp;B371</f>
        <v>HartlepoolReablement &amp; Rehabilitation in a bedded setting (pathway 2)</v>
      </c>
      <c r="B371" t="str">
        <f>VLOOKUP(Table_Capacity_HD_frontsheet[[#This Row],[Service Area]],PathwayLookup!A:B,2,0)</f>
        <v>Reablement &amp; Rehabilitation in a bedded setting (pathway 2)</v>
      </c>
      <c r="C371" t="s">
        <v>169</v>
      </c>
      <c r="D371" t="s">
        <v>725</v>
      </c>
      <c r="E371">
        <v>0</v>
      </c>
      <c r="F371">
        <v>0</v>
      </c>
      <c r="G371">
        <v>0</v>
      </c>
      <c r="H371">
        <v>0</v>
      </c>
      <c r="I371">
        <v>0</v>
      </c>
      <c r="J371">
        <v>0</v>
      </c>
      <c r="K371">
        <v>0</v>
      </c>
      <c r="L371">
        <v>0</v>
      </c>
      <c r="M371">
        <v>0</v>
      </c>
      <c r="N371">
        <v>0</v>
      </c>
      <c r="O371">
        <v>0</v>
      </c>
      <c r="P371">
        <v>0</v>
      </c>
      <c r="Q371">
        <v>0</v>
      </c>
      <c r="R371">
        <v>0</v>
      </c>
      <c r="S371">
        <v>0</v>
      </c>
      <c r="W371"/>
      <c r="X371"/>
      <c r="Y371"/>
    </row>
    <row r="372" spans="1:25" x14ac:dyDescent="0.3">
      <c r="A372" t="str">
        <f>Table_Capacity_HD_frontsheet[[#This Row],[Name]]&amp;B372</f>
        <v>HartlepoolShort-term residential/nursing care for someone likely to require a longer-term care home placement (pathway 3)</v>
      </c>
      <c r="B372" t="str">
        <f>VLOOKUP(Table_Capacity_HD_frontsheet[[#This Row],[Service Area]],PathwayLookup!A:B,2,0)</f>
        <v>Short-term residential/nursing care for someone likely to require a longer-term care home placement (pathway 3)</v>
      </c>
      <c r="C372" t="s">
        <v>169</v>
      </c>
      <c r="D372" t="s">
        <v>731</v>
      </c>
      <c r="E372">
        <v>2</v>
      </c>
      <c r="F372">
        <v>2</v>
      </c>
      <c r="G372">
        <v>2</v>
      </c>
      <c r="H372">
        <v>2</v>
      </c>
      <c r="I372">
        <v>2</v>
      </c>
      <c r="J372">
        <v>2</v>
      </c>
      <c r="K372">
        <v>2</v>
      </c>
      <c r="L372">
        <v>2</v>
      </c>
      <c r="M372">
        <v>2</v>
      </c>
      <c r="N372">
        <v>2</v>
      </c>
      <c r="O372">
        <v>2</v>
      </c>
      <c r="P372">
        <v>2</v>
      </c>
      <c r="Q372">
        <v>0</v>
      </c>
      <c r="R372">
        <v>1</v>
      </c>
      <c r="S372">
        <v>0</v>
      </c>
      <c r="W372"/>
      <c r="X372"/>
      <c r="Y372"/>
    </row>
    <row r="373" spans="1:25" x14ac:dyDescent="0.3">
      <c r="A373" t="str">
        <f>Table_Capacity_HD_frontsheet[[#This Row],[Name]]&amp;B373</f>
        <v>HaveringSocial support (including VCS) (pathway 0)</v>
      </c>
      <c r="B373" t="str">
        <f>VLOOKUP(Table_Capacity_HD_frontsheet[[#This Row],[Service Area]],PathwayLookup!A:B,2,0)</f>
        <v>Social support (including VCS) (pathway 0)</v>
      </c>
      <c r="C373" t="s">
        <v>171</v>
      </c>
      <c r="D373" t="s">
        <v>726</v>
      </c>
      <c r="E373">
        <v>70</v>
      </c>
      <c r="F373">
        <v>70</v>
      </c>
      <c r="G373">
        <v>70</v>
      </c>
      <c r="H373">
        <v>70</v>
      </c>
      <c r="I373">
        <v>70</v>
      </c>
      <c r="J373">
        <v>70</v>
      </c>
      <c r="K373">
        <v>70</v>
      </c>
      <c r="L373">
        <v>70</v>
      </c>
      <c r="M373">
        <v>70</v>
      </c>
      <c r="N373">
        <v>70</v>
      </c>
      <c r="O373">
        <v>70</v>
      </c>
      <c r="P373">
        <v>70</v>
      </c>
      <c r="W373"/>
      <c r="X373"/>
      <c r="Y373"/>
    </row>
    <row r="374" spans="1:25" x14ac:dyDescent="0.3">
      <c r="A374" t="str">
        <f>Table_Capacity_HD_frontsheet[[#This Row],[Name]]&amp;B374</f>
        <v>HaveringReablement &amp; Rehabilitation at home  (pathway 1)</v>
      </c>
      <c r="B374" t="str">
        <f>VLOOKUP(Table_Capacity_HD_frontsheet[[#This Row],[Service Area]],PathwayLookup!A:B,2,0)</f>
        <v>Reablement &amp; Rehabilitation at home  (pathway 1)</v>
      </c>
      <c r="C374" t="s">
        <v>171</v>
      </c>
      <c r="D374" t="s">
        <v>728</v>
      </c>
      <c r="E374">
        <v>150</v>
      </c>
      <c r="F374">
        <v>150</v>
      </c>
      <c r="G374">
        <v>150</v>
      </c>
      <c r="H374">
        <v>150</v>
      </c>
      <c r="I374">
        <v>150</v>
      </c>
      <c r="J374">
        <v>150</v>
      </c>
      <c r="K374">
        <v>150</v>
      </c>
      <c r="L374">
        <v>150</v>
      </c>
      <c r="M374">
        <v>150</v>
      </c>
      <c r="N374">
        <v>150</v>
      </c>
      <c r="O374">
        <v>150</v>
      </c>
      <c r="P374">
        <v>150</v>
      </c>
      <c r="W374"/>
      <c r="X374"/>
      <c r="Y374"/>
    </row>
    <row r="375" spans="1:25" x14ac:dyDescent="0.3">
      <c r="A375" t="str">
        <f>Table_Capacity_HD_frontsheet[[#This Row],[Name]]&amp;B375</f>
        <v>HaveringReablement &amp; Rehabilitation at home  (pathway 1)</v>
      </c>
      <c r="B375" t="str">
        <f>VLOOKUP(Table_Capacity_HD_frontsheet[[#This Row],[Service Area]],PathwayLookup!A:B,2,0)</f>
        <v>Reablement &amp; Rehabilitation at home  (pathway 1)</v>
      </c>
      <c r="C375" t="s">
        <v>171</v>
      </c>
      <c r="D375" t="s">
        <v>721</v>
      </c>
      <c r="E375">
        <v>24</v>
      </c>
      <c r="F375">
        <v>24</v>
      </c>
      <c r="G375">
        <v>24</v>
      </c>
      <c r="H375">
        <v>24</v>
      </c>
      <c r="I375">
        <v>24</v>
      </c>
      <c r="J375">
        <v>24</v>
      </c>
      <c r="K375">
        <v>24</v>
      </c>
      <c r="L375">
        <v>24</v>
      </c>
      <c r="M375">
        <v>24</v>
      </c>
      <c r="N375">
        <v>24</v>
      </c>
      <c r="O375">
        <v>24</v>
      </c>
      <c r="P375">
        <v>24</v>
      </c>
      <c r="Q375">
        <v>1</v>
      </c>
      <c r="W375"/>
      <c r="X375"/>
      <c r="Y375"/>
    </row>
    <row r="376" spans="1:25" x14ac:dyDescent="0.3">
      <c r="A376" t="str">
        <f>Table_Capacity_HD_frontsheet[[#This Row],[Name]]&amp;B376</f>
        <v>HaveringShort term domiciliary care (pathway 1)</v>
      </c>
      <c r="B376" t="str">
        <f>VLOOKUP(Table_Capacity_HD_frontsheet[[#This Row],[Service Area]],PathwayLookup!A:B,2,0)</f>
        <v>Short term domiciliary care (pathway 1)</v>
      </c>
      <c r="C376" t="s">
        <v>171</v>
      </c>
      <c r="D376" t="s">
        <v>730</v>
      </c>
      <c r="E376">
        <v>45</v>
      </c>
      <c r="F376">
        <v>45</v>
      </c>
      <c r="G376">
        <v>45</v>
      </c>
      <c r="H376">
        <v>45</v>
      </c>
      <c r="I376">
        <v>45</v>
      </c>
      <c r="J376">
        <v>45</v>
      </c>
      <c r="K376">
        <v>45</v>
      </c>
      <c r="L376">
        <v>45</v>
      </c>
      <c r="M376">
        <v>45</v>
      </c>
      <c r="N376">
        <v>45</v>
      </c>
      <c r="O376">
        <v>45</v>
      </c>
      <c r="P376">
        <v>45</v>
      </c>
      <c r="W376"/>
      <c r="X376"/>
      <c r="Y376"/>
    </row>
    <row r="377" spans="1:25" x14ac:dyDescent="0.3">
      <c r="A377" t="str">
        <f>Table_Capacity_HD_frontsheet[[#This Row],[Name]]&amp;B377</f>
        <v>HaveringReablement &amp; Rehabilitation in a bedded setting (pathway 2)</v>
      </c>
      <c r="B377" t="str">
        <f>VLOOKUP(Table_Capacity_HD_frontsheet[[#This Row],[Service Area]],PathwayLookup!A:B,2,0)</f>
        <v>Reablement &amp; Rehabilitation in a bedded setting (pathway 2)</v>
      </c>
      <c r="C377" t="s">
        <v>171</v>
      </c>
      <c r="D377" t="s">
        <v>723</v>
      </c>
      <c r="E377">
        <v>11</v>
      </c>
      <c r="F377">
        <v>11</v>
      </c>
      <c r="G377">
        <v>11</v>
      </c>
      <c r="H377">
        <v>11</v>
      </c>
      <c r="I377">
        <v>11</v>
      </c>
      <c r="J377">
        <v>11</v>
      </c>
      <c r="K377">
        <v>11</v>
      </c>
      <c r="L377">
        <v>11</v>
      </c>
      <c r="M377">
        <v>11</v>
      </c>
      <c r="N377">
        <v>11</v>
      </c>
      <c r="O377">
        <v>11</v>
      </c>
      <c r="P377">
        <v>11</v>
      </c>
      <c r="W377"/>
      <c r="X377"/>
      <c r="Y377"/>
    </row>
    <row r="378" spans="1:25" x14ac:dyDescent="0.3">
      <c r="A378" t="str">
        <f>Table_Capacity_HD_frontsheet[[#This Row],[Name]]&amp;B378</f>
        <v>HaveringReablement &amp; Rehabilitation in a bedded setting (pathway 2)</v>
      </c>
      <c r="B378" t="str">
        <f>VLOOKUP(Table_Capacity_HD_frontsheet[[#This Row],[Service Area]],PathwayLookup!A:B,2,0)</f>
        <v>Reablement &amp; Rehabilitation in a bedded setting (pathway 2)</v>
      </c>
      <c r="C378" t="s">
        <v>171</v>
      </c>
      <c r="D378" t="s">
        <v>725</v>
      </c>
      <c r="E378">
        <v>37</v>
      </c>
      <c r="F378">
        <v>36</v>
      </c>
      <c r="G378">
        <v>36</v>
      </c>
      <c r="H378">
        <v>36</v>
      </c>
      <c r="I378">
        <v>36</v>
      </c>
      <c r="J378">
        <v>36</v>
      </c>
      <c r="K378">
        <v>36</v>
      </c>
      <c r="L378">
        <v>37</v>
      </c>
      <c r="M378">
        <v>37</v>
      </c>
      <c r="N378">
        <v>37</v>
      </c>
      <c r="O378">
        <v>37</v>
      </c>
      <c r="P378">
        <v>37</v>
      </c>
      <c r="Q378">
        <v>1</v>
      </c>
      <c r="W378"/>
      <c r="X378"/>
      <c r="Y378"/>
    </row>
    <row r="379" spans="1:25" x14ac:dyDescent="0.3">
      <c r="A379" t="str">
        <f>Table_Capacity_HD_frontsheet[[#This Row],[Name]]&amp;B379</f>
        <v>HaveringShort-term residential/nursing care for someone likely to require a longer-term care home placement (pathway 3)</v>
      </c>
      <c r="B379" t="str">
        <f>VLOOKUP(Table_Capacity_HD_frontsheet[[#This Row],[Service Area]],PathwayLookup!A:B,2,0)</f>
        <v>Short-term residential/nursing care for someone likely to require a longer-term care home placement (pathway 3)</v>
      </c>
      <c r="C379" t="s">
        <v>171</v>
      </c>
      <c r="D379" t="s">
        <v>731</v>
      </c>
      <c r="E379">
        <v>30</v>
      </c>
      <c r="F379">
        <v>30</v>
      </c>
      <c r="G379">
        <v>30</v>
      </c>
      <c r="H379">
        <v>30</v>
      </c>
      <c r="I379">
        <v>30</v>
      </c>
      <c r="J379">
        <v>30</v>
      </c>
      <c r="K379">
        <v>30</v>
      </c>
      <c r="L379">
        <v>30</v>
      </c>
      <c r="M379">
        <v>30</v>
      </c>
      <c r="N379">
        <v>30</v>
      </c>
      <c r="O379">
        <v>30</v>
      </c>
      <c r="P379">
        <v>30</v>
      </c>
      <c r="W379"/>
      <c r="X379"/>
      <c r="Y379"/>
    </row>
    <row r="380" spans="1:25" x14ac:dyDescent="0.3">
      <c r="A380" t="str">
        <f>Table_Capacity_HD_frontsheet[[#This Row],[Name]]&amp;B380</f>
        <v>Herefordshire, County ofSocial support (including VCS) (pathway 0)</v>
      </c>
      <c r="B380" t="str">
        <f>VLOOKUP(Table_Capacity_HD_frontsheet[[#This Row],[Service Area]],PathwayLookup!A:B,2,0)</f>
        <v>Social support (including VCS) (pathway 0)</v>
      </c>
      <c r="C380" t="s">
        <v>173</v>
      </c>
      <c r="D380" t="s">
        <v>726</v>
      </c>
      <c r="E380">
        <v>20</v>
      </c>
      <c r="F380">
        <v>20</v>
      </c>
      <c r="G380">
        <v>20</v>
      </c>
      <c r="R380">
        <v>1</v>
      </c>
      <c r="W380"/>
      <c r="X380"/>
      <c r="Y380"/>
    </row>
    <row r="381" spans="1:25" x14ac:dyDescent="0.3">
      <c r="A381" t="str">
        <f>Table_Capacity_HD_frontsheet[[#This Row],[Name]]&amp;B381</f>
        <v>Herefordshire, County ofReablement &amp; Rehabilitation at home  (pathway 1)</v>
      </c>
      <c r="B381" t="str">
        <f>VLOOKUP(Table_Capacity_HD_frontsheet[[#This Row],[Service Area]],PathwayLookup!A:B,2,0)</f>
        <v>Reablement &amp; Rehabilitation at home  (pathway 1)</v>
      </c>
      <c r="C381" t="s">
        <v>173</v>
      </c>
      <c r="D381" t="s">
        <v>728</v>
      </c>
      <c r="E381">
        <v>44.07</v>
      </c>
      <c r="F381">
        <v>41.31</v>
      </c>
      <c r="G381">
        <v>36.72</v>
      </c>
      <c r="H381">
        <v>26.52</v>
      </c>
      <c r="I381">
        <v>36.72</v>
      </c>
      <c r="J381">
        <v>42.06</v>
      </c>
      <c r="K381">
        <v>37.229999999999997</v>
      </c>
      <c r="L381">
        <v>38.729999999999997</v>
      </c>
      <c r="M381">
        <v>42.84</v>
      </c>
      <c r="N381">
        <v>28.53</v>
      </c>
      <c r="O381">
        <v>39.51</v>
      </c>
      <c r="P381">
        <v>35.699999999999996</v>
      </c>
      <c r="R381">
        <v>1</v>
      </c>
      <c r="W381"/>
      <c r="X381"/>
      <c r="Y381"/>
    </row>
    <row r="382" spans="1:25" x14ac:dyDescent="0.3">
      <c r="A382" t="str">
        <f>Table_Capacity_HD_frontsheet[[#This Row],[Name]]&amp;B382</f>
        <v>Herefordshire, County ofReablement &amp; Rehabilitation at home  (pathway 1)</v>
      </c>
      <c r="B382" t="str">
        <f>VLOOKUP(Table_Capacity_HD_frontsheet[[#This Row],[Service Area]],PathwayLookup!A:B,2,0)</f>
        <v>Reablement &amp; Rehabilitation at home  (pathway 1)</v>
      </c>
      <c r="C382" t="s">
        <v>173</v>
      </c>
      <c r="D382" t="s">
        <v>721</v>
      </c>
      <c r="E382">
        <v>24.69</v>
      </c>
      <c r="F382">
        <v>28.77</v>
      </c>
      <c r="G382">
        <v>22.24</v>
      </c>
      <c r="H382">
        <v>30.84</v>
      </c>
      <c r="I382">
        <v>25.24</v>
      </c>
      <c r="J382">
        <v>24.02</v>
      </c>
      <c r="K382">
        <v>24.41</v>
      </c>
      <c r="L382">
        <v>27.91</v>
      </c>
      <c r="M382">
        <v>25.28</v>
      </c>
      <c r="N382">
        <v>16.509999999999998</v>
      </c>
      <c r="O382">
        <v>22.17</v>
      </c>
      <c r="P382">
        <v>18.899999999999999</v>
      </c>
      <c r="R382">
        <v>1</v>
      </c>
      <c r="W382"/>
      <c r="X382"/>
      <c r="Y382"/>
    </row>
    <row r="383" spans="1:25" x14ac:dyDescent="0.3">
      <c r="A383" t="str">
        <f>Table_Capacity_HD_frontsheet[[#This Row],[Name]]&amp;B383</f>
        <v>Herefordshire, County ofReablement &amp; Rehabilitation in a bedded setting (pathway 2)</v>
      </c>
      <c r="B383" t="str">
        <f>VLOOKUP(Table_Capacity_HD_frontsheet[[#This Row],[Service Area]],PathwayLookup!A:B,2,0)</f>
        <v>Reablement &amp; Rehabilitation in a bedded setting (pathway 2)</v>
      </c>
      <c r="C383" t="s">
        <v>173</v>
      </c>
      <c r="D383" t="s">
        <v>723</v>
      </c>
      <c r="E383">
        <v>34</v>
      </c>
      <c r="F383">
        <v>34</v>
      </c>
      <c r="G383">
        <v>34</v>
      </c>
      <c r="H383">
        <v>34</v>
      </c>
      <c r="I383">
        <v>34</v>
      </c>
      <c r="J383">
        <v>34</v>
      </c>
      <c r="K383">
        <v>34</v>
      </c>
      <c r="L383">
        <v>34</v>
      </c>
      <c r="M383">
        <v>34</v>
      </c>
      <c r="N383">
        <v>34</v>
      </c>
      <c r="O383">
        <v>34</v>
      </c>
      <c r="P383">
        <v>34</v>
      </c>
      <c r="Q383">
        <v>0.35</v>
      </c>
      <c r="R383">
        <v>0.65</v>
      </c>
      <c r="W383"/>
      <c r="X383"/>
      <c r="Y383"/>
    </row>
    <row r="384" spans="1:25" x14ac:dyDescent="0.3">
      <c r="A384" t="str">
        <f>Table_Capacity_HD_frontsheet[[#This Row],[Name]]&amp;B384</f>
        <v>Herefordshire, County ofReablement &amp; Rehabilitation in a bedded setting (pathway 2)</v>
      </c>
      <c r="B384" t="str">
        <f>VLOOKUP(Table_Capacity_HD_frontsheet[[#This Row],[Service Area]],PathwayLookup!A:B,2,0)</f>
        <v>Reablement &amp; Rehabilitation in a bedded setting (pathway 2)</v>
      </c>
      <c r="C384" t="s">
        <v>173</v>
      </c>
      <c r="D384" t="s">
        <v>725</v>
      </c>
      <c r="E384">
        <v>22.637</v>
      </c>
      <c r="F384">
        <v>18.262</v>
      </c>
      <c r="G384">
        <v>20.444000000000003</v>
      </c>
      <c r="H384">
        <v>21.069000000000003</v>
      </c>
      <c r="I384">
        <v>23.103000000000002</v>
      </c>
      <c r="J384">
        <v>18.367999999999999</v>
      </c>
      <c r="K384">
        <v>19.364000000000001</v>
      </c>
      <c r="L384">
        <v>21.747</v>
      </c>
      <c r="M384">
        <v>19.565000000000001</v>
      </c>
      <c r="N384">
        <v>26.334</v>
      </c>
      <c r="O384">
        <v>30.02</v>
      </c>
      <c r="P384">
        <v>24.724</v>
      </c>
      <c r="R384">
        <v>1</v>
      </c>
      <c r="W384"/>
      <c r="X384"/>
      <c r="Y384"/>
    </row>
    <row r="385" spans="1:25" x14ac:dyDescent="0.3">
      <c r="A385" t="str">
        <f>Table_Capacity_HD_frontsheet[[#This Row],[Name]]&amp;B385</f>
        <v>Herefordshire, County ofShort term domiciliary care (pathway 1)</v>
      </c>
      <c r="B385" t="str">
        <f>VLOOKUP(Table_Capacity_HD_frontsheet[[#This Row],[Service Area]],PathwayLookup!A:B,2,0)</f>
        <v>Short term domiciliary care (pathway 1)</v>
      </c>
      <c r="C385" t="s">
        <v>173</v>
      </c>
      <c r="D385" t="s">
        <v>730</v>
      </c>
      <c r="W385"/>
      <c r="X385"/>
      <c r="Y385"/>
    </row>
    <row r="386" spans="1:25" x14ac:dyDescent="0.3">
      <c r="A386" t="str">
        <f>Table_Capacity_HD_frontsheet[[#This Row],[Name]]&amp;B386</f>
        <v>Herefordshire, County ofShort-term residential/nursing care for someone likely to require a longer-term care home placement (pathway 3)</v>
      </c>
      <c r="B386" t="str">
        <f>VLOOKUP(Table_Capacity_HD_frontsheet[[#This Row],[Service Area]],PathwayLookup!A:B,2,0)</f>
        <v>Short-term residential/nursing care for someone likely to require a longer-term care home placement (pathway 3)</v>
      </c>
      <c r="C386" t="s">
        <v>173</v>
      </c>
      <c r="D386" t="s">
        <v>731</v>
      </c>
      <c r="E386">
        <v>17.992999999999999</v>
      </c>
      <c r="F386">
        <v>15.368</v>
      </c>
      <c r="G386">
        <v>17.259999999999998</v>
      </c>
      <c r="H386">
        <v>17.914999999999999</v>
      </c>
      <c r="I386">
        <v>18.382999999999999</v>
      </c>
      <c r="J386">
        <v>15.76</v>
      </c>
      <c r="K386">
        <v>14.981999999999999</v>
      </c>
      <c r="L386">
        <v>17.314999999999998</v>
      </c>
      <c r="M386">
        <v>14.999000000000001</v>
      </c>
      <c r="N386">
        <v>20.366</v>
      </c>
      <c r="O386">
        <v>23.75</v>
      </c>
      <c r="P386">
        <v>17.411999999999999</v>
      </c>
      <c r="R386">
        <v>1</v>
      </c>
      <c r="W386"/>
      <c r="X386"/>
      <c r="Y386"/>
    </row>
    <row r="387" spans="1:25" x14ac:dyDescent="0.3">
      <c r="A387" t="str">
        <f>Table_Capacity_HD_frontsheet[[#This Row],[Name]]&amp;B387</f>
        <v>HertfordshireSocial support (including VCS) (pathway 0)</v>
      </c>
      <c r="B387" t="str">
        <f>VLOOKUP(Table_Capacity_HD_frontsheet[[#This Row],[Service Area]],PathwayLookup!A:B,2,0)</f>
        <v>Social support (including VCS) (pathway 0)</v>
      </c>
      <c r="C387" t="s">
        <v>175</v>
      </c>
      <c r="D387" t="s">
        <v>726</v>
      </c>
      <c r="E387">
        <v>3628</v>
      </c>
      <c r="F387">
        <v>3743</v>
      </c>
      <c r="G387">
        <v>3628</v>
      </c>
      <c r="H387">
        <v>3743</v>
      </c>
      <c r="I387">
        <v>3743</v>
      </c>
      <c r="J387">
        <v>3628</v>
      </c>
      <c r="K387">
        <v>3743</v>
      </c>
      <c r="L387">
        <v>3628</v>
      </c>
      <c r="M387">
        <v>3743</v>
      </c>
      <c r="N387">
        <v>3743</v>
      </c>
      <c r="O387">
        <v>3513</v>
      </c>
      <c r="P387">
        <v>3743</v>
      </c>
      <c r="R387">
        <v>1</v>
      </c>
      <c r="W387"/>
      <c r="X387"/>
      <c r="Y387"/>
    </row>
    <row r="388" spans="1:25" x14ac:dyDescent="0.3">
      <c r="A388" t="str">
        <f>Table_Capacity_HD_frontsheet[[#This Row],[Name]]&amp;B388</f>
        <v>HertfordshireReablement &amp; Rehabilitation at home  (pathway 1)</v>
      </c>
      <c r="B388" t="str">
        <f>VLOOKUP(Table_Capacity_HD_frontsheet[[#This Row],[Service Area]],PathwayLookup!A:B,2,0)</f>
        <v>Reablement &amp; Rehabilitation at home  (pathway 1)</v>
      </c>
      <c r="C388" t="s">
        <v>175</v>
      </c>
      <c r="D388" t="s">
        <v>728</v>
      </c>
      <c r="E388">
        <v>315</v>
      </c>
      <c r="F388">
        <v>315</v>
      </c>
      <c r="G388">
        <v>305</v>
      </c>
      <c r="H388">
        <v>322</v>
      </c>
      <c r="I388">
        <v>323</v>
      </c>
      <c r="J388">
        <v>313</v>
      </c>
      <c r="K388">
        <v>328</v>
      </c>
      <c r="L388">
        <v>351</v>
      </c>
      <c r="M388">
        <v>362</v>
      </c>
      <c r="N388">
        <v>370</v>
      </c>
      <c r="O388">
        <v>337</v>
      </c>
      <c r="P388">
        <v>370</v>
      </c>
      <c r="R388">
        <v>1</v>
      </c>
      <c r="W388"/>
      <c r="X388"/>
      <c r="Y388"/>
    </row>
    <row r="389" spans="1:25" x14ac:dyDescent="0.3">
      <c r="A389" t="str">
        <f>Table_Capacity_HD_frontsheet[[#This Row],[Name]]&amp;B389</f>
        <v>HertfordshireReablement &amp; Rehabilitation at home  (pathway 1)</v>
      </c>
      <c r="B389" t="str">
        <f>VLOOKUP(Table_Capacity_HD_frontsheet[[#This Row],[Service Area]],PathwayLookup!A:B,2,0)</f>
        <v>Reablement &amp; Rehabilitation at home  (pathway 1)</v>
      </c>
      <c r="C389" t="s">
        <v>175</v>
      </c>
      <c r="D389" t="s">
        <v>721</v>
      </c>
      <c r="E389">
        <v>201</v>
      </c>
      <c r="F389">
        <v>204</v>
      </c>
      <c r="G389">
        <v>201</v>
      </c>
      <c r="H389">
        <v>204</v>
      </c>
      <c r="I389">
        <v>204</v>
      </c>
      <c r="J389">
        <v>201</v>
      </c>
      <c r="K389">
        <v>204</v>
      </c>
      <c r="L389">
        <v>201</v>
      </c>
      <c r="M389">
        <v>204</v>
      </c>
      <c r="N389">
        <v>204</v>
      </c>
      <c r="O389">
        <v>197</v>
      </c>
      <c r="P389">
        <v>204</v>
      </c>
      <c r="Q389">
        <v>1</v>
      </c>
      <c r="W389"/>
      <c r="X389"/>
      <c r="Y389"/>
    </row>
    <row r="390" spans="1:25" x14ac:dyDescent="0.3">
      <c r="A390" t="str">
        <f>Table_Capacity_HD_frontsheet[[#This Row],[Name]]&amp;B390</f>
        <v>HertfordshireShort term domiciliary care (pathway 1)</v>
      </c>
      <c r="B390" t="str">
        <f>VLOOKUP(Table_Capacity_HD_frontsheet[[#This Row],[Service Area]],PathwayLookup!A:B,2,0)</f>
        <v>Short term domiciliary care (pathway 1)</v>
      </c>
      <c r="C390" t="s">
        <v>175</v>
      </c>
      <c r="D390" t="s">
        <v>730</v>
      </c>
      <c r="E390">
        <v>0</v>
      </c>
      <c r="F390">
        <v>0</v>
      </c>
      <c r="G390">
        <v>0</v>
      </c>
      <c r="H390">
        <v>0</v>
      </c>
      <c r="I390">
        <v>0</v>
      </c>
      <c r="J390">
        <v>0</v>
      </c>
      <c r="K390">
        <v>0</v>
      </c>
      <c r="L390">
        <v>0</v>
      </c>
      <c r="M390">
        <v>0</v>
      </c>
      <c r="N390">
        <v>0</v>
      </c>
      <c r="O390">
        <v>0</v>
      </c>
      <c r="P390">
        <v>0</v>
      </c>
      <c r="W390"/>
      <c r="X390"/>
      <c r="Y390"/>
    </row>
    <row r="391" spans="1:25" x14ac:dyDescent="0.3">
      <c r="A391" t="str">
        <f>Table_Capacity_HD_frontsheet[[#This Row],[Name]]&amp;B391</f>
        <v>HertfordshireReablement &amp; Rehabilitation in a bedded setting (pathway 2)</v>
      </c>
      <c r="B391" t="str">
        <f>VLOOKUP(Table_Capacity_HD_frontsheet[[#This Row],[Service Area]],PathwayLookup!A:B,2,0)</f>
        <v>Reablement &amp; Rehabilitation in a bedded setting (pathway 2)</v>
      </c>
      <c r="C391" t="s">
        <v>175</v>
      </c>
      <c r="D391" t="s">
        <v>723</v>
      </c>
      <c r="E391">
        <v>65</v>
      </c>
      <c r="F391">
        <v>65</v>
      </c>
      <c r="G391">
        <v>63</v>
      </c>
      <c r="H391">
        <v>65</v>
      </c>
      <c r="I391">
        <v>65</v>
      </c>
      <c r="J391">
        <v>63</v>
      </c>
      <c r="K391">
        <v>65</v>
      </c>
      <c r="L391">
        <v>98</v>
      </c>
      <c r="M391">
        <v>102</v>
      </c>
      <c r="N391">
        <v>102</v>
      </c>
      <c r="O391">
        <v>92</v>
      </c>
      <c r="P391">
        <v>98</v>
      </c>
      <c r="Q391">
        <v>0.05</v>
      </c>
      <c r="R391">
        <v>0.95</v>
      </c>
      <c r="S391">
        <v>1</v>
      </c>
      <c r="W391"/>
      <c r="X391"/>
      <c r="Y391"/>
    </row>
    <row r="392" spans="1:25" x14ac:dyDescent="0.3">
      <c r="A392" t="str">
        <f>Table_Capacity_HD_frontsheet[[#This Row],[Name]]&amp;B392</f>
        <v>HertfordshireReablement &amp; Rehabilitation in a bedded setting (pathway 2)</v>
      </c>
      <c r="B392" t="str">
        <f>VLOOKUP(Table_Capacity_HD_frontsheet[[#This Row],[Service Area]],PathwayLookup!A:B,2,0)</f>
        <v>Reablement &amp; Rehabilitation in a bedded setting (pathway 2)</v>
      </c>
      <c r="C392" t="s">
        <v>175</v>
      </c>
      <c r="D392" t="s">
        <v>725</v>
      </c>
      <c r="E392">
        <v>194</v>
      </c>
      <c r="F392">
        <v>194</v>
      </c>
      <c r="G392">
        <v>194</v>
      </c>
      <c r="H392">
        <v>194</v>
      </c>
      <c r="I392">
        <v>194</v>
      </c>
      <c r="J392">
        <v>194</v>
      </c>
      <c r="K392">
        <v>194</v>
      </c>
      <c r="L392">
        <v>194</v>
      </c>
      <c r="M392">
        <v>194</v>
      </c>
      <c r="N392">
        <v>194</v>
      </c>
      <c r="O392">
        <v>194</v>
      </c>
      <c r="P392">
        <v>194</v>
      </c>
      <c r="Q392">
        <v>1</v>
      </c>
      <c r="W392"/>
      <c r="X392"/>
      <c r="Y392"/>
    </row>
    <row r="393" spans="1:25" x14ac:dyDescent="0.3">
      <c r="A393" t="str">
        <f>Table_Capacity_HD_frontsheet[[#This Row],[Name]]&amp;B393</f>
        <v>HertfordshireShort-term residential/nursing care for someone likely to require a longer-term care home placement (pathway 3)</v>
      </c>
      <c r="B393" t="str">
        <f>VLOOKUP(Table_Capacity_HD_frontsheet[[#This Row],[Service Area]],PathwayLookup!A:B,2,0)</f>
        <v>Short-term residential/nursing care for someone likely to require a longer-term care home placement (pathway 3)</v>
      </c>
      <c r="C393" t="s">
        <v>175</v>
      </c>
      <c r="D393" t="s">
        <v>731</v>
      </c>
      <c r="E393">
        <v>0</v>
      </c>
      <c r="F393">
        <v>0</v>
      </c>
      <c r="G393">
        <v>0</v>
      </c>
      <c r="H393">
        <v>0</v>
      </c>
      <c r="I393">
        <v>0</v>
      </c>
      <c r="J393">
        <v>0</v>
      </c>
      <c r="K393">
        <v>0</v>
      </c>
      <c r="L393">
        <v>0</v>
      </c>
      <c r="M393">
        <v>0</v>
      </c>
      <c r="N393">
        <v>0</v>
      </c>
      <c r="O393">
        <v>0</v>
      </c>
      <c r="P393">
        <v>0</v>
      </c>
      <c r="W393"/>
      <c r="X393"/>
      <c r="Y393"/>
    </row>
    <row r="394" spans="1:25" x14ac:dyDescent="0.3">
      <c r="A394" t="str">
        <f>Table_Capacity_HD_frontsheet[[#This Row],[Name]]&amp;B394</f>
        <v>HillingdonSocial support (including VCS) (pathway 0)</v>
      </c>
      <c r="B394" t="str">
        <f>VLOOKUP(Table_Capacity_HD_frontsheet[[#This Row],[Service Area]],PathwayLookup!A:B,2,0)</f>
        <v>Social support (including VCS) (pathway 0)</v>
      </c>
      <c r="C394" t="s">
        <v>177</v>
      </c>
      <c r="D394" t="s">
        <v>726</v>
      </c>
      <c r="E394">
        <v>177</v>
      </c>
      <c r="F394">
        <v>177</v>
      </c>
      <c r="G394">
        <v>177</v>
      </c>
      <c r="H394">
        <v>177</v>
      </c>
      <c r="I394">
        <v>177</v>
      </c>
      <c r="J394">
        <v>177</v>
      </c>
      <c r="K394">
        <v>177</v>
      </c>
      <c r="L394">
        <v>232</v>
      </c>
      <c r="M394">
        <v>232</v>
      </c>
      <c r="N394">
        <v>232</v>
      </c>
      <c r="O394">
        <v>232</v>
      </c>
      <c r="P394">
        <v>232</v>
      </c>
      <c r="Q394">
        <v>0.8</v>
      </c>
      <c r="R394">
        <v>0.2</v>
      </c>
      <c r="S394">
        <v>0</v>
      </c>
      <c r="W394"/>
      <c r="X394"/>
      <c r="Y394"/>
    </row>
    <row r="395" spans="1:25" x14ac:dyDescent="0.3">
      <c r="A395" t="str">
        <f>Table_Capacity_HD_frontsheet[[#This Row],[Name]]&amp;B395</f>
        <v>HillingdonReablement &amp; Rehabilitation at home  (pathway 1)</v>
      </c>
      <c r="B395" t="str">
        <f>VLOOKUP(Table_Capacity_HD_frontsheet[[#This Row],[Service Area]],PathwayLookup!A:B,2,0)</f>
        <v>Reablement &amp; Rehabilitation at home  (pathway 1)</v>
      </c>
      <c r="C395" t="s">
        <v>177</v>
      </c>
      <c r="D395" t="s">
        <v>728</v>
      </c>
      <c r="E395">
        <v>47</v>
      </c>
      <c r="F395">
        <v>49</v>
      </c>
      <c r="G395">
        <v>47</v>
      </c>
      <c r="H395">
        <v>49</v>
      </c>
      <c r="I395">
        <v>49</v>
      </c>
      <c r="J395">
        <v>47</v>
      </c>
      <c r="K395">
        <v>49</v>
      </c>
      <c r="L395">
        <v>47</v>
      </c>
      <c r="M395">
        <v>49</v>
      </c>
      <c r="N395">
        <v>49</v>
      </c>
      <c r="O395">
        <v>43</v>
      </c>
      <c r="P395">
        <v>49</v>
      </c>
      <c r="Q395">
        <v>0</v>
      </c>
      <c r="R395">
        <v>0</v>
      </c>
      <c r="S395">
        <v>1</v>
      </c>
      <c r="W395"/>
      <c r="X395"/>
      <c r="Y395"/>
    </row>
    <row r="396" spans="1:25" x14ac:dyDescent="0.3">
      <c r="A396" t="str">
        <f>Table_Capacity_HD_frontsheet[[#This Row],[Name]]&amp;B396</f>
        <v>HillingdonReablement &amp; Rehabilitation at home  (pathway 1)</v>
      </c>
      <c r="B396" t="str">
        <f>VLOOKUP(Table_Capacity_HD_frontsheet[[#This Row],[Service Area]],PathwayLookup!A:B,2,0)</f>
        <v>Reablement &amp; Rehabilitation at home  (pathway 1)</v>
      </c>
      <c r="C396" t="s">
        <v>177</v>
      </c>
      <c r="D396" t="s">
        <v>721</v>
      </c>
      <c r="E396">
        <v>70</v>
      </c>
      <c r="F396">
        <v>52</v>
      </c>
      <c r="G396">
        <v>50</v>
      </c>
      <c r="H396">
        <v>52</v>
      </c>
      <c r="I396">
        <v>52</v>
      </c>
      <c r="J396">
        <v>50</v>
      </c>
      <c r="K396">
        <v>52</v>
      </c>
      <c r="L396">
        <v>50</v>
      </c>
      <c r="M396">
        <v>52</v>
      </c>
      <c r="N396">
        <v>52</v>
      </c>
      <c r="O396">
        <v>47</v>
      </c>
      <c r="P396">
        <v>52</v>
      </c>
      <c r="Q396">
        <v>1</v>
      </c>
      <c r="R396">
        <v>0</v>
      </c>
      <c r="S396">
        <v>0</v>
      </c>
      <c r="W396"/>
      <c r="X396"/>
      <c r="Y396"/>
    </row>
    <row r="397" spans="1:25" x14ac:dyDescent="0.3">
      <c r="A397" t="str">
        <f>Table_Capacity_HD_frontsheet[[#This Row],[Name]]&amp;B397</f>
        <v>HillingdonShort term domiciliary care (pathway 1)</v>
      </c>
      <c r="B397" t="str">
        <f>VLOOKUP(Table_Capacity_HD_frontsheet[[#This Row],[Service Area]],PathwayLookup!A:B,2,0)</f>
        <v>Short term domiciliary care (pathway 1)</v>
      </c>
      <c r="C397" t="s">
        <v>177</v>
      </c>
      <c r="D397" t="s">
        <v>730</v>
      </c>
      <c r="E397">
        <v>167</v>
      </c>
      <c r="F397">
        <v>177</v>
      </c>
      <c r="G397">
        <v>163</v>
      </c>
      <c r="H397">
        <v>163</v>
      </c>
      <c r="I397">
        <v>172</v>
      </c>
      <c r="J397">
        <v>161</v>
      </c>
      <c r="K397">
        <v>154</v>
      </c>
      <c r="L397">
        <v>134</v>
      </c>
      <c r="M397">
        <v>185</v>
      </c>
      <c r="N397">
        <v>185</v>
      </c>
      <c r="O397">
        <v>165</v>
      </c>
      <c r="P397">
        <v>177</v>
      </c>
      <c r="Q397">
        <v>0</v>
      </c>
      <c r="R397">
        <v>0</v>
      </c>
      <c r="S397">
        <v>1</v>
      </c>
      <c r="W397"/>
      <c r="X397"/>
      <c r="Y397"/>
    </row>
    <row r="398" spans="1:25" x14ac:dyDescent="0.3">
      <c r="A398" t="str">
        <f>Table_Capacity_HD_frontsheet[[#This Row],[Name]]&amp;B398</f>
        <v>HillingdonReablement &amp; Rehabilitation in a bedded setting (pathway 2)</v>
      </c>
      <c r="B398" t="str">
        <f>VLOOKUP(Table_Capacity_HD_frontsheet[[#This Row],[Service Area]],PathwayLookup!A:B,2,0)</f>
        <v>Reablement &amp; Rehabilitation in a bedded setting (pathway 2)</v>
      </c>
      <c r="C398" t="s">
        <v>177</v>
      </c>
      <c r="D398" t="s">
        <v>723</v>
      </c>
      <c r="E398">
        <v>0</v>
      </c>
      <c r="F398">
        <v>0</v>
      </c>
      <c r="G398">
        <v>0</v>
      </c>
      <c r="H398">
        <v>0</v>
      </c>
      <c r="I398">
        <v>0</v>
      </c>
      <c r="J398">
        <v>0</v>
      </c>
      <c r="K398">
        <v>0</v>
      </c>
      <c r="L398">
        <v>0</v>
      </c>
      <c r="M398">
        <v>0</v>
      </c>
      <c r="N398">
        <v>0</v>
      </c>
      <c r="O398">
        <v>0</v>
      </c>
      <c r="P398">
        <v>0</v>
      </c>
      <c r="Q398">
        <v>0</v>
      </c>
      <c r="R398">
        <v>0</v>
      </c>
      <c r="S398">
        <v>0</v>
      </c>
      <c r="W398"/>
      <c r="X398"/>
      <c r="Y398"/>
    </row>
    <row r="399" spans="1:25" x14ac:dyDescent="0.3">
      <c r="A399" t="str">
        <f>Table_Capacity_HD_frontsheet[[#This Row],[Name]]&amp;B399</f>
        <v>HillingdonReablement &amp; Rehabilitation in a bedded setting (pathway 2)</v>
      </c>
      <c r="B399" t="str">
        <f>VLOOKUP(Table_Capacity_HD_frontsheet[[#This Row],[Service Area]],PathwayLookup!A:B,2,0)</f>
        <v>Reablement &amp; Rehabilitation in a bedded setting (pathway 2)</v>
      </c>
      <c r="C399" t="s">
        <v>177</v>
      </c>
      <c r="D399" t="s">
        <v>725</v>
      </c>
      <c r="E399">
        <v>30</v>
      </c>
      <c r="F399">
        <v>31</v>
      </c>
      <c r="G399">
        <v>30</v>
      </c>
      <c r="H399">
        <v>31</v>
      </c>
      <c r="I399">
        <v>31</v>
      </c>
      <c r="J399">
        <v>30</v>
      </c>
      <c r="K399">
        <v>31</v>
      </c>
      <c r="L399">
        <v>30</v>
      </c>
      <c r="M399">
        <v>31</v>
      </c>
      <c r="N399">
        <v>31</v>
      </c>
      <c r="O399">
        <v>28</v>
      </c>
      <c r="P399">
        <v>31</v>
      </c>
      <c r="Q399">
        <v>1</v>
      </c>
      <c r="R399">
        <v>0</v>
      </c>
      <c r="S399">
        <v>0</v>
      </c>
      <c r="W399"/>
      <c r="X399"/>
      <c r="Y399"/>
    </row>
    <row r="400" spans="1:25" x14ac:dyDescent="0.3">
      <c r="A400" t="str">
        <f>Table_Capacity_HD_frontsheet[[#This Row],[Name]]&amp;B400</f>
        <v>HillingdonShort-term residential/nursing care for someone likely to require a longer-term care home placement (pathway 3)</v>
      </c>
      <c r="B400" t="str">
        <f>VLOOKUP(Table_Capacity_HD_frontsheet[[#This Row],[Service Area]],PathwayLookup!A:B,2,0)</f>
        <v>Short-term residential/nursing care for someone likely to require a longer-term care home placement (pathway 3)</v>
      </c>
      <c r="C400" t="s">
        <v>177</v>
      </c>
      <c r="D400" t="s">
        <v>731</v>
      </c>
      <c r="E400">
        <v>7</v>
      </c>
      <c r="F400">
        <v>7</v>
      </c>
      <c r="G400">
        <v>7</v>
      </c>
      <c r="H400">
        <v>7</v>
      </c>
      <c r="I400">
        <v>7</v>
      </c>
      <c r="J400">
        <v>7</v>
      </c>
      <c r="K400">
        <v>10</v>
      </c>
      <c r="L400">
        <v>10</v>
      </c>
      <c r="M400">
        <v>10</v>
      </c>
      <c r="N400">
        <v>10</v>
      </c>
      <c r="O400">
        <v>9</v>
      </c>
      <c r="P400">
        <v>10</v>
      </c>
      <c r="Q400">
        <v>0</v>
      </c>
      <c r="R400">
        <v>0</v>
      </c>
      <c r="S400">
        <v>1</v>
      </c>
      <c r="W400"/>
      <c r="X400"/>
      <c r="Y400"/>
    </row>
    <row r="401" spans="1:25" x14ac:dyDescent="0.3">
      <c r="A401" t="str">
        <f>Table_Capacity_HD_frontsheet[[#This Row],[Name]]&amp;B401</f>
        <v>HounslowSocial support (including VCS) (pathway 0)</v>
      </c>
      <c r="B401" t="str">
        <f>VLOOKUP(Table_Capacity_HD_frontsheet[[#This Row],[Service Area]],PathwayLookup!A:B,2,0)</f>
        <v>Social support (including VCS) (pathway 0)</v>
      </c>
      <c r="C401" t="s">
        <v>179</v>
      </c>
      <c r="D401" t="s">
        <v>726</v>
      </c>
      <c r="E401">
        <v>50</v>
      </c>
      <c r="F401">
        <v>50</v>
      </c>
      <c r="G401">
        <v>50</v>
      </c>
      <c r="H401">
        <v>50</v>
      </c>
      <c r="I401">
        <v>50</v>
      </c>
      <c r="J401">
        <v>50</v>
      </c>
      <c r="K401">
        <v>50</v>
      </c>
      <c r="L401">
        <v>50</v>
      </c>
      <c r="M401">
        <v>50</v>
      </c>
      <c r="N401">
        <v>50</v>
      </c>
      <c r="O401">
        <v>50</v>
      </c>
      <c r="P401">
        <v>50</v>
      </c>
      <c r="R401">
        <v>1</v>
      </c>
      <c r="W401"/>
      <c r="X401"/>
      <c r="Y401"/>
    </row>
    <row r="402" spans="1:25" x14ac:dyDescent="0.3">
      <c r="A402" t="str">
        <f>Table_Capacity_HD_frontsheet[[#This Row],[Name]]&amp;B402</f>
        <v>HounslowReablement &amp; Rehabilitation at home  (pathway 1)</v>
      </c>
      <c r="B402" t="str">
        <f>VLOOKUP(Table_Capacity_HD_frontsheet[[#This Row],[Service Area]],PathwayLookup!A:B,2,0)</f>
        <v>Reablement &amp; Rehabilitation at home  (pathway 1)</v>
      </c>
      <c r="C402" t="s">
        <v>179</v>
      </c>
      <c r="D402" t="s">
        <v>728</v>
      </c>
      <c r="E402">
        <v>37.548654000000006</v>
      </c>
      <c r="F402">
        <v>40.976891999999992</v>
      </c>
      <c r="G402">
        <v>38.938845000000001</v>
      </c>
      <c r="H402">
        <v>40.922904000000003</v>
      </c>
      <c r="I402">
        <v>41.111862000000009</v>
      </c>
      <c r="J402">
        <v>40.018605000000001</v>
      </c>
      <c r="K402">
        <v>40.261550999999997</v>
      </c>
      <c r="L402">
        <v>41.044376999999997</v>
      </c>
      <c r="M402">
        <v>40.180568999999998</v>
      </c>
      <c r="N402">
        <v>40.814927999999995</v>
      </c>
      <c r="O402">
        <v>39.519216000000007</v>
      </c>
      <c r="P402">
        <v>42.259107</v>
      </c>
      <c r="S402">
        <v>1</v>
      </c>
      <c r="W402"/>
      <c r="X402"/>
      <c r="Y402"/>
    </row>
    <row r="403" spans="1:25" x14ac:dyDescent="0.3">
      <c r="A403" t="str">
        <f>Table_Capacity_HD_frontsheet[[#This Row],[Name]]&amp;B403</f>
        <v>HounslowReablement &amp; Rehabilitation at home  (pathway 1)</v>
      </c>
      <c r="B403" t="str">
        <f>VLOOKUP(Table_Capacity_HD_frontsheet[[#This Row],[Service Area]],PathwayLookup!A:B,2,0)</f>
        <v>Reablement &amp; Rehabilitation at home  (pathway 1)</v>
      </c>
      <c r="C403" t="s">
        <v>179</v>
      </c>
      <c r="D403" t="s">
        <v>721</v>
      </c>
      <c r="E403">
        <v>138.80000000000001</v>
      </c>
      <c r="F403">
        <v>138.80000000000001</v>
      </c>
      <c r="G403">
        <v>138.80000000000001</v>
      </c>
      <c r="H403">
        <v>138.80000000000001</v>
      </c>
      <c r="I403">
        <v>138.80000000000001</v>
      </c>
      <c r="J403">
        <v>138.80000000000001</v>
      </c>
      <c r="K403">
        <v>138.80000000000001</v>
      </c>
      <c r="L403">
        <v>138.80000000000001</v>
      </c>
      <c r="M403">
        <v>138.80000000000001</v>
      </c>
      <c r="N403">
        <v>138.80000000000001</v>
      </c>
      <c r="O403">
        <v>138.80000000000001</v>
      </c>
      <c r="P403">
        <v>138.80000000000001</v>
      </c>
      <c r="S403">
        <v>1</v>
      </c>
      <c r="W403"/>
      <c r="X403"/>
      <c r="Y403"/>
    </row>
    <row r="404" spans="1:25" x14ac:dyDescent="0.3">
      <c r="A404" t="str">
        <f>Table_Capacity_HD_frontsheet[[#This Row],[Name]]&amp;B404</f>
        <v>HounslowShort term domiciliary care (pathway 1)</v>
      </c>
      <c r="B404" t="str">
        <f>VLOOKUP(Table_Capacity_HD_frontsheet[[#This Row],[Service Area]],PathwayLookup!A:B,2,0)</f>
        <v>Short term domiciliary care (pathway 1)</v>
      </c>
      <c r="C404" t="s">
        <v>179</v>
      </c>
      <c r="D404" t="s">
        <v>730</v>
      </c>
      <c r="E404">
        <v>17.067570000000003</v>
      </c>
      <c r="F404">
        <v>18.625860000000003</v>
      </c>
      <c r="G404">
        <v>17.699475</v>
      </c>
      <c r="H404">
        <v>18.601320000000005</v>
      </c>
      <c r="I404">
        <v>18.68721</v>
      </c>
      <c r="J404">
        <v>18.190275</v>
      </c>
      <c r="K404">
        <v>18.300705000000001</v>
      </c>
      <c r="L404">
        <v>18.656535000000002</v>
      </c>
      <c r="M404">
        <v>18.263895000000002</v>
      </c>
      <c r="N404">
        <v>18.552240000000001</v>
      </c>
      <c r="O404">
        <v>17.963280000000001</v>
      </c>
      <c r="P404">
        <v>19.208684999999999</v>
      </c>
      <c r="S404">
        <v>1</v>
      </c>
      <c r="W404"/>
      <c r="X404"/>
      <c r="Y404"/>
    </row>
    <row r="405" spans="1:25" x14ac:dyDescent="0.3">
      <c r="A405" t="str">
        <f>Table_Capacity_HD_frontsheet[[#This Row],[Name]]&amp;B405</f>
        <v>HounslowReablement &amp; Rehabilitation in a bedded setting (pathway 2)</v>
      </c>
      <c r="B405" t="str">
        <f>VLOOKUP(Table_Capacity_HD_frontsheet[[#This Row],[Service Area]],PathwayLookup!A:B,2,0)</f>
        <v>Reablement &amp; Rehabilitation in a bedded setting (pathway 2)</v>
      </c>
      <c r="C405" t="s">
        <v>179</v>
      </c>
      <c r="D405" t="s">
        <v>723</v>
      </c>
      <c r="E405">
        <v>0</v>
      </c>
      <c r="F405">
        <v>0</v>
      </c>
      <c r="G405">
        <v>0</v>
      </c>
      <c r="H405">
        <v>0</v>
      </c>
      <c r="I405">
        <v>0</v>
      </c>
      <c r="J405">
        <v>0</v>
      </c>
      <c r="K405">
        <v>0</v>
      </c>
      <c r="L405">
        <v>0</v>
      </c>
      <c r="M405">
        <v>0</v>
      </c>
      <c r="N405">
        <v>0</v>
      </c>
      <c r="O405">
        <v>0</v>
      </c>
      <c r="P405">
        <v>0</v>
      </c>
      <c r="S405">
        <v>0</v>
      </c>
      <c r="W405"/>
      <c r="X405"/>
      <c r="Y405"/>
    </row>
    <row r="406" spans="1:25" x14ac:dyDescent="0.3">
      <c r="A406" t="str">
        <f>Table_Capacity_HD_frontsheet[[#This Row],[Name]]&amp;B406</f>
        <v>HounslowReablement &amp; Rehabilitation in a bedded setting (pathway 2)</v>
      </c>
      <c r="B406" t="str">
        <f>VLOOKUP(Table_Capacity_HD_frontsheet[[#This Row],[Service Area]],PathwayLookup!A:B,2,0)</f>
        <v>Reablement &amp; Rehabilitation in a bedded setting (pathway 2)</v>
      </c>
      <c r="C406" t="s">
        <v>179</v>
      </c>
      <c r="D406" t="s">
        <v>725</v>
      </c>
      <c r="E406">
        <v>47.8504</v>
      </c>
      <c r="F406">
        <v>52.219200000000001</v>
      </c>
      <c r="G406">
        <v>49.621999999999993</v>
      </c>
      <c r="H406">
        <v>52.150400000000005</v>
      </c>
      <c r="I406">
        <v>52.391199999999998</v>
      </c>
      <c r="J406">
        <v>50.997999999999998</v>
      </c>
      <c r="K406">
        <v>51.307600000000001</v>
      </c>
      <c r="L406">
        <v>52.305200000000006</v>
      </c>
      <c r="M406">
        <v>51.2044</v>
      </c>
      <c r="N406">
        <v>52.012799999999999</v>
      </c>
      <c r="O406">
        <v>50.361600000000003</v>
      </c>
      <c r="P406">
        <v>53.853200000000008</v>
      </c>
      <c r="S406">
        <v>1</v>
      </c>
      <c r="W406"/>
      <c r="X406"/>
      <c r="Y406"/>
    </row>
    <row r="407" spans="1:25" x14ac:dyDescent="0.3">
      <c r="A407" t="str">
        <f>Table_Capacity_HD_frontsheet[[#This Row],[Name]]&amp;B407</f>
        <v>HounslowShort-term residential/nursing care for someone likely to require a longer-term care home placement (pathway 3)</v>
      </c>
      <c r="B407" t="str">
        <f>VLOOKUP(Table_Capacity_HD_frontsheet[[#This Row],[Service Area]],PathwayLookup!A:B,2,0)</f>
        <v>Short-term residential/nursing care for someone likely to require a longer-term care home placement (pathway 3)</v>
      </c>
      <c r="C407" t="s">
        <v>179</v>
      </c>
      <c r="D407" t="s">
        <v>731</v>
      </c>
      <c r="E407">
        <v>68.159000000000006</v>
      </c>
      <c r="F407">
        <v>74.381999999999991</v>
      </c>
      <c r="G407">
        <v>70.682500000000005</v>
      </c>
      <c r="H407">
        <v>74.284000000000006</v>
      </c>
      <c r="I407">
        <v>74.62700000000001</v>
      </c>
      <c r="J407">
        <v>72.642499999999998</v>
      </c>
      <c r="K407">
        <v>73.083500000000001</v>
      </c>
      <c r="L407">
        <v>74.504499999999993</v>
      </c>
      <c r="M407">
        <v>72.936500000000009</v>
      </c>
      <c r="N407">
        <v>74.087999999999994</v>
      </c>
      <c r="O407">
        <v>71.736000000000004</v>
      </c>
      <c r="P407">
        <v>76.709500000000006</v>
      </c>
      <c r="S407">
        <v>1</v>
      </c>
      <c r="W407"/>
      <c r="X407"/>
      <c r="Y407"/>
    </row>
    <row r="408" spans="1:25" x14ac:dyDescent="0.3">
      <c r="A408" t="str">
        <f>Table_Capacity_HD_frontsheet[[#This Row],[Name]]&amp;B408</f>
        <v>Isle of WightSocial support (including VCS) (pathway 0)</v>
      </c>
      <c r="B408" t="str">
        <f>VLOOKUP(Table_Capacity_HD_frontsheet[[#This Row],[Service Area]],PathwayLookup!A:B,2,0)</f>
        <v>Social support (including VCS) (pathway 0)</v>
      </c>
      <c r="C408" t="s">
        <v>181</v>
      </c>
      <c r="D408" t="s">
        <v>726</v>
      </c>
      <c r="E408">
        <v>85</v>
      </c>
      <c r="F408">
        <v>85</v>
      </c>
      <c r="G408">
        <v>85</v>
      </c>
      <c r="H408">
        <v>85</v>
      </c>
      <c r="I408">
        <v>85</v>
      </c>
      <c r="J408">
        <v>85</v>
      </c>
      <c r="K408">
        <v>85</v>
      </c>
      <c r="L408">
        <v>85</v>
      </c>
      <c r="M408">
        <v>85</v>
      </c>
      <c r="N408">
        <v>85</v>
      </c>
      <c r="O408">
        <v>85</v>
      </c>
      <c r="P408">
        <v>85</v>
      </c>
      <c r="R408">
        <v>1</v>
      </c>
      <c r="W408"/>
      <c r="X408"/>
      <c r="Y408"/>
    </row>
    <row r="409" spans="1:25" x14ac:dyDescent="0.3">
      <c r="A409" t="str">
        <f>Table_Capacity_HD_frontsheet[[#This Row],[Name]]&amp;B409</f>
        <v>Isle of WightReablement &amp; Rehabilitation at home  (pathway 1)</v>
      </c>
      <c r="B409" t="str">
        <f>VLOOKUP(Table_Capacity_HD_frontsheet[[#This Row],[Service Area]],PathwayLookup!A:B,2,0)</f>
        <v>Reablement &amp; Rehabilitation at home  (pathway 1)</v>
      </c>
      <c r="C409" t="s">
        <v>181</v>
      </c>
      <c r="D409" t="s">
        <v>728</v>
      </c>
      <c r="E409">
        <v>273</v>
      </c>
      <c r="F409">
        <v>273</v>
      </c>
      <c r="G409">
        <v>273</v>
      </c>
      <c r="H409">
        <v>273</v>
      </c>
      <c r="I409">
        <v>273</v>
      </c>
      <c r="J409">
        <v>273</v>
      </c>
      <c r="K409">
        <v>273</v>
      </c>
      <c r="L409">
        <v>273</v>
      </c>
      <c r="M409">
        <v>273</v>
      </c>
      <c r="N409">
        <v>273</v>
      </c>
      <c r="O409">
        <v>273</v>
      </c>
      <c r="P409">
        <v>273</v>
      </c>
      <c r="R409">
        <v>1</v>
      </c>
      <c r="W409"/>
      <c r="X409"/>
      <c r="Y409"/>
    </row>
    <row r="410" spans="1:25" x14ac:dyDescent="0.3">
      <c r="A410" t="str">
        <f>Table_Capacity_HD_frontsheet[[#This Row],[Name]]&amp;B410</f>
        <v>Isle of WightReablement &amp; Rehabilitation at home  (pathway 1)</v>
      </c>
      <c r="B410" t="str">
        <f>VLOOKUP(Table_Capacity_HD_frontsheet[[#This Row],[Service Area]],PathwayLookup!A:B,2,0)</f>
        <v>Reablement &amp; Rehabilitation at home  (pathway 1)</v>
      </c>
      <c r="C410" t="s">
        <v>181</v>
      </c>
      <c r="D410" t="s">
        <v>721</v>
      </c>
      <c r="W410"/>
      <c r="X410"/>
      <c r="Y410"/>
    </row>
    <row r="411" spans="1:25" x14ac:dyDescent="0.3">
      <c r="A411" t="str">
        <f>Table_Capacity_HD_frontsheet[[#This Row],[Name]]&amp;B411</f>
        <v>Isle of WightShort term domiciliary care (pathway 1)</v>
      </c>
      <c r="B411" t="str">
        <f>VLOOKUP(Table_Capacity_HD_frontsheet[[#This Row],[Service Area]],PathwayLookup!A:B,2,0)</f>
        <v>Short term domiciliary care (pathway 1)</v>
      </c>
      <c r="C411" t="s">
        <v>181</v>
      </c>
      <c r="D411" t="s">
        <v>730</v>
      </c>
      <c r="W411"/>
      <c r="X411"/>
      <c r="Y411"/>
    </row>
    <row r="412" spans="1:25" x14ac:dyDescent="0.3">
      <c r="A412" t="str">
        <f>Table_Capacity_HD_frontsheet[[#This Row],[Name]]&amp;B412</f>
        <v>Isle of WightReablement &amp; Rehabilitation in a bedded setting (pathway 2)</v>
      </c>
      <c r="B412" t="str">
        <f>VLOOKUP(Table_Capacity_HD_frontsheet[[#This Row],[Service Area]],PathwayLookup!A:B,2,0)</f>
        <v>Reablement &amp; Rehabilitation in a bedded setting (pathway 2)</v>
      </c>
      <c r="C412" t="s">
        <v>181</v>
      </c>
      <c r="D412" t="s">
        <v>723</v>
      </c>
      <c r="E412">
        <v>4</v>
      </c>
      <c r="F412">
        <v>4</v>
      </c>
      <c r="G412">
        <v>4</v>
      </c>
      <c r="H412">
        <v>4</v>
      </c>
      <c r="I412">
        <v>4</v>
      </c>
      <c r="J412">
        <v>4</v>
      </c>
      <c r="K412">
        <v>4</v>
      </c>
      <c r="L412">
        <v>4</v>
      </c>
      <c r="M412">
        <v>4</v>
      </c>
      <c r="N412">
        <v>4</v>
      </c>
      <c r="O412">
        <v>4</v>
      </c>
      <c r="P412">
        <v>4</v>
      </c>
      <c r="R412">
        <v>1</v>
      </c>
      <c r="W412"/>
      <c r="X412"/>
      <c r="Y412"/>
    </row>
    <row r="413" spans="1:25" x14ac:dyDescent="0.3">
      <c r="A413" t="str">
        <f>Table_Capacity_HD_frontsheet[[#This Row],[Name]]&amp;B413</f>
        <v>Isle of WightReablement &amp; Rehabilitation in a bedded setting (pathway 2)</v>
      </c>
      <c r="B413" t="str">
        <f>VLOOKUP(Table_Capacity_HD_frontsheet[[#This Row],[Service Area]],PathwayLookup!A:B,2,0)</f>
        <v>Reablement &amp; Rehabilitation in a bedded setting (pathway 2)</v>
      </c>
      <c r="C413" t="s">
        <v>181</v>
      </c>
      <c r="D413" t="s">
        <v>725</v>
      </c>
      <c r="E413">
        <v>35</v>
      </c>
      <c r="F413">
        <v>35</v>
      </c>
      <c r="G413">
        <v>35</v>
      </c>
      <c r="H413">
        <v>35</v>
      </c>
      <c r="I413">
        <v>35</v>
      </c>
      <c r="J413">
        <v>35</v>
      </c>
      <c r="K413">
        <v>35</v>
      </c>
      <c r="L413">
        <v>35</v>
      </c>
      <c r="M413">
        <v>35</v>
      </c>
      <c r="N413">
        <v>35</v>
      </c>
      <c r="O413">
        <v>35</v>
      </c>
      <c r="P413">
        <v>35</v>
      </c>
      <c r="Q413">
        <v>1</v>
      </c>
      <c r="W413"/>
      <c r="X413"/>
      <c r="Y413"/>
    </row>
    <row r="414" spans="1:25" x14ac:dyDescent="0.3">
      <c r="A414" t="str">
        <f>Table_Capacity_HD_frontsheet[[#This Row],[Name]]&amp;B414</f>
        <v>Isle of WightShort-term residential/nursing care for someone likely to require a longer-term care home placement (pathway 3)</v>
      </c>
      <c r="B414" t="str">
        <f>VLOOKUP(Table_Capacity_HD_frontsheet[[#This Row],[Service Area]],PathwayLookup!A:B,2,0)</f>
        <v>Short-term residential/nursing care for someone likely to require a longer-term care home placement (pathway 3)</v>
      </c>
      <c r="C414" t="s">
        <v>181</v>
      </c>
      <c r="D414" t="s">
        <v>731</v>
      </c>
      <c r="E414">
        <v>6</v>
      </c>
      <c r="F414">
        <v>6</v>
      </c>
      <c r="G414">
        <v>6</v>
      </c>
      <c r="H414">
        <v>6</v>
      </c>
      <c r="I414">
        <v>6</v>
      </c>
      <c r="J414">
        <v>6</v>
      </c>
      <c r="K414">
        <v>6</v>
      </c>
      <c r="L414">
        <v>6</v>
      </c>
      <c r="M414">
        <v>6</v>
      </c>
      <c r="N414">
        <v>6</v>
      </c>
      <c r="O414">
        <v>6</v>
      </c>
      <c r="P414">
        <v>6</v>
      </c>
      <c r="R414">
        <v>1</v>
      </c>
      <c r="W414"/>
      <c r="X414"/>
      <c r="Y414"/>
    </row>
    <row r="415" spans="1:25" x14ac:dyDescent="0.3">
      <c r="A415" t="str">
        <f>Table_Capacity_HD_frontsheet[[#This Row],[Name]]&amp;B415</f>
        <v>IslingtonSocial support (including VCS) (pathway 0)</v>
      </c>
      <c r="B415" t="str">
        <f>VLOOKUP(Table_Capacity_HD_frontsheet[[#This Row],[Service Area]],PathwayLookup!A:B,2,0)</f>
        <v>Social support (including VCS) (pathway 0)</v>
      </c>
      <c r="C415" t="s">
        <v>183</v>
      </c>
      <c r="D415" t="s">
        <v>726</v>
      </c>
      <c r="E415">
        <v>10</v>
      </c>
      <c r="F415">
        <v>10</v>
      </c>
      <c r="G415">
        <v>10</v>
      </c>
      <c r="H415">
        <v>10</v>
      </c>
      <c r="I415">
        <v>10</v>
      </c>
      <c r="J415">
        <v>10</v>
      </c>
      <c r="K415">
        <v>10</v>
      </c>
      <c r="L415">
        <v>10</v>
      </c>
      <c r="M415">
        <v>10</v>
      </c>
      <c r="N415">
        <v>10</v>
      </c>
      <c r="O415">
        <v>10</v>
      </c>
      <c r="P415">
        <v>10</v>
      </c>
      <c r="Q415">
        <v>0</v>
      </c>
      <c r="R415">
        <v>1</v>
      </c>
      <c r="S415">
        <v>0</v>
      </c>
      <c r="W415"/>
      <c r="X415"/>
      <c r="Y415"/>
    </row>
    <row r="416" spans="1:25" x14ac:dyDescent="0.3">
      <c r="A416" t="str">
        <f>Table_Capacity_HD_frontsheet[[#This Row],[Name]]&amp;B416</f>
        <v>IslingtonReablement &amp; Rehabilitation at home  (pathway 1)</v>
      </c>
      <c r="B416" t="str">
        <f>VLOOKUP(Table_Capacity_HD_frontsheet[[#This Row],[Service Area]],PathwayLookup!A:B,2,0)</f>
        <v>Reablement &amp; Rehabilitation at home  (pathway 1)</v>
      </c>
      <c r="C416" t="s">
        <v>183</v>
      </c>
      <c r="D416" t="s">
        <v>728</v>
      </c>
      <c r="E416">
        <v>44</v>
      </c>
      <c r="F416">
        <v>45</v>
      </c>
      <c r="G416">
        <v>44</v>
      </c>
      <c r="H416">
        <v>45</v>
      </c>
      <c r="I416">
        <v>45</v>
      </c>
      <c r="J416">
        <v>44</v>
      </c>
      <c r="K416">
        <v>45</v>
      </c>
      <c r="L416">
        <v>44</v>
      </c>
      <c r="M416">
        <v>45</v>
      </c>
      <c r="N416">
        <v>45</v>
      </c>
      <c r="O416">
        <v>43</v>
      </c>
      <c r="P416">
        <v>45</v>
      </c>
      <c r="Q416">
        <v>0</v>
      </c>
      <c r="R416">
        <v>1</v>
      </c>
      <c r="S416">
        <v>0</v>
      </c>
      <c r="W416"/>
      <c r="X416"/>
      <c r="Y416"/>
    </row>
    <row r="417" spans="1:25" x14ac:dyDescent="0.3">
      <c r="A417" t="str">
        <f>Table_Capacity_HD_frontsheet[[#This Row],[Name]]&amp;B417</f>
        <v>IslingtonReablement &amp; Rehabilitation at home  (pathway 1)</v>
      </c>
      <c r="B417" t="str">
        <f>VLOOKUP(Table_Capacity_HD_frontsheet[[#This Row],[Service Area]],PathwayLookup!A:B,2,0)</f>
        <v>Reablement &amp; Rehabilitation at home  (pathway 1)</v>
      </c>
      <c r="C417" t="s">
        <v>183</v>
      </c>
      <c r="D417" t="s">
        <v>721</v>
      </c>
      <c r="E417">
        <v>20</v>
      </c>
      <c r="F417">
        <v>20</v>
      </c>
      <c r="G417">
        <v>20</v>
      </c>
      <c r="H417">
        <v>20</v>
      </c>
      <c r="I417">
        <v>20</v>
      </c>
      <c r="J417">
        <v>20</v>
      </c>
      <c r="K417">
        <v>20</v>
      </c>
      <c r="L417">
        <v>20</v>
      </c>
      <c r="M417">
        <v>20</v>
      </c>
      <c r="N417">
        <v>20</v>
      </c>
      <c r="O417">
        <v>20</v>
      </c>
      <c r="P417">
        <v>20</v>
      </c>
      <c r="Q417">
        <v>1</v>
      </c>
      <c r="R417">
        <v>0</v>
      </c>
      <c r="S417">
        <v>0</v>
      </c>
      <c r="W417"/>
      <c r="X417"/>
      <c r="Y417"/>
    </row>
    <row r="418" spans="1:25" x14ac:dyDescent="0.3">
      <c r="A418" t="str">
        <f>Table_Capacity_HD_frontsheet[[#This Row],[Name]]&amp;B418</f>
        <v>IslingtonShort term domiciliary care (pathway 1)</v>
      </c>
      <c r="B418" t="str">
        <f>VLOOKUP(Table_Capacity_HD_frontsheet[[#This Row],[Service Area]],PathwayLookup!A:B,2,0)</f>
        <v>Short term domiciliary care (pathway 1)</v>
      </c>
      <c r="C418" t="s">
        <v>183</v>
      </c>
      <c r="D418" t="s">
        <v>730</v>
      </c>
      <c r="E418">
        <v>75</v>
      </c>
      <c r="F418">
        <v>76</v>
      </c>
      <c r="G418">
        <v>75</v>
      </c>
      <c r="H418">
        <v>76</v>
      </c>
      <c r="I418">
        <v>75</v>
      </c>
      <c r="J418">
        <v>76</v>
      </c>
      <c r="K418">
        <v>75</v>
      </c>
      <c r="L418">
        <v>76</v>
      </c>
      <c r="M418">
        <v>75</v>
      </c>
      <c r="N418">
        <v>76</v>
      </c>
      <c r="O418">
        <v>76</v>
      </c>
      <c r="P418">
        <v>76</v>
      </c>
      <c r="Q418">
        <v>0.15</v>
      </c>
      <c r="R418">
        <v>0.85</v>
      </c>
      <c r="S418">
        <v>0</v>
      </c>
      <c r="W418"/>
      <c r="X418"/>
      <c r="Y418"/>
    </row>
    <row r="419" spans="1:25" x14ac:dyDescent="0.3">
      <c r="A419" t="str">
        <f>Table_Capacity_HD_frontsheet[[#This Row],[Name]]&amp;B419</f>
        <v>IslingtonReablement &amp; Rehabilitation in a bedded setting (pathway 2)</v>
      </c>
      <c r="B419" t="str">
        <f>VLOOKUP(Table_Capacity_HD_frontsheet[[#This Row],[Service Area]],PathwayLookup!A:B,2,0)</f>
        <v>Reablement &amp; Rehabilitation in a bedded setting (pathway 2)</v>
      </c>
      <c r="C419" t="s">
        <v>183</v>
      </c>
      <c r="D419" t="s">
        <v>723</v>
      </c>
      <c r="E419">
        <v>13</v>
      </c>
      <c r="F419">
        <v>14</v>
      </c>
      <c r="G419">
        <v>13</v>
      </c>
      <c r="H419">
        <v>14</v>
      </c>
      <c r="I419">
        <v>14</v>
      </c>
      <c r="J419">
        <v>13</v>
      </c>
      <c r="K419">
        <v>14</v>
      </c>
      <c r="L419">
        <v>13</v>
      </c>
      <c r="M419">
        <v>14</v>
      </c>
      <c r="N419">
        <v>14</v>
      </c>
      <c r="O419">
        <v>12</v>
      </c>
      <c r="P419">
        <v>14</v>
      </c>
      <c r="Q419">
        <v>0</v>
      </c>
      <c r="R419">
        <v>0</v>
      </c>
      <c r="S419">
        <v>1</v>
      </c>
      <c r="W419"/>
      <c r="X419"/>
      <c r="Y419"/>
    </row>
    <row r="420" spans="1:25" x14ac:dyDescent="0.3">
      <c r="A420" t="str">
        <f>Table_Capacity_HD_frontsheet[[#This Row],[Name]]&amp;B420</f>
        <v>IslingtonReablement &amp; Rehabilitation in a bedded setting (pathway 2)</v>
      </c>
      <c r="B420" t="str">
        <f>VLOOKUP(Table_Capacity_HD_frontsheet[[#This Row],[Service Area]],PathwayLookup!A:B,2,0)</f>
        <v>Reablement &amp; Rehabilitation in a bedded setting (pathway 2)</v>
      </c>
      <c r="C420" t="s">
        <v>183</v>
      </c>
      <c r="D420" t="s">
        <v>725</v>
      </c>
      <c r="E420">
        <v>34</v>
      </c>
      <c r="F420">
        <v>35</v>
      </c>
      <c r="G420">
        <v>34</v>
      </c>
      <c r="H420">
        <v>35</v>
      </c>
      <c r="I420">
        <v>35</v>
      </c>
      <c r="J420">
        <v>34</v>
      </c>
      <c r="K420">
        <v>35</v>
      </c>
      <c r="L420">
        <v>34</v>
      </c>
      <c r="M420">
        <v>35</v>
      </c>
      <c r="N420">
        <v>35</v>
      </c>
      <c r="O420">
        <v>31</v>
      </c>
      <c r="P420">
        <v>35</v>
      </c>
      <c r="Q420">
        <v>1</v>
      </c>
      <c r="R420">
        <v>0</v>
      </c>
      <c r="S420">
        <v>0</v>
      </c>
      <c r="W420"/>
      <c r="X420"/>
      <c r="Y420"/>
    </row>
    <row r="421" spans="1:25" x14ac:dyDescent="0.3">
      <c r="A421" t="str">
        <f>Table_Capacity_HD_frontsheet[[#This Row],[Name]]&amp;B421</f>
        <v>IslingtonShort-term residential/nursing care for someone likely to require a longer-term care home placement (pathway 3)</v>
      </c>
      <c r="B421" t="str">
        <f>VLOOKUP(Table_Capacity_HD_frontsheet[[#This Row],[Service Area]],PathwayLookup!A:B,2,0)</f>
        <v>Short-term residential/nursing care for someone likely to require a longer-term care home placement (pathway 3)</v>
      </c>
      <c r="C421" t="s">
        <v>183</v>
      </c>
      <c r="D421" t="s">
        <v>731</v>
      </c>
      <c r="E421">
        <v>15</v>
      </c>
      <c r="F421">
        <v>15</v>
      </c>
      <c r="G421">
        <v>15</v>
      </c>
      <c r="H421">
        <v>15</v>
      </c>
      <c r="I421">
        <v>15</v>
      </c>
      <c r="J421">
        <v>15</v>
      </c>
      <c r="K421">
        <v>15</v>
      </c>
      <c r="L421">
        <v>15</v>
      </c>
      <c r="M421">
        <v>15</v>
      </c>
      <c r="N421">
        <v>15</v>
      </c>
      <c r="O421">
        <v>15</v>
      </c>
      <c r="P421">
        <v>15</v>
      </c>
      <c r="Q421">
        <v>0.15</v>
      </c>
      <c r="R421">
        <v>0.85</v>
      </c>
      <c r="S421">
        <v>0</v>
      </c>
      <c r="W421"/>
      <c r="X421"/>
      <c r="Y421"/>
    </row>
    <row r="422" spans="1:25" x14ac:dyDescent="0.3">
      <c r="A422" t="str">
        <f>Table_Capacity_HD_frontsheet[[#This Row],[Name]]&amp;B422</f>
        <v>Kensington and ChelseaSocial support (including VCS) (pathway 0)</v>
      </c>
      <c r="B422" t="str">
        <f>VLOOKUP(Table_Capacity_HD_frontsheet[[#This Row],[Service Area]],PathwayLookup!A:B,2,0)</f>
        <v>Social support (including VCS) (pathway 0)</v>
      </c>
      <c r="C422" t="s">
        <v>185</v>
      </c>
      <c r="D422" t="s">
        <v>726</v>
      </c>
      <c r="E422">
        <v>66</v>
      </c>
      <c r="F422">
        <v>68</v>
      </c>
      <c r="G422">
        <v>69</v>
      </c>
      <c r="H422">
        <v>63</v>
      </c>
      <c r="I422">
        <v>69</v>
      </c>
      <c r="J422">
        <v>70</v>
      </c>
      <c r="K422">
        <v>77</v>
      </c>
      <c r="L422">
        <v>67</v>
      </c>
      <c r="M422">
        <v>80</v>
      </c>
      <c r="N422">
        <v>71</v>
      </c>
      <c r="O422">
        <v>70</v>
      </c>
      <c r="P422">
        <v>78</v>
      </c>
      <c r="R422">
        <v>1</v>
      </c>
      <c r="W422"/>
      <c r="X422"/>
      <c r="Y422"/>
    </row>
    <row r="423" spans="1:25" x14ac:dyDescent="0.3">
      <c r="A423" t="str">
        <f>Table_Capacity_HD_frontsheet[[#This Row],[Name]]&amp;B423</f>
        <v>Kensington and ChelseaReablement &amp; Rehabilitation at home  (pathway 1)</v>
      </c>
      <c r="B423" t="str">
        <f>VLOOKUP(Table_Capacity_HD_frontsheet[[#This Row],[Service Area]],PathwayLookup!A:B,2,0)</f>
        <v>Reablement &amp; Rehabilitation at home  (pathway 1)</v>
      </c>
      <c r="C423" t="s">
        <v>185</v>
      </c>
      <c r="D423" t="s">
        <v>728</v>
      </c>
      <c r="E423">
        <v>62</v>
      </c>
      <c r="F423">
        <v>64</v>
      </c>
      <c r="G423">
        <v>70</v>
      </c>
      <c r="H423">
        <v>66</v>
      </c>
      <c r="I423">
        <v>65</v>
      </c>
      <c r="J423">
        <v>64</v>
      </c>
      <c r="K423">
        <v>71</v>
      </c>
      <c r="L423">
        <v>73</v>
      </c>
      <c r="M423">
        <v>68</v>
      </c>
      <c r="N423">
        <v>69</v>
      </c>
      <c r="O423">
        <v>63</v>
      </c>
      <c r="P423">
        <v>76</v>
      </c>
      <c r="S423">
        <v>1</v>
      </c>
      <c r="W423"/>
      <c r="X423"/>
      <c r="Y423"/>
    </row>
    <row r="424" spans="1:25" x14ac:dyDescent="0.3">
      <c r="A424" t="str">
        <f>Table_Capacity_HD_frontsheet[[#This Row],[Name]]&amp;B424</f>
        <v>Kensington and ChelseaReablement &amp; Rehabilitation at home  (pathway 1)</v>
      </c>
      <c r="B424" t="str">
        <f>VLOOKUP(Table_Capacity_HD_frontsheet[[#This Row],[Service Area]],PathwayLookup!A:B,2,0)</f>
        <v>Reablement &amp; Rehabilitation at home  (pathway 1)</v>
      </c>
      <c r="C424" t="s">
        <v>185</v>
      </c>
      <c r="D424" t="s">
        <v>721</v>
      </c>
      <c r="E424">
        <v>62</v>
      </c>
      <c r="F424">
        <v>64</v>
      </c>
      <c r="G424">
        <v>70</v>
      </c>
      <c r="H424">
        <v>66</v>
      </c>
      <c r="I424">
        <v>65</v>
      </c>
      <c r="J424">
        <v>64</v>
      </c>
      <c r="K424">
        <v>71</v>
      </c>
      <c r="L424">
        <v>73</v>
      </c>
      <c r="M424">
        <v>68</v>
      </c>
      <c r="N424">
        <v>69</v>
      </c>
      <c r="O424">
        <v>63</v>
      </c>
      <c r="P424">
        <v>76</v>
      </c>
      <c r="Q424">
        <v>1</v>
      </c>
      <c r="W424"/>
      <c r="X424"/>
      <c r="Y424"/>
    </row>
    <row r="425" spans="1:25" x14ac:dyDescent="0.3">
      <c r="A425" t="str">
        <f>Table_Capacity_HD_frontsheet[[#This Row],[Name]]&amp;B425</f>
        <v>Kensington and ChelseaShort term domiciliary care (pathway 1)</v>
      </c>
      <c r="B425" t="str">
        <f>VLOOKUP(Table_Capacity_HD_frontsheet[[#This Row],[Service Area]],PathwayLookup!A:B,2,0)</f>
        <v>Short term domiciliary care (pathway 1)</v>
      </c>
      <c r="C425" t="s">
        <v>185</v>
      </c>
      <c r="D425" t="s">
        <v>730</v>
      </c>
      <c r="E425">
        <v>62</v>
      </c>
      <c r="F425">
        <v>64</v>
      </c>
      <c r="G425">
        <v>70</v>
      </c>
      <c r="H425">
        <v>66</v>
      </c>
      <c r="I425">
        <v>65</v>
      </c>
      <c r="J425">
        <v>64</v>
      </c>
      <c r="K425">
        <v>71</v>
      </c>
      <c r="L425">
        <v>73</v>
      </c>
      <c r="M425">
        <v>68</v>
      </c>
      <c r="N425">
        <v>69</v>
      </c>
      <c r="O425">
        <v>63</v>
      </c>
      <c r="P425">
        <v>76</v>
      </c>
      <c r="R425">
        <v>1</v>
      </c>
      <c r="W425"/>
      <c r="X425"/>
      <c r="Y425"/>
    </row>
    <row r="426" spans="1:25" x14ac:dyDescent="0.3">
      <c r="A426" t="str">
        <f>Table_Capacity_HD_frontsheet[[#This Row],[Name]]&amp;B426</f>
        <v>Kensington and ChelseaReablement &amp; Rehabilitation in a bedded setting (pathway 2)</v>
      </c>
      <c r="B426" t="str">
        <f>VLOOKUP(Table_Capacity_HD_frontsheet[[#This Row],[Service Area]],PathwayLookup!A:B,2,0)</f>
        <v>Reablement &amp; Rehabilitation in a bedded setting (pathway 2)</v>
      </c>
      <c r="C426" t="s">
        <v>185</v>
      </c>
      <c r="D426" t="s">
        <v>723</v>
      </c>
      <c r="E426">
        <v>0</v>
      </c>
      <c r="F426">
        <v>0</v>
      </c>
      <c r="G426">
        <v>0</v>
      </c>
      <c r="H426">
        <v>0</v>
      </c>
      <c r="I426">
        <v>0</v>
      </c>
      <c r="J426">
        <v>0</v>
      </c>
      <c r="K426">
        <v>0</v>
      </c>
      <c r="L426">
        <v>0</v>
      </c>
      <c r="M426">
        <v>0</v>
      </c>
      <c r="N426">
        <v>0</v>
      </c>
      <c r="O426">
        <v>0</v>
      </c>
      <c r="P426">
        <v>0</v>
      </c>
      <c r="W426"/>
      <c r="X426"/>
      <c r="Y426"/>
    </row>
    <row r="427" spans="1:25" x14ac:dyDescent="0.3">
      <c r="A427" t="str">
        <f>Table_Capacity_HD_frontsheet[[#This Row],[Name]]&amp;B427</f>
        <v>Kensington and ChelseaReablement &amp; Rehabilitation in a bedded setting (pathway 2)</v>
      </c>
      <c r="B427" t="str">
        <f>VLOOKUP(Table_Capacity_HD_frontsheet[[#This Row],[Service Area]],PathwayLookup!A:B,2,0)</f>
        <v>Reablement &amp; Rehabilitation in a bedded setting (pathway 2)</v>
      </c>
      <c r="C427" t="s">
        <v>185</v>
      </c>
      <c r="D427" t="s">
        <v>725</v>
      </c>
      <c r="E427">
        <v>26</v>
      </c>
      <c r="F427">
        <v>27</v>
      </c>
      <c r="G427">
        <v>29</v>
      </c>
      <c r="H427">
        <v>28</v>
      </c>
      <c r="I427">
        <v>27</v>
      </c>
      <c r="J427">
        <v>27</v>
      </c>
      <c r="K427">
        <v>30</v>
      </c>
      <c r="L427">
        <v>31</v>
      </c>
      <c r="M427">
        <v>28</v>
      </c>
      <c r="N427">
        <v>29</v>
      </c>
      <c r="O427">
        <v>27</v>
      </c>
      <c r="P427">
        <v>32</v>
      </c>
      <c r="Q427">
        <v>1</v>
      </c>
      <c r="W427"/>
      <c r="X427"/>
      <c r="Y427"/>
    </row>
    <row r="428" spans="1:25" x14ac:dyDescent="0.3">
      <c r="A428" t="str">
        <f>Table_Capacity_HD_frontsheet[[#This Row],[Name]]&amp;B428</f>
        <v>Kensington and ChelseaShort-term residential/nursing care for someone likely to require a longer-term care home placement (pathway 3)</v>
      </c>
      <c r="B428" t="str">
        <f>VLOOKUP(Table_Capacity_HD_frontsheet[[#This Row],[Service Area]],PathwayLookup!A:B,2,0)</f>
        <v>Short-term residential/nursing care for someone likely to require a longer-term care home placement (pathway 3)</v>
      </c>
      <c r="C428" t="s">
        <v>185</v>
      </c>
      <c r="D428" t="s">
        <v>731</v>
      </c>
      <c r="E428">
        <v>37</v>
      </c>
      <c r="F428">
        <v>38</v>
      </c>
      <c r="G428">
        <v>42</v>
      </c>
      <c r="H428">
        <v>39</v>
      </c>
      <c r="I428">
        <v>39</v>
      </c>
      <c r="J428">
        <v>38</v>
      </c>
      <c r="K428">
        <v>42</v>
      </c>
      <c r="L428">
        <v>43</v>
      </c>
      <c r="M428">
        <v>41</v>
      </c>
      <c r="N428">
        <v>41</v>
      </c>
      <c r="O428">
        <v>38</v>
      </c>
      <c r="P428">
        <v>46</v>
      </c>
      <c r="Q428">
        <v>1</v>
      </c>
      <c r="W428"/>
      <c r="X428"/>
      <c r="Y428"/>
    </row>
    <row r="429" spans="1:25" x14ac:dyDescent="0.3">
      <c r="A429" t="str">
        <f>Table_Capacity_HD_frontsheet[[#This Row],[Name]]&amp;B429</f>
        <v>KentSocial support (including VCS) (pathway 0)</v>
      </c>
      <c r="B429" t="str">
        <f>VLOOKUP(Table_Capacity_HD_frontsheet[[#This Row],[Service Area]],PathwayLookup!A:B,2,0)</f>
        <v>Social support (including VCS) (pathway 0)</v>
      </c>
      <c r="C429" t="s">
        <v>187</v>
      </c>
      <c r="D429" t="s">
        <v>726</v>
      </c>
      <c r="E429">
        <v>5356</v>
      </c>
      <c r="F429">
        <v>5534</v>
      </c>
      <c r="G429">
        <v>5356</v>
      </c>
      <c r="H429">
        <v>5534</v>
      </c>
      <c r="I429">
        <v>5534</v>
      </c>
      <c r="J429">
        <v>5356</v>
      </c>
      <c r="K429">
        <v>5534</v>
      </c>
      <c r="L429">
        <v>5356</v>
      </c>
      <c r="M429">
        <v>5534</v>
      </c>
      <c r="N429">
        <v>5534</v>
      </c>
      <c r="O429">
        <v>4999</v>
      </c>
      <c r="P429">
        <v>5534</v>
      </c>
      <c r="W429"/>
      <c r="X429"/>
      <c r="Y429"/>
    </row>
    <row r="430" spans="1:25" x14ac:dyDescent="0.3">
      <c r="A430" t="str">
        <f>Table_Capacity_HD_frontsheet[[#This Row],[Name]]&amp;B430</f>
        <v>KentReablement &amp; Rehabilitation at home  (pathway 1)</v>
      </c>
      <c r="B430" t="str">
        <f>VLOOKUP(Table_Capacity_HD_frontsheet[[#This Row],[Service Area]],PathwayLookup!A:B,2,0)</f>
        <v>Reablement &amp; Rehabilitation at home  (pathway 1)</v>
      </c>
      <c r="C430" t="s">
        <v>187</v>
      </c>
      <c r="D430" t="s">
        <v>728</v>
      </c>
      <c r="E430">
        <v>450</v>
      </c>
      <c r="F430">
        <v>450</v>
      </c>
      <c r="G430">
        <v>450</v>
      </c>
      <c r="H430">
        <v>450</v>
      </c>
      <c r="I430">
        <v>450</v>
      </c>
      <c r="J430">
        <v>450</v>
      </c>
      <c r="K430">
        <v>450</v>
      </c>
      <c r="L430">
        <v>450</v>
      </c>
      <c r="M430">
        <v>450</v>
      </c>
      <c r="N430">
        <v>450</v>
      </c>
      <c r="O430">
        <v>450</v>
      </c>
      <c r="P430">
        <v>450</v>
      </c>
      <c r="W430"/>
      <c r="X430"/>
      <c r="Y430"/>
    </row>
    <row r="431" spans="1:25" x14ac:dyDescent="0.3">
      <c r="A431" t="str">
        <f>Table_Capacity_HD_frontsheet[[#This Row],[Name]]&amp;B431</f>
        <v>KentReablement &amp; Rehabilitation at home  (pathway 1)</v>
      </c>
      <c r="B431" t="str">
        <f>VLOOKUP(Table_Capacity_HD_frontsheet[[#This Row],[Service Area]],PathwayLookup!A:B,2,0)</f>
        <v>Reablement &amp; Rehabilitation at home  (pathway 1)</v>
      </c>
      <c r="C431" t="s">
        <v>187</v>
      </c>
      <c r="D431" t="s">
        <v>721</v>
      </c>
      <c r="E431">
        <v>510</v>
      </c>
      <c r="F431">
        <v>510</v>
      </c>
      <c r="G431">
        <v>510</v>
      </c>
      <c r="H431">
        <v>510</v>
      </c>
      <c r="I431">
        <v>510</v>
      </c>
      <c r="J431">
        <v>510</v>
      </c>
      <c r="K431">
        <v>510</v>
      </c>
      <c r="L431">
        <v>510</v>
      </c>
      <c r="M431">
        <v>510</v>
      </c>
      <c r="N431">
        <v>510</v>
      </c>
      <c r="O431">
        <v>510</v>
      </c>
      <c r="P431">
        <v>510</v>
      </c>
      <c r="W431"/>
      <c r="X431"/>
      <c r="Y431"/>
    </row>
    <row r="432" spans="1:25" x14ac:dyDescent="0.3">
      <c r="A432" t="str">
        <f>Table_Capacity_HD_frontsheet[[#This Row],[Name]]&amp;B432</f>
        <v>KentShort term domiciliary care (pathway 1)</v>
      </c>
      <c r="B432" t="str">
        <f>VLOOKUP(Table_Capacity_HD_frontsheet[[#This Row],[Service Area]],PathwayLookup!A:B,2,0)</f>
        <v>Short term domiciliary care (pathway 1)</v>
      </c>
      <c r="C432" t="s">
        <v>187</v>
      </c>
      <c r="D432" t="s">
        <v>730</v>
      </c>
      <c r="W432"/>
      <c r="X432"/>
      <c r="Y432"/>
    </row>
    <row r="433" spans="1:25" x14ac:dyDescent="0.3">
      <c r="A433" t="str">
        <f>Table_Capacity_HD_frontsheet[[#This Row],[Name]]&amp;B433</f>
        <v>KentReablement &amp; Rehabilitation in a bedded setting (pathway 2)</v>
      </c>
      <c r="B433" t="str">
        <f>VLOOKUP(Table_Capacity_HD_frontsheet[[#This Row],[Service Area]],PathwayLookup!A:B,2,0)</f>
        <v>Reablement &amp; Rehabilitation in a bedded setting (pathway 2)</v>
      </c>
      <c r="C433" t="s">
        <v>187</v>
      </c>
      <c r="D433" t="s">
        <v>723</v>
      </c>
      <c r="W433"/>
      <c r="X433"/>
      <c r="Y433"/>
    </row>
    <row r="434" spans="1:25" x14ac:dyDescent="0.3">
      <c r="A434" t="str">
        <f>Table_Capacity_HD_frontsheet[[#This Row],[Name]]&amp;B434</f>
        <v>KentReablement &amp; Rehabilitation in a bedded setting (pathway 2)</v>
      </c>
      <c r="B434" t="str">
        <f>VLOOKUP(Table_Capacity_HD_frontsheet[[#This Row],[Service Area]],PathwayLookup!A:B,2,0)</f>
        <v>Reablement &amp; Rehabilitation in a bedded setting (pathway 2)</v>
      </c>
      <c r="C434" t="s">
        <v>187</v>
      </c>
      <c r="D434" t="s">
        <v>725</v>
      </c>
      <c r="E434">
        <v>352</v>
      </c>
      <c r="F434">
        <v>364</v>
      </c>
      <c r="G434">
        <v>352</v>
      </c>
      <c r="H434">
        <v>364</v>
      </c>
      <c r="I434">
        <v>364</v>
      </c>
      <c r="J434">
        <v>352</v>
      </c>
      <c r="K434">
        <v>364</v>
      </c>
      <c r="L434">
        <v>352</v>
      </c>
      <c r="M434">
        <v>364</v>
      </c>
      <c r="N434">
        <v>364</v>
      </c>
      <c r="O434">
        <v>329</v>
      </c>
      <c r="P434">
        <v>364</v>
      </c>
      <c r="W434"/>
      <c r="X434"/>
      <c r="Y434"/>
    </row>
    <row r="435" spans="1:25" x14ac:dyDescent="0.3">
      <c r="A435" t="str">
        <f>Table_Capacity_HD_frontsheet[[#This Row],[Name]]&amp;B435</f>
        <v>KentShort-term residential/nursing care for someone likely to require a longer-term care home placement (pathway 3)</v>
      </c>
      <c r="B435" t="str">
        <f>VLOOKUP(Table_Capacity_HD_frontsheet[[#This Row],[Service Area]],PathwayLookup!A:B,2,0)</f>
        <v>Short-term residential/nursing care for someone likely to require a longer-term care home placement (pathway 3)</v>
      </c>
      <c r="C435" t="s">
        <v>187</v>
      </c>
      <c r="D435" t="s">
        <v>731</v>
      </c>
      <c r="E435">
        <v>204</v>
      </c>
      <c r="F435">
        <v>211</v>
      </c>
      <c r="G435">
        <v>204</v>
      </c>
      <c r="H435">
        <v>211</v>
      </c>
      <c r="I435">
        <v>211</v>
      </c>
      <c r="J435">
        <v>204</v>
      </c>
      <c r="K435">
        <v>211</v>
      </c>
      <c r="L435">
        <v>204</v>
      </c>
      <c r="M435">
        <v>211</v>
      </c>
      <c r="N435">
        <v>211</v>
      </c>
      <c r="O435">
        <v>190</v>
      </c>
      <c r="P435">
        <v>211</v>
      </c>
      <c r="W435"/>
      <c r="X435"/>
      <c r="Y435"/>
    </row>
    <row r="436" spans="1:25" x14ac:dyDescent="0.3">
      <c r="A436" t="str">
        <f>Table_Capacity_HD_frontsheet[[#This Row],[Name]]&amp;B436</f>
        <v>Kingston upon Hull, City ofSocial support (including VCS) (pathway 0)</v>
      </c>
      <c r="B436" t="str">
        <f>VLOOKUP(Table_Capacity_HD_frontsheet[[#This Row],[Service Area]],PathwayLookup!A:B,2,0)</f>
        <v>Social support (including VCS) (pathway 0)</v>
      </c>
      <c r="C436" t="s">
        <v>189</v>
      </c>
      <c r="D436" t="s">
        <v>726</v>
      </c>
      <c r="E436">
        <v>142</v>
      </c>
      <c r="F436">
        <v>111</v>
      </c>
      <c r="G436">
        <v>115</v>
      </c>
      <c r="H436">
        <v>131</v>
      </c>
      <c r="I436">
        <v>126</v>
      </c>
      <c r="J436">
        <v>120</v>
      </c>
      <c r="K436">
        <v>123</v>
      </c>
      <c r="L436">
        <v>133</v>
      </c>
      <c r="M436">
        <v>136</v>
      </c>
      <c r="N436">
        <v>131</v>
      </c>
      <c r="O436">
        <v>130</v>
      </c>
      <c r="P436">
        <v>142</v>
      </c>
      <c r="Q436">
        <v>1</v>
      </c>
      <c r="R436">
        <v>0</v>
      </c>
      <c r="S436">
        <v>0</v>
      </c>
      <c r="W436"/>
      <c r="X436"/>
      <c r="Y436"/>
    </row>
    <row r="437" spans="1:25" x14ac:dyDescent="0.3">
      <c r="A437" t="str">
        <f>Table_Capacity_HD_frontsheet[[#This Row],[Name]]&amp;B437</f>
        <v>Kingston upon Hull, City ofReablement &amp; Rehabilitation at home  (pathway 1)</v>
      </c>
      <c r="B437" t="str">
        <f>VLOOKUP(Table_Capacity_HD_frontsheet[[#This Row],[Service Area]],PathwayLookup!A:B,2,0)</f>
        <v>Reablement &amp; Rehabilitation at home  (pathway 1)</v>
      </c>
      <c r="C437" t="s">
        <v>189</v>
      </c>
      <c r="D437" t="s">
        <v>728</v>
      </c>
      <c r="E437">
        <v>131</v>
      </c>
      <c r="F437">
        <v>128</v>
      </c>
      <c r="G437">
        <v>128</v>
      </c>
      <c r="H437">
        <v>122</v>
      </c>
      <c r="I437">
        <v>119</v>
      </c>
      <c r="J437">
        <v>112</v>
      </c>
      <c r="K437">
        <v>122</v>
      </c>
      <c r="L437">
        <v>124</v>
      </c>
      <c r="M437">
        <v>141</v>
      </c>
      <c r="N437">
        <v>142</v>
      </c>
      <c r="O437">
        <v>115</v>
      </c>
      <c r="P437">
        <v>142</v>
      </c>
      <c r="Q437">
        <v>0</v>
      </c>
      <c r="R437">
        <v>0.73</v>
      </c>
      <c r="S437">
        <v>0.27</v>
      </c>
      <c r="W437"/>
      <c r="X437"/>
      <c r="Y437"/>
    </row>
    <row r="438" spans="1:25" x14ac:dyDescent="0.3">
      <c r="A438" t="str">
        <f>Table_Capacity_HD_frontsheet[[#This Row],[Name]]&amp;B438</f>
        <v>Kingston upon Hull, City ofReablement &amp; Rehabilitation at home  (pathway 1)</v>
      </c>
      <c r="B438" t="str">
        <f>VLOOKUP(Table_Capacity_HD_frontsheet[[#This Row],[Service Area]],PathwayLookup!A:B,2,0)</f>
        <v>Reablement &amp; Rehabilitation at home  (pathway 1)</v>
      </c>
      <c r="C438" t="s">
        <v>189</v>
      </c>
      <c r="D438" t="s">
        <v>721</v>
      </c>
      <c r="E438">
        <v>35</v>
      </c>
      <c r="F438">
        <v>35</v>
      </c>
      <c r="G438">
        <v>35</v>
      </c>
      <c r="H438">
        <v>35</v>
      </c>
      <c r="I438">
        <v>35</v>
      </c>
      <c r="J438">
        <v>35</v>
      </c>
      <c r="K438">
        <v>35</v>
      </c>
      <c r="L438">
        <v>35</v>
      </c>
      <c r="M438">
        <v>35</v>
      </c>
      <c r="N438">
        <v>35</v>
      </c>
      <c r="O438">
        <v>35</v>
      </c>
      <c r="P438">
        <v>35</v>
      </c>
      <c r="Q438">
        <v>0</v>
      </c>
      <c r="R438">
        <v>0</v>
      </c>
      <c r="S438">
        <v>1</v>
      </c>
      <c r="W438"/>
      <c r="X438"/>
      <c r="Y438"/>
    </row>
    <row r="439" spans="1:25" x14ac:dyDescent="0.3">
      <c r="A439" t="str">
        <f>Table_Capacity_HD_frontsheet[[#This Row],[Name]]&amp;B439</f>
        <v>Kingston upon Hull, City ofShort term domiciliary care (pathway 1)</v>
      </c>
      <c r="B439" t="str">
        <f>VLOOKUP(Table_Capacity_HD_frontsheet[[#This Row],[Service Area]],PathwayLookup!A:B,2,0)</f>
        <v>Short term domiciliary care (pathway 1)</v>
      </c>
      <c r="C439" t="s">
        <v>189</v>
      </c>
      <c r="D439" t="s">
        <v>730</v>
      </c>
      <c r="E439">
        <v>100</v>
      </c>
      <c r="F439">
        <v>100</v>
      </c>
      <c r="G439">
        <v>100</v>
      </c>
      <c r="H439">
        <v>100</v>
      </c>
      <c r="I439">
        <v>100</v>
      </c>
      <c r="J439">
        <v>100</v>
      </c>
      <c r="K439">
        <v>100</v>
      </c>
      <c r="L439">
        <v>100</v>
      </c>
      <c r="M439">
        <v>100</v>
      </c>
      <c r="N439">
        <v>100</v>
      </c>
      <c r="O439">
        <v>100</v>
      </c>
      <c r="P439">
        <v>100</v>
      </c>
      <c r="Q439">
        <v>0</v>
      </c>
      <c r="R439">
        <v>1</v>
      </c>
      <c r="S439">
        <v>0</v>
      </c>
      <c r="W439"/>
      <c r="X439"/>
      <c r="Y439"/>
    </row>
    <row r="440" spans="1:25" x14ac:dyDescent="0.3">
      <c r="A440" t="str">
        <f>Table_Capacity_HD_frontsheet[[#This Row],[Name]]&amp;B440</f>
        <v>Kingston upon Hull, City ofReablement &amp; Rehabilitation in a bedded setting (pathway 2)</v>
      </c>
      <c r="B440" t="str">
        <f>VLOOKUP(Table_Capacity_HD_frontsheet[[#This Row],[Service Area]],PathwayLookup!A:B,2,0)</f>
        <v>Reablement &amp; Rehabilitation in a bedded setting (pathway 2)</v>
      </c>
      <c r="C440" t="s">
        <v>189</v>
      </c>
      <c r="D440" t="s">
        <v>723</v>
      </c>
      <c r="E440">
        <v>87</v>
      </c>
      <c r="F440">
        <v>94</v>
      </c>
      <c r="G440">
        <v>83</v>
      </c>
      <c r="H440">
        <v>80</v>
      </c>
      <c r="I440">
        <v>80</v>
      </c>
      <c r="J440">
        <v>75</v>
      </c>
      <c r="K440">
        <v>86</v>
      </c>
      <c r="L440">
        <v>82</v>
      </c>
      <c r="M440">
        <v>98</v>
      </c>
      <c r="N440">
        <v>101</v>
      </c>
      <c r="O440">
        <v>88</v>
      </c>
      <c r="P440">
        <v>89</v>
      </c>
      <c r="Q440">
        <v>0</v>
      </c>
      <c r="R440">
        <v>0</v>
      </c>
      <c r="S440">
        <v>1</v>
      </c>
      <c r="W440"/>
      <c r="X440"/>
      <c r="Y440"/>
    </row>
    <row r="441" spans="1:25" x14ac:dyDescent="0.3">
      <c r="A441" t="str">
        <f>Table_Capacity_HD_frontsheet[[#This Row],[Name]]&amp;B441</f>
        <v>Kingston upon Hull, City ofReablement &amp; Rehabilitation in a bedded setting (pathway 2)</v>
      </c>
      <c r="B441" t="str">
        <f>VLOOKUP(Table_Capacity_HD_frontsheet[[#This Row],[Service Area]],PathwayLookup!A:B,2,0)</f>
        <v>Reablement &amp; Rehabilitation in a bedded setting (pathway 2)</v>
      </c>
      <c r="C441" t="s">
        <v>189</v>
      </c>
      <c r="D441" t="s">
        <v>725</v>
      </c>
      <c r="E441">
        <v>84</v>
      </c>
      <c r="F441">
        <v>84</v>
      </c>
      <c r="G441">
        <v>84</v>
      </c>
      <c r="H441">
        <v>84</v>
      </c>
      <c r="I441">
        <v>84</v>
      </c>
      <c r="J441">
        <v>84</v>
      </c>
      <c r="K441">
        <v>84</v>
      </c>
      <c r="L441">
        <v>94</v>
      </c>
      <c r="M441">
        <v>94</v>
      </c>
      <c r="N441">
        <v>94</v>
      </c>
      <c r="O441">
        <v>94</v>
      </c>
      <c r="P441">
        <v>94</v>
      </c>
      <c r="Q441">
        <v>0</v>
      </c>
      <c r="R441">
        <v>0</v>
      </c>
      <c r="S441">
        <v>1</v>
      </c>
      <c r="W441"/>
      <c r="X441"/>
      <c r="Y441"/>
    </row>
    <row r="442" spans="1:25" x14ac:dyDescent="0.3">
      <c r="A442" t="str">
        <f>Table_Capacity_HD_frontsheet[[#This Row],[Name]]&amp;B442</f>
        <v>Kingston upon Hull, City ofShort-term residential/nursing care for someone likely to require a longer-term care home placement (pathway 3)</v>
      </c>
      <c r="B442" t="str">
        <f>VLOOKUP(Table_Capacity_HD_frontsheet[[#This Row],[Service Area]],PathwayLookup!A:B,2,0)</f>
        <v>Short-term residential/nursing care for someone likely to require a longer-term care home placement (pathway 3)</v>
      </c>
      <c r="C442" t="s">
        <v>189</v>
      </c>
      <c r="D442" t="s">
        <v>731</v>
      </c>
      <c r="E442">
        <v>76</v>
      </c>
      <c r="F442">
        <v>85</v>
      </c>
      <c r="G442">
        <v>77</v>
      </c>
      <c r="H442">
        <v>80</v>
      </c>
      <c r="I442">
        <v>79</v>
      </c>
      <c r="J442">
        <v>74</v>
      </c>
      <c r="K442">
        <v>77</v>
      </c>
      <c r="L442">
        <v>77</v>
      </c>
      <c r="M442">
        <v>82</v>
      </c>
      <c r="N442">
        <v>83</v>
      </c>
      <c r="O442">
        <v>71</v>
      </c>
      <c r="P442">
        <v>85</v>
      </c>
      <c r="Q442">
        <v>0</v>
      </c>
      <c r="R442">
        <v>0</v>
      </c>
      <c r="S442">
        <v>1</v>
      </c>
      <c r="W442"/>
      <c r="X442"/>
      <c r="Y442"/>
    </row>
    <row r="443" spans="1:25" x14ac:dyDescent="0.3">
      <c r="A443" t="str">
        <f>Table_Capacity_HD_frontsheet[[#This Row],[Name]]&amp;B443</f>
        <v>Kingston upon ThamesSocial support (including VCS) (pathway 0)</v>
      </c>
      <c r="B443" t="str">
        <f>VLOOKUP(Table_Capacity_HD_frontsheet[[#This Row],[Service Area]],PathwayLookup!A:B,2,0)</f>
        <v>Social support (including VCS) (pathway 0)</v>
      </c>
      <c r="C443" t="s">
        <v>191</v>
      </c>
      <c r="D443" t="s">
        <v>726</v>
      </c>
      <c r="E443">
        <v>161</v>
      </c>
      <c r="F443">
        <v>161</v>
      </c>
      <c r="G443">
        <v>161</v>
      </c>
      <c r="H443">
        <v>161</v>
      </c>
      <c r="I443">
        <v>161</v>
      </c>
      <c r="J443">
        <v>165</v>
      </c>
      <c r="K443">
        <v>165</v>
      </c>
      <c r="L443">
        <v>165</v>
      </c>
      <c r="M443">
        <v>165</v>
      </c>
      <c r="N443">
        <v>165</v>
      </c>
      <c r="O443">
        <v>165</v>
      </c>
      <c r="P443">
        <v>161</v>
      </c>
      <c r="Q443">
        <v>0.05</v>
      </c>
      <c r="R443">
        <v>0.7</v>
      </c>
      <c r="S443">
        <v>0.25</v>
      </c>
      <c r="W443"/>
      <c r="X443"/>
      <c r="Y443"/>
    </row>
    <row r="444" spans="1:25" x14ac:dyDescent="0.3">
      <c r="A444" t="str">
        <f>Table_Capacity_HD_frontsheet[[#This Row],[Name]]&amp;B444</f>
        <v>Kingston upon ThamesReablement &amp; Rehabilitation at home  (pathway 1)</v>
      </c>
      <c r="B444" t="str">
        <f>VLOOKUP(Table_Capacity_HD_frontsheet[[#This Row],[Service Area]],PathwayLookup!A:B,2,0)</f>
        <v>Reablement &amp; Rehabilitation at home  (pathway 1)</v>
      </c>
      <c r="C444" t="s">
        <v>191</v>
      </c>
      <c r="D444" t="s">
        <v>728</v>
      </c>
      <c r="E444">
        <v>72</v>
      </c>
      <c r="F444">
        <v>72</v>
      </c>
      <c r="G444">
        <v>72</v>
      </c>
      <c r="H444">
        <v>72</v>
      </c>
      <c r="I444">
        <v>72</v>
      </c>
      <c r="J444">
        <v>72</v>
      </c>
      <c r="K444">
        <v>72</v>
      </c>
      <c r="L444">
        <v>72</v>
      </c>
      <c r="M444">
        <v>72</v>
      </c>
      <c r="N444">
        <v>72</v>
      </c>
      <c r="O444">
        <v>72</v>
      </c>
      <c r="P444">
        <v>72</v>
      </c>
      <c r="Q444">
        <v>0.2</v>
      </c>
      <c r="R444">
        <v>0.8</v>
      </c>
      <c r="S444">
        <v>0</v>
      </c>
      <c r="W444"/>
      <c r="X444"/>
      <c r="Y444"/>
    </row>
    <row r="445" spans="1:25" x14ac:dyDescent="0.3">
      <c r="A445" t="str">
        <f>Table_Capacity_HD_frontsheet[[#This Row],[Name]]&amp;B445</f>
        <v>Kingston upon ThamesReablement &amp; Rehabilitation at home  (pathway 1)</v>
      </c>
      <c r="B445" t="str">
        <f>VLOOKUP(Table_Capacity_HD_frontsheet[[#This Row],[Service Area]],PathwayLookup!A:B,2,0)</f>
        <v>Reablement &amp; Rehabilitation at home  (pathway 1)</v>
      </c>
      <c r="C445" t="s">
        <v>191</v>
      </c>
      <c r="D445" t="s">
        <v>721</v>
      </c>
      <c r="E445">
        <v>23</v>
      </c>
      <c r="F445">
        <v>23</v>
      </c>
      <c r="G445">
        <v>23</v>
      </c>
      <c r="H445">
        <v>23</v>
      </c>
      <c r="I445">
        <v>23</v>
      </c>
      <c r="J445">
        <v>23</v>
      </c>
      <c r="K445">
        <v>23</v>
      </c>
      <c r="L445">
        <v>23</v>
      </c>
      <c r="M445">
        <v>23</v>
      </c>
      <c r="N445">
        <v>23</v>
      </c>
      <c r="O445">
        <v>23</v>
      </c>
      <c r="P445">
        <v>23</v>
      </c>
      <c r="Q445">
        <v>1</v>
      </c>
      <c r="R445">
        <v>0</v>
      </c>
      <c r="S445">
        <v>0</v>
      </c>
      <c r="W445"/>
      <c r="X445"/>
      <c r="Y445"/>
    </row>
    <row r="446" spans="1:25" x14ac:dyDescent="0.3">
      <c r="A446" t="str">
        <f>Table_Capacity_HD_frontsheet[[#This Row],[Name]]&amp;B446</f>
        <v>Kingston upon ThamesShort term domiciliary care (pathway 1)</v>
      </c>
      <c r="B446" t="str">
        <f>VLOOKUP(Table_Capacity_HD_frontsheet[[#This Row],[Service Area]],PathwayLookup!A:B,2,0)</f>
        <v>Short term domiciliary care (pathway 1)</v>
      </c>
      <c r="C446" t="s">
        <v>191</v>
      </c>
      <c r="D446" t="s">
        <v>730</v>
      </c>
      <c r="E446">
        <v>2</v>
      </c>
      <c r="F446">
        <v>1</v>
      </c>
      <c r="G446">
        <v>1</v>
      </c>
      <c r="H446">
        <v>1</v>
      </c>
      <c r="I446">
        <v>1</v>
      </c>
      <c r="J446">
        <v>1</v>
      </c>
      <c r="K446">
        <v>1</v>
      </c>
      <c r="L446">
        <v>1</v>
      </c>
      <c r="M446">
        <v>1</v>
      </c>
      <c r="N446">
        <v>1</v>
      </c>
      <c r="O446">
        <v>1</v>
      </c>
      <c r="P446">
        <v>1</v>
      </c>
      <c r="Q446">
        <v>0.05</v>
      </c>
      <c r="R446">
        <v>0.95</v>
      </c>
      <c r="S446">
        <v>0</v>
      </c>
      <c r="W446"/>
      <c r="X446"/>
      <c r="Y446"/>
    </row>
    <row r="447" spans="1:25" x14ac:dyDescent="0.3">
      <c r="A447" t="str">
        <f>Table_Capacity_HD_frontsheet[[#This Row],[Name]]&amp;B447</f>
        <v>Kingston upon ThamesReablement &amp; Rehabilitation in a bedded setting (pathway 2)</v>
      </c>
      <c r="B447" t="str">
        <f>VLOOKUP(Table_Capacity_HD_frontsheet[[#This Row],[Service Area]],PathwayLookup!A:B,2,0)</f>
        <v>Reablement &amp; Rehabilitation in a bedded setting (pathway 2)</v>
      </c>
      <c r="C447" t="s">
        <v>191</v>
      </c>
      <c r="D447" t="s">
        <v>723</v>
      </c>
      <c r="E447">
        <v>9</v>
      </c>
      <c r="F447">
        <v>9</v>
      </c>
      <c r="G447">
        <v>9</v>
      </c>
      <c r="H447">
        <v>9</v>
      </c>
      <c r="I447">
        <v>9</v>
      </c>
      <c r="J447">
        <v>9</v>
      </c>
      <c r="K447">
        <v>9</v>
      </c>
      <c r="L447">
        <v>9</v>
      </c>
      <c r="M447">
        <v>9</v>
      </c>
      <c r="N447">
        <v>9</v>
      </c>
      <c r="O447">
        <v>9</v>
      </c>
      <c r="P447">
        <v>9</v>
      </c>
      <c r="Q447">
        <v>0.5</v>
      </c>
      <c r="R447">
        <v>0.5</v>
      </c>
      <c r="S447">
        <v>0</v>
      </c>
      <c r="W447"/>
      <c r="X447"/>
      <c r="Y447"/>
    </row>
    <row r="448" spans="1:25" x14ac:dyDescent="0.3">
      <c r="A448" t="str">
        <f>Table_Capacity_HD_frontsheet[[#This Row],[Name]]&amp;B448</f>
        <v>Kingston upon ThamesReablement &amp; Rehabilitation in a bedded setting (pathway 2)</v>
      </c>
      <c r="B448" t="str">
        <f>VLOOKUP(Table_Capacity_HD_frontsheet[[#This Row],[Service Area]],PathwayLookup!A:B,2,0)</f>
        <v>Reablement &amp; Rehabilitation in a bedded setting (pathway 2)</v>
      </c>
      <c r="C448" t="s">
        <v>191</v>
      </c>
      <c r="D448" t="s">
        <v>725</v>
      </c>
      <c r="E448">
        <v>31</v>
      </c>
      <c r="F448">
        <v>31</v>
      </c>
      <c r="G448">
        <v>31</v>
      </c>
      <c r="H448">
        <v>31</v>
      </c>
      <c r="I448">
        <v>31</v>
      </c>
      <c r="J448">
        <v>31</v>
      </c>
      <c r="K448">
        <v>31</v>
      </c>
      <c r="L448">
        <v>31</v>
      </c>
      <c r="M448">
        <v>31</v>
      </c>
      <c r="N448">
        <v>31</v>
      </c>
      <c r="O448">
        <v>31</v>
      </c>
      <c r="P448">
        <v>31</v>
      </c>
      <c r="Q448">
        <v>1</v>
      </c>
      <c r="R448">
        <v>0</v>
      </c>
      <c r="S448">
        <v>0</v>
      </c>
      <c r="W448"/>
      <c r="X448"/>
      <c r="Y448"/>
    </row>
    <row r="449" spans="1:25" x14ac:dyDescent="0.3">
      <c r="A449" t="str">
        <f>Table_Capacity_HD_frontsheet[[#This Row],[Name]]&amp;B449</f>
        <v>Kingston upon ThamesShort-term residential/nursing care for someone likely to require a longer-term care home placement (pathway 3)</v>
      </c>
      <c r="B449" t="str">
        <f>VLOOKUP(Table_Capacity_HD_frontsheet[[#This Row],[Service Area]],PathwayLookup!A:B,2,0)</f>
        <v>Short-term residential/nursing care for someone likely to require a longer-term care home placement (pathway 3)</v>
      </c>
      <c r="C449" t="s">
        <v>191</v>
      </c>
      <c r="D449" t="s">
        <v>731</v>
      </c>
      <c r="E449">
        <v>14</v>
      </c>
      <c r="F449">
        <v>23</v>
      </c>
      <c r="G449">
        <v>21</v>
      </c>
      <c r="H449">
        <v>20</v>
      </c>
      <c r="I449">
        <v>22</v>
      </c>
      <c r="J449">
        <v>21</v>
      </c>
      <c r="K449">
        <v>25</v>
      </c>
      <c r="L449">
        <v>28</v>
      </c>
      <c r="M449">
        <v>24</v>
      </c>
      <c r="N449">
        <v>35</v>
      </c>
      <c r="O449">
        <v>36</v>
      </c>
      <c r="P449">
        <v>12</v>
      </c>
      <c r="Q449">
        <v>1</v>
      </c>
      <c r="R449">
        <v>0</v>
      </c>
      <c r="S449">
        <v>0</v>
      </c>
      <c r="W449"/>
      <c r="X449"/>
      <c r="Y449"/>
    </row>
    <row r="450" spans="1:25" x14ac:dyDescent="0.3">
      <c r="A450" t="str">
        <f>Table_Capacity_HD_frontsheet[[#This Row],[Name]]&amp;B450</f>
        <v>KirkleesSocial support (including VCS) (pathway 0)</v>
      </c>
      <c r="B450" t="str">
        <f>VLOOKUP(Table_Capacity_HD_frontsheet[[#This Row],[Service Area]],PathwayLookup!A:B,2,0)</f>
        <v>Social support (including VCS) (pathway 0)</v>
      </c>
      <c r="C450" t="s">
        <v>193</v>
      </c>
      <c r="D450" t="s">
        <v>726</v>
      </c>
      <c r="E450">
        <v>986</v>
      </c>
      <c r="F450">
        <v>986</v>
      </c>
      <c r="G450">
        <v>986</v>
      </c>
      <c r="H450">
        <v>986</v>
      </c>
      <c r="I450">
        <v>986</v>
      </c>
      <c r="J450">
        <v>986</v>
      </c>
      <c r="K450">
        <v>986</v>
      </c>
      <c r="L450">
        <v>986</v>
      </c>
      <c r="M450">
        <v>986</v>
      </c>
      <c r="N450">
        <v>986</v>
      </c>
      <c r="O450">
        <v>986</v>
      </c>
      <c r="P450">
        <v>986</v>
      </c>
      <c r="Q450">
        <v>0</v>
      </c>
      <c r="R450">
        <v>1</v>
      </c>
      <c r="S450">
        <v>0</v>
      </c>
      <c r="W450"/>
      <c r="X450"/>
      <c r="Y450"/>
    </row>
    <row r="451" spans="1:25" x14ac:dyDescent="0.3">
      <c r="A451" t="str">
        <f>Table_Capacity_HD_frontsheet[[#This Row],[Name]]&amp;B451</f>
        <v>KirkleesReablement &amp; Rehabilitation at home  (pathway 1)</v>
      </c>
      <c r="B451" t="str">
        <f>VLOOKUP(Table_Capacity_HD_frontsheet[[#This Row],[Service Area]],PathwayLookup!A:B,2,0)</f>
        <v>Reablement &amp; Rehabilitation at home  (pathway 1)</v>
      </c>
      <c r="C451" t="s">
        <v>193</v>
      </c>
      <c r="D451" t="s">
        <v>728</v>
      </c>
      <c r="E451">
        <v>130</v>
      </c>
      <c r="F451">
        <v>130</v>
      </c>
      <c r="G451">
        <v>130</v>
      </c>
      <c r="H451">
        <v>130</v>
      </c>
      <c r="I451">
        <v>130</v>
      </c>
      <c r="J451">
        <v>130</v>
      </c>
      <c r="K451">
        <v>130</v>
      </c>
      <c r="L451">
        <v>130</v>
      </c>
      <c r="M451">
        <v>130</v>
      </c>
      <c r="N451">
        <v>130</v>
      </c>
      <c r="O451">
        <v>130</v>
      </c>
      <c r="P451">
        <v>130</v>
      </c>
      <c r="Q451">
        <v>0.8</v>
      </c>
      <c r="R451">
        <v>0.2</v>
      </c>
      <c r="S451">
        <v>0</v>
      </c>
      <c r="W451"/>
      <c r="X451"/>
      <c r="Y451"/>
    </row>
    <row r="452" spans="1:25" x14ac:dyDescent="0.3">
      <c r="A452" t="str">
        <f>Table_Capacity_HD_frontsheet[[#This Row],[Name]]&amp;B452</f>
        <v>KirkleesReablement &amp; Rehabilitation at home  (pathway 1)</v>
      </c>
      <c r="B452" t="str">
        <f>VLOOKUP(Table_Capacity_HD_frontsheet[[#This Row],[Service Area]],PathwayLookup!A:B,2,0)</f>
        <v>Reablement &amp; Rehabilitation at home  (pathway 1)</v>
      </c>
      <c r="C452" t="s">
        <v>193</v>
      </c>
      <c r="D452" t="s">
        <v>721</v>
      </c>
      <c r="E452">
        <v>150</v>
      </c>
      <c r="F452">
        <v>150</v>
      </c>
      <c r="G452">
        <v>150</v>
      </c>
      <c r="H452">
        <v>150</v>
      </c>
      <c r="I452">
        <v>150</v>
      </c>
      <c r="J452">
        <v>150</v>
      </c>
      <c r="K452">
        <v>150</v>
      </c>
      <c r="L452">
        <v>150</v>
      </c>
      <c r="M452">
        <v>150</v>
      </c>
      <c r="N452">
        <v>150</v>
      </c>
      <c r="O452">
        <v>150</v>
      </c>
      <c r="P452">
        <v>150</v>
      </c>
      <c r="Q452">
        <v>1</v>
      </c>
      <c r="R452">
        <v>0</v>
      </c>
      <c r="S452">
        <v>0</v>
      </c>
      <c r="W452"/>
      <c r="X452"/>
      <c r="Y452"/>
    </row>
    <row r="453" spans="1:25" x14ac:dyDescent="0.3">
      <c r="A453" t="str">
        <f>Table_Capacity_HD_frontsheet[[#This Row],[Name]]&amp;B453</f>
        <v>KirkleesShort term domiciliary care (pathway 1)</v>
      </c>
      <c r="B453" t="str">
        <f>VLOOKUP(Table_Capacity_HD_frontsheet[[#This Row],[Service Area]],PathwayLookup!A:B,2,0)</f>
        <v>Short term domiciliary care (pathway 1)</v>
      </c>
      <c r="C453" t="s">
        <v>193</v>
      </c>
      <c r="D453" t="s">
        <v>730</v>
      </c>
      <c r="E453">
        <v>128</v>
      </c>
      <c r="F453">
        <v>128</v>
      </c>
      <c r="G453">
        <v>128</v>
      </c>
      <c r="H453">
        <v>128</v>
      </c>
      <c r="I453">
        <v>128</v>
      </c>
      <c r="J453">
        <v>128</v>
      </c>
      <c r="K453">
        <v>128</v>
      </c>
      <c r="L453">
        <v>128</v>
      </c>
      <c r="M453">
        <v>128</v>
      </c>
      <c r="N453">
        <v>128</v>
      </c>
      <c r="O453">
        <v>128</v>
      </c>
      <c r="P453">
        <v>128</v>
      </c>
      <c r="Q453">
        <v>0</v>
      </c>
      <c r="R453">
        <v>1</v>
      </c>
      <c r="S453">
        <v>0</v>
      </c>
      <c r="W453"/>
      <c r="X453"/>
      <c r="Y453"/>
    </row>
    <row r="454" spans="1:25" x14ac:dyDescent="0.3">
      <c r="A454" t="str">
        <f>Table_Capacity_HD_frontsheet[[#This Row],[Name]]&amp;B454</f>
        <v>KirkleesReablement &amp; Rehabilitation in a bedded setting (pathway 2)</v>
      </c>
      <c r="B454" t="str">
        <f>VLOOKUP(Table_Capacity_HD_frontsheet[[#This Row],[Service Area]],PathwayLookup!A:B,2,0)</f>
        <v>Reablement &amp; Rehabilitation in a bedded setting (pathway 2)</v>
      </c>
      <c r="C454" t="s">
        <v>193</v>
      </c>
      <c r="D454" t="s">
        <v>723</v>
      </c>
      <c r="E454">
        <v>0</v>
      </c>
      <c r="F454">
        <v>0</v>
      </c>
      <c r="G454">
        <v>0</v>
      </c>
      <c r="H454">
        <v>0</v>
      </c>
      <c r="I454">
        <v>0</v>
      </c>
      <c r="J454">
        <v>0</v>
      </c>
      <c r="K454">
        <v>0</v>
      </c>
      <c r="L454">
        <v>0</v>
      </c>
      <c r="M454">
        <v>0</v>
      </c>
      <c r="N454">
        <v>0</v>
      </c>
      <c r="O454">
        <v>0</v>
      </c>
      <c r="P454">
        <v>0</v>
      </c>
      <c r="Q454">
        <v>0</v>
      </c>
      <c r="R454">
        <v>0</v>
      </c>
      <c r="S454">
        <v>0</v>
      </c>
      <c r="W454"/>
      <c r="X454"/>
      <c r="Y454"/>
    </row>
    <row r="455" spans="1:25" x14ac:dyDescent="0.3">
      <c r="A455" t="str">
        <f>Table_Capacity_HD_frontsheet[[#This Row],[Name]]&amp;B455</f>
        <v>KirkleesReablement &amp; Rehabilitation in a bedded setting (pathway 2)</v>
      </c>
      <c r="B455" t="str">
        <f>VLOOKUP(Table_Capacity_HD_frontsheet[[#This Row],[Service Area]],PathwayLookup!A:B,2,0)</f>
        <v>Reablement &amp; Rehabilitation in a bedded setting (pathway 2)</v>
      </c>
      <c r="C455" t="s">
        <v>193</v>
      </c>
      <c r="D455" t="s">
        <v>725</v>
      </c>
      <c r="E455">
        <v>37</v>
      </c>
      <c r="F455">
        <v>37</v>
      </c>
      <c r="G455">
        <v>37</v>
      </c>
      <c r="H455">
        <v>37</v>
      </c>
      <c r="I455">
        <v>37</v>
      </c>
      <c r="J455">
        <v>37</v>
      </c>
      <c r="K455">
        <v>37</v>
      </c>
      <c r="L455">
        <v>37</v>
      </c>
      <c r="M455">
        <v>37</v>
      </c>
      <c r="N455">
        <v>37</v>
      </c>
      <c r="O455">
        <v>37</v>
      </c>
      <c r="P455">
        <v>37</v>
      </c>
      <c r="Q455">
        <v>1</v>
      </c>
      <c r="R455">
        <v>0</v>
      </c>
      <c r="S455">
        <v>0</v>
      </c>
      <c r="W455"/>
      <c r="X455"/>
      <c r="Y455"/>
    </row>
    <row r="456" spans="1:25" x14ac:dyDescent="0.3">
      <c r="A456" t="str">
        <f>Table_Capacity_HD_frontsheet[[#This Row],[Name]]&amp;B456</f>
        <v>KirkleesShort-term residential/nursing care for someone likely to require a longer-term care home placement (pathway 3)</v>
      </c>
      <c r="B456" t="str">
        <f>VLOOKUP(Table_Capacity_HD_frontsheet[[#This Row],[Service Area]],PathwayLookup!A:B,2,0)</f>
        <v>Short-term residential/nursing care for someone likely to require a longer-term care home placement (pathway 3)</v>
      </c>
      <c r="C456" t="s">
        <v>193</v>
      </c>
      <c r="D456" t="s">
        <v>731</v>
      </c>
      <c r="E456">
        <v>78</v>
      </c>
      <c r="F456">
        <v>78</v>
      </c>
      <c r="G456">
        <v>78</v>
      </c>
      <c r="H456">
        <v>78</v>
      </c>
      <c r="I456">
        <v>78</v>
      </c>
      <c r="J456">
        <v>78</v>
      </c>
      <c r="K456">
        <v>78</v>
      </c>
      <c r="L456">
        <v>78</v>
      </c>
      <c r="M456">
        <v>78</v>
      </c>
      <c r="N456">
        <v>78</v>
      </c>
      <c r="O456">
        <v>78</v>
      </c>
      <c r="P456">
        <v>78</v>
      </c>
      <c r="Q456">
        <v>0.2</v>
      </c>
      <c r="R456">
        <v>0.8</v>
      </c>
      <c r="S456">
        <v>0</v>
      </c>
      <c r="W456"/>
      <c r="X456"/>
      <c r="Y456"/>
    </row>
    <row r="457" spans="1:25" x14ac:dyDescent="0.3">
      <c r="A457" t="str">
        <f>Table_Capacity_HD_frontsheet[[#This Row],[Name]]&amp;B457</f>
        <v>KnowsleySocial support (including VCS) (pathway 0)</v>
      </c>
      <c r="B457" t="str">
        <f>VLOOKUP(Table_Capacity_HD_frontsheet[[#This Row],[Service Area]],PathwayLookup!A:B,2,0)</f>
        <v>Social support (including VCS) (pathway 0)</v>
      </c>
      <c r="C457" t="s">
        <v>195</v>
      </c>
      <c r="D457" t="s">
        <v>726</v>
      </c>
      <c r="E457">
        <v>0</v>
      </c>
      <c r="F457">
        <v>0</v>
      </c>
      <c r="G457">
        <v>0</v>
      </c>
      <c r="H457">
        <v>0</v>
      </c>
      <c r="I457">
        <v>0</v>
      </c>
      <c r="J457">
        <v>0</v>
      </c>
      <c r="K457">
        <v>0</v>
      </c>
      <c r="L457">
        <v>0</v>
      </c>
      <c r="M457">
        <v>0</v>
      </c>
      <c r="N457">
        <v>0</v>
      </c>
      <c r="O457">
        <v>0</v>
      </c>
      <c r="P457">
        <v>0</v>
      </c>
      <c r="W457"/>
      <c r="X457"/>
      <c r="Y457"/>
    </row>
    <row r="458" spans="1:25" x14ac:dyDescent="0.3">
      <c r="A458" t="str">
        <f>Table_Capacity_HD_frontsheet[[#This Row],[Name]]&amp;B458</f>
        <v>KnowsleyReablement &amp; Rehabilitation at home  (pathway 1)</v>
      </c>
      <c r="B458" t="str">
        <f>VLOOKUP(Table_Capacity_HD_frontsheet[[#This Row],[Service Area]],PathwayLookup!A:B,2,0)</f>
        <v>Reablement &amp; Rehabilitation at home  (pathway 1)</v>
      </c>
      <c r="C458" t="s">
        <v>195</v>
      </c>
      <c r="D458" t="s">
        <v>728</v>
      </c>
      <c r="E458">
        <v>8</v>
      </c>
      <c r="F458">
        <v>8</v>
      </c>
      <c r="G458">
        <v>8</v>
      </c>
      <c r="H458">
        <v>8</v>
      </c>
      <c r="I458">
        <v>8</v>
      </c>
      <c r="J458">
        <v>8</v>
      </c>
      <c r="K458">
        <v>16</v>
      </c>
      <c r="L458">
        <v>16</v>
      </c>
      <c r="M458">
        <v>16</v>
      </c>
      <c r="N458">
        <v>16</v>
      </c>
      <c r="O458">
        <v>16</v>
      </c>
      <c r="P458">
        <v>16</v>
      </c>
      <c r="R458">
        <v>1</v>
      </c>
      <c r="W458"/>
      <c r="X458"/>
      <c r="Y458"/>
    </row>
    <row r="459" spans="1:25" x14ac:dyDescent="0.3">
      <c r="A459" t="str">
        <f>Table_Capacity_HD_frontsheet[[#This Row],[Name]]&amp;B459</f>
        <v>KnowsleyReablement &amp; Rehabilitation at home  (pathway 1)</v>
      </c>
      <c r="B459" t="str">
        <f>VLOOKUP(Table_Capacity_HD_frontsheet[[#This Row],[Service Area]],PathwayLookup!A:B,2,0)</f>
        <v>Reablement &amp; Rehabilitation at home  (pathway 1)</v>
      </c>
      <c r="C459" t="s">
        <v>195</v>
      </c>
      <c r="D459" t="s">
        <v>721</v>
      </c>
      <c r="E459">
        <v>0</v>
      </c>
      <c r="F459">
        <v>0</v>
      </c>
      <c r="G459">
        <v>0</v>
      </c>
      <c r="H459">
        <v>0</v>
      </c>
      <c r="I459">
        <v>0</v>
      </c>
      <c r="J459">
        <v>0</v>
      </c>
      <c r="K459">
        <v>0</v>
      </c>
      <c r="L459">
        <v>0</v>
      </c>
      <c r="M459">
        <v>0</v>
      </c>
      <c r="N459">
        <v>0</v>
      </c>
      <c r="O459">
        <v>0</v>
      </c>
      <c r="P459">
        <v>0</v>
      </c>
      <c r="W459"/>
      <c r="X459"/>
      <c r="Y459"/>
    </row>
    <row r="460" spans="1:25" x14ac:dyDescent="0.3">
      <c r="A460" t="str">
        <f>Table_Capacity_HD_frontsheet[[#This Row],[Name]]&amp;B460</f>
        <v>KnowsleyShort term domiciliary care (pathway 1)</v>
      </c>
      <c r="B460" t="str">
        <f>VLOOKUP(Table_Capacity_HD_frontsheet[[#This Row],[Service Area]],PathwayLookup!A:B,2,0)</f>
        <v>Short term domiciliary care (pathway 1)</v>
      </c>
      <c r="C460" t="s">
        <v>195</v>
      </c>
      <c r="D460" t="s">
        <v>730</v>
      </c>
      <c r="E460">
        <v>59</v>
      </c>
      <c r="F460">
        <v>59</v>
      </c>
      <c r="G460">
        <v>59</v>
      </c>
      <c r="H460">
        <v>59</v>
      </c>
      <c r="I460">
        <v>59</v>
      </c>
      <c r="J460">
        <v>59</v>
      </c>
      <c r="K460">
        <v>84</v>
      </c>
      <c r="L460">
        <v>84</v>
      </c>
      <c r="M460">
        <v>84</v>
      </c>
      <c r="N460">
        <v>84</v>
      </c>
      <c r="O460">
        <v>84</v>
      </c>
      <c r="P460">
        <v>84</v>
      </c>
      <c r="R460">
        <v>1</v>
      </c>
      <c r="W460"/>
      <c r="X460"/>
      <c r="Y460"/>
    </row>
    <row r="461" spans="1:25" x14ac:dyDescent="0.3">
      <c r="A461" t="str">
        <f>Table_Capacity_HD_frontsheet[[#This Row],[Name]]&amp;B461</f>
        <v>KnowsleyReablement &amp; Rehabilitation in a bedded setting (pathway 2)</v>
      </c>
      <c r="B461" t="str">
        <f>VLOOKUP(Table_Capacity_HD_frontsheet[[#This Row],[Service Area]],PathwayLookup!A:B,2,0)</f>
        <v>Reablement &amp; Rehabilitation in a bedded setting (pathway 2)</v>
      </c>
      <c r="C461" t="s">
        <v>195</v>
      </c>
      <c r="D461" t="s">
        <v>723</v>
      </c>
      <c r="E461">
        <v>0</v>
      </c>
      <c r="F461">
        <v>0</v>
      </c>
      <c r="G461">
        <v>0</v>
      </c>
      <c r="H461">
        <v>0</v>
      </c>
      <c r="I461">
        <v>0</v>
      </c>
      <c r="J461">
        <v>0</v>
      </c>
      <c r="K461">
        <v>0</v>
      </c>
      <c r="L461">
        <v>0</v>
      </c>
      <c r="M461">
        <v>0</v>
      </c>
      <c r="N461">
        <v>0</v>
      </c>
      <c r="O461">
        <v>0</v>
      </c>
      <c r="P461">
        <v>0</v>
      </c>
      <c r="W461"/>
      <c r="X461"/>
      <c r="Y461"/>
    </row>
    <row r="462" spans="1:25" x14ac:dyDescent="0.3">
      <c r="A462" t="str">
        <f>Table_Capacity_HD_frontsheet[[#This Row],[Name]]&amp;B462</f>
        <v>KnowsleyReablement &amp; Rehabilitation in a bedded setting (pathway 2)</v>
      </c>
      <c r="B462" t="str">
        <f>VLOOKUP(Table_Capacity_HD_frontsheet[[#This Row],[Service Area]],PathwayLookup!A:B,2,0)</f>
        <v>Reablement &amp; Rehabilitation in a bedded setting (pathway 2)</v>
      </c>
      <c r="C462" t="s">
        <v>195</v>
      </c>
      <c r="D462" t="s">
        <v>725</v>
      </c>
      <c r="E462">
        <v>23</v>
      </c>
      <c r="F462">
        <v>23</v>
      </c>
      <c r="G462">
        <v>23</v>
      </c>
      <c r="H462">
        <v>23</v>
      </c>
      <c r="I462">
        <v>23</v>
      </c>
      <c r="J462">
        <v>23</v>
      </c>
      <c r="K462">
        <v>38</v>
      </c>
      <c r="L462">
        <v>38</v>
      </c>
      <c r="M462">
        <v>38</v>
      </c>
      <c r="N462">
        <v>38</v>
      </c>
      <c r="O462">
        <v>38</v>
      </c>
      <c r="P462">
        <v>38</v>
      </c>
      <c r="S462">
        <v>1</v>
      </c>
      <c r="W462"/>
      <c r="X462"/>
      <c r="Y462"/>
    </row>
    <row r="463" spans="1:25" x14ac:dyDescent="0.3">
      <c r="A463" t="str">
        <f>Table_Capacity_HD_frontsheet[[#This Row],[Name]]&amp;B463</f>
        <v>KnowsleyShort-term residential/nursing care for someone likely to require a longer-term care home placement (pathway 3)</v>
      </c>
      <c r="B463" t="str">
        <f>VLOOKUP(Table_Capacity_HD_frontsheet[[#This Row],[Service Area]],PathwayLookup!A:B,2,0)</f>
        <v>Short-term residential/nursing care for someone likely to require a longer-term care home placement (pathway 3)</v>
      </c>
      <c r="C463" t="s">
        <v>195</v>
      </c>
      <c r="D463" t="s">
        <v>731</v>
      </c>
      <c r="E463">
        <v>43</v>
      </c>
      <c r="F463">
        <v>43</v>
      </c>
      <c r="G463">
        <v>43</v>
      </c>
      <c r="H463">
        <v>43</v>
      </c>
      <c r="I463">
        <v>43</v>
      </c>
      <c r="J463">
        <v>43</v>
      </c>
      <c r="K463">
        <v>43</v>
      </c>
      <c r="L463">
        <v>43</v>
      </c>
      <c r="M463">
        <v>43</v>
      </c>
      <c r="N463">
        <v>43</v>
      </c>
      <c r="O463">
        <v>43</v>
      </c>
      <c r="P463">
        <v>43</v>
      </c>
      <c r="R463">
        <v>1</v>
      </c>
      <c r="W463"/>
      <c r="X463"/>
      <c r="Y463"/>
    </row>
    <row r="464" spans="1:25" x14ac:dyDescent="0.3">
      <c r="A464" t="str">
        <f>Table_Capacity_HD_frontsheet[[#This Row],[Name]]&amp;B464</f>
        <v>LambethSocial support (including VCS) (pathway 0)</v>
      </c>
      <c r="B464" t="str">
        <f>VLOOKUP(Table_Capacity_HD_frontsheet[[#This Row],[Service Area]],PathwayLookup!A:B,2,0)</f>
        <v>Social support (including VCS) (pathway 0)</v>
      </c>
      <c r="C464" t="s">
        <v>197</v>
      </c>
      <c r="D464" t="s">
        <v>726</v>
      </c>
      <c r="E464">
        <v>10</v>
      </c>
      <c r="F464">
        <v>10</v>
      </c>
      <c r="G464">
        <v>10</v>
      </c>
      <c r="H464">
        <v>10</v>
      </c>
      <c r="I464">
        <v>10</v>
      </c>
      <c r="J464">
        <v>10</v>
      </c>
      <c r="K464">
        <v>10</v>
      </c>
      <c r="L464">
        <v>10</v>
      </c>
      <c r="M464">
        <v>10</v>
      </c>
      <c r="N464">
        <v>10</v>
      </c>
      <c r="O464">
        <v>10</v>
      </c>
      <c r="P464">
        <v>10</v>
      </c>
      <c r="R464">
        <v>1</v>
      </c>
      <c r="W464"/>
      <c r="X464"/>
      <c r="Y464"/>
    </row>
    <row r="465" spans="1:25" x14ac:dyDescent="0.3">
      <c r="A465" t="str">
        <f>Table_Capacity_HD_frontsheet[[#This Row],[Name]]&amp;B465</f>
        <v>LambethReablement &amp; Rehabilitation at home  (pathway 1)</v>
      </c>
      <c r="B465" t="str">
        <f>VLOOKUP(Table_Capacity_HD_frontsheet[[#This Row],[Service Area]],PathwayLookup!A:B,2,0)</f>
        <v>Reablement &amp; Rehabilitation at home  (pathway 1)</v>
      </c>
      <c r="C465" t="s">
        <v>197</v>
      </c>
      <c r="D465" t="s">
        <v>728</v>
      </c>
      <c r="E465">
        <v>72</v>
      </c>
      <c r="F465">
        <v>65</v>
      </c>
      <c r="G465">
        <v>53</v>
      </c>
      <c r="H465">
        <v>56</v>
      </c>
      <c r="I465">
        <v>69</v>
      </c>
      <c r="J465">
        <v>44</v>
      </c>
      <c r="K465">
        <v>65</v>
      </c>
      <c r="L465">
        <v>47</v>
      </c>
      <c r="M465">
        <v>59</v>
      </c>
      <c r="N465">
        <v>48</v>
      </c>
      <c r="O465">
        <v>53</v>
      </c>
      <c r="P465">
        <v>53</v>
      </c>
      <c r="R465">
        <v>1</v>
      </c>
      <c r="W465"/>
      <c r="X465"/>
      <c r="Y465"/>
    </row>
    <row r="466" spans="1:25" x14ac:dyDescent="0.3">
      <c r="A466" t="str">
        <f>Table_Capacity_HD_frontsheet[[#This Row],[Name]]&amp;B466</f>
        <v>LambethReablement &amp; Rehabilitation at home  (pathway 1)</v>
      </c>
      <c r="B466" t="str">
        <f>VLOOKUP(Table_Capacity_HD_frontsheet[[#This Row],[Service Area]],PathwayLookup!A:B,2,0)</f>
        <v>Reablement &amp; Rehabilitation at home  (pathway 1)</v>
      </c>
      <c r="C466" t="s">
        <v>197</v>
      </c>
      <c r="D466" t="s">
        <v>721</v>
      </c>
      <c r="E466">
        <v>0</v>
      </c>
      <c r="F466">
        <v>0</v>
      </c>
      <c r="G466">
        <v>0</v>
      </c>
      <c r="H466">
        <v>0</v>
      </c>
      <c r="I466">
        <v>0</v>
      </c>
      <c r="J466">
        <v>0</v>
      </c>
      <c r="K466">
        <v>0</v>
      </c>
      <c r="L466">
        <v>0</v>
      </c>
      <c r="M466">
        <v>0</v>
      </c>
      <c r="N466">
        <v>0</v>
      </c>
      <c r="O466">
        <v>0</v>
      </c>
      <c r="P466">
        <v>0</v>
      </c>
      <c r="W466"/>
      <c r="X466"/>
      <c r="Y466"/>
    </row>
    <row r="467" spans="1:25" x14ac:dyDescent="0.3">
      <c r="A467" t="str">
        <f>Table_Capacity_HD_frontsheet[[#This Row],[Name]]&amp;B467</f>
        <v>LambethShort term domiciliary care (pathway 1)</v>
      </c>
      <c r="B467" t="str">
        <f>VLOOKUP(Table_Capacity_HD_frontsheet[[#This Row],[Service Area]],PathwayLookup!A:B,2,0)</f>
        <v>Short term domiciliary care (pathway 1)</v>
      </c>
      <c r="C467" t="s">
        <v>197</v>
      </c>
      <c r="D467" t="s">
        <v>730</v>
      </c>
      <c r="E467">
        <v>0</v>
      </c>
      <c r="F467">
        <v>0</v>
      </c>
      <c r="G467">
        <v>0</v>
      </c>
      <c r="H467">
        <v>0</v>
      </c>
      <c r="I467">
        <v>0</v>
      </c>
      <c r="J467">
        <v>0</v>
      </c>
      <c r="K467">
        <v>0</v>
      </c>
      <c r="L467">
        <v>0</v>
      </c>
      <c r="M467">
        <v>0</v>
      </c>
      <c r="N467">
        <v>0</v>
      </c>
      <c r="O467">
        <v>0</v>
      </c>
      <c r="P467">
        <v>0</v>
      </c>
      <c r="W467"/>
      <c r="X467"/>
      <c r="Y467"/>
    </row>
    <row r="468" spans="1:25" x14ac:dyDescent="0.3">
      <c r="A468" t="str">
        <f>Table_Capacity_HD_frontsheet[[#This Row],[Name]]&amp;B468</f>
        <v>LambethReablement &amp; Rehabilitation in a bedded setting (pathway 2)</v>
      </c>
      <c r="B468" t="str">
        <f>VLOOKUP(Table_Capacity_HD_frontsheet[[#This Row],[Service Area]],PathwayLookup!A:B,2,0)</f>
        <v>Reablement &amp; Rehabilitation in a bedded setting (pathway 2)</v>
      </c>
      <c r="C468" t="s">
        <v>197</v>
      </c>
      <c r="D468" t="s">
        <v>723</v>
      </c>
      <c r="E468">
        <v>0</v>
      </c>
      <c r="F468">
        <v>0</v>
      </c>
      <c r="G468">
        <v>0</v>
      </c>
      <c r="H468">
        <v>0</v>
      </c>
      <c r="I468">
        <v>0</v>
      </c>
      <c r="J468">
        <v>0</v>
      </c>
      <c r="K468">
        <v>0</v>
      </c>
      <c r="L468">
        <v>0</v>
      </c>
      <c r="M468">
        <v>0</v>
      </c>
      <c r="N468">
        <v>0</v>
      </c>
      <c r="O468">
        <v>0</v>
      </c>
      <c r="P468">
        <v>0</v>
      </c>
      <c r="W468"/>
      <c r="X468"/>
      <c r="Y468"/>
    </row>
    <row r="469" spans="1:25" x14ac:dyDescent="0.3">
      <c r="A469" t="str">
        <f>Table_Capacity_HD_frontsheet[[#This Row],[Name]]&amp;B469</f>
        <v>LambethReablement &amp; Rehabilitation in a bedded setting (pathway 2)</v>
      </c>
      <c r="B469" t="str">
        <f>VLOOKUP(Table_Capacity_HD_frontsheet[[#This Row],[Service Area]],PathwayLookup!A:B,2,0)</f>
        <v>Reablement &amp; Rehabilitation in a bedded setting (pathway 2)</v>
      </c>
      <c r="C469" t="s">
        <v>197</v>
      </c>
      <c r="D469" t="s">
        <v>725</v>
      </c>
      <c r="E469">
        <v>3</v>
      </c>
      <c r="F469">
        <v>5</v>
      </c>
      <c r="G469">
        <v>0</v>
      </c>
      <c r="H469">
        <v>2</v>
      </c>
      <c r="I469">
        <v>10.41596940373312</v>
      </c>
      <c r="J469">
        <v>2</v>
      </c>
      <c r="K469">
        <v>7</v>
      </c>
      <c r="L469">
        <v>3</v>
      </c>
      <c r="M469">
        <v>2</v>
      </c>
      <c r="N469">
        <v>3</v>
      </c>
      <c r="O469">
        <v>3</v>
      </c>
      <c r="P469">
        <v>1</v>
      </c>
      <c r="Q469">
        <v>1</v>
      </c>
      <c r="W469"/>
      <c r="X469"/>
      <c r="Y469"/>
    </row>
    <row r="470" spans="1:25" x14ac:dyDescent="0.3">
      <c r="A470" t="str">
        <f>Table_Capacity_HD_frontsheet[[#This Row],[Name]]&amp;B470</f>
        <v>LambethShort-term residential/nursing care for someone likely to require a longer-term care home placement (pathway 3)</v>
      </c>
      <c r="B470" t="str">
        <f>VLOOKUP(Table_Capacity_HD_frontsheet[[#This Row],[Service Area]],PathwayLookup!A:B,2,0)</f>
        <v>Short-term residential/nursing care for someone likely to require a longer-term care home placement (pathway 3)</v>
      </c>
      <c r="C470" t="s">
        <v>197</v>
      </c>
      <c r="D470" t="s">
        <v>731</v>
      </c>
      <c r="E470">
        <v>16</v>
      </c>
      <c r="F470">
        <v>18</v>
      </c>
      <c r="G470">
        <v>17</v>
      </c>
      <c r="H470">
        <v>18</v>
      </c>
      <c r="I470">
        <v>18</v>
      </c>
      <c r="J470">
        <v>16</v>
      </c>
      <c r="K470">
        <v>17</v>
      </c>
      <c r="L470">
        <v>18</v>
      </c>
      <c r="M470">
        <v>16</v>
      </c>
      <c r="N470">
        <v>17</v>
      </c>
      <c r="O470">
        <v>16</v>
      </c>
      <c r="P470">
        <v>17</v>
      </c>
      <c r="R470">
        <v>1</v>
      </c>
      <c r="W470"/>
      <c r="X470"/>
      <c r="Y470"/>
    </row>
    <row r="471" spans="1:25" x14ac:dyDescent="0.3">
      <c r="A471" t="str">
        <f>Table_Capacity_HD_frontsheet[[#This Row],[Name]]&amp;B471</f>
        <v>LancashireSocial support (including VCS) (pathway 0)</v>
      </c>
      <c r="B471" t="str">
        <f>VLOOKUP(Table_Capacity_HD_frontsheet[[#This Row],[Service Area]],PathwayLookup!A:B,2,0)</f>
        <v>Social support (including VCS) (pathway 0)</v>
      </c>
      <c r="C471" t="s">
        <v>199</v>
      </c>
      <c r="D471" t="s">
        <v>726</v>
      </c>
      <c r="E471">
        <v>727</v>
      </c>
      <c r="F471">
        <v>751</v>
      </c>
      <c r="G471">
        <v>727</v>
      </c>
      <c r="H471">
        <v>751</v>
      </c>
      <c r="I471">
        <v>751</v>
      </c>
      <c r="J471">
        <v>727</v>
      </c>
      <c r="K471">
        <v>751</v>
      </c>
      <c r="L471">
        <v>727</v>
      </c>
      <c r="M471">
        <v>751</v>
      </c>
      <c r="N471">
        <v>727</v>
      </c>
      <c r="O471">
        <v>678</v>
      </c>
      <c r="P471">
        <v>751</v>
      </c>
      <c r="R471">
        <v>1</v>
      </c>
      <c r="W471"/>
      <c r="X471"/>
      <c r="Y471"/>
    </row>
    <row r="472" spans="1:25" x14ac:dyDescent="0.3">
      <c r="A472" t="str">
        <f>Table_Capacity_HD_frontsheet[[#This Row],[Name]]&amp;B472</f>
        <v>LancashireReablement &amp; Rehabilitation at home  (pathway 1)</v>
      </c>
      <c r="B472" t="str">
        <f>VLOOKUP(Table_Capacity_HD_frontsheet[[#This Row],[Service Area]],PathwayLookup!A:B,2,0)</f>
        <v>Reablement &amp; Rehabilitation at home  (pathway 1)</v>
      </c>
      <c r="C472" t="s">
        <v>199</v>
      </c>
      <c r="D472" t="s">
        <v>728</v>
      </c>
      <c r="E472">
        <v>927</v>
      </c>
      <c r="F472">
        <v>939</v>
      </c>
      <c r="G472">
        <v>927</v>
      </c>
      <c r="H472">
        <v>939</v>
      </c>
      <c r="I472">
        <v>939</v>
      </c>
      <c r="J472">
        <v>927</v>
      </c>
      <c r="K472">
        <v>939</v>
      </c>
      <c r="L472">
        <v>927</v>
      </c>
      <c r="M472">
        <v>939</v>
      </c>
      <c r="N472">
        <v>939</v>
      </c>
      <c r="O472">
        <v>904</v>
      </c>
      <c r="P472">
        <v>939</v>
      </c>
      <c r="R472">
        <v>1</v>
      </c>
      <c r="W472"/>
      <c r="X472"/>
      <c r="Y472"/>
    </row>
    <row r="473" spans="1:25" x14ac:dyDescent="0.3">
      <c r="A473" t="str">
        <f>Table_Capacity_HD_frontsheet[[#This Row],[Name]]&amp;B473</f>
        <v>LancashireReablement &amp; Rehabilitation at home  (pathway 1)</v>
      </c>
      <c r="B473" t="str">
        <f>VLOOKUP(Table_Capacity_HD_frontsheet[[#This Row],[Service Area]],PathwayLookup!A:B,2,0)</f>
        <v>Reablement &amp; Rehabilitation at home  (pathway 1)</v>
      </c>
      <c r="C473" t="s">
        <v>199</v>
      </c>
      <c r="D473" t="s">
        <v>721</v>
      </c>
      <c r="E473">
        <v>4</v>
      </c>
      <c r="F473">
        <v>4</v>
      </c>
      <c r="G473">
        <v>4</v>
      </c>
      <c r="H473">
        <v>4</v>
      </c>
      <c r="I473">
        <v>4</v>
      </c>
      <c r="J473">
        <v>4</v>
      </c>
      <c r="K473">
        <v>4</v>
      </c>
      <c r="L473">
        <v>4</v>
      </c>
      <c r="M473">
        <v>4</v>
      </c>
      <c r="N473">
        <v>4</v>
      </c>
      <c r="O473">
        <v>4</v>
      </c>
      <c r="P473">
        <v>4</v>
      </c>
      <c r="Q473">
        <v>1</v>
      </c>
      <c r="W473"/>
      <c r="X473"/>
      <c r="Y473"/>
    </row>
    <row r="474" spans="1:25" x14ac:dyDescent="0.3">
      <c r="A474" t="str">
        <f>Table_Capacity_HD_frontsheet[[#This Row],[Name]]&amp;B474</f>
        <v>LancashireShort term domiciliary care (pathway 1)</v>
      </c>
      <c r="B474" t="str">
        <f>VLOOKUP(Table_Capacity_HD_frontsheet[[#This Row],[Service Area]],PathwayLookup!A:B,2,0)</f>
        <v>Short term domiciliary care (pathway 1)</v>
      </c>
      <c r="C474" t="s">
        <v>199</v>
      </c>
      <c r="D474" t="s">
        <v>730</v>
      </c>
      <c r="E474">
        <v>107</v>
      </c>
      <c r="F474">
        <v>107</v>
      </c>
      <c r="G474">
        <v>107</v>
      </c>
      <c r="H474">
        <v>107</v>
      </c>
      <c r="I474">
        <v>107</v>
      </c>
      <c r="J474">
        <v>107</v>
      </c>
      <c r="K474">
        <v>107</v>
      </c>
      <c r="L474">
        <v>107</v>
      </c>
      <c r="M474">
        <v>107</v>
      </c>
      <c r="N474">
        <v>107</v>
      </c>
      <c r="O474">
        <v>107</v>
      </c>
      <c r="P474">
        <v>107</v>
      </c>
      <c r="R474">
        <v>1</v>
      </c>
      <c r="W474"/>
      <c r="X474"/>
      <c r="Y474"/>
    </row>
    <row r="475" spans="1:25" x14ac:dyDescent="0.3">
      <c r="A475" t="str">
        <f>Table_Capacity_HD_frontsheet[[#This Row],[Name]]&amp;B475</f>
        <v>LancashireReablement &amp; Rehabilitation in a bedded setting (pathway 2)</v>
      </c>
      <c r="B475" t="str">
        <f>VLOOKUP(Table_Capacity_HD_frontsheet[[#This Row],[Service Area]],PathwayLookup!A:B,2,0)</f>
        <v>Reablement &amp; Rehabilitation in a bedded setting (pathway 2)</v>
      </c>
      <c r="C475" t="s">
        <v>199</v>
      </c>
      <c r="D475" t="s">
        <v>723</v>
      </c>
      <c r="E475">
        <v>393</v>
      </c>
      <c r="F475">
        <v>397</v>
      </c>
      <c r="G475">
        <v>393</v>
      </c>
      <c r="H475">
        <v>397</v>
      </c>
      <c r="I475">
        <v>397</v>
      </c>
      <c r="J475">
        <v>393</v>
      </c>
      <c r="K475">
        <v>397</v>
      </c>
      <c r="L475">
        <v>393</v>
      </c>
      <c r="M475">
        <v>397</v>
      </c>
      <c r="N475">
        <v>397</v>
      </c>
      <c r="O475">
        <v>384</v>
      </c>
      <c r="P475">
        <v>397</v>
      </c>
      <c r="R475">
        <v>1</v>
      </c>
      <c r="W475"/>
      <c r="X475"/>
      <c r="Y475"/>
    </row>
    <row r="476" spans="1:25" x14ac:dyDescent="0.3">
      <c r="A476" t="str">
        <f>Table_Capacity_HD_frontsheet[[#This Row],[Name]]&amp;B476</f>
        <v>LancashireReablement &amp; Rehabilitation in a bedded setting (pathway 2)</v>
      </c>
      <c r="B476" t="str">
        <f>VLOOKUP(Table_Capacity_HD_frontsheet[[#This Row],[Service Area]],PathwayLookup!A:B,2,0)</f>
        <v>Reablement &amp; Rehabilitation in a bedded setting (pathway 2)</v>
      </c>
      <c r="C476" t="s">
        <v>199</v>
      </c>
      <c r="D476" t="s">
        <v>725</v>
      </c>
      <c r="E476">
        <v>60</v>
      </c>
      <c r="F476">
        <v>60</v>
      </c>
      <c r="G476">
        <v>60</v>
      </c>
      <c r="H476">
        <v>60</v>
      </c>
      <c r="I476">
        <v>60</v>
      </c>
      <c r="J476">
        <v>60</v>
      </c>
      <c r="K476">
        <v>60</v>
      </c>
      <c r="L476">
        <v>60</v>
      </c>
      <c r="M476">
        <v>60</v>
      </c>
      <c r="N476">
        <v>60</v>
      </c>
      <c r="O476">
        <v>60</v>
      </c>
      <c r="P476">
        <v>60</v>
      </c>
      <c r="Q476">
        <v>1</v>
      </c>
      <c r="W476"/>
      <c r="X476"/>
      <c r="Y476"/>
    </row>
    <row r="477" spans="1:25" x14ac:dyDescent="0.3">
      <c r="A477" t="str">
        <f>Table_Capacity_HD_frontsheet[[#This Row],[Name]]&amp;B477</f>
        <v>LancashireShort-term residential/nursing care for someone likely to require a longer-term care home placement (pathway 3)</v>
      </c>
      <c r="B477" t="str">
        <f>VLOOKUP(Table_Capacity_HD_frontsheet[[#This Row],[Service Area]],PathwayLookup!A:B,2,0)</f>
        <v>Short-term residential/nursing care for someone likely to require a longer-term care home placement (pathway 3)</v>
      </c>
      <c r="C477" t="s">
        <v>199</v>
      </c>
      <c r="D477" t="s">
        <v>731</v>
      </c>
      <c r="W477"/>
      <c r="X477"/>
      <c r="Y477"/>
    </row>
    <row r="478" spans="1:25" x14ac:dyDescent="0.3">
      <c r="A478" t="str">
        <f>Table_Capacity_HD_frontsheet[[#This Row],[Name]]&amp;B478</f>
        <v>LeedsSocial support (including VCS) (pathway 0)</v>
      </c>
      <c r="B478" t="str">
        <f>VLOOKUP(Table_Capacity_HD_frontsheet[[#This Row],[Service Area]],PathwayLookup!A:B,2,0)</f>
        <v>Social support (including VCS) (pathway 0)</v>
      </c>
      <c r="C478" t="s">
        <v>201</v>
      </c>
      <c r="D478" t="s">
        <v>726</v>
      </c>
      <c r="E478">
        <v>110</v>
      </c>
      <c r="F478">
        <v>110</v>
      </c>
      <c r="G478">
        <v>110</v>
      </c>
      <c r="H478">
        <v>110</v>
      </c>
      <c r="I478">
        <v>110</v>
      </c>
      <c r="J478">
        <v>110</v>
      </c>
      <c r="K478">
        <v>110</v>
      </c>
      <c r="L478">
        <v>110</v>
      </c>
      <c r="M478">
        <v>110</v>
      </c>
      <c r="N478">
        <v>110</v>
      </c>
      <c r="O478">
        <v>110</v>
      </c>
      <c r="P478">
        <v>110</v>
      </c>
      <c r="Q478" t="s">
        <v>7613</v>
      </c>
      <c r="W478"/>
      <c r="X478"/>
      <c r="Y478"/>
    </row>
    <row r="479" spans="1:25" x14ac:dyDescent="0.3">
      <c r="A479" t="str">
        <f>Table_Capacity_HD_frontsheet[[#This Row],[Name]]&amp;B479</f>
        <v>LeedsReablement &amp; Rehabilitation at home  (pathway 1)</v>
      </c>
      <c r="B479" t="str">
        <f>VLOOKUP(Table_Capacity_HD_frontsheet[[#This Row],[Service Area]],PathwayLookup!A:B,2,0)</f>
        <v>Reablement &amp; Rehabilitation at home  (pathway 1)</v>
      </c>
      <c r="C479" t="s">
        <v>201</v>
      </c>
      <c r="D479" t="s">
        <v>728</v>
      </c>
      <c r="E479">
        <v>74</v>
      </c>
      <c r="F479">
        <v>77</v>
      </c>
      <c r="G479">
        <v>75</v>
      </c>
      <c r="H479">
        <v>78</v>
      </c>
      <c r="I479">
        <v>79</v>
      </c>
      <c r="J479">
        <v>77</v>
      </c>
      <c r="K479">
        <v>81</v>
      </c>
      <c r="L479">
        <v>80</v>
      </c>
      <c r="M479">
        <v>84</v>
      </c>
      <c r="N479">
        <v>87</v>
      </c>
      <c r="O479">
        <v>85</v>
      </c>
      <c r="P479">
        <v>94</v>
      </c>
      <c r="Q479">
        <v>1</v>
      </c>
      <c r="R479">
        <v>0</v>
      </c>
      <c r="S479">
        <v>0</v>
      </c>
      <c r="W479"/>
      <c r="X479"/>
      <c r="Y479"/>
    </row>
    <row r="480" spans="1:25" x14ac:dyDescent="0.3">
      <c r="A480" t="str">
        <f>Table_Capacity_HD_frontsheet[[#This Row],[Name]]&amp;B480</f>
        <v>LeedsReablement &amp; Rehabilitation at home  (pathway 1)</v>
      </c>
      <c r="B480" t="str">
        <f>VLOOKUP(Table_Capacity_HD_frontsheet[[#This Row],[Service Area]],PathwayLookup!A:B,2,0)</f>
        <v>Reablement &amp; Rehabilitation at home  (pathway 1)</v>
      </c>
      <c r="C480" t="s">
        <v>201</v>
      </c>
      <c r="D480" t="s">
        <v>721</v>
      </c>
      <c r="E480">
        <v>500</v>
      </c>
      <c r="F480">
        <v>503</v>
      </c>
      <c r="G480">
        <v>506</v>
      </c>
      <c r="H480">
        <v>503</v>
      </c>
      <c r="I480">
        <v>504</v>
      </c>
      <c r="J480">
        <v>510</v>
      </c>
      <c r="K480">
        <v>507</v>
      </c>
      <c r="L480">
        <v>515</v>
      </c>
      <c r="M480">
        <v>507</v>
      </c>
      <c r="N480">
        <v>509</v>
      </c>
      <c r="O480">
        <v>511</v>
      </c>
      <c r="P480">
        <v>525</v>
      </c>
      <c r="Q480">
        <v>0</v>
      </c>
      <c r="R480">
        <v>1</v>
      </c>
      <c r="S480">
        <v>0</v>
      </c>
      <c r="W480"/>
      <c r="X480"/>
      <c r="Y480"/>
    </row>
    <row r="481" spans="1:25" x14ac:dyDescent="0.3">
      <c r="A481" t="str">
        <f>Table_Capacity_HD_frontsheet[[#This Row],[Name]]&amp;B481</f>
        <v>LeedsShort term domiciliary care (pathway 1)</v>
      </c>
      <c r="B481" t="str">
        <f>VLOOKUP(Table_Capacity_HD_frontsheet[[#This Row],[Service Area]],PathwayLookup!A:B,2,0)</f>
        <v>Short term domiciliary care (pathway 1)</v>
      </c>
      <c r="C481" t="s">
        <v>201</v>
      </c>
      <c r="D481" t="s">
        <v>730</v>
      </c>
      <c r="E481">
        <v>27</v>
      </c>
      <c r="F481">
        <v>22</v>
      </c>
      <c r="G481">
        <v>26</v>
      </c>
      <c r="H481">
        <v>22</v>
      </c>
      <c r="I481">
        <v>21</v>
      </c>
      <c r="J481">
        <v>24</v>
      </c>
      <c r="K481">
        <v>18</v>
      </c>
      <c r="L481">
        <v>21</v>
      </c>
      <c r="M481">
        <v>15</v>
      </c>
      <c r="N481">
        <v>12</v>
      </c>
      <c r="O481">
        <v>17</v>
      </c>
      <c r="P481">
        <v>6</v>
      </c>
      <c r="Q481">
        <v>0</v>
      </c>
      <c r="R481">
        <v>1</v>
      </c>
      <c r="S481">
        <v>0</v>
      </c>
      <c r="W481"/>
      <c r="X481"/>
      <c r="Y481"/>
    </row>
    <row r="482" spans="1:25" x14ac:dyDescent="0.3">
      <c r="A482" t="str">
        <f>Table_Capacity_HD_frontsheet[[#This Row],[Name]]&amp;B482</f>
        <v>LeedsReablement &amp; Rehabilitation in a bedded setting (pathway 2)</v>
      </c>
      <c r="B482" t="str">
        <f>VLOOKUP(Table_Capacity_HD_frontsheet[[#This Row],[Service Area]],PathwayLookup!A:B,2,0)</f>
        <v>Reablement &amp; Rehabilitation in a bedded setting (pathway 2)</v>
      </c>
      <c r="C482" t="s">
        <v>201</v>
      </c>
      <c r="D482" t="s">
        <v>723</v>
      </c>
      <c r="E482">
        <v>0</v>
      </c>
      <c r="F482">
        <v>0</v>
      </c>
      <c r="G482">
        <v>0</v>
      </c>
      <c r="H482">
        <v>0</v>
      </c>
      <c r="I482">
        <v>0</v>
      </c>
      <c r="J482">
        <v>0</v>
      </c>
      <c r="L482">
        <v>0</v>
      </c>
      <c r="M482">
        <v>0</v>
      </c>
      <c r="N482">
        <v>0</v>
      </c>
      <c r="O482">
        <v>0</v>
      </c>
      <c r="P482">
        <v>0</v>
      </c>
      <c r="Q482">
        <v>0</v>
      </c>
      <c r="R482">
        <v>0</v>
      </c>
      <c r="S482">
        <v>0</v>
      </c>
      <c r="W482"/>
      <c r="X482"/>
      <c r="Y482"/>
    </row>
    <row r="483" spans="1:25" x14ac:dyDescent="0.3">
      <c r="A483" t="str">
        <f>Table_Capacity_HD_frontsheet[[#This Row],[Name]]&amp;B483</f>
        <v>LeedsReablement &amp; Rehabilitation in a bedded setting (pathway 2)</v>
      </c>
      <c r="B483" t="str">
        <f>VLOOKUP(Table_Capacity_HD_frontsheet[[#This Row],[Service Area]],PathwayLookup!A:B,2,0)</f>
        <v>Reablement &amp; Rehabilitation in a bedded setting (pathway 2)</v>
      </c>
      <c r="C483" t="s">
        <v>201</v>
      </c>
      <c r="D483" t="s">
        <v>725</v>
      </c>
      <c r="E483">
        <v>169</v>
      </c>
      <c r="F483">
        <v>173</v>
      </c>
      <c r="G483">
        <v>166</v>
      </c>
      <c r="H483">
        <v>171</v>
      </c>
      <c r="I483">
        <v>171</v>
      </c>
      <c r="J483">
        <v>163</v>
      </c>
      <c r="K483">
        <v>167</v>
      </c>
      <c r="L483">
        <v>160</v>
      </c>
      <c r="M483">
        <v>184</v>
      </c>
      <c r="N483">
        <v>182</v>
      </c>
      <c r="O483">
        <v>169</v>
      </c>
      <c r="P483">
        <v>155</v>
      </c>
      <c r="Q483">
        <v>1</v>
      </c>
      <c r="S483">
        <v>0</v>
      </c>
      <c r="W483"/>
      <c r="X483"/>
      <c r="Y483"/>
    </row>
    <row r="484" spans="1:25" x14ac:dyDescent="0.3">
      <c r="A484" t="str">
        <f>Table_Capacity_HD_frontsheet[[#This Row],[Name]]&amp;B484</f>
        <v>LeedsShort-term residential/nursing care for someone likely to require a longer-term care home placement (pathway 3)</v>
      </c>
      <c r="B484" t="str">
        <f>VLOOKUP(Table_Capacity_HD_frontsheet[[#This Row],[Service Area]],PathwayLookup!A:B,2,0)</f>
        <v>Short-term residential/nursing care for someone likely to require a longer-term care home placement (pathway 3)</v>
      </c>
      <c r="C484" t="s">
        <v>201</v>
      </c>
      <c r="D484" t="s">
        <v>731</v>
      </c>
      <c r="E484">
        <v>82</v>
      </c>
      <c r="F484">
        <v>82</v>
      </c>
      <c r="G484">
        <v>82</v>
      </c>
      <c r="H484">
        <v>82</v>
      </c>
      <c r="I484">
        <v>81</v>
      </c>
      <c r="J484">
        <v>81</v>
      </c>
      <c r="K484">
        <v>80</v>
      </c>
      <c r="L484">
        <v>79</v>
      </c>
      <c r="M484">
        <v>78</v>
      </c>
      <c r="N484">
        <v>76</v>
      </c>
      <c r="O484">
        <v>74</v>
      </c>
      <c r="P484">
        <v>73</v>
      </c>
      <c r="Q484">
        <v>0.5</v>
      </c>
      <c r="R484">
        <v>0.5</v>
      </c>
      <c r="S484">
        <v>1</v>
      </c>
      <c r="W484"/>
      <c r="X484"/>
      <c r="Y484"/>
    </row>
    <row r="485" spans="1:25" x14ac:dyDescent="0.3">
      <c r="A485" t="str">
        <f>Table_Capacity_HD_frontsheet[[#This Row],[Name]]&amp;B485</f>
        <v>LeicesterSocial support (including VCS) (pathway 0)</v>
      </c>
      <c r="B485" t="str">
        <f>VLOOKUP(Table_Capacity_HD_frontsheet[[#This Row],[Service Area]],PathwayLookup!A:B,2,0)</f>
        <v>Social support (including VCS) (pathway 0)</v>
      </c>
      <c r="C485" t="s">
        <v>203</v>
      </c>
      <c r="D485" t="s">
        <v>726</v>
      </c>
      <c r="E485">
        <v>56</v>
      </c>
      <c r="F485">
        <v>56</v>
      </c>
      <c r="G485">
        <v>56</v>
      </c>
      <c r="H485">
        <v>56</v>
      </c>
      <c r="I485">
        <v>56</v>
      </c>
      <c r="J485">
        <v>56</v>
      </c>
      <c r="K485">
        <v>56</v>
      </c>
      <c r="L485">
        <v>56</v>
      </c>
      <c r="M485">
        <v>56</v>
      </c>
      <c r="N485">
        <v>56</v>
      </c>
      <c r="O485">
        <v>56</v>
      </c>
      <c r="P485">
        <v>56</v>
      </c>
      <c r="S485">
        <v>1</v>
      </c>
      <c r="W485"/>
      <c r="X485"/>
      <c r="Y485"/>
    </row>
    <row r="486" spans="1:25" x14ac:dyDescent="0.3">
      <c r="A486" t="str">
        <f>Table_Capacity_HD_frontsheet[[#This Row],[Name]]&amp;B486</f>
        <v>LeicesterReablement &amp; Rehabilitation at home  (pathway 1)</v>
      </c>
      <c r="B486" t="str">
        <f>VLOOKUP(Table_Capacity_HD_frontsheet[[#This Row],[Service Area]],PathwayLookup!A:B,2,0)</f>
        <v>Reablement &amp; Rehabilitation at home  (pathway 1)</v>
      </c>
      <c r="C486" t="s">
        <v>203</v>
      </c>
      <c r="D486" t="s">
        <v>728</v>
      </c>
      <c r="E486">
        <v>104</v>
      </c>
      <c r="F486">
        <v>104</v>
      </c>
      <c r="G486">
        <v>104</v>
      </c>
      <c r="H486">
        <v>104</v>
      </c>
      <c r="I486">
        <v>104</v>
      </c>
      <c r="J486">
        <v>104</v>
      </c>
      <c r="K486">
        <v>104</v>
      </c>
      <c r="L486">
        <v>120</v>
      </c>
      <c r="M486">
        <v>120</v>
      </c>
      <c r="N486">
        <v>120</v>
      </c>
      <c r="O486">
        <v>120</v>
      </c>
      <c r="P486">
        <v>120</v>
      </c>
      <c r="R486">
        <v>1</v>
      </c>
      <c r="W486"/>
      <c r="X486"/>
      <c r="Y486"/>
    </row>
    <row r="487" spans="1:25" x14ac:dyDescent="0.3">
      <c r="A487" t="str">
        <f>Table_Capacity_HD_frontsheet[[#This Row],[Name]]&amp;B487</f>
        <v>LeicesterReablement &amp; Rehabilitation at home  (pathway 1)</v>
      </c>
      <c r="B487" t="str">
        <f>VLOOKUP(Table_Capacity_HD_frontsheet[[#This Row],[Service Area]],PathwayLookup!A:B,2,0)</f>
        <v>Reablement &amp; Rehabilitation at home  (pathway 1)</v>
      </c>
      <c r="C487" t="s">
        <v>203</v>
      </c>
      <c r="D487" t="s">
        <v>721</v>
      </c>
      <c r="E487">
        <v>153</v>
      </c>
      <c r="F487">
        <v>157</v>
      </c>
      <c r="G487">
        <v>154</v>
      </c>
      <c r="H487">
        <v>166</v>
      </c>
      <c r="I487">
        <v>158</v>
      </c>
      <c r="J487">
        <v>149</v>
      </c>
      <c r="K487">
        <v>156</v>
      </c>
      <c r="L487">
        <v>172</v>
      </c>
      <c r="M487">
        <v>168</v>
      </c>
      <c r="N487">
        <v>184</v>
      </c>
      <c r="O487">
        <v>171</v>
      </c>
      <c r="P487">
        <v>157</v>
      </c>
      <c r="Q487">
        <v>1</v>
      </c>
      <c r="W487"/>
      <c r="X487"/>
      <c r="Y487"/>
    </row>
    <row r="488" spans="1:25" x14ac:dyDescent="0.3">
      <c r="A488" t="str">
        <f>Table_Capacity_HD_frontsheet[[#This Row],[Name]]&amp;B488</f>
        <v>LeicesterShort term domiciliary care (pathway 1)</v>
      </c>
      <c r="B488" t="str">
        <f>VLOOKUP(Table_Capacity_HD_frontsheet[[#This Row],[Service Area]],PathwayLookup!A:B,2,0)</f>
        <v>Short term domiciliary care (pathway 1)</v>
      </c>
      <c r="C488" t="s">
        <v>203</v>
      </c>
      <c r="D488" t="s">
        <v>730</v>
      </c>
      <c r="E488">
        <v>0</v>
      </c>
      <c r="F488">
        <v>0</v>
      </c>
      <c r="G488">
        <v>0</v>
      </c>
      <c r="H488">
        <v>0</v>
      </c>
      <c r="I488">
        <v>0</v>
      </c>
      <c r="J488">
        <v>0</v>
      </c>
      <c r="K488">
        <v>0</v>
      </c>
      <c r="L488">
        <v>0</v>
      </c>
      <c r="M488">
        <v>0</v>
      </c>
      <c r="N488">
        <v>0</v>
      </c>
      <c r="O488">
        <v>0</v>
      </c>
      <c r="P488">
        <v>0</v>
      </c>
      <c r="R488">
        <v>1</v>
      </c>
      <c r="W488"/>
      <c r="X488"/>
      <c r="Y488"/>
    </row>
    <row r="489" spans="1:25" x14ac:dyDescent="0.3">
      <c r="A489" t="str">
        <f>Table_Capacity_HD_frontsheet[[#This Row],[Name]]&amp;B489</f>
        <v>LeicesterReablement &amp; Rehabilitation in a bedded setting (pathway 2)</v>
      </c>
      <c r="B489" t="str">
        <f>VLOOKUP(Table_Capacity_HD_frontsheet[[#This Row],[Service Area]],PathwayLookup!A:B,2,0)</f>
        <v>Reablement &amp; Rehabilitation in a bedded setting (pathway 2)</v>
      </c>
      <c r="C489" t="s">
        <v>203</v>
      </c>
      <c r="D489" t="s">
        <v>723</v>
      </c>
      <c r="E489">
        <v>4</v>
      </c>
      <c r="F489">
        <v>4</v>
      </c>
      <c r="G489">
        <v>4</v>
      </c>
      <c r="H489">
        <v>4</v>
      </c>
      <c r="I489">
        <v>4</v>
      </c>
      <c r="J489">
        <v>4</v>
      </c>
      <c r="K489">
        <v>4</v>
      </c>
      <c r="L489">
        <v>4</v>
      </c>
      <c r="M489">
        <v>4</v>
      </c>
      <c r="N489">
        <v>4</v>
      </c>
      <c r="O489">
        <v>4</v>
      </c>
      <c r="P489">
        <v>4</v>
      </c>
      <c r="S489">
        <v>1</v>
      </c>
      <c r="W489"/>
      <c r="X489"/>
      <c r="Y489"/>
    </row>
    <row r="490" spans="1:25" x14ac:dyDescent="0.3">
      <c r="A490" t="str">
        <f>Table_Capacity_HD_frontsheet[[#This Row],[Name]]&amp;B490</f>
        <v>LeicesterReablement &amp; Rehabilitation in a bedded setting (pathway 2)</v>
      </c>
      <c r="B490" t="str">
        <f>VLOOKUP(Table_Capacity_HD_frontsheet[[#This Row],[Service Area]],PathwayLookup!A:B,2,0)</f>
        <v>Reablement &amp; Rehabilitation in a bedded setting (pathway 2)</v>
      </c>
      <c r="C490" t="s">
        <v>203</v>
      </c>
      <c r="D490" t="s">
        <v>725</v>
      </c>
      <c r="E490">
        <v>91</v>
      </c>
      <c r="F490">
        <v>91</v>
      </c>
      <c r="G490">
        <v>94</v>
      </c>
      <c r="H490">
        <v>100</v>
      </c>
      <c r="I490">
        <v>98</v>
      </c>
      <c r="J490">
        <v>117</v>
      </c>
      <c r="K490">
        <v>112</v>
      </c>
      <c r="L490">
        <v>120</v>
      </c>
      <c r="M490">
        <v>121</v>
      </c>
      <c r="N490">
        <v>100</v>
      </c>
      <c r="O490">
        <v>116</v>
      </c>
      <c r="P490">
        <v>0</v>
      </c>
      <c r="Q490">
        <v>1</v>
      </c>
      <c r="W490"/>
      <c r="X490"/>
      <c r="Y490"/>
    </row>
    <row r="491" spans="1:25" x14ac:dyDescent="0.3">
      <c r="A491" t="str">
        <f>Table_Capacity_HD_frontsheet[[#This Row],[Name]]&amp;B491</f>
        <v>LeicesterShort-term residential/nursing care for someone likely to require a longer-term care home placement (pathway 3)</v>
      </c>
      <c r="B491" t="str">
        <f>VLOOKUP(Table_Capacity_HD_frontsheet[[#This Row],[Service Area]],PathwayLookup!A:B,2,0)</f>
        <v>Short-term residential/nursing care for someone likely to require a longer-term care home placement (pathway 3)</v>
      </c>
      <c r="C491" t="s">
        <v>203</v>
      </c>
      <c r="D491" t="s">
        <v>731</v>
      </c>
      <c r="E491">
        <v>6</v>
      </c>
      <c r="F491">
        <v>8</v>
      </c>
      <c r="G491">
        <v>7</v>
      </c>
      <c r="H491">
        <v>6</v>
      </c>
      <c r="I491">
        <v>8</v>
      </c>
      <c r="J491">
        <v>6</v>
      </c>
      <c r="K491">
        <v>6</v>
      </c>
      <c r="L491">
        <v>8</v>
      </c>
      <c r="M491">
        <v>9</v>
      </c>
      <c r="N491">
        <v>7</v>
      </c>
      <c r="O491">
        <v>6</v>
      </c>
      <c r="P491">
        <v>8</v>
      </c>
      <c r="S491">
        <v>1</v>
      </c>
      <c r="W491"/>
      <c r="X491"/>
      <c r="Y491"/>
    </row>
    <row r="492" spans="1:25" x14ac:dyDescent="0.3">
      <c r="A492" t="str">
        <f>Table_Capacity_HD_frontsheet[[#This Row],[Name]]&amp;B492</f>
        <v>LeicestershireSocial support (including VCS) (pathway 0)</v>
      </c>
      <c r="B492" t="str">
        <f>VLOOKUP(Table_Capacity_HD_frontsheet[[#This Row],[Service Area]],PathwayLookup!A:B,2,0)</f>
        <v>Social support (including VCS) (pathway 0)</v>
      </c>
      <c r="C492" t="s">
        <v>205</v>
      </c>
      <c r="D492" t="s">
        <v>726</v>
      </c>
      <c r="E492">
        <v>22</v>
      </c>
      <c r="F492">
        <v>63</v>
      </c>
      <c r="G492">
        <v>41</v>
      </c>
      <c r="H492">
        <v>49</v>
      </c>
      <c r="I492">
        <v>30</v>
      </c>
      <c r="J492">
        <v>35</v>
      </c>
      <c r="K492">
        <v>50</v>
      </c>
      <c r="L492">
        <v>68</v>
      </c>
      <c r="M492">
        <v>77</v>
      </c>
      <c r="N492">
        <v>94</v>
      </c>
      <c r="O492">
        <v>84</v>
      </c>
      <c r="P492">
        <v>56</v>
      </c>
      <c r="S492">
        <v>1</v>
      </c>
      <c r="W492"/>
      <c r="X492"/>
      <c r="Y492"/>
    </row>
    <row r="493" spans="1:25" x14ac:dyDescent="0.3">
      <c r="A493" t="str">
        <f>Table_Capacity_HD_frontsheet[[#This Row],[Name]]&amp;B493</f>
        <v>LeicestershireReablement &amp; Rehabilitation at home  (pathway 1)</v>
      </c>
      <c r="B493" t="str">
        <f>VLOOKUP(Table_Capacity_HD_frontsheet[[#This Row],[Service Area]],PathwayLookup!A:B,2,0)</f>
        <v>Reablement &amp; Rehabilitation at home  (pathway 1)</v>
      </c>
      <c r="C493" t="s">
        <v>205</v>
      </c>
      <c r="D493" t="s">
        <v>728</v>
      </c>
      <c r="E493">
        <v>230</v>
      </c>
      <c r="F493">
        <v>235</v>
      </c>
      <c r="G493">
        <v>221</v>
      </c>
      <c r="H493">
        <v>230</v>
      </c>
      <c r="I493">
        <v>212</v>
      </c>
      <c r="J493">
        <v>218</v>
      </c>
      <c r="K493">
        <v>257</v>
      </c>
      <c r="L493">
        <v>251</v>
      </c>
      <c r="M493">
        <v>249</v>
      </c>
      <c r="N493">
        <v>257</v>
      </c>
      <c r="O493">
        <v>233</v>
      </c>
      <c r="P493">
        <v>272</v>
      </c>
      <c r="R493">
        <v>1</v>
      </c>
      <c r="W493"/>
      <c r="X493"/>
      <c r="Y493"/>
    </row>
    <row r="494" spans="1:25" x14ac:dyDescent="0.3">
      <c r="A494" t="str">
        <f>Table_Capacity_HD_frontsheet[[#This Row],[Name]]&amp;B494</f>
        <v>LeicestershireReablement &amp; Rehabilitation at home  (pathway 1)</v>
      </c>
      <c r="B494" t="str">
        <f>VLOOKUP(Table_Capacity_HD_frontsheet[[#This Row],[Service Area]],PathwayLookup!A:B,2,0)</f>
        <v>Reablement &amp; Rehabilitation at home  (pathway 1)</v>
      </c>
      <c r="C494" t="s">
        <v>205</v>
      </c>
      <c r="D494" t="s">
        <v>721</v>
      </c>
      <c r="E494">
        <v>438</v>
      </c>
      <c r="F494">
        <v>458</v>
      </c>
      <c r="G494">
        <v>432</v>
      </c>
      <c r="H494">
        <v>478</v>
      </c>
      <c r="I494">
        <v>459</v>
      </c>
      <c r="J494">
        <v>424</v>
      </c>
      <c r="K494">
        <v>443</v>
      </c>
      <c r="L494">
        <v>485</v>
      </c>
      <c r="M494">
        <v>462</v>
      </c>
      <c r="N494">
        <v>516</v>
      </c>
      <c r="O494">
        <v>490</v>
      </c>
      <c r="P494">
        <v>446</v>
      </c>
      <c r="Q494">
        <v>1</v>
      </c>
      <c r="W494"/>
      <c r="X494"/>
      <c r="Y494"/>
    </row>
    <row r="495" spans="1:25" x14ac:dyDescent="0.3">
      <c r="A495" t="str">
        <f>Table_Capacity_HD_frontsheet[[#This Row],[Name]]&amp;B495</f>
        <v>LeicestershireShort term domiciliary care (pathway 1)</v>
      </c>
      <c r="B495" t="str">
        <f>VLOOKUP(Table_Capacity_HD_frontsheet[[#This Row],[Service Area]],PathwayLookup!A:B,2,0)</f>
        <v>Short term domiciliary care (pathway 1)</v>
      </c>
      <c r="C495" t="s">
        <v>205</v>
      </c>
      <c r="D495" t="s">
        <v>730</v>
      </c>
      <c r="E495">
        <v>85</v>
      </c>
      <c r="F495">
        <v>124</v>
      </c>
      <c r="G495">
        <v>98</v>
      </c>
      <c r="H495">
        <v>106</v>
      </c>
      <c r="I495">
        <v>137</v>
      </c>
      <c r="J495">
        <v>100</v>
      </c>
      <c r="K495">
        <v>130</v>
      </c>
      <c r="L495">
        <v>110</v>
      </c>
      <c r="M495">
        <v>101</v>
      </c>
      <c r="N495">
        <v>136</v>
      </c>
      <c r="O495">
        <v>123</v>
      </c>
      <c r="P495">
        <v>150</v>
      </c>
      <c r="R495">
        <v>1</v>
      </c>
      <c r="W495"/>
      <c r="X495"/>
      <c r="Y495"/>
    </row>
    <row r="496" spans="1:25" x14ac:dyDescent="0.3">
      <c r="A496" t="str">
        <f>Table_Capacity_HD_frontsheet[[#This Row],[Name]]&amp;B496</f>
        <v>LeicestershireReablement &amp; Rehabilitation in a bedded setting (pathway 2)</v>
      </c>
      <c r="B496" t="str">
        <f>VLOOKUP(Table_Capacity_HD_frontsheet[[#This Row],[Service Area]],PathwayLookup!A:B,2,0)</f>
        <v>Reablement &amp; Rehabilitation in a bedded setting (pathway 2)</v>
      </c>
      <c r="C496" t="s">
        <v>205</v>
      </c>
      <c r="D496" t="s">
        <v>723</v>
      </c>
      <c r="E496">
        <v>190</v>
      </c>
      <c r="F496">
        <v>158</v>
      </c>
      <c r="G496">
        <v>168</v>
      </c>
      <c r="H496">
        <v>178</v>
      </c>
      <c r="I496">
        <v>163</v>
      </c>
      <c r="J496">
        <v>163</v>
      </c>
      <c r="K496">
        <v>159</v>
      </c>
      <c r="L496">
        <v>144</v>
      </c>
      <c r="M496">
        <v>133</v>
      </c>
      <c r="N496">
        <v>127</v>
      </c>
      <c r="O496">
        <v>120</v>
      </c>
      <c r="P496">
        <v>113</v>
      </c>
      <c r="S496">
        <v>1</v>
      </c>
      <c r="W496"/>
      <c r="X496"/>
      <c r="Y496"/>
    </row>
    <row r="497" spans="1:25" x14ac:dyDescent="0.3">
      <c r="A497" t="str">
        <f>Table_Capacity_HD_frontsheet[[#This Row],[Name]]&amp;B497</f>
        <v>LeicestershireReablement &amp; Rehabilitation in a bedded setting (pathway 2)</v>
      </c>
      <c r="B497" t="str">
        <f>VLOOKUP(Table_Capacity_HD_frontsheet[[#This Row],[Service Area]],PathwayLookup!A:B,2,0)</f>
        <v>Reablement &amp; Rehabilitation in a bedded setting (pathway 2)</v>
      </c>
      <c r="C497" t="s">
        <v>205</v>
      </c>
      <c r="D497" t="s">
        <v>725</v>
      </c>
      <c r="E497">
        <v>146</v>
      </c>
      <c r="F497">
        <v>146</v>
      </c>
      <c r="G497">
        <v>149</v>
      </c>
      <c r="H497">
        <v>160</v>
      </c>
      <c r="I497">
        <v>164</v>
      </c>
      <c r="J497">
        <v>157</v>
      </c>
      <c r="K497">
        <v>187</v>
      </c>
      <c r="L497">
        <v>179</v>
      </c>
      <c r="M497">
        <v>192</v>
      </c>
      <c r="N497">
        <v>193</v>
      </c>
      <c r="O497">
        <v>159</v>
      </c>
      <c r="P497">
        <v>185</v>
      </c>
      <c r="Q497">
        <v>1</v>
      </c>
      <c r="W497"/>
      <c r="X497"/>
      <c r="Y497"/>
    </row>
    <row r="498" spans="1:25" x14ac:dyDescent="0.3">
      <c r="A498" t="str">
        <f>Table_Capacity_HD_frontsheet[[#This Row],[Name]]&amp;B498</f>
        <v>LeicestershireShort-term residential/nursing care for someone likely to require a longer-term care home placement (pathway 3)</v>
      </c>
      <c r="B498" t="str">
        <f>VLOOKUP(Table_Capacity_HD_frontsheet[[#This Row],[Service Area]],PathwayLookup!A:B,2,0)</f>
        <v>Short-term residential/nursing care for someone likely to require a longer-term care home placement (pathway 3)</v>
      </c>
      <c r="C498" t="s">
        <v>205</v>
      </c>
      <c r="D498" t="s">
        <v>731</v>
      </c>
      <c r="E498">
        <v>9</v>
      </c>
      <c r="F498">
        <v>13</v>
      </c>
      <c r="G498">
        <v>11</v>
      </c>
      <c r="H498">
        <v>9</v>
      </c>
      <c r="I498">
        <v>13</v>
      </c>
      <c r="J498">
        <v>9</v>
      </c>
      <c r="K498">
        <v>10</v>
      </c>
      <c r="L498">
        <v>13</v>
      </c>
      <c r="M498">
        <v>14</v>
      </c>
      <c r="N498">
        <v>11</v>
      </c>
      <c r="O498">
        <v>10</v>
      </c>
      <c r="P498">
        <v>12</v>
      </c>
      <c r="S498">
        <v>1</v>
      </c>
      <c r="W498"/>
      <c r="X498"/>
      <c r="Y498"/>
    </row>
    <row r="499" spans="1:25" x14ac:dyDescent="0.3">
      <c r="A499" t="str">
        <f>Table_Capacity_HD_frontsheet[[#This Row],[Name]]&amp;B499</f>
        <v>LewishamSocial support (including VCS) (pathway 0)</v>
      </c>
      <c r="B499" t="str">
        <f>VLOOKUP(Table_Capacity_HD_frontsheet[[#This Row],[Service Area]],PathwayLookup!A:B,2,0)</f>
        <v>Social support (including VCS) (pathway 0)</v>
      </c>
      <c r="C499" t="s">
        <v>207</v>
      </c>
      <c r="D499" t="s">
        <v>726</v>
      </c>
      <c r="E499">
        <v>60</v>
      </c>
      <c r="F499">
        <v>60</v>
      </c>
      <c r="G499">
        <v>60</v>
      </c>
      <c r="H499">
        <v>60</v>
      </c>
      <c r="I499">
        <v>60</v>
      </c>
      <c r="J499">
        <v>60</v>
      </c>
      <c r="K499">
        <v>60</v>
      </c>
      <c r="L499">
        <v>60</v>
      </c>
      <c r="M499">
        <v>60</v>
      </c>
      <c r="N499">
        <v>60</v>
      </c>
      <c r="O499">
        <v>60</v>
      </c>
      <c r="P499">
        <v>60</v>
      </c>
      <c r="Q499">
        <v>1</v>
      </c>
      <c r="W499"/>
      <c r="X499"/>
      <c r="Y499"/>
    </row>
    <row r="500" spans="1:25" x14ac:dyDescent="0.3">
      <c r="A500" t="str">
        <f>Table_Capacity_HD_frontsheet[[#This Row],[Name]]&amp;B500</f>
        <v>LewishamReablement &amp; Rehabilitation at home  (pathway 1)</v>
      </c>
      <c r="B500" t="str">
        <f>VLOOKUP(Table_Capacity_HD_frontsheet[[#This Row],[Service Area]],PathwayLookup!A:B,2,0)</f>
        <v>Reablement &amp; Rehabilitation at home  (pathway 1)</v>
      </c>
      <c r="C500" t="s">
        <v>207</v>
      </c>
      <c r="D500" t="s">
        <v>728</v>
      </c>
      <c r="E500">
        <v>500</v>
      </c>
      <c r="F500">
        <v>500</v>
      </c>
      <c r="G500">
        <v>500</v>
      </c>
      <c r="H500">
        <v>500</v>
      </c>
      <c r="I500">
        <v>500</v>
      </c>
      <c r="J500">
        <v>500</v>
      </c>
      <c r="K500">
        <v>500</v>
      </c>
      <c r="L500">
        <v>500</v>
      </c>
      <c r="M500">
        <v>500</v>
      </c>
      <c r="N500">
        <v>500</v>
      </c>
      <c r="O500">
        <v>500</v>
      </c>
      <c r="P500">
        <v>500</v>
      </c>
      <c r="Q500">
        <v>0.3</v>
      </c>
      <c r="R500">
        <v>0.7</v>
      </c>
      <c r="S500">
        <v>1</v>
      </c>
      <c r="W500"/>
      <c r="X500"/>
      <c r="Y500"/>
    </row>
    <row r="501" spans="1:25" x14ac:dyDescent="0.3">
      <c r="A501" t="str">
        <f>Table_Capacity_HD_frontsheet[[#This Row],[Name]]&amp;B501</f>
        <v>LewishamReablement &amp; Rehabilitation at home  (pathway 1)</v>
      </c>
      <c r="B501" t="str">
        <f>VLOOKUP(Table_Capacity_HD_frontsheet[[#This Row],[Service Area]],PathwayLookup!A:B,2,0)</f>
        <v>Reablement &amp; Rehabilitation at home  (pathway 1)</v>
      </c>
      <c r="C501" t="s">
        <v>207</v>
      </c>
      <c r="D501" t="s">
        <v>721</v>
      </c>
      <c r="W501"/>
      <c r="X501"/>
      <c r="Y501"/>
    </row>
    <row r="502" spans="1:25" x14ac:dyDescent="0.3">
      <c r="A502" t="str">
        <f>Table_Capacity_HD_frontsheet[[#This Row],[Name]]&amp;B502</f>
        <v>LewishamShort term domiciliary care (pathway 1)</v>
      </c>
      <c r="B502" t="str">
        <f>VLOOKUP(Table_Capacity_HD_frontsheet[[#This Row],[Service Area]],PathwayLookup!A:B,2,0)</f>
        <v>Short term domiciliary care (pathway 1)</v>
      </c>
      <c r="C502" t="s">
        <v>207</v>
      </c>
      <c r="D502" t="s">
        <v>730</v>
      </c>
      <c r="W502"/>
      <c r="X502"/>
      <c r="Y502"/>
    </row>
    <row r="503" spans="1:25" x14ac:dyDescent="0.3">
      <c r="A503" t="str">
        <f>Table_Capacity_HD_frontsheet[[#This Row],[Name]]&amp;B503</f>
        <v>LewishamReablement &amp; Rehabilitation in a bedded setting (pathway 2)</v>
      </c>
      <c r="B503" t="str">
        <f>VLOOKUP(Table_Capacity_HD_frontsheet[[#This Row],[Service Area]],PathwayLookup!A:B,2,0)</f>
        <v>Reablement &amp; Rehabilitation in a bedded setting (pathway 2)</v>
      </c>
      <c r="C503" t="s">
        <v>207</v>
      </c>
      <c r="D503" t="s">
        <v>723</v>
      </c>
      <c r="W503"/>
      <c r="X503"/>
      <c r="Y503"/>
    </row>
    <row r="504" spans="1:25" x14ac:dyDescent="0.3">
      <c r="A504" t="str">
        <f>Table_Capacity_HD_frontsheet[[#This Row],[Name]]&amp;B504</f>
        <v>LewishamReablement &amp; Rehabilitation in a bedded setting (pathway 2)</v>
      </c>
      <c r="B504" t="str">
        <f>VLOOKUP(Table_Capacity_HD_frontsheet[[#This Row],[Service Area]],PathwayLookup!A:B,2,0)</f>
        <v>Reablement &amp; Rehabilitation in a bedded setting (pathway 2)</v>
      </c>
      <c r="C504" t="s">
        <v>207</v>
      </c>
      <c r="D504" t="s">
        <v>725</v>
      </c>
      <c r="E504">
        <v>26</v>
      </c>
      <c r="F504">
        <v>26</v>
      </c>
      <c r="G504">
        <v>26</v>
      </c>
      <c r="H504">
        <v>26</v>
      </c>
      <c r="I504">
        <v>26</v>
      </c>
      <c r="J504">
        <v>26</v>
      </c>
      <c r="K504">
        <v>26</v>
      </c>
      <c r="L504">
        <v>26</v>
      </c>
      <c r="M504">
        <v>26</v>
      </c>
      <c r="N504">
        <v>26</v>
      </c>
      <c r="O504">
        <v>26</v>
      </c>
      <c r="P504">
        <v>26</v>
      </c>
      <c r="Q504">
        <v>0.6</v>
      </c>
      <c r="R504">
        <v>0.4</v>
      </c>
      <c r="S504">
        <v>1</v>
      </c>
      <c r="W504"/>
      <c r="X504"/>
      <c r="Y504"/>
    </row>
    <row r="505" spans="1:25" x14ac:dyDescent="0.3">
      <c r="A505" t="str">
        <f>Table_Capacity_HD_frontsheet[[#This Row],[Name]]&amp;B505</f>
        <v>LewishamShort-term residential/nursing care for someone likely to require a longer-term care home placement (pathway 3)</v>
      </c>
      <c r="B505" t="str">
        <f>VLOOKUP(Table_Capacity_HD_frontsheet[[#This Row],[Service Area]],PathwayLookup!A:B,2,0)</f>
        <v>Short-term residential/nursing care for someone likely to require a longer-term care home placement (pathway 3)</v>
      </c>
      <c r="C505" t="s">
        <v>207</v>
      </c>
      <c r="D505" t="s">
        <v>731</v>
      </c>
      <c r="E505">
        <v>2</v>
      </c>
      <c r="F505">
        <v>2</v>
      </c>
      <c r="G505">
        <v>2</v>
      </c>
      <c r="H505">
        <v>2</v>
      </c>
      <c r="I505">
        <v>2</v>
      </c>
      <c r="J505">
        <v>2</v>
      </c>
      <c r="K505">
        <v>2</v>
      </c>
      <c r="L505">
        <v>2</v>
      </c>
      <c r="M505">
        <v>2</v>
      </c>
      <c r="N505">
        <v>2</v>
      </c>
      <c r="O505">
        <v>2</v>
      </c>
      <c r="P505">
        <v>2</v>
      </c>
      <c r="R505">
        <v>1</v>
      </c>
      <c r="W505"/>
      <c r="X505"/>
      <c r="Y505"/>
    </row>
    <row r="506" spans="1:25" x14ac:dyDescent="0.3">
      <c r="A506" t="str">
        <f>Table_Capacity_HD_frontsheet[[#This Row],[Name]]&amp;B506</f>
        <v>LincolnshireSocial support (including VCS) (pathway 0)</v>
      </c>
      <c r="B506" t="str">
        <f>VLOOKUP(Table_Capacity_HD_frontsheet[[#This Row],[Service Area]],PathwayLookup!A:B,2,0)</f>
        <v>Social support (including VCS) (pathway 0)</v>
      </c>
      <c r="C506" t="s">
        <v>209</v>
      </c>
      <c r="D506" t="s">
        <v>726</v>
      </c>
      <c r="W506"/>
      <c r="X506"/>
      <c r="Y506"/>
    </row>
    <row r="507" spans="1:25" x14ac:dyDescent="0.3">
      <c r="A507" t="str">
        <f>Table_Capacity_HD_frontsheet[[#This Row],[Name]]&amp;B507</f>
        <v>LincolnshireReablement &amp; Rehabilitation at home  (pathway 1)</v>
      </c>
      <c r="B507" t="str">
        <f>VLOOKUP(Table_Capacity_HD_frontsheet[[#This Row],[Service Area]],PathwayLookup!A:B,2,0)</f>
        <v>Reablement &amp; Rehabilitation at home  (pathway 1)</v>
      </c>
      <c r="C507" t="s">
        <v>209</v>
      </c>
      <c r="D507" t="s">
        <v>728</v>
      </c>
      <c r="E507">
        <v>450</v>
      </c>
      <c r="F507">
        <v>465</v>
      </c>
      <c r="G507">
        <v>450</v>
      </c>
      <c r="H507">
        <v>465</v>
      </c>
      <c r="I507">
        <v>465</v>
      </c>
      <c r="J507">
        <v>450</v>
      </c>
      <c r="K507">
        <v>465</v>
      </c>
      <c r="L507">
        <v>450</v>
      </c>
      <c r="M507">
        <v>465</v>
      </c>
      <c r="N507">
        <v>465</v>
      </c>
      <c r="O507">
        <v>435</v>
      </c>
      <c r="P507">
        <v>465</v>
      </c>
      <c r="W507"/>
      <c r="X507"/>
      <c r="Y507"/>
    </row>
    <row r="508" spans="1:25" x14ac:dyDescent="0.3">
      <c r="A508" t="str">
        <f>Table_Capacity_HD_frontsheet[[#This Row],[Name]]&amp;B508</f>
        <v>LincolnshireReablement &amp; Rehabilitation at home  (pathway 1)</v>
      </c>
      <c r="B508" t="str">
        <f>VLOOKUP(Table_Capacity_HD_frontsheet[[#This Row],[Service Area]],PathwayLookup!A:B,2,0)</f>
        <v>Reablement &amp; Rehabilitation at home  (pathway 1)</v>
      </c>
      <c r="C508" t="s">
        <v>209</v>
      </c>
      <c r="D508" t="s">
        <v>721</v>
      </c>
      <c r="E508">
        <v>107</v>
      </c>
      <c r="F508">
        <v>110</v>
      </c>
      <c r="G508">
        <v>107</v>
      </c>
      <c r="H508">
        <v>110</v>
      </c>
      <c r="I508">
        <v>110</v>
      </c>
      <c r="J508">
        <v>107</v>
      </c>
      <c r="K508">
        <v>110</v>
      </c>
      <c r="L508">
        <v>107</v>
      </c>
      <c r="M508">
        <v>110</v>
      </c>
      <c r="N508">
        <v>110</v>
      </c>
      <c r="O508">
        <v>103</v>
      </c>
      <c r="P508">
        <v>110</v>
      </c>
      <c r="W508"/>
      <c r="X508"/>
      <c r="Y508"/>
    </row>
    <row r="509" spans="1:25" x14ac:dyDescent="0.3">
      <c r="A509" t="str">
        <f>Table_Capacity_HD_frontsheet[[#This Row],[Name]]&amp;B509</f>
        <v>LincolnshireReablement &amp; Rehabilitation in a bedded setting (pathway 2)</v>
      </c>
      <c r="B509" t="str">
        <f>VLOOKUP(Table_Capacity_HD_frontsheet[[#This Row],[Service Area]],PathwayLookup!A:B,2,0)</f>
        <v>Reablement &amp; Rehabilitation in a bedded setting (pathway 2)</v>
      </c>
      <c r="C509" t="s">
        <v>209</v>
      </c>
      <c r="D509" t="s">
        <v>723</v>
      </c>
      <c r="E509">
        <v>62</v>
      </c>
      <c r="F509">
        <v>65</v>
      </c>
      <c r="G509">
        <v>62</v>
      </c>
      <c r="H509">
        <v>65</v>
      </c>
      <c r="I509">
        <v>65</v>
      </c>
      <c r="J509">
        <v>62</v>
      </c>
      <c r="K509">
        <v>65</v>
      </c>
      <c r="L509">
        <v>62</v>
      </c>
      <c r="M509">
        <v>65</v>
      </c>
      <c r="N509">
        <v>97</v>
      </c>
      <c r="O509">
        <v>91</v>
      </c>
      <c r="P509">
        <v>97</v>
      </c>
      <c r="W509"/>
      <c r="X509"/>
      <c r="Y509"/>
    </row>
    <row r="510" spans="1:25" x14ac:dyDescent="0.3">
      <c r="A510" t="str">
        <f>Table_Capacity_HD_frontsheet[[#This Row],[Name]]&amp;B510</f>
        <v>LincolnshireReablement &amp; Rehabilitation in a bedded setting (pathway 2)</v>
      </c>
      <c r="B510" t="str">
        <f>VLOOKUP(Table_Capacity_HD_frontsheet[[#This Row],[Service Area]],PathwayLookup!A:B,2,0)</f>
        <v>Reablement &amp; Rehabilitation in a bedded setting (pathway 2)</v>
      </c>
      <c r="C510" t="s">
        <v>209</v>
      </c>
      <c r="D510" t="s">
        <v>725</v>
      </c>
      <c r="E510">
        <v>194</v>
      </c>
      <c r="F510">
        <v>200</v>
      </c>
      <c r="G510">
        <v>194</v>
      </c>
      <c r="H510">
        <v>200</v>
      </c>
      <c r="I510">
        <v>200</v>
      </c>
      <c r="J510">
        <v>194</v>
      </c>
      <c r="K510">
        <v>200</v>
      </c>
      <c r="L510">
        <v>194</v>
      </c>
      <c r="M510">
        <v>200</v>
      </c>
      <c r="N510">
        <v>200</v>
      </c>
      <c r="O510">
        <v>187</v>
      </c>
      <c r="P510">
        <v>200</v>
      </c>
      <c r="W510"/>
      <c r="X510"/>
      <c r="Y510"/>
    </row>
    <row r="511" spans="1:25" x14ac:dyDescent="0.3">
      <c r="A511" t="str">
        <f>Table_Capacity_HD_frontsheet[[#This Row],[Name]]&amp;B511</f>
        <v>LincolnshireShort term domiciliary care (pathway 1)</v>
      </c>
      <c r="B511" t="str">
        <f>VLOOKUP(Table_Capacity_HD_frontsheet[[#This Row],[Service Area]],PathwayLookup!A:B,2,0)</f>
        <v>Short term domiciliary care (pathway 1)</v>
      </c>
      <c r="C511" t="s">
        <v>209</v>
      </c>
      <c r="D511" t="s">
        <v>730</v>
      </c>
      <c r="W511"/>
      <c r="X511"/>
      <c r="Y511"/>
    </row>
    <row r="512" spans="1:25" x14ac:dyDescent="0.3">
      <c r="A512" t="str">
        <f>Table_Capacity_HD_frontsheet[[#This Row],[Name]]&amp;B512</f>
        <v>LincolnshireShort-term residential/nursing care for someone likely to require a longer-term care home placement (pathway 3)</v>
      </c>
      <c r="B512" t="str">
        <f>VLOOKUP(Table_Capacity_HD_frontsheet[[#This Row],[Service Area]],PathwayLookup!A:B,2,0)</f>
        <v>Short-term residential/nursing care for someone likely to require a longer-term care home placement (pathway 3)</v>
      </c>
      <c r="C512" t="s">
        <v>209</v>
      </c>
      <c r="D512" t="s">
        <v>731</v>
      </c>
      <c r="W512"/>
      <c r="X512"/>
      <c r="Y512"/>
    </row>
    <row r="513" spans="1:25" x14ac:dyDescent="0.3">
      <c r="A513" t="str">
        <f>Table_Capacity_HD_frontsheet[[#This Row],[Name]]&amp;B513</f>
        <v>LiverpoolSocial support (including VCS) (pathway 0)</v>
      </c>
      <c r="B513" t="str">
        <f>VLOOKUP(Table_Capacity_HD_frontsheet[[#This Row],[Service Area]],PathwayLookup!A:B,2,0)</f>
        <v>Social support (including VCS) (pathway 0)</v>
      </c>
      <c r="C513" t="s">
        <v>211</v>
      </c>
      <c r="D513" t="s">
        <v>726</v>
      </c>
      <c r="W513"/>
      <c r="X513"/>
      <c r="Y513"/>
    </row>
    <row r="514" spans="1:25" x14ac:dyDescent="0.3">
      <c r="A514" t="str">
        <f>Table_Capacity_HD_frontsheet[[#This Row],[Name]]&amp;B514</f>
        <v>LiverpoolReablement &amp; Rehabilitation at home  (pathway 1)</v>
      </c>
      <c r="B514" t="str">
        <f>VLOOKUP(Table_Capacity_HD_frontsheet[[#This Row],[Service Area]],PathwayLookup!A:B,2,0)</f>
        <v>Reablement &amp; Rehabilitation at home  (pathway 1)</v>
      </c>
      <c r="C514" t="s">
        <v>211</v>
      </c>
      <c r="D514" t="s">
        <v>728</v>
      </c>
      <c r="E514">
        <v>260</v>
      </c>
      <c r="F514">
        <v>260</v>
      </c>
      <c r="G514">
        <v>260</v>
      </c>
      <c r="H514">
        <v>260</v>
      </c>
      <c r="I514">
        <v>260</v>
      </c>
      <c r="J514">
        <v>260</v>
      </c>
      <c r="K514">
        <v>260</v>
      </c>
      <c r="L514">
        <v>260</v>
      </c>
      <c r="M514">
        <v>260</v>
      </c>
      <c r="N514">
        <v>260</v>
      </c>
      <c r="O514">
        <v>260</v>
      </c>
      <c r="P514">
        <v>260</v>
      </c>
      <c r="R514">
        <v>1</v>
      </c>
      <c r="W514"/>
      <c r="X514"/>
      <c r="Y514"/>
    </row>
    <row r="515" spans="1:25" x14ac:dyDescent="0.3">
      <c r="A515" t="str">
        <f>Table_Capacity_HD_frontsheet[[#This Row],[Name]]&amp;B515</f>
        <v>LiverpoolReablement &amp; Rehabilitation at home  (pathway 1)</v>
      </c>
      <c r="B515" t="str">
        <f>VLOOKUP(Table_Capacity_HD_frontsheet[[#This Row],[Service Area]],PathwayLookup!A:B,2,0)</f>
        <v>Reablement &amp; Rehabilitation at home  (pathway 1)</v>
      </c>
      <c r="C515" t="s">
        <v>211</v>
      </c>
      <c r="D515" t="s">
        <v>721</v>
      </c>
      <c r="E515">
        <v>246</v>
      </c>
      <c r="F515">
        <v>246</v>
      </c>
      <c r="G515">
        <v>246</v>
      </c>
      <c r="H515">
        <v>246</v>
      </c>
      <c r="I515">
        <v>246</v>
      </c>
      <c r="J515">
        <v>246</v>
      </c>
      <c r="K515">
        <v>246</v>
      </c>
      <c r="L515">
        <v>246</v>
      </c>
      <c r="M515">
        <v>246</v>
      </c>
      <c r="N515">
        <v>246</v>
      </c>
      <c r="O515">
        <v>246</v>
      </c>
      <c r="P515">
        <v>246</v>
      </c>
      <c r="Q515">
        <v>1</v>
      </c>
      <c r="W515"/>
      <c r="X515"/>
      <c r="Y515"/>
    </row>
    <row r="516" spans="1:25" x14ac:dyDescent="0.3">
      <c r="A516" t="str">
        <f>Table_Capacity_HD_frontsheet[[#This Row],[Name]]&amp;B516</f>
        <v>LiverpoolShort term domiciliary care (pathway 1)</v>
      </c>
      <c r="B516" t="str">
        <f>VLOOKUP(Table_Capacity_HD_frontsheet[[#This Row],[Service Area]],PathwayLookup!A:B,2,0)</f>
        <v>Short term domiciliary care (pathway 1)</v>
      </c>
      <c r="C516" t="s">
        <v>211</v>
      </c>
      <c r="D516" t="s">
        <v>730</v>
      </c>
      <c r="E516">
        <v>0</v>
      </c>
      <c r="F516">
        <v>0</v>
      </c>
      <c r="G516">
        <v>0</v>
      </c>
      <c r="H516">
        <v>0</v>
      </c>
      <c r="I516">
        <v>0</v>
      </c>
      <c r="J516">
        <v>0</v>
      </c>
      <c r="K516">
        <v>0</v>
      </c>
      <c r="L516">
        <v>0</v>
      </c>
      <c r="M516">
        <v>0</v>
      </c>
      <c r="N516">
        <v>0</v>
      </c>
      <c r="O516">
        <v>0</v>
      </c>
      <c r="P516">
        <v>0</v>
      </c>
      <c r="W516"/>
      <c r="X516"/>
      <c r="Y516"/>
    </row>
    <row r="517" spans="1:25" x14ac:dyDescent="0.3">
      <c r="A517" t="str">
        <f>Table_Capacity_HD_frontsheet[[#This Row],[Name]]&amp;B517</f>
        <v>LiverpoolReablement &amp; Rehabilitation in a bedded setting (pathway 2)</v>
      </c>
      <c r="B517" t="str">
        <f>VLOOKUP(Table_Capacity_HD_frontsheet[[#This Row],[Service Area]],PathwayLookup!A:B,2,0)</f>
        <v>Reablement &amp; Rehabilitation in a bedded setting (pathway 2)</v>
      </c>
      <c r="C517" t="s">
        <v>211</v>
      </c>
      <c r="D517" t="s">
        <v>723</v>
      </c>
      <c r="E517">
        <v>85</v>
      </c>
      <c r="F517">
        <v>85</v>
      </c>
      <c r="G517">
        <v>85</v>
      </c>
      <c r="H517">
        <v>85</v>
      </c>
      <c r="I517">
        <v>85</v>
      </c>
      <c r="J517">
        <v>85</v>
      </c>
      <c r="K517">
        <v>85</v>
      </c>
      <c r="L517">
        <v>85</v>
      </c>
      <c r="M517">
        <v>85</v>
      </c>
      <c r="N517">
        <v>85</v>
      </c>
      <c r="O517">
        <v>85</v>
      </c>
      <c r="P517">
        <v>85</v>
      </c>
      <c r="R517">
        <v>1</v>
      </c>
      <c r="W517"/>
      <c r="X517"/>
      <c r="Y517"/>
    </row>
    <row r="518" spans="1:25" x14ac:dyDescent="0.3">
      <c r="A518" t="str">
        <f>Table_Capacity_HD_frontsheet[[#This Row],[Name]]&amp;B518</f>
        <v>LiverpoolReablement &amp; Rehabilitation in a bedded setting (pathway 2)</v>
      </c>
      <c r="B518" t="str">
        <f>VLOOKUP(Table_Capacity_HD_frontsheet[[#This Row],[Service Area]],PathwayLookup!A:B,2,0)</f>
        <v>Reablement &amp; Rehabilitation in a bedded setting (pathway 2)</v>
      </c>
      <c r="C518" t="s">
        <v>211</v>
      </c>
      <c r="D518" t="s">
        <v>725</v>
      </c>
      <c r="E518">
        <v>0</v>
      </c>
      <c r="F518">
        <v>0</v>
      </c>
      <c r="G518">
        <v>0</v>
      </c>
      <c r="H518">
        <v>0</v>
      </c>
      <c r="I518">
        <v>0</v>
      </c>
      <c r="J518">
        <v>0</v>
      </c>
      <c r="K518">
        <v>0</v>
      </c>
      <c r="L518">
        <v>0</v>
      </c>
      <c r="M518">
        <v>0</v>
      </c>
      <c r="N518">
        <v>0</v>
      </c>
      <c r="O518">
        <v>0</v>
      </c>
      <c r="P518">
        <v>0</v>
      </c>
      <c r="W518"/>
      <c r="X518"/>
      <c r="Y518"/>
    </row>
    <row r="519" spans="1:25" x14ac:dyDescent="0.3">
      <c r="A519" t="str">
        <f>Table_Capacity_HD_frontsheet[[#This Row],[Name]]&amp;B519</f>
        <v>LiverpoolShort-term residential/nursing care for someone likely to require a longer-term care home placement (pathway 3)</v>
      </c>
      <c r="B519" t="str">
        <f>VLOOKUP(Table_Capacity_HD_frontsheet[[#This Row],[Service Area]],PathwayLookup!A:B,2,0)</f>
        <v>Short-term residential/nursing care for someone likely to require a longer-term care home placement (pathway 3)</v>
      </c>
      <c r="C519" t="s">
        <v>211</v>
      </c>
      <c r="D519" t="s">
        <v>731</v>
      </c>
      <c r="E519">
        <v>0</v>
      </c>
      <c r="F519">
        <v>0</v>
      </c>
      <c r="G519">
        <v>0</v>
      </c>
      <c r="H519">
        <v>0</v>
      </c>
      <c r="I519">
        <v>0</v>
      </c>
      <c r="J519">
        <v>0</v>
      </c>
      <c r="K519">
        <v>0</v>
      </c>
      <c r="L519">
        <v>0</v>
      </c>
      <c r="M519">
        <v>0</v>
      </c>
      <c r="N519">
        <v>0</v>
      </c>
      <c r="O519">
        <v>0</v>
      </c>
      <c r="P519">
        <v>0</v>
      </c>
      <c r="W519"/>
      <c r="X519"/>
      <c r="Y519"/>
    </row>
    <row r="520" spans="1:25" x14ac:dyDescent="0.3">
      <c r="A520" t="str">
        <f>Table_Capacity_HD_frontsheet[[#This Row],[Name]]&amp;B520</f>
        <v>LutonSocial support (including VCS) (pathway 0)</v>
      </c>
      <c r="B520" t="str">
        <f>VLOOKUP(Table_Capacity_HD_frontsheet[[#This Row],[Service Area]],PathwayLookup!A:B,2,0)</f>
        <v>Social support (including VCS) (pathway 0)</v>
      </c>
      <c r="C520" t="s">
        <v>213</v>
      </c>
      <c r="D520" t="s">
        <v>726</v>
      </c>
      <c r="E520">
        <v>154</v>
      </c>
      <c r="F520">
        <v>155</v>
      </c>
      <c r="G520">
        <v>154</v>
      </c>
      <c r="H520">
        <v>155</v>
      </c>
      <c r="I520">
        <v>155</v>
      </c>
      <c r="J520">
        <v>154</v>
      </c>
      <c r="K520">
        <v>155</v>
      </c>
      <c r="L520">
        <v>154</v>
      </c>
      <c r="M520">
        <v>155</v>
      </c>
      <c r="N520">
        <v>155</v>
      </c>
      <c r="O520">
        <v>152</v>
      </c>
      <c r="P520">
        <v>155</v>
      </c>
      <c r="Q520">
        <v>0.66</v>
      </c>
      <c r="R520">
        <v>0.33</v>
      </c>
      <c r="W520"/>
      <c r="X520"/>
      <c r="Y520"/>
    </row>
    <row r="521" spans="1:25" x14ac:dyDescent="0.3">
      <c r="A521" t="str">
        <f>Table_Capacity_HD_frontsheet[[#This Row],[Name]]&amp;B521</f>
        <v>LutonReablement &amp; Rehabilitation at home  (pathway 1)</v>
      </c>
      <c r="B521" t="str">
        <f>VLOOKUP(Table_Capacity_HD_frontsheet[[#This Row],[Service Area]],PathwayLookup!A:B,2,0)</f>
        <v>Reablement &amp; Rehabilitation at home  (pathway 1)</v>
      </c>
      <c r="C521" t="s">
        <v>213</v>
      </c>
      <c r="D521" t="s">
        <v>728</v>
      </c>
      <c r="E521">
        <v>49</v>
      </c>
      <c r="F521">
        <v>49</v>
      </c>
      <c r="G521">
        <v>49</v>
      </c>
      <c r="H521">
        <v>49</v>
      </c>
      <c r="I521">
        <v>49</v>
      </c>
      <c r="J521">
        <v>49</v>
      </c>
      <c r="K521">
        <v>49</v>
      </c>
      <c r="L521">
        <v>49</v>
      </c>
      <c r="M521">
        <v>49</v>
      </c>
      <c r="N521">
        <v>49</v>
      </c>
      <c r="O521">
        <v>49</v>
      </c>
      <c r="P521">
        <v>49</v>
      </c>
      <c r="R521">
        <v>1</v>
      </c>
      <c r="W521"/>
      <c r="X521"/>
      <c r="Y521"/>
    </row>
    <row r="522" spans="1:25" x14ac:dyDescent="0.3">
      <c r="A522" t="str">
        <f>Table_Capacity_HD_frontsheet[[#This Row],[Name]]&amp;B522</f>
        <v>LutonReablement &amp; Rehabilitation at home  (pathway 1)</v>
      </c>
      <c r="B522" t="str">
        <f>VLOOKUP(Table_Capacity_HD_frontsheet[[#This Row],[Service Area]],PathwayLookup!A:B,2,0)</f>
        <v>Reablement &amp; Rehabilitation at home  (pathway 1)</v>
      </c>
      <c r="C522" t="s">
        <v>213</v>
      </c>
      <c r="D522" t="s">
        <v>721</v>
      </c>
      <c r="W522"/>
      <c r="X522"/>
      <c r="Y522"/>
    </row>
    <row r="523" spans="1:25" x14ac:dyDescent="0.3">
      <c r="A523" t="str">
        <f>Table_Capacity_HD_frontsheet[[#This Row],[Name]]&amp;B523</f>
        <v>LutonShort term domiciliary care (pathway 1)</v>
      </c>
      <c r="B523" t="str">
        <f>VLOOKUP(Table_Capacity_HD_frontsheet[[#This Row],[Service Area]],PathwayLookup!A:B,2,0)</f>
        <v>Short term domiciliary care (pathway 1)</v>
      </c>
      <c r="C523" t="s">
        <v>213</v>
      </c>
      <c r="D523" t="s">
        <v>730</v>
      </c>
      <c r="E523">
        <v>2833</v>
      </c>
      <c r="F523">
        <v>4945</v>
      </c>
      <c r="G523">
        <v>2211</v>
      </c>
      <c r="H523">
        <v>2961</v>
      </c>
      <c r="I523">
        <v>2864</v>
      </c>
      <c r="J523">
        <v>3252</v>
      </c>
      <c r="K523">
        <v>2845</v>
      </c>
      <c r="L523">
        <v>2440</v>
      </c>
      <c r="M523">
        <v>1278</v>
      </c>
      <c r="N523">
        <v>3023</v>
      </c>
      <c r="O523">
        <v>4281</v>
      </c>
      <c r="P523">
        <v>1799</v>
      </c>
      <c r="R523">
        <v>1</v>
      </c>
      <c r="W523"/>
      <c r="X523"/>
      <c r="Y523"/>
    </row>
    <row r="524" spans="1:25" x14ac:dyDescent="0.3">
      <c r="A524" t="str">
        <f>Table_Capacity_HD_frontsheet[[#This Row],[Name]]&amp;B524</f>
        <v>LutonReablement &amp; Rehabilitation in a bedded setting (pathway 2)</v>
      </c>
      <c r="B524" t="str">
        <f>VLOOKUP(Table_Capacity_HD_frontsheet[[#This Row],[Service Area]],PathwayLookup!A:B,2,0)</f>
        <v>Reablement &amp; Rehabilitation in a bedded setting (pathway 2)</v>
      </c>
      <c r="C524" t="s">
        <v>213</v>
      </c>
      <c r="D524" t="s">
        <v>723</v>
      </c>
      <c r="E524">
        <v>23</v>
      </c>
      <c r="F524">
        <v>24</v>
      </c>
      <c r="G524">
        <v>23</v>
      </c>
      <c r="H524">
        <v>24</v>
      </c>
      <c r="I524">
        <v>24</v>
      </c>
      <c r="J524">
        <v>23</v>
      </c>
      <c r="K524">
        <v>24</v>
      </c>
      <c r="L524">
        <v>23</v>
      </c>
      <c r="M524">
        <v>24</v>
      </c>
      <c r="N524">
        <v>24</v>
      </c>
      <c r="O524">
        <v>22</v>
      </c>
      <c r="P524">
        <v>24</v>
      </c>
      <c r="Q524">
        <v>1</v>
      </c>
      <c r="W524"/>
      <c r="X524"/>
      <c r="Y524"/>
    </row>
    <row r="525" spans="1:25" x14ac:dyDescent="0.3">
      <c r="A525" t="str">
        <f>Table_Capacity_HD_frontsheet[[#This Row],[Name]]&amp;B525</f>
        <v>LutonReablement &amp; Rehabilitation in a bedded setting (pathway 2)</v>
      </c>
      <c r="B525" t="str">
        <f>VLOOKUP(Table_Capacity_HD_frontsheet[[#This Row],[Service Area]],PathwayLookup!A:B,2,0)</f>
        <v>Reablement &amp; Rehabilitation in a bedded setting (pathway 2)</v>
      </c>
      <c r="C525" t="s">
        <v>213</v>
      </c>
      <c r="D525" t="s">
        <v>725</v>
      </c>
      <c r="E525">
        <v>21</v>
      </c>
      <c r="F525">
        <v>21</v>
      </c>
      <c r="G525">
        <v>21</v>
      </c>
      <c r="H525">
        <v>33</v>
      </c>
      <c r="I525">
        <v>24</v>
      </c>
      <c r="J525">
        <v>21</v>
      </c>
      <c r="K525">
        <v>23</v>
      </c>
      <c r="L525">
        <v>24</v>
      </c>
      <c r="M525">
        <v>31</v>
      </c>
      <c r="N525">
        <v>24</v>
      </c>
      <c r="O525">
        <v>23</v>
      </c>
      <c r="P525">
        <v>25</v>
      </c>
      <c r="Q525">
        <v>1</v>
      </c>
      <c r="W525"/>
      <c r="X525"/>
      <c r="Y525"/>
    </row>
    <row r="526" spans="1:25" x14ac:dyDescent="0.3">
      <c r="A526" t="str">
        <f>Table_Capacity_HD_frontsheet[[#This Row],[Name]]&amp;B526</f>
        <v>LutonShort-term residential/nursing care for someone likely to require a longer-term care home placement (pathway 3)</v>
      </c>
      <c r="B526" t="str">
        <f>VLOOKUP(Table_Capacity_HD_frontsheet[[#This Row],[Service Area]],PathwayLookup!A:B,2,0)</f>
        <v>Short-term residential/nursing care for someone likely to require a longer-term care home placement (pathway 3)</v>
      </c>
      <c r="C526" t="s">
        <v>213</v>
      </c>
      <c r="D526" t="s">
        <v>731</v>
      </c>
      <c r="E526">
        <v>4</v>
      </c>
      <c r="F526">
        <v>4</v>
      </c>
      <c r="G526">
        <v>6</v>
      </c>
      <c r="H526">
        <v>7</v>
      </c>
      <c r="I526">
        <v>2</v>
      </c>
      <c r="J526">
        <v>2</v>
      </c>
      <c r="K526">
        <v>3</v>
      </c>
      <c r="L526">
        <v>8</v>
      </c>
      <c r="M526">
        <v>6</v>
      </c>
      <c r="N526">
        <v>13</v>
      </c>
      <c r="O526">
        <v>4</v>
      </c>
      <c r="P526">
        <v>8</v>
      </c>
      <c r="Q526">
        <v>0.5</v>
      </c>
      <c r="R526">
        <v>0.5</v>
      </c>
      <c r="W526"/>
      <c r="X526"/>
      <c r="Y526"/>
    </row>
    <row r="527" spans="1:25" x14ac:dyDescent="0.3">
      <c r="A527" t="str">
        <f>Table_Capacity_HD_frontsheet[[#This Row],[Name]]&amp;B527</f>
        <v>ManchesterSocial support (including VCS) (pathway 0)</v>
      </c>
      <c r="B527" t="str">
        <f>VLOOKUP(Table_Capacity_HD_frontsheet[[#This Row],[Service Area]],PathwayLookup!A:B,2,0)</f>
        <v>Social support (including VCS) (pathway 0)</v>
      </c>
      <c r="C527" t="s">
        <v>215</v>
      </c>
      <c r="D527" t="s">
        <v>726</v>
      </c>
      <c r="E527">
        <v>80</v>
      </c>
      <c r="F527">
        <v>80</v>
      </c>
      <c r="G527">
        <v>80</v>
      </c>
      <c r="H527">
        <v>80</v>
      </c>
      <c r="I527">
        <v>80</v>
      </c>
      <c r="J527">
        <v>80</v>
      </c>
      <c r="K527">
        <v>80</v>
      </c>
      <c r="L527">
        <v>80</v>
      </c>
      <c r="M527">
        <v>80</v>
      </c>
      <c r="N527">
        <v>80</v>
      </c>
      <c r="O527">
        <v>80</v>
      </c>
      <c r="P527">
        <v>80</v>
      </c>
      <c r="Q527">
        <v>0.2</v>
      </c>
      <c r="R527">
        <v>0.8</v>
      </c>
      <c r="W527"/>
      <c r="X527"/>
      <c r="Y527"/>
    </row>
    <row r="528" spans="1:25" x14ac:dyDescent="0.3">
      <c r="A528" t="str">
        <f>Table_Capacity_HD_frontsheet[[#This Row],[Name]]&amp;B528</f>
        <v>ManchesterReablement &amp; Rehabilitation at home  (pathway 1)</v>
      </c>
      <c r="B528" t="str">
        <f>VLOOKUP(Table_Capacity_HD_frontsheet[[#This Row],[Service Area]],PathwayLookup!A:B,2,0)</f>
        <v>Reablement &amp; Rehabilitation at home  (pathway 1)</v>
      </c>
      <c r="C528" t="s">
        <v>215</v>
      </c>
      <c r="D528" t="s">
        <v>728</v>
      </c>
      <c r="E528">
        <v>105</v>
      </c>
      <c r="F528">
        <v>105</v>
      </c>
      <c r="G528">
        <v>105</v>
      </c>
      <c r="H528">
        <v>105</v>
      </c>
      <c r="I528">
        <v>105</v>
      </c>
      <c r="J528">
        <v>105</v>
      </c>
      <c r="K528">
        <v>105</v>
      </c>
      <c r="L528">
        <v>105</v>
      </c>
      <c r="M528">
        <v>105</v>
      </c>
      <c r="N528">
        <v>105</v>
      </c>
      <c r="O528">
        <v>105</v>
      </c>
      <c r="P528">
        <v>105</v>
      </c>
      <c r="Q528">
        <v>0.2</v>
      </c>
      <c r="R528">
        <v>0.8</v>
      </c>
      <c r="W528"/>
      <c r="X528"/>
      <c r="Y528"/>
    </row>
    <row r="529" spans="1:25" x14ac:dyDescent="0.3">
      <c r="A529" t="str">
        <f>Table_Capacity_HD_frontsheet[[#This Row],[Name]]&amp;B529</f>
        <v>ManchesterReablement &amp; Rehabilitation at home  (pathway 1)</v>
      </c>
      <c r="B529" t="str">
        <f>VLOOKUP(Table_Capacity_HD_frontsheet[[#This Row],[Service Area]],PathwayLookup!A:B,2,0)</f>
        <v>Reablement &amp; Rehabilitation at home  (pathway 1)</v>
      </c>
      <c r="C529" t="s">
        <v>215</v>
      </c>
      <c r="D529" t="s">
        <v>721</v>
      </c>
      <c r="E529">
        <v>138</v>
      </c>
      <c r="F529">
        <v>138</v>
      </c>
      <c r="G529">
        <v>138</v>
      </c>
      <c r="H529">
        <v>138</v>
      </c>
      <c r="I529">
        <v>138</v>
      </c>
      <c r="J529">
        <v>138</v>
      </c>
      <c r="K529">
        <v>138</v>
      </c>
      <c r="L529">
        <v>138</v>
      </c>
      <c r="M529">
        <v>138</v>
      </c>
      <c r="N529">
        <v>138</v>
      </c>
      <c r="O529">
        <v>138</v>
      </c>
      <c r="P529">
        <v>138</v>
      </c>
      <c r="Q529">
        <v>1</v>
      </c>
      <c r="W529"/>
      <c r="X529"/>
      <c r="Y529"/>
    </row>
    <row r="530" spans="1:25" x14ac:dyDescent="0.3">
      <c r="A530" t="str">
        <f>Table_Capacity_HD_frontsheet[[#This Row],[Name]]&amp;B530</f>
        <v>ManchesterShort term domiciliary care (pathway 1)</v>
      </c>
      <c r="B530" t="str">
        <f>VLOOKUP(Table_Capacity_HD_frontsheet[[#This Row],[Service Area]],PathwayLookup!A:B,2,0)</f>
        <v>Short term domiciliary care (pathway 1)</v>
      </c>
      <c r="C530" t="s">
        <v>215</v>
      </c>
      <c r="D530" t="s">
        <v>730</v>
      </c>
      <c r="E530">
        <v>142</v>
      </c>
      <c r="F530">
        <v>142</v>
      </c>
      <c r="G530">
        <v>142</v>
      </c>
      <c r="H530">
        <v>142</v>
      </c>
      <c r="I530">
        <v>142</v>
      </c>
      <c r="J530">
        <v>142</v>
      </c>
      <c r="K530">
        <v>142</v>
      </c>
      <c r="L530">
        <v>142</v>
      </c>
      <c r="M530">
        <v>142</v>
      </c>
      <c r="N530">
        <v>142</v>
      </c>
      <c r="O530">
        <v>142</v>
      </c>
      <c r="P530">
        <v>142</v>
      </c>
      <c r="R530">
        <v>1</v>
      </c>
      <c r="W530"/>
      <c r="X530"/>
      <c r="Y530"/>
    </row>
    <row r="531" spans="1:25" x14ac:dyDescent="0.3">
      <c r="A531" t="str">
        <f>Table_Capacity_HD_frontsheet[[#This Row],[Name]]&amp;B531</f>
        <v>ManchesterReablement &amp; Rehabilitation in a bedded setting (pathway 2)</v>
      </c>
      <c r="B531" t="str">
        <f>VLOOKUP(Table_Capacity_HD_frontsheet[[#This Row],[Service Area]],PathwayLookup!A:B,2,0)</f>
        <v>Reablement &amp; Rehabilitation in a bedded setting (pathway 2)</v>
      </c>
      <c r="C531" t="s">
        <v>215</v>
      </c>
      <c r="D531" t="s">
        <v>723</v>
      </c>
      <c r="E531">
        <v>0</v>
      </c>
      <c r="F531">
        <v>0</v>
      </c>
      <c r="G531">
        <v>0</v>
      </c>
      <c r="H531">
        <v>0</v>
      </c>
      <c r="I531">
        <v>0</v>
      </c>
      <c r="J531">
        <v>0</v>
      </c>
      <c r="K531">
        <v>0</v>
      </c>
      <c r="L531">
        <v>0</v>
      </c>
      <c r="M531">
        <v>0</v>
      </c>
      <c r="N531">
        <v>0</v>
      </c>
      <c r="O531">
        <v>0</v>
      </c>
      <c r="P531">
        <v>0</v>
      </c>
      <c r="Q531">
        <v>0</v>
      </c>
      <c r="R531">
        <v>0</v>
      </c>
      <c r="S531">
        <v>0</v>
      </c>
      <c r="W531"/>
      <c r="X531"/>
      <c r="Y531"/>
    </row>
    <row r="532" spans="1:25" x14ac:dyDescent="0.3">
      <c r="A532" t="str">
        <f>Table_Capacity_HD_frontsheet[[#This Row],[Name]]&amp;B532</f>
        <v>ManchesterReablement &amp; Rehabilitation in a bedded setting (pathway 2)</v>
      </c>
      <c r="B532" t="str">
        <f>VLOOKUP(Table_Capacity_HD_frontsheet[[#This Row],[Service Area]],PathwayLookup!A:B,2,0)</f>
        <v>Reablement &amp; Rehabilitation in a bedded setting (pathway 2)</v>
      </c>
      <c r="C532" t="s">
        <v>215</v>
      </c>
      <c r="D532" t="s">
        <v>725</v>
      </c>
      <c r="E532">
        <v>76</v>
      </c>
      <c r="F532">
        <v>73</v>
      </c>
      <c r="G532">
        <v>61</v>
      </c>
      <c r="H532">
        <v>67</v>
      </c>
      <c r="I532">
        <v>72</v>
      </c>
      <c r="J532">
        <v>61</v>
      </c>
      <c r="K532">
        <v>59</v>
      </c>
      <c r="L532">
        <v>60</v>
      </c>
      <c r="M532">
        <v>68</v>
      </c>
      <c r="N532">
        <v>71</v>
      </c>
      <c r="O532">
        <v>57</v>
      </c>
      <c r="P532">
        <v>70</v>
      </c>
      <c r="Q532">
        <v>1</v>
      </c>
      <c r="W532"/>
      <c r="X532"/>
      <c r="Y532"/>
    </row>
    <row r="533" spans="1:25" x14ac:dyDescent="0.3">
      <c r="A533" t="str">
        <f>Table_Capacity_HD_frontsheet[[#This Row],[Name]]&amp;B533</f>
        <v>ManchesterShort-term residential/nursing care for someone likely to require a longer-term care home placement (pathway 3)</v>
      </c>
      <c r="B533" t="str">
        <f>VLOOKUP(Table_Capacity_HD_frontsheet[[#This Row],[Service Area]],PathwayLookup!A:B,2,0)</f>
        <v>Short-term residential/nursing care for someone likely to require a longer-term care home placement (pathway 3)</v>
      </c>
      <c r="C533" t="s">
        <v>215</v>
      </c>
      <c r="D533" t="s">
        <v>731</v>
      </c>
      <c r="E533">
        <v>97</v>
      </c>
      <c r="F533">
        <v>96</v>
      </c>
      <c r="G533">
        <v>109</v>
      </c>
      <c r="H533">
        <v>101</v>
      </c>
      <c r="I533">
        <v>90</v>
      </c>
      <c r="J533">
        <v>79</v>
      </c>
      <c r="K533">
        <v>102</v>
      </c>
      <c r="L533">
        <v>85</v>
      </c>
      <c r="M533">
        <v>112</v>
      </c>
      <c r="N533">
        <v>107</v>
      </c>
      <c r="O533">
        <v>127</v>
      </c>
      <c r="P533">
        <v>143</v>
      </c>
      <c r="Q533">
        <v>0.5</v>
      </c>
      <c r="R533">
        <v>0.5</v>
      </c>
      <c r="W533"/>
      <c r="X533"/>
      <c r="Y533"/>
    </row>
    <row r="534" spans="1:25" x14ac:dyDescent="0.3">
      <c r="A534" t="str">
        <f>Table_Capacity_HD_frontsheet[[#This Row],[Name]]&amp;B534</f>
        <v>MedwaySocial support (including VCS) (pathway 0)</v>
      </c>
      <c r="B534" t="str">
        <f>VLOOKUP(Table_Capacity_HD_frontsheet[[#This Row],[Service Area]],PathwayLookup!A:B,2,0)</f>
        <v>Social support (including VCS) (pathway 0)</v>
      </c>
      <c r="C534" t="s">
        <v>217</v>
      </c>
      <c r="D534" t="s">
        <v>726</v>
      </c>
      <c r="E534">
        <v>707</v>
      </c>
      <c r="F534">
        <v>707</v>
      </c>
      <c r="G534">
        <v>707</v>
      </c>
      <c r="H534">
        <v>725</v>
      </c>
      <c r="I534">
        <v>725</v>
      </c>
      <c r="J534">
        <v>701</v>
      </c>
      <c r="K534">
        <v>725</v>
      </c>
      <c r="L534">
        <v>724</v>
      </c>
      <c r="M534">
        <v>725</v>
      </c>
      <c r="N534">
        <v>725</v>
      </c>
      <c r="O534">
        <v>708</v>
      </c>
      <c r="P534">
        <v>707</v>
      </c>
      <c r="Q534">
        <v>0</v>
      </c>
      <c r="R534">
        <v>0</v>
      </c>
      <c r="S534">
        <v>1</v>
      </c>
      <c r="W534"/>
      <c r="X534"/>
      <c r="Y534"/>
    </row>
    <row r="535" spans="1:25" x14ac:dyDescent="0.3">
      <c r="A535" t="str">
        <f>Table_Capacity_HD_frontsheet[[#This Row],[Name]]&amp;B535</f>
        <v>MedwayReablement &amp; Rehabilitation at home  (pathway 1)</v>
      </c>
      <c r="B535" t="str">
        <f>VLOOKUP(Table_Capacity_HD_frontsheet[[#This Row],[Service Area]],PathwayLookup!A:B,2,0)</f>
        <v>Reablement &amp; Rehabilitation at home  (pathway 1)</v>
      </c>
      <c r="C535" t="s">
        <v>217</v>
      </c>
      <c r="D535" t="s">
        <v>728</v>
      </c>
      <c r="E535">
        <v>129</v>
      </c>
      <c r="F535">
        <v>133</v>
      </c>
      <c r="G535">
        <v>129</v>
      </c>
      <c r="H535">
        <v>133</v>
      </c>
      <c r="I535">
        <v>133</v>
      </c>
      <c r="J535">
        <v>129</v>
      </c>
      <c r="K535">
        <v>133</v>
      </c>
      <c r="L535">
        <v>129</v>
      </c>
      <c r="M535">
        <v>133</v>
      </c>
      <c r="N535">
        <v>133</v>
      </c>
      <c r="O535">
        <v>124</v>
      </c>
      <c r="P535">
        <v>133</v>
      </c>
      <c r="Q535">
        <v>0.02</v>
      </c>
      <c r="R535">
        <v>0</v>
      </c>
      <c r="S535">
        <v>0.98</v>
      </c>
      <c r="W535"/>
      <c r="X535"/>
      <c r="Y535"/>
    </row>
    <row r="536" spans="1:25" x14ac:dyDescent="0.3">
      <c r="A536" t="str">
        <f>Table_Capacity_HD_frontsheet[[#This Row],[Name]]&amp;B536</f>
        <v>MedwayReablement &amp; Rehabilitation at home  (pathway 1)</v>
      </c>
      <c r="B536" t="str">
        <f>VLOOKUP(Table_Capacity_HD_frontsheet[[#This Row],[Service Area]],PathwayLookup!A:B,2,0)</f>
        <v>Reablement &amp; Rehabilitation at home  (pathway 1)</v>
      </c>
      <c r="C536" t="s">
        <v>217</v>
      </c>
      <c r="D536" t="s">
        <v>721</v>
      </c>
      <c r="E536">
        <v>0</v>
      </c>
      <c r="F536">
        <v>0</v>
      </c>
      <c r="G536">
        <v>0</v>
      </c>
      <c r="H536">
        <v>0</v>
      </c>
      <c r="I536">
        <v>0</v>
      </c>
      <c r="J536">
        <v>0</v>
      </c>
      <c r="K536">
        <v>0</v>
      </c>
      <c r="L536">
        <v>0</v>
      </c>
      <c r="M536">
        <v>0</v>
      </c>
      <c r="N536">
        <v>0</v>
      </c>
      <c r="O536">
        <v>0</v>
      </c>
      <c r="P536">
        <v>0</v>
      </c>
      <c r="Q536">
        <v>0</v>
      </c>
      <c r="R536">
        <v>0</v>
      </c>
      <c r="S536">
        <v>0</v>
      </c>
      <c r="W536"/>
      <c r="X536"/>
      <c r="Y536"/>
    </row>
    <row r="537" spans="1:25" x14ac:dyDescent="0.3">
      <c r="A537" t="str">
        <f>Table_Capacity_HD_frontsheet[[#This Row],[Name]]&amp;B537</f>
        <v>MedwayShort term domiciliary care (pathway 1)</v>
      </c>
      <c r="B537" t="str">
        <f>VLOOKUP(Table_Capacity_HD_frontsheet[[#This Row],[Service Area]],PathwayLookup!A:B,2,0)</f>
        <v>Short term domiciliary care (pathway 1)</v>
      </c>
      <c r="C537" t="s">
        <v>217</v>
      </c>
      <c r="D537" t="s">
        <v>730</v>
      </c>
      <c r="E537">
        <v>2</v>
      </c>
      <c r="F537">
        <v>0</v>
      </c>
      <c r="G537">
        <v>1</v>
      </c>
      <c r="H537">
        <v>3</v>
      </c>
      <c r="I537">
        <v>3</v>
      </c>
      <c r="J537">
        <v>2</v>
      </c>
      <c r="K537">
        <v>3</v>
      </c>
      <c r="L537">
        <v>2</v>
      </c>
      <c r="M537">
        <v>0</v>
      </c>
      <c r="N537">
        <v>5</v>
      </c>
      <c r="O537">
        <v>7</v>
      </c>
      <c r="P537">
        <v>3</v>
      </c>
      <c r="Q537">
        <v>0</v>
      </c>
      <c r="R537">
        <v>1</v>
      </c>
      <c r="S537">
        <v>0</v>
      </c>
      <c r="W537"/>
      <c r="X537"/>
      <c r="Y537"/>
    </row>
    <row r="538" spans="1:25" x14ac:dyDescent="0.3">
      <c r="A538" t="str">
        <f>Table_Capacity_HD_frontsheet[[#This Row],[Name]]&amp;B538</f>
        <v>MedwayReablement &amp; Rehabilitation in a bedded setting (pathway 2)</v>
      </c>
      <c r="B538" t="str">
        <f>VLOOKUP(Table_Capacity_HD_frontsheet[[#This Row],[Service Area]],PathwayLookup!A:B,2,0)</f>
        <v>Reablement &amp; Rehabilitation in a bedded setting (pathway 2)</v>
      </c>
      <c r="C538" t="s">
        <v>217</v>
      </c>
      <c r="D538" t="s">
        <v>723</v>
      </c>
      <c r="E538">
        <v>26</v>
      </c>
      <c r="F538">
        <v>27</v>
      </c>
      <c r="G538">
        <v>26</v>
      </c>
      <c r="H538">
        <v>27</v>
      </c>
      <c r="I538">
        <v>27</v>
      </c>
      <c r="J538">
        <v>26</v>
      </c>
      <c r="K538">
        <v>26</v>
      </c>
      <c r="L538">
        <v>25</v>
      </c>
      <c r="M538">
        <v>26</v>
      </c>
      <c r="N538">
        <v>26</v>
      </c>
      <c r="O538">
        <v>24</v>
      </c>
      <c r="P538">
        <v>26</v>
      </c>
      <c r="Q538">
        <v>0</v>
      </c>
      <c r="R538">
        <v>0</v>
      </c>
      <c r="S538">
        <v>1</v>
      </c>
      <c r="W538"/>
      <c r="X538"/>
      <c r="Y538"/>
    </row>
    <row r="539" spans="1:25" x14ac:dyDescent="0.3">
      <c r="A539" t="str">
        <f>Table_Capacity_HD_frontsheet[[#This Row],[Name]]&amp;B539</f>
        <v>MedwayReablement &amp; Rehabilitation in a bedded setting (pathway 2)</v>
      </c>
      <c r="B539" t="str">
        <f>VLOOKUP(Table_Capacity_HD_frontsheet[[#This Row],[Service Area]],PathwayLookup!A:B,2,0)</f>
        <v>Reablement &amp; Rehabilitation in a bedded setting (pathway 2)</v>
      </c>
      <c r="C539" t="s">
        <v>217</v>
      </c>
      <c r="D539" t="s">
        <v>725</v>
      </c>
      <c r="E539">
        <v>0</v>
      </c>
      <c r="F539">
        <v>0</v>
      </c>
      <c r="G539">
        <v>0</v>
      </c>
      <c r="H539">
        <v>0</v>
      </c>
      <c r="I539">
        <v>0</v>
      </c>
      <c r="J539">
        <v>0</v>
      </c>
      <c r="K539">
        <v>0</v>
      </c>
      <c r="L539">
        <v>0</v>
      </c>
      <c r="M539">
        <v>0</v>
      </c>
      <c r="N539">
        <v>0</v>
      </c>
      <c r="O539">
        <v>0</v>
      </c>
      <c r="P539">
        <v>0</v>
      </c>
      <c r="Q539">
        <v>0</v>
      </c>
      <c r="R539">
        <v>0</v>
      </c>
      <c r="S539">
        <v>0</v>
      </c>
      <c r="W539"/>
      <c r="X539"/>
      <c r="Y539"/>
    </row>
    <row r="540" spans="1:25" x14ac:dyDescent="0.3">
      <c r="A540" t="str">
        <f>Table_Capacity_HD_frontsheet[[#This Row],[Name]]&amp;B540</f>
        <v>MedwayShort-term residential/nursing care for someone likely to require a longer-term care home placement (pathway 3)</v>
      </c>
      <c r="B540" t="str">
        <f>VLOOKUP(Table_Capacity_HD_frontsheet[[#This Row],[Service Area]],PathwayLookup!A:B,2,0)</f>
        <v>Short-term residential/nursing care for someone likely to require a longer-term care home placement (pathway 3)</v>
      </c>
      <c r="C540" t="s">
        <v>217</v>
      </c>
      <c r="D540" t="s">
        <v>731</v>
      </c>
      <c r="E540">
        <v>1</v>
      </c>
      <c r="F540">
        <v>2</v>
      </c>
      <c r="G540">
        <v>2</v>
      </c>
      <c r="H540">
        <v>1</v>
      </c>
      <c r="I540">
        <v>3</v>
      </c>
      <c r="J540">
        <v>1</v>
      </c>
      <c r="K540">
        <v>2</v>
      </c>
      <c r="L540">
        <v>0</v>
      </c>
      <c r="M540">
        <v>0</v>
      </c>
      <c r="N540">
        <v>4</v>
      </c>
      <c r="O540">
        <v>1</v>
      </c>
      <c r="P540">
        <v>2</v>
      </c>
      <c r="Q540">
        <v>0</v>
      </c>
      <c r="R540">
        <v>1</v>
      </c>
      <c r="S540">
        <v>0</v>
      </c>
      <c r="W540"/>
      <c r="X540"/>
      <c r="Y540"/>
    </row>
    <row r="541" spans="1:25" x14ac:dyDescent="0.3">
      <c r="A541" t="str">
        <f>Table_Capacity_HD_frontsheet[[#This Row],[Name]]&amp;B541</f>
        <v>MertonSocial support (including VCS) (pathway 0)</v>
      </c>
      <c r="B541" t="str">
        <f>VLOOKUP(Table_Capacity_HD_frontsheet[[#This Row],[Service Area]],PathwayLookup!A:B,2,0)</f>
        <v>Social support (including VCS) (pathway 0)</v>
      </c>
      <c r="C541" t="s">
        <v>219</v>
      </c>
      <c r="D541" t="s">
        <v>726</v>
      </c>
      <c r="E541">
        <v>24</v>
      </c>
      <c r="F541">
        <v>24</v>
      </c>
      <c r="G541">
        <v>24</v>
      </c>
      <c r="H541">
        <v>24</v>
      </c>
      <c r="I541">
        <v>24</v>
      </c>
      <c r="J541">
        <v>24</v>
      </c>
      <c r="K541">
        <v>24</v>
      </c>
      <c r="L541">
        <v>24</v>
      </c>
      <c r="M541">
        <v>24</v>
      </c>
      <c r="N541">
        <v>24</v>
      </c>
      <c r="O541">
        <v>24</v>
      </c>
      <c r="P541">
        <v>24</v>
      </c>
      <c r="W541"/>
      <c r="X541"/>
      <c r="Y541"/>
    </row>
    <row r="542" spans="1:25" x14ac:dyDescent="0.3">
      <c r="A542" t="str">
        <f>Table_Capacity_HD_frontsheet[[#This Row],[Name]]&amp;B542</f>
        <v>MertonReablement &amp; Rehabilitation at home  (pathway 1)</v>
      </c>
      <c r="B542" t="str">
        <f>VLOOKUP(Table_Capacity_HD_frontsheet[[#This Row],[Service Area]],PathwayLookup!A:B,2,0)</f>
        <v>Reablement &amp; Rehabilitation at home  (pathway 1)</v>
      </c>
      <c r="C542" t="s">
        <v>219</v>
      </c>
      <c r="D542" t="s">
        <v>728</v>
      </c>
      <c r="E542">
        <v>36</v>
      </c>
      <c r="F542">
        <v>36</v>
      </c>
      <c r="G542">
        <v>36</v>
      </c>
      <c r="H542">
        <v>36</v>
      </c>
      <c r="I542">
        <v>36</v>
      </c>
      <c r="J542">
        <v>36</v>
      </c>
      <c r="K542">
        <v>36</v>
      </c>
      <c r="L542">
        <v>36</v>
      </c>
      <c r="M542">
        <v>36</v>
      </c>
      <c r="N542">
        <v>41</v>
      </c>
      <c r="O542">
        <v>31</v>
      </c>
      <c r="P542">
        <v>36</v>
      </c>
      <c r="W542"/>
      <c r="X542"/>
      <c r="Y542"/>
    </row>
    <row r="543" spans="1:25" x14ac:dyDescent="0.3">
      <c r="A543" t="str">
        <f>Table_Capacity_HD_frontsheet[[#This Row],[Name]]&amp;B543</f>
        <v>MertonReablement &amp; Rehabilitation at home  (pathway 1)</v>
      </c>
      <c r="B543" t="str">
        <f>VLOOKUP(Table_Capacity_HD_frontsheet[[#This Row],[Service Area]],PathwayLookup!A:B,2,0)</f>
        <v>Reablement &amp; Rehabilitation at home  (pathway 1)</v>
      </c>
      <c r="C543" t="s">
        <v>219</v>
      </c>
      <c r="D543" t="s">
        <v>721</v>
      </c>
      <c r="E543">
        <v>168</v>
      </c>
      <c r="F543">
        <v>165</v>
      </c>
      <c r="G543">
        <v>146</v>
      </c>
      <c r="H543">
        <v>142</v>
      </c>
      <c r="I543">
        <v>151</v>
      </c>
      <c r="J543">
        <v>143</v>
      </c>
      <c r="K543">
        <v>134</v>
      </c>
      <c r="L543">
        <v>137</v>
      </c>
      <c r="M543">
        <v>149</v>
      </c>
      <c r="N543">
        <v>146</v>
      </c>
      <c r="O543">
        <v>172</v>
      </c>
      <c r="P543">
        <v>178</v>
      </c>
      <c r="W543"/>
      <c r="X543"/>
      <c r="Y543"/>
    </row>
    <row r="544" spans="1:25" x14ac:dyDescent="0.3">
      <c r="A544" t="str">
        <f>Table_Capacity_HD_frontsheet[[#This Row],[Name]]&amp;B544</f>
        <v>MertonShort term domiciliary care (pathway 1)</v>
      </c>
      <c r="B544" t="str">
        <f>VLOOKUP(Table_Capacity_HD_frontsheet[[#This Row],[Service Area]],PathwayLookup!A:B,2,0)</f>
        <v>Short term domiciliary care (pathway 1)</v>
      </c>
      <c r="C544" t="s">
        <v>219</v>
      </c>
      <c r="D544" t="s">
        <v>730</v>
      </c>
      <c r="E544">
        <v>18</v>
      </c>
      <c r="F544">
        <v>27</v>
      </c>
      <c r="G544">
        <v>14</v>
      </c>
      <c r="H544">
        <v>12</v>
      </c>
      <c r="I544">
        <v>6</v>
      </c>
      <c r="J544">
        <v>6</v>
      </c>
      <c r="K544">
        <v>8</v>
      </c>
      <c r="L544">
        <v>12</v>
      </c>
      <c r="M544">
        <v>3</v>
      </c>
      <c r="N544">
        <v>36</v>
      </c>
      <c r="O544">
        <v>11</v>
      </c>
      <c r="P544">
        <v>11</v>
      </c>
      <c r="W544"/>
      <c r="X544"/>
      <c r="Y544"/>
    </row>
    <row r="545" spans="1:25" x14ac:dyDescent="0.3">
      <c r="A545" t="str">
        <f>Table_Capacity_HD_frontsheet[[#This Row],[Name]]&amp;B545</f>
        <v>MertonReablement &amp; Rehabilitation in a bedded setting (pathway 2)</v>
      </c>
      <c r="B545" t="str">
        <f>VLOOKUP(Table_Capacity_HD_frontsheet[[#This Row],[Service Area]],PathwayLookup!A:B,2,0)</f>
        <v>Reablement &amp; Rehabilitation in a bedded setting (pathway 2)</v>
      </c>
      <c r="C545" t="s">
        <v>219</v>
      </c>
      <c r="D545" t="s">
        <v>723</v>
      </c>
      <c r="E545">
        <v>0</v>
      </c>
      <c r="F545">
        <v>0</v>
      </c>
      <c r="G545">
        <v>0</v>
      </c>
      <c r="H545">
        <v>0</v>
      </c>
      <c r="I545">
        <v>0</v>
      </c>
      <c r="J545">
        <v>0</v>
      </c>
      <c r="K545">
        <v>0</v>
      </c>
      <c r="L545">
        <v>0</v>
      </c>
      <c r="M545">
        <v>0</v>
      </c>
      <c r="N545">
        <v>0</v>
      </c>
      <c r="O545">
        <v>0</v>
      </c>
      <c r="P545">
        <v>0</v>
      </c>
      <c r="W545"/>
      <c r="X545"/>
      <c r="Y545"/>
    </row>
    <row r="546" spans="1:25" x14ac:dyDescent="0.3">
      <c r="A546" t="str">
        <f>Table_Capacity_HD_frontsheet[[#This Row],[Name]]&amp;B546</f>
        <v>MertonReablement &amp; Rehabilitation in a bedded setting (pathway 2)</v>
      </c>
      <c r="B546" t="str">
        <f>VLOOKUP(Table_Capacity_HD_frontsheet[[#This Row],[Service Area]],PathwayLookup!A:B,2,0)</f>
        <v>Reablement &amp; Rehabilitation in a bedded setting (pathway 2)</v>
      </c>
      <c r="C546" t="s">
        <v>219</v>
      </c>
      <c r="D546" t="s">
        <v>725</v>
      </c>
      <c r="E546">
        <v>8</v>
      </c>
      <c r="F546">
        <v>8</v>
      </c>
      <c r="G546">
        <v>8</v>
      </c>
      <c r="H546">
        <v>8</v>
      </c>
      <c r="I546">
        <v>8</v>
      </c>
      <c r="J546">
        <v>8</v>
      </c>
      <c r="K546">
        <v>8</v>
      </c>
      <c r="L546">
        <v>8</v>
      </c>
      <c r="M546">
        <v>8</v>
      </c>
      <c r="N546">
        <v>8</v>
      </c>
      <c r="O546">
        <v>8</v>
      </c>
      <c r="P546">
        <v>8</v>
      </c>
      <c r="W546"/>
      <c r="X546"/>
      <c r="Y546"/>
    </row>
    <row r="547" spans="1:25" x14ac:dyDescent="0.3">
      <c r="A547" t="str">
        <f>Table_Capacity_HD_frontsheet[[#This Row],[Name]]&amp;B547</f>
        <v>MertonShort-term residential/nursing care for someone likely to require a longer-term care home placement (pathway 3)</v>
      </c>
      <c r="B547" t="str">
        <f>VLOOKUP(Table_Capacity_HD_frontsheet[[#This Row],[Service Area]],PathwayLookup!A:B,2,0)</f>
        <v>Short-term residential/nursing care for someone likely to require a longer-term care home placement (pathway 3)</v>
      </c>
      <c r="C547" t="s">
        <v>219</v>
      </c>
      <c r="D547" t="s">
        <v>731</v>
      </c>
      <c r="E547">
        <v>7</v>
      </c>
      <c r="F547">
        <v>10</v>
      </c>
      <c r="G547">
        <v>9</v>
      </c>
      <c r="H547">
        <v>9</v>
      </c>
      <c r="I547">
        <v>5</v>
      </c>
      <c r="J547">
        <v>13</v>
      </c>
      <c r="K547">
        <v>8</v>
      </c>
      <c r="L547">
        <v>7</v>
      </c>
      <c r="M547">
        <v>2</v>
      </c>
      <c r="N547">
        <v>10</v>
      </c>
      <c r="O547">
        <v>8</v>
      </c>
      <c r="P547">
        <v>11</v>
      </c>
      <c r="W547"/>
      <c r="X547"/>
      <c r="Y547"/>
    </row>
    <row r="548" spans="1:25" x14ac:dyDescent="0.3">
      <c r="A548" t="str">
        <f>Table_Capacity_HD_frontsheet[[#This Row],[Name]]&amp;B548</f>
        <v>MiddlesbroughSocial support (including VCS) (pathway 0)</v>
      </c>
      <c r="B548" t="str">
        <f>VLOOKUP(Table_Capacity_HD_frontsheet[[#This Row],[Service Area]],PathwayLookup!A:B,2,0)</f>
        <v>Social support (including VCS) (pathway 0)</v>
      </c>
      <c r="C548" t="s">
        <v>221</v>
      </c>
      <c r="D548" t="s">
        <v>726</v>
      </c>
      <c r="E548">
        <v>0</v>
      </c>
      <c r="F548">
        <v>0</v>
      </c>
      <c r="G548">
        <v>0</v>
      </c>
      <c r="H548">
        <v>0</v>
      </c>
      <c r="I548">
        <v>0</v>
      </c>
      <c r="J548">
        <v>0</v>
      </c>
      <c r="K548">
        <v>0</v>
      </c>
      <c r="L548">
        <v>0</v>
      </c>
      <c r="M548">
        <v>0</v>
      </c>
      <c r="N548">
        <v>0</v>
      </c>
      <c r="O548">
        <v>0</v>
      </c>
      <c r="P548">
        <v>0</v>
      </c>
      <c r="Q548">
        <v>0</v>
      </c>
      <c r="R548">
        <v>0</v>
      </c>
      <c r="S548">
        <v>0</v>
      </c>
      <c r="W548"/>
      <c r="X548"/>
      <c r="Y548"/>
    </row>
    <row r="549" spans="1:25" x14ac:dyDescent="0.3">
      <c r="A549" t="str">
        <f>Table_Capacity_HD_frontsheet[[#This Row],[Name]]&amp;B549</f>
        <v>MiddlesbroughReablement &amp; Rehabilitation at home  (pathway 1)</v>
      </c>
      <c r="B549" t="str">
        <f>VLOOKUP(Table_Capacity_HD_frontsheet[[#This Row],[Service Area]],PathwayLookup!A:B,2,0)</f>
        <v>Reablement &amp; Rehabilitation at home  (pathway 1)</v>
      </c>
      <c r="C549" t="s">
        <v>221</v>
      </c>
      <c r="D549" t="s">
        <v>728</v>
      </c>
      <c r="E549">
        <v>27</v>
      </c>
      <c r="F549">
        <v>27</v>
      </c>
      <c r="G549">
        <v>27</v>
      </c>
      <c r="H549">
        <v>27</v>
      </c>
      <c r="I549">
        <v>27</v>
      </c>
      <c r="J549">
        <v>27</v>
      </c>
      <c r="K549">
        <v>27</v>
      </c>
      <c r="L549">
        <v>27</v>
      </c>
      <c r="M549">
        <v>27</v>
      </c>
      <c r="N549">
        <v>27</v>
      </c>
      <c r="O549">
        <v>25</v>
      </c>
      <c r="P549">
        <v>27</v>
      </c>
      <c r="Q549">
        <v>0</v>
      </c>
      <c r="R549">
        <v>1</v>
      </c>
      <c r="S549">
        <v>0</v>
      </c>
      <c r="W549"/>
      <c r="X549"/>
      <c r="Y549"/>
    </row>
    <row r="550" spans="1:25" x14ac:dyDescent="0.3">
      <c r="A550" t="str">
        <f>Table_Capacity_HD_frontsheet[[#This Row],[Name]]&amp;B550</f>
        <v>MiddlesbroughReablement &amp; Rehabilitation at home  (pathway 1)</v>
      </c>
      <c r="B550" t="str">
        <f>VLOOKUP(Table_Capacity_HD_frontsheet[[#This Row],[Service Area]],PathwayLookup!A:B,2,0)</f>
        <v>Reablement &amp; Rehabilitation at home  (pathway 1)</v>
      </c>
      <c r="C550" t="s">
        <v>221</v>
      </c>
      <c r="D550" t="s">
        <v>721</v>
      </c>
      <c r="E550">
        <v>36</v>
      </c>
      <c r="F550">
        <v>36</v>
      </c>
      <c r="G550">
        <v>36</v>
      </c>
      <c r="H550">
        <v>36</v>
      </c>
      <c r="I550">
        <v>43</v>
      </c>
      <c r="J550">
        <v>43</v>
      </c>
      <c r="K550">
        <v>43</v>
      </c>
      <c r="L550">
        <v>43</v>
      </c>
      <c r="M550">
        <v>43</v>
      </c>
      <c r="N550">
        <v>43</v>
      </c>
      <c r="O550">
        <v>57</v>
      </c>
      <c r="P550">
        <v>57</v>
      </c>
      <c r="Q550">
        <v>0</v>
      </c>
      <c r="R550">
        <v>0</v>
      </c>
      <c r="S550">
        <v>0</v>
      </c>
      <c r="W550"/>
      <c r="X550"/>
      <c r="Y550"/>
    </row>
    <row r="551" spans="1:25" x14ac:dyDescent="0.3">
      <c r="A551" t="str">
        <f>Table_Capacity_HD_frontsheet[[#This Row],[Name]]&amp;B551</f>
        <v>MiddlesbroughShort term domiciliary care (pathway 1)</v>
      </c>
      <c r="B551" t="str">
        <f>VLOOKUP(Table_Capacity_HD_frontsheet[[#This Row],[Service Area]],PathwayLookup!A:B,2,0)</f>
        <v>Short term domiciliary care (pathway 1)</v>
      </c>
      <c r="C551" t="s">
        <v>221</v>
      </c>
      <c r="D551" t="s">
        <v>730</v>
      </c>
      <c r="E551">
        <v>67</v>
      </c>
      <c r="F551">
        <v>70</v>
      </c>
      <c r="G551">
        <v>67</v>
      </c>
      <c r="H551">
        <v>60</v>
      </c>
      <c r="I551">
        <v>60</v>
      </c>
      <c r="J551">
        <v>58</v>
      </c>
      <c r="K551">
        <v>60</v>
      </c>
      <c r="L551">
        <v>58</v>
      </c>
      <c r="M551">
        <v>60</v>
      </c>
      <c r="N551">
        <v>60</v>
      </c>
      <c r="O551">
        <v>56</v>
      </c>
      <c r="P551">
        <v>60</v>
      </c>
      <c r="Q551">
        <v>0</v>
      </c>
      <c r="R551">
        <v>1</v>
      </c>
      <c r="S551">
        <v>0</v>
      </c>
      <c r="W551"/>
      <c r="X551"/>
      <c r="Y551"/>
    </row>
    <row r="552" spans="1:25" x14ac:dyDescent="0.3">
      <c r="A552" t="str">
        <f>Table_Capacity_HD_frontsheet[[#This Row],[Name]]&amp;B552</f>
        <v>MiddlesbroughReablement &amp; Rehabilitation in a bedded setting (pathway 2)</v>
      </c>
      <c r="B552" t="str">
        <f>VLOOKUP(Table_Capacity_HD_frontsheet[[#This Row],[Service Area]],PathwayLookup!A:B,2,0)</f>
        <v>Reablement &amp; Rehabilitation in a bedded setting (pathway 2)</v>
      </c>
      <c r="C552" t="s">
        <v>221</v>
      </c>
      <c r="D552" t="s">
        <v>723</v>
      </c>
      <c r="E552">
        <v>42</v>
      </c>
      <c r="F552">
        <v>44</v>
      </c>
      <c r="G552">
        <v>46</v>
      </c>
      <c r="H552">
        <v>48</v>
      </c>
      <c r="I552">
        <v>48</v>
      </c>
      <c r="J552">
        <v>46</v>
      </c>
      <c r="K552">
        <v>48</v>
      </c>
      <c r="L552">
        <v>46</v>
      </c>
      <c r="M552">
        <v>48</v>
      </c>
      <c r="N552">
        <v>48</v>
      </c>
      <c r="O552">
        <v>44</v>
      </c>
      <c r="P552">
        <v>48</v>
      </c>
      <c r="Q552">
        <v>0</v>
      </c>
      <c r="R552">
        <v>1</v>
      </c>
      <c r="S552">
        <v>0</v>
      </c>
      <c r="W552"/>
      <c r="X552"/>
      <c r="Y552"/>
    </row>
    <row r="553" spans="1:25" x14ac:dyDescent="0.3">
      <c r="A553" t="str">
        <f>Table_Capacity_HD_frontsheet[[#This Row],[Name]]&amp;B553</f>
        <v>MiddlesbroughReablement &amp; Rehabilitation in a bedded setting (pathway 2)</v>
      </c>
      <c r="B553" t="str">
        <f>VLOOKUP(Table_Capacity_HD_frontsheet[[#This Row],[Service Area]],PathwayLookup!A:B,2,0)</f>
        <v>Reablement &amp; Rehabilitation in a bedded setting (pathway 2)</v>
      </c>
      <c r="C553" t="s">
        <v>221</v>
      </c>
      <c r="D553" t="s">
        <v>725</v>
      </c>
      <c r="E553">
        <v>0</v>
      </c>
      <c r="F553">
        <v>0</v>
      </c>
      <c r="G553">
        <v>0</v>
      </c>
      <c r="H553">
        <v>0</v>
      </c>
      <c r="I553">
        <v>0</v>
      </c>
      <c r="J553">
        <v>0</v>
      </c>
      <c r="K553">
        <v>0</v>
      </c>
      <c r="L553">
        <v>0</v>
      </c>
      <c r="M553">
        <v>0</v>
      </c>
      <c r="N553">
        <v>0</v>
      </c>
      <c r="O553">
        <v>0</v>
      </c>
      <c r="P553">
        <v>0</v>
      </c>
      <c r="Q553">
        <v>0</v>
      </c>
      <c r="R553">
        <v>0</v>
      </c>
      <c r="S553">
        <v>0</v>
      </c>
      <c r="W553"/>
      <c r="X553"/>
      <c r="Y553"/>
    </row>
    <row r="554" spans="1:25" x14ac:dyDescent="0.3">
      <c r="A554" t="str">
        <f>Table_Capacity_HD_frontsheet[[#This Row],[Name]]&amp;B554</f>
        <v>MiddlesbroughShort-term residential/nursing care for someone likely to require a longer-term care home placement (pathway 3)</v>
      </c>
      <c r="B554" t="str">
        <f>VLOOKUP(Table_Capacity_HD_frontsheet[[#This Row],[Service Area]],PathwayLookup!A:B,2,0)</f>
        <v>Short-term residential/nursing care for someone likely to require a longer-term care home placement (pathway 3)</v>
      </c>
      <c r="C554" t="s">
        <v>221</v>
      </c>
      <c r="D554" t="s">
        <v>731</v>
      </c>
      <c r="E554">
        <v>0</v>
      </c>
      <c r="F554">
        <v>0</v>
      </c>
      <c r="G554">
        <v>0</v>
      </c>
      <c r="H554">
        <v>0</v>
      </c>
      <c r="I554">
        <v>0</v>
      </c>
      <c r="J554">
        <v>0</v>
      </c>
      <c r="K554">
        <v>0</v>
      </c>
      <c r="L554">
        <v>0</v>
      </c>
      <c r="M554">
        <v>0</v>
      </c>
      <c r="N554">
        <v>0</v>
      </c>
      <c r="O554">
        <v>0</v>
      </c>
      <c r="P554">
        <v>0</v>
      </c>
      <c r="Q554">
        <v>0</v>
      </c>
      <c r="R554">
        <v>0</v>
      </c>
      <c r="S554">
        <v>0</v>
      </c>
      <c r="W554"/>
      <c r="X554"/>
      <c r="Y554"/>
    </row>
    <row r="555" spans="1:25" x14ac:dyDescent="0.3">
      <c r="A555" t="str">
        <f>Table_Capacity_HD_frontsheet[[#This Row],[Name]]&amp;B555</f>
        <v>Milton KeynesSocial support (including VCS) (pathway 0)</v>
      </c>
      <c r="B555" t="str">
        <f>VLOOKUP(Table_Capacity_HD_frontsheet[[#This Row],[Service Area]],PathwayLookup!A:B,2,0)</f>
        <v>Social support (including VCS) (pathway 0)</v>
      </c>
      <c r="C555" t="s">
        <v>223</v>
      </c>
      <c r="D555" t="s">
        <v>726</v>
      </c>
      <c r="E555">
        <v>83</v>
      </c>
      <c r="F555">
        <v>83</v>
      </c>
      <c r="G555">
        <v>83</v>
      </c>
      <c r="H555">
        <v>83</v>
      </c>
      <c r="I555">
        <v>83</v>
      </c>
      <c r="J555">
        <v>83</v>
      </c>
      <c r="K555">
        <v>83</v>
      </c>
      <c r="L555">
        <v>83</v>
      </c>
      <c r="M555">
        <v>83</v>
      </c>
      <c r="N555">
        <v>83</v>
      </c>
      <c r="O555">
        <v>83</v>
      </c>
      <c r="P555">
        <v>83</v>
      </c>
      <c r="Q555">
        <v>1</v>
      </c>
      <c r="W555"/>
      <c r="X555"/>
      <c r="Y555"/>
    </row>
    <row r="556" spans="1:25" x14ac:dyDescent="0.3">
      <c r="A556" t="str">
        <f>Table_Capacity_HD_frontsheet[[#This Row],[Name]]&amp;B556</f>
        <v>Milton KeynesReablement &amp; Rehabilitation at home  (pathway 1)</v>
      </c>
      <c r="B556" t="str">
        <f>VLOOKUP(Table_Capacity_HD_frontsheet[[#This Row],[Service Area]],PathwayLookup!A:B,2,0)</f>
        <v>Reablement &amp; Rehabilitation at home  (pathway 1)</v>
      </c>
      <c r="C556" t="s">
        <v>223</v>
      </c>
      <c r="D556" t="s">
        <v>728</v>
      </c>
      <c r="E556">
        <v>24</v>
      </c>
      <c r="F556">
        <v>24</v>
      </c>
      <c r="G556">
        <v>24</v>
      </c>
      <c r="H556">
        <v>24</v>
      </c>
      <c r="I556">
        <v>24</v>
      </c>
      <c r="J556">
        <v>24</v>
      </c>
      <c r="K556">
        <v>24</v>
      </c>
      <c r="L556">
        <v>24</v>
      </c>
      <c r="M556">
        <v>24</v>
      </c>
      <c r="N556">
        <v>24</v>
      </c>
      <c r="O556">
        <v>24</v>
      </c>
      <c r="P556">
        <v>24</v>
      </c>
      <c r="R556">
        <v>1</v>
      </c>
      <c r="W556"/>
      <c r="X556"/>
      <c r="Y556"/>
    </row>
    <row r="557" spans="1:25" x14ac:dyDescent="0.3">
      <c r="A557" t="str">
        <f>Table_Capacity_HD_frontsheet[[#This Row],[Name]]&amp;B557</f>
        <v>Milton KeynesReablement &amp; Rehabilitation at home  (pathway 1)</v>
      </c>
      <c r="B557" t="str">
        <f>VLOOKUP(Table_Capacity_HD_frontsheet[[#This Row],[Service Area]],PathwayLookup!A:B,2,0)</f>
        <v>Reablement &amp; Rehabilitation at home  (pathway 1)</v>
      </c>
      <c r="C557" t="s">
        <v>223</v>
      </c>
      <c r="D557" t="s">
        <v>721</v>
      </c>
      <c r="E557">
        <v>0</v>
      </c>
      <c r="F557">
        <v>0</v>
      </c>
      <c r="G557">
        <v>0</v>
      </c>
      <c r="H557">
        <v>0</v>
      </c>
      <c r="I557">
        <v>0</v>
      </c>
      <c r="J557">
        <v>0</v>
      </c>
      <c r="K557">
        <v>0</v>
      </c>
      <c r="L557">
        <v>0</v>
      </c>
      <c r="M557">
        <v>0</v>
      </c>
      <c r="N557">
        <v>0</v>
      </c>
      <c r="O557">
        <v>0</v>
      </c>
      <c r="P557">
        <v>0</v>
      </c>
      <c r="W557"/>
      <c r="X557"/>
      <c r="Y557"/>
    </row>
    <row r="558" spans="1:25" x14ac:dyDescent="0.3">
      <c r="A558" t="str">
        <f>Table_Capacity_HD_frontsheet[[#This Row],[Name]]&amp;B558</f>
        <v>Milton KeynesShort term domiciliary care (pathway 1)</v>
      </c>
      <c r="B558" t="str">
        <f>VLOOKUP(Table_Capacity_HD_frontsheet[[#This Row],[Service Area]],PathwayLookup!A:B,2,0)</f>
        <v>Short term domiciliary care (pathway 1)</v>
      </c>
      <c r="C558" t="s">
        <v>223</v>
      </c>
      <c r="D558" t="s">
        <v>730</v>
      </c>
      <c r="E558">
        <v>30</v>
      </c>
      <c r="F558">
        <v>30</v>
      </c>
      <c r="G558">
        <v>30</v>
      </c>
      <c r="H558">
        <v>30</v>
      </c>
      <c r="I558">
        <v>30</v>
      </c>
      <c r="J558">
        <v>30</v>
      </c>
      <c r="K558">
        <v>30</v>
      </c>
      <c r="L558">
        <v>30</v>
      </c>
      <c r="M558">
        <v>30</v>
      </c>
      <c r="N558">
        <v>30</v>
      </c>
      <c r="O558">
        <v>30</v>
      </c>
      <c r="P558">
        <v>30</v>
      </c>
      <c r="R558">
        <v>1</v>
      </c>
      <c r="W558"/>
      <c r="X558"/>
      <c r="Y558"/>
    </row>
    <row r="559" spans="1:25" x14ac:dyDescent="0.3">
      <c r="A559" t="str">
        <f>Table_Capacity_HD_frontsheet[[#This Row],[Name]]&amp;B559</f>
        <v>Milton KeynesReablement &amp; Rehabilitation in a bedded setting (pathway 2)</v>
      </c>
      <c r="B559" t="str">
        <f>VLOOKUP(Table_Capacity_HD_frontsheet[[#This Row],[Service Area]],PathwayLookup!A:B,2,0)</f>
        <v>Reablement &amp; Rehabilitation in a bedded setting (pathway 2)</v>
      </c>
      <c r="C559" t="s">
        <v>223</v>
      </c>
      <c r="D559" t="s">
        <v>723</v>
      </c>
      <c r="E559">
        <v>4</v>
      </c>
      <c r="F559">
        <v>4</v>
      </c>
      <c r="G559">
        <v>4</v>
      </c>
      <c r="H559">
        <v>4</v>
      </c>
      <c r="I559">
        <v>4</v>
      </c>
      <c r="J559">
        <v>4</v>
      </c>
      <c r="K559">
        <v>4</v>
      </c>
      <c r="L559">
        <v>4</v>
      </c>
      <c r="M559">
        <v>4</v>
      </c>
      <c r="N559">
        <v>4</v>
      </c>
      <c r="O559">
        <v>4</v>
      </c>
      <c r="P559">
        <v>4</v>
      </c>
      <c r="R559">
        <v>1</v>
      </c>
      <c r="W559"/>
      <c r="X559"/>
      <c r="Y559"/>
    </row>
    <row r="560" spans="1:25" x14ac:dyDescent="0.3">
      <c r="A560" t="str">
        <f>Table_Capacity_HD_frontsheet[[#This Row],[Name]]&amp;B560</f>
        <v>Milton KeynesReablement &amp; Rehabilitation in a bedded setting (pathway 2)</v>
      </c>
      <c r="B560" t="str">
        <f>VLOOKUP(Table_Capacity_HD_frontsheet[[#This Row],[Service Area]],PathwayLookup!A:B,2,0)</f>
        <v>Reablement &amp; Rehabilitation in a bedded setting (pathway 2)</v>
      </c>
      <c r="C560" t="s">
        <v>223</v>
      </c>
      <c r="D560" t="s">
        <v>725</v>
      </c>
      <c r="E560">
        <v>3</v>
      </c>
      <c r="F560">
        <v>3</v>
      </c>
      <c r="G560">
        <v>3</v>
      </c>
      <c r="H560">
        <v>3</v>
      </c>
      <c r="I560">
        <v>3</v>
      </c>
      <c r="J560">
        <v>3</v>
      </c>
      <c r="K560">
        <v>3</v>
      </c>
      <c r="L560">
        <v>3</v>
      </c>
      <c r="M560">
        <v>3</v>
      </c>
      <c r="N560">
        <v>3</v>
      </c>
      <c r="O560">
        <v>3</v>
      </c>
      <c r="P560">
        <v>3</v>
      </c>
      <c r="Q560">
        <v>1</v>
      </c>
      <c r="W560"/>
      <c r="X560"/>
      <c r="Y560"/>
    </row>
    <row r="561" spans="1:25" x14ac:dyDescent="0.3">
      <c r="A561" t="str">
        <f>Table_Capacity_HD_frontsheet[[#This Row],[Name]]&amp;B561</f>
        <v>Milton KeynesShort-term residential/nursing care for someone likely to require a longer-term care home placement (pathway 3)</v>
      </c>
      <c r="B561" t="str">
        <f>VLOOKUP(Table_Capacity_HD_frontsheet[[#This Row],[Service Area]],PathwayLookup!A:B,2,0)</f>
        <v>Short-term residential/nursing care for someone likely to require a longer-term care home placement (pathway 3)</v>
      </c>
      <c r="C561" t="s">
        <v>223</v>
      </c>
      <c r="D561" t="s">
        <v>731</v>
      </c>
      <c r="E561">
        <v>4</v>
      </c>
      <c r="F561">
        <v>4</v>
      </c>
      <c r="G561">
        <v>4</v>
      </c>
      <c r="H561">
        <v>4</v>
      </c>
      <c r="I561">
        <v>4</v>
      </c>
      <c r="J561">
        <v>4</v>
      </c>
      <c r="K561">
        <v>4</v>
      </c>
      <c r="L561">
        <v>4</v>
      </c>
      <c r="M561">
        <v>4</v>
      </c>
      <c r="N561">
        <v>4</v>
      </c>
      <c r="O561">
        <v>4</v>
      </c>
      <c r="P561">
        <v>4</v>
      </c>
      <c r="Q561">
        <v>1</v>
      </c>
      <c r="W561"/>
      <c r="X561"/>
      <c r="Y561"/>
    </row>
    <row r="562" spans="1:25" x14ac:dyDescent="0.3">
      <c r="A562" t="str">
        <f>Table_Capacity_HD_frontsheet[[#This Row],[Name]]&amp;B562</f>
        <v>Newcastle upon TyneSocial support (including VCS) (pathway 0)</v>
      </c>
      <c r="B562" t="str">
        <f>VLOOKUP(Table_Capacity_HD_frontsheet[[#This Row],[Service Area]],PathwayLookup!A:B,2,0)</f>
        <v>Social support (including VCS) (pathway 0)</v>
      </c>
      <c r="C562" t="s">
        <v>225</v>
      </c>
      <c r="D562" t="s">
        <v>726</v>
      </c>
      <c r="E562">
        <v>7</v>
      </c>
      <c r="F562">
        <v>12</v>
      </c>
      <c r="G562">
        <v>12</v>
      </c>
      <c r="H562">
        <v>12</v>
      </c>
      <c r="I562">
        <v>15</v>
      </c>
      <c r="J562">
        <v>16</v>
      </c>
      <c r="K562">
        <v>17</v>
      </c>
      <c r="L562">
        <v>18</v>
      </c>
      <c r="M562">
        <v>19</v>
      </c>
      <c r="N562">
        <v>20</v>
      </c>
      <c r="O562">
        <v>21</v>
      </c>
      <c r="P562">
        <v>22</v>
      </c>
      <c r="Q562">
        <v>1</v>
      </c>
      <c r="W562"/>
      <c r="X562"/>
      <c r="Y562"/>
    </row>
    <row r="563" spans="1:25" x14ac:dyDescent="0.3">
      <c r="A563" t="str">
        <f>Table_Capacity_HD_frontsheet[[#This Row],[Name]]&amp;B563</f>
        <v>Newcastle upon TyneReablement &amp; Rehabilitation at home  (pathway 1)</v>
      </c>
      <c r="B563" t="str">
        <f>VLOOKUP(Table_Capacity_HD_frontsheet[[#This Row],[Service Area]],PathwayLookup!A:B,2,0)</f>
        <v>Reablement &amp; Rehabilitation at home  (pathway 1)</v>
      </c>
      <c r="C563" t="s">
        <v>225</v>
      </c>
      <c r="D563" t="s">
        <v>728</v>
      </c>
      <c r="E563">
        <v>50</v>
      </c>
      <c r="F563">
        <v>73</v>
      </c>
      <c r="G563">
        <v>57</v>
      </c>
      <c r="H563">
        <v>42</v>
      </c>
      <c r="I563">
        <v>53</v>
      </c>
      <c r="J563">
        <v>39</v>
      </c>
      <c r="K563">
        <v>55</v>
      </c>
      <c r="L563">
        <v>54</v>
      </c>
      <c r="M563">
        <v>47</v>
      </c>
      <c r="N563">
        <v>48</v>
      </c>
      <c r="O563">
        <v>57</v>
      </c>
      <c r="P563">
        <v>66</v>
      </c>
      <c r="R563">
        <v>1</v>
      </c>
      <c r="W563"/>
      <c r="X563"/>
      <c r="Y563"/>
    </row>
    <row r="564" spans="1:25" x14ac:dyDescent="0.3">
      <c r="A564" t="str">
        <f>Table_Capacity_HD_frontsheet[[#This Row],[Name]]&amp;B564</f>
        <v>Newcastle upon TyneReablement &amp; Rehabilitation at home  (pathway 1)</v>
      </c>
      <c r="B564" t="str">
        <f>VLOOKUP(Table_Capacity_HD_frontsheet[[#This Row],[Service Area]],PathwayLookup!A:B,2,0)</f>
        <v>Reablement &amp; Rehabilitation at home  (pathway 1)</v>
      </c>
      <c r="C564" t="s">
        <v>225</v>
      </c>
      <c r="D564" t="s">
        <v>721</v>
      </c>
      <c r="E564">
        <v>0</v>
      </c>
      <c r="F564">
        <v>0</v>
      </c>
      <c r="G564">
        <v>0</v>
      </c>
      <c r="H564">
        <v>0</v>
      </c>
      <c r="I564">
        <v>0</v>
      </c>
      <c r="J564">
        <v>0</v>
      </c>
      <c r="K564">
        <v>0</v>
      </c>
      <c r="L564">
        <v>0</v>
      </c>
      <c r="M564">
        <v>0</v>
      </c>
      <c r="N564">
        <v>0</v>
      </c>
      <c r="O564">
        <v>0</v>
      </c>
      <c r="P564">
        <v>0</v>
      </c>
      <c r="Q564">
        <v>1</v>
      </c>
      <c r="W564"/>
      <c r="X564"/>
      <c r="Y564"/>
    </row>
    <row r="565" spans="1:25" x14ac:dyDescent="0.3">
      <c r="A565" t="str">
        <f>Table_Capacity_HD_frontsheet[[#This Row],[Name]]&amp;B565</f>
        <v>Newcastle upon TyneShort term domiciliary care (pathway 1)</v>
      </c>
      <c r="B565" t="str">
        <f>VLOOKUP(Table_Capacity_HD_frontsheet[[#This Row],[Service Area]],PathwayLookup!A:B,2,0)</f>
        <v>Short term domiciliary care (pathway 1)</v>
      </c>
      <c r="C565" t="s">
        <v>225</v>
      </c>
      <c r="D565" t="s">
        <v>730</v>
      </c>
      <c r="E565">
        <v>0</v>
      </c>
      <c r="F565">
        <v>0</v>
      </c>
      <c r="G565">
        <v>0</v>
      </c>
      <c r="H565">
        <v>0</v>
      </c>
      <c r="I565">
        <v>0</v>
      </c>
      <c r="J565">
        <v>0</v>
      </c>
      <c r="K565">
        <v>0</v>
      </c>
      <c r="L565">
        <v>0</v>
      </c>
      <c r="M565">
        <v>0</v>
      </c>
      <c r="N565">
        <v>0</v>
      </c>
      <c r="O565">
        <v>0</v>
      </c>
      <c r="P565">
        <v>0</v>
      </c>
      <c r="Q565">
        <v>0</v>
      </c>
      <c r="R565">
        <v>0</v>
      </c>
      <c r="S565">
        <v>0</v>
      </c>
      <c r="W565"/>
      <c r="X565"/>
      <c r="Y565"/>
    </row>
    <row r="566" spans="1:25" x14ac:dyDescent="0.3">
      <c r="A566" t="str">
        <f>Table_Capacity_HD_frontsheet[[#This Row],[Name]]&amp;B566</f>
        <v>Newcastle upon TyneReablement &amp; Rehabilitation in a bedded setting (pathway 2)</v>
      </c>
      <c r="B566" t="str">
        <f>VLOOKUP(Table_Capacity_HD_frontsheet[[#This Row],[Service Area]],PathwayLookup!A:B,2,0)</f>
        <v>Reablement &amp; Rehabilitation in a bedded setting (pathway 2)</v>
      </c>
      <c r="C566" t="s">
        <v>225</v>
      </c>
      <c r="D566" t="s">
        <v>723</v>
      </c>
      <c r="E566">
        <v>0</v>
      </c>
      <c r="F566">
        <v>0</v>
      </c>
      <c r="G566">
        <v>0</v>
      </c>
      <c r="H566">
        <v>0</v>
      </c>
      <c r="I566">
        <v>0</v>
      </c>
      <c r="J566">
        <v>0</v>
      </c>
      <c r="K566">
        <v>0</v>
      </c>
      <c r="L566">
        <v>0</v>
      </c>
      <c r="M566">
        <v>0</v>
      </c>
      <c r="N566">
        <v>0</v>
      </c>
      <c r="O566">
        <v>0</v>
      </c>
      <c r="P566">
        <v>0</v>
      </c>
      <c r="Q566">
        <v>0</v>
      </c>
      <c r="R566">
        <v>0</v>
      </c>
      <c r="S566">
        <v>0</v>
      </c>
      <c r="W566"/>
      <c r="X566"/>
      <c r="Y566"/>
    </row>
    <row r="567" spans="1:25" x14ac:dyDescent="0.3">
      <c r="A567" t="str">
        <f>Table_Capacity_HD_frontsheet[[#This Row],[Name]]&amp;B567</f>
        <v>Newcastle upon TyneReablement &amp; Rehabilitation in a bedded setting (pathway 2)</v>
      </c>
      <c r="B567" t="str">
        <f>VLOOKUP(Table_Capacity_HD_frontsheet[[#This Row],[Service Area]],PathwayLookup!A:B,2,0)</f>
        <v>Reablement &amp; Rehabilitation in a bedded setting (pathway 2)</v>
      </c>
      <c r="C567" t="s">
        <v>225</v>
      </c>
      <c r="D567" t="s">
        <v>725</v>
      </c>
      <c r="E567">
        <v>56</v>
      </c>
      <c r="F567">
        <v>58</v>
      </c>
      <c r="G567">
        <v>56</v>
      </c>
      <c r="H567">
        <v>58</v>
      </c>
      <c r="I567">
        <v>58</v>
      </c>
      <c r="J567">
        <v>56</v>
      </c>
      <c r="K567">
        <v>58</v>
      </c>
      <c r="L567">
        <v>56</v>
      </c>
      <c r="M567">
        <v>58</v>
      </c>
      <c r="N567">
        <v>58</v>
      </c>
      <c r="O567">
        <v>52</v>
      </c>
      <c r="P567">
        <v>58</v>
      </c>
      <c r="Q567">
        <v>0.33</v>
      </c>
      <c r="R567">
        <v>0.67</v>
      </c>
      <c r="W567"/>
      <c r="X567"/>
      <c r="Y567"/>
    </row>
    <row r="568" spans="1:25" x14ac:dyDescent="0.3">
      <c r="A568" t="str">
        <f>Table_Capacity_HD_frontsheet[[#This Row],[Name]]&amp;B568</f>
        <v>Newcastle upon TyneShort-term residential/nursing care for someone likely to require a longer-term care home placement (pathway 3)</v>
      </c>
      <c r="B568" t="str">
        <f>VLOOKUP(Table_Capacity_HD_frontsheet[[#This Row],[Service Area]],PathwayLookup!A:B,2,0)</f>
        <v>Short-term residential/nursing care for someone likely to require a longer-term care home placement (pathway 3)</v>
      </c>
      <c r="C568" t="s">
        <v>225</v>
      </c>
      <c r="D568" t="s">
        <v>731</v>
      </c>
      <c r="E568">
        <v>80</v>
      </c>
      <c r="F568">
        <v>80</v>
      </c>
      <c r="G568">
        <v>80</v>
      </c>
      <c r="H568">
        <v>80</v>
      </c>
      <c r="I568">
        <v>80</v>
      </c>
      <c r="J568">
        <v>80</v>
      </c>
      <c r="K568">
        <v>80</v>
      </c>
      <c r="L568">
        <v>80</v>
      </c>
      <c r="M568">
        <v>80</v>
      </c>
      <c r="N568">
        <v>80</v>
      </c>
      <c r="O568">
        <v>80</v>
      </c>
      <c r="P568">
        <v>80</v>
      </c>
      <c r="Q568">
        <v>1</v>
      </c>
      <c r="R568">
        <v>0</v>
      </c>
      <c r="S568">
        <v>0</v>
      </c>
      <c r="W568"/>
      <c r="X568"/>
      <c r="Y568"/>
    </row>
    <row r="569" spans="1:25" x14ac:dyDescent="0.3">
      <c r="A569" t="str">
        <f>Table_Capacity_HD_frontsheet[[#This Row],[Name]]&amp;B569</f>
        <v>NewhamSocial support (including VCS) (pathway 0)</v>
      </c>
      <c r="B569" t="str">
        <f>VLOOKUP(Table_Capacity_HD_frontsheet[[#This Row],[Service Area]],PathwayLookup!A:B,2,0)</f>
        <v>Social support (including VCS) (pathway 0)</v>
      </c>
      <c r="C569" t="s">
        <v>227</v>
      </c>
      <c r="D569" t="s">
        <v>726</v>
      </c>
      <c r="E569">
        <v>663.78883603559223</v>
      </c>
      <c r="F569">
        <v>790.92247037442428</v>
      </c>
      <c r="G569">
        <v>769.35827017958388</v>
      </c>
      <c r="H569">
        <v>925.41599840320885</v>
      </c>
      <c r="I569">
        <v>954.55312586493471</v>
      </c>
      <c r="J569">
        <v>943.22326305897582</v>
      </c>
      <c r="K569">
        <v>948.98051122383492</v>
      </c>
      <c r="L569">
        <v>971.31154603250161</v>
      </c>
      <c r="M569">
        <v>939.51715247669836</v>
      </c>
      <c r="N569">
        <v>930.10618756042027</v>
      </c>
      <c r="O569">
        <v>944.99729178165637</v>
      </c>
      <c r="P569">
        <v>931.64997596554349</v>
      </c>
      <c r="S569">
        <v>1</v>
      </c>
      <c r="W569"/>
      <c r="X569"/>
      <c r="Y569"/>
    </row>
    <row r="570" spans="1:25" x14ac:dyDescent="0.3">
      <c r="A570" t="str">
        <f>Table_Capacity_HD_frontsheet[[#This Row],[Name]]&amp;B570</f>
        <v>NewhamReablement &amp; Rehabilitation at home  (pathway 1)</v>
      </c>
      <c r="B570" t="str">
        <f>VLOOKUP(Table_Capacity_HD_frontsheet[[#This Row],[Service Area]],PathwayLookup!A:B,2,0)</f>
        <v>Reablement &amp; Rehabilitation at home  (pathway 1)</v>
      </c>
      <c r="C570" t="s">
        <v>227</v>
      </c>
      <c r="D570" t="s">
        <v>728</v>
      </c>
      <c r="E570">
        <v>87.567991944236795</v>
      </c>
      <c r="F570">
        <v>103.43954754865062</v>
      </c>
      <c r="G570">
        <v>98.499697389351795</v>
      </c>
      <c r="H570">
        <v>98.829020733305043</v>
      </c>
      <c r="I570">
        <v>93.033844666794323</v>
      </c>
      <c r="J570">
        <v>92.887478736148395</v>
      </c>
      <c r="K570">
        <v>92.192240565580448</v>
      </c>
      <c r="L570">
        <v>95.357403815797824</v>
      </c>
      <c r="M570">
        <v>94.661058384738595</v>
      </c>
      <c r="N570">
        <v>115.58334585692684</v>
      </c>
      <c r="O570">
        <v>91.428667467038679</v>
      </c>
      <c r="P570">
        <v>92.173944824249702</v>
      </c>
      <c r="S570">
        <v>1</v>
      </c>
      <c r="W570"/>
      <c r="X570"/>
      <c r="Y570"/>
    </row>
    <row r="571" spans="1:25" x14ac:dyDescent="0.3">
      <c r="A571" t="str">
        <f>Table_Capacity_HD_frontsheet[[#This Row],[Name]]&amp;B571</f>
        <v>NewhamReablement &amp; Rehabilitation at home  (pathway 1)</v>
      </c>
      <c r="B571" t="str">
        <f>VLOOKUP(Table_Capacity_HD_frontsheet[[#This Row],[Service Area]],PathwayLookup!A:B,2,0)</f>
        <v>Reablement &amp; Rehabilitation at home  (pathway 1)</v>
      </c>
      <c r="C571" t="s">
        <v>227</v>
      </c>
      <c r="D571" t="s">
        <v>721</v>
      </c>
      <c r="E571">
        <v>19.42413513881877</v>
      </c>
      <c r="F571">
        <v>16.287010420552196</v>
      </c>
      <c r="G571">
        <v>12.42536905603558</v>
      </c>
      <c r="H571">
        <v>20.924874907185089</v>
      </c>
      <c r="I571">
        <v>7.2947610874563171</v>
      </c>
      <c r="J571">
        <v>12.963857494814954</v>
      </c>
      <c r="K571">
        <v>6.956592595603678</v>
      </c>
      <c r="L571">
        <v>10.360858957503147</v>
      </c>
      <c r="M571">
        <v>7.6563609844021068</v>
      </c>
      <c r="N571">
        <v>2.3679037493584474</v>
      </c>
      <c r="O571">
        <v>9.9632046682669912</v>
      </c>
      <c r="P571">
        <v>11.391685310732592</v>
      </c>
      <c r="S571">
        <v>1</v>
      </c>
      <c r="W571"/>
      <c r="X571"/>
      <c r="Y571"/>
    </row>
    <row r="572" spans="1:25" x14ac:dyDescent="0.3">
      <c r="A572" t="str">
        <f>Table_Capacity_HD_frontsheet[[#This Row],[Name]]&amp;B572</f>
        <v>NewhamShort term domiciliary care (pathway 1)</v>
      </c>
      <c r="B572" t="str">
        <f>VLOOKUP(Table_Capacity_HD_frontsheet[[#This Row],[Service Area]],PathwayLookup!A:B,2,0)</f>
        <v>Short term domiciliary care (pathway 1)</v>
      </c>
      <c r="C572" t="s">
        <v>227</v>
      </c>
      <c r="D572" t="s">
        <v>730</v>
      </c>
      <c r="E572">
        <v>19.42413513881877</v>
      </c>
      <c r="F572">
        <v>16.287010420552196</v>
      </c>
      <c r="G572">
        <v>12.42536905603558</v>
      </c>
      <c r="H572">
        <v>20.924874907185089</v>
      </c>
      <c r="I572">
        <v>7.2947610874563171</v>
      </c>
      <c r="J572">
        <v>12.963857494814954</v>
      </c>
      <c r="K572">
        <v>6.956592595603678</v>
      </c>
      <c r="L572">
        <v>10.360858957503147</v>
      </c>
      <c r="M572">
        <v>7.6563609844021068</v>
      </c>
      <c r="N572">
        <v>2.3679037493584474</v>
      </c>
      <c r="O572">
        <v>9.9632046682669912</v>
      </c>
      <c r="P572">
        <v>11.391685310732592</v>
      </c>
      <c r="S572">
        <v>1</v>
      </c>
      <c r="W572"/>
      <c r="X572"/>
      <c r="Y572"/>
    </row>
    <row r="573" spans="1:25" x14ac:dyDescent="0.3">
      <c r="A573" t="str">
        <f>Table_Capacity_HD_frontsheet[[#This Row],[Name]]&amp;B573</f>
        <v>NewhamReablement &amp; Rehabilitation in a bedded setting (pathway 2)</v>
      </c>
      <c r="B573" t="str">
        <f>VLOOKUP(Table_Capacity_HD_frontsheet[[#This Row],[Service Area]],PathwayLookup!A:B,2,0)</f>
        <v>Reablement &amp; Rehabilitation in a bedded setting (pathway 2)</v>
      </c>
      <c r="C573" t="s">
        <v>227</v>
      </c>
      <c r="D573" t="s">
        <v>723</v>
      </c>
      <c r="E573">
        <v>10.541118260079298</v>
      </c>
      <c r="F573">
        <v>12.716728356879669</v>
      </c>
      <c r="G573">
        <v>10.321342775531267</v>
      </c>
      <c r="H573">
        <v>7.9841831419173088</v>
      </c>
      <c r="I573">
        <v>8.8698352754187173</v>
      </c>
      <c r="J573">
        <v>7.8846908458487315</v>
      </c>
      <c r="K573">
        <v>7.7803092842222625</v>
      </c>
      <c r="L573">
        <v>7.5124297353143152</v>
      </c>
      <c r="M573">
        <v>8.1726915346156694</v>
      </c>
      <c r="N573">
        <v>7.9794515946032192</v>
      </c>
      <c r="O573">
        <v>7.4702137405965088</v>
      </c>
      <c r="P573">
        <v>7.9769281027023711</v>
      </c>
      <c r="S573">
        <v>1</v>
      </c>
      <c r="W573"/>
      <c r="X573"/>
      <c r="Y573"/>
    </row>
    <row r="574" spans="1:25" x14ac:dyDescent="0.3">
      <c r="A574" t="str">
        <f>Table_Capacity_HD_frontsheet[[#This Row],[Name]]&amp;B574</f>
        <v>NewhamReablement &amp; Rehabilitation in a bedded setting (pathway 2)</v>
      </c>
      <c r="B574" t="str">
        <f>VLOOKUP(Table_Capacity_HD_frontsheet[[#This Row],[Service Area]],PathwayLookup!A:B,2,0)</f>
        <v>Reablement &amp; Rehabilitation in a bedded setting (pathway 2)</v>
      </c>
      <c r="C574" t="s">
        <v>227</v>
      </c>
      <c r="D574" t="s">
        <v>725</v>
      </c>
      <c r="E574">
        <v>10.541118260079298</v>
      </c>
      <c r="F574">
        <v>12.716728356879669</v>
      </c>
      <c r="G574">
        <v>10.321342775531267</v>
      </c>
      <c r="H574">
        <v>7.9841831419173088</v>
      </c>
      <c r="I574">
        <v>8.8698352754187173</v>
      </c>
      <c r="J574">
        <v>7.8846908458487315</v>
      </c>
      <c r="K574">
        <v>7.7803092842222625</v>
      </c>
      <c r="L574">
        <v>7.5124297353143152</v>
      </c>
      <c r="M574">
        <v>8.1726915346156694</v>
      </c>
      <c r="N574">
        <v>7.9794515946032192</v>
      </c>
      <c r="O574">
        <v>7.4702137405965088</v>
      </c>
      <c r="P574">
        <v>7.9769281027023711</v>
      </c>
      <c r="S574">
        <v>1</v>
      </c>
      <c r="W574"/>
      <c r="X574"/>
      <c r="Y574"/>
    </row>
    <row r="575" spans="1:25" x14ac:dyDescent="0.3">
      <c r="A575" t="str">
        <f>Table_Capacity_HD_frontsheet[[#This Row],[Name]]&amp;B575</f>
        <v>NewhamShort-term residential/nursing care for someone likely to require a longer-term care home placement (pathway 3)</v>
      </c>
      <c r="B575" t="str">
        <f>VLOOKUP(Table_Capacity_HD_frontsheet[[#This Row],[Service Area]],PathwayLookup!A:B,2,0)</f>
        <v>Short-term residential/nursing care for someone likely to require a longer-term care home placement (pathway 3)</v>
      </c>
      <c r="C575" t="s">
        <v>227</v>
      </c>
      <c r="D575" t="s">
        <v>731</v>
      </c>
      <c r="E575">
        <v>13.099194735715402</v>
      </c>
      <c r="F575">
        <v>21.435746880076348</v>
      </c>
      <c r="G575">
        <v>13.948891508583056</v>
      </c>
      <c r="H575">
        <v>12.525821685057691</v>
      </c>
      <c r="I575">
        <v>14.888094401266438</v>
      </c>
      <c r="J575">
        <v>15.27401327053987</v>
      </c>
      <c r="K575">
        <v>14.253868117091956</v>
      </c>
      <c r="L575">
        <v>19.731924273908778</v>
      </c>
      <c r="M575">
        <v>22.149985573644017</v>
      </c>
      <c r="N575">
        <v>21.745690645427597</v>
      </c>
      <c r="O575">
        <v>20.51719519784271</v>
      </c>
      <c r="P575">
        <v>22.123975310526639</v>
      </c>
      <c r="S575">
        <v>1</v>
      </c>
      <c r="W575"/>
      <c r="X575"/>
      <c r="Y575"/>
    </row>
    <row r="576" spans="1:25" x14ac:dyDescent="0.3">
      <c r="A576" t="str">
        <f>Table_Capacity_HD_frontsheet[[#This Row],[Name]]&amp;B576</f>
        <v>NorfolkSocial support (including VCS) (pathway 0)</v>
      </c>
      <c r="B576" t="str">
        <f>VLOOKUP(Table_Capacity_HD_frontsheet[[#This Row],[Service Area]],PathwayLookup!A:B,2,0)</f>
        <v>Social support (including VCS) (pathway 0)</v>
      </c>
      <c r="C576" t="s">
        <v>229</v>
      </c>
      <c r="D576" t="s">
        <v>726</v>
      </c>
      <c r="E576">
        <v>354</v>
      </c>
      <c r="F576">
        <v>354</v>
      </c>
      <c r="G576">
        <v>354</v>
      </c>
      <c r="H576">
        <v>354</v>
      </c>
      <c r="I576">
        <v>354</v>
      </c>
      <c r="J576">
        <v>354</v>
      </c>
      <c r="K576">
        <v>354</v>
      </c>
      <c r="L576">
        <v>354</v>
      </c>
      <c r="M576">
        <v>354</v>
      </c>
      <c r="N576">
        <v>354</v>
      </c>
      <c r="O576">
        <v>354</v>
      </c>
      <c r="P576">
        <v>354</v>
      </c>
      <c r="Q576">
        <v>0.45</v>
      </c>
      <c r="R576">
        <v>0.45</v>
      </c>
      <c r="S576">
        <v>0.1</v>
      </c>
      <c r="W576"/>
      <c r="X576"/>
      <c r="Y576"/>
    </row>
    <row r="577" spans="1:25" x14ac:dyDescent="0.3">
      <c r="A577" t="str">
        <f>Table_Capacity_HD_frontsheet[[#This Row],[Name]]&amp;B577</f>
        <v>NorfolkReablement &amp; Rehabilitation at home  (pathway 1)</v>
      </c>
      <c r="B577" t="str">
        <f>VLOOKUP(Table_Capacity_HD_frontsheet[[#This Row],[Service Area]],PathwayLookup!A:B,2,0)</f>
        <v>Reablement &amp; Rehabilitation at home  (pathway 1)</v>
      </c>
      <c r="C577" t="s">
        <v>229</v>
      </c>
      <c r="D577" t="s">
        <v>728</v>
      </c>
      <c r="E577">
        <v>295</v>
      </c>
      <c r="F577">
        <v>305</v>
      </c>
      <c r="G577">
        <v>295</v>
      </c>
      <c r="H577">
        <v>305</v>
      </c>
      <c r="I577">
        <v>310</v>
      </c>
      <c r="J577">
        <v>300</v>
      </c>
      <c r="K577">
        <v>310</v>
      </c>
      <c r="L577">
        <v>300</v>
      </c>
      <c r="M577">
        <v>310</v>
      </c>
      <c r="N577">
        <v>310</v>
      </c>
      <c r="O577">
        <v>281</v>
      </c>
      <c r="P577">
        <v>310</v>
      </c>
      <c r="Q577">
        <v>0.23</v>
      </c>
      <c r="R577">
        <v>0.77</v>
      </c>
      <c r="S577">
        <v>0</v>
      </c>
      <c r="W577"/>
      <c r="X577"/>
      <c r="Y577"/>
    </row>
    <row r="578" spans="1:25" x14ac:dyDescent="0.3">
      <c r="A578" t="str">
        <f>Table_Capacity_HD_frontsheet[[#This Row],[Name]]&amp;B578</f>
        <v>NorfolkReablement &amp; Rehabilitation at home  (pathway 1)</v>
      </c>
      <c r="B578" t="str">
        <f>VLOOKUP(Table_Capacity_HD_frontsheet[[#This Row],[Service Area]],PathwayLookup!A:B,2,0)</f>
        <v>Reablement &amp; Rehabilitation at home  (pathway 1)</v>
      </c>
      <c r="C578" t="s">
        <v>229</v>
      </c>
      <c r="D578" t="s">
        <v>721</v>
      </c>
      <c r="E578">
        <v>115</v>
      </c>
      <c r="F578">
        <v>132</v>
      </c>
      <c r="G578">
        <v>115</v>
      </c>
      <c r="H578">
        <v>123</v>
      </c>
      <c r="I578">
        <v>134</v>
      </c>
      <c r="J578">
        <v>135</v>
      </c>
      <c r="K578">
        <v>143</v>
      </c>
      <c r="L578">
        <v>156</v>
      </c>
      <c r="M578">
        <v>175</v>
      </c>
      <c r="N578">
        <v>184</v>
      </c>
      <c r="O578">
        <v>117</v>
      </c>
      <c r="P578">
        <v>133</v>
      </c>
      <c r="Q578">
        <v>0.96</v>
      </c>
      <c r="R578">
        <v>0.04</v>
      </c>
      <c r="S578">
        <v>0</v>
      </c>
      <c r="W578"/>
      <c r="X578"/>
      <c r="Y578"/>
    </row>
    <row r="579" spans="1:25" x14ac:dyDescent="0.3">
      <c r="A579" t="str">
        <f>Table_Capacity_HD_frontsheet[[#This Row],[Name]]&amp;B579</f>
        <v>NorfolkShort term domiciliary care (pathway 1)</v>
      </c>
      <c r="B579" t="str">
        <f>VLOOKUP(Table_Capacity_HD_frontsheet[[#This Row],[Service Area]],PathwayLookup!A:B,2,0)</f>
        <v>Short term domiciliary care (pathway 1)</v>
      </c>
      <c r="C579" t="s">
        <v>229</v>
      </c>
      <c r="D579" t="s">
        <v>730</v>
      </c>
      <c r="E579">
        <v>45</v>
      </c>
      <c r="F579">
        <v>46</v>
      </c>
      <c r="G579">
        <v>16</v>
      </c>
      <c r="H579">
        <v>28</v>
      </c>
      <c r="I579">
        <v>46</v>
      </c>
      <c r="J579">
        <v>52</v>
      </c>
      <c r="K579">
        <v>72</v>
      </c>
      <c r="L579">
        <v>96</v>
      </c>
      <c r="M579">
        <v>132</v>
      </c>
      <c r="N579">
        <v>132</v>
      </c>
      <c r="O579">
        <v>32</v>
      </c>
      <c r="P579">
        <v>63</v>
      </c>
      <c r="Q579">
        <v>0</v>
      </c>
      <c r="R579">
        <v>1</v>
      </c>
      <c r="S579">
        <v>0</v>
      </c>
      <c r="W579"/>
      <c r="X579"/>
      <c r="Y579"/>
    </row>
    <row r="580" spans="1:25" x14ac:dyDescent="0.3">
      <c r="A580" t="str">
        <f>Table_Capacity_HD_frontsheet[[#This Row],[Name]]&amp;B580</f>
        <v>NorfolkReablement &amp; Rehabilitation in a bedded setting (pathway 2)</v>
      </c>
      <c r="B580" t="str">
        <f>VLOOKUP(Table_Capacity_HD_frontsheet[[#This Row],[Service Area]],PathwayLookup!A:B,2,0)</f>
        <v>Reablement &amp; Rehabilitation in a bedded setting (pathway 2)</v>
      </c>
      <c r="C580" t="s">
        <v>229</v>
      </c>
      <c r="D580" t="s">
        <v>723</v>
      </c>
      <c r="E580">
        <v>32</v>
      </c>
      <c r="F580">
        <v>32</v>
      </c>
      <c r="G580">
        <v>32</v>
      </c>
      <c r="H580">
        <v>32</v>
      </c>
      <c r="I580">
        <v>32</v>
      </c>
      <c r="J580">
        <v>32</v>
      </c>
      <c r="K580">
        <v>32</v>
      </c>
      <c r="L580">
        <v>32</v>
      </c>
      <c r="M580">
        <v>32</v>
      </c>
      <c r="N580">
        <v>32</v>
      </c>
      <c r="O580">
        <v>32</v>
      </c>
      <c r="P580">
        <v>32</v>
      </c>
      <c r="Q580">
        <v>0.23</v>
      </c>
      <c r="R580">
        <v>0.77</v>
      </c>
      <c r="S580">
        <v>0</v>
      </c>
      <c r="W580"/>
      <c r="X580"/>
      <c r="Y580"/>
    </row>
    <row r="581" spans="1:25" x14ac:dyDescent="0.3">
      <c r="A581" t="str">
        <f>Table_Capacity_HD_frontsheet[[#This Row],[Name]]&amp;B581</f>
        <v>NorfolkReablement &amp; Rehabilitation in a bedded setting (pathway 2)</v>
      </c>
      <c r="B581" t="str">
        <f>VLOOKUP(Table_Capacity_HD_frontsheet[[#This Row],[Service Area]],PathwayLookup!A:B,2,0)</f>
        <v>Reablement &amp; Rehabilitation in a bedded setting (pathway 2)</v>
      </c>
      <c r="C581" t="s">
        <v>229</v>
      </c>
      <c r="D581" t="s">
        <v>725</v>
      </c>
      <c r="E581">
        <v>189</v>
      </c>
      <c r="F581">
        <v>189</v>
      </c>
      <c r="G581">
        <v>189</v>
      </c>
      <c r="H581">
        <v>183</v>
      </c>
      <c r="I581">
        <v>183</v>
      </c>
      <c r="J581">
        <v>172</v>
      </c>
      <c r="K581">
        <v>213</v>
      </c>
      <c r="L581">
        <v>228</v>
      </c>
      <c r="M581">
        <v>220</v>
      </c>
      <c r="N581">
        <v>220</v>
      </c>
      <c r="O581">
        <v>201</v>
      </c>
      <c r="P581">
        <v>236</v>
      </c>
      <c r="Q581">
        <v>0.83</v>
      </c>
      <c r="R581">
        <v>0.17</v>
      </c>
      <c r="S581">
        <v>0</v>
      </c>
      <c r="W581"/>
      <c r="X581"/>
      <c r="Y581"/>
    </row>
    <row r="582" spans="1:25" x14ac:dyDescent="0.3">
      <c r="A582" t="str">
        <f>Table_Capacity_HD_frontsheet[[#This Row],[Name]]&amp;B582</f>
        <v>NorfolkShort-term residential/nursing care for someone likely to require a longer-term care home placement (pathway 3)</v>
      </c>
      <c r="B582" t="str">
        <f>VLOOKUP(Table_Capacity_HD_frontsheet[[#This Row],[Service Area]],PathwayLookup!A:B,2,0)</f>
        <v>Short-term residential/nursing care for someone likely to require a longer-term care home placement (pathway 3)</v>
      </c>
      <c r="C582" t="s">
        <v>229</v>
      </c>
      <c r="D582" t="s">
        <v>731</v>
      </c>
      <c r="E582">
        <v>50</v>
      </c>
      <c r="F582">
        <v>73</v>
      </c>
      <c r="G582">
        <v>80</v>
      </c>
      <c r="H582">
        <v>65</v>
      </c>
      <c r="I582">
        <v>66</v>
      </c>
      <c r="J582">
        <v>73</v>
      </c>
      <c r="K582">
        <v>90</v>
      </c>
      <c r="L582">
        <v>81</v>
      </c>
      <c r="M582">
        <v>96</v>
      </c>
      <c r="N582">
        <v>91</v>
      </c>
      <c r="O582">
        <v>101</v>
      </c>
      <c r="P582">
        <v>99</v>
      </c>
      <c r="Q582">
        <v>0</v>
      </c>
      <c r="R582">
        <v>0</v>
      </c>
      <c r="S582">
        <v>1</v>
      </c>
      <c r="W582"/>
      <c r="X582"/>
      <c r="Y582"/>
    </row>
    <row r="583" spans="1:25" x14ac:dyDescent="0.3">
      <c r="A583" t="str">
        <f>Table_Capacity_HD_frontsheet[[#This Row],[Name]]&amp;B583</f>
        <v>North East LincolnshireSocial support (including VCS) (pathway 0)</v>
      </c>
      <c r="B583" t="str">
        <f>VLOOKUP(Table_Capacity_HD_frontsheet[[#This Row],[Service Area]],PathwayLookup!A:B,2,0)</f>
        <v>Social support (including VCS) (pathway 0)</v>
      </c>
      <c r="C583" t="s">
        <v>231</v>
      </c>
      <c r="D583" t="s">
        <v>726</v>
      </c>
      <c r="E583">
        <v>60</v>
      </c>
      <c r="F583">
        <v>60</v>
      </c>
      <c r="G583">
        <v>60</v>
      </c>
      <c r="H583">
        <v>60</v>
      </c>
      <c r="I583">
        <v>60</v>
      </c>
      <c r="J583">
        <v>60</v>
      </c>
      <c r="K583">
        <v>60</v>
      </c>
      <c r="L583">
        <v>60</v>
      </c>
      <c r="M583">
        <v>60</v>
      </c>
      <c r="N583">
        <v>60</v>
      </c>
      <c r="O583">
        <v>60</v>
      </c>
      <c r="P583">
        <v>60</v>
      </c>
      <c r="S583">
        <v>1</v>
      </c>
      <c r="W583"/>
      <c r="X583"/>
      <c r="Y583"/>
    </row>
    <row r="584" spans="1:25" x14ac:dyDescent="0.3">
      <c r="A584" t="str">
        <f>Table_Capacity_HD_frontsheet[[#This Row],[Name]]&amp;B584</f>
        <v>North East LincolnshireReablement &amp; Rehabilitation at home  (pathway 1)</v>
      </c>
      <c r="B584" t="str">
        <f>VLOOKUP(Table_Capacity_HD_frontsheet[[#This Row],[Service Area]],PathwayLookup!A:B,2,0)</f>
        <v>Reablement &amp; Rehabilitation at home  (pathway 1)</v>
      </c>
      <c r="C584" t="s">
        <v>231</v>
      </c>
      <c r="D584" t="s">
        <v>728</v>
      </c>
      <c r="E584">
        <v>31</v>
      </c>
      <c r="F584">
        <v>31</v>
      </c>
      <c r="G584">
        <v>31</v>
      </c>
      <c r="H584">
        <v>31</v>
      </c>
      <c r="I584">
        <v>31</v>
      </c>
      <c r="J584">
        <v>31</v>
      </c>
      <c r="K584">
        <v>31</v>
      </c>
      <c r="L584">
        <v>31</v>
      </c>
      <c r="M584">
        <v>31</v>
      </c>
      <c r="N584">
        <v>31</v>
      </c>
      <c r="O584">
        <v>31</v>
      </c>
      <c r="P584">
        <v>31</v>
      </c>
      <c r="S584">
        <v>1</v>
      </c>
      <c r="W584"/>
      <c r="X584"/>
      <c r="Y584"/>
    </row>
    <row r="585" spans="1:25" x14ac:dyDescent="0.3">
      <c r="A585" t="str">
        <f>Table_Capacity_HD_frontsheet[[#This Row],[Name]]&amp;B585</f>
        <v>North East LincolnshireReablement &amp; Rehabilitation at home  (pathway 1)</v>
      </c>
      <c r="B585" t="str">
        <f>VLOOKUP(Table_Capacity_HD_frontsheet[[#This Row],[Service Area]],PathwayLookup!A:B,2,0)</f>
        <v>Reablement &amp; Rehabilitation at home  (pathway 1)</v>
      </c>
      <c r="C585" t="s">
        <v>231</v>
      </c>
      <c r="D585" t="s">
        <v>721</v>
      </c>
      <c r="E585">
        <v>0</v>
      </c>
      <c r="F585">
        <v>0</v>
      </c>
      <c r="G585">
        <v>0</v>
      </c>
      <c r="H585">
        <v>0</v>
      </c>
      <c r="I585">
        <v>0</v>
      </c>
      <c r="J585">
        <v>0</v>
      </c>
      <c r="K585">
        <v>0</v>
      </c>
      <c r="L585">
        <v>0</v>
      </c>
      <c r="M585">
        <v>0</v>
      </c>
      <c r="N585">
        <v>0</v>
      </c>
      <c r="O585">
        <v>0</v>
      </c>
      <c r="P585">
        <v>0</v>
      </c>
      <c r="S585">
        <v>1</v>
      </c>
      <c r="W585"/>
      <c r="X585"/>
      <c r="Y585"/>
    </row>
    <row r="586" spans="1:25" x14ac:dyDescent="0.3">
      <c r="A586" t="str">
        <f>Table_Capacity_HD_frontsheet[[#This Row],[Name]]&amp;B586</f>
        <v>North East LincolnshireShort term domiciliary care (pathway 1)</v>
      </c>
      <c r="B586" t="str">
        <f>VLOOKUP(Table_Capacity_HD_frontsheet[[#This Row],[Service Area]],PathwayLookup!A:B,2,0)</f>
        <v>Short term domiciliary care (pathway 1)</v>
      </c>
      <c r="C586" t="s">
        <v>231</v>
      </c>
      <c r="D586" t="s">
        <v>730</v>
      </c>
      <c r="E586">
        <v>44</v>
      </c>
      <c r="F586">
        <v>44</v>
      </c>
      <c r="G586">
        <v>44</v>
      </c>
      <c r="H586">
        <v>44</v>
      </c>
      <c r="I586">
        <v>44</v>
      </c>
      <c r="J586">
        <v>44</v>
      </c>
      <c r="K586">
        <v>44</v>
      </c>
      <c r="L586">
        <v>44</v>
      </c>
      <c r="M586">
        <v>44</v>
      </c>
      <c r="N586">
        <v>44</v>
      </c>
      <c r="O586">
        <v>44</v>
      </c>
      <c r="P586">
        <v>44</v>
      </c>
      <c r="S586">
        <v>1</v>
      </c>
      <c r="W586"/>
      <c r="X586"/>
      <c r="Y586"/>
    </row>
    <row r="587" spans="1:25" x14ac:dyDescent="0.3">
      <c r="A587" t="str">
        <f>Table_Capacity_HD_frontsheet[[#This Row],[Name]]&amp;B587</f>
        <v>North East LincolnshireReablement &amp; Rehabilitation in a bedded setting (pathway 2)</v>
      </c>
      <c r="B587" t="str">
        <f>VLOOKUP(Table_Capacity_HD_frontsheet[[#This Row],[Service Area]],PathwayLookup!A:B,2,0)</f>
        <v>Reablement &amp; Rehabilitation in a bedded setting (pathway 2)</v>
      </c>
      <c r="C587" t="s">
        <v>231</v>
      </c>
      <c r="D587" t="s">
        <v>723</v>
      </c>
      <c r="E587">
        <v>58</v>
      </c>
      <c r="F587">
        <v>58</v>
      </c>
      <c r="G587">
        <v>58</v>
      </c>
      <c r="H587">
        <v>58</v>
      </c>
      <c r="I587">
        <v>58</v>
      </c>
      <c r="J587">
        <v>58</v>
      </c>
      <c r="K587">
        <v>58</v>
      </c>
      <c r="L587">
        <v>60</v>
      </c>
      <c r="M587">
        <v>60</v>
      </c>
      <c r="N587">
        <v>60</v>
      </c>
      <c r="O587">
        <v>60</v>
      </c>
      <c r="P587">
        <v>60</v>
      </c>
      <c r="S587">
        <v>1</v>
      </c>
      <c r="W587"/>
      <c r="X587"/>
      <c r="Y587"/>
    </row>
    <row r="588" spans="1:25" x14ac:dyDescent="0.3">
      <c r="A588" t="str">
        <f>Table_Capacity_HD_frontsheet[[#This Row],[Name]]&amp;B588</f>
        <v>North East LincolnshireReablement &amp; Rehabilitation in a bedded setting (pathway 2)</v>
      </c>
      <c r="B588" t="str">
        <f>VLOOKUP(Table_Capacity_HD_frontsheet[[#This Row],[Service Area]],PathwayLookup!A:B,2,0)</f>
        <v>Reablement &amp; Rehabilitation in a bedded setting (pathway 2)</v>
      </c>
      <c r="C588" t="s">
        <v>231</v>
      </c>
      <c r="D588" t="s">
        <v>725</v>
      </c>
      <c r="E588">
        <v>0</v>
      </c>
      <c r="F588">
        <v>0</v>
      </c>
      <c r="G588">
        <v>0</v>
      </c>
      <c r="H588">
        <v>0</v>
      </c>
      <c r="I588">
        <v>0</v>
      </c>
      <c r="J588">
        <v>0</v>
      </c>
      <c r="K588">
        <v>0</v>
      </c>
      <c r="L588">
        <v>0</v>
      </c>
      <c r="M588">
        <v>0</v>
      </c>
      <c r="N588">
        <v>0</v>
      </c>
      <c r="O588">
        <v>0</v>
      </c>
      <c r="P588">
        <v>0</v>
      </c>
      <c r="S588">
        <v>1</v>
      </c>
      <c r="W588"/>
      <c r="X588"/>
      <c r="Y588"/>
    </row>
    <row r="589" spans="1:25" x14ac:dyDescent="0.3">
      <c r="A589" t="str">
        <f>Table_Capacity_HD_frontsheet[[#This Row],[Name]]&amp;B589</f>
        <v>North East LincolnshireShort-term residential/nursing care for someone likely to require a longer-term care home placement (pathway 3)</v>
      </c>
      <c r="B589" t="str">
        <f>VLOOKUP(Table_Capacity_HD_frontsheet[[#This Row],[Service Area]],PathwayLookup!A:B,2,0)</f>
        <v>Short-term residential/nursing care for someone likely to require a longer-term care home placement (pathway 3)</v>
      </c>
      <c r="C589" t="s">
        <v>231</v>
      </c>
      <c r="D589" t="s">
        <v>731</v>
      </c>
      <c r="E589">
        <v>18</v>
      </c>
      <c r="F589">
        <v>18</v>
      </c>
      <c r="G589">
        <v>18</v>
      </c>
      <c r="H589">
        <v>18</v>
      </c>
      <c r="I589">
        <v>18</v>
      </c>
      <c r="J589">
        <v>18</v>
      </c>
      <c r="K589">
        <v>18</v>
      </c>
      <c r="L589">
        <v>18</v>
      </c>
      <c r="M589">
        <v>18</v>
      </c>
      <c r="N589">
        <v>18</v>
      </c>
      <c r="O589">
        <v>18</v>
      </c>
      <c r="P589">
        <v>18</v>
      </c>
      <c r="S589">
        <v>1</v>
      </c>
      <c r="W589"/>
      <c r="X589"/>
      <c r="Y589"/>
    </row>
    <row r="590" spans="1:25" x14ac:dyDescent="0.3">
      <c r="A590" t="str">
        <f>Table_Capacity_HD_frontsheet[[#This Row],[Name]]&amp;B590</f>
        <v>North LincolnshireSocial support (including VCS) (pathway 0)</v>
      </c>
      <c r="B590" t="str">
        <f>VLOOKUP(Table_Capacity_HD_frontsheet[[#This Row],[Service Area]],PathwayLookup!A:B,2,0)</f>
        <v>Social support (including VCS) (pathway 0)</v>
      </c>
      <c r="C590" t="s">
        <v>233</v>
      </c>
      <c r="D590" t="s">
        <v>726</v>
      </c>
      <c r="E590">
        <v>126</v>
      </c>
      <c r="F590">
        <v>126</v>
      </c>
      <c r="G590">
        <v>126</v>
      </c>
      <c r="H590">
        <v>126</v>
      </c>
      <c r="I590">
        <v>126</v>
      </c>
      <c r="J590">
        <v>126</v>
      </c>
      <c r="K590">
        <v>126</v>
      </c>
      <c r="L590">
        <v>126</v>
      </c>
      <c r="M590">
        <v>126</v>
      </c>
      <c r="N590">
        <v>126</v>
      </c>
      <c r="O590">
        <v>126</v>
      </c>
      <c r="P590">
        <v>126</v>
      </c>
      <c r="Q590">
        <v>1</v>
      </c>
      <c r="W590"/>
      <c r="X590"/>
      <c r="Y590"/>
    </row>
    <row r="591" spans="1:25" x14ac:dyDescent="0.3">
      <c r="A591" t="str">
        <f>Table_Capacity_HD_frontsheet[[#This Row],[Name]]&amp;B591</f>
        <v>North LincolnshireReablement &amp; Rehabilitation at home  (pathway 1)</v>
      </c>
      <c r="B591" t="str">
        <f>VLOOKUP(Table_Capacity_HD_frontsheet[[#This Row],[Service Area]],PathwayLookup!A:B,2,0)</f>
        <v>Reablement &amp; Rehabilitation at home  (pathway 1)</v>
      </c>
      <c r="C591" t="s">
        <v>233</v>
      </c>
      <c r="D591" t="s">
        <v>728</v>
      </c>
      <c r="E591">
        <v>135</v>
      </c>
      <c r="F591">
        <v>140</v>
      </c>
      <c r="G591">
        <v>135</v>
      </c>
      <c r="H591">
        <v>140</v>
      </c>
      <c r="I591">
        <v>140</v>
      </c>
      <c r="J591">
        <v>179</v>
      </c>
      <c r="K591">
        <v>184</v>
      </c>
      <c r="L591">
        <v>179</v>
      </c>
      <c r="M591">
        <v>184</v>
      </c>
      <c r="N591">
        <v>184</v>
      </c>
      <c r="O591">
        <v>170</v>
      </c>
      <c r="P591">
        <v>184</v>
      </c>
      <c r="Q591">
        <v>0.02</v>
      </c>
      <c r="R591">
        <v>0.98</v>
      </c>
      <c r="W591"/>
      <c r="X591"/>
      <c r="Y591"/>
    </row>
    <row r="592" spans="1:25" x14ac:dyDescent="0.3">
      <c r="A592" t="str">
        <f>Table_Capacity_HD_frontsheet[[#This Row],[Name]]&amp;B592</f>
        <v>North LincolnshireReablement &amp; Rehabilitation at home  (pathway 1)</v>
      </c>
      <c r="B592" t="str">
        <f>VLOOKUP(Table_Capacity_HD_frontsheet[[#This Row],[Service Area]],PathwayLookup!A:B,2,0)</f>
        <v>Reablement &amp; Rehabilitation at home  (pathway 1)</v>
      </c>
      <c r="C592" t="s">
        <v>233</v>
      </c>
      <c r="D592" t="s">
        <v>721</v>
      </c>
      <c r="W592"/>
      <c r="X592"/>
      <c r="Y592"/>
    </row>
    <row r="593" spans="1:25" x14ac:dyDescent="0.3">
      <c r="A593" t="str">
        <f>Table_Capacity_HD_frontsheet[[#This Row],[Name]]&amp;B593</f>
        <v>North LincolnshireShort term domiciliary care (pathway 1)</v>
      </c>
      <c r="B593" t="str">
        <f>VLOOKUP(Table_Capacity_HD_frontsheet[[#This Row],[Service Area]],PathwayLookup!A:B,2,0)</f>
        <v>Short term domiciliary care (pathway 1)</v>
      </c>
      <c r="C593" t="s">
        <v>233</v>
      </c>
      <c r="D593" t="s">
        <v>730</v>
      </c>
      <c r="W593"/>
      <c r="X593"/>
      <c r="Y593"/>
    </row>
    <row r="594" spans="1:25" x14ac:dyDescent="0.3">
      <c r="A594" t="str">
        <f>Table_Capacity_HD_frontsheet[[#This Row],[Name]]&amp;B594</f>
        <v>North LincolnshireReablement &amp; Rehabilitation in a bedded setting (pathway 2)</v>
      </c>
      <c r="B594" t="str">
        <f>VLOOKUP(Table_Capacity_HD_frontsheet[[#This Row],[Service Area]],PathwayLookup!A:B,2,0)</f>
        <v>Reablement &amp; Rehabilitation in a bedded setting (pathway 2)</v>
      </c>
      <c r="C594" t="s">
        <v>233</v>
      </c>
      <c r="D594" t="s">
        <v>723</v>
      </c>
      <c r="E594">
        <v>17</v>
      </c>
      <c r="F594">
        <v>17</v>
      </c>
      <c r="G594">
        <v>17</v>
      </c>
      <c r="H594">
        <v>17</v>
      </c>
      <c r="I594">
        <v>17</v>
      </c>
      <c r="J594">
        <v>17</v>
      </c>
      <c r="K594">
        <v>17</v>
      </c>
      <c r="L594">
        <v>17</v>
      </c>
      <c r="M594">
        <v>17</v>
      </c>
      <c r="N594">
        <v>17</v>
      </c>
      <c r="O594">
        <v>17</v>
      </c>
      <c r="P594">
        <v>17</v>
      </c>
      <c r="Q594">
        <v>1</v>
      </c>
      <c r="W594"/>
      <c r="X594"/>
      <c r="Y594"/>
    </row>
    <row r="595" spans="1:25" x14ac:dyDescent="0.3">
      <c r="A595" t="str">
        <f>Table_Capacity_HD_frontsheet[[#This Row],[Name]]&amp;B595</f>
        <v>North LincolnshireReablement &amp; Rehabilitation in a bedded setting (pathway 2)</v>
      </c>
      <c r="B595" t="str">
        <f>VLOOKUP(Table_Capacity_HD_frontsheet[[#This Row],[Service Area]],PathwayLookup!A:B,2,0)</f>
        <v>Reablement &amp; Rehabilitation in a bedded setting (pathway 2)</v>
      </c>
      <c r="C595" t="s">
        <v>233</v>
      </c>
      <c r="D595" t="s">
        <v>725</v>
      </c>
      <c r="E595">
        <v>29</v>
      </c>
      <c r="F595">
        <v>29</v>
      </c>
      <c r="G595">
        <v>29</v>
      </c>
      <c r="H595">
        <v>29</v>
      </c>
      <c r="I595">
        <v>29</v>
      </c>
      <c r="J595">
        <v>29</v>
      </c>
      <c r="K595">
        <v>29</v>
      </c>
      <c r="L595">
        <v>29</v>
      </c>
      <c r="M595">
        <v>29</v>
      </c>
      <c r="N595">
        <v>29</v>
      </c>
      <c r="O595">
        <v>29</v>
      </c>
      <c r="P595">
        <v>29</v>
      </c>
      <c r="Q595">
        <v>1</v>
      </c>
      <c r="W595"/>
      <c r="X595"/>
      <c r="Y595"/>
    </row>
    <row r="596" spans="1:25" x14ac:dyDescent="0.3">
      <c r="A596" t="str">
        <f>Table_Capacity_HD_frontsheet[[#This Row],[Name]]&amp;B596</f>
        <v>North LincolnshireShort-term residential/nursing care for someone likely to require a longer-term care home placement (pathway 3)</v>
      </c>
      <c r="B596" t="str">
        <f>VLOOKUP(Table_Capacity_HD_frontsheet[[#This Row],[Service Area]],PathwayLookup!A:B,2,0)</f>
        <v>Short-term residential/nursing care for someone likely to require a longer-term care home placement (pathway 3)</v>
      </c>
      <c r="C596" t="s">
        <v>233</v>
      </c>
      <c r="D596" t="s">
        <v>731</v>
      </c>
      <c r="E596">
        <v>10</v>
      </c>
      <c r="F596">
        <v>10</v>
      </c>
      <c r="G596">
        <v>10</v>
      </c>
      <c r="H596">
        <v>10</v>
      </c>
      <c r="I596">
        <v>10</v>
      </c>
      <c r="J596">
        <v>10</v>
      </c>
      <c r="K596">
        <v>10</v>
      </c>
      <c r="L596">
        <v>10</v>
      </c>
      <c r="M596">
        <v>10</v>
      </c>
      <c r="N596">
        <v>10</v>
      </c>
      <c r="O596">
        <v>10</v>
      </c>
      <c r="P596">
        <v>10</v>
      </c>
      <c r="W596"/>
      <c r="X596"/>
      <c r="Y596"/>
    </row>
    <row r="597" spans="1:25" x14ac:dyDescent="0.3">
      <c r="A597" t="str">
        <f>Table_Capacity_HD_frontsheet[[#This Row],[Name]]&amp;B597</f>
        <v>North NorthamptonshireSocial support (including VCS) (pathway 0)</v>
      </c>
      <c r="B597" t="str">
        <f>VLOOKUP(Table_Capacity_HD_frontsheet[[#This Row],[Service Area]],PathwayLookup!A:B,2,0)</f>
        <v>Social support (including VCS) (pathway 0)</v>
      </c>
      <c r="C597" t="s">
        <v>235</v>
      </c>
      <c r="D597" t="s">
        <v>726</v>
      </c>
      <c r="E597">
        <v>2160</v>
      </c>
      <c r="F597">
        <v>2255</v>
      </c>
      <c r="G597">
        <v>2278</v>
      </c>
      <c r="H597">
        <v>2298</v>
      </c>
      <c r="I597">
        <v>2323</v>
      </c>
      <c r="J597">
        <v>2260</v>
      </c>
      <c r="K597">
        <v>2316</v>
      </c>
      <c r="L597">
        <v>2275</v>
      </c>
      <c r="M597">
        <v>2239</v>
      </c>
      <c r="N597">
        <v>2244</v>
      </c>
      <c r="O597">
        <v>2155</v>
      </c>
      <c r="P597">
        <v>2265</v>
      </c>
      <c r="W597"/>
      <c r="X597"/>
      <c r="Y597"/>
    </row>
    <row r="598" spans="1:25" x14ac:dyDescent="0.3">
      <c r="A598" t="str">
        <f>Table_Capacity_HD_frontsheet[[#This Row],[Name]]&amp;B598</f>
        <v>North NorthamptonshireReablement &amp; Rehabilitation at home  (pathway 1)</v>
      </c>
      <c r="B598" t="str">
        <f>VLOOKUP(Table_Capacity_HD_frontsheet[[#This Row],[Service Area]],PathwayLookup!A:B,2,0)</f>
        <v>Reablement &amp; Rehabilitation at home  (pathway 1)</v>
      </c>
      <c r="C598" t="s">
        <v>235</v>
      </c>
      <c r="D598" t="s">
        <v>728</v>
      </c>
      <c r="E598">
        <v>105</v>
      </c>
      <c r="F598">
        <v>95</v>
      </c>
      <c r="G598">
        <v>90</v>
      </c>
      <c r="H598">
        <v>93</v>
      </c>
      <c r="I598">
        <v>90</v>
      </c>
      <c r="J598">
        <v>90</v>
      </c>
      <c r="K598">
        <v>95</v>
      </c>
      <c r="L598">
        <v>105</v>
      </c>
      <c r="M598">
        <v>120</v>
      </c>
      <c r="N598">
        <v>120</v>
      </c>
      <c r="O598">
        <v>120</v>
      </c>
      <c r="P598">
        <v>120</v>
      </c>
      <c r="W598"/>
      <c r="X598"/>
      <c r="Y598"/>
    </row>
    <row r="599" spans="1:25" x14ac:dyDescent="0.3">
      <c r="A599" t="str">
        <f>Table_Capacity_HD_frontsheet[[#This Row],[Name]]&amp;B599</f>
        <v>North NorthamptonshireReablement &amp; Rehabilitation at home  (pathway 1)</v>
      </c>
      <c r="B599" t="str">
        <f>VLOOKUP(Table_Capacity_HD_frontsheet[[#This Row],[Service Area]],PathwayLookup!A:B,2,0)</f>
        <v>Reablement &amp; Rehabilitation at home  (pathway 1)</v>
      </c>
      <c r="C599" t="s">
        <v>235</v>
      </c>
      <c r="D599" t="s">
        <v>721</v>
      </c>
      <c r="E599">
        <v>9</v>
      </c>
      <c r="F599">
        <v>9</v>
      </c>
      <c r="G599">
        <v>9</v>
      </c>
      <c r="H599">
        <v>9</v>
      </c>
      <c r="I599">
        <v>9</v>
      </c>
      <c r="J599">
        <v>9</v>
      </c>
      <c r="K599">
        <v>9</v>
      </c>
      <c r="L599">
        <v>9</v>
      </c>
      <c r="M599">
        <v>9</v>
      </c>
      <c r="N599">
        <v>9</v>
      </c>
      <c r="O599">
        <v>9</v>
      </c>
      <c r="P599">
        <v>9</v>
      </c>
      <c r="W599"/>
      <c r="X599"/>
      <c r="Y599"/>
    </row>
    <row r="600" spans="1:25" x14ac:dyDescent="0.3">
      <c r="A600" t="str">
        <f>Table_Capacity_HD_frontsheet[[#This Row],[Name]]&amp;B600</f>
        <v>North NorthamptonshireShort term domiciliary care (pathway 1)</v>
      </c>
      <c r="B600" t="str">
        <f>VLOOKUP(Table_Capacity_HD_frontsheet[[#This Row],[Service Area]],PathwayLookup!A:B,2,0)</f>
        <v>Short term domiciliary care (pathway 1)</v>
      </c>
      <c r="C600" t="s">
        <v>235</v>
      </c>
      <c r="D600" t="s">
        <v>730</v>
      </c>
      <c r="E600">
        <v>32</v>
      </c>
      <c r="F600">
        <v>32</v>
      </c>
      <c r="G600">
        <v>32</v>
      </c>
      <c r="H600">
        <v>32</v>
      </c>
      <c r="I600">
        <v>32</v>
      </c>
      <c r="J600">
        <v>32</v>
      </c>
      <c r="K600">
        <v>32</v>
      </c>
      <c r="L600">
        <v>32</v>
      </c>
      <c r="M600">
        <v>32</v>
      </c>
      <c r="N600">
        <v>32</v>
      </c>
      <c r="O600">
        <v>32</v>
      </c>
      <c r="P600">
        <v>32</v>
      </c>
      <c r="W600"/>
      <c r="X600"/>
      <c r="Y600"/>
    </row>
    <row r="601" spans="1:25" x14ac:dyDescent="0.3">
      <c r="A601" t="str">
        <f>Table_Capacity_HD_frontsheet[[#This Row],[Name]]&amp;B601</f>
        <v>North NorthamptonshireReablement &amp; Rehabilitation in a bedded setting (pathway 2)</v>
      </c>
      <c r="B601" t="str">
        <f>VLOOKUP(Table_Capacity_HD_frontsheet[[#This Row],[Service Area]],PathwayLookup!A:B,2,0)</f>
        <v>Reablement &amp; Rehabilitation in a bedded setting (pathway 2)</v>
      </c>
      <c r="C601" t="s">
        <v>235</v>
      </c>
      <c r="D601" t="s">
        <v>723</v>
      </c>
      <c r="E601">
        <v>38</v>
      </c>
      <c r="F601">
        <v>15</v>
      </c>
      <c r="G601">
        <v>15</v>
      </c>
      <c r="H601">
        <v>15</v>
      </c>
      <c r="I601">
        <v>16</v>
      </c>
      <c r="J601">
        <v>15</v>
      </c>
      <c r="K601">
        <v>17</v>
      </c>
      <c r="L601">
        <v>17</v>
      </c>
      <c r="M601">
        <v>20</v>
      </c>
      <c r="N601">
        <v>20</v>
      </c>
      <c r="O601">
        <v>21</v>
      </c>
      <c r="P601">
        <v>20</v>
      </c>
      <c r="W601"/>
      <c r="X601"/>
      <c r="Y601"/>
    </row>
    <row r="602" spans="1:25" x14ac:dyDescent="0.3">
      <c r="A602" t="str">
        <f>Table_Capacity_HD_frontsheet[[#This Row],[Name]]&amp;B602</f>
        <v>North NorthamptonshireReablement &amp; Rehabilitation in a bedded setting (pathway 2)</v>
      </c>
      <c r="B602" t="str">
        <f>VLOOKUP(Table_Capacity_HD_frontsheet[[#This Row],[Service Area]],PathwayLookup!A:B,2,0)</f>
        <v>Reablement &amp; Rehabilitation in a bedded setting (pathway 2)</v>
      </c>
      <c r="C602" t="s">
        <v>235</v>
      </c>
      <c r="D602" t="s">
        <v>725</v>
      </c>
      <c r="E602">
        <v>28</v>
      </c>
      <c r="F602">
        <v>29</v>
      </c>
      <c r="G602">
        <v>23</v>
      </c>
      <c r="H602">
        <v>24</v>
      </c>
      <c r="I602">
        <v>24</v>
      </c>
      <c r="J602">
        <v>23</v>
      </c>
      <c r="K602">
        <v>24</v>
      </c>
      <c r="L602">
        <v>23</v>
      </c>
      <c r="M602">
        <v>24</v>
      </c>
      <c r="N602">
        <v>23</v>
      </c>
      <c r="O602">
        <v>24</v>
      </c>
      <c r="P602">
        <v>23</v>
      </c>
      <c r="W602"/>
      <c r="X602"/>
      <c r="Y602"/>
    </row>
    <row r="603" spans="1:25" x14ac:dyDescent="0.3">
      <c r="A603" t="str">
        <f>Table_Capacity_HD_frontsheet[[#This Row],[Name]]&amp;B603</f>
        <v>North NorthamptonshireShort-term residential/nursing care for someone likely to require a longer-term care home placement (pathway 3)</v>
      </c>
      <c r="B603" t="str">
        <f>VLOOKUP(Table_Capacity_HD_frontsheet[[#This Row],[Service Area]],PathwayLookup!A:B,2,0)</f>
        <v>Short-term residential/nursing care for someone likely to require a longer-term care home placement (pathway 3)</v>
      </c>
      <c r="C603" t="s">
        <v>235</v>
      </c>
      <c r="D603" t="s">
        <v>731</v>
      </c>
      <c r="E603">
        <v>40</v>
      </c>
      <c r="F603">
        <v>43</v>
      </c>
      <c r="G603">
        <v>47</v>
      </c>
      <c r="H603">
        <v>46</v>
      </c>
      <c r="I603">
        <v>47</v>
      </c>
      <c r="J603">
        <v>45</v>
      </c>
      <c r="K603">
        <v>48</v>
      </c>
      <c r="L603">
        <v>47</v>
      </c>
      <c r="M603">
        <v>41</v>
      </c>
      <c r="N603">
        <v>44</v>
      </c>
      <c r="O603">
        <v>43</v>
      </c>
      <c r="P603">
        <v>44</v>
      </c>
      <c r="W603"/>
      <c r="X603"/>
      <c r="Y603"/>
    </row>
    <row r="604" spans="1:25" x14ac:dyDescent="0.3">
      <c r="A604" t="str">
        <f>Table_Capacity_HD_frontsheet[[#This Row],[Name]]&amp;B604</f>
        <v>North SomersetSocial support (including VCS) (pathway 0)</v>
      </c>
      <c r="B604" t="str">
        <f>VLOOKUP(Table_Capacity_HD_frontsheet[[#This Row],[Service Area]],PathwayLookup!A:B,2,0)</f>
        <v>Social support (including VCS) (pathway 0)</v>
      </c>
      <c r="C604" t="s">
        <v>237</v>
      </c>
      <c r="D604" t="s">
        <v>726</v>
      </c>
      <c r="E604">
        <v>175</v>
      </c>
      <c r="F604">
        <v>175</v>
      </c>
      <c r="G604">
        <v>175</v>
      </c>
      <c r="H604">
        <v>175</v>
      </c>
      <c r="I604">
        <v>175</v>
      </c>
      <c r="J604">
        <v>175</v>
      </c>
      <c r="K604">
        <v>175</v>
      </c>
      <c r="L604">
        <v>175</v>
      </c>
      <c r="M604">
        <v>175</v>
      </c>
      <c r="N604">
        <v>171</v>
      </c>
      <c r="O604">
        <v>171</v>
      </c>
      <c r="P604">
        <v>171</v>
      </c>
      <c r="Q604">
        <v>0.2</v>
      </c>
      <c r="R604">
        <v>0.8</v>
      </c>
      <c r="W604"/>
      <c r="X604"/>
      <c r="Y604"/>
    </row>
    <row r="605" spans="1:25" x14ac:dyDescent="0.3">
      <c r="A605" t="str">
        <f>Table_Capacity_HD_frontsheet[[#This Row],[Name]]&amp;B605</f>
        <v>North SomersetReablement &amp; Rehabilitation at home  (pathway 1)</v>
      </c>
      <c r="B605" t="str">
        <f>VLOOKUP(Table_Capacity_HD_frontsheet[[#This Row],[Service Area]],PathwayLookup!A:B,2,0)</f>
        <v>Reablement &amp; Rehabilitation at home  (pathway 1)</v>
      </c>
      <c r="C605" t="s">
        <v>237</v>
      </c>
      <c r="D605" t="s">
        <v>728</v>
      </c>
      <c r="E605">
        <v>31</v>
      </c>
      <c r="F605">
        <v>31</v>
      </c>
      <c r="G605">
        <v>36</v>
      </c>
      <c r="H605">
        <v>53</v>
      </c>
      <c r="I605">
        <v>57</v>
      </c>
      <c r="J605">
        <v>57</v>
      </c>
      <c r="K605">
        <v>61</v>
      </c>
      <c r="L605">
        <v>61</v>
      </c>
      <c r="M605">
        <v>65</v>
      </c>
      <c r="N605">
        <v>65</v>
      </c>
      <c r="O605">
        <v>70</v>
      </c>
      <c r="P605">
        <v>70</v>
      </c>
      <c r="R605">
        <v>1</v>
      </c>
      <c r="W605"/>
      <c r="X605"/>
      <c r="Y605"/>
    </row>
    <row r="606" spans="1:25" x14ac:dyDescent="0.3">
      <c r="A606" t="str">
        <f>Table_Capacity_HD_frontsheet[[#This Row],[Name]]&amp;B606</f>
        <v>North SomersetReablement &amp; Rehabilitation at home  (pathway 1)</v>
      </c>
      <c r="B606" t="str">
        <f>VLOOKUP(Table_Capacity_HD_frontsheet[[#This Row],[Service Area]],PathwayLookup!A:B,2,0)</f>
        <v>Reablement &amp; Rehabilitation at home  (pathway 1)</v>
      </c>
      <c r="C606" t="s">
        <v>237</v>
      </c>
      <c r="D606" t="s">
        <v>721</v>
      </c>
      <c r="E606">
        <v>122</v>
      </c>
      <c r="F606">
        <v>126</v>
      </c>
      <c r="G606">
        <v>122</v>
      </c>
      <c r="H606">
        <v>126</v>
      </c>
      <c r="I606">
        <v>126</v>
      </c>
      <c r="J606">
        <v>122</v>
      </c>
      <c r="K606">
        <v>126</v>
      </c>
      <c r="L606">
        <v>122</v>
      </c>
      <c r="M606">
        <v>126</v>
      </c>
      <c r="N606">
        <v>126</v>
      </c>
      <c r="O606">
        <v>118</v>
      </c>
      <c r="P606">
        <v>126</v>
      </c>
      <c r="Q606">
        <v>1</v>
      </c>
      <c r="W606"/>
      <c r="X606"/>
      <c r="Y606"/>
    </row>
    <row r="607" spans="1:25" x14ac:dyDescent="0.3">
      <c r="A607" t="str">
        <f>Table_Capacity_HD_frontsheet[[#This Row],[Name]]&amp;B607</f>
        <v>North SomersetShort term domiciliary care (pathway 1)</v>
      </c>
      <c r="B607" t="str">
        <f>VLOOKUP(Table_Capacity_HD_frontsheet[[#This Row],[Service Area]],PathwayLookup!A:B,2,0)</f>
        <v>Short term domiciliary care (pathway 1)</v>
      </c>
      <c r="C607" t="s">
        <v>237</v>
      </c>
      <c r="D607" t="s">
        <v>730</v>
      </c>
      <c r="W607"/>
      <c r="X607"/>
      <c r="Y607"/>
    </row>
    <row r="608" spans="1:25" x14ac:dyDescent="0.3">
      <c r="A608" t="str">
        <f>Table_Capacity_HD_frontsheet[[#This Row],[Name]]&amp;B608</f>
        <v>North SomersetReablement &amp; Rehabilitation in a bedded setting (pathway 2)</v>
      </c>
      <c r="B608" t="str">
        <f>VLOOKUP(Table_Capacity_HD_frontsheet[[#This Row],[Service Area]],PathwayLookup!A:B,2,0)</f>
        <v>Reablement &amp; Rehabilitation in a bedded setting (pathway 2)</v>
      </c>
      <c r="C608" t="s">
        <v>237</v>
      </c>
      <c r="D608" t="s">
        <v>723</v>
      </c>
      <c r="E608">
        <v>5</v>
      </c>
      <c r="F608">
        <v>5</v>
      </c>
      <c r="G608">
        <v>6</v>
      </c>
      <c r="H608">
        <v>6</v>
      </c>
      <c r="I608">
        <v>7</v>
      </c>
      <c r="J608">
        <v>7</v>
      </c>
      <c r="K608">
        <v>8</v>
      </c>
      <c r="L608">
        <v>8</v>
      </c>
      <c r="M608">
        <v>8</v>
      </c>
      <c r="N608">
        <v>8</v>
      </c>
      <c r="O608">
        <v>9</v>
      </c>
      <c r="P608">
        <v>9</v>
      </c>
      <c r="R608">
        <v>1</v>
      </c>
      <c r="W608"/>
      <c r="X608"/>
      <c r="Y608"/>
    </row>
    <row r="609" spans="1:25" x14ac:dyDescent="0.3">
      <c r="A609" t="str">
        <f>Table_Capacity_HD_frontsheet[[#This Row],[Name]]&amp;B609</f>
        <v>North SomersetReablement &amp; Rehabilitation in a bedded setting (pathway 2)</v>
      </c>
      <c r="B609" t="str">
        <f>VLOOKUP(Table_Capacity_HD_frontsheet[[#This Row],[Service Area]],PathwayLookup!A:B,2,0)</f>
        <v>Reablement &amp; Rehabilitation in a bedded setting (pathway 2)</v>
      </c>
      <c r="C609" t="s">
        <v>237</v>
      </c>
      <c r="D609" t="s">
        <v>725</v>
      </c>
      <c r="E609">
        <v>28</v>
      </c>
      <c r="F609">
        <v>29</v>
      </c>
      <c r="G609">
        <v>28</v>
      </c>
      <c r="H609">
        <v>29</v>
      </c>
      <c r="I609">
        <v>29</v>
      </c>
      <c r="J609">
        <v>28</v>
      </c>
      <c r="K609">
        <v>32</v>
      </c>
      <c r="L609">
        <v>31</v>
      </c>
      <c r="M609">
        <v>32</v>
      </c>
      <c r="N609">
        <v>38</v>
      </c>
      <c r="O609">
        <v>36</v>
      </c>
      <c r="P609">
        <v>38</v>
      </c>
      <c r="Q609">
        <v>1</v>
      </c>
      <c r="W609"/>
      <c r="X609"/>
      <c r="Y609"/>
    </row>
    <row r="610" spans="1:25" x14ac:dyDescent="0.3">
      <c r="A610" t="str">
        <f>Table_Capacity_HD_frontsheet[[#This Row],[Name]]&amp;B610</f>
        <v>North SomersetShort-term residential/nursing care for someone likely to require a longer-term care home placement (pathway 3)</v>
      </c>
      <c r="B610" t="str">
        <f>VLOOKUP(Table_Capacity_HD_frontsheet[[#This Row],[Service Area]],PathwayLookup!A:B,2,0)</f>
        <v>Short-term residential/nursing care for someone likely to require a longer-term care home placement (pathway 3)</v>
      </c>
      <c r="C610" t="s">
        <v>237</v>
      </c>
      <c r="D610" t="s">
        <v>731</v>
      </c>
      <c r="E610">
        <v>18</v>
      </c>
      <c r="F610">
        <v>19</v>
      </c>
      <c r="G610">
        <v>18</v>
      </c>
      <c r="H610">
        <v>19</v>
      </c>
      <c r="I610">
        <v>19</v>
      </c>
      <c r="J610">
        <v>18</v>
      </c>
      <c r="K610">
        <v>19</v>
      </c>
      <c r="L610">
        <v>18</v>
      </c>
      <c r="M610">
        <v>19</v>
      </c>
      <c r="N610">
        <v>19</v>
      </c>
      <c r="O610">
        <v>18</v>
      </c>
      <c r="P610">
        <v>19</v>
      </c>
      <c r="Q610">
        <v>1</v>
      </c>
      <c r="W610"/>
      <c r="X610"/>
      <c r="Y610"/>
    </row>
    <row r="611" spans="1:25" x14ac:dyDescent="0.3">
      <c r="A611" t="str">
        <f>Table_Capacity_HD_frontsheet[[#This Row],[Name]]&amp;B611</f>
        <v>North TynesideSocial support (including VCS) (pathway 0)</v>
      </c>
      <c r="B611" t="str">
        <f>VLOOKUP(Table_Capacity_HD_frontsheet[[#This Row],[Service Area]],PathwayLookup!A:B,2,0)</f>
        <v>Social support (including VCS) (pathway 0)</v>
      </c>
      <c r="C611" t="s">
        <v>239</v>
      </c>
      <c r="D611" t="s">
        <v>726</v>
      </c>
      <c r="E611">
        <v>30</v>
      </c>
      <c r="F611">
        <v>30</v>
      </c>
      <c r="G611">
        <v>30</v>
      </c>
      <c r="H611">
        <v>30</v>
      </c>
      <c r="I611">
        <v>30</v>
      </c>
      <c r="J611">
        <v>30</v>
      </c>
      <c r="K611">
        <v>80</v>
      </c>
      <c r="L611">
        <v>80</v>
      </c>
      <c r="M611">
        <v>80</v>
      </c>
      <c r="N611">
        <v>80</v>
      </c>
      <c r="O611">
        <v>80</v>
      </c>
      <c r="P611">
        <v>80</v>
      </c>
      <c r="R611">
        <v>1</v>
      </c>
      <c r="W611"/>
      <c r="X611"/>
      <c r="Y611"/>
    </row>
    <row r="612" spans="1:25" x14ac:dyDescent="0.3">
      <c r="A612" t="str">
        <f>Table_Capacity_HD_frontsheet[[#This Row],[Name]]&amp;B612</f>
        <v>North TynesideReablement &amp; Rehabilitation at home  (pathway 1)</v>
      </c>
      <c r="B612" t="str">
        <f>VLOOKUP(Table_Capacity_HD_frontsheet[[#This Row],[Service Area]],PathwayLookup!A:B,2,0)</f>
        <v>Reablement &amp; Rehabilitation at home  (pathway 1)</v>
      </c>
      <c r="C612" t="s">
        <v>239</v>
      </c>
      <c r="D612" t="s">
        <v>728</v>
      </c>
      <c r="E612">
        <v>61</v>
      </c>
      <c r="F612">
        <v>61</v>
      </c>
      <c r="G612">
        <v>61</v>
      </c>
      <c r="H612">
        <v>61</v>
      </c>
      <c r="I612">
        <v>61</v>
      </c>
      <c r="J612">
        <v>61</v>
      </c>
      <c r="K612">
        <v>61</v>
      </c>
      <c r="L612">
        <v>61</v>
      </c>
      <c r="M612">
        <v>61</v>
      </c>
      <c r="N612">
        <v>61</v>
      </c>
      <c r="O612">
        <v>61</v>
      </c>
      <c r="P612">
        <v>61</v>
      </c>
      <c r="R612">
        <v>1</v>
      </c>
      <c r="W612"/>
      <c r="X612"/>
      <c r="Y612"/>
    </row>
    <row r="613" spans="1:25" x14ac:dyDescent="0.3">
      <c r="A613" t="str">
        <f>Table_Capacity_HD_frontsheet[[#This Row],[Name]]&amp;B613</f>
        <v>North TynesideReablement &amp; Rehabilitation at home  (pathway 1)</v>
      </c>
      <c r="B613" t="str">
        <f>VLOOKUP(Table_Capacity_HD_frontsheet[[#This Row],[Service Area]],PathwayLookup!A:B,2,0)</f>
        <v>Reablement &amp; Rehabilitation at home  (pathway 1)</v>
      </c>
      <c r="C613" t="s">
        <v>239</v>
      </c>
      <c r="D613" t="s">
        <v>721</v>
      </c>
      <c r="E613">
        <v>26</v>
      </c>
      <c r="F613">
        <v>26</v>
      </c>
      <c r="G613">
        <v>26</v>
      </c>
      <c r="H613">
        <v>26</v>
      </c>
      <c r="I613">
        <v>26</v>
      </c>
      <c r="J613">
        <v>26</v>
      </c>
      <c r="K613">
        <v>26</v>
      </c>
      <c r="L613">
        <v>26</v>
      </c>
      <c r="M613">
        <v>26</v>
      </c>
      <c r="N613">
        <v>26</v>
      </c>
      <c r="O613">
        <v>26</v>
      </c>
      <c r="P613">
        <v>26</v>
      </c>
      <c r="R613">
        <v>1</v>
      </c>
      <c r="W613"/>
      <c r="X613"/>
      <c r="Y613"/>
    </row>
    <row r="614" spans="1:25" x14ac:dyDescent="0.3">
      <c r="A614" t="str">
        <f>Table_Capacity_HD_frontsheet[[#This Row],[Name]]&amp;B614</f>
        <v>North TynesideShort term domiciliary care (pathway 1)</v>
      </c>
      <c r="B614" t="str">
        <f>VLOOKUP(Table_Capacity_HD_frontsheet[[#This Row],[Service Area]],PathwayLookup!A:B,2,0)</f>
        <v>Short term domiciliary care (pathway 1)</v>
      </c>
      <c r="C614" t="s">
        <v>239</v>
      </c>
      <c r="D614" t="s">
        <v>730</v>
      </c>
      <c r="E614">
        <v>12</v>
      </c>
      <c r="F614">
        <v>12</v>
      </c>
      <c r="G614">
        <v>12</v>
      </c>
      <c r="H614">
        <v>12</v>
      </c>
      <c r="I614">
        <v>12</v>
      </c>
      <c r="J614">
        <v>12</v>
      </c>
      <c r="K614">
        <v>36</v>
      </c>
      <c r="L614">
        <v>36</v>
      </c>
      <c r="M614">
        <v>36</v>
      </c>
      <c r="N614">
        <v>36</v>
      </c>
      <c r="O614">
        <v>36</v>
      </c>
      <c r="P614">
        <v>36</v>
      </c>
      <c r="R614">
        <v>1</v>
      </c>
      <c r="W614"/>
      <c r="X614"/>
      <c r="Y614"/>
    </row>
    <row r="615" spans="1:25" x14ac:dyDescent="0.3">
      <c r="A615" t="str">
        <f>Table_Capacity_HD_frontsheet[[#This Row],[Name]]&amp;B615</f>
        <v>North TynesideReablement &amp; Rehabilitation in a bedded setting (pathway 2)</v>
      </c>
      <c r="B615" t="str">
        <f>VLOOKUP(Table_Capacity_HD_frontsheet[[#This Row],[Service Area]],PathwayLookup!A:B,2,0)</f>
        <v>Reablement &amp; Rehabilitation in a bedded setting (pathway 2)</v>
      </c>
      <c r="C615" t="s">
        <v>239</v>
      </c>
      <c r="D615" t="s">
        <v>723</v>
      </c>
      <c r="E615">
        <v>26</v>
      </c>
      <c r="F615">
        <v>26</v>
      </c>
      <c r="G615">
        <v>26</v>
      </c>
      <c r="H615">
        <v>26</v>
      </c>
      <c r="I615">
        <v>26</v>
      </c>
      <c r="J615">
        <v>26</v>
      </c>
      <c r="K615">
        <v>26</v>
      </c>
      <c r="L615">
        <v>26</v>
      </c>
      <c r="M615">
        <v>26</v>
      </c>
      <c r="N615">
        <v>26</v>
      </c>
      <c r="O615">
        <v>26</v>
      </c>
      <c r="P615">
        <v>26</v>
      </c>
      <c r="R615">
        <v>1</v>
      </c>
      <c r="W615"/>
      <c r="X615"/>
      <c r="Y615"/>
    </row>
    <row r="616" spans="1:25" x14ac:dyDescent="0.3">
      <c r="A616" t="str">
        <f>Table_Capacity_HD_frontsheet[[#This Row],[Name]]&amp;B616</f>
        <v>North TynesideReablement &amp; Rehabilitation in a bedded setting (pathway 2)</v>
      </c>
      <c r="B616" t="str">
        <f>VLOOKUP(Table_Capacity_HD_frontsheet[[#This Row],[Service Area]],PathwayLookup!A:B,2,0)</f>
        <v>Reablement &amp; Rehabilitation in a bedded setting (pathway 2)</v>
      </c>
      <c r="C616" t="s">
        <v>239</v>
      </c>
      <c r="D616" t="s">
        <v>725</v>
      </c>
      <c r="E616">
        <v>52</v>
      </c>
      <c r="F616">
        <v>52</v>
      </c>
      <c r="G616">
        <v>52</v>
      </c>
      <c r="H616">
        <v>52</v>
      </c>
      <c r="I616">
        <v>52</v>
      </c>
      <c r="J616">
        <v>52</v>
      </c>
      <c r="K616">
        <v>52</v>
      </c>
      <c r="L616">
        <v>52</v>
      </c>
      <c r="M616">
        <v>52</v>
      </c>
      <c r="N616">
        <v>52</v>
      </c>
      <c r="O616">
        <v>52</v>
      </c>
      <c r="P616">
        <v>52</v>
      </c>
      <c r="Q616">
        <v>1</v>
      </c>
      <c r="W616"/>
      <c r="X616"/>
      <c r="Y616"/>
    </row>
    <row r="617" spans="1:25" x14ac:dyDescent="0.3">
      <c r="A617" t="str">
        <f>Table_Capacity_HD_frontsheet[[#This Row],[Name]]&amp;B617</f>
        <v>North TynesideShort-term residential/nursing care for someone likely to require a longer-term care home placement (pathway 3)</v>
      </c>
      <c r="B617" t="str">
        <f>VLOOKUP(Table_Capacity_HD_frontsheet[[#This Row],[Service Area]],PathwayLookup!A:B,2,0)</f>
        <v>Short-term residential/nursing care for someone likely to require a longer-term care home placement (pathway 3)</v>
      </c>
      <c r="C617" t="s">
        <v>239</v>
      </c>
      <c r="D617" t="s">
        <v>731</v>
      </c>
      <c r="E617">
        <v>30</v>
      </c>
      <c r="F617">
        <v>30</v>
      </c>
      <c r="G617">
        <v>30</v>
      </c>
      <c r="H617">
        <v>30</v>
      </c>
      <c r="I617">
        <v>30</v>
      </c>
      <c r="J617">
        <v>30</v>
      </c>
      <c r="K617">
        <v>30</v>
      </c>
      <c r="L617">
        <v>30</v>
      </c>
      <c r="M617">
        <v>30</v>
      </c>
      <c r="N617">
        <v>30</v>
      </c>
      <c r="O617">
        <v>30</v>
      </c>
      <c r="P617">
        <v>30</v>
      </c>
      <c r="R617">
        <v>1</v>
      </c>
      <c r="W617"/>
      <c r="X617"/>
      <c r="Y617"/>
    </row>
    <row r="618" spans="1:25" x14ac:dyDescent="0.3">
      <c r="A618" t="str">
        <f>Table_Capacity_HD_frontsheet[[#This Row],[Name]]&amp;B618</f>
        <v>North YorkshireSocial support (including VCS) (pathway 0)</v>
      </c>
      <c r="B618" t="str">
        <f>VLOOKUP(Table_Capacity_HD_frontsheet[[#This Row],[Service Area]],PathwayLookup!A:B,2,0)</f>
        <v>Social support (including VCS) (pathway 0)</v>
      </c>
      <c r="C618" t="s">
        <v>241</v>
      </c>
      <c r="D618" t="s">
        <v>726</v>
      </c>
      <c r="E618">
        <v>293</v>
      </c>
      <c r="F618">
        <v>293</v>
      </c>
      <c r="G618">
        <v>293</v>
      </c>
      <c r="H618">
        <v>293</v>
      </c>
      <c r="I618">
        <v>293</v>
      </c>
      <c r="J618">
        <v>293</v>
      </c>
      <c r="K618">
        <v>293</v>
      </c>
      <c r="L618">
        <v>293</v>
      </c>
      <c r="M618">
        <v>293</v>
      </c>
      <c r="N618">
        <v>293</v>
      </c>
      <c r="O618">
        <v>293</v>
      </c>
      <c r="P618">
        <v>293</v>
      </c>
      <c r="Q618">
        <v>0.2</v>
      </c>
      <c r="R618">
        <v>0.8</v>
      </c>
      <c r="W618"/>
      <c r="X618"/>
      <c r="Y618"/>
    </row>
    <row r="619" spans="1:25" x14ac:dyDescent="0.3">
      <c r="A619" t="str">
        <f>Table_Capacity_HD_frontsheet[[#This Row],[Name]]&amp;B619</f>
        <v>North YorkshireReablement &amp; Rehabilitation at home  (pathway 1)</v>
      </c>
      <c r="B619" t="str">
        <f>VLOOKUP(Table_Capacity_HD_frontsheet[[#This Row],[Service Area]],PathwayLookup!A:B,2,0)</f>
        <v>Reablement &amp; Rehabilitation at home  (pathway 1)</v>
      </c>
      <c r="C619" t="s">
        <v>241</v>
      </c>
      <c r="D619" t="s">
        <v>728</v>
      </c>
      <c r="E619">
        <v>91</v>
      </c>
      <c r="F619">
        <v>91</v>
      </c>
      <c r="G619">
        <v>91</v>
      </c>
      <c r="H619">
        <v>91</v>
      </c>
      <c r="I619">
        <v>91</v>
      </c>
      <c r="J619">
        <v>91</v>
      </c>
      <c r="K619">
        <v>91</v>
      </c>
      <c r="L619">
        <v>91</v>
      </c>
      <c r="M619">
        <v>91</v>
      </c>
      <c r="N619">
        <v>91</v>
      </c>
      <c r="O619">
        <v>91</v>
      </c>
      <c r="P619">
        <v>91</v>
      </c>
      <c r="R619">
        <v>1</v>
      </c>
      <c r="W619"/>
      <c r="X619"/>
      <c r="Y619"/>
    </row>
    <row r="620" spans="1:25" x14ac:dyDescent="0.3">
      <c r="A620" t="str">
        <f>Table_Capacity_HD_frontsheet[[#This Row],[Name]]&amp;B620</f>
        <v>North YorkshireReablement &amp; Rehabilitation at home  (pathway 1)</v>
      </c>
      <c r="B620" t="str">
        <f>VLOOKUP(Table_Capacity_HD_frontsheet[[#This Row],[Service Area]],PathwayLookup!A:B,2,0)</f>
        <v>Reablement &amp; Rehabilitation at home  (pathway 1)</v>
      </c>
      <c r="C620" t="s">
        <v>241</v>
      </c>
      <c r="D620" t="s">
        <v>721</v>
      </c>
      <c r="E620">
        <v>319</v>
      </c>
      <c r="F620">
        <v>319</v>
      </c>
      <c r="G620">
        <v>319</v>
      </c>
      <c r="H620">
        <v>319</v>
      </c>
      <c r="I620">
        <v>339</v>
      </c>
      <c r="J620">
        <v>339</v>
      </c>
      <c r="K620">
        <v>402</v>
      </c>
      <c r="L620">
        <v>402</v>
      </c>
      <c r="M620">
        <v>422</v>
      </c>
      <c r="N620">
        <v>422</v>
      </c>
      <c r="O620">
        <v>422</v>
      </c>
      <c r="P620">
        <v>422</v>
      </c>
      <c r="Q620">
        <v>1</v>
      </c>
      <c r="W620"/>
      <c r="X620"/>
      <c r="Y620"/>
    </row>
    <row r="621" spans="1:25" x14ac:dyDescent="0.3">
      <c r="A621" t="str">
        <f>Table_Capacity_HD_frontsheet[[#This Row],[Name]]&amp;B621</f>
        <v>North YorkshireShort term domiciliary care (pathway 1)</v>
      </c>
      <c r="B621" t="str">
        <f>VLOOKUP(Table_Capacity_HD_frontsheet[[#This Row],[Service Area]],PathwayLookup!A:B,2,0)</f>
        <v>Short term domiciliary care (pathway 1)</v>
      </c>
      <c r="C621" t="s">
        <v>241</v>
      </c>
      <c r="D621" t="s">
        <v>730</v>
      </c>
      <c r="E621">
        <v>0</v>
      </c>
      <c r="F621">
        <v>0</v>
      </c>
      <c r="G621">
        <v>0</v>
      </c>
      <c r="H621">
        <v>0</v>
      </c>
      <c r="I621">
        <v>0</v>
      </c>
      <c r="J621">
        <v>0</v>
      </c>
      <c r="K621">
        <v>0</v>
      </c>
      <c r="L621">
        <v>0</v>
      </c>
      <c r="M621">
        <v>0</v>
      </c>
      <c r="N621">
        <v>0</v>
      </c>
      <c r="O621">
        <v>0</v>
      </c>
      <c r="P621">
        <v>0</v>
      </c>
      <c r="R621">
        <v>1</v>
      </c>
      <c r="W621"/>
      <c r="X621"/>
      <c r="Y621"/>
    </row>
    <row r="622" spans="1:25" x14ac:dyDescent="0.3">
      <c r="A622" t="str">
        <f>Table_Capacity_HD_frontsheet[[#This Row],[Name]]&amp;B622</f>
        <v>North YorkshireReablement &amp; Rehabilitation in a bedded setting (pathway 2)</v>
      </c>
      <c r="B622" t="str">
        <f>VLOOKUP(Table_Capacity_HD_frontsheet[[#This Row],[Service Area]],PathwayLookup!A:B,2,0)</f>
        <v>Reablement &amp; Rehabilitation in a bedded setting (pathway 2)</v>
      </c>
      <c r="C622" t="s">
        <v>241</v>
      </c>
      <c r="D622" t="s">
        <v>723</v>
      </c>
      <c r="E622">
        <v>113</v>
      </c>
      <c r="F622">
        <v>113</v>
      </c>
      <c r="G622">
        <v>113</v>
      </c>
      <c r="H622">
        <v>113</v>
      </c>
      <c r="I622">
        <v>113</v>
      </c>
      <c r="J622">
        <v>113</v>
      </c>
      <c r="K622">
        <v>113</v>
      </c>
      <c r="L622">
        <v>113</v>
      </c>
      <c r="M622">
        <v>113</v>
      </c>
      <c r="N622">
        <v>113</v>
      </c>
      <c r="O622">
        <v>113</v>
      </c>
      <c r="P622">
        <v>113</v>
      </c>
      <c r="R622">
        <v>1</v>
      </c>
      <c r="W622"/>
      <c r="X622"/>
      <c r="Y622"/>
    </row>
    <row r="623" spans="1:25" x14ac:dyDescent="0.3">
      <c r="A623" t="str">
        <f>Table_Capacity_HD_frontsheet[[#This Row],[Name]]&amp;B623</f>
        <v>North YorkshireReablement &amp; Rehabilitation in a bedded setting (pathway 2)</v>
      </c>
      <c r="B623" t="str">
        <f>VLOOKUP(Table_Capacity_HD_frontsheet[[#This Row],[Service Area]],PathwayLookup!A:B,2,0)</f>
        <v>Reablement &amp; Rehabilitation in a bedded setting (pathway 2)</v>
      </c>
      <c r="C623" t="s">
        <v>241</v>
      </c>
      <c r="D623" t="s">
        <v>725</v>
      </c>
      <c r="Q623">
        <v>1</v>
      </c>
      <c r="W623"/>
      <c r="X623"/>
      <c r="Y623"/>
    </row>
    <row r="624" spans="1:25" x14ac:dyDescent="0.3">
      <c r="A624" t="str">
        <f>Table_Capacity_HD_frontsheet[[#This Row],[Name]]&amp;B624</f>
        <v>North YorkshireShort-term residential/nursing care for someone likely to require a longer-term care home placement (pathway 3)</v>
      </c>
      <c r="B624" t="str">
        <f>VLOOKUP(Table_Capacity_HD_frontsheet[[#This Row],[Service Area]],PathwayLookup!A:B,2,0)</f>
        <v>Short-term residential/nursing care for someone likely to require a longer-term care home placement (pathway 3)</v>
      </c>
      <c r="C624" t="s">
        <v>241</v>
      </c>
      <c r="D624" t="s">
        <v>731</v>
      </c>
      <c r="E624">
        <v>10</v>
      </c>
      <c r="F624">
        <v>10</v>
      </c>
      <c r="G624">
        <v>10</v>
      </c>
      <c r="H624">
        <v>10</v>
      </c>
      <c r="I624">
        <v>10</v>
      </c>
      <c r="J624">
        <v>10</v>
      </c>
      <c r="K624">
        <v>10</v>
      </c>
      <c r="L624">
        <v>10</v>
      </c>
      <c r="M624">
        <v>10</v>
      </c>
      <c r="N624">
        <v>10</v>
      </c>
      <c r="O624">
        <v>10</v>
      </c>
      <c r="P624">
        <v>10</v>
      </c>
      <c r="S624">
        <v>1</v>
      </c>
      <c r="W624"/>
      <c r="X624"/>
      <c r="Y624"/>
    </row>
    <row r="625" spans="1:25" x14ac:dyDescent="0.3">
      <c r="A625" t="str">
        <f>Table_Capacity_HD_frontsheet[[#This Row],[Name]]&amp;B625</f>
        <v>NorthumberlandSocial support (including VCS) (pathway 0)</v>
      </c>
      <c r="B625" t="str">
        <f>VLOOKUP(Table_Capacity_HD_frontsheet[[#This Row],[Service Area]],PathwayLookup!A:B,2,0)</f>
        <v>Social support (including VCS) (pathway 0)</v>
      </c>
      <c r="C625" t="s">
        <v>243</v>
      </c>
      <c r="D625" t="s">
        <v>726</v>
      </c>
      <c r="E625">
        <v>0</v>
      </c>
      <c r="F625">
        <v>0</v>
      </c>
      <c r="G625">
        <v>0</v>
      </c>
      <c r="H625">
        <v>0</v>
      </c>
      <c r="I625">
        <v>0</v>
      </c>
      <c r="J625">
        <v>0</v>
      </c>
      <c r="K625">
        <v>0</v>
      </c>
      <c r="L625">
        <v>0</v>
      </c>
      <c r="M625">
        <v>0</v>
      </c>
      <c r="N625">
        <v>0</v>
      </c>
      <c r="O625">
        <v>0</v>
      </c>
      <c r="P625">
        <v>0</v>
      </c>
      <c r="W625"/>
      <c r="X625"/>
      <c r="Y625"/>
    </row>
    <row r="626" spans="1:25" x14ac:dyDescent="0.3">
      <c r="A626" t="str">
        <f>Table_Capacity_HD_frontsheet[[#This Row],[Name]]&amp;B626</f>
        <v>NorthumberlandReablement &amp; Rehabilitation at home  (pathway 1)</v>
      </c>
      <c r="B626" t="str">
        <f>VLOOKUP(Table_Capacity_HD_frontsheet[[#This Row],[Service Area]],PathwayLookup!A:B,2,0)</f>
        <v>Reablement &amp; Rehabilitation at home  (pathway 1)</v>
      </c>
      <c r="C626" t="s">
        <v>243</v>
      </c>
      <c r="D626" t="s">
        <v>728</v>
      </c>
      <c r="E626">
        <v>63</v>
      </c>
      <c r="F626">
        <v>59</v>
      </c>
      <c r="G626">
        <v>60</v>
      </c>
      <c r="H626">
        <v>60</v>
      </c>
      <c r="I626">
        <v>60</v>
      </c>
      <c r="J626">
        <v>60</v>
      </c>
      <c r="K626">
        <v>60</v>
      </c>
      <c r="L626">
        <v>60</v>
      </c>
      <c r="M626">
        <v>60</v>
      </c>
      <c r="N626">
        <v>60</v>
      </c>
      <c r="O626">
        <v>60</v>
      </c>
      <c r="P626">
        <v>60</v>
      </c>
      <c r="W626"/>
      <c r="X626"/>
      <c r="Y626"/>
    </row>
    <row r="627" spans="1:25" x14ac:dyDescent="0.3">
      <c r="A627" t="str">
        <f>Table_Capacity_HD_frontsheet[[#This Row],[Name]]&amp;B627</f>
        <v>NorthumberlandReablement &amp; Rehabilitation at home  (pathway 1)</v>
      </c>
      <c r="B627" t="str">
        <f>VLOOKUP(Table_Capacity_HD_frontsheet[[#This Row],[Service Area]],PathwayLookup!A:B,2,0)</f>
        <v>Reablement &amp; Rehabilitation at home  (pathway 1)</v>
      </c>
      <c r="C627" t="s">
        <v>243</v>
      </c>
      <c r="D627" t="s">
        <v>721</v>
      </c>
      <c r="E627">
        <v>350</v>
      </c>
      <c r="F627">
        <v>390</v>
      </c>
      <c r="G627">
        <v>380</v>
      </c>
      <c r="H627">
        <v>380</v>
      </c>
      <c r="I627">
        <v>380</v>
      </c>
      <c r="J627">
        <v>380</v>
      </c>
      <c r="K627">
        <v>380</v>
      </c>
      <c r="L627">
        <v>380</v>
      </c>
      <c r="M627">
        <v>380</v>
      </c>
      <c r="N627">
        <v>380</v>
      </c>
      <c r="O627">
        <v>380</v>
      </c>
      <c r="P627">
        <v>380</v>
      </c>
      <c r="W627"/>
      <c r="X627"/>
      <c r="Y627"/>
    </row>
    <row r="628" spans="1:25" x14ac:dyDescent="0.3">
      <c r="A628" t="str">
        <f>Table_Capacity_HD_frontsheet[[#This Row],[Name]]&amp;B628</f>
        <v>NorthumberlandShort term domiciliary care (pathway 1)</v>
      </c>
      <c r="B628" t="str">
        <f>VLOOKUP(Table_Capacity_HD_frontsheet[[#This Row],[Service Area]],PathwayLookup!A:B,2,0)</f>
        <v>Short term domiciliary care (pathway 1)</v>
      </c>
      <c r="C628" t="s">
        <v>243</v>
      </c>
      <c r="D628" t="s">
        <v>730</v>
      </c>
      <c r="E628">
        <v>50</v>
      </c>
      <c r="F628">
        <v>60</v>
      </c>
      <c r="G628">
        <v>55</v>
      </c>
      <c r="H628">
        <v>55</v>
      </c>
      <c r="I628">
        <v>55</v>
      </c>
      <c r="J628">
        <v>55</v>
      </c>
      <c r="K628">
        <v>55</v>
      </c>
      <c r="L628">
        <v>55</v>
      </c>
      <c r="M628">
        <v>60</v>
      </c>
      <c r="N628">
        <v>65</v>
      </c>
      <c r="O628">
        <v>70</v>
      </c>
      <c r="P628">
        <v>75</v>
      </c>
      <c r="W628"/>
      <c r="X628"/>
      <c r="Y628"/>
    </row>
    <row r="629" spans="1:25" x14ac:dyDescent="0.3">
      <c r="A629" t="str">
        <f>Table_Capacity_HD_frontsheet[[#This Row],[Name]]&amp;B629</f>
        <v>NorthumberlandReablement &amp; Rehabilitation in a bedded setting (pathway 2)</v>
      </c>
      <c r="B629" t="str">
        <f>VLOOKUP(Table_Capacity_HD_frontsheet[[#This Row],[Service Area]],PathwayLookup!A:B,2,0)</f>
        <v>Reablement &amp; Rehabilitation in a bedded setting (pathway 2)</v>
      </c>
      <c r="C629" t="s">
        <v>243</v>
      </c>
      <c r="D629" t="s">
        <v>723</v>
      </c>
      <c r="E629">
        <v>60</v>
      </c>
      <c r="F629">
        <v>60</v>
      </c>
      <c r="G629">
        <v>60</v>
      </c>
      <c r="H629">
        <v>60</v>
      </c>
      <c r="I629">
        <v>60</v>
      </c>
      <c r="J629">
        <v>60</v>
      </c>
      <c r="K629">
        <v>60</v>
      </c>
      <c r="L629">
        <v>60</v>
      </c>
      <c r="M629">
        <v>80</v>
      </c>
      <c r="N629">
        <v>80</v>
      </c>
      <c r="O629">
        <v>80</v>
      </c>
      <c r="P629">
        <v>80</v>
      </c>
      <c r="W629"/>
      <c r="X629"/>
      <c r="Y629"/>
    </row>
    <row r="630" spans="1:25" x14ac:dyDescent="0.3">
      <c r="A630" t="str">
        <f>Table_Capacity_HD_frontsheet[[#This Row],[Name]]&amp;B630</f>
        <v>NorthumberlandReablement &amp; Rehabilitation in a bedded setting (pathway 2)</v>
      </c>
      <c r="B630" t="str">
        <f>VLOOKUP(Table_Capacity_HD_frontsheet[[#This Row],[Service Area]],PathwayLookup!A:B,2,0)</f>
        <v>Reablement &amp; Rehabilitation in a bedded setting (pathway 2)</v>
      </c>
      <c r="C630" t="s">
        <v>243</v>
      </c>
      <c r="D630" t="s">
        <v>725</v>
      </c>
      <c r="E630">
        <v>17</v>
      </c>
      <c r="F630">
        <v>17</v>
      </c>
      <c r="G630">
        <v>17</v>
      </c>
      <c r="H630">
        <v>17</v>
      </c>
      <c r="I630">
        <v>17</v>
      </c>
      <c r="J630">
        <v>17</v>
      </c>
      <c r="K630">
        <v>17</v>
      </c>
      <c r="L630">
        <v>17</v>
      </c>
      <c r="M630">
        <v>37</v>
      </c>
      <c r="N630">
        <v>37</v>
      </c>
      <c r="O630">
        <v>37</v>
      </c>
      <c r="P630">
        <v>37</v>
      </c>
      <c r="W630"/>
      <c r="X630"/>
      <c r="Y630"/>
    </row>
    <row r="631" spans="1:25" x14ac:dyDescent="0.3">
      <c r="A631" t="str">
        <f>Table_Capacity_HD_frontsheet[[#This Row],[Name]]&amp;B631</f>
        <v>NorthumberlandShort-term residential/nursing care for someone likely to require a longer-term care home placement (pathway 3)</v>
      </c>
      <c r="B631" t="str">
        <f>VLOOKUP(Table_Capacity_HD_frontsheet[[#This Row],[Service Area]],PathwayLookup!A:B,2,0)</f>
        <v>Short-term residential/nursing care for someone likely to require a longer-term care home placement (pathway 3)</v>
      </c>
      <c r="C631" t="s">
        <v>243</v>
      </c>
      <c r="D631" t="s">
        <v>731</v>
      </c>
      <c r="E631">
        <v>15</v>
      </c>
      <c r="F631">
        <v>15</v>
      </c>
      <c r="G631">
        <v>15</v>
      </c>
      <c r="H631">
        <v>15</v>
      </c>
      <c r="I631">
        <v>15</v>
      </c>
      <c r="J631">
        <v>15</v>
      </c>
      <c r="K631">
        <v>15</v>
      </c>
      <c r="L631">
        <v>15</v>
      </c>
      <c r="M631">
        <v>15</v>
      </c>
      <c r="N631">
        <v>15</v>
      </c>
      <c r="O631">
        <v>15</v>
      </c>
      <c r="P631">
        <v>15</v>
      </c>
      <c r="W631"/>
      <c r="X631"/>
      <c r="Y631"/>
    </row>
    <row r="632" spans="1:25" x14ac:dyDescent="0.3">
      <c r="A632" t="str">
        <f>Table_Capacity_HD_frontsheet[[#This Row],[Name]]&amp;B632</f>
        <v>NottinghamSocial support (including VCS) (pathway 0)</v>
      </c>
      <c r="B632" t="str">
        <f>VLOOKUP(Table_Capacity_HD_frontsheet[[#This Row],[Service Area]],PathwayLookup!A:B,2,0)</f>
        <v>Social support (including VCS) (pathway 0)</v>
      </c>
      <c r="C632" t="s">
        <v>245</v>
      </c>
      <c r="D632" t="s">
        <v>726</v>
      </c>
      <c r="E632">
        <v>0</v>
      </c>
      <c r="F632">
        <v>0</v>
      </c>
      <c r="G632">
        <v>0</v>
      </c>
      <c r="H632">
        <v>0</v>
      </c>
      <c r="I632">
        <v>0</v>
      </c>
      <c r="J632">
        <v>0</v>
      </c>
      <c r="K632">
        <v>0</v>
      </c>
      <c r="L632">
        <v>0</v>
      </c>
      <c r="M632">
        <v>0</v>
      </c>
      <c r="N632">
        <v>0</v>
      </c>
      <c r="O632">
        <v>0</v>
      </c>
      <c r="P632">
        <v>0</v>
      </c>
      <c r="W632"/>
      <c r="X632"/>
      <c r="Y632"/>
    </row>
    <row r="633" spans="1:25" x14ac:dyDescent="0.3">
      <c r="A633" t="str">
        <f>Table_Capacity_HD_frontsheet[[#This Row],[Name]]&amp;B633</f>
        <v>NottinghamReablement &amp; Rehabilitation at home  (pathway 1)</v>
      </c>
      <c r="B633" t="str">
        <f>VLOOKUP(Table_Capacity_HD_frontsheet[[#This Row],[Service Area]],PathwayLookup!A:B,2,0)</f>
        <v>Reablement &amp; Rehabilitation at home  (pathway 1)</v>
      </c>
      <c r="C633" t="s">
        <v>245</v>
      </c>
      <c r="D633" t="s">
        <v>728</v>
      </c>
      <c r="E633">
        <v>0</v>
      </c>
      <c r="F633">
        <v>0</v>
      </c>
      <c r="G633">
        <v>0</v>
      </c>
      <c r="H633">
        <v>0</v>
      </c>
      <c r="I633">
        <v>0</v>
      </c>
      <c r="J633">
        <v>0</v>
      </c>
      <c r="K633">
        <v>0</v>
      </c>
      <c r="L633">
        <v>0</v>
      </c>
      <c r="M633">
        <v>0</v>
      </c>
      <c r="N633">
        <v>0</v>
      </c>
      <c r="O633">
        <v>0</v>
      </c>
      <c r="P633">
        <v>0</v>
      </c>
      <c r="Q633">
        <v>0.6</v>
      </c>
      <c r="R633">
        <v>0.4</v>
      </c>
      <c r="W633"/>
      <c r="X633"/>
      <c r="Y633"/>
    </row>
    <row r="634" spans="1:25" x14ac:dyDescent="0.3">
      <c r="A634" t="str">
        <f>Table_Capacity_HD_frontsheet[[#This Row],[Name]]&amp;B634</f>
        <v>NottinghamReablement &amp; Rehabilitation at home  (pathway 1)</v>
      </c>
      <c r="B634" t="str">
        <f>VLOOKUP(Table_Capacity_HD_frontsheet[[#This Row],[Service Area]],PathwayLookup!A:B,2,0)</f>
        <v>Reablement &amp; Rehabilitation at home  (pathway 1)</v>
      </c>
      <c r="C634" t="s">
        <v>245</v>
      </c>
      <c r="D634" t="s">
        <v>721</v>
      </c>
      <c r="E634">
        <v>363</v>
      </c>
      <c r="F634">
        <v>379</v>
      </c>
      <c r="G634">
        <v>395</v>
      </c>
      <c r="H634">
        <v>411</v>
      </c>
      <c r="I634">
        <v>426</v>
      </c>
      <c r="J634">
        <v>442</v>
      </c>
      <c r="K634">
        <v>442</v>
      </c>
      <c r="L634">
        <v>442</v>
      </c>
      <c r="M634">
        <v>442</v>
      </c>
      <c r="N634">
        <v>442</v>
      </c>
      <c r="O634">
        <v>442</v>
      </c>
      <c r="P634">
        <v>442</v>
      </c>
      <c r="Q634">
        <v>0.6</v>
      </c>
      <c r="R634">
        <v>0.4</v>
      </c>
      <c r="W634"/>
      <c r="X634"/>
      <c r="Y634"/>
    </row>
    <row r="635" spans="1:25" x14ac:dyDescent="0.3">
      <c r="A635" t="str">
        <f>Table_Capacity_HD_frontsheet[[#This Row],[Name]]&amp;B635</f>
        <v>NottinghamShort term domiciliary care (pathway 1)</v>
      </c>
      <c r="B635" t="str">
        <f>VLOOKUP(Table_Capacity_HD_frontsheet[[#This Row],[Service Area]],PathwayLookup!A:B,2,0)</f>
        <v>Short term domiciliary care (pathway 1)</v>
      </c>
      <c r="C635" t="s">
        <v>245</v>
      </c>
      <c r="D635" t="s">
        <v>730</v>
      </c>
      <c r="E635">
        <v>0</v>
      </c>
      <c r="F635">
        <v>0</v>
      </c>
      <c r="G635">
        <v>0</v>
      </c>
      <c r="H635">
        <v>0</v>
      </c>
      <c r="I635">
        <v>0</v>
      </c>
      <c r="J635">
        <v>0</v>
      </c>
      <c r="K635">
        <v>0</v>
      </c>
      <c r="L635">
        <v>0</v>
      </c>
      <c r="M635">
        <v>0</v>
      </c>
      <c r="N635">
        <v>0</v>
      </c>
      <c r="O635">
        <v>0</v>
      </c>
      <c r="P635">
        <v>0</v>
      </c>
      <c r="Q635">
        <v>0.6</v>
      </c>
      <c r="R635">
        <v>0.4</v>
      </c>
      <c r="W635"/>
      <c r="X635"/>
      <c r="Y635"/>
    </row>
    <row r="636" spans="1:25" x14ac:dyDescent="0.3">
      <c r="A636" t="str">
        <f>Table_Capacity_HD_frontsheet[[#This Row],[Name]]&amp;B636</f>
        <v>NottinghamReablement &amp; Rehabilitation in a bedded setting (pathway 2)</v>
      </c>
      <c r="B636" t="str">
        <f>VLOOKUP(Table_Capacity_HD_frontsheet[[#This Row],[Service Area]],PathwayLookup!A:B,2,0)</f>
        <v>Reablement &amp; Rehabilitation in a bedded setting (pathway 2)</v>
      </c>
      <c r="C636" t="s">
        <v>245</v>
      </c>
      <c r="D636" t="s">
        <v>723</v>
      </c>
      <c r="E636">
        <v>0</v>
      </c>
      <c r="F636">
        <v>0</v>
      </c>
      <c r="G636">
        <v>0</v>
      </c>
      <c r="H636">
        <v>0</v>
      </c>
      <c r="I636">
        <v>0</v>
      </c>
      <c r="J636">
        <v>0</v>
      </c>
      <c r="K636">
        <v>0</v>
      </c>
      <c r="L636">
        <v>0</v>
      </c>
      <c r="M636">
        <v>0</v>
      </c>
      <c r="N636">
        <v>0</v>
      </c>
      <c r="O636">
        <v>0</v>
      </c>
      <c r="P636">
        <v>0</v>
      </c>
      <c r="W636"/>
      <c r="X636"/>
      <c r="Y636"/>
    </row>
    <row r="637" spans="1:25" x14ac:dyDescent="0.3">
      <c r="A637" t="str">
        <f>Table_Capacity_HD_frontsheet[[#This Row],[Name]]&amp;B637</f>
        <v>NottinghamReablement &amp; Rehabilitation in a bedded setting (pathway 2)</v>
      </c>
      <c r="B637" t="str">
        <f>VLOOKUP(Table_Capacity_HD_frontsheet[[#This Row],[Service Area]],PathwayLookup!A:B,2,0)</f>
        <v>Reablement &amp; Rehabilitation in a bedded setting (pathway 2)</v>
      </c>
      <c r="C637" t="s">
        <v>245</v>
      </c>
      <c r="D637" t="s">
        <v>725</v>
      </c>
      <c r="E637">
        <v>83</v>
      </c>
      <c r="F637">
        <v>83</v>
      </c>
      <c r="G637">
        <v>83</v>
      </c>
      <c r="H637">
        <v>83</v>
      </c>
      <c r="I637">
        <v>83</v>
      </c>
      <c r="J637">
        <v>83</v>
      </c>
      <c r="K637">
        <v>83</v>
      </c>
      <c r="L637">
        <v>83</v>
      </c>
      <c r="M637">
        <v>83</v>
      </c>
      <c r="N637">
        <v>83</v>
      </c>
      <c r="O637">
        <v>83</v>
      </c>
      <c r="P637">
        <v>83</v>
      </c>
      <c r="W637"/>
      <c r="X637"/>
      <c r="Y637"/>
    </row>
    <row r="638" spans="1:25" x14ac:dyDescent="0.3">
      <c r="A638" t="str">
        <f>Table_Capacity_HD_frontsheet[[#This Row],[Name]]&amp;B638</f>
        <v>NottinghamShort-term residential/nursing care for someone likely to require a longer-term care home placement (pathway 3)</v>
      </c>
      <c r="B638" t="str">
        <f>VLOOKUP(Table_Capacity_HD_frontsheet[[#This Row],[Service Area]],PathwayLookup!A:B,2,0)</f>
        <v>Short-term residential/nursing care for someone likely to require a longer-term care home placement (pathway 3)</v>
      </c>
      <c r="C638" t="s">
        <v>245</v>
      </c>
      <c r="D638" t="s">
        <v>731</v>
      </c>
      <c r="E638">
        <v>38</v>
      </c>
      <c r="F638">
        <v>38</v>
      </c>
      <c r="G638">
        <v>38</v>
      </c>
      <c r="H638">
        <v>38</v>
      </c>
      <c r="I638">
        <v>38</v>
      </c>
      <c r="J638">
        <v>38</v>
      </c>
      <c r="K638">
        <v>38</v>
      </c>
      <c r="L638">
        <v>38</v>
      </c>
      <c r="M638">
        <v>38</v>
      </c>
      <c r="N638">
        <v>38</v>
      </c>
      <c r="O638">
        <v>38</v>
      </c>
      <c r="P638">
        <v>38</v>
      </c>
      <c r="Q638">
        <v>0.5</v>
      </c>
      <c r="R638">
        <v>0.5</v>
      </c>
      <c r="W638"/>
      <c r="X638"/>
      <c r="Y638"/>
    </row>
    <row r="639" spans="1:25" x14ac:dyDescent="0.3">
      <c r="A639" t="str">
        <f>Table_Capacity_HD_frontsheet[[#This Row],[Name]]&amp;B639</f>
        <v>NottinghamshireSocial support (including VCS) (pathway 0)</v>
      </c>
      <c r="B639" t="str">
        <f>VLOOKUP(Table_Capacity_HD_frontsheet[[#This Row],[Service Area]],PathwayLookup!A:B,2,0)</f>
        <v>Social support (including VCS) (pathway 0)</v>
      </c>
      <c r="C639" t="s">
        <v>247</v>
      </c>
      <c r="D639" t="s">
        <v>726</v>
      </c>
      <c r="E639">
        <v>0</v>
      </c>
      <c r="F639">
        <v>0</v>
      </c>
      <c r="G639">
        <v>0</v>
      </c>
      <c r="H639">
        <v>0</v>
      </c>
      <c r="I639">
        <v>0</v>
      </c>
      <c r="J639">
        <v>0</v>
      </c>
      <c r="K639">
        <v>0</v>
      </c>
      <c r="L639">
        <v>0</v>
      </c>
      <c r="M639">
        <v>0</v>
      </c>
      <c r="N639">
        <v>0</v>
      </c>
      <c r="O639">
        <v>0</v>
      </c>
      <c r="P639">
        <v>0</v>
      </c>
      <c r="W639"/>
      <c r="X639"/>
      <c r="Y639"/>
    </row>
    <row r="640" spans="1:25" x14ac:dyDescent="0.3">
      <c r="A640" t="str">
        <f>Table_Capacity_HD_frontsheet[[#This Row],[Name]]&amp;B640</f>
        <v>NottinghamshireReablement &amp; Rehabilitation at home  (pathway 1)</v>
      </c>
      <c r="B640" t="str">
        <f>VLOOKUP(Table_Capacity_HD_frontsheet[[#This Row],[Service Area]],PathwayLookup!A:B,2,0)</f>
        <v>Reablement &amp; Rehabilitation at home  (pathway 1)</v>
      </c>
      <c r="C640" t="s">
        <v>247</v>
      </c>
      <c r="D640" t="s">
        <v>728</v>
      </c>
      <c r="E640">
        <v>0</v>
      </c>
      <c r="F640">
        <v>0</v>
      </c>
      <c r="G640">
        <v>0</v>
      </c>
      <c r="H640">
        <v>0</v>
      </c>
      <c r="I640">
        <v>0</v>
      </c>
      <c r="J640">
        <v>0</v>
      </c>
      <c r="K640">
        <v>0</v>
      </c>
      <c r="L640">
        <v>0</v>
      </c>
      <c r="M640">
        <v>0</v>
      </c>
      <c r="N640">
        <v>0</v>
      </c>
      <c r="O640">
        <v>0</v>
      </c>
      <c r="P640">
        <v>0</v>
      </c>
      <c r="Q640">
        <v>0.6</v>
      </c>
      <c r="R640">
        <v>0.4</v>
      </c>
      <c r="W640"/>
      <c r="X640"/>
      <c r="Y640"/>
    </row>
    <row r="641" spans="1:25" x14ac:dyDescent="0.3">
      <c r="A641" t="str">
        <f>Table_Capacity_HD_frontsheet[[#This Row],[Name]]&amp;B641</f>
        <v>NottinghamshireReablement &amp; Rehabilitation at home  (pathway 1)</v>
      </c>
      <c r="B641" t="str">
        <f>VLOOKUP(Table_Capacity_HD_frontsheet[[#This Row],[Service Area]],PathwayLookup!A:B,2,0)</f>
        <v>Reablement &amp; Rehabilitation at home  (pathway 1)</v>
      </c>
      <c r="C641" t="s">
        <v>247</v>
      </c>
      <c r="D641" t="s">
        <v>721</v>
      </c>
      <c r="E641">
        <v>705</v>
      </c>
      <c r="F641">
        <v>736</v>
      </c>
      <c r="G641">
        <v>766</v>
      </c>
      <c r="H641">
        <v>797</v>
      </c>
      <c r="I641">
        <v>827</v>
      </c>
      <c r="J641">
        <v>858</v>
      </c>
      <c r="K641">
        <v>858</v>
      </c>
      <c r="L641">
        <v>858</v>
      </c>
      <c r="M641">
        <v>858</v>
      </c>
      <c r="N641">
        <v>858</v>
      </c>
      <c r="O641">
        <v>858</v>
      </c>
      <c r="P641">
        <v>858</v>
      </c>
      <c r="Q641">
        <v>0.6</v>
      </c>
      <c r="R641">
        <v>0.4</v>
      </c>
      <c r="W641"/>
      <c r="X641"/>
      <c r="Y641"/>
    </row>
    <row r="642" spans="1:25" x14ac:dyDescent="0.3">
      <c r="A642" t="str">
        <f>Table_Capacity_HD_frontsheet[[#This Row],[Name]]&amp;B642</f>
        <v>NottinghamshireShort term domiciliary care (pathway 1)</v>
      </c>
      <c r="B642" t="str">
        <f>VLOOKUP(Table_Capacity_HD_frontsheet[[#This Row],[Service Area]],PathwayLookup!A:B,2,0)</f>
        <v>Short term domiciliary care (pathway 1)</v>
      </c>
      <c r="C642" t="s">
        <v>247</v>
      </c>
      <c r="D642" t="s">
        <v>730</v>
      </c>
      <c r="E642">
        <v>0</v>
      </c>
      <c r="F642">
        <v>0</v>
      </c>
      <c r="G642">
        <v>0</v>
      </c>
      <c r="H642">
        <v>0</v>
      </c>
      <c r="I642">
        <v>0</v>
      </c>
      <c r="J642">
        <v>0</v>
      </c>
      <c r="K642">
        <v>0</v>
      </c>
      <c r="L642">
        <v>0</v>
      </c>
      <c r="M642">
        <v>0</v>
      </c>
      <c r="N642">
        <v>0</v>
      </c>
      <c r="O642">
        <v>0</v>
      </c>
      <c r="P642">
        <v>0</v>
      </c>
      <c r="Q642">
        <v>0.6</v>
      </c>
      <c r="R642">
        <v>0.4</v>
      </c>
      <c r="W642"/>
      <c r="X642"/>
      <c r="Y642"/>
    </row>
    <row r="643" spans="1:25" x14ac:dyDescent="0.3">
      <c r="A643" t="str">
        <f>Table_Capacity_HD_frontsheet[[#This Row],[Name]]&amp;B643</f>
        <v>NottinghamshireReablement &amp; Rehabilitation in a bedded setting (pathway 2)</v>
      </c>
      <c r="B643" t="str">
        <f>VLOOKUP(Table_Capacity_HD_frontsheet[[#This Row],[Service Area]],PathwayLookup!A:B,2,0)</f>
        <v>Reablement &amp; Rehabilitation in a bedded setting (pathway 2)</v>
      </c>
      <c r="C643" t="s">
        <v>247</v>
      </c>
      <c r="D643" t="s">
        <v>723</v>
      </c>
      <c r="E643">
        <v>0</v>
      </c>
      <c r="F643">
        <v>0</v>
      </c>
      <c r="G643">
        <v>0</v>
      </c>
      <c r="H643">
        <v>0</v>
      </c>
      <c r="I643">
        <v>0</v>
      </c>
      <c r="J643">
        <v>0</v>
      </c>
      <c r="K643">
        <v>0</v>
      </c>
      <c r="L643">
        <v>0</v>
      </c>
      <c r="M643">
        <v>0</v>
      </c>
      <c r="N643">
        <v>0</v>
      </c>
      <c r="O643">
        <v>0</v>
      </c>
      <c r="P643">
        <v>0</v>
      </c>
      <c r="Q643">
        <v>0.9</v>
      </c>
      <c r="R643">
        <v>0.9</v>
      </c>
      <c r="W643"/>
      <c r="X643"/>
      <c r="Y643"/>
    </row>
    <row r="644" spans="1:25" x14ac:dyDescent="0.3">
      <c r="A644" t="str">
        <f>Table_Capacity_HD_frontsheet[[#This Row],[Name]]&amp;B644</f>
        <v>NottinghamshireReablement &amp; Rehabilitation in a bedded setting (pathway 2)</v>
      </c>
      <c r="B644" t="str">
        <f>VLOOKUP(Table_Capacity_HD_frontsheet[[#This Row],[Service Area]],PathwayLookup!A:B,2,0)</f>
        <v>Reablement &amp; Rehabilitation in a bedded setting (pathway 2)</v>
      </c>
      <c r="C644" t="s">
        <v>247</v>
      </c>
      <c r="D644" t="s">
        <v>725</v>
      </c>
      <c r="E644">
        <v>161</v>
      </c>
      <c r="F644">
        <v>161</v>
      </c>
      <c r="G644">
        <v>161</v>
      </c>
      <c r="H644">
        <v>161</v>
      </c>
      <c r="I644">
        <v>161</v>
      </c>
      <c r="J644">
        <v>161</v>
      </c>
      <c r="K644">
        <v>161</v>
      </c>
      <c r="L644">
        <v>161</v>
      </c>
      <c r="M644">
        <v>161</v>
      </c>
      <c r="N644">
        <v>161</v>
      </c>
      <c r="O644">
        <v>161</v>
      </c>
      <c r="P644">
        <v>161</v>
      </c>
      <c r="Q644">
        <v>0.9</v>
      </c>
      <c r="R644">
        <v>0.9</v>
      </c>
      <c r="W644"/>
      <c r="X644"/>
      <c r="Y644"/>
    </row>
    <row r="645" spans="1:25" x14ac:dyDescent="0.3">
      <c r="A645" t="str">
        <f>Table_Capacity_HD_frontsheet[[#This Row],[Name]]&amp;B645</f>
        <v>NottinghamshireShort-term residential/nursing care for someone likely to require a longer-term care home placement (pathway 3)</v>
      </c>
      <c r="B645" t="str">
        <f>VLOOKUP(Table_Capacity_HD_frontsheet[[#This Row],[Service Area]],PathwayLookup!A:B,2,0)</f>
        <v>Short-term residential/nursing care for someone likely to require a longer-term care home placement (pathway 3)</v>
      </c>
      <c r="C645" t="s">
        <v>247</v>
      </c>
      <c r="D645" t="s">
        <v>731</v>
      </c>
      <c r="E645">
        <v>74</v>
      </c>
      <c r="F645">
        <v>74</v>
      </c>
      <c r="G645">
        <v>74</v>
      </c>
      <c r="H645">
        <v>74</v>
      </c>
      <c r="I645">
        <v>74</v>
      </c>
      <c r="J645">
        <v>74</v>
      </c>
      <c r="K645">
        <v>74</v>
      </c>
      <c r="L645">
        <v>74</v>
      </c>
      <c r="M645">
        <v>74</v>
      </c>
      <c r="N645">
        <v>74</v>
      </c>
      <c r="O645">
        <v>74</v>
      </c>
      <c r="P645">
        <v>74</v>
      </c>
      <c r="Q645">
        <v>0.5</v>
      </c>
      <c r="R645">
        <v>0.5</v>
      </c>
      <c r="W645"/>
      <c r="X645"/>
      <c r="Y645"/>
    </row>
    <row r="646" spans="1:25" x14ac:dyDescent="0.3">
      <c r="A646" t="str">
        <f>Table_Capacity_HD_frontsheet[[#This Row],[Name]]&amp;B646</f>
        <v>OldhamSocial support (including VCS) (pathway 0)</v>
      </c>
      <c r="B646" t="str">
        <f>VLOOKUP(Table_Capacity_HD_frontsheet[[#This Row],[Service Area]],PathwayLookup!A:B,2,0)</f>
        <v>Social support (including VCS) (pathway 0)</v>
      </c>
      <c r="C646" t="s">
        <v>249</v>
      </c>
      <c r="D646" t="s">
        <v>726</v>
      </c>
      <c r="E646">
        <v>35</v>
      </c>
      <c r="F646">
        <v>35</v>
      </c>
      <c r="G646">
        <v>35</v>
      </c>
      <c r="H646">
        <v>35</v>
      </c>
      <c r="I646">
        <v>35</v>
      </c>
      <c r="J646">
        <v>35</v>
      </c>
      <c r="K646">
        <v>35</v>
      </c>
      <c r="L646">
        <v>35</v>
      </c>
      <c r="M646">
        <v>35</v>
      </c>
      <c r="N646">
        <v>35</v>
      </c>
      <c r="O646">
        <v>35</v>
      </c>
      <c r="P646">
        <v>35</v>
      </c>
      <c r="Q646">
        <v>1</v>
      </c>
      <c r="W646"/>
      <c r="X646"/>
      <c r="Y646"/>
    </row>
    <row r="647" spans="1:25" x14ac:dyDescent="0.3">
      <c r="A647" t="str">
        <f>Table_Capacity_HD_frontsheet[[#This Row],[Name]]&amp;B647</f>
        <v>OldhamReablement &amp; Rehabilitation at home  (pathway 1)</v>
      </c>
      <c r="B647" t="str">
        <f>VLOOKUP(Table_Capacity_HD_frontsheet[[#This Row],[Service Area]],PathwayLookup!A:B,2,0)</f>
        <v>Reablement &amp; Rehabilitation at home  (pathway 1)</v>
      </c>
      <c r="C647" t="s">
        <v>249</v>
      </c>
      <c r="D647" t="s">
        <v>728</v>
      </c>
      <c r="E647">
        <v>47</v>
      </c>
      <c r="F647">
        <v>51</v>
      </c>
      <c r="G647">
        <v>39</v>
      </c>
      <c r="H647">
        <v>31</v>
      </c>
      <c r="I647">
        <v>34</v>
      </c>
      <c r="J647">
        <v>33</v>
      </c>
      <c r="K647">
        <v>33</v>
      </c>
      <c r="L647">
        <v>29</v>
      </c>
      <c r="M647">
        <v>28</v>
      </c>
      <c r="N647">
        <v>38</v>
      </c>
      <c r="O647">
        <v>37</v>
      </c>
      <c r="P647">
        <v>49</v>
      </c>
      <c r="R647">
        <v>1</v>
      </c>
      <c r="W647"/>
      <c r="X647"/>
      <c r="Y647"/>
    </row>
    <row r="648" spans="1:25" x14ac:dyDescent="0.3">
      <c r="A648" t="str">
        <f>Table_Capacity_HD_frontsheet[[#This Row],[Name]]&amp;B648</f>
        <v>OldhamReablement &amp; Rehabilitation at home  (pathway 1)</v>
      </c>
      <c r="B648" t="str">
        <f>VLOOKUP(Table_Capacity_HD_frontsheet[[#This Row],[Service Area]],PathwayLookup!A:B,2,0)</f>
        <v>Reablement &amp; Rehabilitation at home  (pathway 1)</v>
      </c>
      <c r="C648" t="s">
        <v>249</v>
      </c>
      <c r="D648" t="s">
        <v>721</v>
      </c>
      <c r="E648">
        <v>0</v>
      </c>
      <c r="F648">
        <v>0</v>
      </c>
      <c r="G648">
        <v>0</v>
      </c>
      <c r="H648">
        <v>0</v>
      </c>
      <c r="I648">
        <v>0</v>
      </c>
      <c r="J648">
        <v>0</v>
      </c>
      <c r="K648">
        <v>0</v>
      </c>
      <c r="L648">
        <v>0</v>
      </c>
      <c r="M648">
        <v>0</v>
      </c>
      <c r="N648">
        <v>0</v>
      </c>
      <c r="O648">
        <v>0</v>
      </c>
      <c r="P648">
        <v>0</v>
      </c>
      <c r="Q648">
        <v>1</v>
      </c>
      <c r="W648"/>
      <c r="X648"/>
      <c r="Y648"/>
    </row>
    <row r="649" spans="1:25" x14ac:dyDescent="0.3">
      <c r="A649" t="str">
        <f>Table_Capacity_HD_frontsheet[[#This Row],[Name]]&amp;B649</f>
        <v>OldhamShort term domiciliary care (pathway 1)</v>
      </c>
      <c r="B649" t="str">
        <f>VLOOKUP(Table_Capacity_HD_frontsheet[[#This Row],[Service Area]],PathwayLookup!A:B,2,0)</f>
        <v>Short term domiciliary care (pathway 1)</v>
      </c>
      <c r="C649" t="s">
        <v>249</v>
      </c>
      <c r="D649" t="s">
        <v>730</v>
      </c>
      <c r="E649">
        <v>40</v>
      </c>
      <c r="F649">
        <v>36</v>
      </c>
      <c r="G649">
        <v>38</v>
      </c>
      <c r="H649">
        <v>39</v>
      </c>
      <c r="I649">
        <v>39</v>
      </c>
      <c r="J649">
        <v>38</v>
      </c>
      <c r="K649">
        <v>35</v>
      </c>
      <c r="L649">
        <v>52</v>
      </c>
      <c r="M649">
        <v>54</v>
      </c>
      <c r="N649">
        <v>54</v>
      </c>
      <c r="O649">
        <v>34</v>
      </c>
      <c r="P649">
        <v>30</v>
      </c>
      <c r="S649">
        <v>1</v>
      </c>
      <c r="W649"/>
      <c r="X649"/>
      <c r="Y649"/>
    </row>
    <row r="650" spans="1:25" x14ac:dyDescent="0.3">
      <c r="A650" t="str">
        <f>Table_Capacity_HD_frontsheet[[#This Row],[Name]]&amp;B650</f>
        <v>OldhamReablement &amp; Rehabilitation in a bedded setting (pathway 2)</v>
      </c>
      <c r="B650" t="str">
        <f>VLOOKUP(Table_Capacity_HD_frontsheet[[#This Row],[Service Area]],PathwayLookup!A:B,2,0)</f>
        <v>Reablement &amp; Rehabilitation in a bedded setting (pathway 2)</v>
      </c>
      <c r="C650" t="s">
        <v>249</v>
      </c>
      <c r="D650" t="s">
        <v>723</v>
      </c>
      <c r="E650">
        <v>23</v>
      </c>
      <c r="F650">
        <v>23</v>
      </c>
      <c r="G650">
        <v>23</v>
      </c>
      <c r="H650">
        <v>23</v>
      </c>
      <c r="I650">
        <v>23</v>
      </c>
      <c r="J650">
        <v>23</v>
      </c>
      <c r="K650">
        <v>23</v>
      </c>
      <c r="L650">
        <v>23</v>
      </c>
      <c r="M650">
        <v>23</v>
      </c>
      <c r="N650">
        <v>23</v>
      </c>
      <c r="O650">
        <v>23</v>
      </c>
      <c r="P650">
        <v>23</v>
      </c>
      <c r="R650">
        <v>1</v>
      </c>
      <c r="W650"/>
      <c r="X650"/>
      <c r="Y650"/>
    </row>
    <row r="651" spans="1:25" x14ac:dyDescent="0.3">
      <c r="A651" t="str">
        <f>Table_Capacity_HD_frontsheet[[#This Row],[Name]]&amp;B651</f>
        <v>OldhamReablement &amp; Rehabilitation in a bedded setting (pathway 2)</v>
      </c>
      <c r="B651" t="str">
        <f>VLOOKUP(Table_Capacity_HD_frontsheet[[#This Row],[Service Area]],PathwayLookup!A:B,2,0)</f>
        <v>Reablement &amp; Rehabilitation in a bedded setting (pathway 2)</v>
      </c>
      <c r="C651" t="s">
        <v>249</v>
      </c>
      <c r="D651" t="s">
        <v>725</v>
      </c>
      <c r="E651">
        <v>35</v>
      </c>
      <c r="F651">
        <v>35</v>
      </c>
      <c r="G651">
        <v>35</v>
      </c>
      <c r="H651">
        <v>35</v>
      </c>
      <c r="I651">
        <v>35</v>
      </c>
      <c r="J651">
        <v>35</v>
      </c>
      <c r="K651">
        <v>35</v>
      </c>
      <c r="L651">
        <v>35</v>
      </c>
      <c r="M651">
        <v>35</v>
      </c>
      <c r="N651">
        <v>35</v>
      </c>
      <c r="O651">
        <v>35</v>
      </c>
      <c r="P651">
        <v>35</v>
      </c>
      <c r="Q651">
        <v>1</v>
      </c>
      <c r="W651"/>
      <c r="X651"/>
      <c r="Y651"/>
    </row>
    <row r="652" spans="1:25" x14ac:dyDescent="0.3">
      <c r="A652" t="str">
        <f>Table_Capacity_HD_frontsheet[[#This Row],[Name]]&amp;B652</f>
        <v>OldhamShort-term residential/nursing care for someone likely to require a longer-term care home placement (pathway 3)</v>
      </c>
      <c r="B652" t="str">
        <f>VLOOKUP(Table_Capacity_HD_frontsheet[[#This Row],[Service Area]],PathwayLookup!A:B,2,0)</f>
        <v>Short-term residential/nursing care for someone likely to require a longer-term care home placement (pathway 3)</v>
      </c>
      <c r="C652" t="s">
        <v>249</v>
      </c>
      <c r="D652" t="s">
        <v>731</v>
      </c>
      <c r="E652">
        <v>180</v>
      </c>
      <c r="F652">
        <v>145</v>
      </c>
      <c r="G652">
        <v>130</v>
      </c>
      <c r="H652">
        <v>130</v>
      </c>
      <c r="I652">
        <v>130</v>
      </c>
      <c r="J652">
        <v>140</v>
      </c>
      <c r="K652">
        <v>150</v>
      </c>
      <c r="L652">
        <v>165</v>
      </c>
      <c r="M652">
        <v>150</v>
      </c>
      <c r="N652">
        <v>170</v>
      </c>
      <c r="O652">
        <v>170</v>
      </c>
      <c r="P652">
        <v>160</v>
      </c>
      <c r="S652">
        <v>1</v>
      </c>
      <c r="W652"/>
      <c r="X652"/>
      <c r="Y652"/>
    </row>
    <row r="653" spans="1:25" x14ac:dyDescent="0.3">
      <c r="A653" t="str">
        <f>Table_Capacity_HD_frontsheet[[#This Row],[Name]]&amp;B653</f>
        <v>OxfordshireSocial support (including VCS) (pathway 0)</v>
      </c>
      <c r="B653" t="str">
        <f>VLOOKUP(Table_Capacity_HD_frontsheet[[#This Row],[Service Area]],PathwayLookup!A:B,2,0)</f>
        <v>Social support (including VCS) (pathway 0)</v>
      </c>
      <c r="C653" t="s">
        <v>251</v>
      </c>
      <c r="D653" t="s">
        <v>726</v>
      </c>
      <c r="E653">
        <v>214.3</v>
      </c>
      <c r="F653">
        <v>221.4</v>
      </c>
      <c r="G653">
        <v>214.3</v>
      </c>
      <c r="H653">
        <v>221.4</v>
      </c>
      <c r="I653">
        <v>221.4</v>
      </c>
      <c r="J653">
        <v>214.3</v>
      </c>
      <c r="K653">
        <v>221.4</v>
      </c>
      <c r="L653">
        <v>214.3</v>
      </c>
      <c r="M653">
        <v>221.4</v>
      </c>
      <c r="N653">
        <v>221.4</v>
      </c>
      <c r="O653">
        <v>200</v>
      </c>
      <c r="P653">
        <v>221.4</v>
      </c>
      <c r="R653">
        <v>1</v>
      </c>
      <c r="W653"/>
      <c r="X653"/>
      <c r="Y653"/>
    </row>
    <row r="654" spans="1:25" x14ac:dyDescent="0.3">
      <c r="A654" t="str">
        <f>Table_Capacity_HD_frontsheet[[#This Row],[Name]]&amp;B654</f>
        <v>OxfordshireReablement &amp; Rehabilitation at home  (pathway 1)</v>
      </c>
      <c r="B654" t="str">
        <f>VLOOKUP(Table_Capacity_HD_frontsheet[[#This Row],[Service Area]],PathwayLookup!A:B,2,0)</f>
        <v>Reablement &amp; Rehabilitation at home  (pathway 1)</v>
      </c>
      <c r="C654" t="s">
        <v>251</v>
      </c>
      <c r="D654" t="s">
        <v>728</v>
      </c>
      <c r="E654">
        <v>142.85714285714286</v>
      </c>
      <c r="F654">
        <v>147.61904761904762</v>
      </c>
      <c r="G654">
        <v>142.85714285714286</v>
      </c>
      <c r="H654">
        <v>153.52380952380952</v>
      </c>
      <c r="I654">
        <v>153.52380952380952</v>
      </c>
      <c r="J654">
        <v>161.42857142857142</v>
      </c>
      <c r="K654">
        <v>211.6</v>
      </c>
      <c r="L654">
        <v>205.9</v>
      </c>
      <c r="M654">
        <v>211.6</v>
      </c>
      <c r="N654">
        <v>211.6</v>
      </c>
      <c r="O654">
        <v>194.3</v>
      </c>
      <c r="P654">
        <v>211.6</v>
      </c>
      <c r="S654">
        <v>1</v>
      </c>
      <c r="W654"/>
      <c r="X654"/>
      <c r="Y654"/>
    </row>
    <row r="655" spans="1:25" x14ac:dyDescent="0.3">
      <c r="A655" t="str">
        <f>Table_Capacity_HD_frontsheet[[#This Row],[Name]]&amp;B655</f>
        <v>OxfordshireReablement &amp; Rehabilitation at home  (pathway 1)</v>
      </c>
      <c r="B655" t="str">
        <f>VLOOKUP(Table_Capacity_HD_frontsheet[[#This Row],[Service Area]],PathwayLookup!A:B,2,0)</f>
        <v>Reablement &amp; Rehabilitation at home  (pathway 1)</v>
      </c>
      <c r="C655" t="s">
        <v>251</v>
      </c>
      <c r="D655" t="s">
        <v>721</v>
      </c>
      <c r="E655">
        <v>14.285714285714286</v>
      </c>
      <c r="F655">
        <v>14.761904761904765</v>
      </c>
      <c r="G655">
        <v>14.285714285714286</v>
      </c>
      <c r="H655">
        <v>16.238095238095237</v>
      </c>
      <c r="I655">
        <v>16.238095238095237</v>
      </c>
      <c r="J655">
        <v>18.571428571428573</v>
      </c>
      <c r="K655">
        <v>23.61904761904762</v>
      </c>
      <c r="L655">
        <v>22.857142857142858</v>
      </c>
      <c r="M655">
        <v>23.61904761904762</v>
      </c>
      <c r="N655">
        <v>23.61904761904762</v>
      </c>
      <c r="O655">
        <v>21.333333333333332</v>
      </c>
      <c r="P655">
        <v>23.61904761904762</v>
      </c>
      <c r="S655">
        <v>1</v>
      </c>
      <c r="W655"/>
      <c r="X655"/>
      <c r="Y655"/>
    </row>
    <row r="656" spans="1:25" x14ac:dyDescent="0.3">
      <c r="A656" t="str">
        <f>Table_Capacity_HD_frontsheet[[#This Row],[Name]]&amp;B656</f>
        <v>OxfordshireShort term domiciliary care (pathway 1)</v>
      </c>
      <c r="B656" t="str">
        <f>VLOOKUP(Table_Capacity_HD_frontsheet[[#This Row],[Service Area]],PathwayLookup!A:B,2,0)</f>
        <v>Short term domiciliary care (pathway 1)</v>
      </c>
      <c r="C656" t="s">
        <v>251</v>
      </c>
      <c r="D656" t="s">
        <v>730</v>
      </c>
      <c r="E656">
        <v>61.29032258064516</v>
      </c>
      <c r="F656">
        <v>63.333333333333329</v>
      </c>
      <c r="G656">
        <v>61.29032258064516</v>
      </c>
      <c r="H656">
        <v>63.333333333333329</v>
      </c>
      <c r="I656">
        <v>63.333333333333329</v>
      </c>
      <c r="J656">
        <v>61.29032258064516</v>
      </c>
      <c r="K656">
        <v>63.333333333333329</v>
      </c>
      <c r="L656">
        <v>61.29032258064516</v>
      </c>
      <c r="M656">
        <v>63.333333333333329</v>
      </c>
      <c r="N656">
        <v>63.333333333333329</v>
      </c>
      <c r="O656">
        <v>57.204301075268816</v>
      </c>
      <c r="P656">
        <v>63.333333333333329</v>
      </c>
      <c r="R656">
        <v>1</v>
      </c>
      <c r="W656"/>
      <c r="X656"/>
      <c r="Y656"/>
    </row>
    <row r="657" spans="1:25" x14ac:dyDescent="0.3">
      <c r="A657" t="str">
        <f>Table_Capacity_HD_frontsheet[[#This Row],[Name]]&amp;B657</f>
        <v>OxfordshireReablement &amp; Rehabilitation in a bedded setting (pathway 2)</v>
      </c>
      <c r="B657" t="str">
        <f>VLOOKUP(Table_Capacity_HD_frontsheet[[#This Row],[Service Area]],PathwayLookup!A:B,2,0)</f>
        <v>Reablement &amp; Rehabilitation in a bedded setting (pathway 2)</v>
      </c>
      <c r="C657" t="s">
        <v>251</v>
      </c>
      <c r="D657" t="s">
        <v>723</v>
      </c>
      <c r="E657">
        <v>83.7</v>
      </c>
      <c r="F657">
        <v>86.490000000000009</v>
      </c>
      <c r="G657">
        <v>83.7</v>
      </c>
      <c r="H657">
        <v>86.490000000000009</v>
      </c>
      <c r="I657">
        <v>86.490000000000009</v>
      </c>
      <c r="J657">
        <v>83.7</v>
      </c>
      <c r="K657">
        <v>73.099999999999994</v>
      </c>
      <c r="L657">
        <v>70.7</v>
      </c>
      <c r="M657">
        <v>73.099999999999994</v>
      </c>
      <c r="N657">
        <v>73.099999999999994</v>
      </c>
      <c r="O657">
        <v>66</v>
      </c>
      <c r="P657">
        <v>73.099999999999994</v>
      </c>
      <c r="S657">
        <v>1</v>
      </c>
      <c r="W657"/>
      <c r="X657"/>
      <c r="Y657"/>
    </row>
    <row r="658" spans="1:25" x14ac:dyDescent="0.3">
      <c r="A658" t="str">
        <f>Table_Capacity_HD_frontsheet[[#This Row],[Name]]&amp;B658</f>
        <v>OxfordshireReablement &amp; Rehabilitation in a bedded setting (pathway 2)</v>
      </c>
      <c r="B658" t="str">
        <f>VLOOKUP(Table_Capacity_HD_frontsheet[[#This Row],[Service Area]],PathwayLookup!A:B,2,0)</f>
        <v>Reablement &amp; Rehabilitation in a bedded setting (pathway 2)</v>
      </c>
      <c r="C658" t="s">
        <v>251</v>
      </c>
      <c r="D658" t="s">
        <v>725</v>
      </c>
      <c r="E658">
        <v>102.2296429488826</v>
      </c>
      <c r="F658">
        <v>105.63729771384536</v>
      </c>
      <c r="G658">
        <v>102.2296429488826</v>
      </c>
      <c r="H658">
        <v>105.63729771384536</v>
      </c>
      <c r="I658">
        <v>105.63729771384536</v>
      </c>
      <c r="J658">
        <v>102.2296429488826</v>
      </c>
      <c r="K658">
        <v>105.63729771384536</v>
      </c>
      <c r="L658">
        <v>102.2296429488826</v>
      </c>
      <c r="M658">
        <v>105.63729771384536</v>
      </c>
      <c r="N658">
        <v>105.63729771384536</v>
      </c>
      <c r="O658">
        <v>95.414333418957099</v>
      </c>
      <c r="P658">
        <v>105.63729771384536</v>
      </c>
      <c r="Q658">
        <v>1</v>
      </c>
      <c r="W658"/>
      <c r="X658"/>
      <c r="Y658"/>
    </row>
    <row r="659" spans="1:25" x14ac:dyDescent="0.3">
      <c r="A659" t="str">
        <f>Table_Capacity_HD_frontsheet[[#This Row],[Name]]&amp;B659</f>
        <v>OxfordshireShort-term residential/nursing care for someone likely to require a longer-term care home placement (pathway 3)</v>
      </c>
      <c r="B659" t="str">
        <f>VLOOKUP(Table_Capacity_HD_frontsheet[[#This Row],[Service Area]],PathwayLookup!A:B,2,0)</f>
        <v>Short-term residential/nursing care for someone likely to require a longer-term care home placement (pathway 3)</v>
      </c>
      <c r="C659" t="s">
        <v>251</v>
      </c>
      <c r="D659" t="s">
        <v>731</v>
      </c>
      <c r="E659">
        <v>36</v>
      </c>
      <c r="F659">
        <v>49</v>
      </c>
      <c r="G659">
        <v>35</v>
      </c>
      <c r="H659">
        <v>37</v>
      </c>
      <c r="I659">
        <v>42</v>
      </c>
      <c r="J659">
        <v>40</v>
      </c>
      <c r="K659">
        <v>45</v>
      </c>
      <c r="L659">
        <v>43</v>
      </c>
      <c r="M659">
        <v>44</v>
      </c>
      <c r="N659">
        <v>28</v>
      </c>
      <c r="O659">
        <v>22</v>
      </c>
      <c r="P659">
        <v>38</v>
      </c>
      <c r="R659">
        <v>1</v>
      </c>
      <c r="W659"/>
      <c r="X659"/>
      <c r="Y659"/>
    </row>
    <row r="660" spans="1:25" x14ac:dyDescent="0.3">
      <c r="A660" t="str">
        <f>Table_Capacity_HD_frontsheet[[#This Row],[Name]]&amp;B660</f>
        <v>PeterboroughSocial support (including VCS) (pathway 0)</v>
      </c>
      <c r="B660" t="str">
        <f>VLOOKUP(Table_Capacity_HD_frontsheet[[#This Row],[Service Area]],PathwayLookup!A:B,2,0)</f>
        <v>Social support (including VCS) (pathway 0)</v>
      </c>
      <c r="C660" t="s">
        <v>253</v>
      </c>
      <c r="D660" t="s">
        <v>726</v>
      </c>
      <c r="E660">
        <v>71</v>
      </c>
      <c r="F660">
        <v>86</v>
      </c>
      <c r="G660">
        <v>72</v>
      </c>
      <c r="H660">
        <v>63</v>
      </c>
      <c r="I660">
        <v>62</v>
      </c>
      <c r="J660">
        <v>73</v>
      </c>
      <c r="K660">
        <v>73</v>
      </c>
      <c r="L660">
        <v>94</v>
      </c>
      <c r="M660">
        <v>73</v>
      </c>
      <c r="N660">
        <v>78</v>
      </c>
      <c r="O660">
        <v>51</v>
      </c>
      <c r="P660">
        <v>83</v>
      </c>
      <c r="Q660">
        <v>0.28999999999999998</v>
      </c>
      <c r="R660">
        <v>0.65</v>
      </c>
      <c r="S660">
        <v>0.06</v>
      </c>
      <c r="W660"/>
      <c r="X660"/>
      <c r="Y660"/>
    </row>
    <row r="661" spans="1:25" x14ac:dyDescent="0.3">
      <c r="A661" t="str">
        <f>Table_Capacity_HD_frontsheet[[#This Row],[Name]]&amp;B661</f>
        <v>PeterboroughReablement &amp; Rehabilitation at home  (pathway 1)</v>
      </c>
      <c r="B661" t="str">
        <f>VLOOKUP(Table_Capacity_HD_frontsheet[[#This Row],[Service Area]],PathwayLookup!A:B,2,0)</f>
        <v>Reablement &amp; Rehabilitation at home  (pathway 1)</v>
      </c>
      <c r="C661" t="s">
        <v>253</v>
      </c>
      <c r="D661" t="s">
        <v>728</v>
      </c>
      <c r="E661">
        <v>65</v>
      </c>
      <c r="F661">
        <v>69</v>
      </c>
      <c r="G661">
        <v>65</v>
      </c>
      <c r="H661">
        <v>69</v>
      </c>
      <c r="I661">
        <v>65</v>
      </c>
      <c r="J661">
        <v>69</v>
      </c>
      <c r="K661">
        <v>69</v>
      </c>
      <c r="L661">
        <v>65</v>
      </c>
      <c r="M661">
        <v>69</v>
      </c>
      <c r="N661">
        <v>69</v>
      </c>
      <c r="O661">
        <v>56</v>
      </c>
      <c r="P661">
        <v>69</v>
      </c>
      <c r="Q661">
        <v>0</v>
      </c>
      <c r="R661">
        <v>1</v>
      </c>
      <c r="S661">
        <v>0</v>
      </c>
      <c r="W661"/>
      <c r="X661"/>
      <c r="Y661"/>
    </row>
    <row r="662" spans="1:25" x14ac:dyDescent="0.3">
      <c r="A662" t="str">
        <f>Table_Capacity_HD_frontsheet[[#This Row],[Name]]&amp;B662</f>
        <v>PeterboroughReablement &amp; Rehabilitation at home  (pathway 1)</v>
      </c>
      <c r="B662" t="str">
        <f>VLOOKUP(Table_Capacity_HD_frontsheet[[#This Row],[Service Area]],PathwayLookup!A:B,2,0)</f>
        <v>Reablement &amp; Rehabilitation at home  (pathway 1)</v>
      </c>
      <c r="C662" t="s">
        <v>253</v>
      </c>
      <c r="D662" t="s">
        <v>721</v>
      </c>
      <c r="E662">
        <v>68</v>
      </c>
      <c r="F662">
        <v>68</v>
      </c>
      <c r="G662">
        <v>68</v>
      </c>
      <c r="H662">
        <v>68</v>
      </c>
      <c r="I662">
        <v>68</v>
      </c>
      <c r="J662">
        <v>68</v>
      </c>
      <c r="K662">
        <v>68</v>
      </c>
      <c r="L662">
        <v>68</v>
      </c>
      <c r="M662">
        <v>68</v>
      </c>
      <c r="N662">
        <v>68</v>
      </c>
      <c r="O662">
        <v>68</v>
      </c>
      <c r="P662">
        <v>68</v>
      </c>
      <c r="Q662">
        <v>1</v>
      </c>
      <c r="R662">
        <v>0</v>
      </c>
      <c r="S662">
        <v>0</v>
      </c>
      <c r="W662"/>
      <c r="X662"/>
      <c r="Y662"/>
    </row>
    <row r="663" spans="1:25" x14ac:dyDescent="0.3">
      <c r="A663" t="str">
        <f>Table_Capacity_HD_frontsheet[[#This Row],[Name]]&amp;B663</f>
        <v>PeterboroughShort term domiciliary care (pathway 1)</v>
      </c>
      <c r="B663" t="str">
        <f>VLOOKUP(Table_Capacity_HD_frontsheet[[#This Row],[Service Area]],PathwayLookup!A:B,2,0)</f>
        <v>Short term domiciliary care (pathway 1)</v>
      </c>
      <c r="C663" t="s">
        <v>253</v>
      </c>
      <c r="D663" t="s">
        <v>730</v>
      </c>
      <c r="E663">
        <v>0</v>
      </c>
      <c r="F663">
        <v>0</v>
      </c>
      <c r="G663">
        <v>0</v>
      </c>
      <c r="H663">
        <v>0</v>
      </c>
      <c r="I663">
        <v>0</v>
      </c>
      <c r="J663">
        <v>0</v>
      </c>
      <c r="K663">
        <v>0</v>
      </c>
      <c r="L663">
        <v>0</v>
      </c>
      <c r="M663">
        <v>0</v>
      </c>
      <c r="N663">
        <v>0</v>
      </c>
      <c r="O663">
        <v>0</v>
      </c>
      <c r="P663">
        <v>0</v>
      </c>
      <c r="Q663">
        <v>0</v>
      </c>
      <c r="R663">
        <v>0</v>
      </c>
      <c r="S663">
        <v>0</v>
      </c>
      <c r="W663"/>
      <c r="X663"/>
      <c r="Y663"/>
    </row>
    <row r="664" spans="1:25" x14ac:dyDescent="0.3">
      <c r="A664" t="str">
        <f>Table_Capacity_HD_frontsheet[[#This Row],[Name]]&amp;B664</f>
        <v>PeterboroughReablement &amp; Rehabilitation in a bedded setting (pathway 2)</v>
      </c>
      <c r="B664" t="str">
        <f>VLOOKUP(Table_Capacity_HD_frontsheet[[#This Row],[Service Area]],PathwayLookup!A:B,2,0)</f>
        <v>Reablement &amp; Rehabilitation in a bedded setting (pathway 2)</v>
      </c>
      <c r="C664" t="s">
        <v>253</v>
      </c>
      <c r="D664" t="s">
        <v>723</v>
      </c>
      <c r="E664">
        <v>0</v>
      </c>
      <c r="F664">
        <v>0</v>
      </c>
      <c r="G664">
        <v>0</v>
      </c>
      <c r="H664">
        <v>0</v>
      </c>
      <c r="I664">
        <v>0</v>
      </c>
      <c r="J664">
        <v>0</v>
      </c>
      <c r="K664">
        <v>0</v>
      </c>
      <c r="L664">
        <v>0</v>
      </c>
      <c r="M664">
        <v>0</v>
      </c>
      <c r="N664">
        <v>0</v>
      </c>
      <c r="O664">
        <v>0</v>
      </c>
      <c r="P664">
        <v>0</v>
      </c>
      <c r="Q664">
        <v>0</v>
      </c>
      <c r="R664">
        <v>0</v>
      </c>
      <c r="S664">
        <v>0</v>
      </c>
      <c r="W664"/>
      <c r="X664"/>
      <c r="Y664"/>
    </row>
    <row r="665" spans="1:25" x14ac:dyDescent="0.3">
      <c r="A665" t="str">
        <f>Table_Capacity_HD_frontsheet[[#This Row],[Name]]&amp;B665</f>
        <v>PeterboroughReablement &amp; Rehabilitation in a bedded setting (pathway 2)</v>
      </c>
      <c r="B665" t="str">
        <f>VLOOKUP(Table_Capacity_HD_frontsheet[[#This Row],[Service Area]],PathwayLookup!A:B,2,0)</f>
        <v>Reablement &amp; Rehabilitation in a bedded setting (pathway 2)</v>
      </c>
      <c r="C665" t="s">
        <v>253</v>
      </c>
      <c r="D665" t="s">
        <v>725</v>
      </c>
      <c r="E665">
        <v>54</v>
      </c>
      <c r="F665">
        <v>55</v>
      </c>
      <c r="G665">
        <v>53</v>
      </c>
      <c r="H665">
        <v>55</v>
      </c>
      <c r="I665">
        <v>55</v>
      </c>
      <c r="J665">
        <v>54</v>
      </c>
      <c r="K665">
        <v>55</v>
      </c>
      <c r="L665">
        <v>56</v>
      </c>
      <c r="M665">
        <v>57</v>
      </c>
      <c r="N665">
        <v>57</v>
      </c>
      <c r="O665">
        <v>55</v>
      </c>
      <c r="P665">
        <v>57</v>
      </c>
      <c r="Q665">
        <v>1</v>
      </c>
      <c r="R665">
        <v>0</v>
      </c>
      <c r="S665">
        <v>0</v>
      </c>
      <c r="W665"/>
      <c r="X665"/>
      <c r="Y665"/>
    </row>
    <row r="666" spans="1:25" x14ac:dyDescent="0.3">
      <c r="A666" t="str">
        <f>Table_Capacity_HD_frontsheet[[#This Row],[Name]]&amp;B666</f>
        <v>PeterboroughShort-term residential/nursing care for someone likely to require a longer-term care home placement (pathway 3)</v>
      </c>
      <c r="B666" t="str">
        <f>VLOOKUP(Table_Capacity_HD_frontsheet[[#This Row],[Service Area]],PathwayLookup!A:B,2,0)</f>
        <v>Short-term residential/nursing care for someone likely to require a longer-term care home placement (pathway 3)</v>
      </c>
      <c r="C666" t="s">
        <v>253</v>
      </c>
      <c r="D666" t="s">
        <v>731</v>
      </c>
      <c r="E666">
        <v>43</v>
      </c>
      <c r="F666">
        <v>56</v>
      </c>
      <c r="G666">
        <v>51</v>
      </c>
      <c r="H666">
        <v>63</v>
      </c>
      <c r="I666">
        <v>62</v>
      </c>
      <c r="J666">
        <v>64</v>
      </c>
      <c r="K666">
        <v>54</v>
      </c>
      <c r="L666">
        <v>62</v>
      </c>
      <c r="M666">
        <v>54</v>
      </c>
      <c r="N666">
        <v>51</v>
      </c>
      <c r="O666">
        <v>48</v>
      </c>
      <c r="P666">
        <v>72</v>
      </c>
      <c r="Q666">
        <v>0.21</v>
      </c>
      <c r="R666">
        <v>0.79</v>
      </c>
      <c r="S666">
        <v>0</v>
      </c>
      <c r="W666"/>
      <c r="X666"/>
      <c r="Y666"/>
    </row>
    <row r="667" spans="1:25" x14ac:dyDescent="0.3">
      <c r="A667" t="str">
        <f>Table_Capacity_HD_frontsheet[[#This Row],[Name]]&amp;B667</f>
        <v>PlymouthSocial support (including VCS) (pathway 0)</v>
      </c>
      <c r="B667" t="str">
        <f>VLOOKUP(Table_Capacity_HD_frontsheet[[#This Row],[Service Area]],PathwayLookup!A:B,2,0)</f>
        <v>Social support (including VCS) (pathway 0)</v>
      </c>
      <c r="C667" t="s">
        <v>255</v>
      </c>
      <c r="D667" t="s">
        <v>726</v>
      </c>
      <c r="W667"/>
      <c r="X667"/>
      <c r="Y667"/>
    </row>
    <row r="668" spans="1:25" x14ac:dyDescent="0.3">
      <c r="A668" t="str">
        <f>Table_Capacity_HD_frontsheet[[#This Row],[Name]]&amp;B668</f>
        <v>PlymouthReablement &amp; Rehabilitation at home  (pathway 1)</v>
      </c>
      <c r="B668" t="str">
        <f>VLOOKUP(Table_Capacity_HD_frontsheet[[#This Row],[Service Area]],PathwayLookup!A:B,2,0)</f>
        <v>Reablement &amp; Rehabilitation at home  (pathway 1)</v>
      </c>
      <c r="C668" t="s">
        <v>255</v>
      </c>
      <c r="D668" t="s">
        <v>728</v>
      </c>
      <c r="E668">
        <v>41</v>
      </c>
      <c r="F668">
        <v>42</v>
      </c>
      <c r="G668">
        <v>41</v>
      </c>
      <c r="H668">
        <v>42</v>
      </c>
      <c r="I668">
        <v>42</v>
      </c>
      <c r="J668">
        <v>41</v>
      </c>
      <c r="K668">
        <v>56</v>
      </c>
      <c r="L668">
        <v>56</v>
      </c>
      <c r="M668">
        <v>56</v>
      </c>
      <c r="N668">
        <v>56</v>
      </c>
      <c r="O668">
        <v>56</v>
      </c>
      <c r="P668">
        <v>56</v>
      </c>
      <c r="W668"/>
      <c r="X668"/>
      <c r="Y668"/>
    </row>
    <row r="669" spans="1:25" x14ac:dyDescent="0.3">
      <c r="A669" t="str">
        <f>Table_Capacity_HD_frontsheet[[#This Row],[Name]]&amp;B669</f>
        <v>PlymouthReablement &amp; Rehabilitation at home  (pathway 1)</v>
      </c>
      <c r="B669" t="str">
        <f>VLOOKUP(Table_Capacity_HD_frontsheet[[#This Row],[Service Area]],PathwayLookup!A:B,2,0)</f>
        <v>Reablement &amp; Rehabilitation at home  (pathway 1)</v>
      </c>
      <c r="C669" t="s">
        <v>255</v>
      </c>
      <c r="D669" t="s">
        <v>721</v>
      </c>
      <c r="W669"/>
      <c r="X669"/>
      <c r="Y669"/>
    </row>
    <row r="670" spans="1:25" x14ac:dyDescent="0.3">
      <c r="A670" t="str">
        <f>Table_Capacity_HD_frontsheet[[#This Row],[Name]]&amp;B670</f>
        <v>PlymouthShort term domiciliary care (pathway 1)</v>
      </c>
      <c r="B670" t="str">
        <f>VLOOKUP(Table_Capacity_HD_frontsheet[[#This Row],[Service Area]],PathwayLookup!A:B,2,0)</f>
        <v>Short term domiciliary care (pathway 1)</v>
      </c>
      <c r="C670" t="s">
        <v>255</v>
      </c>
      <c r="D670" t="s">
        <v>730</v>
      </c>
      <c r="E670">
        <v>59</v>
      </c>
      <c r="F670">
        <v>60</v>
      </c>
      <c r="G670">
        <v>59</v>
      </c>
      <c r="H670">
        <v>60</v>
      </c>
      <c r="I670">
        <v>60</v>
      </c>
      <c r="J670">
        <v>59</v>
      </c>
      <c r="K670">
        <v>60</v>
      </c>
      <c r="L670">
        <v>59</v>
      </c>
      <c r="M670">
        <v>60</v>
      </c>
      <c r="N670">
        <v>60</v>
      </c>
      <c r="O670">
        <v>55</v>
      </c>
      <c r="P670">
        <v>60</v>
      </c>
      <c r="W670"/>
      <c r="X670"/>
      <c r="Y670"/>
    </row>
    <row r="671" spans="1:25" x14ac:dyDescent="0.3">
      <c r="A671" t="str">
        <f>Table_Capacity_HD_frontsheet[[#This Row],[Name]]&amp;B671</f>
        <v>PlymouthReablement &amp; Rehabilitation in a bedded setting (pathway 2)</v>
      </c>
      <c r="B671" t="str">
        <f>VLOOKUP(Table_Capacity_HD_frontsheet[[#This Row],[Service Area]],PathwayLookup!A:B,2,0)</f>
        <v>Reablement &amp; Rehabilitation in a bedded setting (pathway 2)</v>
      </c>
      <c r="C671" t="s">
        <v>255</v>
      </c>
      <c r="D671" t="s">
        <v>723</v>
      </c>
      <c r="W671"/>
      <c r="X671"/>
      <c r="Y671"/>
    </row>
    <row r="672" spans="1:25" x14ac:dyDescent="0.3">
      <c r="A672" t="str">
        <f>Table_Capacity_HD_frontsheet[[#This Row],[Name]]&amp;B672</f>
        <v>PlymouthReablement &amp; Rehabilitation in a bedded setting (pathway 2)</v>
      </c>
      <c r="B672" t="str">
        <f>VLOOKUP(Table_Capacity_HD_frontsheet[[#This Row],[Service Area]],PathwayLookup!A:B,2,0)</f>
        <v>Reablement &amp; Rehabilitation in a bedded setting (pathway 2)</v>
      </c>
      <c r="C672" t="s">
        <v>255</v>
      </c>
      <c r="D672" t="s">
        <v>725</v>
      </c>
      <c r="E672">
        <v>74</v>
      </c>
      <c r="F672">
        <v>74</v>
      </c>
      <c r="G672">
        <v>74</v>
      </c>
      <c r="H672">
        <v>74</v>
      </c>
      <c r="I672">
        <v>79</v>
      </c>
      <c r="J672">
        <v>79</v>
      </c>
      <c r="K672">
        <v>79</v>
      </c>
      <c r="L672">
        <v>79</v>
      </c>
      <c r="M672">
        <v>79</v>
      </c>
      <c r="N672">
        <v>79</v>
      </c>
      <c r="O672">
        <v>79</v>
      </c>
      <c r="P672">
        <v>79</v>
      </c>
      <c r="W672"/>
      <c r="X672"/>
      <c r="Y672"/>
    </row>
    <row r="673" spans="1:25" x14ac:dyDescent="0.3">
      <c r="A673" t="str">
        <f>Table_Capacity_HD_frontsheet[[#This Row],[Name]]&amp;B673</f>
        <v>PlymouthShort-term residential/nursing care for someone likely to require a longer-term care home placement (pathway 3)</v>
      </c>
      <c r="B673" t="str">
        <f>VLOOKUP(Table_Capacity_HD_frontsheet[[#This Row],[Service Area]],PathwayLookup!A:B,2,0)</f>
        <v>Short-term residential/nursing care for someone likely to require a longer-term care home placement (pathway 3)</v>
      </c>
      <c r="C673" t="s">
        <v>255</v>
      </c>
      <c r="D673" t="s">
        <v>731</v>
      </c>
      <c r="W673"/>
      <c r="X673"/>
      <c r="Y673"/>
    </row>
    <row r="674" spans="1:25" x14ac:dyDescent="0.3">
      <c r="A674" t="str">
        <f>Table_Capacity_HD_frontsheet[[#This Row],[Name]]&amp;B674</f>
        <v>PortsmouthSocial support (including VCS) (pathway 0)</v>
      </c>
      <c r="B674" t="str">
        <f>VLOOKUP(Table_Capacity_HD_frontsheet[[#This Row],[Service Area]],PathwayLookup!A:B,2,0)</f>
        <v>Social support (including VCS) (pathway 0)</v>
      </c>
      <c r="C674" t="s">
        <v>257</v>
      </c>
      <c r="D674" t="s">
        <v>726</v>
      </c>
      <c r="E674">
        <v>15</v>
      </c>
      <c r="F674">
        <v>14</v>
      </c>
      <c r="G674">
        <v>14</v>
      </c>
      <c r="H674">
        <v>14</v>
      </c>
      <c r="I674">
        <v>14</v>
      </c>
      <c r="J674">
        <v>14</v>
      </c>
      <c r="K674">
        <v>14</v>
      </c>
      <c r="L674">
        <v>16</v>
      </c>
      <c r="M674">
        <v>18</v>
      </c>
      <c r="N674">
        <v>18</v>
      </c>
      <c r="O674">
        <v>15</v>
      </c>
      <c r="P674">
        <v>14</v>
      </c>
      <c r="S674">
        <v>1</v>
      </c>
      <c r="W674"/>
      <c r="X674"/>
      <c r="Y674"/>
    </row>
    <row r="675" spans="1:25" x14ac:dyDescent="0.3">
      <c r="A675" t="str">
        <f>Table_Capacity_HD_frontsheet[[#This Row],[Name]]&amp;B675</f>
        <v>PortsmouthReablement &amp; Rehabilitation at home  (pathway 1)</v>
      </c>
      <c r="B675" t="str">
        <f>VLOOKUP(Table_Capacity_HD_frontsheet[[#This Row],[Service Area]],PathwayLookup!A:B,2,0)</f>
        <v>Reablement &amp; Rehabilitation at home  (pathway 1)</v>
      </c>
      <c r="C675" t="s">
        <v>257</v>
      </c>
      <c r="D675" t="s">
        <v>728</v>
      </c>
      <c r="E675">
        <v>17</v>
      </c>
      <c r="F675">
        <v>17</v>
      </c>
      <c r="G675">
        <v>16</v>
      </c>
      <c r="H675">
        <v>17</v>
      </c>
      <c r="I675">
        <v>17</v>
      </c>
      <c r="J675">
        <v>16</v>
      </c>
      <c r="K675">
        <v>17</v>
      </c>
      <c r="L675">
        <v>18</v>
      </c>
      <c r="M675">
        <v>21</v>
      </c>
      <c r="N675">
        <v>21</v>
      </c>
      <c r="O675">
        <v>17</v>
      </c>
      <c r="P675">
        <v>17</v>
      </c>
      <c r="S675">
        <v>1</v>
      </c>
      <c r="W675"/>
      <c r="X675"/>
      <c r="Y675"/>
    </row>
    <row r="676" spans="1:25" x14ac:dyDescent="0.3">
      <c r="A676" t="str">
        <f>Table_Capacity_HD_frontsheet[[#This Row],[Name]]&amp;B676</f>
        <v>PortsmouthReablement &amp; Rehabilitation at home  (pathway 1)</v>
      </c>
      <c r="B676" t="str">
        <f>VLOOKUP(Table_Capacity_HD_frontsheet[[#This Row],[Service Area]],PathwayLookup!A:B,2,0)</f>
        <v>Reablement &amp; Rehabilitation at home  (pathway 1)</v>
      </c>
      <c r="C676" t="s">
        <v>257</v>
      </c>
      <c r="D676" t="s">
        <v>721</v>
      </c>
      <c r="E676">
        <v>17</v>
      </c>
      <c r="F676">
        <v>17</v>
      </c>
      <c r="G676">
        <v>16</v>
      </c>
      <c r="H676">
        <v>17</v>
      </c>
      <c r="I676">
        <v>17</v>
      </c>
      <c r="J676">
        <v>16</v>
      </c>
      <c r="K676">
        <v>17</v>
      </c>
      <c r="L676">
        <v>18</v>
      </c>
      <c r="M676">
        <v>21</v>
      </c>
      <c r="N676">
        <v>21</v>
      </c>
      <c r="O676">
        <v>17</v>
      </c>
      <c r="P676">
        <v>17</v>
      </c>
      <c r="S676">
        <v>1</v>
      </c>
      <c r="W676"/>
      <c r="X676"/>
      <c r="Y676"/>
    </row>
    <row r="677" spans="1:25" x14ac:dyDescent="0.3">
      <c r="A677" t="str">
        <f>Table_Capacity_HD_frontsheet[[#This Row],[Name]]&amp;B677</f>
        <v>PortsmouthShort term domiciliary care (pathway 1)</v>
      </c>
      <c r="B677" t="str">
        <f>VLOOKUP(Table_Capacity_HD_frontsheet[[#This Row],[Service Area]],PathwayLookup!A:B,2,0)</f>
        <v>Short term domiciliary care (pathway 1)</v>
      </c>
      <c r="C677" t="s">
        <v>257</v>
      </c>
      <c r="D677" t="s">
        <v>730</v>
      </c>
      <c r="E677">
        <v>41</v>
      </c>
      <c r="F677">
        <v>42</v>
      </c>
      <c r="G677">
        <v>41</v>
      </c>
      <c r="H677">
        <v>42</v>
      </c>
      <c r="I677">
        <v>42</v>
      </c>
      <c r="J677">
        <v>41</v>
      </c>
      <c r="K677">
        <v>42</v>
      </c>
      <c r="L677">
        <v>43</v>
      </c>
      <c r="M677">
        <v>46</v>
      </c>
      <c r="N677">
        <v>46</v>
      </c>
      <c r="O677">
        <v>41</v>
      </c>
      <c r="P677">
        <v>42</v>
      </c>
      <c r="S677">
        <v>1</v>
      </c>
      <c r="W677"/>
      <c r="X677"/>
      <c r="Y677"/>
    </row>
    <row r="678" spans="1:25" x14ac:dyDescent="0.3">
      <c r="A678" t="str">
        <f>Table_Capacity_HD_frontsheet[[#This Row],[Name]]&amp;B678</f>
        <v>PortsmouthReablement &amp; Rehabilitation in a bedded setting (pathway 2)</v>
      </c>
      <c r="B678" t="str">
        <f>VLOOKUP(Table_Capacity_HD_frontsheet[[#This Row],[Service Area]],PathwayLookup!A:B,2,0)</f>
        <v>Reablement &amp; Rehabilitation in a bedded setting (pathway 2)</v>
      </c>
      <c r="C678" t="s">
        <v>257</v>
      </c>
      <c r="D678" t="s">
        <v>723</v>
      </c>
      <c r="E678">
        <v>46</v>
      </c>
      <c r="F678">
        <v>47</v>
      </c>
      <c r="G678">
        <v>46</v>
      </c>
      <c r="H678">
        <v>47</v>
      </c>
      <c r="I678">
        <v>47</v>
      </c>
      <c r="J678">
        <v>46</v>
      </c>
      <c r="K678">
        <v>47</v>
      </c>
      <c r="L678">
        <v>46</v>
      </c>
      <c r="M678">
        <v>47</v>
      </c>
      <c r="N678">
        <v>47</v>
      </c>
      <c r="O678">
        <v>45</v>
      </c>
      <c r="P678">
        <v>47</v>
      </c>
      <c r="S678">
        <v>1</v>
      </c>
      <c r="W678"/>
      <c r="X678"/>
      <c r="Y678"/>
    </row>
    <row r="679" spans="1:25" x14ac:dyDescent="0.3">
      <c r="A679" t="str">
        <f>Table_Capacity_HD_frontsheet[[#This Row],[Name]]&amp;B679</f>
        <v>PortsmouthReablement &amp; Rehabilitation in a bedded setting (pathway 2)</v>
      </c>
      <c r="B679" t="str">
        <f>VLOOKUP(Table_Capacity_HD_frontsheet[[#This Row],[Service Area]],PathwayLookup!A:B,2,0)</f>
        <v>Reablement &amp; Rehabilitation in a bedded setting (pathway 2)</v>
      </c>
      <c r="C679" t="s">
        <v>257</v>
      </c>
      <c r="D679" t="s">
        <v>725</v>
      </c>
      <c r="E679">
        <v>42</v>
      </c>
      <c r="F679">
        <v>43</v>
      </c>
      <c r="G679">
        <v>42</v>
      </c>
      <c r="H679">
        <v>43</v>
      </c>
      <c r="I679">
        <v>43</v>
      </c>
      <c r="J679">
        <v>42</v>
      </c>
      <c r="K679">
        <v>43</v>
      </c>
      <c r="L679">
        <v>42</v>
      </c>
      <c r="M679">
        <v>43</v>
      </c>
      <c r="N679">
        <v>43</v>
      </c>
      <c r="O679">
        <v>40</v>
      </c>
      <c r="P679">
        <v>43</v>
      </c>
      <c r="S679">
        <v>1</v>
      </c>
      <c r="W679"/>
      <c r="X679"/>
      <c r="Y679"/>
    </row>
    <row r="680" spans="1:25" x14ac:dyDescent="0.3">
      <c r="A680" t="str">
        <f>Table_Capacity_HD_frontsheet[[#This Row],[Name]]&amp;B680</f>
        <v>PortsmouthShort-term residential/nursing care for someone likely to require a longer-term care home placement (pathway 3)</v>
      </c>
      <c r="B680" t="str">
        <f>VLOOKUP(Table_Capacity_HD_frontsheet[[#This Row],[Service Area]],PathwayLookup!A:B,2,0)</f>
        <v>Short-term residential/nursing care for someone likely to require a longer-term care home placement (pathway 3)</v>
      </c>
      <c r="C680" t="s">
        <v>257</v>
      </c>
      <c r="D680" t="s">
        <v>731</v>
      </c>
      <c r="W680"/>
      <c r="X680"/>
      <c r="Y680"/>
    </row>
    <row r="681" spans="1:25" x14ac:dyDescent="0.3">
      <c r="A681" t="str">
        <f>Table_Capacity_HD_frontsheet[[#This Row],[Name]]&amp;B681</f>
        <v>ReadingSocial support (including VCS) (pathway 0)</v>
      </c>
      <c r="B681" t="str">
        <f>VLOOKUP(Table_Capacity_HD_frontsheet[[#This Row],[Service Area]],PathwayLookup!A:B,2,0)</f>
        <v>Social support (including VCS) (pathway 0)</v>
      </c>
      <c r="C681" t="s">
        <v>259</v>
      </c>
      <c r="D681" t="s">
        <v>726</v>
      </c>
      <c r="E681">
        <v>70</v>
      </c>
      <c r="F681">
        <v>70</v>
      </c>
      <c r="G681">
        <v>70</v>
      </c>
      <c r="H681">
        <v>70</v>
      </c>
      <c r="I681">
        <v>70</v>
      </c>
      <c r="J681">
        <v>70</v>
      </c>
      <c r="K681">
        <v>70</v>
      </c>
      <c r="L681">
        <v>70</v>
      </c>
      <c r="M681">
        <v>70</v>
      </c>
      <c r="N681">
        <v>70</v>
      </c>
      <c r="O681">
        <v>70</v>
      </c>
      <c r="P681">
        <v>70</v>
      </c>
      <c r="W681"/>
      <c r="X681"/>
      <c r="Y681"/>
    </row>
    <row r="682" spans="1:25" x14ac:dyDescent="0.3">
      <c r="A682" t="str">
        <f>Table_Capacity_HD_frontsheet[[#This Row],[Name]]&amp;B682</f>
        <v>ReadingReablement &amp; Rehabilitation at home  (pathway 1)</v>
      </c>
      <c r="B682" t="str">
        <f>VLOOKUP(Table_Capacity_HD_frontsheet[[#This Row],[Service Area]],PathwayLookup!A:B,2,0)</f>
        <v>Reablement &amp; Rehabilitation at home  (pathway 1)</v>
      </c>
      <c r="C682" t="s">
        <v>259</v>
      </c>
      <c r="D682" t="s">
        <v>728</v>
      </c>
      <c r="E682">
        <v>80</v>
      </c>
      <c r="F682">
        <v>74</v>
      </c>
      <c r="G682">
        <v>66</v>
      </c>
      <c r="H682">
        <v>64</v>
      </c>
      <c r="I682">
        <v>52</v>
      </c>
      <c r="J682">
        <v>49</v>
      </c>
      <c r="K682">
        <v>80</v>
      </c>
      <c r="L682">
        <v>61</v>
      </c>
      <c r="M682">
        <v>64</v>
      </c>
      <c r="N682">
        <v>63</v>
      </c>
      <c r="O682">
        <v>65</v>
      </c>
      <c r="P682">
        <v>66</v>
      </c>
      <c r="W682"/>
      <c r="X682"/>
      <c r="Y682"/>
    </row>
    <row r="683" spans="1:25" x14ac:dyDescent="0.3">
      <c r="A683" t="str">
        <f>Table_Capacity_HD_frontsheet[[#This Row],[Name]]&amp;B683</f>
        <v>ReadingReablement &amp; Rehabilitation at home  (pathway 1)</v>
      </c>
      <c r="B683" t="str">
        <f>VLOOKUP(Table_Capacity_HD_frontsheet[[#This Row],[Service Area]],PathwayLookup!A:B,2,0)</f>
        <v>Reablement &amp; Rehabilitation at home  (pathway 1)</v>
      </c>
      <c r="C683" t="s">
        <v>259</v>
      </c>
      <c r="D683" t="s">
        <v>721</v>
      </c>
      <c r="E683">
        <v>0</v>
      </c>
      <c r="F683">
        <v>0</v>
      </c>
      <c r="G683">
        <v>0</v>
      </c>
      <c r="H683">
        <v>0</v>
      </c>
      <c r="I683">
        <v>0</v>
      </c>
      <c r="J683">
        <v>0</v>
      </c>
      <c r="K683">
        <v>0</v>
      </c>
      <c r="L683">
        <v>0</v>
      </c>
      <c r="M683">
        <v>0</v>
      </c>
      <c r="N683">
        <v>0</v>
      </c>
      <c r="O683">
        <v>0</v>
      </c>
      <c r="P683">
        <v>0</v>
      </c>
      <c r="W683"/>
      <c r="X683"/>
      <c r="Y683"/>
    </row>
    <row r="684" spans="1:25" x14ac:dyDescent="0.3">
      <c r="A684" t="str">
        <f>Table_Capacity_HD_frontsheet[[#This Row],[Name]]&amp;B684</f>
        <v>ReadingShort term domiciliary care (pathway 1)</v>
      </c>
      <c r="B684" t="str">
        <f>VLOOKUP(Table_Capacity_HD_frontsheet[[#This Row],[Service Area]],PathwayLookup!A:B,2,0)</f>
        <v>Short term domiciliary care (pathway 1)</v>
      </c>
      <c r="C684" t="s">
        <v>259</v>
      </c>
      <c r="D684" t="s">
        <v>730</v>
      </c>
      <c r="E684">
        <v>25</v>
      </c>
      <c r="F684">
        <v>25</v>
      </c>
      <c r="G684">
        <v>25</v>
      </c>
      <c r="H684">
        <v>25</v>
      </c>
      <c r="I684">
        <v>25</v>
      </c>
      <c r="J684">
        <v>25</v>
      </c>
      <c r="K684">
        <v>25</v>
      </c>
      <c r="L684">
        <v>25</v>
      </c>
      <c r="M684">
        <v>25</v>
      </c>
      <c r="N684">
        <v>25</v>
      </c>
      <c r="O684">
        <v>25</v>
      </c>
      <c r="P684">
        <v>25</v>
      </c>
      <c r="W684"/>
      <c r="X684"/>
      <c r="Y684"/>
    </row>
    <row r="685" spans="1:25" x14ac:dyDescent="0.3">
      <c r="A685" t="str">
        <f>Table_Capacity_HD_frontsheet[[#This Row],[Name]]&amp;B685</f>
        <v>ReadingReablement &amp; Rehabilitation in a bedded setting (pathway 2)</v>
      </c>
      <c r="B685" t="str">
        <f>VLOOKUP(Table_Capacity_HD_frontsheet[[#This Row],[Service Area]],PathwayLookup!A:B,2,0)</f>
        <v>Reablement &amp; Rehabilitation in a bedded setting (pathway 2)</v>
      </c>
      <c r="C685" t="s">
        <v>259</v>
      </c>
      <c r="D685" t="s">
        <v>723</v>
      </c>
      <c r="E685">
        <v>1</v>
      </c>
      <c r="F685">
        <v>2</v>
      </c>
      <c r="G685">
        <v>1</v>
      </c>
      <c r="H685">
        <v>2</v>
      </c>
      <c r="I685">
        <v>1</v>
      </c>
      <c r="J685">
        <v>2</v>
      </c>
      <c r="K685">
        <v>1</v>
      </c>
      <c r="L685">
        <v>4</v>
      </c>
      <c r="M685">
        <v>4</v>
      </c>
      <c r="N685">
        <v>4</v>
      </c>
      <c r="O685">
        <v>4</v>
      </c>
      <c r="P685">
        <v>4</v>
      </c>
      <c r="W685"/>
      <c r="X685"/>
      <c r="Y685"/>
    </row>
    <row r="686" spans="1:25" x14ac:dyDescent="0.3">
      <c r="A686" t="str">
        <f>Table_Capacity_HD_frontsheet[[#This Row],[Name]]&amp;B686</f>
        <v>ReadingReablement &amp; Rehabilitation in a bedded setting (pathway 2)</v>
      </c>
      <c r="B686" t="str">
        <f>VLOOKUP(Table_Capacity_HD_frontsheet[[#This Row],[Service Area]],PathwayLookup!A:B,2,0)</f>
        <v>Reablement &amp; Rehabilitation in a bedded setting (pathway 2)</v>
      </c>
      <c r="C686" t="s">
        <v>259</v>
      </c>
      <c r="D686" t="s">
        <v>725</v>
      </c>
      <c r="E686">
        <v>115</v>
      </c>
      <c r="F686">
        <v>115</v>
      </c>
      <c r="G686">
        <v>115</v>
      </c>
      <c r="H686">
        <v>115</v>
      </c>
      <c r="I686">
        <v>115</v>
      </c>
      <c r="J686">
        <v>115</v>
      </c>
      <c r="K686">
        <v>115</v>
      </c>
      <c r="L686">
        <v>115</v>
      </c>
      <c r="M686">
        <v>115</v>
      </c>
      <c r="N686">
        <v>115</v>
      </c>
      <c r="O686">
        <v>115</v>
      </c>
      <c r="P686">
        <v>115</v>
      </c>
      <c r="W686"/>
      <c r="X686"/>
      <c r="Y686"/>
    </row>
    <row r="687" spans="1:25" x14ac:dyDescent="0.3">
      <c r="A687" t="str">
        <f>Table_Capacity_HD_frontsheet[[#This Row],[Name]]&amp;B687</f>
        <v>ReadingShort-term residential/nursing care for someone likely to require a longer-term care home placement (pathway 3)</v>
      </c>
      <c r="B687" t="str">
        <f>VLOOKUP(Table_Capacity_HD_frontsheet[[#This Row],[Service Area]],PathwayLookup!A:B,2,0)</f>
        <v>Short-term residential/nursing care for someone likely to require a longer-term care home placement (pathway 3)</v>
      </c>
      <c r="C687" t="s">
        <v>259</v>
      </c>
      <c r="D687" t="s">
        <v>731</v>
      </c>
      <c r="E687">
        <v>10</v>
      </c>
      <c r="F687">
        <v>9</v>
      </c>
      <c r="G687">
        <v>5</v>
      </c>
      <c r="H687">
        <v>5</v>
      </c>
      <c r="I687">
        <v>9</v>
      </c>
      <c r="J687">
        <v>12</v>
      </c>
      <c r="K687">
        <v>9</v>
      </c>
      <c r="L687">
        <v>4</v>
      </c>
      <c r="M687">
        <v>4</v>
      </c>
      <c r="N687">
        <v>5</v>
      </c>
      <c r="O687">
        <v>10</v>
      </c>
      <c r="P687">
        <v>12</v>
      </c>
      <c r="W687"/>
      <c r="X687"/>
      <c r="Y687"/>
    </row>
    <row r="688" spans="1:25" x14ac:dyDescent="0.3">
      <c r="A688" t="str">
        <f>Table_Capacity_HD_frontsheet[[#This Row],[Name]]&amp;B688</f>
        <v>RedbridgeSocial support (including VCS) (pathway 0)</v>
      </c>
      <c r="B688" t="str">
        <f>VLOOKUP(Table_Capacity_HD_frontsheet[[#This Row],[Service Area]],PathwayLookup!A:B,2,0)</f>
        <v>Social support (including VCS) (pathway 0)</v>
      </c>
      <c r="C688" t="s">
        <v>261</v>
      </c>
      <c r="D688" t="s">
        <v>726</v>
      </c>
      <c r="E688">
        <v>21</v>
      </c>
      <c r="F688">
        <v>21</v>
      </c>
      <c r="G688">
        <v>21</v>
      </c>
      <c r="H688">
        <v>21</v>
      </c>
      <c r="I688">
        <v>21</v>
      </c>
      <c r="J688">
        <v>21</v>
      </c>
      <c r="K688">
        <v>21</v>
      </c>
      <c r="L688">
        <v>21</v>
      </c>
      <c r="M688">
        <v>21</v>
      </c>
      <c r="N688">
        <v>21</v>
      </c>
      <c r="O688">
        <v>21</v>
      </c>
      <c r="P688">
        <v>21</v>
      </c>
      <c r="S688">
        <v>1</v>
      </c>
      <c r="W688"/>
      <c r="X688"/>
      <c r="Y688"/>
    </row>
    <row r="689" spans="1:25" x14ac:dyDescent="0.3">
      <c r="A689" t="str">
        <f>Table_Capacity_HD_frontsheet[[#This Row],[Name]]&amp;B689</f>
        <v>RedbridgeReablement &amp; Rehabilitation at home  (pathway 1)</v>
      </c>
      <c r="B689" t="str">
        <f>VLOOKUP(Table_Capacity_HD_frontsheet[[#This Row],[Service Area]],PathwayLookup!A:B,2,0)</f>
        <v>Reablement &amp; Rehabilitation at home  (pathway 1)</v>
      </c>
      <c r="C689" t="s">
        <v>261</v>
      </c>
      <c r="D689" t="s">
        <v>728</v>
      </c>
      <c r="E689">
        <v>98</v>
      </c>
      <c r="F689">
        <v>98</v>
      </c>
      <c r="G689">
        <v>98</v>
      </c>
      <c r="H689">
        <v>98</v>
      </c>
      <c r="I689">
        <v>98</v>
      </c>
      <c r="J689">
        <v>98</v>
      </c>
      <c r="K689">
        <v>98</v>
      </c>
      <c r="L689">
        <v>98</v>
      </c>
      <c r="M689">
        <v>98</v>
      </c>
      <c r="N689">
        <v>98</v>
      </c>
      <c r="O689">
        <v>98</v>
      </c>
      <c r="P689">
        <v>98</v>
      </c>
      <c r="R689">
        <v>1</v>
      </c>
      <c r="W689"/>
      <c r="X689"/>
      <c r="Y689"/>
    </row>
    <row r="690" spans="1:25" x14ac:dyDescent="0.3">
      <c r="A690" t="str">
        <f>Table_Capacity_HD_frontsheet[[#This Row],[Name]]&amp;B690</f>
        <v>RedbridgeReablement &amp; Rehabilitation at home  (pathway 1)</v>
      </c>
      <c r="B690" t="str">
        <f>VLOOKUP(Table_Capacity_HD_frontsheet[[#This Row],[Service Area]],PathwayLookup!A:B,2,0)</f>
        <v>Reablement &amp; Rehabilitation at home  (pathway 1)</v>
      </c>
      <c r="C690" t="s">
        <v>261</v>
      </c>
      <c r="D690" t="s">
        <v>721</v>
      </c>
      <c r="E690">
        <v>30.7</v>
      </c>
      <c r="F690">
        <v>30.7</v>
      </c>
      <c r="G690">
        <v>30</v>
      </c>
      <c r="H690">
        <v>30.7</v>
      </c>
      <c r="I690">
        <v>30.7</v>
      </c>
      <c r="J690">
        <v>30.7</v>
      </c>
      <c r="K690">
        <v>30.7</v>
      </c>
      <c r="L690">
        <v>30.7</v>
      </c>
      <c r="M690">
        <v>30.7</v>
      </c>
      <c r="N690">
        <v>30.7</v>
      </c>
      <c r="O690">
        <v>30.7</v>
      </c>
      <c r="P690">
        <v>30.7</v>
      </c>
      <c r="Q690">
        <v>1</v>
      </c>
      <c r="W690"/>
      <c r="X690"/>
      <c r="Y690"/>
    </row>
    <row r="691" spans="1:25" x14ac:dyDescent="0.3">
      <c r="A691" t="str">
        <f>Table_Capacity_HD_frontsheet[[#This Row],[Name]]&amp;B691</f>
        <v>RedbridgeShort term domiciliary care (pathway 1)</v>
      </c>
      <c r="B691" t="str">
        <f>VLOOKUP(Table_Capacity_HD_frontsheet[[#This Row],[Service Area]],PathwayLookup!A:B,2,0)</f>
        <v>Short term domiciliary care (pathway 1)</v>
      </c>
      <c r="C691" t="s">
        <v>261</v>
      </c>
      <c r="D691" t="s">
        <v>730</v>
      </c>
      <c r="E691">
        <v>85</v>
      </c>
      <c r="F691">
        <v>85</v>
      </c>
      <c r="G691">
        <v>85</v>
      </c>
      <c r="H691">
        <v>85</v>
      </c>
      <c r="I691">
        <v>85</v>
      </c>
      <c r="J691">
        <v>85</v>
      </c>
      <c r="K691">
        <v>85</v>
      </c>
      <c r="L691">
        <v>85</v>
      </c>
      <c r="M691">
        <v>85</v>
      </c>
      <c r="N691">
        <v>85</v>
      </c>
      <c r="O691">
        <v>85</v>
      </c>
      <c r="P691">
        <v>85</v>
      </c>
      <c r="R691">
        <v>1</v>
      </c>
      <c r="W691"/>
      <c r="X691"/>
      <c r="Y691"/>
    </row>
    <row r="692" spans="1:25" x14ac:dyDescent="0.3">
      <c r="A692" t="str">
        <f>Table_Capacity_HD_frontsheet[[#This Row],[Name]]&amp;B692</f>
        <v>RedbridgeReablement &amp; Rehabilitation in a bedded setting (pathway 2)</v>
      </c>
      <c r="B692" t="str">
        <f>VLOOKUP(Table_Capacity_HD_frontsheet[[#This Row],[Service Area]],PathwayLookup!A:B,2,0)</f>
        <v>Reablement &amp; Rehabilitation in a bedded setting (pathway 2)</v>
      </c>
      <c r="C692" t="s">
        <v>261</v>
      </c>
      <c r="D692" t="s">
        <v>723</v>
      </c>
      <c r="E692">
        <v>20</v>
      </c>
      <c r="F692">
        <v>20</v>
      </c>
      <c r="G692">
        <v>20</v>
      </c>
      <c r="H692">
        <v>20</v>
      </c>
      <c r="I692">
        <v>20</v>
      </c>
      <c r="J692">
        <v>20</v>
      </c>
      <c r="K692">
        <v>20</v>
      </c>
      <c r="L692">
        <v>20</v>
      </c>
      <c r="M692">
        <v>20</v>
      </c>
      <c r="N692">
        <v>20</v>
      </c>
      <c r="O692">
        <v>20</v>
      </c>
      <c r="P692">
        <v>20</v>
      </c>
      <c r="Q692">
        <v>1</v>
      </c>
      <c r="W692"/>
      <c r="X692"/>
      <c r="Y692"/>
    </row>
    <row r="693" spans="1:25" x14ac:dyDescent="0.3">
      <c r="A693" t="str">
        <f>Table_Capacity_HD_frontsheet[[#This Row],[Name]]&amp;B693</f>
        <v>RedbridgeReablement &amp; Rehabilitation in a bedded setting (pathway 2)</v>
      </c>
      <c r="B693" t="str">
        <f>VLOOKUP(Table_Capacity_HD_frontsheet[[#This Row],[Service Area]],PathwayLookup!A:B,2,0)</f>
        <v>Reablement &amp; Rehabilitation in a bedded setting (pathway 2)</v>
      </c>
      <c r="C693" t="s">
        <v>261</v>
      </c>
      <c r="D693" t="s">
        <v>725</v>
      </c>
      <c r="E693">
        <v>29</v>
      </c>
      <c r="F693">
        <v>27.6</v>
      </c>
      <c r="G693">
        <v>27.6</v>
      </c>
      <c r="H693">
        <v>27.6</v>
      </c>
      <c r="I693">
        <v>27.6</v>
      </c>
      <c r="J693">
        <v>27.6</v>
      </c>
      <c r="K693">
        <v>27.6</v>
      </c>
      <c r="L693">
        <v>29</v>
      </c>
      <c r="M693">
        <v>29</v>
      </c>
      <c r="N693">
        <v>29</v>
      </c>
      <c r="O693">
        <v>29</v>
      </c>
      <c r="P693">
        <v>29</v>
      </c>
      <c r="Q693">
        <v>1</v>
      </c>
      <c r="W693"/>
      <c r="X693"/>
      <c r="Y693"/>
    </row>
    <row r="694" spans="1:25" x14ac:dyDescent="0.3">
      <c r="A694" t="str">
        <f>Table_Capacity_HD_frontsheet[[#This Row],[Name]]&amp;B694</f>
        <v>RedbridgeShort-term residential/nursing care for someone likely to require a longer-term care home placement (pathway 3)</v>
      </c>
      <c r="B694" t="str">
        <f>VLOOKUP(Table_Capacity_HD_frontsheet[[#This Row],[Service Area]],PathwayLookup!A:B,2,0)</f>
        <v>Short-term residential/nursing care for someone likely to require a longer-term care home placement (pathway 3)</v>
      </c>
      <c r="C694" t="s">
        <v>261</v>
      </c>
      <c r="D694" t="s">
        <v>731</v>
      </c>
      <c r="E694">
        <v>43</v>
      </c>
      <c r="F694">
        <v>43</v>
      </c>
      <c r="G694">
        <v>43</v>
      </c>
      <c r="H694">
        <v>43</v>
      </c>
      <c r="I694">
        <v>43</v>
      </c>
      <c r="J694">
        <v>43</v>
      </c>
      <c r="K694">
        <v>43</v>
      </c>
      <c r="L694">
        <v>43</v>
      </c>
      <c r="M694">
        <v>43</v>
      </c>
      <c r="N694">
        <v>43</v>
      </c>
      <c r="O694">
        <v>43</v>
      </c>
      <c r="P694">
        <v>43</v>
      </c>
      <c r="Q694">
        <v>0</v>
      </c>
      <c r="R694">
        <v>0</v>
      </c>
      <c r="S694">
        <v>0</v>
      </c>
      <c r="W694"/>
      <c r="X694"/>
      <c r="Y694"/>
    </row>
    <row r="695" spans="1:25" x14ac:dyDescent="0.3">
      <c r="A695" t="str">
        <f>Table_Capacity_HD_frontsheet[[#This Row],[Name]]&amp;B695</f>
        <v>Redcar and ClevelandSocial support (including VCS) (pathway 0)</v>
      </c>
      <c r="B695" t="str">
        <f>VLOOKUP(Table_Capacity_HD_frontsheet[[#This Row],[Service Area]],PathwayLookup!A:B,2,0)</f>
        <v>Social support (including VCS) (pathway 0)</v>
      </c>
      <c r="C695" t="s">
        <v>263</v>
      </c>
      <c r="D695" t="s">
        <v>726</v>
      </c>
      <c r="E695">
        <v>0</v>
      </c>
      <c r="F695">
        <v>0</v>
      </c>
      <c r="G695">
        <v>0</v>
      </c>
      <c r="H695">
        <v>0</v>
      </c>
      <c r="I695">
        <v>0</v>
      </c>
      <c r="J695">
        <v>0</v>
      </c>
      <c r="K695">
        <v>0</v>
      </c>
      <c r="L695">
        <v>0</v>
      </c>
      <c r="M695">
        <v>0</v>
      </c>
      <c r="N695">
        <v>0</v>
      </c>
      <c r="O695">
        <v>0</v>
      </c>
      <c r="P695">
        <v>0</v>
      </c>
      <c r="Q695">
        <v>0</v>
      </c>
      <c r="R695">
        <v>0</v>
      </c>
      <c r="S695">
        <v>0</v>
      </c>
      <c r="W695"/>
      <c r="X695"/>
      <c r="Y695"/>
    </row>
    <row r="696" spans="1:25" x14ac:dyDescent="0.3">
      <c r="A696" t="str">
        <f>Table_Capacity_HD_frontsheet[[#This Row],[Name]]&amp;B696</f>
        <v>Redcar and ClevelandReablement &amp; Rehabilitation at home  (pathway 1)</v>
      </c>
      <c r="B696" t="str">
        <f>VLOOKUP(Table_Capacity_HD_frontsheet[[#This Row],[Service Area]],PathwayLookup!A:B,2,0)</f>
        <v>Reablement &amp; Rehabilitation at home  (pathway 1)</v>
      </c>
      <c r="C696" t="s">
        <v>263</v>
      </c>
      <c r="D696" t="s">
        <v>728</v>
      </c>
      <c r="E696">
        <v>129</v>
      </c>
      <c r="F696">
        <v>129</v>
      </c>
      <c r="G696">
        <v>129</v>
      </c>
      <c r="H696">
        <v>129</v>
      </c>
      <c r="I696">
        <v>129</v>
      </c>
      <c r="J696">
        <v>129</v>
      </c>
      <c r="K696">
        <v>129</v>
      </c>
      <c r="L696">
        <v>129</v>
      </c>
      <c r="M696">
        <v>129</v>
      </c>
      <c r="N696">
        <v>129</v>
      </c>
      <c r="O696">
        <v>129</v>
      </c>
      <c r="P696">
        <v>129</v>
      </c>
      <c r="Q696">
        <v>0</v>
      </c>
      <c r="R696">
        <v>1</v>
      </c>
      <c r="S696">
        <v>0</v>
      </c>
      <c r="W696"/>
      <c r="X696"/>
      <c r="Y696"/>
    </row>
    <row r="697" spans="1:25" x14ac:dyDescent="0.3">
      <c r="A697" t="str">
        <f>Table_Capacity_HD_frontsheet[[#This Row],[Name]]&amp;B697</f>
        <v>Redcar and ClevelandReablement &amp; Rehabilitation at home  (pathway 1)</v>
      </c>
      <c r="B697" t="str">
        <f>VLOOKUP(Table_Capacity_HD_frontsheet[[#This Row],[Service Area]],PathwayLookup!A:B,2,0)</f>
        <v>Reablement &amp; Rehabilitation at home  (pathway 1)</v>
      </c>
      <c r="C697" t="s">
        <v>263</v>
      </c>
      <c r="D697" t="s">
        <v>721</v>
      </c>
      <c r="E697">
        <v>36</v>
      </c>
      <c r="F697">
        <v>36</v>
      </c>
      <c r="G697">
        <v>36</v>
      </c>
      <c r="H697">
        <v>36</v>
      </c>
      <c r="I697">
        <v>43</v>
      </c>
      <c r="J697">
        <v>43</v>
      </c>
      <c r="K697">
        <v>43</v>
      </c>
      <c r="L697">
        <v>43</v>
      </c>
      <c r="M697">
        <v>43</v>
      </c>
      <c r="N697">
        <v>43</v>
      </c>
      <c r="O697">
        <v>57</v>
      </c>
      <c r="P697">
        <v>57</v>
      </c>
      <c r="Q697">
        <v>1</v>
      </c>
      <c r="R697">
        <v>0</v>
      </c>
      <c r="S697">
        <v>0</v>
      </c>
      <c r="W697"/>
      <c r="X697"/>
      <c r="Y697"/>
    </row>
    <row r="698" spans="1:25" x14ac:dyDescent="0.3">
      <c r="A698" t="str">
        <f>Table_Capacity_HD_frontsheet[[#This Row],[Name]]&amp;B698</f>
        <v>Redcar and ClevelandShort term domiciliary care (pathway 1)</v>
      </c>
      <c r="B698" t="str">
        <f>VLOOKUP(Table_Capacity_HD_frontsheet[[#This Row],[Service Area]],PathwayLookup!A:B,2,0)</f>
        <v>Short term domiciliary care (pathway 1)</v>
      </c>
      <c r="C698" t="s">
        <v>263</v>
      </c>
      <c r="D698" t="s">
        <v>730</v>
      </c>
      <c r="E698">
        <v>114</v>
      </c>
      <c r="F698">
        <v>114</v>
      </c>
      <c r="G698">
        <v>114</v>
      </c>
      <c r="H698">
        <v>114</v>
      </c>
      <c r="I698">
        <v>114</v>
      </c>
      <c r="J698">
        <v>114</v>
      </c>
      <c r="K698">
        <v>114</v>
      </c>
      <c r="L698">
        <v>114</v>
      </c>
      <c r="M698">
        <v>114</v>
      </c>
      <c r="N698">
        <v>114</v>
      </c>
      <c r="O698">
        <v>114</v>
      </c>
      <c r="P698">
        <v>114</v>
      </c>
      <c r="Q698">
        <v>0</v>
      </c>
      <c r="R698">
        <v>1</v>
      </c>
      <c r="S698">
        <v>0</v>
      </c>
      <c r="W698"/>
      <c r="X698"/>
      <c r="Y698"/>
    </row>
    <row r="699" spans="1:25" x14ac:dyDescent="0.3">
      <c r="A699" t="str">
        <f>Table_Capacity_HD_frontsheet[[#This Row],[Name]]&amp;B699</f>
        <v>Redcar and ClevelandReablement &amp; Rehabilitation in a bedded setting (pathway 2)</v>
      </c>
      <c r="B699" t="str">
        <f>VLOOKUP(Table_Capacity_HD_frontsheet[[#This Row],[Service Area]],PathwayLookup!A:B,2,0)</f>
        <v>Reablement &amp; Rehabilitation in a bedded setting (pathway 2)</v>
      </c>
      <c r="C699" t="s">
        <v>263</v>
      </c>
      <c r="D699" t="s">
        <v>723</v>
      </c>
      <c r="E699">
        <v>57</v>
      </c>
      <c r="F699">
        <v>57</v>
      </c>
      <c r="G699">
        <v>57</v>
      </c>
      <c r="H699">
        <v>57</v>
      </c>
      <c r="I699">
        <v>57</v>
      </c>
      <c r="J699">
        <v>57</v>
      </c>
      <c r="K699">
        <v>57</v>
      </c>
      <c r="L699">
        <v>57</v>
      </c>
      <c r="M699">
        <v>57</v>
      </c>
      <c r="N699">
        <v>57</v>
      </c>
      <c r="O699">
        <v>57</v>
      </c>
      <c r="P699">
        <v>57</v>
      </c>
      <c r="Q699">
        <v>0</v>
      </c>
      <c r="R699">
        <v>1</v>
      </c>
      <c r="S699">
        <v>0</v>
      </c>
      <c r="W699"/>
      <c r="X699"/>
      <c r="Y699"/>
    </row>
    <row r="700" spans="1:25" x14ac:dyDescent="0.3">
      <c r="A700" t="str">
        <f>Table_Capacity_HD_frontsheet[[#This Row],[Name]]&amp;B700</f>
        <v>Redcar and ClevelandReablement &amp; Rehabilitation in a bedded setting (pathway 2)</v>
      </c>
      <c r="B700" t="str">
        <f>VLOOKUP(Table_Capacity_HD_frontsheet[[#This Row],[Service Area]],PathwayLookup!A:B,2,0)</f>
        <v>Reablement &amp; Rehabilitation in a bedded setting (pathway 2)</v>
      </c>
      <c r="C700" t="s">
        <v>263</v>
      </c>
      <c r="D700" t="s">
        <v>725</v>
      </c>
      <c r="E700">
        <v>0</v>
      </c>
      <c r="F700">
        <v>0</v>
      </c>
      <c r="G700">
        <v>0</v>
      </c>
      <c r="H700">
        <v>0</v>
      </c>
      <c r="I700">
        <v>0</v>
      </c>
      <c r="J700">
        <v>0</v>
      </c>
      <c r="K700">
        <v>0</v>
      </c>
      <c r="L700">
        <v>0</v>
      </c>
      <c r="M700">
        <v>0</v>
      </c>
      <c r="N700">
        <v>0</v>
      </c>
      <c r="O700">
        <v>0</v>
      </c>
      <c r="P700">
        <v>0</v>
      </c>
      <c r="Q700">
        <v>0</v>
      </c>
      <c r="R700">
        <v>0</v>
      </c>
      <c r="S700">
        <v>0</v>
      </c>
      <c r="W700"/>
      <c r="X700"/>
      <c r="Y700"/>
    </row>
    <row r="701" spans="1:25" x14ac:dyDescent="0.3">
      <c r="A701" t="str">
        <f>Table_Capacity_HD_frontsheet[[#This Row],[Name]]&amp;B701</f>
        <v>Redcar and ClevelandShort-term residential/nursing care for someone likely to require a longer-term care home placement (pathway 3)</v>
      </c>
      <c r="B701" t="str">
        <f>VLOOKUP(Table_Capacity_HD_frontsheet[[#This Row],[Service Area]],PathwayLookup!A:B,2,0)</f>
        <v>Short-term residential/nursing care for someone likely to require a longer-term care home placement (pathway 3)</v>
      </c>
      <c r="C701" t="s">
        <v>263</v>
      </c>
      <c r="D701" t="s">
        <v>731</v>
      </c>
      <c r="E701">
        <v>3</v>
      </c>
      <c r="F701">
        <v>3</v>
      </c>
      <c r="G701">
        <v>3</v>
      </c>
      <c r="H701">
        <v>3</v>
      </c>
      <c r="I701">
        <v>3</v>
      </c>
      <c r="J701">
        <v>3</v>
      </c>
      <c r="K701">
        <v>3</v>
      </c>
      <c r="L701">
        <v>3</v>
      </c>
      <c r="M701">
        <v>3</v>
      </c>
      <c r="N701">
        <v>3</v>
      </c>
      <c r="O701">
        <v>3</v>
      </c>
      <c r="P701">
        <v>3</v>
      </c>
      <c r="Q701">
        <v>0</v>
      </c>
      <c r="R701">
        <v>1</v>
      </c>
      <c r="S701">
        <v>0</v>
      </c>
      <c r="W701"/>
      <c r="X701"/>
      <c r="Y701"/>
    </row>
    <row r="702" spans="1:25" x14ac:dyDescent="0.3">
      <c r="A702" t="str">
        <f>Table_Capacity_HD_frontsheet[[#This Row],[Name]]&amp;B702</f>
        <v>Richmond upon ThamesSocial support (including VCS) (pathway 0)</v>
      </c>
      <c r="B702" t="str">
        <f>VLOOKUP(Table_Capacity_HD_frontsheet[[#This Row],[Service Area]],PathwayLookup!A:B,2,0)</f>
        <v>Social support (including VCS) (pathway 0)</v>
      </c>
      <c r="C702" t="s">
        <v>265</v>
      </c>
      <c r="D702" t="s">
        <v>726</v>
      </c>
      <c r="E702">
        <v>61</v>
      </c>
      <c r="F702">
        <v>64</v>
      </c>
      <c r="G702">
        <v>61</v>
      </c>
      <c r="H702">
        <v>64</v>
      </c>
      <c r="I702">
        <v>64</v>
      </c>
      <c r="J702">
        <v>61</v>
      </c>
      <c r="K702">
        <v>64</v>
      </c>
      <c r="L702">
        <v>61</v>
      </c>
      <c r="M702">
        <v>64</v>
      </c>
      <c r="N702">
        <v>64</v>
      </c>
      <c r="O702">
        <v>59</v>
      </c>
      <c r="P702">
        <v>64</v>
      </c>
      <c r="Q702">
        <v>0</v>
      </c>
      <c r="R702">
        <v>1</v>
      </c>
      <c r="S702">
        <v>0</v>
      </c>
      <c r="W702"/>
      <c r="X702"/>
      <c r="Y702"/>
    </row>
    <row r="703" spans="1:25" x14ac:dyDescent="0.3">
      <c r="A703" t="str">
        <f>Table_Capacity_HD_frontsheet[[#This Row],[Name]]&amp;B703</f>
        <v>Richmond upon ThamesReablement &amp; Rehabilitation at home  (pathway 1)</v>
      </c>
      <c r="B703" t="str">
        <f>VLOOKUP(Table_Capacity_HD_frontsheet[[#This Row],[Service Area]],PathwayLookup!A:B,2,0)</f>
        <v>Reablement &amp; Rehabilitation at home  (pathway 1)</v>
      </c>
      <c r="C703" t="s">
        <v>265</v>
      </c>
      <c r="D703" t="s">
        <v>728</v>
      </c>
      <c r="E703">
        <v>112</v>
      </c>
      <c r="F703">
        <v>116</v>
      </c>
      <c r="G703">
        <v>112</v>
      </c>
      <c r="H703">
        <v>116</v>
      </c>
      <c r="I703">
        <v>116</v>
      </c>
      <c r="J703">
        <v>112</v>
      </c>
      <c r="K703">
        <v>116</v>
      </c>
      <c r="L703">
        <v>112</v>
      </c>
      <c r="M703">
        <v>116</v>
      </c>
      <c r="N703">
        <v>116</v>
      </c>
      <c r="O703">
        <v>108</v>
      </c>
      <c r="P703">
        <v>116</v>
      </c>
      <c r="Q703">
        <v>1</v>
      </c>
      <c r="R703">
        <v>0</v>
      </c>
      <c r="S703">
        <v>0</v>
      </c>
      <c r="W703"/>
      <c r="X703"/>
      <c r="Y703"/>
    </row>
    <row r="704" spans="1:25" x14ac:dyDescent="0.3">
      <c r="A704" t="str">
        <f>Table_Capacity_HD_frontsheet[[#This Row],[Name]]&amp;B704</f>
        <v>Richmond upon ThamesReablement &amp; Rehabilitation at home  (pathway 1)</v>
      </c>
      <c r="B704" t="str">
        <f>VLOOKUP(Table_Capacity_HD_frontsheet[[#This Row],[Service Area]],PathwayLookup!A:B,2,0)</f>
        <v>Reablement &amp; Rehabilitation at home  (pathway 1)</v>
      </c>
      <c r="C704" t="s">
        <v>265</v>
      </c>
      <c r="D704" t="s">
        <v>721</v>
      </c>
      <c r="E704">
        <v>24</v>
      </c>
      <c r="F704">
        <v>25</v>
      </c>
      <c r="G704">
        <v>24</v>
      </c>
      <c r="H704">
        <v>25</v>
      </c>
      <c r="I704">
        <v>25</v>
      </c>
      <c r="J704">
        <v>24</v>
      </c>
      <c r="K704">
        <v>25</v>
      </c>
      <c r="L704">
        <v>24</v>
      </c>
      <c r="M704">
        <v>25</v>
      </c>
      <c r="N704">
        <v>25</v>
      </c>
      <c r="O704">
        <v>24</v>
      </c>
      <c r="P704">
        <v>25</v>
      </c>
      <c r="Q704">
        <v>1</v>
      </c>
      <c r="R704">
        <v>0</v>
      </c>
      <c r="S704">
        <v>0</v>
      </c>
      <c r="W704"/>
      <c r="X704"/>
      <c r="Y704"/>
    </row>
    <row r="705" spans="1:25" x14ac:dyDescent="0.3">
      <c r="A705" t="str">
        <f>Table_Capacity_HD_frontsheet[[#This Row],[Name]]&amp;B705</f>
        <v>Richmond upon ThamesShort term domiciliary care (pathway 1)</v>
      </c>
      <c r="B705" t="str">
        <f>VLOOKUP(Table_Capacity_HD_frontsheet[[#This Row],[Service Area]],PathwayLookup!A:B,2,0)</f>
        <v>Short term domiciliary care (pathway 1)</v>
      </c>
      <c r="C705" t="s">
        <v>265</v>
      </c>
      <c r="D705" t="s">
        <v>730</v>
      </c>
      <c r="E705">
        <v>2</v>
      </c>
      <c r="F705">
        <v>2</v>
      </c>
      <c r="G705">
        <v>2</v>
      </c>
      <c r="H705">
        <v>2</v>
      </c>
      <c r="I705">
        <v>2</v>
      </c>
      <c r="J705">
        <v>2</v>
      </c>
      <c r="K705">
        <v>2</v>
      </c>
      <c r="L705">
        <v>2</v>
      </c>
      <c r="M705">
        <v>2</v>
      </c>
      <c r="N705">
        <v>2</v>
      </c>
      <c r="O705">
        <v>2</v>
      </c>
      <c r="P705">
        <v>2</v>
      </c>
      <c r="Q705">
        <v>1</v>
      </c>
      <c r="R705">
        <v>0</v>
      </c>
      <c r="S705">
        <v>0</v>
      </c>
      <c r="W705"/>
      <c r="X705"/>
      <c r="Y705"/>
    </row>
    <row r="706" spans="1:25" x14ac:dyDescent="0.3">
      <c r="A706" t="str">
        <f>Table_Capacity_HD_frontsheet[[#This Row],[Name]]&amp;B706</f>
        <v>Richmond upon ThamesReablement &amp; Rehabilitation in a bedded setting (pathway 2)</v>
      </c>
      <c r="B706" t="str">
        <f>VLOOKUP(Table_Capacity_HD_frontsheet[[#This Row],[Service Area]],PathwayLookup!A:B,2,0)</f>
        <v>Reablement &amp; Rehabilitation in a bedded setting (pathway 2)</v>
      </c>
      <c r="C706" t="s">
        <v>265</v>
      </c>
      <c r="D706" t="s">
        <v>723</v>
      </c>
      <c r="E706">
        <v>0</v>
      </c>
      <c r="F706">
        <v>0</v>
      </c>
      <c r="G706">
        <v>0</v>
      </c>
      <c r="H706">
        <v>0</v>
      </c>
      <c r="I706">
        <v>0</v>
      </c>
      <c r="J706">
        <v>0</v>
      </c>
      <c r="K706">
        <v>0</v>
      </c>
      <c r="L706">
        <v>0</v>
      </c>
      <c r="M706">
        <v>0</v>
      </c>
      <c r="N706">
        <v>0</v>
      </c>
      <c r="O706">
        <v>0</v>
      </c>
      <c r="P706">
        <v>0</v>
      </c>
      <c r="Q706">
        <v>0</v>
      </c>
      <c r="R706">
        <v>0</v>
      </c>
      <c r="S706">
        <v>0</v>
      </c>
      <c r="W706"/>
      <c r="X706"/>
      <c r="Y706"/>
    </row>
    <row r="707" spans="1:25" x14ac:dyDescent="0.3">
      <c r="A707" t="str">
        <f>Table_Capacity_HD_frontsheet[[#This Row],[Name]]&amp;B707</f>
        <v>Richmond upon ThamesReablement &amp; Rehabilitation in a bedded setting (pathway 2)</v>
      </c>
      <c r="B707" t="str">
        <f>VLOOKUP(Table_Capacity_HD_frontsheet[[#This Row],[Service Area]],PathwayLookup!A:B,2,0)</f>
        <v>Reablement &amp; Rehabilitation in a bedded setting (pathway 2)</v>
      </c>
      <c r="C707" t="s">
        <v>265</v>
      </c>
      <c r="D707" t="s">
        <v>725</v>
      </c>
      <c r="E707">
        <v>42</v>
      </c>
      <c r="F707">
        <v>44</v>
      </c>
      <c r="G707">
        <v>42</v>
      </c>
      <c r="H707">
        <v>44</v>
      </c>
      <c r="I707">
        <v>44</v>
      </c>
      <c r="J707">
        <v>42</v>
      </c>
      <c r="K707">
        <v>44</v>
      </c>
      <c r="L707">
        <v>42</v>
      </c>
      <c r="M707">
        <v>44</v>
      </c>
      <c r="N707">
        <v>44</v>
      </c>
      <c r="O707">
        <v>41</v>
      </c>
      <c r="P707">
        <v>44</v>
      </c>
      <c r="Q707">
        <v>0.35</v>
      </c>
      <c r="R707">
        <v>0.65</v>
      </c>
      <c r="S707">
        <v>0</v>
      </c>
      <c r="W707"/>
      <c r="X707"/>
      <c r="Y707"/>
    </row>
    <row r="708" spans="1:25" x14ac:dyDescent="0.3">
      <c r="A708" t="str">
        <f>Table_Capacity_HD_frontsheet[[#This Row],[Name]]&amp;B708</f>
        <v>Richmond upon ThamesShort-term residential/nursing care for someone likely to require a longer-term care home placement (pathway 3)</v>
      </c>
      <c r="B708" t="str">
        <f>VLOOKUP(Table_Capacity_HD_frontsheet[[#This Row],[Service Area]],PathwayLookup!A:B,2,0)</f>
        <v>Short-term residential/nursing care for someone likely to require a longer-term care home placement (pathway 3)</v>
      </c>
      <c r="C708" t="s">
        <v>265</v>
      </c>
      <c r="D708" t="s">
        <v>731</v>
      </c>
      <c r="E708">
        <v>15</v>
      </c>
      <c r="F708">
        <v>16</v>
      </c>
      <c r="G708">
        <v>15</v>
      </c>
      <c r="H708">
        <v>16</v>
      </c>
      <c r="I708">
        <v>16</v>
      </c>
      <c r="J708">
        <v>15</v>
      </c>
      <c r="K708">
        <v>16</v>
      </c>
      <c r="L708">
        <v>15</v>
      </c>
      <c r="M708">
        <v>16</v>
      </c>
      <c r="N708">
        <v>16</v>
      </c>
      <c r="O708">
        <v>15</v>
      </c>
      <c r="P708">
        <v>16</v>
      </c>
      <c r="Q708">
        <v>0.35</v>
      </c>
      <c r="R708">
        <v>0.65</v>
      </c>
      <c r="S708">
        <v>0</v>
      </c>
      <c r="W708"/>
      <c r="X708"/>
      <c r="Y708"/>
    </row>
    <row r="709" spans="1:25" x14ac:dyDescent="0.3">
      <c r="A709" t="str">
        <f>Table_Capacity_HD_frontsheet[[#This Row],[Name]]&amp;B709</f>
        <v>RochdaleSocial support (including VCS) (pathway 0)</v>
      </c>
      <c r="B709" t="str">
        <f>VLOOKUP(Table_Capacity_HD_frontsheet[[#This Row],[Service Area]],PathwayLookup!A:B,2,0)</f>
        <v>Social support (including VCS) (pathway 0)</v>
      </c>
      <c r="C709" t="s">
        <v>267</v>
      </c>
      <c r="D709" t="s">
        <v>726</v>
      </c>
      <c r="E709">
        <v>60</v>
      </c>
      <c r="F709">
        <v>60</v>
      </c>
      <c r="G709">
        <v>60</v>
      </c>
      <c r="H709">
        <v>60</v>
      </c>
      <c r="I709">
        <v>60</v>
      </c>
      <c r="J709">
        <v>60</v>
      </c>
      <c r="K709">
        <v>60</v>
      </c>
      <c r="L709">
        <v>60</v>
      </c>
      <c r="M709">
        <v>60</v>
      </c>
      <c r="N709">
        <v>60</v>
      </c>
      <c r="O709">
        <v>60</v>
      </c>
      <c r="P709">
        <v>60</v>
      </c>
      <c r="Q709">
        <v>0</v>
      </c>
      <c r="R709">
        <v>1</v>
      </c>
      <c r="S709">
        <v>0</v>
      </c>
      <c r="W709"/>
      <c r="X709"/>
      <c r="Y709"/>
    </row>
    <row r="710" spans="1:25" x14ac:dyDescent="0.3">
      <c r="A710" t="str">
        <f>Table_Capacity_HD_frontsheet[[#This Row],[Name]]&amp;B710</f>
        <v>RochdaleReablement &amp; Rehabilitation at home  (pathway 1)</v>
      </c>
      <c r="B710" t="str">
        <f>VLOOKUP(Table_Capacity_HD_frontsheet[[#This Row],[Service Area]],PathwayLookup!A:B,2,0)</f>
        <v>Reablement &amp; Rehabilitation at home  (pathway 1)</v>
      </c>
      <c r="C710" t="s">
        <v>267</v>
      </c>
      <c r="D710" t="s">
        <v>728</v>
      </c>
      <c r="E710">
        <v>75</v>
      </c>
      <c r="F710">
        <v>75</v>
      </c>
      <c r="G710">
        <v>75</v>
      </c>
      <c r="H710">
        <v>75</v>
      </c>
      <c r="I710">
        <v>75</v>
      </c>
      <c r="J710">
        <v>75</v>
      </c>
      <c r="K710">
        <v>75</v>
      </c>
      <c r="L710">
        <v>75</v>
      </c>
      <c r="M710">
        <v>75</v>
      </c>
      <c r="N710">
        <v>75</v>
      </c>
      <c r="O710">
        <v>75</v>
      </c>
      <c r="P710">
        <v>75</v>
      </c>
      <c r="Q710">
        <v>0</v>
      </c>
      <c r="R710">
        <v>1</v>
      </c>
      <c r="S710">
        <v>0</v>
      </c>
      <c r="W710"/>
      <c r="X710"/>
      <c r="Y710"/>
    </row>
    <row r="711" spans="1:25" x14ac:dyDescent="0.3">
      <c r="A711" t="str">
        <f>Table_Capacity_HD_frontsheet[[#This Row],[Name]]&amp;B711</f>
        <v>RochdaleReablement &amp; Rehabilitation at home  (pathway 1)</v>
      </c>
      <c r="B711" t="str">
        <f>VLOOKUP(Table_Capacity_HD_frontsheet[[#This Row],[Service Area]],PathwayLookup!A:B,2,0)</f>
        <v>Reablement &amp; Rehabilitation at home  (pathway 1)</v>
      </c>
      <c r="C711" t="s">
        <v>267</v>
      </c>
      <c r="D711" t="s">
        <v>721</v>
      </c>
      <c r="E711">
        <v>0</v>
      </c>
      <c r="F711">
        <v>0</v>
      </c>
      <c r="G711">
        <v>0</v>
      </c>
      <c r="H711">
        <v>0</v>
      </c>
      <c r="I711">
        <v>0</v>
      </c>
      <c r="J711">
        <v>0</v>
      </c>
      <c r="K711">
        <v>0</v>
      </c>
      <c r="L711">
        <v>0</v>
      </c>
      <c r="M711">
        <v>0</v>
      </c>
      <c r="N711">
        <v>0</v>
      </c>
      <c r="O711">
        <v>0</v>
      </c>
      <c r="P711">
        <v>0</v>
      </c>
      <c r="Q711">
        <v>0</v>
      </c>
      <c r="R711">
        <v>0</v>
      </c>
      <c r="S711">
        <v>0</v>
      </c>
      <c r="W711"/>
      <c r="X711"/>
      <c r="Y711"/>
    </row>
    <row r="712" spans="1:25" x14ac:dyDescent="0.3">
      <c r="A712" t="str">
        <f>Table_Capacity_HD_frontsheet[[#This Row],[Name]]&amp;B712</f>
        <v>RochdaleShort term domiciliary care (pathway 1)</v>
      </c>
      <c r="B712" t="str">
        <f>VLOOKUP(Table_Capacity_HD_frontsheet[[#This Row],[Service Area]],PathwayLookup!A:B,2,0)</f>
        <v>Short term domiciliary care (pathway 1)</v>
      </c>
      <c r="C712" t="s">
        <v>267</v>
      </c>
      <c r="D712" t="s">
        <v>730</v>
      </c>
      <c r="E712">
        <v>25</v>
      </c>
      <c r="F712">
        <v>25</v>
      </c>
      <c r="G712">
        <v>25</v>
      </c>
      <c r="H712">
        <v>25</v>
      </c>
      <c r="I712">
        <v>25</v>
      </c>
      <c r="J712">
        <v>25</v>
      </c>
      <c r="K712">
        <v>25</v>
      </c>
      <c r="L712">
        <v>25</v>
      </c>
      <c r="M712">
        <v>25</v>
      </c>
      <c r="N712">
        <v>25</v>
      </c>
      <c r="O712">
        <v>25</v>
      </c>
      <c r="P712">
        <v>25</v>
      </c>
      <c r="Q712">
        <v>0</v>
      </c>
      <c r="R712">
        <v>1</v>
      </c>
      <c r="S712">
        <v>0</v>
      </c>
      <c r="W712"/>
      <c r="X712"/>
      <c r="Y712"/>
    </row>
    <row r="713" spans="1:25" x14ac:dyDescent="0.3">
      <c r="A713" t="str">
        <f>Table_Capacity_HD_frontsheet[[#This Row],[Name]]&amp;B713</f>
        <v>RochdaleReablement &amp; Rehabilitation in a bedded setting (pathway 2)</v>
      </c>
      <c r="B713" t="str">
        <f>VLOOKUP(Table_Capacity_HD_frontsheet[[#This Row],[Service Area]],PathwayLookup!A:B,2,0)</f>
        <v>Reablement &amp; Rehabilitation in a bedded setting (pathway 2)</v>
      </c>
      <c r="C713" t="s">
        <v>267</v>
      </c>
      <c r="D713" t="s">
        <v>723</v>
      </c>
      <c r="E713">
        <v>30</v>
      </c>
      <c r="F713">
        <v>30</v>
      </c>
      <c r="G713">
        <v>30</v>
      </c>
      <c r="H713">
        <v>30</v>
      </c>
      <c r="I713">
        <v>30</v>
      </c>
      <c r="J713">
        <v>30</v>
      </c>
      <c r="K713">
        <v>30</v>
      </c>
      <c r="L713">
        <v>30</v>
      </c>
      <c r="M713">
        <v>30</v>
      </c>
      <c r="N713">
        <v>30</v>
      </c>
      <c r="O713">
        <v>30</v>
      </c>
      <c r="P713">
        <v>30</v>
      </c>
      <c r="Q713">
        <v>1</v>
      </c>
      <c r="R713">
        <v>0</v>
      </c>
      <c r="S713">
        <v>0</v>
      </c>
      <c r="W713"/>
      <c r="X713"/>
      <c r="Y713"/>
    </row>
    <row r="714" spans="1:25" x14ac:dyDescent="0.3">
      <c r="A714" t="str">
        <f>Table_Capacity_HD_frontsheet[[#This Row],[Name]]&amp;B714</f>
        <v>RochdaleReablement &amp; Rehabilitation in a bedded setting (pathway 2)</v>
      </c>
      <c r="B714" t="str">
        <f>VLOOKUP(Table_Capacity_HD_frontsheet[[#This Row],[Service Area]],PathwayLookup!A:B,2,0)</f>
        <v>Reablement &amp; Rehabilitation in a bedded setting (pathway 2)</v>
      </c>
      <c r="C714" t="s">
        <v>267</v>
      </c>
      <c r="D714" t="s">
        <v>725</v>
      </c>
      <c r="E714">
        <v>0</v>
      </c>
      <c r="F714">
        <v>0</v>
      </c>
      <c r="G714">
        <v>0</v>
      </c>
      <c r="H714">
        <v>0</v>
      </c>
      <c r="I714">
        <v>0</v>
      </c>
      <c r="J714">
        <v>0</v>
      </c>
      <c r="K714">
        <v>0</v>
      </c>
      <c r="L714">
        <v>0</v>
      </c>
      <c r="M714">
        <v>0</v>
      </c>
      <c r="N714">
        <v>0</v>
      </c>
      <c r="O714">
        <v>0</v>
      </c>
      <c r="P714">
        <v>0</v>
      </c>
      <c r="Q714">
        <v>0</v>
      </c>
      <c r="R714">
        <v>0</v>
      </c>
      <c r="S714">
        <v>0</v>
      </c>
      <c r="W714"/>
      <c r="X714"/>
      <c r="Y714"/>
    </row>
    <row r="715" spans="1:25" x14ac:dyDescent="0.3">
      <c r="A715" t="str">
        <f>Table_Capacity_HD_frontsheet[[#This Row],[Name]]&amp;B715</f>
        <v>RochdaleShort-term residential/nursing care for someone likely to require a longer-term care home placement (pathway 3)</v>
      </c>
      <c r="B715" t="str">
        <f>VLOOKUP(Table_Capacity_HD_frontsheet[[#This Row],[Service Area]],PathwayLookup!A:B,2,0)</f>
        <v>Short-term residential/nursing care for someone likely to require a longer-term care home placement (pathway 3)</v>
      </c>
      <c r="C715" t="s">
        <v>267</v>
      </c>
      <c r="D715" t="s">
        <v>731</v>
      </c>
      <c r="E715">
        <v>10</v>
      </c>
      <c r="F715">
        <v>10</v>
      </c>
      <c r="G715">
        <v>10</v>
      </c>
      <c r="H715">
        <v>10</v>
      </c>
      <c r="I715">
        <v>10</v>
      </c>
      <c r="J715">
        <v>10</v>
      </c>
      <c r="K715">
        <v>10</v>
      </c>
      <c r="L715">
        <v>10</v>
      </c>
      <c r="M715">
        <v>10</v>
      </c>
      <c r="N715">
        <v>10</v>
      </c>
      <c r="O715">
        <v>10</v>
      </c>
      <c r="P715">
        <v>10</v>
      </c>
      <c r="Q715">
        <v>0</v>
      </c>
      <c r="R715">
        <v>1</v>
      </c>
      <c r="S715">
        <v>0</v>
      </c>
      <c r="W715"/>
      <c r="X715"/>
      <c r="Y715"/>
    </row>
    <row r="716" spans="1:25" x14ac:dyDescent="0.3">
      <c r="A716" t="str">
        <f>Table_Capacity_HD_frontsheet[[#This Row],[Name]]&amp;B716</f>
        <v>RotherhamSocial support (including VCS) (pathway 0)</v>
      </c>
      <c r="B716" t="str">
        <f>VLOOKUP(Table_Capacity_HD_frontsheet[[#This Row],[Service Area]],PathwayLookup!A:B,2,0)</f>
        <v>Social support (including VCS) (pathway 0)</v>
      </c>
      <c r="C716" t="s">
        <v>269</v>
      </c>
      <c r="D716" t="s">
        <v>726</v>
      </c>
      <c r="E716">
        <v>497</v>
      </c>
      <c r="F716">
        <v>497</v>
      </c>
      <c r="G716">
        <v>497</v>
      </c>
      <c r="H716">
        <v>497</v>
      </c>
      <c r="I716">
        <v>497</v>
      </c>
      <c r="J716">
        <v>497</v>
      </c>
      <c r="K716">
        <v>497</v>
      </c>
      <c r="L716">
        <v>497</v>
      </c>
      <c r="M716">
        <v>497</v>
      </c>
      <c r="N716">
        <v>497</v>
      </c>
      <c r="O716">
        <v>497</v>
      </c>
      <c r="P716">
        <v>497</v>
      </c>
      <c r="Q716">
        <v>1</v>
      </c>
      <c r="R716">
        <v>0</v>
      </c>
      <c r="S716">
        <v>0</v>
      </c>
      <c r="W716"/>
      <c r="X716"/>
      <c r="Y716"/>
    </row>
    <row r="717" spans="1:25" x14ac:dyDescent="0.3">
      <c r="A717" t="str">
        <f>Table_Capacity_HD_frontsheet[[#This Row],[Name]]&amp;B717</f>
        <v>RotherhamReablement &amp; Rehabilitation at home  (pathway 1)</v>
      </c>
      <c r="B717" t="str">
        <f>VLOOKUP(Table_Capacity_HD_frontsheet[[#This Row],[Service Area]],PathwayLookup!A:B,2,0)</f>
        <v>Reablement &amp; Rehabilitation at home  (pathway 1)</v>
      </c>
      <c r="C717" t="s">
        <v>269</v>
      </c>
      <c r="D717" t="s">
        <v>728</v>
      </c>
      <c r="E717">
        <v>42</v>
      </c>
      <c r="F717">
        <v>50</v>
      </c>
      <c r="G717">
        <v>36</v>
      </c>
      <c r="H717">
        <v>50</v>
      </c>
      <c r="I717">
        <v>44</v>
      </c>
      <c r="J717">
        <v>36</v>
      </c>
      <c r="K717">
        <v>43</v>
      </c>
      <c r="L717">
        <v>54</v>
      </c>
      <c r="M717">
        <v>52</v>
      </c>
      <c r="N717">
        <v>55</v>
      </c>
      <c r="O717">
        <v>60</v>
      </c>
      <c r="P717">
        <v>58</v>
      </c>
      <c r="Q717">
        <v>0</v>
      </c>
      <c r="R717">
        <v>0</v>
      </c>
      <c r="S717">
        <v>1</v>
      </c>
      <c r="W717"/>
      <c r="X717"/>
      <c r="Y717"/>
    </row>
    <row r="718" spans="1:25" x14ac:dyDescent="0.3">
      <c r="A718" t="str">
        <f>Table_Capacity_HD_frontsheet[[#This Row],[Name]]&amp;B718</f>
        <v>RotherhamReablement &amp; Rehabilitation at home  (pathway 1)</v>
      </c>
      <c r="B718" t="str">
        <f>VLOOKUP(Table_Capacity_HD_frontsheet[[#This Row],[Service Area]],PathwayLookup!A:B,2,0)</f>
        <v>Reablement &amp; Rehabilitation at home  (pathway 1)</v>
      </c>
      <c r="C718" t="s">
        <v>269</v>
      </c>
      <c r="D718" t="s">
        <v>721</v>
      </c>
      <c r="E718">
        <v>88</v>
      </c>
      <c r="F718">
        <v>88</v>
      </c>
      <c r="G718">
        <v>86</v>
      </c>
      <c r="H718">
        <v>88</v>
      </c>
      <c r="I718">
        <v>88</v>
      </c>
      <c r="J718">
        <v>86</v>
      </c>
      <c r="K718">
        <v>88</v>
      </c>
      <c r="L718">
        <v>86</v>
      </c>
      <c r="M718">
        <v>88</v>
      </c>
      <c r="N718">
        <v>87</v>
      </c>
      <c r="O718">
        <v>82</v>
      </c>
      <c r="P718">
        <v>89</v>
      </c>
      <c r="Q718">
        <v>1</v>
      </c>
      <c r="R718">
        <v>0</v>
      </c>
      <c r="S718">
        <v>0</v>
      </c>
      <c r="W718"/>
      <c r="X718"/>
      <c r="Y718"/>
    </row>
    <row r="719" spans="1:25" x14ac:dyDescent="0.3">
      <c r="A719" t="str">
        <f>Table_Capacity_HD_frontsheet[[#This Row],[Name]]&amp;B719</f>
        <v>RotherhamShort term domiciliary care (pathway 1)</v>
      </c>
      <c r="B719" t="str">
        <f>VLOOKUP(Table_Capacity_HD_frontsheet[[#This Row],[Service Area]],PathwayLookup!A:B,2,0)</f>
        <v>Short term domiciliary care (pathway 1)</v>
      </c>
      <c r="C719" t="s">
        <v>269</v>
      </c>
      <c r="D719" t="s">
        <v>730</v>
      </c>
      <c r="E719">
        <v>261</v>
      </c>
      <c r="F719">
        <v>261</v>
      </c>
      <c r="G719">
        <v>263</v>
      </c>
      <c r="H719">
        <v>261</v>
      </c>
      <c r="I719">
        <v>261</v>
      </c>
      <c r="J719">
        <v>253</v>
      </c>
      <c r="K719">
        <v>254</v>
      </c>
      <c r="L719">
        <v>253</v>
      </c>
      <c r="M719">
        <v>261</v>
      </c>
      <c r="N719">
        <v>251</v>
      </c>
      <c r="O719">
        <v>220</v>
      </c>
      <c r="P719">
        <v>261</v>
      </c>
      <c r="Q719">
        <v>0</v>
      </c>
      <c r="R719">
        <v>1</v>
      </c>
      <c r="S719">
        <v>0</v>
      </c>
      <c r="W719"/>
      <c r="X719"/>
      <c r="Y719"/>
    </row>
    <row r="720" spans="1:25" x14ac:dyDescent="0.3">
      <c r="A720" t="str">
        <f>Table_Capacity_HD_frontsheet[[#This Row],[Name]]&amp;B720</f>
        <v>RotherhamReablement &amp; Rehabilitation in a bedded setting (pathway 2)</v>
      </c>
      <c r="B720" t="str">
        <f>VLOOKUP(Table_Capacity_HD_frontsheet[[#This Row],[Service Area]],PathwayLookup!A:B,2,0)</f>
        <v>Reablement &amp; Rehabilitation in a bedded setting (pathway 2)</v>
      </c>
      <c r="C720" t="s">
        <v>269</v>
      </c>
      <c r="D720" t="s">
        <v>723</v>
      </c>
      <c r="E720">
        <v>34</v>
      </c>
      <c r="F720">
        <v>36</v>
      </c>
      <c r="G720">
        <v>40</v>
      </c>
      <c r="H720">
        <v>36</v>
      </c>
      <c r="I720">
        <v>40</v>
      </c>
      <c r="J720">
        <v>36</v>
      </c>
      <c r="K720">
        <v>41</v>
      </c>
      <c r="L720">
        <v>39</v>
      </c>
      <c r="M720">
        <v>36</v>
      </c>
      <c r="N720">
        <v>37</v>
      </c>
      <c r="O720">
        <v>39</v>
      </c>
      <c r="P720">
        <v>36</v>
      </c>
      <c r="Q720">
        <v>0</v>
      </c>
      <c r="R720">
        <v>0</v>
      </c>
      <c r="S720">
        <v>1</v>
      </c>
      <c r="W720"/>
      <c r="X720"/>
      <c r="Y720"/>
    </row>
    <row r="721" spans="1:25" x14ac:dyDescent="0.3">
      <c r="A721" t="str">
        <f>Table_Capacity_HD_frontsheet[[#This Row],[Name]]&amp;B721</f>
        <v>RotherhamReablement &amp; Rehabilitation in a bedded setting (pathway 2)</v>
      </c>
      <c r="B721" t="str">
        <f>VLOOKUP(Table_Capacity_HD_frontsheet[[#This Row],[Service Area]],PathwayLookup!A:B,2,0)</f>
        <v>Reablement &amp; Rehabilitation in a bedded setting (pathway 2)</v>
      </c>
      <c r="C721" t="s">
        <v>269</v>
      </c>
      <c r="D721" t="s">
        <v>725</v>
      </c>
      <c r="E721">
        <v>60</v>
      </c>
      <c r="F721">
        <v>81</v>
      </c>
      <c r="G721">
        <v>91</v>
      </c>
      <c r="H721">
        <v>70</v>
      </c>
      <c r="I721">
        <v>66</v>
      </c>
      <c r="J721">
        <v>44</v>
      </c>
      <c r="K721">
        <v>31</v>
      </c>
      <c r="L721">
        <v>38</v>
      </c>
      <c r="M721">
        <v>31</v>
      </c>
      <c r="N721">
        <v>38</v>
      </c>
      <c r="O721">
        <v>37</v>
      </c>
      <c r="P721">
        <v>29</v>
      </c>
      <c r="Q721">
        <v>1</v>
      </c>
      <c r="R721">
        <v>0</v>
      </c>
      <c r="S721">
        <v>0</v>
      </c>
      <c r="W721"/>
      <c r="X721"/>
      <c r="Y721"/>
    </row>
    <row r="722" spans="1:25" x14ac:dyDescent="0.3">
      <c r="A722" t="str">
        <f>Table_Capacity_HD_frontsheet[[#This Row],[Name]]&amp;B722</f>
        <v>RotherhamShort-term residential/nursing care for someone likely to require a longer-term care home placement (pathway 3)</v>
      </c>
      <c r="B722" t="str">
        <f>VLOOKUP(Table_Capacity_HD_frontsheet[[#This Row],[Service Area]],PathwayLookup!A:B,2,0)</f>
        <v>Short-term residential/nursing care for someone likely to require a longer-term care home placement (pathway 3)</v>
      </c>
      <c r="C722" t="s">
        <v>269</v>
      </c>
      <c r="D722" t="s">
        <v>731</v>
      </c>
      <c r="E722">
        <v>4</v>
      </c>
      <c r="F722">
        <v>4</v>
      </c>
      <c r="G722">
        <v>4</v>
      </c>
      <c r="H722">
        <v>4</v>
      </c>
      <c r="I722">
        <v>4</v>
      </c>
      <c r="J722">
        <v>3</v>
      </c>
      <c r="K722">
        <v>3</v>
      </c>
      <c r="L722">
        <v>3</v>
      </c>
      <c r="M722">
        <v>4</v>
      </c>
      <c r="N722">
        <v>4</v>
      </c>
      <c r="O722">
        <v>4</v>
      </c>
      <c r="P722">
        <v>4</v>
      </c>
      <c r="Q722">
        <v>1</v>
      </c>
      <c r="R722">
        <v>0</v>
      </c>
      <c r="S722">
        <v>0</v>
      </c>
      <c r="W722"/>
      <c r="X722"/>
      <c r="Y722"/>
    </row>
    <row r="723" spans="1:25" x14ac:dyDescent="0.3">
      <c r="A723" t="str">
        <f>Table_Capacity_HD_frontsheet[[#This Row],[Name]]&amp;B723</f>
        <v>RutlandSocial support (including VCS) (pathway 0)</v>
      </c>
      <c r="B723" t="str">
        <f>VLOOKUP(Table_Capacity_HD_frontsheet[[#This Row],[Service Area]],PathwayLookup!A:B,2,0)</f>
        <v>Social support (including VCS) (pathway 0)</v>
      </c>
      <c r="C723" t="s">
        <v>271</v>
      </c>
      <c r="D723" t="s">
        <v>726</v>
      </c>
      <c r="E723">
        <v>0</v>
      </c>
      <c r="F723">
        <v>0</v>
      </c>
      <c r="G723">
        <v>0</v>
      </c>
      <c r="H723">
        <v>0</v>
      </c>
      <c r="I723">
        <v>0</v>
      </c>
      <c r="J723">
        <v>0</v>
      </c>
      <c r="K723">
        <v>0</v>
      </c>
      <c r="L723">
        <v>0</v>
      </c>
      <c r="M723">
        <v>0</v>
      </c>
      <c r="N723">
        <v>0</v>
      </c>
      <c r="O723">
        <v>0</v>
      </c>
      <c r="P723">
        <v>0</v>
      </c>
      <c r="Q723">
        <v>0</v>
      </c>
      <c r="R723">
        <v>0</v>
      </c>
      <c r="S723">
        <v>0</v>
      </c>
      <c r="W723"/>
      <c r="X723"/>
      <c r="Y723"/>
    </row>
    <row r="724" spans="1:25" x14ac:dyDescent="0.3">
      <c r="A724" t="str">
        <f>Table_Capacity_HD_frontsheet[[#This Row],[Name]]&amp;B724</f>
        <v>RutlandReablement &amp; Rehabilitation at home  (pathway 1)</v>
      </c>
      <c r="B724" t="str">
        <f>VLOOKUP(Table_Capacity_HD_frontsheet[[#This Row],[Service Area]],PathwayLookup!A:B,2,0)</f>
        <v>Reablement &amp; Rehabilitation at home  (pathway 1)</v>
      </c>
      <c r="C724" t="s">
        <v>271</v>
      </c>
      <c r="D724" t="s">
        <v>728</v>
      </c>
      <c r="E724">
        <v>16</v>
      </c>
      <c r="F724">
        <v>16</v>
      </c>
      <c r="G724">
        <v>16</v>
      </c>
      <c r="H724">
        <v>16</v>
      </c>
      <c r="I724">
        <v>16</v>
      </c>
      <c r="J724">
        <v>16</v>
      </c>
      <c r="K724">
        <v>16</v>
      </c>
      <c r="L724">
        <v>16</v>
      </c>
      <c r="M724">
        <v>16</v>
      </c>
      <c r="N724">
        <v>16</v>
      </c>
      <c r="O724">
        <v>16</v>
      </c>
      <c r="P724">
        <v>16</v>
      </c>
      <c r="Q724">
        <v>0</v>
      </c>
      <c r="R724">
        <v>1</v>
      </c>
      <c r="S724">
        <v>0</v>
      </c>
      <c r="W724"/>
      <c r="X724"/>
      <c r="Y724"/>
    </row>
    <row r="725" spans="1:25" x14ac:dyDescent="0.3">
      <c r="A725" t="str">
        <f>Table_Capacity_HD_frontsheet[[#This Row],[Name]]&amp;B725</f>
        <v>RutlandReablement &amp; Rehabilitation at home  (pathway 1)</v>
      </c>
      <c r="B725" t="str">
        <f>VLOOKUP(Table_Capacity_HD_frontsheet[[#This Row],[Service Area]],PathwayLookup!A:B,2,0)</f>
        <v>Reablement &amp; Rehabilitation at home  (pathway 1)</v>
      </c>
      <c r="C725" t="s">
        <v>271</v>
      </c>
      <c r="D725" t="s">
        <v>721</v>
      </c>
      <c r="E725">
        <v>19</v>
      </c>
      <c r="F725">
        <v>19</v>
      </c>
      <c r="G725">
        <v>19</v>
      </c>
      <c r="H725">
        <v>19</v>
      </c>
      <c r="I725">
        <v>19</v>
      </c>
      <c r="J725">
        <v>19</v>
      </c>
      <c r="K725">
        <v>19</v>
      </c>
      <c r="L725">
        <v>19</v>
      </c>
      <c r="M725">
        <v>19</v>
      </c>
      <c r="N725">
        <v>19</v>
      </c>
      <c r="O725">
        <v>19</v>
      </c>
      <c r="P725">
        <v>19</v>
      </c>
      <c r="Q725">
        <v>1</v>
      </c>
      <c r="R725">
        <v>0</v>
      </c>
      <c r="S725">
        <v>0</v>
      </c>
      <c r="W725"/>
      <c r="X725"/>
      <c r="Y725"/>
    </row>
    <row r="726" spans="1:25" x14ac:dyDescent="0.3">
      <c r="A726" t="str">
        <f>Table_Capacity_HD_frontsheet[[#This Row],[Name]]&amp;B726</f>
        <v>RutlandShort term domiciliary care (pathway 1)</v>
      </c>
      <c r="B726" t="str">
        <f>VLOOKUP(Table_Capacity_HD_frontsheet[[#This Row],[Service Area]],PathwayLookup!A:B,2,0)</f>
        <v>Short term domiciliary care (pathway 1)</v>
      </c>
      <c r="C726" t="s">
        <v>271</v>
      </c>
      <c r="D726" t="s">
        <v>730</v>
      </c>
      <c r="E726">
        <v>3</v>
      </c>
      <c r="F726">
        <v>3</v>
      </c>
      <c r="G726">
        <v>3</v>
      </c>
      <c r="H726">
        <v>3</v>
      </c>
      <c r="I726">
        <v>3</v>
      </c>
      <c r="J726">
        <v>3</v>
      </c>
      <c r="K726">
        <v>3</v>
      </c>
      <c r="L726">
        <v>3</v>
      </c>
      <c r="M726">
        <v>3</v>
      </c>
      <c r="N726">
        <v>3</v>
      </c>
      <c r="O726">
        <v>3</v>
      </c>
      <c r="P726">
        <v>3</v>
      </c>
      <c r="Q726">
        <v>0</v>
      </c>
      <c r="R726">
        <v>1</v>
      </c>
      <c r="S726">
        <v>0</v>
      </c>
      <c r="W726"/>
      <c r="X726"/>
      <c r="Y726"/>
    </row>
    <row r="727" spans="1:25" x14ac:dyDescent="0.3">
      <c r="A727" t="str">
        <f>Table_Capacity_HD_frontsheet[[#This Row],[Name]]&amp;B727</f>
        <v>RutlandReablement &amp; Rehabilitation in a bedded setting (pathway 2)</v>
      </c>
      <c r="B727" t="str">
        <f>VLOOKUP(Table_Capacity_HD_frontsheet[[#This Row],[Service Area]],PathwayLookup!A:B,2,0)</f>
        <v>Reablement &amp; Rehabilitation in a bedded setting (pathway 2)</v>
      </c>
      <c r="C727" t="s">
        <v>271</v>
      </c>
      <c r="D727" t="s">
        <v>723</v>
      </c>
      <c r="E727">
        <v>0</v>
      </c>
      <c r="F727">
        <v>0</v>
      </c>
      <c r="G727">
        <v>0</v>
      </c>
      <c r="H727">
        <v>1</v>
      </c>
      <c r="I727">
        <v>1</v>
      </c>
      <c r="J727">
        <v>1</v>
      </c>
      <c r="K727">
        <v>1</v>
      </c>
      <c r="L727">
        <v>1</v>
      </c>
      <c r="M727">
        <v>1</v>
      </c>
      <c r="N727">
        <v>1</v>
      </c>
      <c r="O727">
        <v>1</v>
      </c>
      <c r="P727">
        <v>1</v>
      </c>
      <c r="Q727">
        <v>0</v>
      </c>
      <c r="R727">
        <v>0</v>
      </c>
      <c r="S727">
        <v>1</v>
      </c>
      <c r="W727"/>
      <c r="X727"/>
      <c r="Y727"/>
    </row>
    <row r="728" spans="1:25" x14ac:dyDescent="0.3">
      <c r="A728" t="str">
        <f>Table_Capacity_HD_frontsheet[[#This Row],[Name]]&amp;B728</f>
        <v>RutlandReablement &amp; Rehabilitation in a bedded setting (pathway 2)</v>
      </c>
      <c r="B728" t="str">
        <f>VLOOKUP(Table_Capacity_HD_frontsheet[[#This Row],[Service Area]],PathwayLookup!A:B,2,0)</f>
        <v>Reablement &amp; Rehabilitation in a bedded setting (pathway 2)</v>
      </c>
      <c r="C728" t="s">
        <v>271</v>
      </c>
      <c r="D728" t="s">
        <v>725</v>
      </c>
      <c r="E728">
        <v>13</v>
      </c>
      <c r="F728">
        <v>13</v>
      </c>
      <c r="G728">
        <v>13</v>
      </c>
      <c r="H728">
        <v>13</v>
      </c>
      <c r="I728">
        <v>13</v>
      </c>
      <c r="J728">
        <v>13</v>
      </c>
      <c r="K728">
        <v>13</v>
      </c>
      <c r="L728">
        <v>13</v>
      </c>
      <c r="M728">
        <v>13</v>
      </c>
      <c r="N728">
        <v>13</v>
      </c>
      <c r="O728">
        <v>13</v>
      </c>
      <c r="P728">
        <v>13</v>
      </c>
      <c r="Q728">
        <v>1</v>
      </c>
      <c r="R728">
        <v>0</v>
      </c>
      <c r="S728">
        <v>0</v>
      </c>
      <c r="W728"/>
      <c r="X728"/>
      <c r="Y728"/>
    </row>
    <row r="729" spans="1:25" x14ac:dyDescent="0.3">
      <c r="A729" t="str">
        <f>Table_Capacity_HD_frontsheet[[#This Row],[Name]]&amp;B729</f>
        <v>RutlandShort-term residential/nursing care for someone likely to require a longer-term care home placement (pathway 3)</v>
      </c>
      <c r="B729" t="str">
        <f>VLOOKUP(Table_Capacity_HD_frontsheet[[#This Row],[Service Area]],PathwayLookup!A:B,2,0)</f>
        <v>Short-term residential/nursing care for someone likely to require a longer-term care home placement (pathway 3)</v>
      </c>
      <c r="C729" t="s">
        <v>271</v>
      </c>
      <c r="D729" t="s">
        <v>731</v>
      </c>
      <c r="E729">
        <v>6</v>
      </c>
      <c r="F729">
        <v>6</v>
      </c>
      <c r="G729">
        <v>6</v>
      </c>
      <c r="H729">
        <v>6</v>
      </c>
      <c r="I729">
        <v>6</v>
      </c>
      <c r="J729">
        <v>6</v>
      </c>
      <c r="K729">
        <v>6</v>
      </c>
      <c r="L729">
        <v>6</v>
      </c>
      <c r="M729">
        <v>6</v>
      </c>
      <c r="N729">
        <v>6</v>
      </c>
      <c r="O729">
        <v>6</v>
      </c>
      <c r="P729">
        <v>6</v>
      </c>
      <c r="Q729">
        <v>0</v>
      </c>
      <c r="R729">
        <v>1</v>
      </c>
      <c r="S729">
        <v>0</v>
      </c>
      <c r="W729"/>
      <c r="X729"/>
      <c r="Y729"/>
    </row>
    <row r="730" spans="1:25" x14ac:dyDescent="0.3">
      <c r="A730" t="str">
        <f>Table_Capacity_HD_frontsheet[[#This Row],[Name]]&amp;B730</f>
        <v>SalfordSocial support (including VCS) (pathway 0)</v>
      </c>
      <c r="B730" t="str">
        <f>VLOOKUP(Table_Capacity_HD_frontsheet[[#This Row],[Service Area]],PathwayLookup!A:B,2,0)</f>
        <v>Social support (including VCS) (pathway 0)</v>
      </c>
      <c r="C730" t="s">
        <v>273</v>
      </c>
      <c r="D730" t="s">
        <v>726</v>
      </c>
      <c r="E730">
        <v>30</v>
      </c>
      <c r="F730">
        <v>30</v>
      </c>
      <c r="G730">
        <v>30</v>
      </c>
      <c r="H730">
        <v>30</v>
      </c>
      <c r="I730">
        <v>30</v>
      </c>
      <c r="J730">
        <v>30</v>
      </c>
      <c r="K730">
        <v>30</v>
      </c>
      <c r="L730">
        <v>30</v>
      </c>
      <c r="M730">
        <v>30</v>
      </c>
      <c r="N730">
        <v>30</v>
      </c>
      <c r="O730">
        <v>30</v>
      </c>
      <c r="P730">
        <v>30</v>
      </c>
      <c r="S730">
        <v>1</v>
      </c>
      <c r="W730"/>
      <c r="X730"/>
      <c r="Y730"/>
    </row>
    <row r="731" spans="1:25" x14ac:dyDescent="0.3">
      <c r="A731" t="str">
        <f>Table_Capacity_HD_frontsheet[[#This Row],[Name]]&amp;B731</f>
        <v>SalfordReablement &amp; Rehabilitation at home  (pathway 1)</v>
      </c>
      <c r="B731" t="str">
        <f>VLOOKUP(Table_Capacity_HD_frontsheet[[#This Row],[Service Area]],PathwayLookup!A:B,2,0)</f>
        <v>Reablement &amp; Rehabilitation at home  (pathway 1)</v>
      </c>
      <c r="C731" t="s">
        <v>273</v>
      </c>
      <c r="D731" t="s">
        <v>728</v>
      </c>
      <c r="E731">
        <v>80</v>
      </c>
      <c r="F731">
        <v>80</v>
      </c>
      <c r="G731">
        <v>80</v>
      </c>
      <c r="H731">
        <v>80</v>
      </c>
      <c r="I731">
        <v>80</v>
      </c>
      <c r="J731">
        <v>80</v>
      </c>
      <c r="K731">
        <v>80</v>
      </c>
      <c r="L731">
        <v>80</v>
      </c>
      <c r="M731">
        <v>80</v>
      </c>
      <c r="N731">
        <v>80</v>
      </c>
      <c r="O731">
        <v>80</v>
      </c>
      <c r="P731">
        <v>80</v>
      </c>
      <c r="S731">
        <v>1</v>
      </c>
      <c r="W731"/>
      <c r="X731"/>
      <c r="Y731"/>
    </row>
    <row r="732" spans="1:25" x14ac:dyDescent="0.3">
      <c r="A732" t="str">
        <f>Table_Capacity_HD_frontsheet[[#This Row],[Name]]&amp;B732</f>
        <v>SalfordReablement &amp; Rehabilitation at home  (pathway 1)</v>
      </c>
      <c r="B732" t="str">
        <f>VLOOKUP(Table_Capacity_HD_frontsheet[[#This Row],[Service Area]],PathwayLookup!A:B,2,0)</f>
        <v>Reablement &amp; Rehabilitation at home  (pathway 1)</v>
      </c>
      <c r="C732" t="s">
        <v>273</v>
      </c>
      <c r="D732" t="s">
        <v>721</v>
      </c>
      <c r="E732">
        <v>0</v>
      </c>
      <c r="F732">
        <v>0</v>
      </c>
      <c r="G732">
        <v>0</v>
      </c>
      <c r="H732">
        <v>0</v>
      </c>
      <c r="I732">
        <v>0</v>
      </c>
      <c r="J732">
        <v>0</v>
      </c>
      <c r="K732">
        <v>0</v>
      </c>
      <c r="L732">
        <v>0</v>
      </c>
      <c r="M732">
        <v>0</v>
      </c>
      <c r="N732">
        <v>0</v>
      </c>
      <c r="O732">
        <v>0</v>
      </c>
      <c r="P732">
        <v>0</v>
      </c>
      <c r="S732">
        <v>1</v>
      </c>
      <c r="W732"/>
      <c r="X732"/>
      <c r="Y732"/>
    </row>
    <row r="733" spans="1:25" x14ac:dyDescent="0.3">
      <c r="A733" t="str">
        <f>Table_Capacity_HD_frontsheet[[#This Row],[Name]]&amp;B733</f>
        <v>SalfordShort term domiciliary care (pathway 1)</v>
      </c>
      <c r="B733" t="str">
        <f>VLOOKUP(Table_Capacity_HD_frontsheet[[#This Row],[Service Area]],PathwayLookup!A:B,2,0)</f>
        <v>Short term domiciliary care (pathway 1)</v>
      </c>
      <c r="C733" t="s">
        <v>273</v>
      </c>
      <c r="D733" t="s">
        <v>730</v>
      </c>
      <c r="E733">
        <v>20</v>
      </c>
      <c r="F733">
        <v>20</v>
      </c>
      <c r="G733">
        <v>20</v>
      </c>
      <c r="H733">
        <v>20</v>
      </c>
      <c r="I733">
        <v>20</v>
      </c>
      <c r="J733">
        <v>20</v>
      </c>
      <c r="K733">
        <v>20</v>
      </c>
      <c r="L733">
        <v>20</v>
      </c>
      <c r="M733">
        <v>20</v>
      </c>
      <c r="N733">
        <v>20</v>
      </c>
      <c r="O733">
        <v>20</v>
      </c>
      <c r="P733">
        <v>20</v>
      </c>
      <c r="S733">
        <v>1</v>
      </c>
      <c r="W733"/>
      <c r="X733"/>
      <c r="Y733"/>
    </row>
    <row r="734" spans="1:25" x14ac:dyDescent="0.3">
      <c r="A734" t="str">
        <f>Table_Capacity_HD_frontsheet[[#This Row],[Name]]&amp;B734</f>
        <v>SalfordReablement &amp; Rehabilitation in a bedded setting (pathway 2)</v>
      </c>
      <c r="B734" t="str">
        <f>VLOOKUP(Table_Capacity_HD_frontsheet[[#This Row],[Service Area]],PathwayLookup!A:B,2,0)</f>
        <v>Reablement &amp; Rehabilitation in a bedded setting (pathway 2)</v>
      </c>
      <c r="C734" t="s">
        <v>273</v>
      </c>
      <c r="D734" t="s">
        <v>723</v>
      </c>
      <c r="E734">
        <v>0</v>
      </c>
      <c r="F734">
        <v>0</v>
      </c>
      <c r="G734">
        <v>0</v>
      </c>
      <c r="H734">
        <v>0</v>
      </c>
      <c r="I734">
        <v>0</v>
      </c>
      <c r="J734">
        <v>0</v>
      </c>
      <c r="K734">
        <v>0</v>
      </c>
      <c r="L734">
        <v>0</v>
      </c>
      <c r="M734">
        <v>0</v>
      </c>
      <c r="N734">
        <v>0</v>
      </c>
      <c r="O734">
        <v>0</v>
      </c>
      <c r="P734">
        <v>0</v>
      </c>
      <c r="S734">
        <v>1</v>
      </c>
      <c r="W734"/>
      <c r="X734"/>
      <c r="Y734"/>
    </row>
    <row r="735" spans="1:25" x14ac:dyDescent="0.3">
      <c r="A735" t="str">
        <f>Table_Capacity_HD_frontsheet[[#This Row],[Name]]&amp;B735</f>
        <v>SalfordReablement &amp; Rehabilitation in a bedded setting (pathway 2)</v>
      </c>
      <c r="B735" t="str">
        <f>VLOOKUP(Table_Capacity_HD_frontsheet[[#This Row],[Service Area]],PathwayLookup!A:B,2,0)</f>
        <v>Reablement &amp; Rehabilitation in a bedded setting (pathway 2)</v>
      </c>
      <c r="C735" t="s">
        <v>273</v>
      </c>
      <c r="D735" t="s">
        <v>725</v>
      </c>
      <c r="E735">
        <v>50</v>
      </c>
      <c r="F735">
        <v>50</v>
      </c>
      <c r="G735">
        <v>50</v>
      </c>
      <c r="H735">
        <v>50</v>
      </c>
      <c r="I735">
        <v>50</v>
      </c>
      <c r="J735">
        <v>50</v>
      </c>
      <c r="K735">
        <v>50</v>
      </c>
      <c r="L735">
        <v>50</v>
      </c>
      <c r="M735">
        <v>50</v>
      </c>
      <c r="N735">
        <v>50</v>
      </c>
      <c r="O735">
        <v>50</v>
      </c>
      <c r="P735">
        <v>50</v>
      </c>
      <c r="S735">
        <v>1</v>
      </c>
      <c r="W735"/>
      <c r="X735"/>
      <c r="Y735"/>
    </row>
    <row r="736" spans="1:25" x14ac:dyDescent="0.3">
      <c r="A736" t="str">
        <f>Table_Capacity_HD_frontsheet[[#This Row],[Name]]&amp;B736</f>
        <v>SalfordShort-term residential/nursing care for someone likely to require a longer-term care home placement (pathway 3)</v>
      </c>
      <c r="B736" t="str">
        <f>VLOOKUP(Table_Capacity_HD_frontsheet[[#This Row],[Service Area]],PathwayLookup!A:B,2,0)</f>
        <v>Short-term residential/nursing care for someone likely to require a longer-term care home placement (pathway 3)</v>
      </c>
      <c r="C736" t="s">
        <v>273</v>
      </c>
      <c r="D736" t="s">
        <v>731</v>
      </c>
      <c r="E736">
        <v>0</v>
      </c>
      <c r="F736">
        <v>0</v>
      </c>
      <c r="G736">
        <v>0</v>
      </c>
      <c r="H736">
        <v>0</v>
      </c>
      <c r="I736">
        <v>0</v>
      </c>
      <c r="J736">
        <v>0</v>
      </c>
      <c r="K736">
        <v>0</v>
      </c>
      <c r="L736">
        <v>0</v>
      </c>
      <c r="M736">
        <v>0</v>
      </c>
      <c r="N736">
        <v>0</v>
      </c>
      <c r="O736">
        <v>0</v>
      </c>
      <c r="P736">
        <v>0</v>
      </c>
      <c r="S736">
        <v>1</v>
      </c>
      <c r="W736"/>
      <c r="X736"/>
      <c r="Y736"/>
    </row>
    <row r="737" spans="1:25" x14ac:dyDescent="0.3">
      <c r="A737" t="str">
        <f>Table_Capacity_HD_frontsheet[[#This Row],[Name]]&amp;B737</f>
        <v>SandwellSocial support (including VCS) (pathway 0)</v>
      </c>
      <c r="B737" t="str">
        <f>VLOOKUP(Table_Capacity_HD_frontsheet[[#This Row],[Service Area]],PathwayLookup!A:B,2,0)</f>
        <v>Social support (including VCS) (pathway 0)</v>
      </c>
      <c r="C737" t="s">
        <v>275</v>
      </c>
      <c r="D737" t="s">
        <v>726</v>
      </c>
      <c r="W737"/>
      <c r="X737"/>
      <c r="Y737"/>
    </row>
    <row r="738" spans="1:25" x14ac:dyDescent="0.3">
      <c r="A738" t="str">
        <f>Table_Capacity_HD_frontsheet[[#This Row],[Name]]&amp;B738</f>
        <v>SandwellReablement &amp; Rehabilitation at home  (pathway 1)</v>
      </c>
      <c r="B738" t="str">
        <f>VLOOKUP(Table_Capacity_HD_frontsheet[[#This Row],[Service Area]],PathwayLookup!A:B,2,0)</f>
        <v>Reablement &amp; Rehabilitation at home  (pathway 1)</v>
      </c>
      <c r="C738" t="s">
        <v>275</v>
      </c>
      <c r="D738" t="s">
        <v>728</v>
      </c>
      <c r="W738"/>
      <c r="X738"/>
      <c r="Y738"/>
    </row>
    <row r="739" spans="1:25" x14ac:dyDescent="0.3">
      <c r="A739" t="str">
        <f>Table_Capacity_HD_frontsheet[[#This Row],[Name]]&amp;B739</f>
        <v>SandwellReablement &amp; Rehabilitation at home  (pathway 1)</v>
      </c>
      <c r="B739" t="str">
        <f>VLOOKUP(Table_Capacity_HD_frontsheet[[#This Row],[Service Area]],PathwayLookup!A:B,2,0)</f>
        <v>Reablement &amp; Rehabilitation at home  (pathway 1)</v>
      </c>
      <c r="C739" t="s">
        <v>275</v>
      </c>
      <c r="D739" t="s">
        <v>721</v>
      </c>
      <c r="E739">
        <v>78</v>
      </c>
      <c r="F739">
        <v>78</v>
      </c>
      <c r="G739">
        <v>78</v>
      </c>
      <c r="H739">
        <v>78</v>
      </c>
      <c r="I739">
        <v>78</v>
      </c>
      <c r="J739">
        <v>78</v>
      </c>
      <c r="K739">
        <v>78</v>
      </c>
      <c r="L739">
        <v>78</v>
      </c>
      <c r="M739">
        <v>78</v>
      </c>
      <c r="N739">
        <v>78</v>
      </c>
      <c r="O739">
        <v>78</v>
      </c>
      <c r="P739">
        <v>78</v>
      </c>
      <c r="Q739">
        <v>1</v>
      </c>
      <c r="W739"/>
      <c r="X739"/>
      <c r="Y739"/>
    </row>
    <row r="740" spans="1:25" x14ac:dyDescent="0.3">
      <c r="A740" t="str">
        <f>Table_Capacity_HD_frontsheet[[#This Row],[Name]]&amp;B740</f>
        <v>SandwellShort term domiciliary care (pathway 1)</v>
      </c>
      <c r="B740" t="str">
        <f>VLOOKUP(Table_Capacity_HD_frontsheet[[#This Row],[Service Area]],PathwayLookup!A:B,2,0)</f>
        <v>Short term domiciliary care (pathway 1)</v>
      </c>
      <c r="C740" t="s">
        <v>275</v>
      </c>
      <c r="D740" t="s">
        <v>730</v>
      </c>
      <c r="W740"/>
      <c r="X740"/>
      <c r="Y740"/>
    </row>
    <row r="741" spans="1:25" x14ac:dyDescent="0.3">
      <c r="A741" t="str">
        <f>Table_Capacity_HD_frontsheet[[#This Row],[Name]]&amp;B741</f>
        <v>SandwellReablement &amp; Rehabilitation in a bedded setting (pathway 2)</v>
      </c>
      <c r="B741" t="str">
        <f>VLOOKUP(Table_Capacity_HD_frontsheet[[#This Row],[Service Area]],PathwayLookup!A:B,2,0)</f>
        <v>Reablement &amp; Rehabilitation in a bedded setting (pathway 2)</v>
      </c>
      <c r="C741" t="s">
        <v>275</v>
      </c>
      <c r="D741" t="s">
        <v>723</v>
      </c>
      <c r="W741"/>
      <c r="X741"/>
      <c r="Y741"/>
    </row>
    <row r="742" spans="1:25" x14ac:dyDescent="0.3">
      <c r="A742" t="str">
        <f>Table_Capacity_HD_frontsheet[[#This Row],[Name]]&amp;B742</f>
        <v>SandwellReablement &amp; Rehabilitation in a bedded setting (pathway 2)</v>
      </c>
      <c r="B742" t="str">
        <f>VLOOKUP(Table_Capacity_HD_frontsheet[[#This Row],[Service Area]],PathwayLookup!A:B,2,0)</f>
        <v>Reablement &amp; Rehabilitation in a bedded setting (pathway 2)</v>
      </c>
      <c r="C742" t="s">
        <v>275</v>
      </c>
      <c r="D742" t="s">
        <v>725</v>
      </c>
      <c r="E742">
        <v>166</v>
      </c>
      <c r="F742">
        <v>177</v>
      </c>
      <c r="G742">
        <v>184</v>
      </c>
      <c r="H742">
        <v>175</v>
      </c>
      <c r="I742">
        <v>183</v>
      </c>
      <c r="J742">
        <v>134</v>
      </c>
      <c r="K742">
        <v>149</v>
      </c>
      <c r="L742">
        <v>132</v>
      </c>
      <c r="M742">
        <v>167</v>
      </c>
      <c r="N742">
        <v>192</v>
      </c>
      <c r="O742">
        <v>140</v>
      </c>
      <c r="P742">
        <v>201</v>
      </c>
      <c r="Q742">
        <v>1</v>
      </c>
      <c r="W742"/>
      <c r="X742"/>
      <c r="Y742"/>
    </row>
    <row r="743" spans="1:25" x14ac:dyDescent="0.3">
      <c r="A743" t="str">
        <f>Table_Capacity_HD_frontsheet[[#This Row],[Name]]&amp;B743</f>
        <v>SandwellShort-term residential/nursing care for someone likely to require a longer-term care home placement (pathway 3)</v>
      </c>
      <c r="B743" t="str">
        <f>VLOOKUP(Table_Capacity_HD_frontsheet[[#This Row],[Service Area]],PathwayLookup!A:B,2,0)</f>
        <v>Short-term residential/nursing care for someone likely to require a longer-term care home placement (pathway 3)</v>
      </c>
      <c r="C743" t="s">
        <v>275</v>
      </c>
      <c r="D743" t="s">
        <v>731</v>
      </c>
      <c r="W743"/>
      <c r="X743"/>
      <c r="Y743"/>
    </row>
    <row r="744" spans="1:25" x14ac:dyDescent="0.3">
      <c r="A744" t="str">
        <f>Table_Capacity_HD_frontsheet[[#This Row],[Name]]&amp;B744</f>
        <v>SeftonSocial support (including VCS) (pathway 0)</v>
      </c>
      <c r="B744" t="str">
        <f>VLOOKUP(Table_Capacity_HD_frontsheet[[#This Row],[Service Area]],PathwayLookup!A:B,2,0)</f>
        <v>Social support (including VCS) (pathway 0)</v>
      </c>
      <c r="C744" t="s">
        <v>277</v>
      </c>
      <c r="D744" t="s">
        <v>726</v>
      </c>
      <c r="E744">
        <v>18</v>
      </c>
      <c r="F744">
        <v>20</v>
      </c>
      <c r="G744">
        <v>25</v>
      </c>
      <c r="H744">
        <v>33</v>
      </c>
      <c r="I744">
        <v>29</v>
      </c>
      <c r="J744">
        <v>35</v>
      </c>
      <c r="K744">
        <v>45</v>
      </c>
      <c r="L744">
        <v>36</v>
      </c>
      <c r="M744">
        <v>38</v>
      </c>
      <c r="N744">
        <v>37</v>
      </c>
      <c r="O744">
        <v>44</v>
      </c>
      <c r="P744">
        <v>53</v>
      </c>
      <c r="Q744">
        <v>0.5</v>
      </c>
      <c r="R744">
        <v>0.5</v>
      </c>
      <c r="W744"/>
      <c r="X744"/>
      <c r="Y744"/>
    </row>
    <row r="745" spans="1:25" x14ac:dyDescent="0.3">
      <c r="A745" t="str">
        <f>Table_Capacity_HD_frontsheet[[#This Row],[Name]]&amp;B745</f>
        <v>SeftonReablement &amp; Rehabilitation at home  (pathway 1)</v>
      </c>
      <c r="B745" t="str">
        <f>VLOOKUP(Table_Capacity_HD_frontsheet[[#This Row],[Service Area]],PathwayLookup!A:B,2,0)</f>
        <v>Reablement &amp; Rehabilitation at home  (pathway 1)</v>
      </c>
      <c r="C745" t="s">
        <v>277</v>
      </c>
      <c r="D745" t="s">
        <v>728</v>
      </c>
      <c r="E745">
        <v>70</v>
      </c>
      <c r="F745">
        <v>44</v>
      </c>
      <c r="G745">
        <v>64</v>
      </c>
      <c r="H745">
        <v>42</v>
      </c>
      <c r="I745">
        <v>56</v>
      </c>
      <c r="J745">
        <v>46</v>
      </c>
      <c r="K745">
        <v>44</v>
      </c>
      <c r="L745">
        <v>46</v>
      </c>
      <c r="M745">
        <v>50</v>
      </c>
      <c r="N745">
        <v>58</v>
      </c>
      <c r="O745">
        <v>56</v>
      </c>
      <c r="P745">
        <v>66</v>
      </c>
      <c r="Q745">
        <v>0.5</v>
      </c>
      <c r="R745">
        <v>0.5</v>
      </c>
      <c r="W745"/>
      <c r="X745"/>
      <c r="Y745"/>
    </row>
    <row r="746" spans="1:25" x14ac:dyDescent="0.3">
      <c r="A746" t="str">
        <f>Table_Capacity_HD_frontsheet[[#This Row],[Name]]&amp;B746</f>
        <v>SeftonReablement &amp; Rehabilitation at home  (pathway 1)</v>
      </c>
      <c r="B746" t="str">
        <f>VLOOKUP(Table_Capacity_HD_frontsheet[[#This Row],[Service Area]],PathwayLookup!A:B,2,0)</f>
        <v>Reablement &amp; Rehabilitation at home  (pathway 1)</v>
      </c>
      <c r="C746" t="s">
        <v>277</v>
      </c>
      <c r="D746" t="s">
        <v>721</v>
      </c>
      <c r="E746">
        <v>156</v>
      </c>
      <c r="F746">
        <v>185</v>
      </c>
      <c r="G746">
        <v>167</v>
      </c>
      <c r="H746">
        <v>154</v>
      </c>
      <c r="I746">
        <v>180</v>
      </c>
      <c r="J746">
        <v>172</v>
      </c>
      <c r="K746">
        <v>154</v>
      </c>
      <c r="L746">
        <v>189</v>
      </c>
      <c r="M746">
        <v>168</v>
      </c>
      <c r="N746">
        <v>176</v>
      </c>
      <c r="O746">
        <v>169</v>
      </c>
      <c r="P746">
        <v>198</v>
      </c>
      <c r="Q746">
        <v>0.9</v>
      </c>
      <c r="R746">
        <v>0.1</v>
      </c>
      <c r="W746"/>
      <c r="X746"/>
      <c r="Y746"/>
    </row>
    <row r="747" spans="1:25" x14ac:dyDescent="0.3">
      <c r="A747" t="str">
        <f>Table_Capacity_HD_frontsheet[[#This Row],[Name]]&amp;B747</f>
        <v>SeftonShort term domiciliary care (pathway 1)</v>
      </c>
      <c r="B747" t="str">
        <f>VLOOKUP(Table_Capacity_HD_frontsheet[[#This Row],[Service Area]],PathwayLookup!A:B,2,0)</f>
        <v>Short term domiciliary care (pathway 1)</v>
      </c>
      <c r="C747" t="s">
        <v>277</v>
      </c>
      <c r="D747" t="s">
        <v>730</v>
      </c>
      <c r="E747">
        <v>18</v>
      </c>
      <c r="F747">
        <v>16</v>
      </c>
      <c r="G747">
        <v>22</v>
      </c>
      <c r="H747">
        <v>18</v>
      </c>
      <c r="I747">
        <v>20</v>
      </c>
      <c r="J747">
        <v>20</v>
      </c>
      <c r="K747">
        <v>18</v>
      </c>
      <c r="L747">
        <v>26</v>
      </c>
      <c r="M747">
        <v>20</v>
      </c>
      <c r="N747">
        <v>16</v>
      </c>
      <c r="O747">
        <v>18</v>
      </c>
      <c r="P747">
        <v>18</v>
      </c>
      <c r="R747">
        <v>1</v>
      </c>
      <c r="W747"/>
      <c r="X747"/>
      <c r="Y747"/>
    </row>
    <row r="748" spans="1:25" x14ac:dyDescent="0.3">
      <c r="A748" t="str">
        <f>Table_Capacity_HD_frontsheet[[#This Row],[Name]]&amp;B748</f>
        <v>SeftonReablement &amp; Rehabilitation in a bedded setting (pathway 2)</v>
      </c>
      <c r="B748" t="str">
        <f>VLOOKUP(Table_Capacity_HD_frontsheet[[#This Row],[Service Area]],PathwayLookup!A:B,2,0)</f>
        <v>Reablement &amp; Rehabilitation in a bedded setting (pathway 2)</v>
      </c>
      <c r="C748" t="s">
        <v>277</v>
      </c>
      <c r="D748" t="s">
        <v>723</v>
      </c>
      <c r="E748">
        <v>10</v>
      </c>
      <c r="F748">
        <v>10</v>
      </c>
      <c r="G748">
        <v>10</v>
      </c>
      <c r="H748">
        <v>23</v>
      </c>
      <c r="I748">
        <v>7</v>
      </c>
      <c r="J748">
        <v>7</v>
      </c>
      <c r="K748">
        <v>4</v>
      </c>
      <c r="L748">
        <v>7</v>
      </c>
      <c r="M748">
        <v>6</v>
      </c>
      <c r="N748">
        <v>6</v>
      </c>
      <c r="O748">
        <v>8</v>
      </c>
      <c r="P748">
        <v>21</v>
      </c>
      <c r="Q748">
        <v>0.8</v>
      </c>
      <c r="R748">
        <v>0.2</v>
      </c>
      <c r="W748"/>
      <c r="X748"/>
      <c r="Y748"/>
    </row>
    <row r="749" spans="1:25" x14ac:dyDescent="0.3">
      <c r="A749" t="str">
        <f>Table_Capacity_HD_frontsheet[[#This Row],[Name]]&amp;B749</f>
        <v>SeftonReablement &amp; Rehabilitation in a bedded setting (pathway 2)</v>
      </c>
      <c r="B749" t="str">
        <f>VLOOKUP(Table_Capacity_HD_frontsheet[[#This Row],[Service Area]],PathwayLookup!A:B,2,0)</f>
        <v>Reablement &amp; Rehabilitation in a bedded setting (pathway 2)</v>
      </c>
      <c r="C749" t="s">
        <v>277</v>
      </c>
      <c r="D749" t="s">
        <v>725</v>
      </c>
      <c r="E749">
        <v>125</v>
      </c>
      <c r="F749">
        <v>127</v>
      </c>
      <c r="G749">
        <v>126</v>
      </c>
      <c r="H749">
        <v>151</v>
      </c>
      <c r="I749">
        <v>92</v>
      </c>
      <c r="J749">
        <v>114</v>
      </c>
      <c r="K749">
        <v>106</v>
      </c>
      <c r="L749">
        <v>96</v>
      </c>
      <c r="M749">
        <v>122</v>
      </c>
      <c r="N749">
        <v>160</v>
      </c>
      <c r="O749">
        <v>170</v>
      </c>
      <c r="P749">
        <v>137</v>
      </c>
      <c r="Q749">
        <v>1</v>
      </c>
      <c r="W749"/>
      <c r="X749"/>
      <c r="Y749"/>
    </row>
    <row r="750" spans="1:25" x14ac:dyDescent="0.3">
      <c r="A750" t="str">
        <f>Table_Capacity_HD_frontsheet[[#This Row],[Name]]&amp;B750</f>
        <v>SeftonShort-term residential/nursing care for someone likely to require a longer-term care home placement (pathway 3)</v>
      </c>
      <c r="B750" t="str">
        <f>VLOOKUP(Table_Capacity_HD_frontsheet[[#This Row],[Service Area]],PathwayLookup!A:B,2,0)</f>
        <v>Short-term residential/nursing care for someone likely to require a longer-term care home placement (pathway 3)</v>
      </c>
      <c r="C750" t="s">
        <v>277</v>
      </c>
      <c r="D750" t="s">
        <v>731</v>
      </c>
      <c r="E750">
        <v>60</v>
      </c>
      <c r="F750">
        <v>54</v>
      </c>
      <c r="G750">
        <v>67</v>
      </c>
      <c r="H750">
        <v>61</v>
      </c>
      <c r="I750">
        <v>65</v>
      </c>
      <c r="J750">
        <v>61</v>
      </c>
      <c r="K750">
        <v>46</v>
      </c>
      <c r="L750">
        <v>45</v>
      </c>
      <c r="M750">
        <v>63</v>
      </c>
      <c r="N750">
        <v>64</v>
      </c>
      <c r="O750">
        <v>43</v>
      </c>
      <c r="P750">
        <v>61</v>
      </c>
      <c r="Q750">
        <v>1</v>
      </c>
      <c r="W750"/>
      <c r="X750"/>
      <c r="Y750"/>
    </row>
    <row r="751" spans="1:25" x14ac:dyDescent="0.3">
      <c r="A751" t="str">
        <f>Table_Capacity_HD_frontsheet[[#This Row],[Name]]&amp;B751</f>
        <v>SheffieldSocial support (including VCS) (pathway 0)</v>
      </c>
      <c r="B751" t="str">
        <f>VLOOKUP(Table_Capacity_HD_frontsheet[[#This Row],[Service Area]],PathwayLookup!A:B,2,0)</f>
        <v>Social support (including VCS) (pathway 0)</v>
      </c>
      <c r="C751" t="s">
        <v>279</v>
      </c>
      <c r="D751" t="s">
        <v>726</v>
      </c>
      <c r="E751">
        <v>273</v>
      </c>
      <c r="F751">
        <v>273</v>
      </c>
      <c r="G751">
        <v>273</v>
      </c>
      <c r="H751">
        <v>273</v>
      </c>
      <c r="I751">
        <v>273</v>
      </c>
      <c r="J751">
        <v>273</v>
      </c>
      <c r="K751">
        <v>273</v>
      </c>
      <c r="L751">
        <v>273</v>
      </c>
      <c r="M751">
        <v>273</v>
      </c>
      <c r="N751">
        <v>273</v>
      </c>
      <c r="O751">
        <v>273</v>
      </c>
      <c r="P751">
        <v>273</v>
      </c>
      <c r="Q751">
        <v>1</v>
      </c>
      <c r="W751"/>
      <c r="X751"/>
      <c r="Y751"/>
    </row>
    <row r="752" spans="1:25" x14ac:dyDescent="0.3">
      <c r="A752" t="str">
        <f>Table_Capacity_HD_frontsheet[[#This Row],[Name]]&amp;B752</f>
        <v>SheffieldReablement &amp; Rehabilitation at home  (pathway 1)</v>
      </c>
      <c r="B752" t="str">
        <f>VLOOKUP(Table_Capacity_HD_frontsheet[[#This Row],[Service Area]],PathwayLookup!A:B,2,0)</f>
        <v>Reablement &amp; Rehabilitation at home  (pathway 1)</v>
      </c>
      <c r="C752" t="s">
        <v>279</v>
      </c>
      <c r="D752" t="s">
        <v>728</v>
      </c>
      <c r="E752">
        <v>3200</v>
      </c>
      <c r="F752">
        <v>3200</v>
      </c>
      <c r="G752">
        <v>3200</v>
      </c>
      <c r="H752">
        <v>3200</v>
      </c>
      <c r="I752">
        <v>3200</v>
      </c>
      <c r="J752">
        <v>3200</v>
      </c>
      <c r="K752">
        <v>3200</v>
      </c>
      <c r="L752">
        <v>3200</v>
      </c>
      <c r="M752">
        <v>3500</v>
      </c>
      <c r="N752">
        <v>3500</v>
      </c>
      <c r="O752">
        <v>3500</v>
      </c>
      <c r="P752">
        <v>3500</v>
      </c>
      <c r="R752">
        <v>1</v>
      </c>
      <c r="W752"/>
      <c r="X752"/>
      <c r="Y752"/>
    </row>
    <row r="753" spans="1:25" x14ac:dyDescent="0.3">
      <c r="A753" t="str">
        <f>Table_Capacity_HD_frontsheet[[#This Row],[Name]]&amp;B753</f>
        <v>SheffieldReablement &amp; Rehabilitation at home  (pathway 1)</v>
      </c>
      <c r="B753" t="str">
        <f>VLOOKUP(Table_Capacity_HD_frontsheet[[#This Row],[Service Area]],PathwayLookup!A:B,2,0)</f>
        <v>Reablement &amp; Rehabilitation at home  (pathway 1)</v>
      </c>
      <c r="C753" t="s">
        <v>279</v>
      </c>
      <c r="D753" t="s">
        <v>721</v>
      </c>
      <c r="E753">
        <v>2932</v>
      </c>
      <c r="F753">
        <v>2932</v>
      </c>
      <c r="G753">
        <v>2932</v>
      </c>
      <c r="H753">
        <v>2932</v>
      </c>
      <c r="I753">
        <v>2932</v>
      </c>
      <c r="J753">
        <v>2932</v>
      </c>
      <c r="K753">
        <v>2932</v>
      </c>
      <c r="L753">
        <v>2932</v>
      </c>
      <c r="M753">
        <v>2932</v>
      </c>
      <c r="N753">
        <v>2932</v>
      </c>
      <c r="O753">
        <v>2932</v>
      </c>
      <c r="P753">
        <v>2932</v>
      </c>
      <c r="Q753">
        <v>1</v>
      </c>
      <c r="W753"/>
      <c r="X753"/>
      <c r="Y753"/>
    </row>
    <row r="754" spans="1:25" x14ac:dyDescent="0.3">
      <c r="A754" t="str">
        <f>Table_Capacity_HD_frontsheet[[#This Row],[Name]]&amp;B754</f>
        <v>SheffieldShort term domiciliary care (pathway 1)</v>
      </c>
      <c r="B754" t="str">
        <f>VLOOKUP(Table_Capacity_HD_frontsheet[[#This Row],[Service Area]],PathwayLookup!A:B,2,0)</f>
        <v>Short term domiciliary care (pathway 1)</v>
      </c>
      <c r="C754" t="s">
        <v>279</v>
      </c>
      <c r="D754" t="s">
        <v>730</v>
      </c>
      <c r="E754">
        <v>54243</v>
      </c>
      <c r="F754">
        <v>56859</v>
      </c>
      <c r="G754">
        <v>54766</v>
      </c>
      <c r="H754">
        <v>56321</v>
      </c>
      <c r="I754">
        <v>56117</v>
      </c>
      <c r="J754">
        <v>54596</v>
      </c>
      <c r="K754">
        <v>54694</v>
      </c>
      <c r="L754">
        <v>53365</v>
      </c>
      <c r="M754">
        <v>54121</v>
      </c>
      <c r="N754">
        <v>54215</v>
      </c>
      <c r="O754">
        <v>50201</v>
      </c>
      <c r="P754">
        <v>55638</v>
      </c>
      <c r="R754">
        <v>1</v>
      </c>
      <c r="W754"/>
      <c r="X754"/>
      <c r="Y754"/>
    </row>
    <row r="755" spans="1:25" x14ac:dyDescent="0.3">
      <c r="A755" t="str">
        <f>Table_Capacity_HD_frontsheet[[#This Row],[Name]]&amp;B755</f>
        <v>SheffieldReablement &amp; Rehabilitation in a bedded setting (pathway 2)</v>
      </c>
      <c r="B755" t="str">
        <f>VLOOKUP(Table_Capacity_HD_frontsheet[[#This Row],[Service Area]],PathwayLookup!A:B,2,0)</f>
        <v>Reablement &amp; Rehabilitation in a bedded setting (pathway 2)</v>
      </c>
      <c r="C755" t="s">
        <v>279</v>
      </c>
      <c r="D755" t="s">
        <v>723</v>
      </c>
      <c r="E755">
        <v>18</v>
      </c>
      <c r="F755">
        <v>18</v>
      </c>
      <c r="G755">
        <v>18</v>
      </c>
      <c r="H755">
        <v>0</v>
      </c>
      <c r="I755">
        <v>0</v>
      </c>
      <c r="J755">
        <v>0</v>
      </c>
      <c r="K755">
        <v>0</v>
      </c>
      <c r="L755">
        <v>0</v>
      </c>
      <c r="M755">
        <v>0</v>
      </c>
      <c r="N755">
        <v>0</v>
      </c>
      <c r="O755">
        <v>0</v>
      </c>
      <c r="P755">
        <v>0</v>
      </c>
      <c r="Q755">
        <v>1</v>
      </c>
      <c r="W755"/>
      <c r="X755"/>
      <c r="Y755"/>
    </row>
    <row r="756" spans="1:25" x14ac:dyDescent="0.3">
      <c r="A756" t="str">
        <f>Table_Capacity_HD_frontsheet[[#This Row],[Name]]&amp;B756</f>
        <v>SheffieldReablement &amp; Rehabilitation in a bedded setting (pathway 2)</v>
      </c>
      <c r="B756" t="str">
        <f>VLOOKUP(Table_Capacity_HD_frontsheet[[#This Row],[Service Area]],PathwayLookup!A:B,2,0)</f>
        <v>Reablement &amp; Rehabilitation in a bedded setting (pathway 2)</v>
      </c>
      <c r="C756" t="s">
        <v>279</v>
      </c>
      <c r="D756" t="s">
        <v>725</v>
      </c>
      <c r="E756">
        <v>128</v>
      </c>
      <c r="F756">
        <v>128</v>
      </c>
      <c r="G756">
        <v>128</v>
      </c>
      <c r="H756">
        <v>128</v>
      </c>
      <c r="I756">
        <v>128</v>
      </c>
      <c r="J756">
        <v>128</v>
      </c>
      <c r="K756">
        <v>128</v>
      </c>
      <c r="L756">
        <v>134</v>
      </c>
      <c r="M756">
        <v>134</v>
      </c>
      <c r="N756">
        <v>134</v>
      </c>
      <c r="O756">
        <v>134</v>
      </c>
      <c r="P756">
        <v>134</v>
      </c>
      <c r="Q756">
        <v>1</v>
      </c>
      <c r="W756"/>
      <c r="X756"/>
      <c r="Y756"/>
    </row>
    <row r="757" spans="1:25" x14ac:dyDescent="0.3">
      <c r="A757" t="str">
        <f>Table_Capacity_HD_frontsheet[[#This Row],[Name]]&amp;B757</f>
        <v>SheffieldShort-term residential/nursing care for someone likely to require a longer-term care home placement (pathway 3)</v>
      </c>
      <c r="B757" t="str">
        <f>VLOOKUP(Table_Capacity_HD_frontsheet[[#This Row],[Service Area]],PathwayLookup!A:B,2,0)</f>
        <v>Short-term residential/nursing care for someone likely to require a longer-term care home placement (pathway 3)</v>
      </c>
      <c r="C757" t="s">
        <v>279</v>
      </c>
      <c r="D757" t="s">
        <v>731</v>
      </c>
      <c r="E757">
        <v>40</v>
      </c>
      <c r="F757">
        <v>40</v>
      </c>
      <c r="G757">
        <v>40</v>
      </c>
      <c r="H757">
        <v>40</v>
      </c>
      <c r="I757">
        <v>40</v>
      </c>
      <c r="J757">
        <v>40</v>
      </c>
      <c r="K757">
        <v>40</v>
      </c>
      <c r="L757">
        <v>40</v>
      </c>
      <c r="M757">
        <v>40</v>
      </c>
      <c r="N757">
        <v>40</v>
      </c>
      <c r="O757">
        <v>40</v>
      </c>
      <c r="P757">
        <v>40</v>
      </c>
      <c r="S757">
        <v>1</v>
      </c>
      <c r="W757"/>
      <c r="X757"/>
      <c r="Y757"/>
    </row>
    <row r="758" spans="1:25" x14ac:dyDescent="0.3">
      <c r="A758" t="str">
        <f>Table_Capacity_HD_frontsheet[[#This Row],[Name]]&amp;B758</f>
        <v>ShropshireSocial support (including VCS) (pathway 0)</v>
      </c>
      <c r="B758" t="str">
        <f>VLOOKUP(Table_Capacity_HD_frontsheet[[#This Row],[Service Area]],PathwayLookup!A:B,2,0)</f>
        <v>Social support (including VCS) (pathway 0)</v>
      </c>
      <c r="C758" t="s">
        <v>281</v>
      </c>
      <c r="D758" t="s">
        <v>726</v>
      </c>
      <c r="E758">
        <v>6</v>
      </c>
      <c r="F758">
        <v>7</v>
      </c>
      <c r="G758">
        <v>2</v>
      </c>
      <c r="H758">
        <v>1</v>
      </c>
      <c r="I758">
        <v>1</v>
      </c>
      <c r="J758">
        <v>1</v>
      </c>
      <c r="K758">
        <v>2</v>
      </c>
      <c r="L758">
        <v>2</v>
      </c>
      <c r="M758">
        <v>2</v>
      </c>
      <c r="N758">
        <v>3</v>
      </c>
      <c r="O758">
        <v>3</v>
      </c>
      <c r="P758">
        <v>3</v>
      </c>
      <c r="Q758">
        <v>0</v>
      </c>
      <c r="R758">
        <v>1</v>
      </c>
      <c r="S758">
        <v>0</v>
      </c>
      <c r="W758"/>
      <c r="X758"/>
      <c r="Y758"/>
    </row>
    <row r="759" spans="1:25" x14ac:dyDescent="0.3">
      <c r="A759" t="str">
        <f>Table_Capacity_HD_frontsheet[[#This Row],[Name]]&amp;B759</f>
        <v>ShropshireReablement &amp; Rehabilitation at home  (pathway 1)</v>
      </c>
      <c r="B759" t="str">
        <f>VLOOKUP(Table_Capacity_HD_frontsheet[[#This Row],[Service Area]],PathwayLookup!A:B,2,0)</f>
        <v>Reablement &amp; Rehabilitation at home  (pathway 1)</v>
      </c>
      <c r="C759" t="s">
        <v>281</v>
      </c>
      <c r="D759" t="s">
        <v>728</v>
      </c>
      <c r="E759">
        <v>150</v>
      </c>
      <c r="F759">
        <v>160</v>
      </c>
      <c r="G759">
        <v>141</v>
      </c>
      <c r="H759">
        <v>136</v>
      </c>
      <c r="I759">
        <v>136</v>
      </c>
      <c r="J759">
        <v>141</v>
      </c>
      <c r="K759">
        <v>138</v>
      </c>
      <c r="L759">
        <v>138</v>
      </c>
      <c r="M759">
        <v>138</v>
      </c>
      <c r="N759">
        <v>148</v>
      </c>
      <c r="O759">
        <v>148</v>
      </c>
      <c r="P759">
        <v>148</v>
      </c>
      <c r="Q759">
        <v>0</v>
      </c>
      <c r="R759">
        <v>1</v>
      </c>
      <c r="S759">
        <v>0</v>
      </c>
      <c r="W759"/>
      <c r="X759"/>
      <c r="Y759"/>
    </row>
    <row r="760" spans="1:25" x14ac:dyDescent="0.3">
      <c r="A760" t="str">
        <f>Table_Capacity_HD_frontsheet[[#This Row],[Name]]&amp;B760</f>
        <v>ShropshireReablement &amp; Rehabilitation at home  (pathway 1)</v>
      </c>
      <c r="B760" t="str">
        <f>VLOOKUP(Table_Capacity_HD_frontsheet[[#This Row],[Service Area]],PathwayLookup!A:B,2,0)</f>
        <v>Reablement &amp; Rehabilitation at home  (pathway 1)</v>
      </c>
      <c r="C760" t="s">
        <v>281</v>
      </c>
      <c r="D760" t="s">
        <v>721</v>
      </c>
      <c r="E760">
        <v>0</v>
      </c>
      <c r="F760">
        <v>0</v>
      </c>
      <c r="G760">
        <v>0</v>
      </c>
      <c r="H760">
        <v>0</v>
      </c>
      <c r="I760">
        <v>0</v>
      </c>
      <c r="J760">
        <v>0</v>
      </c>
      <c r="K760">
        <v>0</v>
      </c>
      <c r="L760">
        <v>0</v>
      </c>
      <c r="M760">
        <v>0</v>
      </c>
      <c r="N760">
        <v>0</v>
      </c>
      <c r="O760">
        <v>0</v>
      </c>
      <c r="P760">
        <v>0</v>
      </c>
      <c r="Q760">
        <v>0</v>
      </c>
      <c r="R760">
        <v>1</v>
      </c>
      <c r="S760">
        <v>0</v>
      </c>
      <c r="W760"/>
      <c r="X760"/>
      <c r="Y760"/>
    </row>
    <row r="761" spans="1:25" x14ac:dyDescent="0.3">
      <c r="A761" t="str">
        <f>Table_Capacity_HD_frontsheet[[#This Row],[Name]]&amp;B761</f>
        <v>ShropshireShort term domiciliary care (pathway 1)</v>
      </c>
      <c r="B761" t="str">
        <f>VLOOKUP(Table_Capacity_HD_frontsheet[[#This Row],[Service Area]],PathwayLookup!A:B,2,0)</f>
        <v>Short term domiciliary care (pathway 1)</v>
      </c>
      <c r="C761" t="s">
        <v>281</v>
      </c>
      <c r="D761" t="s">
        <v>730</v>
      </c>
      <c r="E761">
        <v>39</v>
      </c>
      <c r="F761">
        <v>42</v>
      </c>
      <c r="G761">
        <v>38</v>
      </c>
      <c r="H761">
        <v>36</v>
      </c>
      <c r="I761">
        <v>36</v>
      </c>
      <c r="J761">
        <v>37</v>
      </c>
      <c r="K761">
        <v>37</v>
      </c>
      <c r="L761">
        <v>37</v>
      </c>
      <c r="M761">
        <v>37</v>
      </c>
      <c r="N761">
        <v>41</v>
      </c>
      <c r="O761">
        <v>41</v>
      </c>
      <c r="P761">
        <v>41</v>
      </c>
      <c r="Q761">
        <v>0</v>
      </c>
      <c r="R761">
        <v>1</v>
      </c>
      <c r="S761">
        <v>0</v>
      </c>
      <c r="W761"/>
      <c r="X761"/>
      <c r="Y761"/>
    </row>
    <row r="762" spans="1:25" x14ac:dyDescent="0.3">
      <c r="A762" t="str">
        <f>Table_Capacity_HD_frontsheet[[#This Row],[Name]]&amp;B762</f>
        <v>ShropshireReablement &amp; Rehabilitation in a bedded setting (pathway 2)</v>
      </c>
      <c r="B762" t="str">
        <f>VLOOKUP(Table_Capacity_HD_frontsheet[[#This Row],[Service Area]],PathwayLookup!A:B,2,0)</f>
        <v>Reablement &amp; Rehabilitation in a bedded setting (pathway 2)</v>
      </c>
      <c r="C762" t="s">
        <v>281</v>
      </c>
      <c r="D762" t="s">
        <v>723</v>
      </c>
      <c r="E762">
        <v>7</v>
      </c>
      <c r="F762">
        <v>5</v>
      </c>
      <c r="G762">
        <v>19</v>
      </c>
      <c r="H762">
        <v>19</v>
      </c>
      <c r="I762">
        <v>19</v>
      </c>
      <c r="J762">
        <v>19</v>
      </c>
      <c r="K762">
        <v>20</v>
      </c>
      <c r="L762">
        <v>20</v>
      </c>
      <c r="M762">
        <v>0</v>
      </c>
      <c r="N762">
        <v>0</v>
      </c>
      <c r="O762">
        <v>0</v>
      </c>
      <c r="P762">
        <v>0</v>
      </c>
      <c r="Q762">
        <v>0</v>
      </c>
      <c r="R762">
        <v>1</v>
      </c>
      <c r="S762">
        <v>0</v>
      </c>
      <c r="W762"/>
      <c r="X762"/>
      <c r="Y762"/>
    </row>
    <row r="763" spans="1:25" x14ac:dyDescent="0.3">
      <c r="A763" t="str">
        <f>Table_Capacity_HD_frontsheet[[#This Row],[Name]]&amp;B763</f>
        <v>ShropshireReablement &amp; Rehabilitation in a bedded setting (pathway 2)</v>
      </c>
      <c r="B763" t="str">
        <f>VLOOKUP(Table_Capacity_HD_frontsheet[[#This Row],[Service Area]],PathwayLookup!A:B,2,0)</f>
        <v>Reablement &amp; Rehabilitation in a bedded setting (pathway 2)</v>
      </c>
      <c r="C763" t="s">
        <v>281</v>
      </c>
      <c r="D763" t="s">
        <v>725</v>
      </c>
      <c r="E763">
        <v>0</v>
      </c>
      <c r="F763">
        <v>0</v>
      </c>
      <c r="G763">
        <v>0</v>
      </c>
      <c r="H763">
        <v>0</v>
      </c>
      <c r="I763">
        <v>0</v>
      </c>
      <c r="J763">
        <v>0</v>
      </c>
      <c r="K763">
        <v>0</v>
      </c>
      <c r="L763">
        <v>0</v>
      </c>
      <c r="M763">
        <v>0</v>
      </c>
      <c r="N763">
        <v>0</v>
      </c>
      <c r="O763">
        <v>0</v>
      </c>
      <c r="P763">
        <v>0</v>
      </c>
      <c r="Q763">
        <v>0</v>
      </c>
      <c r="R763">
        <v>1</v>
      </c>
      <c r="S763">
        <v>0</v>
      </c>
      <c r="W763"/>
      <c r="X763"/>
      <c r="Y763"/>
    </row>
    <row r="764" spans="1:25" x14ac:dyDescent="0.3">
      <c r="A764" t="str">
        <f>Table_Capacity_HD_frontsheet[[#This Row],[Name]]&amp;B764</f>
        <v>ShropshireShort-term residential/nursing care for someone likely to require a longer-term care home placement (pathway 3)</v>
      </c>
      <c r="B764" t="str">
        <f>VLOOKUP(Table_Capacity_HD_frontsheet[[#This Row],[Service Area]],PathwayLookup!A:B,2,0)</f>
        <v>Short-term residential/nursing care for someone likely to require a longer-term care home placement (pathway 3)</v>
      </c>
      <c r="C764" t="s">
        <v>281</v>
      </c>
      <c r="D764" t="s">
        <v>731</v>
      </c>
      <c r="E764">
        <v>77</v>
      </c>
      <c r="F764">
        <v>68</v>
      </c>
      <c r="G764">
        <v>89</v>
      </c>
      <c r="H764">
        <v>88</v>
      </c>
      <c r="I764">
        <v>88</v>
      </c>
      <c r="J764">
        <v>88</v>
      </c>
      <c r="K764">
        <v>83</v>
      </c>
      <c r="L764">
        <v>30</v>
      </c>
      <c r="M764">
        <v>0</v>
      </c>
      <c r="N764">
        <v>0</v>
      </c>
      <c r="O764">
        <v>0</v>
      </c>
      <c r="P764">
        <v>0</v>
      </c>
      <c r="Q764">
        <v>0</v>
      </c>
      <c r="R764">
        <v>1</v>
      </c>
      <c r="S764">
        <v>0</v>
      </c>
      <c r="W764"/>
      <c r="X764"/>
      <c r="Y764"/>
    </row>
    <row r="765" spans="1:25" x14ac:dyDescent="0.3">
      <c r="A765" t="str">
        <f>Table_Capacity_HD_frontsheet[[#This Row],[Name]]&amp;B765</f>
        <v>SloughSocial support (including VCS) (pathway 0)</v>
      </c>
      <c r="B765" t="str">
        <f>VLOOKUP(Table_Capacity_HD_frontsheet[[#This Row],[Service Area]],PathwayLookup!A:B,2,0)</f>
        <v>Social support (including VCS) (pathway 0)</v>
      </c>
      <c r="C765" t="s">
        <v>283</v>
      </c>
      <c r="D765" t="s">
        <v>726</v>
      </c>
      <c r="E765">
        <v>0</v>
      </c>
      <c r="F765">
        <v>0</v>
      </c>
      <c r="G765">
        <v>0</v>
      </c>
      <c r="H765">
        <v>40</v>
      </c>
      <c r="I765">
        <v>40</v>
      </c>
      <c r="J765">
        <v>40</v>
      </c>
      <c r="K765">
        <v>40</v>
      </c>
      <c r="L765">
        <v>40</v>
      </c>
      <c r="M765">
        <v>40</v>
      </c>
      <c r="N765">
        <v>40</v>
      </c>
      <c r="O765">
        <v>40</v>
      </c>
      <c r="P765">
        <v>40</v>
      </c>
      <c r="R765">
        <v>1</v>
      </c>
      <c r="W765"/>
      <c r="X765"/>
      <c r="Y765"/>
    </row>
    <row r="766" spans="1:25" x14ac:dyDescent="0.3">
      <c r="A766" t="str">
        <f>Table_Capacity_HD_frontsheet[[#This Row],[Name]]&amp;B766</f>
        <v>SloughReablement &amp; Rehabilitation at home  (pathway 1)</v>
      </c>
      <c r="B766" t="str">
        <f>VLOOKUP(Table_Capacity_HD_frontsheet[[#This Row],[Service Area]],PathwayLookup!A:B,2,0)</f>
        <v>Reablement &amp; Rehabilitation at home  (pathway 1)</v>
      </c>
      <c r="C766" t="s">
        <v>283</v>
      </c>
      <c r="D766" t="s">
        <v>728</v>
      </c>
      <c r="E766">
        <v>30</v>
      </c>
      <c r="F766">
        <v>30</v>
      </c>
      <c r="G766">
        <v>30</v>
      </c>
      <c r="H766">
        <v>30</v>
      </c>
      <c r="I766">
        <v>30</v>
      </c>
      <c r="J766">
        <v>30</v>
      </c>
      <c r="K766">
        <v>30</v>
      </c>
      <c r="L766">
        <v>30</v>
      </c>
      <c r="M766">
        <v>30</v>
      </c>
      <c r="N766">
        <v>30</v>
      </c>
      <c r="O766">
        <v>30</v>
      </c>
      <c r="P766">
        <v>30</v>
      </c>
      <c r="R766">
        <v>1</v>
      </c>
      <c r="W766"/>
      <c r="X766"/>
      <c r="Y766"/>
    </row>
    <row r="767" spans="1:25" x14ac:dyDescent="0.3">
      <c r="A767" t="str">
        <f>Table_Capacity_HD_frontsheet[[#This Row],[Name]]&amp;B767</f>
        <v>SloughReablement &amp; Rehabilitation at home  (pathway 1)</v>
      </c>
      <c r="B767" t="str">
        <f>VLOOKUP(Table_Capacity_HD_frontsheet[[#This Row],[Service Area]],PathwayLookup!A:B,2,0)</f>
        <v>Reablement &amp; Rehabilitation at home  (pathway 1)</v>
      </c>
      <c r="C767" t="s">
        <v>283</v>
      </c>
      <c r="D767" t="s">
        <v>721</v>
      </c>
      <c r="E767">
        <v>20</v>
      </c>
      <c r="F767">
        <v>20</v>
      </c>
      <c r="G767">
        <v>20</v>
      </c>
      <c r="H767">
        <v>20</v>
      </c>
      <c r="I767">
        <v>20</v>
      </c>
      <c r="J767">
        <v>20</v>
      </c>
      <c r="K767">
        <v>20</v>
      </c>
      <c r="L767">
        <v>20</v>
      </c>
      <c r="M767">
        <v>20</v>
      </c>
      <c r="N767">
        <v>20</v>
      </c>
      <c r="O767">
        <v>20</v>
      </c>
      <c r="P767">
        <v>20</v>
      </c>
      <c r="Q767">
        <v>0.7</v>
      </c>
      <c r="R767">
        <v>0.3</v>
      </c>
      <c r="W767"/>
      <c r="X767"/>
      <c r="Y767"/>
    </row>
    <row r="768" spans="1:25" x14ac:dyDescent="0.3">
      <c r="A768" t="str">
        <f>Table_Capacity_HD_frontsheet[[#This Row],[Name]]&amp;B768</f>
        <v>SloughShort term domiciliary care (pathway 1)</v>
      </c>
      <c r="B768" t="str">
        <f>VLOOKUP(Table_Capacity_HD_frontsheet[[#This Row],[Service Area]],PathwayLookup!A:B,2,0)</f>
        <v>Short term domiciliary care (pathway 1)</v>
      </c>
      <c r="C768" t="s">
        <v>283</v>
      </c>
      <c r="D768" t="s">
        <v>730</v>
      </c>
      <c r="E768">
        <v>36</v>
      </c>
      <c r="F768">
        <v>36</v>
      </c>
      <c r="G768">
        <v>36</v>
      </c>
      <c r="H768">
        <v>36</v>
      </c>
      <c r="I768">
        <v>36</v>
      </c>
      <c r="J768">
        <v>36</v>
      </c>
      <c r="K768">
        <v>36</v>
      </c>
      <c r="L768">
        <v>36</v>
      </c>
      <c r="M768">
        <v>36</v>
      </c>
      <c r="N768">
        <v>36</v>
      </c>
      <c r="O768">
        <v>36</v>
      </c>
      <c r="P768">
        <v>36</v>
      </c>
      <c r="R768">
        <v>1</v>
      </c>
      <c r="W768"/>
      <c r="X768"/>
      <c r="Y768"/>
    </row>
    <row r="769" spans="1:25" x14ac:dyDescent="0.3">
      <c r="A769" t="str">
        <f>Table_Capacity_HD_frontsheet[[#This Row],[Name]]&amp;B769</f>
        <v>SloughReablement &amp; Rehabilitation in a bedded setting (pathway 2)</v>
      </c>
      <c r="B769" t="str">
        <f>VLOOKUP(Table_Capacity_HD_frontsheet[[#This Row],[Service Area]],PathwayLookup!A:B,2,0)</f>
        <v>Reablement &amp; Rehabilitation in a bedded setting (pathway 2)</v>
      </c>
      <c r="C769" t="s">
        <v>283</v>
      </c>
      <c r="D769" t="s">
        <v>723</v>
      </c>
      <c r="E769">
        <v>45</v>
      </c>
      <c r="F769">
        <v>45</v>
      </c>
      <c r="G769">
        <v>45</v>
      </c>
      <c r="H769">
        <v>45</v>
      </c>
      <c r="I769">
        <v>45</v>
      </c>
      <c r="J769">
        <v>45</v>
      </c>
      <c r="K769">
        <v>45</v>
      </c>
      <c r="L769">
        <v>45</v>
      </c>
      <c r="M769">
        <v>45</v>
      </c>
      <c r="N769">
        <v>45</v>
      </c>
      <c r="O769">
        <v>45</v>
      </c>
      <c r="P769">
        <v>45</v>
      </c>
      <c r="Q769">
        <v>1</v>
      </c>
      <c r="W769"/>
      <c r="X769"/>
      <c r="Y769"/>
    </row>
    <row r="770" spans="1:25" x14ac:dyDescent="0.3">
      <c r="A770" t="str">
        <f>Table_Capacity_HD_frontsheet[[#This Row],[Name]]&amp;B770</f>
        <v>SloughReablement &amp; Rehabilitation in a bedded setting (pathway 2)</v>
      </c>
      <c r="B770" t="str">
        <f>VLOOKUP(Table_Capacity_HD_frontsheet[[#This Row],[Service Area]],PathwayLookup!A:B,2,0)</f>
        <v>Reablement &amp; Rehabilitation in a bedded setting (pathway 2)</v>
      </c>
      <c r="C770" t="s">
        <v>283</v>
      </c>
      <c r="D770" t="s">
        <v>725</v>
      </c>
      <c r="W770"/>
      <c r="X770"/>
      <c r="Y770"/>
    </row>
    <row r="771" spans="1:25" x14ac:dyDescent="0.3">
      <c r="A771" t="str">
        <f>Table_Capacity_HD_frontsheet[[#This Row],[Name]]&amp;B771</f>
        <v>SloughShort-term residential/nursing care for someone likely to require a longer-term care home placement (pathway 3)</v>
      </c>
      <c r="B771" t="str">
        <f>VLOOKUP(Table_Capacity_HD_frontsheet[[#This Row],[Service Area]],PathwayLookup!A:B,2,0)</f>
        <v>Short-term residential/nursing care for someone likely to require a longer-term care home placement (pathway 3)</v>
      </c>
      <c r="C771" t="s">
        <v>283</v>
      </c>
      <c r="D771" t="s">
        <v>731</v>
      </c>
      <c r="E771">
        <v>17</v>
      </c>
      <c r="F771">
        <v>17</v>
      </c>
      <c r="G771">
        <v>17</v>
      </c>
      <c r="H771">
        <v>17</v>
      </c>
      <c r="I771">
        <v>17</v>
      </c>
      <c r="J771">
        <v>17</v>
      </c>
      <c r="K771">
        <v>17</v>
      </c>
      <c r="L771">
        <v>17</v>
      </c>
      <c r="M771">
        <v>17</v>
      </c>
      <c r="N771">
        <v>17</v>
      </c>
      <c r="O771">
        <v>17</v>
      </c>
      <c r="P771">
        <v>17</v>
      </c>
      <c r="R771">
        <v>1</v>
      </c>
      <c r="W771"/>
      <c r="X771"/>
      <c r="Y771"/>
    </row>
    <row r="772" spans="1:25" x14ac:dyDescent="0.3">
      <c r="A772" t="str">
        <f>Table_Capacity_HD_frontsheet[[#This Row],[Name]]&amp;B772</f>
        <v>SolihullSocial support (including VCS) (pathway 0)</v>
      </c>
      <c r="B772" t="str">
        <f>VLOOKUP(Table_Capacity_HD_frontsheet[[#This Row],[Service Area]],PathwayLookup!A:B,2,0)</f>
        <v>Social support (including VCS) (pathway 0)</v>
      </c>
      <c r="C772" t="s">
        <v>285</v>
      </c>
      <c r="D772" t="s">
        <v>726</v>
      </c>
      <c r="E772">
        <v>10</v>
      </c>
      <c r="F772">
        <v>10</v>
      </c>
      <c r="G772">
        <v>10</v>
      </c>
      <c r="H772">
        <v>10</v>
      </c>
      <c r="I772">
        <v>10</v>
      </c>
      <c r="J772">
        <v>10</v>
      </c>
      <c r="K772">
        <v>10</v>
      </c>
      <c r="L772">
        <v>10</v>
      </c>
      <c r="M772">
        <v>10</v>
      </c>
      <c r="N772">
        <v>10</v>
      </c>
      <c r="O772">
        <v>10</v>
      </c>
      <c r="P772">
        <v>10</v>
      </c>
      <c r="R772">
        <v>1</v>
      </c>
      <c r="W772"/>
      <c r="X772"/>
      <c r="Y772"/>
    </row>
    <row r="773" spans="1:25" x14ac:dyDescent="0.3">
      <c r="A773" t="str">
        <f>Table_Capacity_HD_frontsheet[[#This Row],[Name]]&amp;B773</f>
        <v>SolihullReablement &amp; Rehabilitation at home  (pathway 1)</v>
      </c>
      <c r="B773" t="str">
        <f>VLOOKUP(Table_Capacity_HD_frontsheet[[#This Row],[Service Area]],PathwayLookup!A:B,2,0)</f>
        <v>Reablement &amp; Rehabilitation at home  (pathway 1)</v>
      </c>
      <c r="C773" t="s">
        <v>285</v>
      </c>
      <c r="D773" t="s">
        <v>728</v>
      </c>
      <c r="E773">
        <v>98</v>
      </c>
      <c r="F773">
        <v>107</v>
      </c>
      <c r="G773">
        <v>103</v>
      </c>
      <c r="H773">
        <v>102</v>
      </c>
      <c r="I773">
        <v>103</v>
      </c>
      <c r="J773">
        <v>104</v>
      </c>
      <c r="K773">
        <v>109</v>
      </c>
      <c r="L773">
        <v>110</v>
      </c>
      <c r="M773">
        <v>105</v>
      </c>
      <c r="N773">
        <v>98</v>
      </c>
      <c r="O773">
        <v>97</v>
      </c>
      <c r="P773">
        <v>108</v>
      </c>
      <c r="R773">
        <v>1</v>
      </c>
      <c r="W773"/>
      <c r="X773"/>
      <c r="Y773"/>
    </row>
    <row r="774" spans="1:25" x14ac:dyDescent="0.3">
      <c r="A774" t="str">
        <f>Table_Capacity_HD_frontsheet[[#This Row],[Name]]&amp;B774</f>
        <v>SolihullReablement &amp; Rehabilitation at home  (pathway 1)</v>
      </c>
      <c r="B774" t="str">
        <f>VLOOKUP(Table_Capacity_HD_frontsheet[[#This Row],[Service Area]],PathwayLookup!A:B,2,0)</f>
        <v>Reablement &amp; Rehabilitation at home  (pathway 1)</v>
      </c>
      <c r="C774" t="s">
        <v>285</v>
      </c>
      <c r="D774" t="s">
        <v>721</v>
      </c>
      <c r="E774">
        <v>110</v>
      </c>
      <c r="F774">
        <v>110</v>
      </c>
      <c r="G774">
        <v>110</v>
      </c>
      <c r="H774">
        <v>110</v>
      </c>
      <c r="I774">
        <v>110</v>
      </c>
      <c r="J774">
        <v>110</v>
      </c>
      <c r="K774">
        <v>110</v>
      </c>
      <c r="L774">
        <v>110</v>
      </c>
      <c r="M774">
        <v>110</v>
      </c>
      <c r="N774">
        <v>110</v>
      </c>
      <c r="O774">
        <v>110</v>
      </c>
      <c r="P774">
        <v>114</v>
      </c>
      <c r="Q774">
        <v>1</v>
      </c>
      <c r="W774"/>
      <c r="X774"/>
      <c r="Y774"/>
    </row>
    <row r="775" spans="1:25" x14ac:dyDescent="0.3">
      <c r="A775" t="str">
        <f>Table_Capacity_HD_frontsheet[[#This Row],[Name]]&amp;B775</f>
        <v>SolihullShort term domiciliary care (pathway 1)</v>
      </c>
      <c r="B775" t="str">
        <f>VLOOKUP(Table_Capacity_HD_frontsheet[[#This Row],[Service Area]],PathwayLookup!A:B,2,0)</f>
        <v>Short term domiciliary care (pathway 1)</v>
      </c>
      <c r="C775" t="s">
        <v>285</v>
      </c>
      <c r="D775" t="s">
        <v>730</v>
      </c>
      <c r="E775">
        <v>66</v>
      </c>
      <c r="F775">
        <v>71</v>
      </c>
      <c r="G775">
        <v>75</v>
      </c>
      <c r="H775">
        <v>68</v>
      </c>
      <c r="I775">
        <v>75</v>
      </c>
      <c r="J775">
        <v>76</v>
      </c>
      <c r="K775">
        <v>73</v>
      </c>
      <c r="L775">
        <v>74</v>
      </c>
      <c r="M775">
        <v>71</v>
      </c>
      <c r="N775">
        <v>66</v>
      </c>
      <c r="O775">
        <v>65</v>
      </c>
      <c r="P775">
        <v>72</v>
      </c>
      <c r="R775">
        <v>1</v>
      </c>
      <c r="W775"/>
      <c r="X775"/>
      <c r="Y775"/>
    </row>
    <row r="776" spans="1:25" x14ac:dyDescent="0.3">
      <c r="A776" t="str">
        <f>Table_Capacity_HD_frontsheet[[#This Row],[Name]]&amp;B776</f>
        <v>SolihullReablement &amp; Rehabilitation in a bedded setting (pathway 2)</v>
      </c>
      <c r="B776" t="str">
        <f>VLOOKUP(Table_Capacity_HD_frontsheet[[#This Row],[Service Area]],PathwayLookup!A:B,2,0)</f>
        <v>Reablement &amp; Rehabilitation in a bedded setting (pathway 2)</v>
      </c>
      <c r="C776" t="s">
        <v>285</v>
      </c>
      <c r="D776" t="s">
        <v>723</v>
      </c>
      <c r="E776">
        <v>17</v>
      </c>
      <c r="F776">
        <v>17</v>
      </c>
      <c r="G776">
        <v>17</v>
      </c>
      <c r="H776">
        <v>17</v>
      </c>
      <c r="I776">
        <v>17</v>
      </c>
      <c r="J776">
        <v>17</v>
      </c>
      <c r="K776">
        <v>17</v>
      </c>
      <c r="L776">
        <v>17</v>
      </c>
      <c r="M776">
        <v>17</v>
      </c>
      <c r="N776">
        <v>17</v>
      </c>
      <c r="O776">
        <v>17</v>
      </c>
      <c r="P776">
        <v>17</v>
      </c>
      <c r="R776">
        <v>1</v>
      </c>
      <c r="W776"/>
      <c r="X776"/>
      <c r="Y776"/>
    </row>
    <row r="777" spans="1:25" x14ac:dyDescent="0.3">
      <c r="A777" t="str">
        <f>Table_Capacity_HD_frontsheet[[#This Row],[Name]]&amp;B777</f>
        <v>SolihullReablement &amp; Rehabilitation in a bedded setting (pathway 2)</v>
      </c>
      <c r="B777" t="str">
        <f>VLOOKUP(Table_Capacity_HD_frontsheet[[#This Row],[Service Area]],PathwayLookup!A:B,2,0)</f>
        <v>Reablement &amp; Rehabilitation in a bedded setting (pathway 2)</v>
      </c>
      <c r="C777" t="s">
        <v>285</v>
      </c>
      <c r="D777" t="s">
        <v>725</v>
      </c>
      <c r="E777">
        <v>57</v>
      </c>
      <c r="F777">
        <v>57</v>
      </c>
      <c r="G777">
        <v>57</v>
      </c>
      <c r="H777">
        <v>57</v>
      </c>
      <c r="I777">
        <v>57</v>
      </c>
      <c r="J777">
        <v>57</v>
      </c>
      <c r="K777">
        <v>57</v>
      </c>
      <c r="L777">
        <v>57</v>
      </c>
      <c r="M777">
        <v>57</v>
      </c>
      <c r="N777">
        <v>57</v>
      </c>
      <c r="O777">
        <v>57</v>
      </c>
      <c r="P777">
        <v>57</v>
      </c>
      <c r="Q777">
        <v>1</v>
      </c>
      <c r="W777"/>
      <c r="X777"/>
      <c r="Y777"/>
    </row>
    <row r="778" spans="1:25" x14ac:dyDescent="0.3">
      <c r="A778" t="str">
        <f>Table_Capacity_HD_frontsheet[[#This Row],[Name]]&amp;B778</f>
        <v>SolihullShort-term residential/nursing care for someone likely to require a longer-term care home placement (pathway 3)</v>
      </c>
      <c r="B778" t="str">
        <f>VLOOKUP(Table_Capacity_HD_frontsheet[[#This Row],[Service Area]],PathwayLookup!A:B,2,0)</f>
        <v>Short-term residential/nursing care for someone likely to require a longer-term care home placement (pathway 3)</v>
      </c>
      <c r="C778" t="s">
        <v>285</v>
      </c>
      <c r="D778" t="s">
        <v>731</v>
      </c>
      <c r="W778"/>
      <c r="X778"/>
      <c r="Y778"/>
    </row>
    <row r="779" spans="1:25" x14ac:dyDescent="0.3">
      <c r="A779" t="str">
        <f>Table_Capacity_HD_frontsheet[[#This Row],[Name]]&amp;B779</f>
        <v>SomersetSocial support (including VCS) (pathway 0)</v>
      </c>
      <c r="B779" t="str">
        <f>VLOOKUP(Table_Capacity_HD_frontsheet[[#This Row],[Service Area]],PathwayLookup!A:B,2,0)</f>
        <v>Social support (including VCS) (pathway 0)</v>
      </c>
      <c r="C779" t="s">
        <v>287</v>
      </c>
      <c r="D779" t="s">
        <v>726</v>
      </c>
      <c r="E779">
        <v>344</v>
      </c>
      <c r="F779">
        <v>358</v>
      </c>
      <c r="G779">
        <v>368</v>
      </c>
      <c r="H779">
        <v>347</v>
      </c>
      <c r="I779">
        <v>378</v>
      </c>
      <c r="J779">
        <v>392</v>
      </c>
      <c r="K779">
        <v>387</v>
      </c>
      <c r="L779">
        <v>355</v>
      </c>
      <c r="M779">
        <v>326</v>
      </c>
      <c r="N779">
        <v>398</v>
      </c>
      <c r="O779">
        <v>419</v>
      </c>
      <c r="P779">
        <v>426</v>
      </c>
      <c r="R779">
        <v>1</v>
      </c>
      <c r="W779"/>
      <c r="X779"/>
      <c r="Y779"/>
    </row>
    <row r="780" spans="1:25" x14ac:dyDescent="0.3">
      <c r="A780" t="str">
        <f>Table_Capacity_HD_frontsheet[[#This Row],[Name]]&amp;B780</f>
        <v>SomersetReablement &amp; Rehabilitation at home  (pathway 1)</v>
      </c>
      <c r="B780" t="str">
        <f>VLOOKUP(Table_Capacity_HD_frontsheet[[#This Row],[Service Area]],PathwayLookup!A:B,2,0)</f>
        <v>Reablement &amp; Rehabilitation at home  (pathway 1)</v>
      </c>
      <c r="C780" t="s">
        <v>287</v>
      </c>
      <c r="D780" t="s">
        <v>728</v>
      </c>
      <c r="E780">
        <v>68</v>
      </c>
      <c r="F780">
        <v>70</v>
      </c>
      <c r="G780">
        <v>68</v>
      </c>
      <c r="H780">
        <v>70</v>
      </c>
      <c r="I780">
        <v>70</v>
      </c>
      <c r="J780">
        <v>68</v>
      </c>
      <c r="K780">
        <v>70</v>
      </c>
      <c r="L780">
        <v>68</v>
      </c>
      <c r="M780">
        <v>70</v>
      </c>
      <c r="N780">
        <v>70</v>
      </c>
      <c r="O780">
        <v>65</v>
      </c>
      <c r="P780">
        <v>70</v>
      </c>
      <c r="R780">
        <v>1</v>
      </c>
      <c r="W780"/>
      <c r="X780"/>
      <c r="Y780"/>
    </row>
    <row r="781" spans="1:25" x14ac:dyDescent="0.3">
      <c r="A781" t="str">
        <f>Table_Capacity_HD_frontsheet[[#This Row],[Name]]&amp;B781</f>
        <v>SomersetReablement &amp; Rehabilitation at home  (pathway 1)</v>
      </c>
      <c r="B781" t="str">
        <f>VLOOKUP(Table_Capacity_HD_frontsheet[[#This Row],[Service Area]],PathwayLookup!A:B,2,0)</f>
        <v>Reablement &amp; Rehabilitation at home  (pathway 1)</v>
      </c>
      <c r="C781" t="s">
        <v>287</v>
      </c>
      <c r="D781" t="s">
        <v>721</v>
      </c>
      <c r="E781">
        <v>122</v>
      </c>
      <c r="F781">
        <v>126</v>
      </c>
      <c r="G781">
        <v>122</v>
      </c>
      <c r="H781">
        <v>126</v>
      </c>
      <c r="I781">
        <v>126</v>
      </c>
      <c r="J781">
        <v>122</v>
      </c>
      <c r="K781">
        <v>126</v>
      </c>
      <c r="L781">
        <v>122</v>
      </c>
      <c r="M781">
        <v>126</v>
      </c>
      <c r="N781">
        <v>126</v>
      </c>
      <c r="O781">
        <v>118</v>
      </c>
      <c r="P781">
        <v>126</v>
      </c>
      <c r="R781">
        <v>1</v>
      </c>
      <c r="W781"/>
      <c r="X781"/>
      <c r="Y781"/>
    </row>
    <row r="782" spans="1:25" x14ac:dyDescent="0.3">
      <c r="A782" t="str">
        <f>Table_Capacity_HD_frontsheet[[#This Row],[Name]]&amp;B782</f>
        <v>SomersetShort term domiciliary care (pathway 1)</v>
      </c>
      <c r="B782" t="str">
        <f>VLOOKUP(Table_Capacity_HD_frontsheet[[#This Row],[Service Area]],PathwayLookup!A:B,2,0)</f>
        <v>Short term domiciliary care (pathway 1)</v>
      </c>
      <c r="C782" t="s">
        <v>287</v>
      </c>
      <c r="D782" t="s">
        <v>730</v>
      </c>
      <c r="E782">
        <v>0</v>
      </c>
      <c r="F782">
        <v>0</v>
      </c>
      <c r="G782">
        <v>0</v>
      </c>
      <c r="H782">
        <v>0</v>
      </c>
      <c r="I782">
        <v>0</v>
      </c>
      <c r="J782">
        <v>0</v>
      </c>
      <c r="K782">
        <v>0</v>
      </c>
      <c r="L782">
        <v>0</v>
      </c>
      <c r="M782">
        <v>0</v>
      </c>
      <c r="N782">
        <v>0</v>
      </c>
      <c r="O782">
        <v>0</v>
      </c>
      <c r="P782">
        <v>0</v>
      </c>
      <c r="W782"/>
      <c r="X782"/>
      <c r="Y782"/>
    </row>
    <row r="783" spans="1:25" x14ac:dyDescent="0.3">
      <c r="A783" t="str">
        <f>Table_Capacity_HD_frontsheet[[#This Row],[Name]]&amp;B783</f>
        <v>SomersetReablement &amp; Rehabilitation in a bedded setting (pathway 2)</v>
      </c>
      <c r="B783" t="str">
        <f>VLOOKUP(Table_Capacity_HD_frontsheet[[#This Row],[Service Area]],PathwayLookup!A:B,2,0)</f>
        <v>Reablement &amp; Rehabilitation in a bedded setting (pathway 2)</v>
      </c>
      <c r="C783" t="s">
        <v>287</v>
      </c>
      <c r="D783" t="s">
        <v>723</v>
      </c>
      <c r="E783">
        <v>242</v>
      </c>
      <c r="F783">
        <v>242</v>
      </c>
      <c r="G783">
        <v>242</v>
      </c>
      <c r="H783">
        <v>229</v>
      </c>
      <c r="I783">
        <v>229</v>
      </c>
      <c r="J783">
        <v>229</v>
      </c>
      <c r="K783">
        <v>218</v>
      </c>
      <c r="L783">
        <v>218</v>
      </c>
      <c r="M783">
        <v>218</v>
      </c>
      <c r="N783">
        <v>207</v>
      </c>
      <c r="O783">
        <v>207</v>
      </c>
      <c r="P783">
        <v>207</v>
      </c>
      <c r="R783">
        <v>1</v>
      </c>
      <c r="W783"/>
      <c r="X783"/>
      <c r="Y783"/>
    </row>
    <row r="784" spans="1:25" x14ac:dyDescent="0.3">
      <c r="A784" t="str">
        <f>Table_Capacity_HD_frontsheet[[#This Row],[Name]]&amp;B784</f>
        <v>SomersetReablement &amp; Rehabilitation in a bedded setting (pathway 2)</v>
      </c>
      <c r="B784" t="str">
        <f>VLOOKUP(Table_Capacity_HD_frontsheet[[#This Row],[Service Area]],PathwayLookup!A:B,2,0)</f>
        <v>Reablement &amp; Rehabilitation in a bedded setting (pathway 2)</v>
      </c>
      <c r="C784" t="s">
        <v>287</v>
      </c>
      <c r="D784" t="s">
        <v>725</v>
      </c>
      <c r="E784">
        <v>59</v>
      </c>
      <c r="F784">
        <v>59</v>
      </c>
      <c r="G784">
        <v>59</v>
      </c>
      <c r="H784">
        <v>57</v>
      </c>
      <c r="I784">
        <v>57</v>
      </c>
      <c r="J784">
        <v>57</v>
      </c>
      <c r="K784">
        <v>54</v>
      </c>
      <c r="L784">
        <v>54</v>
      </c>
      <c r="M784">
        <v>54</v>
      </c>
      <c r="N784">
        <v>51</v>
      </c>
      <c r="O784">
        <v>51</v>
      </c>
      <c r="P784">
        <v>51</v>
      </c>
      <c r="R784">
        <v>1</v>
      </c>
      <c r="W784"/>
      <c r="X784"/>
      <c r="Y784"/>
    </row>
    <row r="785" spans="1:25" x14ac:dyDescent="0.3">
      <c r="A785" t="str">
        <f>Table_Capacity_HD_frontsheet[[#This Row],[Name]]&amp;B785</f>
        <v>SomersetShort-term residential/nursing care for someone likely to require a longer-term care home placement (pathway 3)</v>
      </c>
      <c r="B785" t="str">
        <f>VLOOKUP(Table_Capacity_HD_frontsheet[[#This Row],[Service Area]],PathwayLookup!A:B,2,0)</f>
        <v>Short-term residential/nursing care for someone likely to require a longer-term care home placement (pathway 3)</v>
      </c>
      <c r="C785" t="s">
        <v>287</v>
      </c>
      <c r="D785" t="s">
        <v>731</v>
      </c>
      <c r="E785">
        <v>0</v>
      </c>
      <c r="F785">
        <v>0</v>
      </c>
      <c r="G785">
        <v>0</v>
      </c>
      <c r="H785">
        <v>0</v>
      </c>
      <c r="I785">
        <v>0</v>
      </c>
      <c r="J785">
        <v>0</v>
      </c>
      <c r="K785">
        <v>0</v>
      </c>
      <c r="L785">
        <v>0</v>
      </c>
      <c r="M785">
        <v>0</v>
      </c>
      <c r="N785">
        <v>0</v>
      </c>
      <c r="O785">
        <v>0</v>
      </c>
      <c r="P785">
        <v>0</v>
      </c>
      <c r="W785"/>
      <c r="X785"/>
      <c r="Y785"/>
    </row>
    <row r="786" spans="1:25" x14ac:dyDescent="0.3">
      <c r="A786" t="str">
        <f>Table_Capacity_HD_frontsheet[[#This Row],[Name]]&amp;B786</f>
        <v>South GloucestershireSocial support (including VCS) (pathway 0)</v>
      </c>
      <c r="B786" t="str">
        <f>VLOOKUP(Table_Capacity_HD_frontsheet[[#This Row],[Service Area]],PathwayLookup!A:B,2,0)</f>
        <v>Social support (including VCS) (pathway 0)</v>
      </c>
      <c r="C786" t="s">
        <v>289</v>
      </c>
      <c r="D786" t="s">
        <v>726</v>
      </c>
      <c r="E786">
        <v>13</v>
      </c>
      <c r="F786">
        <v>13</v>
      </c>
      <c r="G786">
        <v>13</v>
      </c>
      <c r="H786">
        <v>13</v>
      </c>
      <c r="I786">
        <v>48</v>
      </c>
      <c r="J786">
        <v>48</v>
      </c>
      <c r="K786">
        <v>48</v>
      </c>
      <c r="L786">
        <v>48</v>
      </c>
      <c r="M786">
        <v>48</v>
      </c>
      <c r="N786">
        <v>46</v>
      </c>
      <c r="O786">
        <v>46</v>
      </c>
      <c r="P786">
        <v>46</v>
      </c>
      <c r="Q786">
        <v>0.25</v>
      </c>
      <c r="R786">
        <v>0.75</v>
      </c>
      <c r="W786"/>
      <c r="X786"/>
      <c r="Y786"/>
    </row>
    <row r="787" spans="1:25" x14ac:dyDescent="0.3">
      <c r="A787" t="str">
        <f>Table_Capacity_HD_frontsheet[[#This Row],[Name]]&amp;B787</f>
        <v>South GloucestershireReablement &amp; Rehabilitation at home  (pathway 1)</v>
      </c>
      <c r="B787" t="str">
        <f>VLOOKUP(Table_Capacity_HD_frontsheet[[#This Row],[Service Area]],PathwayLookup!A:B,2,0)</f>
        <v>Reablement &amp; Rehabilitation at home  (pathway 1)</v>
      </c>
      <c r="C787" t="s">
        <v>289</v>
      </c>
      <c r="D787" t="s">
        <v>728</v>
      </c>
      <c r="E787">
        <v>53</v>
      </c>
      <c r="F787">
        <v>53</v>
      </c>
      <c r="G787">
        <v>71</v>
      </c>
      <c r="H787">
        <v>71</v>
      </c>
      <c r="I787">
        <v>71</v>
      </c>
      <c r="J787">
        <v>71</v>
      </c>
      <c r="K787">
        <v>84</v>
      </c>
      <c r="L787">
        <v>78</v>
      </c>
      <c r="M787">
        <v>73</v>
      </c>
      <c r="N787">
        <v>68</v>
      </c>
      <c r="O787">
        <v>65</v>
      </c>
      <c r="P787">
        <v>62</v>
      </c>
      <c r="R787">
        <v>1</v>
      </c>
      <c r="W787"/>
      <c r="X787"/>
      <c r="Y787"/>
    </row>
    <row r="788" spans="1:25" x14ac:dyDescent="0.3">
      <c r="A788" t="str">
        <f>Table_Capacity_HD_frontsheet[[#This Row],[Name]]&amp;B788</f>
        <v>South GloucestershireReablement &amp; Rehabilitation at home  (pathway 1)</v>
      </c>
      <c r="B788" t="str">
        <f>VLOOKUP(Table_Capacity_HD_frontsheet[[#This Row],[Service Area]],PathwayLookup!A:B,2,0)</f>
        <v>Reablement &amp; Rehabilitation at home  (pathway 1)</v>
      </c>
      <c r="C788" t="s">
        <v>289</v>
      </c>
      <c r="D788" t="s">
        <v>721</v>
      </c>
      <c r="E788">
        <v>177</v>
      </c>
      <c r="F788">
        <v>183</v>
      </c>
      <c r="G788">
        <v>177</v>
      </c>
      <c r="H788">
        <v>183</v>
      </c>
      <c r="I788">
        <v>183</v>
      </c>
      <c r="J788">
        <v>177</v>
      </c>
      <c r="K788">
        <v>183</v>
      </c>
      <c r="L788">
        <v>177</v>
      </c>
      <c r="M788">
        <v>183</v>
      </c>
      <c r="N788">
        <v>183</v>
      </c>
      <c r="O788">
        <v>171</v>
      </c>
      <c r="P788">
        <v>183</v>
      </c>
      <c r="Q788">
        <v>1</v>
      </c>
      <c r="W788"/>
      <c r="X788"/>
      <c r="Y788"/>
    </row>
    <row r="789" spans="1:25" x14ac:dyDescent="0.3">
      <c r="A789" t="str">
        <f>Table_Capacity_HD_frontsheet[[#This Row],[Name]]&amp;B789</f>
        <v>South GloucestershireShort term domiciliary care (pathway 1)</v>
      </c>
      <c r="B789" t="str">
        <f>VLOOKUP(Table_Capacity_HD_frontsheet[[#This Row],[Service Area]],PathwayLookup!A:B,2,0)</f>
        <v>Short term domiciliary care (pathway 1)</v>
      </c>
      <c r="C789" t="s">
        <v>289</v>
      </c>
      <c r="D789" t="s">
        <v>730</v>
      </c>
      <c r="E789">
        <v>2</v>
      </c>
      <c r="F789">
        <v>2</v>
      </c>
      <c r="G789">
        <v>2</v>
      </c>
      <c r="H789">
        <v>2</v>
      </c>
      <c r="I789">
        <v>2</v>
      </c>
      <c r="J789">
        <v>2</v>
      </c>
      <c r="K789">
        <v>2</v>
      </c>
      <c r="L789">
        <v>2</v>
      </c>
      <c r="M789">
        <v>2</v>
      </c>
      <c r="N789">
        <v>2</v>
      </c>
      <c r="O789">
        <v>2</v>
      </c>
      <c r="P789">
        <v>2</v>
      </c>
      <c r="R789">
        <v>1</v>
      </c>
      <c r="W789"/>
      <c r="X789"/>
      <c r="Y789"/>
    </row>
    <row r="790" spans="1:25" x14ac:dyDescent="0.3">
      <c r="A790" t="str">
        <f>Table_Capacity_HD_frontsheet[[#This Row],[Name]]&amp;B790</f>
        <v>South GloucestershireReablement &amp; Rehabilitation in a bedded setting (pathway 2)</v>
      </c>
      <c r="B790" t="str">
        <f>VLOOKUP(Table_Capacity_HD_frontsheet[[#This Row],[Service Area]],PathwayLookup!A:B,2,0)</f>
        <v>Reablement &amp; Rehabilitation in a bedded setting (pathway 2)</v>
      </c>
      <c r="C790" t="s">
        <v>289</v>
      </c>
      <c r="D790" t="s">
        <v>723</v>
      </c>
      <c r="E790">
        <v>0</v>
      </c>
      <c r="F790">
        <v>0</v>
      </c>
      <c r="G790">
        <v>0</v>
      </c>
      <c r="H790">
        <v>0</v>
      </c>
      <c r="I790">
        <v>0</v>
      </c>
      <c r="J790">
        <v>0</v>
      </c>
      <c r="K790">
        <v>0</v>
      </c>
      <c r="L790">
        <v>0</v>
      </c>
      <c r="M790">
        <v>0</v>
      </c>
      <c r="N790">
        <v>0</v>
      </c>
      <c r="O790">
        <v>0</v>
      </c>
      <c r="P790">
        <v>0</v>
      </c>
      <c r="W790"/>
      <c r="X790"/>
      <c r="Y790"/>
    </row>
    <row r="791" spans="1:25" x14ac:dyDescent="0.3">
      <c r="A791" t="str">
        <f>Table_Capacity_HD_frontsheet[[#This Row],[Name]]&amp;B791</f>
        <v>South GloucestershireReablement &amp; Rehabilitation in a bedded setting (pathway 2)</v>
      </c>
      <c r="B791" t="str">
        <f>VLOOKUP(Table_Capacity_HD_frontsheet[[#This Row],[Service Area]],PathwayLookup!A:B,2,0)</f>
        <v>Reablement &amp; Rehabilitation in a bedded setting (pathway 2)</v>
      </c>
      <c r="C791" t="s">
        <v>289</v>
      </c>
      <c r="D791" t="s">
        <v>725</v>
      </c>
      <c r="E791">
        <v>29</v>
      </c>
      <c r="F791">
        <v>30</v>
      </c>
      <c r="G791">
        <v>29</v>
      </c>
      <c r="H791">
        <v>30</v>
      </c>
      <c r="I791">
        <v>30</v>
      </c>
      <c r="J791">
        <v>29</v>
      </c>
      <c r="K791">
        <v>33</v>
      </c>
      <c r="L791">
        <v>32</v>
      </c>
      <c r="M791">
        <v>33</v>
      </c>
      <c r="N791">
        <v>40</v>
      </c>
      <c r="O791">
        <v>37</v>
      </c>
      <c r="P791">
        <v>40</v>
      </c>
      <c r="Q791">
        <v>1</v>
      </c>
      <c r="W791"/>
      <c r="X791"/>
      <c r="Y791"/>
    </row>
    <row r="792" spans="1:25" x14ac:dyDescent="0.3">
      <c r="A792" t="str">
        <f>Table_Capacity_HD_frontsheet[[#This Row],[Name]]&amp;B792</f>
        <v>South GloucestershireShort-term residential/nursing care for someone likely to require a longer-term care home placement (pathway 3)</v>
      </c>
      <c r="B792" t="str">
        <f>VLOOKUP(Table_Capacity_HD_frontsheet[[#This Row],[Service Area]],PathwayLookup!A:B,2,0)</f>
        <v>Short-term residential/nursing care for someone likely to require a longer-term care home placement (pathway 3)</v>
      </c>
      <c r="C792" t="s">
        <v>289</v>
      </c>
      <c r="D792" t="s">
        <v>731</v>
      </c>
      <c r="E792">
        <v>20</v>
      </c>
      <c r="F792">
        <v>21</v>
      </c>
      <c r="G792">
        <v>20</v>
      </c>
      <c r="H792">
        <v>21</v>
      </c>
      <c r="I792">
        <v>21</v>
      </c>
      <c r="J792">
        <v>20</v>
      </c>
      <c r="K792">
        <v>21</v>
      </c>
      <c r="L792">
        <v>20</v>
      </c>
      <c r="M792">
        <v>21</v>
      </c>
      <c r="N792">
        <v>21</v>
      </c>
      <c r="O792">
        <v>19</v>
      </c>
      <c r="P792">
        <v>21</v>
      </c>
      <c r="Q792">
        <v>1</v>
      </c>
      <c r="W792"/>
      <c r="X792"/>
      <c r="Y792"/>
    </row>
    <row r="793" spans="1:25" x14ac:dyDescent="0.3">
      <c r="A793" t="str">
        <f>Table_Capacity_HD_frontsheet[[#This Row],[Name]]&amp;B793</f>
        <v>South TynesideSocial support (including VCS) (pathway 0)</v>
      </c>
      <c r="B793" t="str">
        <f>VLOOKUP(Table_Capacity_HD_frontsheet[[#This Row],[Service Area]],PathwayLookup!A:B,2,0)</f>
        <v>Social support (including VCS) (pathway 0)</v>
      </c>
      <c r="C793" t="s">
        <v>291</v>
      </c>
      <c r="D793" t="s">
        <v>726</v>
      </c>
      <c r="E793">
        <v>800</v>
      </c>
      <c r="F793">
        <v>800</v>
      </c>
      <c r="G793">
        <v>800</v>
      </c>
      <c r="H793">
        <v>800</v>
      </c>
      <c r="I793">
        <v>800</v>
      </c>
      <c r="J793">
        <v>800</v>
      </c>
      <c r="K793">
        <v>800</v>
      </c>
      <c r="L793">
        <v>1000</v>
      </c>
      <c r="M793">
        <v>1000</v>
      </c>
      <c r="N793">
        <v>1000</v>
      </c>
      <c r="O793">
        <v>1000</v>
      </c>
      <c r="P793">
        <v>900</v>
      </c>
      <c r="S793">
        <v>1</v>
      </c>
      <c r="W793"/>
      <c r="X793"/>
      <c r="Y793"/>
    </row>
    <row r="794" spans="1:25" x14ac:dyDescent="0.3">
      <c r="A794" t="str">
        <f>Table_Capacity_HD_frontsheet[[#This Row],[Name]]&amp;B794</f>
        <v>South TynesideReablement &amp; Rehabilitation at home  (pathway 1)</v>
      </c>
      <c r="B794" t="str">
        <f>VLOOKUP(Table_Capacity_HD_frontsheet[[#This Row],[Service Area]],PathwayLookup!A:B,2,0)</f>
        <v>Reablement &amp; Rehabilitation at home  (pathway 1)</v>
      </c>
      <c r="C794" t="s">
        <v>291</v>
      </c>
      <c r="D794" t="s">
        <v>728</v>
      </c>
      <c r="E794">
        <v>163</v>
      </c>
      <c r="F794">
        <v>233</v>
      </c>
      <c r="G794">
        <v>175</v>
      </c>
      <c r="H794">
        <v>192</v>
      </c>
      <c r="I794">
        <v>179</v>
      </c>
      <c r="J794">
        <v>182</v>
      </c>
      <c r="K794">
        <v>207</v>
      </c>
      <c r="L794">
        <v>206</v>
      </c>
      <c r="M794">
        <v>194</v>
      </c>
      <c r="N794">
        <v>182</v>
      </c>
      <c r="O794">
        <v>186</v>
      </c>
      <c r="P794">
        <v>210</v>
      </c>
      <c r="S794">
        <v>1</v>
      </c>
      <c r="W794"/>
      <c r="X794"/>
      <c r="Y794"/>
    </row>
    <row r="795" spans="1:25" x14ac:dyDescent="0.3">
      <c r="A795" t="str">
        <f>Table_Capacity_HD_frontsheet[[#This Row],[Name]]&amp;B795</f>
        <v>South TynesideReablement &amp; Rehabilitation at home  (pathway 1)</v>
      </c>
      <c r="B795" t="str">
        <f>VLOOKUP(Table_Capacity_HD_frontsheet[[#This Row],[Service Area]],PathwayLookup!A:B,2,0)</f>
        <v>Reablement &amp; Rehabilitation at home  (pathway 1)</v>
      </c>
      <c r="C795" t="s">
        <v>291</v>
      </c>
      <c r="D795" t="s">
        <v>721</v>
      </c>
      <c r="E795">
        <v>0</v>
      </c>
      <c r="F795">
        <v>0</v>
      </c>
      <c r="G795">
        <v>0</v>
      </c>
      <c r="H795">
        <v>0</v>
      </c>
      <c r="I795">
        <v>0</v>
      </c>
      <c r="J795">
        <v>0</v>
      </c>
      <c r="K795">
        <v>0</v>
      </c>
      <c r="L795">
        <v>0</v>
      </c>
      <c r="M795">
        <v>0</v>
      </c>
      <c r="N795">
        <v>0</v>
      </c>
      <c r="O795">
        <v>0</v>
      </c>
      <c r="P795">
        <v>0</v>
      </c>
      <c r="S795">
        <v>0</v>
      </c>
      <c r="W795"/>
      <c r="X795"/>
      <c r="Y795"/>
    </row>
    <row r="796" spans="1:25" x14ac:dyDescent="0.3">
      <c r="A796" t="str">
        <f>Table_Capacity_HD_frontsheet[[#This Row],[Name]]&amp;B796</f>
        <v>South TynesideShort term domiciliary care (pathway 1)</v>
      </c>
      <c r="B796" t="str">
        <f>VLOOKUP(Table_Capacity_HD_frontsheet[[#This Row],[Service Area]],PathwayLookup!A:B,2,0)</f>
        <v>Short term domiciliary care (pathway 1)</v>
      </c>
      <c r="C796" t="s">
        <v>291</v>
      </c>
      <c r="D796" t="s">
        <v>730</v>
      </c>
      <c r="E796">
        <v>0</v>
      </c>
      <c r="F796">
        <v>0</v>
      </c>
      <c r="G796">
        <v>0</v>
      </c>
      <c r="H796">
        <v>0</v>
      </c>
      <c r="I796">
        <v>0</v>
      </c>
      <c r="J796">
        <v>0</v>
      </c>
      <c r="K796">
        <v>0</v>
      </c>
      <c r="L796">
        <v>0</v>
      </c>
      <c r="M796">
        <v>0</v>
      </c>
      <c r="N796">
        <v>0</v>
      </c>
      <c r="O796">
        <v>0</v>
      </c>
      <c r="P796">
        <v>0</v>
      </c>
      <c r="S796">
        <v>1</v>
      </c>
      <c r="W796"/>
      <c r="X796"/>
      <c r="Y796"/>
    </row>
    <row r="797" spans="1:25" x14ac:dyDescent="0.3">
      <c r="A797" t="str">
        <f>Table_Capacity_HD_frontsheet[[#This Row],[Name]]&amp;B797</f>
        <v>South TynesideReablement &amp; Rehabilitation in a bedded setting (pathway 2)</v>
      </c>
      <c r="B797" t="str">
        <f>VLOOKUP(Table_Capacity_HD_frontsheet[[#This Row],[Service Area]],PathwayLookup!A:B,2,0)</f>
        <v>Reablement &amp; Rehabilitation in a bedded setting (pathway 2)</v>
      </c>
      <c r="C797" t="s">
        <v>291</v>
      </c>
      <c r="D797" t="s">
        <v>723</v>
      </c>
      <c r="E797">
        <v>40</v>
      </c>
      <c r="F797">
        <v>40</v>
      </c>
      <c r="G797">
        <v>40</v>
      </c>
      <c r="H797">
        <v>40</v>
      </c>
      <c r="I797">
        <v>40</v>
      </c>
      <c r="J797">
        <v>40</v>
      </c>
      <c r="K797">
        <v>50</v>
      </c>
      <c r="L797">
        <v>50</v>
      </c>
      <c r="M797">
        <v>50</v>
      </c>
      <c r="N797">
        <v>50</v>
      </c>
      <c r="O797">
        <v>50</v>
      </c>
      <c r="P797">
        <v>50</v>
      </c>
      <c r="S797">
        <v>1</v>
      </c>
      <c r="W797"/>
      <c r="X797"/>
      <c r="Y797"/>
    </row>
    <row r="798" spans="1:25" x14ac:dyDescent="0.3">
      <c r="A798" t="str">
        <f>Table_Capacity_HD_frontsheet[[#This Row],[Name]]&amp;B798</f>
        <v>South TynesideReablement &amp; Rehabilitation in a bedded setting (pathway 2)</v>
      </c>
      <c r="B798" t="str">
        <f>VLOOKUP(Table_Capacity_HD_frontsheet[[#This Row],[Service Area]],PathwayLookup!A:B,2,0)</f>
        <v>Reablement &amp; Rehabilitation in a bedded setting (pathway 2)</v>
      </c>
      <c r="C798" t="s">
        <v>291</v>
      </c>
      <c r="D798" t="s">
        <v>725</v>
      </c>
      <c r="E798">
        <v>0</v>
      </c>
      <c r="F798">
        <v>0</v>
      </c>
      <c r="G798">
        <v>0</v>
      </c>
      <c r="H798">
        <v>0</v>
      </c>
      <c r="I798">
        <v>0</v>
      </c>
      <c r="J798">
        <v>0</v>
      </c>
      <c r="K798">
        <v>0</v>
      </c>
      <c r="L798">
        <v>0</v>
      </c>
      <c r="M798">
        <v>0</v>
      </c>
      <c r="N798">
        <v>0</v>
      </c>
      <c r="O798">
        <v>0</v>
      </c>
      <c r="P798">
        <v>0</v>
      </c>
      <c r="S798">
        <v>0</v>
      </c>
      <c r="W798"/>
      <c r="X798"/>
      <c r="Y798"/>
    </row>
    <row r="799" spans="1:25" x14ac:dyDescent="0.3">
      <c r="A799" t="str">
        <f>Table_Capacity_HD_frontsheet[[#This Row],[Name]]&amp;B799</f>
        <v>South TynesideShort-term residential/nursing care for someone likely to require a longer-term care home placement (pathway 3)</v>
      </c>
      <c r="B799" t="str">
        <f>VLOOKUP(Table_Capacity_HD_frontsheet[[#This Row],[Service Area]],PathwayLookup!A:B,2,0)</f>
        <v>Short-term residential/nursing care for someone likely to require a longer-term care home placement (pathway 3)</v>
      </c>
      <c r="C799" t="s">
        <v>291</v>
      </c>
      <c r="D799" t="s">
        <v>731</v>
      </c>
      <c r="E799">
        <v>71</v>
      </c>
      <c r="F799">
        <v>69</v>
      </c>
      <c r="G799">
        <v>45</v>
      </c>
      <c r="H799">
        <v>44</v>
      </c>
      <c r="I799">
        <v>57</v>
      </c>
      <c r="J799">
        <v>64</v>
      </c>
      <c r="K799">
        <v>72</v>
      </c>
      <c r="L799">
        <v>94</v>
      </c>
      <c r="M799">
        <v>99</v>
      </c>
      <c r="N799">
        <v>101</v>
      </c>
      <c r="O799">
        <v>77</v>
      </c>
      <c r="P799">
        <v>86</v>
      </c>
      <c r="S799">
        <v>1</v>
      </c>
      <c r="W799"/>
      <c r="X799"/>
      <c r="Y799"/>
    </row>
    <row r="800" spans="1:25" x14ac:dyDescent="0.3">
      <c r="A800" t="str">
        <f>Table_Capacity_HD_frontsheet[[#This Row],[Name]]&amp;B800</f>
        <v>SouthamptonSocial support (including VCS) (pathway 0)</v>
      </c>
      <c r="B800" t="str">
        <f>VLOOKUP(Table_Capacity_HD_frontsheet[[#This Row],[Service Area]],PathwayLookup!A:B,2,0)</f>
        <v>Social support (including VCS) (pathway 0)</v>
      </c>
      <c r="C800" t="s">
        <v>293</v>
      </c>
      <c r="D800" t="s">
        <v>726</v>
      </c>
      <c r="E800">
        <v>12</v>
      </c>
      <c r="F800">
        <v>11</v>
      </c>
      <c r="G800">
        <v>11</v>
      </c>
      <c r="H800">
        <v>11</v>
      </c>
      <c r="I800">
        <v>11</v>
      </c>
      <c r="J800">
        <v>11</v>
      </c>
      <c r="K800">
        <v>12</v>
      </c>
      <c r="L800">
        <v>12</v>
      </c>
      <c r="M800">
        <v>12</v>
      </c>
      <c r="N800">
        <v>12</v>
      </c>
      <c r="O800">
        <v>12</v>
      </c>
      <c r="P800">
        <v>12</v>
      </c>
      <c r="Q800">
        <v>0.66</v>
      </c>
      <c r="R800">
        <v>0</v>
      </c>
      <c r="S800">
        <v>0.34</v>
      </c>
      <c r="W800"/>
      <c r="X800"/>
      <c r="Y800"/>
    </row>
    <row r="801" spans="1:25" x14ac:dyDescent="0.3">
      <c r="A801" t="str">
        <f>Table_Capacity_HD_frontsheet[[#This Row],[Name]]&amp;B801</f>
        <v>SouthamptonReablement &amp; Rehabilitation at home  (pathway 1)</v>
      </c>
      <c r="B801" t="str">
        <f>VLOOKUP(Table_Capacity_HD_frontsheet[[#This Row],[Service Area]],PathwayLookup!A:B,2,0)</f>
        <v>Reablement &amp; Rehabilitation at home  (pathway 1)</v>
      </c>
      <c r="C801" t="s">
        <v>293</v>
      </c>
      <c r="D801" t="s">
        <v>728</v>
      </c>
      <c r="E801">
        <v>123</v>
      </c>
      <c r="F801">
        <v>123</v>
      </c>
      <c r="G801">
        <v>123</v>
      </c>
      <c r="H801">
        <v>125</v>
      </c>
      <c r="I801">
        <v>130</v>
      </c>
      <c r="J801">
        <v>143</v>
      </c>
      <c r="K801">
        <v>150</v>
      </c>
      <c r="L801">
        <v>155</v>
      </c>
      <c r="M801">
        <v>160</v>
      </c>
      <c r="N801">
        <v>161</v>
      </c>
      <c r="O801">
        <v>161</v>
      </c>
      <c r="P801">
        <v>161</v>
      </c>
      <c r="Q801">
        <v>0</v>
      </c>
      <c r="R801">
        <v>0</v>
      </c>
      <c r="S801">
        <v>1</v>
      </c>
      <c r="W801"/>
      <c r="X801"/>
      <c r="Y801"/>
    </row>
    <row r="802" spans="1:25" x14ac:dyDescent="0.3">
      <c r="A802" t="str">
        <f>Table_Capacity_HD_frontsheet[[#This Row],[Name]]&amp;B802</f>
        <v>SouthamptonReablement &amp; Rehabilitation at home  (pathway 1)</v>
      </c>
      <c r="B802" t="str">
        <f>VLOOKUP(Table_Capacity_HD_frontsheet[[#This Row],[Service Area]],PathwayLookup!A:B,2,0)</f>
        <v>Reablement &amp; Rehabilitation at home  (pathway 1)</v>
      </c>
      <c r="C802" t="s">
        <v>293</v>
      </c>
      <c r="D802" t="s">
        <v>721</v>
      </c>
      <c r="E802">
        <v>80</v>
      </c>
      <c r="F802">
        <v>82</v>
      </c>
      <c r="G802">
        <v>80</v>
      </c>
      <c r="H802">
        <v>82</v>
      </c>
      <c r="I802">
        <v>82</v>
      </c>
      <c r="J802">
        <v>80</v>
      </c>
      <c r="K802">
        <v>82</v>
      </c>
      <c r="L802">
        <v>80</v>
      </c>
      <c r="M802">
        <v>82</v>
      </c>
      <c r="N802">
        <v>82</v>
      </c>
      <c r="O802">
        <v>74</v>
      </c>
      <c r="P802">
        <v>82</v>
      </c>
      <c r="Q802">
        <v>0</v>
      </c>
      <c r="R802">
        <v>0</v>
      </c>
      <c r="S802">
        <v>1</v>
      </c>
      <c r="W802"/>
      <c r="X802"/>
      <c r="Y802"/>
    </row>
    <row r="803" spans="1:25" x14ac:dyDescent="0.3">
      <c r="A803" t="str">
        <f>Table_Capacity_HD_frontsheet[[#This Row],[Name]]&amp;B803</f>
        <v>SouthamptonShort term domiciliary care (pathway 1)</v>
      </c>
      <c r="B803" t="str">
        <f>VLOOKUP(Table_Capacity_HD_frontsheet[[#This Row],[Service Area]],PathwayLookup!A:B,2,0)</f>
        <v>Short term domiciliary care (pathway 1)</v>
      </c>
      <c r="C803" t="s">
        <v>293</v>
      </c>
      <c r="D803" t="s">
        <v>730</v>
      </c>
      <c r="E803">
        <v>208</v>
      </c>
      <c r="F803">
        <v>208</v>
      </c>
      <c r="G803">
        <v>208</v>
      </c>
      <c r="H803">
        <v>100</v>
      </c>
      <c r="I803">
        <v>100</v>
      </c>
      <c r="J803">
        <v>100</v>
      </c>
      <c r="K803">
        <v>100</v>
      </c>
      <c r="L803">
        <v>100</v>
      </c>
      <c r="M803">
        <v>100</v>
      </c>
      <c r="N803">
        <v>100</v>
      </c>
      <c r="O803">
        <v>100</v>
      </c>
      <c r="P803">
        <v>100</v>
      </c>
      <c r="Q803">
        <v>1</v>
      </c>
      <c r="R803">
        <v>0</v>
      </c>
      <c r="S803">
        <v>0</v>
      </c>
      <c r="W803"/>
      <c r="X803"/>
      <c r="Y803"/>
    </row>
    <row r="804" spans="1:25" x14ac:dyDescent="0.3">
      <c r="A804" t="str">
        <f>Table_Capacity_HD_frontsheet[[#This Row],[Name]]&amp;B804</f>
        <v>SouthamptonReablement &amp; Rehabilitation in a bedded setting (pathway 2)</v>
      </c>
      <c r="B804" t="str">
        <f>VLOOKUP(Table_Capacity_HD_frontsheet[[#This Row],[Service Area]],PathwayLookup!A:B,2,0)</f>
        <v>Reablement &amp; Rehabilitation in a bedded setting (pathway 2)</v>
      </c>
      <c r="C804" t="s">
        <v>293</v>
      </c>
      <c r="D804" t="s">
        <v>723</v>
      </c>
      <c r="E804">
        <v>18</v>
      </c>
      <c r="F804">
        <v>18</v>
      </c>
      <c r="G804">
        <v>18</v>
      </c>
      <c r="H804">
        <v>17</v>
      </c>
      <c r="I804">
        <v>16</v>
      </c>
      <c r="J804">
        <v>16</v>
      </c>
      <c r="K804">
        <v>16</v>
      </c>
      <c r="L804">
        <v>16</v>
      </c>
      <c r="M804">
        <v>16</v>
      </c>
      <c r="N804">
        <v>16</v>
      </c>
      <c r="O804">
        <v>16</v>
      </c>
      <c r="P804">
        <v>16</v>
      </c>
      <c r="Q804">
        <v>0</v>
      </c>
      <c r="R804">
        <v>0</v>
      </c>
      <c r="S804">
        <v>1</v>
      </c>
      <c r="W804"/>
      <c r="X804"/>
      <c r="Y804"/>
    </row>
    <row r="805" spans="1:25" x14ac:dyDescent="0.3">
      <c r="A805" t="str">
        <f>Table_Capacity_HD_frontsheet[[#This Row],[Name]]&amp;B805</f>
        <v>SouthamptonReablement &amp; Rehabilitation in a bedded setting (pathway 2)</v>
      </c>
      <c r="B805" t="str">
        <f>VLOOKUP(Table_Capacity_HD_frontsheet[[#This Row],[Service Area]],PathwayLookup!A:B,2,0)</f>
        <v>Reablement &amp; Rehabilitation in a bedded setting (pathway 2)</v>
      </c>
      <c r="C805" t="s">
        <v>293</v>
      </c>
      <c r="D805" t="s">
        <v>725</v>
      </c>
      <c r="E805">
        <v>65</v>
      </c>
      <c r="F805">
        <v>65</v>
      </c>
      <c r="G805">
        <v>65</v>
      </c>
      <c r="H805">
        <v>65</v>
      </c>
      <c r="I805">
        <v>65</v>
      </c>
      <c r="J805">
        <v>65</v>
      </c>
      <c r="K805">
        <v>65</v>
      </c>
      <c r="L805">
        <v>65</v>
      </c>
      <c r="M805">
        <v>65</v>
      </c>
      <c r="N805">
        <v>65</v>
      </c>
      <c r="O805">
        <v>65</v>
      </c>
      <c r="P805">
        <v>65</v>
      </c>
      <c r="Q805">
        <v>1</v>
      </c>
      <c r="R805">
        <v>0</v>
      </c>
      <c r="S805">
        <v>0</v>
      </c>
      <c r="W805"/>
      <c r="X805"/>
      <c r="Y805"/>
    </row>
    <row r="806" spans="1:25" x14ac:dyDescent="0.3">
      <c r="A806" t="str">
        <f>Table_Capacity_HD_frontsheet[[#This Row],[Name]]&amp;B806</f>
        <v>SouthamptonShort-term residential/nursing care for someone likely to require a longer-term care home placement (pathway 3)</v>
      </c>
      <c r="B806" t="str">
        <f>VLOOKUP(Table_Capacity_HD_frontsheet[[#This Row],[Service Area]],PathwayLookup!A:B,2,0)</f>
        <v>Short-term residential/nursing care for someone likely to require a longer-term care home placement (pathway 3)</v>
      </c>
      <c r="C806" t="s">
        <v>293</v>
      </c>
      <c r="D806" t="s">
        <v>731</v>
      </c>
      <c r="E806">
        <v>3</v>
      </c>
      <c r="F806">
        <v>3</v>
      </c>
      <c r="G806">
        <v>3</v>
      </c>
      <c r="H806">
        <v>3</v>
      </c>
      <c r="I806">
        <v>3</v>
      </c>
      <c r="J806">
        <v>3</v>
      </c>
      <c r="K806">
        <v>3</v>
      </c>
      <c r="L806">
        <v>3</v>
      </c>
      <c r="M806">
        <v>3</v>
      </c>
      <c r="N806">
        <v>3</v>
      </c>
      <c r="O806">
        <v>3</v>
      </c>
      <c r="P806">
        <v>3</v>
      </c>
      <c r="Q806">
        <v>0</v>
      </c>
      <c r="R806">
        <v>0</v>
      </c>
      <c r="S806">
        <v>1</v>
      </c>
      <c r="W806"/>
      <c r="X806"/>
      <c r="Y806"/>
    </row>
    <row r="807" spans="1:25" x14ac:dyDescent="0.3">
      <c r="A807" t="str">
        <f>Table_Capacity_HD_frontsheet[[#This Row],[Name]]&amp;B807</f>
        <v>Southend-on-SeaSocial support (including VCS) (pathway 0)</v>
      </c>
      <c r="B807" t="str">
        <f>VLOOKUP(Table_Capacity_HD_frontsheet[[#This Row],[Service Area]],PathwayLookup!A:B,2,0)</f>
        <v>Social support (including VCS) (pathway 0)</v>
      </c>
      <c r="C807" t="s">
        <v>295</v>
      </c>
      <c r="D807" t="s">
        <v>726</v>
      </c>
      <c r="E807">
        <v>0</v>
      </c>
      <c r="F807">
        <v>0</v>
      </c>
      <c r="G807">
        <v>0</v>
      </c>
      <c r="H807">
        <v>0</v>
      </c>
      <c r="I807">
        <v>0</v>
      </c>
      <c r="J807">
        <v>0</v>
      </c>
      <c r="K807">
        <v>0</v>
      </c>
      <c r="L807">
        <v>0</v>
      </c>
      <c r="M807">
        <v>0</v>
      </c>
      <c r="N807">
        <v>0</v>
      </c>
      <c r="O807">
        <v>0</v>
      </c>
      <c r="P807">
        <v>0</v>
      </c>
      <c r="Q807">
        <v>0</v>
      </c>
      <c r="R807">
        <v>0</v>
      </c>
      <c r="S807">
        <v>0</v>
      </c>
      <c r="W807"/>
      <c r="X807"/>
      <c r="Y807"/>
    </row>
    <row r="808" spans="1:25" x14ac:dyDescent="0.3">
      <c r="A808" t="str">
        <f>Table_Capacity_HD_frontsheet[[#This Row],[Name]]&amp;B808</f>
        <v>Southend-on-SeaReablement &amp; Rehabilitation at home  (pathway 1)</v>
      </c>
      <c r="B808" t="str">
        <f>VLOOKUP(Table_Capacity_HD_frontsheet[[#This Row],[Service Area]],PathwayLookup!A:B,2,0)</f>
        <v>Reablement &amp; Rehabilitation at home  (pathway 1)</v>
      </c>
      <c r="C808" t="s">
        <v>295</v>
      </c>
      <c r="D808" t="s">
        <v>728</v>
      </c>
      <c r="E808">
        <v>69</v>
      </c>
      <c r="F808">
        <v>57</v>
      </c>
      <c r="G808">
        <v>68</v>
      </c>
      <c r="H808">
        <v>68</v>
      </c>
      <c r="I808">
        <v>68</v>
      </c>
      <c r="J808">
        <v>68</v>
      </c>
      <c r="K808">
        <v>68</v>
      </c>
      <c r="L808">
        <v>68</v>
      </c>
      <c r="M808">
        <v>68</v>
      </c>
      <c r="N808">
        <v>68</v>
      </c>
      <c r="O808">
        <v>68</v>
      </c>
      <c r="P808">
        <v>68</v>
      </c>
      <c r="W808"/>
      <c r="X808"/>
      <c r="Y808"/>
    </row>
    <row r="809" spans="1:25" x14ac:dyDescent="0.3">
      <c r="A809" t="str">
        <f>Table_Capacity_HD_frontsheet[[#This Row],[Name]]&amp;B809</f>
        <v>Southend-on-SeaReablement &amp; Rehabilitation at home  (pathway 1)</v>
      </c>
      <c r="B809" t="str">
        <f>VLOOKUP(Table_Capacity_HD_frontsheet[[#This Row],[Service Area]],PathwayLookup!A:B,2,0)</f>
        <v>Reablement &amp; Rehabilitation at home  (pathway 1)</v>
      </c>
      <c r="C809" t="s">
        <v>295</v>
      </c>
      <c r="D809" t="s">
        <v>721</v>
      </c>
      <c r="E809">
        <v>67</v>
      </c>
      <c r="F809">
        <v>66</v>
      </c>
      <c r="G809">
        <v>62</v>
      </c>
      <c r="H809">
        <v>62</v>
      </c>
      <c r="I809">
        <v>62</v>
      </c>
      <c r="J809">
        <v>62</v>
      </c>
      <c r="K809">
        <v>62</v>
      </c>
      <c r="L809">
        <v>62</v>
      </c>
      <c r="M809">
        <v>62</v>
      </c>
      <c r="N809">
        <v>62</v>
      </c>
      <c r="O809">
        <v>62</v>
      </c>
      <c r="P809">
        <v>62</v>
      </c>
      <c r="W809"/>
      <c r="X809"/>
      <c r="Y809"/>
    </row>
    <row r="810" spans="1:25" x14ac:dyDescent="0.3">
      <c r="A810" t="str">
        <f>Table_Capacity_HD_frontsheet[[#This Row],[Name]]&amp;B810</f>
        <v>Southend-on-SeaReablement &amp; Rehabilitation in a bedded setting (pathway 2)</v>
      </c>
      <c r="B810" t="str">
        <f>VLOOKUP(Table_Capacity_HD_frontsheet[[#This Row],[Service Area]],PathwayLookup!A:B,2,0)</f>
        <v>Reablement &amp; Rehabilitation in a bedded setting (pathway 2)</v>
      </c>
      <c r="C810" t="s">
        <v>295</v>
      </c>
      <c r="D810" t="s">
        <v>723</v>
      </c>
      <c r="E810">
        <v>22</v>
      </c>
      <c r="F810">
        <v>19</v>
      </c>
      <c r="G810">
        <v>28</v>
      </c>
      <c r="H810">
        <v>28</v>
      </c>
      <c r="I810">
        <v>28</v>
      </c>
      <c r="J810">
        <v>28</v>
      </c>
      <c r="K810">
        <v>28</v>
      </c>
      <c r="L810">
        <v>28</v>
      </c>
      <c r="M810">
        <v>28</v>
      </c>
      <c r="N810">
        <v>28</v>
      </c>
      <c r="O810">
        <v>28</v>
      </c>
      <c r="P810">
        <v>28</v>
      </c>
      <c r="W810"/>
      <c r="X810"/>
      <c r="Y810"/>
    </row>
    <row r="811" spans="1:25" x14ac:dyDescent="0.3">
      <c r="A811" t="str">
        <f>Table_Capacity_HD_frontsheet[[#This Row],[Name]]&amp;B811</f>
        <v>Southend-on-SeaReablement &amp; Rehabilitation in a bedded setting (pathway 2)</v>
      </c>
      <c r="B811" t="str">
        <f>VLOOKUP(Table_Capacity_HD_frontsheet[[#This Row],[Service Area]],PathwayLookup!A:B,2,0)</f>
        <v>Reablement &amp; Rehabilitation in a bedded setting (pathway 2)</v>
      </c>
      <c r="C811" t="s">
        <v>295</v>
      </c>
      <c r="D811" t="s">
        <v>725</v>
      </c>
      <c r="E811">
        <v>18</v>
      </c>
      <c r="F811">
        <v>18</v>
      </c>
      <c r="G811">
        <v>18</v>
      </c>
      <c r="H811">
        <v>18</v>
      </c>
      <c r="I811">
        <v>18</v>
      </c>
      <c r="J811">
        <v>18</v>
      </c>
      <c r="K811">
        <v>18</v>
      </c>
      <c r="L811">
        <v>18</v>
      </c>
      <c r="M811">
        <v>18</v>
      </c>
      <c r="N811">
        <v>18</v>
      </c>
      <c r="O811">
        <v>18</v>
      </c>
      <c r="P811">
        <v>18</v>
      </c>
      <c r="W811"/>
      <c r="X811"/>
      <c r="Y811"/>
    </row>
    <row r="812" spans="1:25" x14ac:dyDescent="0.3">
      <c r="A812" t="str">
        <f>Table_Capacity_HD_frontsheet[[#This Row],[Name]]&amp;B812</f>
        <v>Southend-on-SeaShort term domiciliary care (pathway 1)</v>
      </c>
      <c r="B812" t="str">
        <f>VLOOKUP(Table_Capacity_HD_frontsheet[[#This Row],[Service Area]],PathwayLookup!A:B,2,0)</f>
        <v>Short term domiciliary care (pathway 1)</v>
      </c>
      <c r="C812" t="s">
        <v>295</v>
      </c>
      <c r="D812" t="s">
        <v>730</v>
      </c>
      <c r="E812">
        <v>14</v>
      </c>
      <c r="F812">
        <v>14</v>
      </c>
      <c r="G812">
        <v>14</v>
      </c>
      <c r="H812">
        <v>14</v>
      </c>
      <c r="I812">
        <v>14</v>
      </c>
      <c r="J812">
        <v>14</v>
      </c>
      <c r="K812">
        <v>14</v>
      </c>
      <c r="L812">
        <v>14</v>
      </c>
      <c r="M812">
        <v>14</v>
      </c>
      <c r="N812">
        <v>14</v>
      </c>
      <c r="O812">
        <v>14</v>
      </c>
      <c r="P812">
        <v>14</v>
      </c>
      <c r="W812"/>
      <c r="X812"/>
      <c r="Y812"/>
    </row>
    <row r="813" spans="1:25" x14ac:dyDescent="0.3">
      <c r="A813" t="str">
        <f>Table_Capacity_HD_frontsheet[[#This Row],[Name]]&amp;B813</f>
        <v>Southend-on-SeaShort-term residential/nursing care for someone likely to require a longer-term care home placement (pathway 3)</v>
      </c>
      <c r="B813" t="str">
        <f>VLOOKUP(Table_Capacity_HD_frontsheet[[#This Row],[Service Area]],PathwayLookup!A:B,2,0)</f>
        <v>Short-term residential/nursing care for someone likely to require a longer-term care home placement (pathway 3)</v>
      </c>
      <c r="C813" t="s">
        <v>295</v>
      </c>
      <c r="D813" t="s">
        <v>731</v>
      </c>
      <c r="E813">
        <v>0</v>
      </c>
      <c r="F813">
        <v>0</v>
      </c>
      <c r="G813">
        <v>0</v>
      </c>
      <c r="H813">
        <v>0</v>
      </c>
      <c r="I813">
        <v>0</v>
      </c>
      <c r="J813">
        <v>0</v>
      </c>
      <c r="K813">
        <v>0</v>
      </c>
      <c r="L813">
        <v>0</v>
      </c>
      <c r="M813">
        <v>0</v>
      </c>
      <c r="N813">
        <v>0</v>
      </c>
      <c r="O813">
        <v>0</v>
      </c>
      <c r="P813">
        <v>0</v>
      </c>
      <c r="W813"/>
      <c r="X813"/>
      <c r="Y813"/>
    </row>
    <row r="814" spans="1:25" x14ac:dyDescent="0.3">
      <c r="A814" t="str">
        <f>Table_Capacity_HD_frontsheet[[#This Row],[Name]]&amp;B814</f>
        <v>SouthwarkSocial support (including VCS) (pathway 0)</v>
      </c>
      <c r="B814" t="str">
        <f>VLOOKUP(Table_Capacity_HD_frontsheet[[#This Row],[Service Area]],PathwayLookup!A:B,2,0)</f>
        <v>Social support (including VCS) (pathway 0)</v>
      </c>
      <c r="C814" t="s">
        <v>297</v>
      </c>
      <c r="D814" t="s">
        <v>726</v>
      </c>
      <c r="E814">
        <v>83</v>
      </c>
      <c r="F814">
        <v>87</v>
      </c>
      <c r="G814">
        <v>86</v>
      </c>
      <c r="H814">
        <v>82</v>
      </c>
      <c r="I814">
        <v>85</v>
      </c>
      <c r="J814">
        <v>79</v>
      </c>
      <c r="K814">
        <v>87</v>
      </c>
      <c r="L814">
        <v>82</v>
      </c>
      <c r="M814">
        <v>76</v>
      </c>
      <c r="N814">
        <v>82</v>
      </c>
      <c r="O814">
        <v>76</v>
      </c>
      <c r="P814">
        <v>81</v>
      </c>
      <c r="Q814">
        <v>0</v>
      </c>
      <c r="R814">
        <v>1</v>
      </c>
      <c r="S814">
        <v>0</v>
      </c>
      <c r="W814"/>
      <c r="X814"/>
      <c r="Y814"/>
    </row>
    <row r="815" spans="1:25" x14ac:dyDescent="0.3">
      <c r="A815" t="str">
        <f>Table_Capacity_HD_frontsheet[[#This Row],[Name]]&amp;B815</f>
        <v>SouthwarkReablement &amp; Rehabilitation at home  (pathway 1)</v>
      </c>
      <c r="B815" t="str">
        <f>VLOOKUP(Table_Capacity_HD_frontsheet[[#This Row],[Service Area]],PathwayLookup!A:B,2,0)</f>
        <v>Reablement &amp; Rehabilitation at home  (pathway 1)</v>
      </c>
      <c r="C815" t="s">
        <v>297</v>
      </c>
      <c r="D815" t="s">
        <v>728</v>
      </c>
      <c r="E815">
        <v>35</v>
      </c>
      <c r="F815">
        <v>42</v>
      </c>
      <c r="G815">
        <v>34</v>
      </c>
      <c r="H815">
        <v>22</v>
      </c>
      <c r="I815">
        <v>27</v>
      </c>
      <c r="J815">
        <v>62</v>
      </c>
      <c r="K815">
        <v>46</v>
      </c>
      <c r="L815">
        <v>70</v>
      </c>
      <c r="M815">
        <v>53</v>
      </c>
      <c r="N815">
        <v>50</v>
      </c>
      <c r="O815">
        <v>50</v>
      </c>
      <c r="P815">
        <v>76</v>
      </c>
      <c r="Q815">
        <v>0</v>
      </c>
      <c r="R815">
        <v>1</v>
      </c>
      <c r="S815">
        <v>0</v>
      </c>
      <c r="W815"/>
      <c r="X815"/>
      <c r="Y815"/>
    </row>
    <row r="816" spans="1:25" x14ac:dyDescent="0.3">
      <c r="A816" t="str">
        <f>Table_Capacity_HD_frontsheet[[#This Row],[Name]]&amp;B816</f>
        <v>SouthwarkReablement &amp; Rehabilitation at home  (pathway 1)</v>
      </c>
      <c r="B816" t="str">
        <f>VLOOKUP(Table_Capacity_HD_frontsheet[[#This Row],[Service Area]],PathwayLookup!A:B,2,0)</f>
        <v>Reablement &amp; Rehabilitation at home  (pathway 1)</v>
      </c>
      <c r="C816" t="s">
        <v>297</v>
      </c>
      <c r="D816" t="s">
        <v>721</v>
      </c>
      <c r="E816">
        <v>119</v>
      </c>
      <c r="F816">
        <v>119</v>
      </c>
      <c r="G816">
        <v>119</v>
      </c>
      <c r="H816">
        <v>119</v>
      </c>
      <c r="I816">
        <v>119</v>
      </c>
      <c r="J816">
        <v>119</v>
      </c>
      <c r="K816">
        <v>119</v>
      </c>
      <c r="L816">
        <v>119</v>
      </c>
      <c r="M816">
        <v>119</v>
      </c>
      <c r="N816">
        <v>119</v>
      </c>
      <c r="O816">
        <v>119</v>
      </c>
      <c r="P816">
        <v>119</v>
      </c>
      <c r="Q816">
        <v>1</v>
      </c>
      <c r="R816">
        <v>0</v>
      </c>
      <c r="S816">
        <v>0</v>
      </c>
      <c r="W816"/>
      <c r="X816"/>
      <c r="Y816"/>
    </row>
    <row r="817" spans="1:25" x14ac:dyDescent="0.3">
      <c r="A817" t="str">
        <f>Table_Capacity_HD_frontsheet[[#This Row],[Name]]&amp;B817</f>
        <v>SouthwarkShort term domiciliary care (pathway 1)</v>
      </c>
      <c r="B817" t="str">
        <f>VLOOKUP(Table_Capacity_HD_frontsheet[[#This Row],[Service Area]],PathwayLookup!A:B,2,0)</f>
        <v>Short term domiciliary care (pathway 1)</v>
      </c>
      <c r="C817" t="s">
        <v>297</v>
      </c>
      <c r="D817" t="s">
        <v>730</v>
      </c>
      <c r="E817">
        <v>0</v>
      </c>
      <c r="F817">
        <v>0</v>
      </c>
      <c r="G817">
        <v>0</v>
      </c>
      <c r="H817">
        <v>0</v>
      </c>
      <c r="I817">
        <v>0</v>
      </c>
      <c r="J817">
        <v>0</v>
      </c>
      <c r="K817">
        <v>0</v>
      </c>
      <c r="L817">
        <v>0</v>
      </c>
      <c r="M817">
        <v>0</v>
      </c>
      <c r="N817">
        <v>0</v>
      </c>
      <c r="O817">
        <v>0</v>
      </c>
      <c r="P817">
        <v>0</v>
      </c>
      <c r="Q817">
        <v>0</v>
      </c>
      <c r="R817">
        <v>0</v>
      </c>
      <c r="S817">
        <v>0</v>
      </c>
      <c r="W817"/>
      <c r="X817"/>
      <c r="Y817"/>
    </row>
    <row r="818" spans="1:25" x14ac:dyDescent="0.3">
      <c r="A818" t="str">
        <f>Table_Capacity_HD_frontsheet[[#This Row],[Name]]&amp;B818</f>
        <v>SouthwarkReablement &amp; Rehabilitation in a bedded setting (pathway 2)</v>
      </c>
      <c r="B818" t="str">
        <f>VLOOKUP(Table_Capacity_HD_frontsheet[[#This Row],[Service Area]],PathwayLookup!A:B,2,0)</f>
        <v>Reablement &amp; Rehabilitation in a bedded setting (pathway 2)</v>
      </c>
      <c r="C818" t="s">
        <v>297</v>
      </c>
      <c r="D818" t="s">
        <v>723</v>
      </c>
      <c r="E818">
        <v>2</v>
      </c>
      <c r="F818">
        <v>2</v>
      </c>
      <c r="G818">
        <v>2</v>
      </c>
      <c r="H818">
        <v>2</v>
      </c>
      <c r="I818">
        <v>2</v>
      </c>
      <c r="J818">
        <v>2</v>
      </c>
      <c r="K818">
        <v>2</v>
      </c>
      <c r="L818">
        <v>2</v>
      </c>
      <c r="M818">
        <v>2</v>
      </c>
      <c r="N818">
        <v>2</v>
      </c>
      <c r="O818">
        <v>2</v>
      </c>
      <c r="P818">
        <v>2</v>
      </c>
      <c r="Q818">
        <v>1</v>
      </c>
      <c r="R818">
        <v>0</v>
      </c>
      <c r="S818">
        <v>0</v>
      </c>
      <c r="W818"/>
      <c r="X818"/>
      <c r="Y818"/>
    </row>
    <row r="819" spans="1:25" x14ac:dyDescent="0.3">
      <c r="A819" t="str">
        <f>Table_Capacity_HD_frontsheet[[#This Row],[Name]]&amp;B819</f>
        <v>SouthwarkReablement &amp; Rehabilitation in a bedded setting (pathway 2)</v>
      </c>
      <c r="B819" t="str">
        <f>VLOOKUP(Table_Capacity_HD_frontsheet[[#This Row],[Service Area]],PathwayLookup!A:B,2,0)</f>
        <v>Reablement &amp; Rehabilitation in a bedded setting (pathway 2)</v>
      </c>
      <c r="C819" t="s">
        <v>297</v>
      </c>
      <c r="D819" t="s">
        <v>725</v>
      </c>
      <c r="E819">
        <v>17</v>
      </c>
      <c r="F819">
        <v>17</v>
      </c>
      <c r="G819">
        <v>17</v>
      </c>
      <c r="H819">
        <v>17</v>
      </c>
      <c r="I819">
        <v>17</v>
      </c>
      <c r="J819">
        <v>17</v>
      </c>
      <c r="K819">
        <v>17</v>
      </c>
      <c r="L819">
        <v>17</v>
      </c>
      <c r="M819">
        <v>17</v>
      </c>
      <c r="N819">
        <v>17</v>
      </c>
      <c r="O819">
        <v>17</v>
      </c>
      <c r="P819">
        <v>17</v>
      </c>
      <c r="Q819">
        <v>1</v>
      </c>
      <c r="R819">
        <v>0</v>
      </c>
      <c r="S819">
        <v>0</v>
      </c>
      <c r="W819"/>
      <c r="X819"/>
      <c r="Y819"/>
    </row>
    <row r="820" spans="1:25" x14ac:dyDescent="0.3">
      <c r="A820" t="str">
        <f>Table_Capacity_HD_frontsheet[[#This Row],[Name]]&amp;B820</f>
        <v>SouthwarkShort-term residential/nursing care for someone likely to require a longer-term care home placement (pathway 3)</v>
      </c>
      <c r="B820" t="str">
        <f>VLOOKUP(Table_Capacity_HD_frontsheet[[#This Row],[Service Area]],PathwayLookup!A:B,2,0)</f>
        <v>Short-term residential/nursing care for someone likely to require a longer-term care home placement (pathway 3)</v>
      </c>
      <c r="C820" t="s">
        <v>297</v>
      </c>
      <c r="D820" t="s">
        <v>731</v>
      </c>
      <c r="E820">
        <v>20</v>
      </c>
      <c r="F820">
        <v>22</v>
      </c>
      <c r="G820">
        <v>22</v>
      </c>
      <c r="H820">
        <v>12</v>
      </c>
      <c r="I820">
        <v>15</v>
      </c>
      <c r="J820">
        <v>13</v>
      </c>
      <c r="K820">
        <v>20</v>
      </c>
      <c r="L820">
        <v>20</v>
      </c>
      <c r="M820">
        <v>14</v>
      </c>
      <c r="N820">
        <v>22</v>
      </c>
      <c r="O820">
        <v>17</v>
      </c>
      <c r="P820">
        <v>17</v>
      </c>
      <c r="Q820">
        <v>1</v>
      </c>
      <c r="R820">
        <v>0</v>
      </c>
      <c r="S820">
        <v>0</v>
      </c>
      <c r="W820"/>
      <c r="X820"/>
      <c r="Y820"/>
    </row>
    <row r="821" spans="1:25" x14ac:dyDescent="0.3">
      <c r="A821" t="str">
        <f>Table_Capacity_HD_frontsheet[[#This Row],[Name]]&amp;B821</f>
        <v>St. HelensSocial support (including VCS) (pathway 0)</v>
      </c>
      <c r="B821" t="str">
        <f>VLOOKUP(Table_Capacity_HD_frontsheet[[#This Row],[Service Area]],PathwayLookup!A:B,2,0)</f>
        <v>Social support (including VCS) (pathway 0)</v>
      </c>
      <c r="C821" t="s">
        <v>299</v>
      </c>
      <c r="D821" t="s">
        <v>726</v>
      </c>
      <c r="E821">
        <v>0</v>
      </c>
      <c r="F821">
        <v>0</v>
      </c>
      <c r="G821">
        <v>20</v>
      </c>
      <c r="H821">
        <v>20</v>
      </c>
      <c r="I821">
        <v>20</v>
      </c>
      <c r="J821">
        <v>20</v>
      </c>
      <c r="K821">
        <v>20</v>
      </c>
      <c r="L821">
        <v>20</v>
      </c>
      <c r="M821">
        <v>20</v>
      </c>
      <c r="N821">
        <v>20</v>
      </c>
      <c r="O821">
        <v>20</v>
      </c>
      <c r="P821">
        <v>20</v>
      </c>
      <c r="R821">
        <v>1</v>
      </c>
      <c r="W821"/>
      <c r="X821"/>
      <c r="Y821"/>
    </row>
    <row r="822" spans="1:25" x14ac:dyDescent="0.3">
      <c r="A822" t="str">
        <f>Table_Capacity_HD_frontsheet[[#This Row],[Name]]&amp;B822</f>
        <v>St. HelensReablement &amp; Rehabilitation at home  (pathway 1)</v>
      </c>
      <c r="B822" t="str">
        <f>VLOOKUP(Table_Capacity_HD_frontsheet[[#This Row],[Service Area]],PathwayLookup!A:B,2,0)</f>
        <v>Reablement &amp; Rehabilitation at home  (pathway 1)</v>
      </c>
      <c r="C822" t="s">
        <v>299</v>
      </c>
      <c r="D822" t="s">
        <v>728</v>
      </c>
      <c r="E822">
        <v>46</v>
      </c>
      <c r="F822">
        <v>46</v>
      </c>
      <c r="G822">
        <v>46</v>
      </c>
      <c r="H822">
        <v>46</v>
      </c>
      <c r="I822">
        <v>46</v>
      </c>
      <c r="J822">
        <v>46</v>
      </c>
      <c r="K822">
        <v>46</v>
      </c>
      <c r="L822">
        <v>46</v>
      </c>
      <c r="M822">
        <v>46</v>
      </c>
      <c r="N822">
        <v>46</v>
      </c>
      <c r="O822">
        <v>46</v>
      </c>
      <c r="P822">
        <v>46</v>
      </c>
      <c r="R822">
        <v>1</v>
      </c>
      <c r="W822"/>
      <c r="X822"/>
      <c r="Y822"/>
    </row>
    <row r="823" spans="1:25" x14ac:dyDescent="0.3">
      <c r="A823" t="str">
        <f>Table_Capacity_HD_frontsheet[[#This Row],[Name]]&amp;B823</f>
        <v>St. HelensReablement &amp; Rehabilitation at home  (pathway 1)</v>
      </c>
      <c r="B823" t="str">
        <f>VLOOKUP(Table_Capacity_HD_frontsheet[[#This Row],[Service Area]],PathwayLookup!A:B,2,0)</f>
        <v>Reablement &amp; Rehabilitation at home  (pathway 1)</v>
      </c>
      <c r="C823" t="s">
        <v>299</v>
      </c>
      <c r="D823" t="s">
        <v>721</v>
      </c>
      <c r="E823">
        <v>0</v>
      </c>
      <c r="F823">
        <v>0</v>
      </c>
      <c r="G823">
        <v>0</v>
      </c>
      <c r="H823">
        <v>0</v>
      </c>
      <c r="I823">
        <v>0</v>
      </c>
      <c r="J823">
        <v>0</v>
      </c>
      <c r="K823">
        <v>0</v>
      </c>
      <c r="L823">
        <v>0</v>
      </c>
      <c r="M823">
        <v>0</v>
      </c>
      <c r="N823">
        <v>0</v>
      </c>
      <c r="O823">
        <v>0</v>
      </c>
      <c r="P823">
        <v>0</v>
      </c>
      <c r="R823">
        <v>1</v>
      </c>
      <c r="W823"/>
      <c r="X823"/>
      <c r="Y823"/>
    </row>
    <row r="824" spans="1:25" x14ac:dyDescent="0.3">
      <c r="A824" t="str">
        <f>Table_Capacity_HD_frontsheet[[#This Row],[Name]]&amp;B824</f>
        <v>St. HelensShort term domiciliary care (pathway 1)</v>
      </c>
      <c r="B824" t="str">
        <f>VLOOKUP(Table_Capacity_HD_frontsheet[[#This Row],[Service Area]],PathwayLookup!A:B,2,0)</f>
        <v>Short term domiciliary care (pathway 1)</v>
      </c>
      <c r="C824" t="s">
        <v>299</v>
      </c>
      <c r="D824" t="s">
        <v>730</v>
      </c>
      <c r="E824">
        <v>154</v>
      </c>
      <c r="F824">
        <v>121</v>
      </c>
      <c r="G824">
        <v>55</v>
      </c>
      <c r="H824">
        <v>60</v>
      </c>
      <c r="I824">
        <v>84</v>
      </c>
      <c r="J824">
        <v>112</v>
      </c>
      <c r="K824">
        <v>79</v>
      </c>
      <c r="L824">
        <v>77</v>
      </c>
      <c r="M824">
        <v>73</v>
      </c>
      <c r="N824">
        <v>160</v>
      </c>
      <c r="O824">
        <v>129</v>
      </c>
      <c r="P824">
        <v>115</v>
      </c>
      <c r="W824"/>
      <c r="X824"/>
      <c r="Y824"/>
    </row>
    <row r="825" spans="1:25" x14ac:dyDescent="0.3">
      <c r="A825" t="str">
        <f>Table_Capacity_HD_frontsheet[[#This Row],[Name]]&amp;B825</f>
        <v>St. HelensReablement &amp; Rehabilitation in a bedded setting (pathway 2)</v>
      </c>
      <c r="B825" t="str">
        <f>VLOOKUP(Table_Capacity_HD_frontsheet[[#This Row],[Service Area]],PathwayLookup!A:B,2,0)</f>
        <v>Reablement &amp; Rehabilitation in a bedded setting (pathway 2)</v>
      </c>
      <c r="C825" t="s">
        <v>299</v>
      </c>
      <c r="D825" t="s">
        <v>723</v>
      </c>
      <c r="E825">
        <v>18</v>
      </c>
      <c r="F825">
        <v>18</v>
      </c>
      <c r="G825">
        <v>18</v>
      </c>
      <c r="H825">
        <v>18</v>
      </c>
      <c r="I825">
        <v>18</v>
      </c>
      <c r="J825">
        <v>18</v>
      </c>
      <c r="K825">
        <v>18</v>
      </c>
      <c r="L825">
        <v>18</v>
      </c>
      <c r="M825">
        <v>18</v>
      </c>
      <c r="N825">
        <v>18</v>
      </c>
      <c r="O825">
        <v>18</v>
      </c>
      <c r="P825">
        <v>18</v>
      </c>
      <c r="Q825">
        <v>0.72</v>
      </c>
      <c r="R825">
        <v>0.28000000000000003</v>
      </c>
      <c r="W825"/>
      <c r="X825"/>
      <c r="Y825"/>
    </row>
    <row r="826" spans="1:25" x14ac:dyDescent="0.3">
      <c r="A826" t="str">
        <f>Table_Capacity_HD_frontsheet[[#This Row],[Name]]&amp;B826</f>
        <v>St. HelensReablement &amp; Rehabilitation in a bedded setting (pathway 2)</v>
      </c>
      <c r="B826" t="str">
        <f>VLOOKUP(Table_Capacity_HD_frontsheet[[#This Row],[Service Area]],PathwayLookup!A:B,2,0)</f>
        <v>Reablement &amp; Rehabilitation in a bedded setting (pathway 2)</v>
      </c>
      <c r="C826" t="s">
        <v>299</v>
      </c>
      <c r="D826" t="s">
        <v>725</v>
      </c>
      <c r="E826">
        <v>29</v>
      </c>
      <c r="F826">
        <v>29</v>
      </c>
      <c r="G826">
        <v>29</v>
      </c>
      <c r="H826">
        <v>29</v>
      </c>
      <c r="I826">
        <v>29</v>
      </c>
      <c r="J826">
        <v>29</v>
      </c>
      <c r="K826">
        <v>29</v>
      </c>
      <c r="L826">
        <v>29</v>
      </c>
      <c r="M826">
        <v>29</v>
      </c>
      <c r="N826">
        <v>29</v>
      </c>
      <c r="O826">
        <v>29</v>
      </c>
      <c r="P826">
        <v>29</v>
      </c>
      <c r="Q826">
        <v>1</v>
      </c>
      <c r="W826"/>
      <c r="X826"/>
      <c r="Y826"/>
    </row>
    <row r="827" spans="1:25" x14ac:dyDescent="0.3">
      <c r="A827" t="str">
        <f>Table_Capacity_HD_frontsheet[[#This Row],[Name]]&amp;B827</f>
        <v>St. HelensShort-term residential/nursing care for someone likely to require a longer-term care home placement (pathway 3)</v>
      </c>
      <c r="B827" t="str">
        <f>VLOOKUP(Table_Capacity_HD_frontsheet[[#This Row],[Service Area]],PathwayLookup!A:B,2,0)</f>
        <v>Short-term residential/nursing care for someone likely to require a longer-term care home placement (pathway 3)</v>
      </c>
      <c r="C827" t="s">
        <v>299</v>
      </c>
      <c r="D827" t="s">
        <v>731</v>
      </c>
      <c r="E827">
        <v>85</v>
      </c>
      <c r="F827">
        <v>67</v>
      </c>
      <c r="G827">
        <v>77</v>
      </c>
      <c r="H827">
        <v>75</v>
      </c>
      <c r="I827">
        <v>87</v>
      </c>
      <c r="J827">
        <v>67</v>
      </c>
      <c r="K827">
        <v>81</v>
      </c>
      <c r="L827">
        <v>80</v>
      </c>
      <c r="M827">
        <v>60</v>
      </c>
      <c r="N827">
        <v>76</v>
      </c>
      <c r="O827">
        <v>74</v>
      </c>
      <c r="P827">
        <v>58</v>
      </c>
      <c r="Q827">
        <v>0.72</v>
      </c>
      <c r="R827">
        <v>0.28000000000000003</v>
      </c>
      <c r="W827"/>
      <c r="X827"/>
      <c r="Y827"/>
    </row>
    <row r="828" spans="1:25" x14ac:dyDescent="0.3">
      <c r="A828" t="str">
        <f>Table_Capacity_HD_frontsheet[[#This Row],[Name]]&amp;B828</f>
        <v>StaffordshireSocial support (including VCS) (pathway 0)</v>
      </c>
      <c r="B828" t="str">
        <f>VLOOKUP(Table_Capacity_HD_frontsheet[[#This Row],[Service Area]],PathwayLookup!A:B,2,0)</f>
        <v>Social support (including VCS) (pathway 0)</v>
      </c>
      <c r="C828" t="s">
        <v>301</v>
      </c>
      <c r="D828" t="s">
        <v>726</v>
      </c>
      <c r="E828">
        <v>4567</v>
      </c>
      <c r="F828">
        <v>4973</v>
      </c>
      <c r="G828">
        <v>4837</v>
      </c>
      <c r="H828">
        <v>4760</v>
      </c>
      <c r="I828">
        <v>4842</v>
      </c>
      <c r="J828">
        <v>4804</v>
      </c>
      <c r="K828">
        <v>4940</v>
      </c>
      <c r="L828">
        <v>5121</v>
      </c>
      <c r="M828">
        <v>5034</v>
      </c>
      <c r="N828">
        <v>5164</v>
      </c>
      <c r="O828">
        <v>4812</v>
      </c>
      <c r="P828">
        <v>5437</v>
      </c>
      <c r="W828"/>
      <c r="X828"/>
      <c r="Y828"/>
    </row>
    <row r="829" spans="1:25" x14ac:dyDescent="0.3">
      <c r="A829" t="str">
        <f>Table_Capacity_HD_frontsheet[[#This Row],[Name]]&amp;B829</f>
        <v>StaffordshireReablement &amp; Rehabilitation at home  (pathway 1)</v>
      </c>
      <c r="B829" t="str">
        <f>VLOOKUP(Table_Capacity_HD_frontsheet[[#This Row],[Service Area]],PathwayLookup!A:B,2,0)</f>
        <v>Reablement &amp; Rehabilitation at home  (pathway 1)</v>
      </c>
      <c r="C829" t="s">
        <v>301</v>
      </c>
      <c r="D829" t="s">
        <v>728</v>
      </c>
      <c r="E829">
        <v>696</v>
      </c>
      <c r="F829">
        <v>768</v>
      </c>
      <c r="G829">
        <v>741</v>
      </c>
      <c r="H829">
        <v>733</v>
      </c>
      <c r="I829">
        <v>729</v>
      </c>
      <c r="J829">
        <v>692</v>
      </c>
      <c r="K829">
        <v>732</v>
      </c>
      <c r="L829">
        <v>719</v>
      </c>
      <c r="M829">
        <v>674</v>
      </c>
      <c r="N829">
        <v>760</v>
      </c>
      <c r="O829">
        <v>702</v>
      </c>
      <c r="P829">
        <v>781</v>
      </c>
      <c r="W829"/>
      <c r="X829"/>
      <c r="Y829"/>
    </row>
    <row r="830" spans="1:25" x14ac:dyDescent="0.3">
      <c r="A830" t="str">
        <f>Table_Capacity_HD_frontsheet[[#This Row],[Name]]&amp;B830</f>
        <v>StaffordshireReablement &amp; Rehabilitation at home  (pathway 1)</v>
      </c>
      <c r="B830" t="str">
        <f>VLOOKUP(Table_Capacity_HD_frontsheet[[#This Row],[Service Area]],PathwayLookup!A:B,2,0)</f>
        <v>Reablement &amp; Rehabilitation at home  (pathway 1)</v>
      </c>
      <c r="C830" t="s">
        <v>301</v>
      </c>
      <c r="D830" t="s">
        <v>721</v>
      </c>
      <c r="E830">
        <v>0</v>
      </c>
      <c r="F830">
        <v>0</v>
      </c>
      <c r="G830">
        <v>0</v>
      </c>
      <c r="H830">
        <v>0</v>
      </c>
      <c r="I830">
        <v>0</v>
      </c>
      <c r="J830">
        <v>0</v>
      </c>
      <c r="K830">
        <v>0</v>
      </c>
      <c r="L830">
        <v>0</v>
      </c>
      <c r="M830">
        <v>0</v>
      </c>
      <c r="N830">
        <v>0</v>
      </c>
      <c r="O830">
        <v>0</v>
      </c>
      <c r="P830">
        <v>0</v>
      </c>
      <c r="W830"/>
      <c r="X830"/>
      <c r="Y830"/>
    </row>
    <row r="831" spans="1:25" x14ac:dyDescent="0.3">
      <c r="A831" t="str">
        <f>Table_Capacity_HD_frontsheet[[#This Row],[Name]]&amp;B831</f>
        <v>StaffordshireShort term domiciliary care (pathway 1)</v>
      </c>
      <c r="B831" t="str">
        <f>VLOOKUP(Table_Capacity_HD_frontsheet[[#This Row],[Service Area]],PathwayLookup!A:B,2,0)</f>
        <v>Short term domiciliary care (pathway 1)</v>
      </c>
      <c r="C831" t="s">
        <v>301</v>
      </c>
      <c r="D831" t="s">
        <v>730</v>
      </c>
      <c r="E831">
        <v>0</v>
      </c>
      <c r="F831">
        <v>0</v>
      </c>
      <c r="G831">
        <v>0</v>
      </c>
      <c r="H831">
        <v>0</v>
      </c>
      <c r="I831">
        <v>0</v>
      </c>
      <c r="J831">
        <v>0</v>
      </c>
      <c r="K831">
        <v>0</v>
      </c>
      <c r="L831">
        <v>0</v>
      </c>
      <c r="M831">
        <v>0</v>
      </c>
      <c r="N831">
        <v>0</v>
      </c>
      <c r="O831">
        <v>0</v>
      </c>
      <c r="P831">
        <v>0</v>
      </c>
      <c r="W831"/>
      <c r="X831"/>
      <c r="Y831"/>
    </row>
    <row r="832" spans="1:25" x14ac:dyDescent="0.3">
      <c r="A832" t="str">
        <f>Table_Capacity_HD_frontsheet[[#This Row],[Name]]&amp;B832</f>
        <v>StaffordshireReablement &amp; Rehabilitation in a bedded setting (pathway 2)</v>
      </c>
      <c r="B832" t="str">
        <f>VLOOKUP(Table_Capacity_HD_frontsheet[[#This Row],[Service Area]],PathwayLookup!A:B,2,0)</f>
        <v>Reablement &amp; Rehabilitation in a bedded setting (pathway 2)</v>
      </c>
      <c r="C832" t="s">
        <v>301</v>
      </c>
      <c r="D832" t="s">
        <v>723</v>
      </c>
      <c r="E832">
        <v>174</v>
      </c>
      <c r="F832">
        <v>191</v>
      </c>
      <c r="G832">
        <v>182</v>
      </c>
      <c r="H832">
        <v>174</v>
      </c>
      <c r="I832">
        <v>186</v>
      </c>
      <c r="J832">
        <v>180</v>
      </c>
      <c r="K832">
        <v>197</v>
      </c>
      <c r="L832">
        <v>193</v>
      </c>
      <c r="M832">
        <v>178</v>
      </c>
      <c r="N832">
        <v>216</v>
      </c>
      <c r="O832">
        <v>199</v>
      </c>
      <c r="P832">
        <v>225</v>
      </c>
      <c r="W832"/>
      <c r="X832"/>
      <c r="Y832"/>
    </row>
    <row r="833" spans="1:25" x14ac:dyDescent="0.3">
      <c r="A833" t="str">
        <f>Table_Capacity_HD_frontsheet[[#This Row],[Name]]&amp;B833</f>
        <v>StaffordshireReablement &amp; Rehabilitation in a bedded setting (pathway 2)</v>
      </c>
      <c r="B833" t="str">
        <f>VLOOKUP(Table_Capacity_HD_frontsheet[[#This Row],[Service Area]],PathwayLookup!A:B,2,0)</f>
        <v>Reablement &amp; Rehabilitation in a bedded setting (pathway 2)</v>
      </c>
      <c r="C833" t="s">
        <v>301</v>
      </c>
      <c r="D833" t="s">
        <v>725</v>
      </c>
      <c r="E833">
        <v>0</v>
      </c>
      <c r="F833">
        <v>0</v>
      </c>
      <c r="G833">
        <v>0</v>
      </c>
      <c r="H833">
        <v>0</v>
      </c>
      <c r="I833">
        <v>0</v>
      </c>
      <c r="J833">
        <v>0</v>
      </c>
      <c r="K833">
        <v>0</v>
      </c>
      <c r="L833">
        <v>0</v>
      </c>
      <c r="M833">
        <v>0</v>
      </c>
      <c r="N833">
        <v>0</v>
      </c>
      <c r="O833">
        <v>0</v>
      </c>
      <c r="P833">
        <v>0</v>
      </c>
      <c r="W833"/>
      <c r="X833"/>
      <c r="Y833"/>
    </row>
    <row r="834" spans="1:25" x14ac:dyDescent="0.3">
      <c r="A834" t="str">
        <f>Table_Capacity_HD_frontsheet[[#This Row],[Name]]&amp;B834</f>
        <v>StaffordshireShort-term residential/nursing care for someone likely to require a longer-term care home placement (pathway 3)</v>
      </c>
      <c r="B834" t="str">
        <f>VLOOKUP(Table_Capacity_HD_frontsheet[[#This Row],[Service Area]],PathwayLookup!A:B,2,0)</f>
        <v>Short-term residential/nursing care for someone likely to require a longer-term care home placement (pathway 3)</v>
      </c>
      <c r="C834" t="s">
        <v>301</v>
      </c>
      <c r="D834" t="s">
        <v>731</v>
      </c>
      <c r="E834">
        <v>294</v>
      </c>
      <c r="F834">
        <v>305</v>
      </c>
      <c r="G834">
        <v>272</v>
      </c>
      <c r="H834">
        <v>264</v>
      </c>
      <c r="I834">
        <v>252</v>
      </c>
      <c r="J834">
        <v>232</v>
      </c>
      <c r="K834">
        <v>246</v>
      </c>
      <c r="L834">
        <v>215</v>
      </c>
      <c r="M834">
        <v>192</v>
      </c>
      <c r="N834">
        <v>175</v>
      </c>
      <c r="O834">
        <v>142</v>
      </c>
      <c r="P834">
        <v>147</v>
      </c>
      <c r="W834"/>
      <c r="X834"/>
      <c r="Y834"/>
    </row>
    <row r="835" spans="1:25" x14ac:dyDescent="0.3">
      <c r="A835" t="str">
        <f>Table_Capacity_HD_frontsheet[[#This Row],[Name]]&amp;B835</f>
        <v>StockportSocial support (including VCS) (pathway 0)</v>
      </c>
      <c r="B835" t="str">
        <f>VLOOKUP(Table_Capacity_HD_frontsheet[[#This Row],[Service Area]],PathwayLookup!A:B,2,0)</f>
        <v>Social support (including VCS) (pathway 0)</v>
      </c>
      <c r="C835" t="s">
        <v>303</v>
      </c>
      <c r="D835" t="s">
        <v>726</v>
      </c>
      <c r="E835">
        <v>157</v>
      </c>
      <c r="F835">
        <v>146</v>
      </c>
      <c r="G835">
        <v>140</v>
      </c>
      <c r="H835">
        <v>133</v>
      </c>
      <c r="I835">
        <v>119</v>
      </c>
      <c r="J835">
        <v>135</v>
      </c>
      <c r="K835">
        <v>145</v>
      </c>
      <c r="L835">
        <v>171</v>
      </c>
      <c r="M835">
        <v>180</v>
      </c>
      <c r="N835">
        <v>145</v>
      </c>
      <c r="O835">
        <v>134</v>
      </c>
      <c r="P835">
        <v>121</v>
      </c>
      <c r="S835">
        <v>1</v>
      </c>
      <c r="W835"/>
      <c r="X835"/>
      <c r="Y835"/>
    </row>
    <row r="836" spans="1:25" x14ac:dyDescent="0.3">
      <c r="A836" t="str">
        <f>Table_Capacity_HD_frontsheet[[#This Row],[Name]]&amp;B836</f>
        <v>StockportReablement &amp; Rehabilitation at home  (pathway 1)</v>
      </c>
      <c r="B836" t="str">
        <f>VLOOKUP(Table_Capacity_HD_frontsheet[[#This Row],[Service Area]],PathwayLookup!A:B,2,0)</f>
        <v>Reablement &amp; Rehabilitation at home  (pathway 1)</v>
      </c>
      <c r="C836" t="s">
        <v>303</v>
      </c>
      <c r="D836" t="s">
        <v>728</v>
      </c>
      <c r="E836">
        <v>16</v>
      </c>
      <c r="F836">
        <v>15</v>
      </c>
      <c r="G836">
        <v>15</v>
      </c>
      <c r="H836">
        <v>14</v>
      </c>
      <c r="I836">
        <v>16</v>
      </c>
      <c r="J836">
        <v>16</v>
      </c>
      <c r="K836">
        <v>18</v>
      </c>
      <c r="L836">
        <v>17</v>
      </c>
      <c r="M836">
        <v>17</v>
      </c>
      <c r="N836">
        <v>18</v>
      </c>
      <c r="O836">
        <v>15</v>
      </c>
      <c r="P836">
        <v>18</v>
      </c>
      <c r="S836">
        <v>1</v>
      </c>
      <c r="W836"/>
      <c r="X836"/>
      <c r="Y836"/>
    </row>
    <row r="837" spans="1:25" x14ac:dyDescent="0.3">
      <c r="A837" t="str">
        <f>Table_Capacity_HD_frontsheet[[#This Row],[Name]]&amp;B837</f>
        <v>StockportReablement &amp; Rehabilitation at home  (pathway 1)</v>
      </c>
      <c r="B837" t="str">
        <f>VLOOKUP(Table_Capacity_HD_frontsheet[[#This Row],[Service Area]],PathwayLookup!A:B,2,0)</f>
        <v>Reablement &amp; Rehabilitation at home  (pathway 1)</v>
      </c>
      <c r="C837" t="s">
        <v>303</v>
      </c>
      <c r="D837" t="s">
        <v>721</v>
      </c>
      <c r="E837">
        <v>4</v>
      </c>
      <c r="F837">
        <v>5</v>
      </c>
      <c r="G837">
        <v>5</v>
      </c>
      <c r="H837">
        <v>5</v>
      </c>
      <c r="I837">
        <v>5</v>
      </c>
      <c r="J837">
        <v>5</v>
      </c>
      <c r="K837">
        <v>5</v>
      </c>
      <c r="L837">
        <v>5</v>
      </c>
      <c r="M837">
        <v>5</v>
      </c>
      <c r="N837">
        <v>5</v>
      </c>
      <c r="O837">
        <v>4</v>
      </c>
      <c r="P837">
        <v>5</v>
      </c>
      <c r="S837">
        <v>1</v>
      </c>
      <c r="W837"/>
      <c r="X837"/>
      <c r="Y837"/>
    </row>
    <row r="838" spans="1:25" x14ac:dyDescent="0.3">
      <c r="A838" t="str">
        <f>Table_Capacity_HD_frontsheet[[#This Row],[Name]]&amp;B838</f>
        <v>StockportShort term domiciliary care (pathway 1)</v>
      </c>
      <c r="B838" t="str">
        <f>VLOOKUP(Table_Capacity_HD_frontsheet[[#This Row],[Service Area]],PathwayLookup!A:B,2,0)</f>
        <v>Short term domiciliary care (pathway 1)</v>
      </c>
      <c r="C838" t="s">
        <v>303</v>
      </c>
      <c r="D838" t="s">
        <v>730</v>
      </c>
      <c r="E838">
        <v>293</v>
      </c>
      <c r="F838">
        <v>302</v>
      </c>
      <c r="G838">
        <v>291</v>
      </c>
      <c r="H838">
        <v>300</v>
      </c>
      <c r="I838">
        <v>280</v>
      </c>
      <c r="J838">
        <v>294</v>
      </c>
      <c r="K838">
        <v>305</v>
      </c>
      <c r="L838">
        <v>314</v>
      </c>
      <c r="M838">
        <v>301</v>
      </c>
      <c r="N838">
        <v>320</v>
      </c>
      <c r="O838">
        <v>280</v>
      </c>
      <c r="P838">
        <v>310</v>
      </c>
      <c r="S838">
        <v>1</v>
      </c>
      <c r="W838"/>
      <c r="X838"/>
      <c r="Y838"/>
    </row>
    <row r="839" spans="1:25" x14ac:dyDescent="0.3">
      <c r="A839" t="str">
        <f>Table_Capacity_HD_frontsheet[[#This Row],[Name]]&amp;B839</f>
        <v>StockportReablement &amp; Rehabilitation in a bedded setting (pathway 2)</v>
      </c>
      <c r="B839" t="str">
        <f>VLOOKUP(Table_Capacity_HD_frontsheet[[#This Row],[Service Area]],PathwayLookup!A:B,2,0)</f>
        <v>Reablement &amp; Rehabilitation in a bedded setting (pathway 2)</v>
      </c>
      <c r="C839" t="s">
        <v>303</v>
      </c>
      <c r="D839" t="s">
        <v>723</v>
      </c>
      <c r="E839">
        <v>48</v>
      </c>
      <c r="F839">
        <v>50</v>
      </c>
      <c r="G839">
        <v>56</v>
      </c>
      <c r="H839">
        <v>55</v>
      </c>
      <c r="I839">
        <v>55</v>
      </c>
      <c r="J839">
        <v>54</v>
      </c>
      <c r="K839">
        <v>55</v>
      </c>
      <c r="L839">
        <v>55</v>
      </c>
      <c r="M839">
        <v>60</v>
      </c>
      <c r="N839">
        <v>60</v>
      </c>
      <c r="O839">
        <v>60</v>
      </c>
      <c r="P839">
        <v>60</v>
      </c>
      <c r="S839">
        <v>1</v>
      </c>
      <c r="W839"/>
      <c r="X839"/>
      <c r="Y839"/>
    </row>
    <row r="840" spans="1:25" x14ac:dyDescent="0.3">
      <c r="A840" t="str">
        <f>Table_Capacity_HD_frontsheet[[#This Row],[Name]]&amp;B840</f>
        <v>StockportReablement &amp; Rehabilitation in a bedded setting (pathway 2)</v>
      </c>
      <c r="B840" t="str">
        <f>VLOOKUP(Table_Capacity_HD_frontsheet[[#This Row],[Service Area]],PathwayLookup!A:B,2,0)</f>
        <v>Reablement &amp; Rehabilitation in a bedded setting (pathway 2)</v>
      </c>
      <c r="C840" t="s">
        <v>303</v>
      </c>
      <c r="D840" t="s">
        <v>725</v>
      </c>
      <c r="E840">
        <v>62</v>
      </c>
      <c r="F840">
        <v>65</v>
      </c>
      <c r="G840">
        <v>65</v>
      </c>
      <c r="H840">
        <v>65</v>
      </c>
      <c r="I840">
        <v>62</v>
      </c>
      <c r="J840">
        <v>65</v>
      </c>
      <c r="K840">
        <v>67</v>
      </c>
      <c r="L840">
        <v>67</v>
      </c>
      <c r="M840">
        <v>75</v>
      </c>
      <c r="N840">
        <v>75</v>
      </c>
      <c r="O840">
        <v>72</v>
      </c>
      <c r="P840">
        <v>75</v>
      </c>
      <c r="S840">
        <v>1</v>
      </c>
      <c r="W840"/>
      <c r="X840"/>
      <c r="Y840"/>
    </row>
    <row r="841" spans="1:25" x14ac:dyDescent="0.3">
      <c r="A841" t="str">
        <f>Table_Capacity_HD_frontsheet[[#This Row],[Name]]&amp;B841</f>
        <v>StockportShort-term residential/nursing care for someone likely to require a longer-term care home placement (pathway 3)</v>
      </c>
      <c r="B841" t="str">
        <f>VLOOKUP(Table_Capacity_HD_frontsheet[[#This Row],[Service Area]],PathwayLookup!A:B,2,0)</f>
        <v>Short-term residential/nursing care for someone likely to require a longer-term care home placement (pathway 3)</v>
      </c>
      <c r="C841" t="s">
        <v>303</v>
      </c>
      <c r="D841" t="s">
        <v>731</v>
      </c>
      <c r="E841">
        <v>90</v>
      </c>
      <c r="F841">
        <v>101</v>
      </c>
      <c r="G841">
        <v>73</v>
      </c>
      <c r="H841">
        <v>67</v>
      </c>
      <c r="I841">
        <v>65</v>
      </c>
      <c r="J841">
        <v>67</v>
      </c>
      <c r="K841">
        <v>69</v>
      </c>
      <c r="L841">
        <v>73</v>
      </c>
      <c r="M841">
        <v>69</v>
      </c>
      <c r="N841">
        <v>58</v>
      </c>
      <c r="O841">
        <v>78</v>
      </c>
      <c r="P841">
        <v>86</v>
      </c>
      <c r="R841">
        <v>1</v>
      </c>
      <c r="W841"/>
      <c r="X841"/>
      <c r="Y841"/>
    </row>
    <row r="842" spans="1:25" x14ac:dyDescent="0.3">
      <c r="A842" t="str">
        <f>Table_Capacity_HD_frontsheet[[#This Row],[Name]]&amp;B842</f>
        <v>Stockton-on-TeesSocial support (including VCS) (pathway 0)</v>
      </c>
      <c r="B842" t="str">
        <f>VLOOKUP(Table_Capacity_HD_frontsheet[[#This Row],[Service Area]],PathwayLookup!A:B,2,0)</f>
        <v>Social support (including VCS) (pathway 0)</v>
      </c>
      <c r="C842" t="s">
        <v>305</v>
      </c>
      <c r="D842" t="s">
        <v>726</v>
      </c>
      <c r="E842">
        <v>0</v>
      </c>
      <c r="F842">
        <v>0</v>
      </c>
      <c r="G842">
        <v>0</v>
      </c>
      <c r="H842">
        <v>0</v>
      </c>
      <c r="I842">
        <v>0</v>
      </c>
      <c r="J842">
        <v>0</v>
      </c>
      <c r="K842">
        <v>0</v>
      </c>
      <c r="L842">
        <v>0</v>
      </c>
      <c r="M842">
        <v>0</v>
      </c>
      <c r="N842">
        <v>0</v>
      </c>
      <c r="O842">
        <v>0</v>
      </c>
      <c r="P842">
        <v>0</v>
      </c>
      <c r="Q842">
        <v>0</v>
      </c>
      <c r="R842">
        <v>0</v>
      </c>
      <c r="S842">
        <v>0</v>
      </c>
      <c r="W842"/>
      <c r="X842"/>
      <c r="Y842"/>
    </row>
    <row r="843" spans="1:25" x14ac:dyDescent="0.3">
      <c r="A843" t="str">
        <f>Table_Capacity_HD_frontsheet[[#This Row],[Name]]&amp;B843</f>
        <v>Stockton-on-TeesReablement &amp; Rehabilitation at home  (pathway 1)</v>
      </c>
      <c r="B843" t="str">
        <f>VLOOKUP(Table_Capacity_HD_frontsheet[[#This Row],[Service Area]],PathwayLookup!A:B,2,0)</f>
        <v>Reablement &amp; Rehabilitation at home  (pathway 1)</v>
      </c>
      <c r="C843" t="s">
        <v>305</v>
      </c>
      <c r="D843" t="s">
        <v>728</v>
      </c>
      <c r="E843">
        <v>82</v>
      </c>
      <c r="F843">
        <v>82</v>
      </c>
      <c r="G843">
        <v>104</v>
      </c>
      <c r="H843">
        <v>107</v>
      </c>
      <c r="I843">
        <v>106</v>
      </c>
      <c r="J843">
        <v>110</v>
      </c>
      <c r="K843">
        <v>112</v>
      </c>
      <c r="L843">
        <v>107</v>
      </c>
      <c r="M843">
        <v>87</v>
      </c>
      <c r="N843">
        <v>96</v>
      </c>
      <c r="O843">
        <v>91</v>
      </c>
      <c r="P843">
        <v>82</v>
      </c>
      <c r="Q843">
        <v>0.32</v>
      </c>
      <c r="R843">
        <v>0.68</v>
      </c>
      <c r="S843">
        <v>0</v>
      </c>
      <c r="W843"/>
      <c r="X843"/>
      <c r="Y843"/>
    </row>
    <row r="844" spans="1:25" x14ac:dyDescent="0.3">
      <c r="A844" t="str">
        <f>Table_Capacity_HD_frontsheet[[#This Row],[Name]]&amp;B844</f>
        <v>Stockton-on-TeesReablement &amp; Rehabilitation at home  (pathway 1)</v>
      </c>
      <c r="B844" t="str">
        <f>VLOOKUP(Table_Capacity_HD_frontsheet[[#This Row],[Service Area]],PathwayLookup!A:B,2,0)</f>
        <v>Reablement &amp; Rehabilitation at home  (pathway 1)</v>
      </c>
      <c r="C844" t="s">
        <v>305</v>
      </c>
      <c r="D844" t="s">
        <v>721</v>
      </c>
      <c r="E844">
        <v>26</v>
      </c>
      <c r="F844">
        <v>32</v>
      </c>
      <c r="G844">
        <v>11</v>
      </c>
      <c r="H844">
        <v>6</v>
      </c>
      <c r="I844">
        <v>19</v>
      </c>
      <c r="J844">
        <v>15</v>
      </c>
      <c r="K844">
        <v>19</v>
      </c>
      <c r="L844">
        <v>14</v>
      </c>
      <c r="M844">
        <v>19</v>
      </c>
      <c r="N844">
        <v>18</v>
      </c>
      <c r="O844">
        <v>8</v>
      </c>
      <c r="P844">
        <v>18</v>
      </c>
      <c r="Q844">
        <v>1</v>
      </c>
      <c r="R844">
        <v>0</v>
      </c>
      <c r="S844">
        <v>0</v>
      </c>
      <c r="W844"/>
      <c r="X844"/>
      <c r="Y844"/>
    </row>
    <row r="845" spans="1:25" x14ac:dyDescent="0.3">
      <c r="A845" t="str">
        <f>Table_Capacity_HD_frontsheet[[#This Row],[Name]]&amp;B845</f>
        <v>Stockton-on-TeesShort term domiciliary care (pathway 1)</v>
      </c>
      <c r="B845" t="str">
        <f>VLOOKUP(Table_Capacity_HD_frontsheet[[#This Row],[Service Area]],PathwayLookup!A:B,2,0)</f>
        <v>Short term domiciliary care (pathway 1)</v>
      </c>
      <c r="C845" t="s">
        <v>305</v>
      </c>
      <c r="D845" t="s">
        <v>730</v>
      </c>
      <c r="E845">
        <v>0</v>
      </c>
      <c r="F845">
        <v>0</v>
      </c>
      <c r="G845">
        <v>0</v>
      </c>
      <c r="H845">
        <v>0</v>
      </c>
      <c r="I845">
        <v>0</v>
      </c>
      <c r="J845">
        <v>0</v>
      </c>
      <c r="K845">
        <v>0</v>
      </c>
      <c r="L845">
        <v>0</v>
      </c>
      <c r="M845">
        <v>0</v>
      </c>
      <c r="N845">
        <v>0</v>
      </c>
      <c r="O845">
        <v>0</v>
      </c>
      <c r="P845">
        <v>0</v>
      </c>
      <c r="Q845">
        <v>0</v>
      </c>
      <c r="R845">
        <v>0</v>
      </c>
      <c r="S845">
        <v>0</v>
      </c>
      <c r="W845"/>
      <c r="X845"/>
      <c r="Y845"/>
    </row>
    <row r="846" spans="1:25" x14ac:dyDescent="0.3">
      <c r="A846" t="str">
        <f>Table_Capacity_HD_frontsheet[[#This Row],[Name]]&amp;B846</f>
        <v>Stockton-on-TeesReablement &amp; Rehabilitation in a bedded setting (pathway 2)</v>
      </c>
      <c r="B846" t="str">
        <f>VLOOKUP(Table_Capacity_HD_frontsheet[[#This Row],[Service Area]],PathwayLookup!A:B,2,0)</f>
        <v>Reablement &amp; Rehabilitation in a bedded setting (pathway 2)</v>
      </c>
      <c r="C846" t="s">
        <v>305</v>
      </c>
      <c r="D846" t="s">
        <v>723</v>
      </c>
      <c r="E846">
        <v>73</v>
      </c>
      <c r="F846">
        <v>76</v>
      </c>
      <c r="G846">
        <v>73</v>
      </c>
      <c r="H846">
        <v>76</v>
      </c>
      <c r="I846">
        <v>76</v>
      </c>
      <c r="J846">
        <v>73</v>
      </c>
      <c r="K846">
        <v>76</v>
      </c>
      <c r="L846">
        <v>73</v>
      </c>
      <c r="M846">
        <v>76</v>
      </c>
      <c r="N846">
        <v>76</v>
      </c>
      <c r="O846">
        <v>71</v>
      </c>
      <c r="P846">
        <v>76</v>
      </c>
      <c r="Q846">
        <v>0</v>
      </c>
      <c r="R846">
        <v>1</v>
      </c>
      <c r="S846">
        <v>0</v>
      </c>
      <c r="W846"/>
      <c r="X846"/>
      <c r="Y846"/>
    </row>
    <row r="847" spans="1:25" x14ac:dyDescent="0.3">
      <c r="A847" t="str">
        <f>Table_Capacity_HD_frontsheet[[#This Row],[Name]]&amp;B847</f>
        <v>Stockton-on-TeesReablement &amp; Rehabilitation in a bedded setting (pathway 2)</v>
      </c>
      <c r="B847" t="str">
        <f>VLOOKUP(Table_Capacity_HD_frontsheet[[#This Row],[Service Area]],PathwayLookup!A:B,2,0)</f>
        <v>Reablement &amp; Rehabilitation in a bedded setting (pathway 2)</v>
      </c>
      <c r="C847" t="s">
        <v>305</v>
      </c>
      <c r="D847" t="s">
        <v>725</v>
      </c>
      <c r="E847">
        <v>0</v>
      </c>
      <c r="F847">
        <v>0</v>
      </c>
      <c r="G847">
        <v>0</v>
      </c>
      <c r="H847">
        <v>0</v>
      </c>
      <c r="I847">
        <v>0</v>
      </c>
      <c r="J847">
        <v>0</v>
      </c>
      <c r="K847">
        <v>0</v>
      </c>
      <c r="L847">
        <v>0</v>
      </c>
      <c r="M847">
        <v>0</v>
      </c>
      <c r="N847">
        <v>0</v>
      </c>
      <c r="O847">
        <v>0</v>
      </c>
      <c r="P847">
        <v>0</v>
      </c>
      <c r="Q847">
        <v>0</v>
      </c>
      <c r="R847">
        <v>0</v>
      </c>
      <c r="S847">
        <v>0</v>
      </c>
      <c r="W847"/>
      <c r="X847"/>
      <c r="Y847"/>
    </row>
    <row r="848" spans="1:25" x14ac:dyDescent="0.3">
      <c r="A848" t="str">
        <f>Table_Capacity_HD_frontsheet[[#This Row],[Name]]&amp;B848</f>
        <v>Stockton-on-TeesShort-term residential/nursing care for someone likely to require a longer-term care home placement (pathway 3)</v>
      </c>
      <c r="B848" t="str">
        <f>VLOOKUP(Table_Capacity_HD_frontsheet[[#This Row],[Service Area]],PathwayLookup!A:B,2,0)</f>
        <v>Short-term residential/nursing care for someone likely to require a longer-term care home placement (pathway 3)</v>
      </c>
      <c r="C848" t="s">
        <v>305</v>
      </c>
      <c r="D848" t="s">
        <v>731</v>
      </c>
      <c r="E848">
        <v>8</v>
      </c>
      <c r="F848">
        <v>8</v>
      </c>
      <c r="G848">
        <v>8</v>
      </c>
      <c r="H848">
        <v>8</v>
      </c>
      <c r="I848">
        <v>8</v>
      </c>
      <c r="J848">
        <v>8</v>
      </c>
      <c r="K848">
        <v>8</v>
      </c>
      <c r="L848">
        <v>8</v>
      </c>
      <c r="M848">
        <v>8</v>
      </c>
      <c r="N848">
        <v>8</v>
      </c>
      <c r="O848">
        <v>8</v>
      </c>
      <c r="P848">
        <v>8</v>
      </c>
      <c r="Q848">
        <v>0</v>
      </c>
      <c r="R848">
        <v>1</v>
      </c>
      <c r="S848">
        <v>0</v>
      </c>
      <c r="W848"/>
      <c r="X848"/>
      <c r="Y848"/>
    </row>
    <row r="849" spans="1:25" x14ac:dyDescent="0.3">
      <c r="A849" t="str">
        <f>Table_Capacity_HD_frontsheet[[#This Row],[Name]]&amp;B849</f>
        <v>Stoke-on-TrentSocial support (including VCS) (pathway 0)</v>
      </c>
      <c r="B849" t="str">
        <f>VLOOKUP(Table_Capacity_HD_frontsheet[[#This Row],[Service Area]],PathwayLookup!A:B,2,0)</f>
        <v>Social support (including VCS) (pathway 0)</v>
      </c>
      <c r="C849" t="s">
        <v>307</v>
      </c>
      <c r="D849" t="s">
        <v>726</v>
      </c>
      <c r="E849">
        <v>4567</v>
      </c>
      <c r="F849">
        <v>4973</v>
      </c>
      <c r="G849">
        <v>4837</v>
      </c>
      <c r="H849">
        <v>4760</v>
      </c>
      <c r="I849">
        <v>4842</v>
      </c>
      <c r="J849">
        <v>4804</v>
      </c>
      <c r="K849">
        <v>4940</v>
      </c>
      <c r="L849">
        <v>5121</v>
      </c>
      <c r="M849">
        <v>5034</v>
      </c>
      <c r="N849">
        <v>5164</v>
      </c>
      <c r="O849">
        <v>4812</v>
      </c>
      <c r="P849">
        <v>5437</v>
      </c>
      <c r="W849"/>
      <c r="X849"/>
      <c r="Y849"/>
    </row>
    <row r="850" spans="1:25" x14ac:dyDescent="0.3">
      <c r="A850" t="str">
        <f>Table_Capacity_HD_frontsheet[[#This Row],[Name]]&amp;B850</f>
        <v>Stoke-on-TrentReablement &amp; Rehabilitation at home  (pathway 1)</v>
      </c>
      <c r="B850" t="str">
        <f>VLOOKUP(Table_Capacity_HD_frontsheet[[#This Row],[Service Area]],PathwayLookup!A:B,2,0)</f>
        <v>Reablement &amp; Rehabilitation at home  (pathway 1)</v>
      </c>
      <c r="C850" t="s">
        <v>307</v>
      </c>
      <c r="D850" t="s">
        <v>728</v>
      </c>
      <c r="E850">
        <v>696</v>
      </c>
      <c r="F850">
        <v>768</v>
      </c>
      <c r="G850">
        <v>741</v>
      </c>
      <c r="H850">
        <v>733</v>
      </c>
      <c r="I850">
        <v>729</v>
      </c>
      <c r="J850">
        <v>692</v>
      </c>
      <c r="K850">
        <v>732</v>
      </c>
      <c r="L850">
        <v>719</v>
      </c>
      <c r="M850">
        <v>674</v>
      </c>
      <c r="N850">
        <v>760</v>
      </c>
      <c r="O850">
        <v>702</v>
      </c>
      <c r="P850">
        <v>781</v>
      </c>
      <c r="W850"/>
      <c r="X850"/>
      <c r="Y850"/>
    </row>
    <row r="851" spans="1:25" x14ac:dyDescent="0.3">
      <c r="A851" t="str">
        <f>Table_Capacity_HD_frontsheet[[#This Row],[Name]]&amp;B851</f>
        <v>Stoke-on-TrentReablement &amp; Rehabilitation at home  (pathway 1)</v>
      </c>
      <c r="B851" t="str">
        <f>VLOOKUP(Table_Capacity_HD_frontsheet[[#This Row],[Service Area]],PathwayLookup!A:B,2,0)</f>
        <v>Reablement &amp; Rehabilitation at home  (pathway 1)</v>
      </c>
      <c r="C851" t="s">
        <v>307</v>
      </c>
      <c r="D851" t="s">
        <v>721</v>
      </c>
      <c r="E851">
        <v>0</v>
      </c>
      <c r="F851">
        <v>0</v>
      </c>
      <c r="G851">
        <v>0</v>
      </c>
      <c r="H851">
        <v>0</v>
      </c>
      <c r="I851">
        <v>0</v>
      </c>
      <c r="J851">
        <v>0</v>
      </c>
      <c r="K851">
        <v>0</v>
      </c>
      <c r="L851">
        <v>0</v>
      </c>
      <c r="M851">
        <v>0</v>
      </c>
      <c r="N851">
        <v>0</v>
      </c>
      <c r="O851">
        <v>0</v>
      </c>
      <c r="P851">
        <v>0</v>
      </c>
      <c r="W851"/>
      <c r="X851"/>
      <c r="Y851"/>
    </row>
    <row r="852" spans="1:25" x14ac:dyDescent="0.3">
      <c r="A852" t="str">
        <f>Table_Capacity_HD_frontsheet[[#This Row],[Name]]&amp;B852</f>
        <v>Stoke-on-TrentShort term domiciliary care (pathway 1)</v>
      </c>
      <c r="B852" t="str">
        <f>VLOOKUP(Table_Capacity_HD_frontsheet[[#This Row],[Service Area]],PathwayLookup!A:B,2,0)</f>
        <v>Short term domiciliary care (pathway 1)</v>
      </c>
      <c r="C852" t="s">
        <v>307</v>
      </c>
      <c r="D852" t="s">
        <v>730</v>
      </c>
      <c r="E852">
        <v>0</v>
      </c>
      <c r="F852">
        <v>0</v>
      </c>
      <c r="G852">
        <v>0</v>
      </c>
      <c r="H852">
        <v>0</v>
      </c>
      <c r="I852">
        <v>0</v>
      </c>
      <c r="J852">
        <v>0</v>
      </c>
      <c r="K852">
        <v>0</v>
      </c>
      <c r="L852">
        <v>0</v>
      </c>
      <c r="M852">
        <v>0</v>
      </c>
      <c r="N852">
        <v>0</v>
      </c>
      <c r="O852">
        <v>0</v>
      </c>
      <c r="P852">
        <v>0</v>
      </c>
      <c r="W852"/>
      <c r="X852"/>
      <c r="Y852"/>
    </row>
    <row r="853" spans="1:25" x14ac:dyDescent="0.3">
      <c r="A853" t="str">
        <f>Table_Capacity_HD_frontsheet[[#This Row],[Name]]&amp;B853</f>
        <v>Stoke-on-TrentReablement &amp; Rehabilitation in a bedded setting (pathway 2)</v>
      </c>
      <c r="B853" t="str">
        <f>VLOOKUP(Table_Capacity_HD_frontsheet[[#This Row],[Service Area]],PathwayLookup!A:B,2,0)</f>
        <v>Reablement &amp; Rehabilitation in a bedded setting (pathway 2)</v>
      </c>
      <c r="C853" t="s">
        <v>307</v>
      </c>
      <c r="D853" t="s">
        <v>723</v>
      </c>
      <c r="E853">
        <v>174</v>
      </c>
      <c r="F853">
        <v>191</v>
      </c>
      <c r="G853">
        <v>182</v>
      </c>
      <c r="H853">
        <v>174</v>
      </c>
      <c r="I853">
        <v>186</v>
      </c>
      <c r="J853">
        <v>180</v>
      </c>
      <c r="K853">
        <v>197</v>
      </c>
      <c r="L853">
        <v>193</v>
      </c>
      <c r="M853">
        <v>178</v>
      </c>
      <c r="N853">
        <v>216</v>
      </c>
      <c r="O853">
        <v>199</v>
      </c>
      <c r="P853">
        <v>225</v>
      </c>
      <c r="W853"/>
      <c r="X853"/>
      <c r="Y853"/>
    </row>
    <row r="854" spans="1:25" x14ac:dyDescent="0.3">
      <c r="A854" t="str">
        <f>Table_Capacity_HD_frontsheet[[#This Row],[Name]]&amp;B854</f>
        <v>Stoke-on-TrentReablement &amp; Rehabilitation in a bedded setting (pathway 2)</v>
      </c>
      <c r="B854" t="str">
        <f>VLOOKUP(Table_Capacity_HD_frontsheet[[#This Row],[Service Area]],PathwayLookup!A:B,2,0)</f>
        <v>Reablement &amp; Rehabilitation in a bedded setting (pathway 2)</v>
      </c>
      <c r="C854" t="s">
        <v>307</v>
      </c>
      <c r="D854" t="s">
        <v>725</v>
      </c>
      <c r="E854">
        <v>0</v>
      </c>
      <c r="F854">
        <v>0</v>
      </c>
      <c r="G854">
        <v>0</v>
      </c>
      <c r="H854">
        <v>0</v>
      </c>
      <c r="I854">
        <v>0</v>
      </c>
      <c r="J854">
        <v>0</v>
      </c>
      <c r="K854">
        <v>0</v>
      </c>
      <c r="L854">
        <v>0</v>
      </c>
      <c r="M854">
        <v>0</v>
      </c>
      <c r="N854">
        <v>0</v>
      </c>
      <c r="O854">
        <v>0</v>
      </c>
      <c r="P854">
        <v>0</v>
      </c>
      <c r="W854"/>
      <c r="X854"/>
      <c r="Y854"/>
    </row>
    <row r="855" spans="1:25" x14ac:dyDescent="0.3">
      <c r="A855" t="str">
        <f>Table_Capacity_HD_frontsheet[[#This Row],[Name]]&amp;B855</f>
        <v>Stoke-on-TrentShort-term residential/nursing care for someone likely to require a longer-term care home placement (pathway 3)</v>
      </c>
      <c r="B855" t="str">
        <f>VLOOKUP(Table_Capacity_HD_frontsheet[[#This Row],[Service Area]],PathwayLookup!A:B,2,0)</f>
        <v>Short-term residential/nursing care for someone likely to require a longer-term care home placement (pathway 3)</v>
      </c>
      <c r="C855" t="s">
        <v>307</v>
      </c>
      <c r="D855" t="s">
        <v>731</v>
      </c>
      <c r="E855">
        <v>294</v>
      </c>
      <c r="F855">
        <v>305</v>
      </c>
      <c r="G855">
        <v>272</v>
      </c>
      <c r="H855">
        <v>264</v>
      </c>
      <c r="I855">
        <v>252</v>
      </c>
      <c r="J855">
        <v>232</v>
      </c>
      <c r="K855">
        <v>246</v>
      </c>
      <c r="L855">
        <v>215</v>
      </c>
      <c r="M855">
        <v>192</v>
      </c>
      <c r="N855">
        <v>175</v>
      </c>
      <c r="O855">
        <v>142</v>
      </c>
      <c r="P855">
        <v>147</v>
      </c>
      <c r="W855"/>
      <c r="X855"/>
      <c r="Y855"/>
    </row>
    <row r="856" spans="1:25" x14ac:dyDescent="0.3">
      <c r="A856" t="str">
        <f>Table_Capacity_HD_frontsheet[[#This Row],[Name]]&amp;B856</f>
        <v>SuffolkSocial support (including VCS) (pathway 0)</v>
      </c>
      <c r="B856" t="str">
        <f>VLOOKUP(Table_Capacity_HD_frontsheet[[#This Row],[Service Area]],PathwayLookup!A:B,2,0)</f>
        <v>Social support (including VCS) (pathway 0)</v>
      </c>
      <c r="C856" t="s">
        <v>309</v>
      </c>
      <c r="D856" t="s">
        <v>726</v>
      </c>
      <c r="E856">
        <v>91</v>
      </c>
      <c r="F856">
        <v>91</v>
      </c>
      <c r="G856">
        <v>91</v>
      </c>
      <c r="H856">
        <v>91</v>
      </c>
      <c r="I856">
        <v>91</v>
      </c>
      <c r="J856">
        <v>91</v>
      </c>
      <c r="K856">
        <v>91</v>
      </c>
      <c r="L856">
        <v>91</v>
      </c>
      <c r="M856">
        <v>91</v>
      </c>
      <c r="N856">
        <v>91</v>
      </c>
      <c r="O856">
        <v>91</v>
      </c>
      <c r="P856">
        <v>91</v>
      </c>
      <c r="R856">
        <v>1</v>
      </c>
      <c r="W856"/>
      <c r="X856"/>
      <c r="Y856"/>
    </row>
    <row r="857" spans="1:25" x14ac:dyDescent="0.3">
      <c r="A857" t="str">
        <f>Table_Capacity_HD_frontsheet[[#This Row],[Name]]&amp;B857</f>
        <v>SuffolkReablement &amp; Rehabilitation at home  (pathway 1)</v>
      </c>
      <c r="B857" t="str">
        <f>VLOOKUP(Table_Capacity_HD_frontsheet[[#This Row],[Service Area]],PathwayLookup!A:B,2,0)</f>
        <v>Reablement &amp; Rehabilitation at home  (pathway 1)</v>
      </c>
      <c r="C857" t="s">
        <v>309</v>
      </c>
      <c r="D857" t="s">
        <v>728</v>
      </c>
      <c r="E857">
        <v>360</v>
      </c>
      <c r="F857">
        <v>394</v>
      </c>
      <c r="G857">
        <v>403</v>
      </c>
      <c r="H857">
        <v>374</v>
      </c>
      <c r="I857">
        <v>406</v>
      </c>
      <c r="J857">
        <v>395</v>
      </c>
      <c r="K857">
        <v>408</v>
      </c>
      <c r="L857">
        <v>396</v>
      </c>
      <c r="M857">
        <v>389</v>
      </c>
      <c r="N857">
        <v>417</v>
      </c>
      <c r="O857">
        <v>401</v>
      </c>
      <c r="P857">
        <v>417</v>
      </c>
      <c r="Q857">
        <v>0.05</v>
      </c>
      <c r="R857">
        <v>0.95</v>
      </c>
      <c r="W857"/>
      <c r="X857"/>
      <c r="Y857"/>
    </row>
    <row r="858" spans="1:25" x14ac:dyDescent="0.3">
      <c r="A858" t="str">
        <f>Table_Capacity_HD_frontsheet[[#This Row],[Name]]&amp;B858</f>
        <v>SuffolkReablement &amp; Rehabilitation at home  (pathway 1)</v>
      </c>
      <c r="B858" t="str">
        <f>VLOOKUP(Table_Capacity_HD_frontsheet[[#This Row],[Service Area]],PathwayLookup!A:B,2,0)</f>
        <v>Reablement &amp; Rehabilitation at home  (pathway 1)</v>
      </c>
      <c r="C858" t="s">
        <v>309</v>
      </c>
      <c r="D858" t="s">
        <v>721</v>
      </c>
      <c r="E858">
        <v>503</v>
      </c>
      <c r="F858">
        <v>504</v>
      </c>
      <c r="G858">
        <v>476</v>
      </c>
      <c r="H858">
        <v>460</v>
      </c>
      <c r="I858">
        <v>459</v>
      </c>
      <c r="J858">
        <v>462</v>
      </c>
      <c r="K858">
        <v>487</v>
      </c>
      <c r="L858">
        <v>461</v>
      </c>
      <c r="M858">
        <v>469</v>
      </c>
      <c r="N858">
        <v>536</v>
      </c>
      <c r="O858">
        <v>496</v>
      </c>
      <c r="P858">
        <v>523</v>
      </c>
      <c r="Q858">
        <v>1</v>
      </c>
      <c r="W858"/>
      <c r="X858"/>
      <c r="Y858"/>
    </row>
    <row r="859" spans="1:25" x14ac:dyDescent="0.3">
      <c r="A859" t="str">
        <f>Table_Capacity_HD_frontsheet[[#This Row],[Name]]&amp;B859</f>
        <v>SuffolkShort term domiciliary care (pathway 1)</v>
      </c>
      <c r="B859" t="str">
        <f>VLOOKUP(Table_Capacity_HD_frontsheet[[#This Row],[Service Area]],PathwayLookup!A:B,2,0)</f>
        <v>Short term domiciliary care (pathway 1)</v>
      </c>
      <c r="C859" t="s">
        <v>309</v>
      </c>
      <c r="D859" t="s">
        <v>730</v>
      </c>
      <c r="E859">
        <v>19</v>
      </c>
      <c r="F859">
        <v>21</v>
      </c>
      <c r="G859">
        <v>11</v>
      </c>
      <c r="H859">
        <v>16</v>
      </c>
      <c r="I859">
        <v>21</v>
      </c>
      <c r="J859">
        <v>18</v>
      </c>
      <c r="K859">
        <v>21</v>
      </c>
      <c r="L859">
        <v>14</v>
      </c>
      <c r="M859">
        <v>32</v>
      </c>
      <c r="N859">
        <v>21</v>
      </c>
      <c r="O859">
        <v>14</v>
      </c>
      <c r="P859">
        <v>30</v>
      </c>
      <c r="R859">
        <v>1</v>
      </c>
      <c r="W859"/>
      <c r="X859"/>
      <c r="Y859"/>
    </row>
    <row r="860" spans="1:25" x14ac:dyDescent="0.3">
      <c r="A860" t="str">
        <f>Table_Capacity_HD_frontsheet[[#This Row],[Name]]&amp;B860</f>
        <v>SuffolkReablement &amp; Rehabilitation in a bedded setting (pathway 2)</v>
      </c>
      <c r="B860" t="str">
        <f>VLOOKUP(Table_Capacity_HD_frontsheet[[#This Row],[Service Area]],PathwayLookup!A:B,2,0)</f>
        <v>Reablement &amp; Rehabilitation in a bedded setting (pathway 2)</v>
      </c>
      <c r="C860" t="s">
        <v>309</v>
      </c>
      <c r="D860" t="s">
        <v>723</v>
      </c>
      <c r="E860">
        <v>175</v>
      </c>
      <c r="F860">
        <v>181</v>
      </c>
      <c r="G860">
        <v>175</v>
      </c>
      <c r="H860">
        <v>181</v>
      </c>
      <c r="I860">
        <v>181</v>
      </c>
      <c r="J860">
        <v>175</v>
      </c>
      <c r="K860">
        <v>181</v>
      </c>
      <c r="L860">
        <v>175</v>
      </c>
      <c r="M860">
        <v>181</v>
      </c>
      <c r="N860">
        <v>181</v>
      </c>
      <c r="O860">
        <v>175</v>
      </c>
      <c r="P860">
        <v>181</v>
      </c>
      <c r="Q860">
        <v>0.05</v>
      </c>
      <c r="R860">
        <v>0.95</v>
      </c>
      <c r="W860"/>
      <c r="X860"/>
      <c r="Y860"/>
    </row>
    <row r="861" spans="1:25" x14ac:dyDescent="0.3">
      <c r="A861" t="str">
        <f>Table_Capacity_HD_frontsheet[[#This Row],[Name]]&amp;B861</f>
        <v>SuffolkReablement &amp; Rehabilitation in a bedded setting (pathway 2)</v>
      </c>
      <c r="B861" t="str">
        <f>VLOOKUP(Table_Capacity_HD_frontsheet[[#This Row],[Service Area]],PathwayLookup!A:B,2,0)</f>
        <v>Reablement &amp; Rehabilitation in a bedded setting (pathway 2)</v>
      </c>
      <c r="C861" t="s">
        <v>309</v>
      </c>
      <c r="D861" t="s">
        <v>725</v>
      </c>
      <c r="E861">
        <v>8</v>
      </c>
      <c r="F861">
        <v>8</v>
      </c>
      <c r="G861">
        <v>8</v>
      </c>
      <c r="H861">
        <v>8</v>
      </c>
      <c r="I861">
        <v>8</v>
      </c>
      <c r="J861">
        <v>8</v>
      </c>
      <c r="K861">
        <v>8</v>
      </c>
      <c r="L861">
        <v>8</v>
      </c>
      <c r="M861">
        <v>8</v>
      </c>
      <c r="N861">
        <v>8</v>
      </c>
      <c r="O861">
        <v>8</v>
      </c>
      <c r="P861">
        <v>8</v>
      </c>
      <c r="Q861">
        <v>1</v>
      </c>
      <c r="W861"/>
      <c r="X861"/>
      <c r="Y861"/>
    </row>
    <row r="862" spans="1:25" x14ac:dyDescent="0.3">
      <c r="A862" t="str">
        <f>Table_Capacity_HD_frontsheet[[#This Row],[Name]]&amp;B862</f>
        <v>SuffolkShort-term residential/nursing care for someone likely to require a longer-term care home placement (pathway 3)</v>
      </c>
      <c r="B862" t="str">
        <f>VLOOKUP(Table_Capacity_HD_frontsheet[[#This Row],[Service Area]],PathwayLookup!A:B,2,0)</f>
        <v>Short-term residential/nursing care for someone likely to require a longer-term care home placement (pathway 3)</v>
      </c>
      <c r="C862" t="s">
        <v>309</v>
      </c>
      <c r="D862" t="s">
        <v>731</v>
      </c>
      <c r="E862">
        <v>14</v>
      </c>
      <c r="F862">
        <v>13</v>
      </c>
      <c r="G862">
        <v>6</v>
      </c>
      <c r="H862">
        <v>7</v>
      </c>
      <c r="I862">
        <v>6</v>
      </c>
      <c r="J862">
        <v>11</v>
      </c>
      <c r="K862">
        <v>15</v>
      </c>
      <c r="L862">
        <v>10</v>
      </c>
      <c r="M862">
        <v>6</v>
      </c>
      <c r="N862">
        <v>20</v>
      </c>
      <c r="O862">
        <v>11</v>
      </c>
      <c r="P862">
        <v>9</v>
      </c>
      <c r="Q862">
        <v>0.5</v>
      </c>
      <c r="R862">
        <v>0.5</v>
      </c>
      <c r="W862"/>
      <c r="X862"/>
      <c r="Y862"/>
    </row>
    <row r="863" spans="1:25" x14ac:dyDescent="0.3">
      <c r="A863" t="str">
        <f>Table_Capacity_HD_frontsheet[[#This Row],[Name]]&amp;B863</f>
        <v>SunderlandSocial support (including VCS) (pathway 0)</v>
      </c>
      <c r="B863" t="str">
        <f>VLOOKUP(Table_Capacity_HD_frontsheet[[#This Row],[Service Area]],PathwayLookup!A:B,2,0)</f>
        <v>Social support (including VCS) (pathway 0)</v>
      </c>
      <c r="C863" t="s">
        <v>311</v>
      </c>
      <c r="D863" t="s">
        <v>726</v>
      </c>
      <c r="E863">
        <v>39</v>
      </c>
      <c r="F863">
        <v>39</v>
      </c>
      <c r="G863">
        <v>39</v>
      </c>
      <c r="H863">
        <v>39</v>
      </c>
      <c r="I863">
        <v>39</v>
      </c>
      <c r="J863">
        <v>39</v>
      </c>
      <c r="K863">
        <v>39</v>
      </c>
      <c r="L863">
        <v>39</v>
      </c>
      <c r="M863">
        <v>39</v>
      </c>
      <c r="N863">
        <v>39</v>
      </c>
      <c r="O863">
        <v>39</v>
      </c>
      <c r="P863">
        <v>36</v>
      </c>
      <c r="Q863">
        <v>0.5</v>
      </c>
      <c r="R863">
        <v>0.5</v>
      </c>
      <c r="W863"/>
      <c r="X863"/>
      <c r="Y863"/>
    </row>
    <row r="864" spans="1:25" x14ac:dyDescent="0.3">
      <c r="A864" t="str">
        <f>Table_Capacity_HD_frontsheet[[#This Row],[Name]]&amp;B864</f>
        <v>SunderlandReablement &amp; Rehabilitation at home  (pathway 1)</v>
      </c>
      <c r="B864" t="str">
        <f>VLOOKUP(Table_Capacity_HD_frontsheet[[#This Row],[Service Area]],PathwayLookup!A:B,2,0)</f>
        <v>Reablement &amp; Rehabilitation at home  (pathway 1)</v>
      </c>
      <c r="C864" t="s">
        <v>311</v>
      </c>
      <c r="D864" t="s">
        <v>728</v>
      </c>
      <c r="E864">
        <v>44</v>
      </c>
      <c r="F864">
        <v>44</v>
      </c>
      <c r="G864">
        <v>44</v>
      </c>
      <c r="H864">
        <v>44</v>
      </c>
      <c r="I864">
        <v>44</v>
      </c>
      <c r="J864">
        <v>44</v>
      </c>
      <c r="K864">
        <v>44</v>
      </c>
      <c r="L864">
        <v>44</v>
      </c>
      <c r="M864">
        <v>44</v>
      </c>
      <c r="N864">
        <v>44</v>
      </c>
      <c r="O864">
        <v>44</v>
      </c>
      <c r="P864">
        <v>44</v>
      </c>
      <c r="R864">
        <v>1</v>
      </c>
      <c r="W864"/>
      <c r="X864"/>
      <c r="Y864"/>
    </row>
    <row r="865" spans="1:25" x14ac:dyDescent="0.3">
      <c r="A865" t="str">
        <f>Table_Capacity_HD_frontsheet[[#This Row],[Name]]&amp;B865</f>
        <v>SunderlandReablement &amp; Rehabilitation at home  (pathway 1)</v>
      </c>
      <c r="B865" t="str">
        <f>VLOOKUP(Table_Capacity_HD_frontsheet[[#This Row],[Service Area]],PathwayLookup!A:B,2,0)</f>
        <v>Reablement &amp; Rehabilitation at home  (pathway 1)</v>
      </c>
      <c r="C865" t="s">
        <v>311</v>
      </c>
      <c r="D865" t="s">
        <v>721</v>
      </c>
      <c r="W865"/>
      <c r="X865"/>
      <c r="Y865"/>
    </row>
    <row r="866" spans="1:25" x14ac:dyDescent="0.3">
      <c r="A866" t="str">
        <f>Table_Capacity_HD_frontsheet[[#This Row],[Name]]&amp;B866</f>
        <v>SunderlandShort term domiciliary care (pathway 1)</v>
      </c>
      <c r="B866" t="str">
        <f>VLOOKUP(Table_Capacity_HD_frontsheet[[#This Row],[Service Area]],PathwayLookup!A:B,2,0)</f>
        <v>Short term domiciliary care (pathway 1)</v>
      </c>
      <c r="C866" t="s">
        <v>311</v>
      </c>
      <c r="D866" t="s">
        <v>730</v>
      </c>
      <c r="W866"/>
      <c r="X866"/>
      <c r="Y866"/>
    </row>
    <row r="867" spans="1:25" x14ac:dyDescent="0.3">
      <c r="A867" t="str">
        <f>Table_Capacity_HD_frontsheet[[#This Row],[Name]]&amp;B867</f>
        <v>SunderlandReablement &amp; Rehabilitation in a bedded setting (pathway 2)</v>
      </c>
      <c r="B867" t="str">
        <f>VLOOKUP(Table_Capacity_HD_frontsheet[[#This Row],[Service Area]],PathwayLookup!A:B,2,0)</f>
        <v>Reablement &amp; Rehabilitation in a bedded setting (pathway 2)</v>
      </c>
      <c r="C867" t="s">
        <v>311</v>
      </c>
      <c r="D867" t="s">
        <v>723</v>
      </c>
      <c r="E867">
        <v>60</v>
      </c>
      <c r="F867">
        <v>56</v>
      </c>
      <c r="G867">
        <v>57</v>
      </c>
      <c r="H867">
        <v>58</v>
      </c>
      <c r="I867">
        <v>59</v>
      </c>
      <c r="J867">
        <v>60</v>
      </c>
      <c r="K867">
        <v>61</v>
      </c>
      <c r="L867">
        <v>60</v>
      </c>
      <c r="M867">
        <v>59</v>
      </c>
      <c r="N867">
        <v>59</v>
      </c>
      <c r="O867">
        <v>56</v>
      </c>
      <c r="P867">
        <v>57</v>
      </c>
      <c r="Q867">
        <v>0.5</v>
      </c>
      <c r="R867">
        <v>0.5</v>
      </c>
      <c r="W867"/>
      <c r="X867"/>
      <c r="Y867"/>
    </row>
    <row r="868" spans="1:25" x14ac:dyDescent="0.3">
      <c r="A868" t="str">
        <f>Table_Capacity_HD_frontsheet[[#This Row],[Name]]&amp;B868</f>
        <v>SunderlandReablement &amp; Rehabilitation in a bedded setting (pathway 2)</v>
      </c>
      <c r="B868" t="str">
        <f>VLOOKUP(Table_Capacity_HD_frontsheet[[#This Row],[Service Area]],PathwayLookup!A:B,2,0)</f>
        <v>Reablement &amp; Rehabilitation in a bedded setting (pathway 2)</v>
      </c>
      <c r="C868" t="s">
        <v>311</v>
      </c>
      <c r="D868" t="s">
        <v>725</v>
      </c>
      <c r="W868"/>
      <c r="X868"/>
      <c r="Y868"/>
    </row>
    <row r="869" spans="1:25" x14ac:dyDescent="0.3">
      <c r="A869" t="str">
        <f>Table_Capacity_HD_frontsheet[[#This Row],[Name]]&amp;B869</f>
        <v>SunderlandShort-term residential/nursing care for someone likely to require a longer-term care home placement (pathway 3)</v>
      </c>
      <c r="B869" t="str">
        <f>VLOOKUP(Table_Capacity_HD_frontsheet[[#This Row],[Service Area]],PathwayLookup!A:B,2,0)</f>
        <v>Short-term residential/nursing care for someone likely to require a longer-term care home placement (pathway 3)</v>
      </c>
      <c r="C869" t="s">
        <v>311</v>
      </c>
      <c r="D869" t="s">
        <v>731</v>
      </c>
      <c r="E869">
        <v>80</v>
      </c>
      <c r="F869">
        <v>80</v>
      </c>
      <c r="G869">
        <v>80</v>
      </c>
      <c r="H869">
        <v>80</v>
      </c>
      <c r="I869">
        <v>80</v>
      </c>
      <c r="J869">
        <v>80</v>
      </c>
      <c r="K869">
        <v>80</v>
      </c>
      <c r="L869">
        <v>80</v>
      </c>
      <c r="M869">
        <v>80</v>
      </c>
      <c r="N869">
        <v>80</v>
      </c>
      <c r="O869">
        <v>80</v>
      </c>
      <c r="P869">
        <v>80</v>
      </c>
      <c r="R869">
        <v>1</v>
      </c>
      <c r="W869"/>
      <c r="X869"/>
      <c r="Y869"/>
    </row>
    <row r="870" spans="1:25" x14ac:dyDescent="0.3">
      <c r="A870" t="str">
        <f>Table_Capacity_HD_frontsheet[[#This Row],[Name]]&amp;B870</f>
        <v>SurreySocial support (including VCS) (pathway 0)</v>
      </c>
      <c r="B870" t="str">
        <f>VLOOKUP(Table_Capacity_HD_frontsheet[[#This Row],[Service Area]],PathwayLookup!A:B,2,0)</f>
        <v>Social support (including VCS) (pathway 0)</v>
      </c>
      <c r="C870" t="s">
        <v>313</v>
      </c>
      <c r="D870" t="s">
        <v>726</v>
      </c>
      <c r="E870">
        <v>28</v>
      </c>
      <c r="F870">
        <v>29</v>
      </c>
      <c r="G870">
        <v>28</v>
      </c>
      <c r="H870">
        <v>29</v>
      </c>
      <c r="I870">
        <v>29</v>
      </c>
      <c r="J870">
        <v>28</v>
      </c>
      <c r="K870">
        <v>29</v>
      </c>
      <c r="L870">
        <v>28</v>
      </c>
      <c r="M870">
        <v>29</v>
      </c>
      <c r="N870">
        <v>29</v>
      </c>
      <c r="O870">
        <v>26</v>
      </c>
      <c r="P870">
        <v>29</v>
      </c>
      <c r="S870">
        <v>1</v>
      </c>
      <c r="W870"/>
      <c r="X870"/>
      <c r="Y870"/>
    </row>
    <row r="871" spans="1:25" x14ac:dyDescent="0.3">
      <c r="A871" t="str">
        <f>Table_Capacity_HD_frontsheet[[#This Row],[Name]]&amp;B871</f>
        <v>SurreyReablement &amp; Rehabilitation at home  (pathway 1)</v>
      </c>
      <c r="B871" t="str">
        <f>VLOOKUP(Table_Capacity_HD_frontsheet[[#This Row],[Service Area]],PathwayLookup!A:B,2,0)</f>
        <v>Reablement &amp; Rehabilitation at home  (pathway 1)</v>
      </c>
      <c r="C871" t="s">
        <v>313</v>
      </c>
      <c r="D871" t="s">
        <v>728</v>
      </c>
      <c r="E871">
        <v>150</v>
      </c>
      <c r="F871">
        <v>155</v>
      </c>
      <c r="G871">
        <v>150</v>
      </c>
      <c r="H871">
        <v>155</v>
      </c>
      <c r="I871">
        <v>155</v>
      </c>
      <c r="J871">
        <v>150</v>
      </c>
      <c r="K871">
        <v>155</v>
      </c>
      <c r="L871">
        <v>150</v>
      </c>
      <c r="M871">
        <v>155</v>
      </c>
      <c r="N871">
        <v>155</v>
      </c>
      <c r="O871">
        <v>140</v>
      </c>
      <c r="P871">
        <v>155</v>
      </c>
      <c r="S871">
        <v>1</v>
      </c>
      <c r="W871"/>
      <c r="X871"/>
      <c r="Y871"/>
    </row>
    <row r="872" spans="1:25" x14ac:dyDescent="0.3">
      <c r="A872" t="str">
        <f>Table_Capacity_HD_frontsheet[[#This Row],[Name]]&amp;B872</f>
        <v>SurreyReablement &amp; Rehabilitation at home  (pathway 1)</v>
      </c>
      <c r="B872" t="str">
        <f>VLOOKUP(Table_Capacity_HD_frontsheet[[#This Row],[Service Area]],PathwayLookup!A:B,2,0)</f>
        <v>Reablement &amp; Rehabilitation at home  (pathway 1)</v>
      </c>
      <c r="C872" t="s">
        <v>313</v>
      </c>
      <c r="D872" t="s">
        <v>721</v>
      </c>
      <c r="E872">
        <v>0</v>
      </c>
      <c r="F872">
        <v>0</v>
      </c>
      <c r="G872">
        <v>0</v>
      </c>
      <c r="H872">
        <v>0</v>
      </c>
      <c r="I872">
        <v>0</v>
      </c>
      <c r="J872">
        <v>0</v>
      </c>
      <c r="K872">
        <v>0</v>
      </c>
      <c r="L872">
        <v>0</v>
      </c>
      <c r="M872">
        <v>0</v>
      </c>
      <c r="N872">
        <v>0</v>
      </c>
      <c r="O872">
        <v>0</v>
      </c>
      <c r="P872">
        <v>0</v>
      </c>
      <c r="W872"/>
      <c r="X872"/>
      <c r="Y872"/>
    </row>
    <row r="873" spans="1:25" x14ac:dyDescent="0.3">
      <c r="A873" t="str">
        <f>Table_Capacity_HD_frontsheet[[#This Row],[Name]]&amp;B873</f>
        <v>SurreyShort term domiciliary care (pathway 1)</v>
      </c>
      <c r="B873" t="str">
        <f>VLOOKUP(Table_Capacity_HD_frontsheet[[#This Row],[Service Area]],PathwayLookup!A:B,2,0)</f>
        <v>Short term domiciliary care (pathway 1)</v>
      </c>
      <c r="C873" t="s">
        <v>313</v>
      </c>
      <c r="D873" t="s">
        <v>730</v>
      </c>
      <c r="E873">
        <v>61</v>
      </c>
      <c r="F873">
        <v>63</v>
      </c>
      <c r="G873">
        <v>61</v>
      </c>
      <c r="H873">
        <v>63</v>
      </c>
      <c r="I873">
        <v>63</v>
      </c>
      <c r="J873">
        <v>61</v>
      </c>
      <c r="K873">
        <v>63</v>
      </c>
      <c r="L873">
        <v>61</v>
      </c>
      <c r="M873">
        <v>63</v>
      </c>
      <c r="N873">
        <v>63</v>
      </c>
      <c r="O873">
        <v>57</v>
      </c>
      <c r="P873">
        <v>63</v>
      </c>
      <c r="S873">
        <v>1</v>
      </c>
      <c r="W873"/>
      <c r="X873"/>
      <c r="Y873"/>
    </row>
    <row r="874" spans="1:25" x14ac:dyDescent="0.3">
      <c r="A874" t="str">
        <f>Table_Capacity_HD_frontsheet[[#This Row],[Name]]&amp;B874</f>
        <v>SurreyReablement &amp; Rehabilitation in a bedded setting (pathway 2)</v>
      </c>
      <c r="B874" t="str">
        <f>VLOOKUP(Table_Capacity_HD_frontsheet[[#This Row],[Service Area]],PathwayLookup!A:B,2,0)</f>
        <v>Reablement &amp; Rehabilitation in a bedded setting (pathway 2)</v>
      </c>
      <c r="C874" t="s">
        <v>313</v>
      </c>
      <c r="D874" t="s">
        <v>723</v>
      </c>
      <c r="E874">
        <v>701</v>
      </c>
      <c r="F874">
        <v>725</v>
      </c>
      <c r="G874">
        <v>701</v>
      </c>
      <c r="H874">
        <v>725</v>
      </c>
      <c r="I874">
        <v>725</v>
      </c>
      <c r="J874">
        <v>701</v>
      </c>
      <c r="K874">
        <v>725</v>
      </c>
      <c r="L874">
        <v>701</v>
      </c>
      <c r="M874">
        <v>725</v>
      </c>
      <c r="N874">
        <v>725</v>
      </c>
      <c r="O874">
        <v>655</v>
      </c>
      <c r="P874">
        <v>725</v>
      </c>
      <c r="S874">
        <v>1</v>
      </c>
      <c r="W874"/>
      <c r="X874"/>
      <c r="Y874"/>
    </row>
    <row r="875" spans="1:25" x14ac:dyDescent="0.3">
      <c r="A875" t="str">
        <f>Table_Capacity_HD_frontsheet[[#This Row],[Name]]&amp;B875</f>
        <v>SurreyReablement &amp; Rehabilitation in a bedded setting (pathway 2)</v>
      </c>
      <c r="B875" t="str">
        <f>VLOOKUP(Table_Capacity_HD_frontsheet[[#This Row],[Service Area]],PathwayLookup!A:B,2,0)</f>
        <v>Reablement &amp; Rehabilitation in a bedded setting (pathway 2)</v>
      </c>
      <c r="C875" t="s">
        <v>313</v>
      </c>
      <c r="D875" t="s">
        <v>725</v>
      </c>
      <c r="E875">
        <v>0</v>
      </c>
      <c r="F875">
        <v>0</v>
      </c>
      <c r="G875">
        <v>0</v>
      </c>
      <c r="H875">
        <v>0</v>
      </c>
      <c r="I875">
        <v>0</v>
      </c>
      <c r="J875">
        <v>0</v>
      </c>
      <c r="K875">
        <v>0</v>
      </c>
      <c r="L875">
        <v>0</v>
      </c>
      <c r="M875">
        <v>0</v>
      </c>
      <c r="N875">
        <v>0</v>
      </c>
      <c r="O875">
        <v>0</v>
      </c>
      <c r="P875">
        <v>0</v>
      </c>
      <c r="W875"/>
      <c r="X875"/>
      <c r="Y875"/>
    </row>
    <row r="876" spans="1:25" x14ac:dyDescent="0.3">
      <c r="A876" t="str">
        <f>Table_Capacity_HD_frontsheet[[#This Row],[Name]]&amp;B876</f>
        <v>SurreyShort-term residential/nursing care for someone likely to require a longer-term care home placement (pathway 3)</v>
      </c>
      <c r="B876" t="str">
        <f>VLOOKUP(Table_Capacity_HD_frontsheet[[#This Row],[Service Area]],PathwayLookup!A:B,2,0)</f>
        <v>Short-term residential/nursing care for someone likely to require a longer-term care home placement (pathway 3)</v>
      </c>
      <c r="C876" t="s">
        <v>313</v>
      </c>
      <c r="D876" t="s">
        <v>731</v>
      </c>
      <c r="E876">
        <v>0</v>
      </c>
      <c r="F876">
        <v>0</v>
      </c>
      <c r="G876">
        <v>0</v>
      </c>
      <c r="H876">
        <v>0</v>
      </c>
      <c r="I876">
        <v>0</v>
      </c>
      <c r="J876">
        <v>0</v>
      </c>
      <c r="K876">
        <v>0</v>
      </c>
      <c r="L876">
        <v>0</v>
      </c>
      <c r="M876">
        <v>0</v>
      </c>
      <c r="N876">
        <v>0</v>
      </c>
      <c r="O876">
        <v>0</v>
      </c>
      <c r="P876">
        <v>0</v>
      </c>
      <c r="W876"/>
      <c r="X876"/>
      <c r="Y876"/>
    </row>
    <row r="877" spans="1:25" x14ac:dyDescent="0.3">
      <c r="A877" t="str">
        <f>Table_Capacity_HD_frontsheet[[#This Row],[Name]]&amp;B877</f>
        <v>SuttonSocial support (including VCS) (pathway 0)</v>
      </c>
      <c r="B877" t="str">
        <f>VLOOKUP(Table_Capacity_HD_frontsheet[[#This Row],[Service Area]],PathwayLookup!A:B,2,0)</f>
        <v>Social support (including VCS) (pathway 0)</v>
      </c>
      <c r="C877" t="s">
        <v>315</v>
      </c>
      <c r="D877" t="s">
        <v>726</v>
      </c>
      <c r="E877">
        <v>31</v>
      </c>
      <c r="F877">
        <v>31</v>
      </c>
      <c r="G877">
        <v>31</v>
      </c>
      <c r="H877">
        <v>31</v>
      </c>
      <c r="I877">
        <v>31</v>
      </c>
      <c r="J877">
        <v>31</v>
      </c>
      <c r="K877">
        <v>31</v>
      </c>
      <c r="L877">
        <v>31</v>
      </c>
      <c r="M877">
        <v>31</v>
      </c>
      <c r="N877">
        <v>31</v>
      </c>
      <c r="O877">
        <v>31</v>
      </c>
      <c r="P877">
        <v>31</v>
      </c>
      <c r="Q877">
        <v>1</v>
      </c>
      <c r="W877"/>
      <c r="X877"/>
      <c r="Y877"/>
    </row>
    <row r="878" spans="1:25" x14ac:dyDescent="0.3">
      <c r="A878" t="str">
        <f>Table_Capacity_HD_frontsheet[[#This Row],[Name]]&amp;B878</f>
        <v>SuttonReablement &amp; Rehabilitation at home  (pathway 1)</v>
      </c>
      <c r="B878" t="str">
        <f>VLOOKUP(Table_Capacity_HD_frontsheet[[#This Row],[Service Area]],PathwayLookup!A:B,2,0)</f>
        <v>Reablement &amp; Rehabilitation at home  (pathway 1)</v>
      </c>
      <c r="C878" t="s">
        <v>315</v>
      </c>
      <c r="D878" t="s">
        <v>728</v>
      </c>
      <c r="E878">
        <v>50</v>
      </c>
      <c r="F878">
        <v>50</v>
      </c>
      <c r="G878">
        <v>50</v>
      </c>
      <c r="H878">
        <v>50</v>
      </c>
      <c r="I878">
        <v>50</v>
      </c>
      <c r="J878">
        <v>50</v>
      </c>
      <c r="K878">
        <v>50</v>
      </c>
      <c r="L878">
        <v>50</v>
      </c>
      <c r="M878">
        <v>50</v>
      </c>
      <c r="N878">
        <v>50</v>
      </c>
      <c r="O878">
        <v>50</v>
      </c>
      <c r="P878">
        <v>50</v>
      </c>
      <c r="Q878">
        <v>0.36</v>
      </c>
      <c r="R878">
        <v>0.64</v>
      </c>
      <c r="W878"/>
      <c r="X878"/>
      <c r="Y878"/>
    </row>
    <row r="879" spans="1:25" x14ac:dyDescent="0.3">
      <c r="A879" t="str">
        <f>Table_Capacity_HD_frontsheet[[#This Row],[Name]]&amp;B879</f>
        <v>SuttonReablement &amp; Rehabilitation at home  (pathway 1)</v>
      </c>
      <c r="B879" t="str">
        <f>VLOOKUP(Table_Capacity_HD_frontsheet[[#This Row],[Service Area]],PathwayLookup!A:B,2,0)</f>
        <v>Reablement &amp; Rehabilitation at home  (pathway 1)</v>
      </c>
      <c r="C879" t="s">
        <v>315</v>
      </c>
      <c r="D879" t="s">
        <v>721</v>
      </c>
      <c r="E879">
        <v>70</v>
      </c>
      <c r="F879">
        <v>70</v>
      </c>
      <c r="G879">
        <v>70</v>
      </c>
      <c r="H879">
        <v>70</v>
      </c>
      <c r="I879">
        <v>70</v>
      </c>
      <c r="J879">
        <v>70</v>
      </c>
      <c r="K879">
        <v>70</v>
      </c>
      <c r="L879">
        <v>70</v>
      </c>
      <c r="M879">
        <v>70</v>
      </c>
      <c r="N879">
        <v>70</v>
      </c>
      <c r="O879">
        <v>70</v>
      </c>
      <c r="P879">
        <v>70</v>
      </c>
      <c r="Q879">
        <v>1</v>
      </c>
      <c r="W879"/>
      <c r="X879"/>
      <c r="Y879"/>
    </row>
    <row r="880" spans="1:25" x14ac:dyDescent="0.3">
      <c r="A880" t="str">
        <f>Table_Capacity_HD_frontsheet[[#This Row],[Name]]&amp;B880</f>
        <v>SuttonShort term domiciliary care (pathway 1)</v>
      </c>
      <c r="B880" t="str">
        <f>VLOOKUP(Table_Capacity_HD_frontsheet[[#This Row],[Service Area]],PathwayLookup!A:B,2,0)</f>
        <v>Short term domiciliary care (pathway 1)</v>
      </c>
      <c r="C880" t="s">
        <v>315</v>
      </c>
      <c r="D880" t="s">
        <v>730</v>
      </c>
      <c r="E880">
        <v>42</v>
      </c>
      <c r="F880">
        <v>42</v>
      </c>
      <c r="G880">
        <v>42</v>
      </c>
      <c r="H880">
        <v>42</v>
      </c>
      <c r="I880">
        <v>42</v>
      </c>
      <c r="J880">
        <v>42</v>
      </c>
      <c r="K880">
        <v>42</v>
      </c>
      <c r="L880">
        <v>42</v>
      </c>
      <c r="M880">
        <v>42</v>
      </c>
      <c r="N880">
        <v>42</v>
      </c>
      <c r="O880">
        <v>42</v>
      </c>
      <c r="P880">
        <v>42</v>
      </c>
      <c r="R880">
        <v>1</v>
      </c>
      <c r="W880"/>
      <c r="X880"/>
      <c r="Y880"/>
    </row>
    <row r="881" spans="1:25" x14ac:dyDescent="0.3">
      <c r="A881" t="str">
        <f>Table_Capacity_HD_frontsheet[[#This Row],[Name]]&amp;B881</f>
        <v>SuttonReablement &amp; Rehabilitation in a bedded setting (pathway 2)</v>
      </c>
      <c r="B881" t="str">
        <f>VLOOKUP(Table_Capacity_HD_frontsheet[[#This Row],[Service Area]],PathwayLookup!A:B,2,0)</f>
        <v>Reablement &amp; Rehabilitation in a bedded setting (pathway 2)</v>
      </c>
      <c r="C881" t="s">
        <v>315</v>
      </c>
      <c r="D881" t="s">
        <v>723</v>
      </c>
      <c r="E881">
        <v>6</v>
      </c>
      <c r="F881">
        <v>6</v>
      </c>
      <c r="G881">
        <v>6</v>
      </c>
      <c r="H881">
        <v>6</v>
      </c>
      <c r="I881">
        <v>6</v>
      </c>
      <c r="J881">
        <v>6</v>
      </c>
      <c r="K881">
        <v>6</v>
      </c>
      <c r="L881">
        <v>6</v>
      </c>
      <c r="M881">
        <v>6</v>
      </c>
      <c r="N881">
        <v>6</v>
      </c>
      <c r="O881">
        <v>6</v>
      </c>
      <c r="P881">
        <v>6</v>
      </c>
      <c r="R881">
        <v>1</v>
      </c>
      <c r="W881"/>
      <c r="X881"/>
      <c r="Y881"/>
    </row>
    <row r="882" spans="1:25" x14ac:dyDescent="0.3">
      <c r="A882" t="str">
        <f>Table_Capacity_HD_frontsheet[[#This Row],[Name]]&amp;B882</f>
        <v>SuttonReablement &amp; Rehabilitation in a bedded setting (pathway 2)</v>
      </c>
      <c r="B882" t="str">
        <f>VLOOKUP(Table_Capacity_HD_frontsheet[[#This Row],[Service Area]],PathwayLookup!A:B,2,0)</f>
        <v>Reablement &amp; Rehabilitation in a bedded setting (pathway 2)</v>
      </c>
      <c r="C882" t="s">
        <v>315</v>
      </c>
      <c r="D882" t="s">
        <v>725</v>
      </c>
      <c r="E882">
        <v>11</v>
      </c>
      <c r="F882">
        <v>11</v>
      </c>
      <c r="G882">
        <v>11</v>
      </c>
      <c r="H882">
        <v>11</v>
      </c>
      <c r="I882">
        <v>11</v>
      </c>
      <c r="J882">
        <v>11</v>
      </c>
      <c r="K882">
        <v>13</v>
      </c>
      <c r="L882">
        <v>13</v>
      </c>
      <c r="M882">
        <v>13</v>
      </c>
      <c r="N882">
        <v>13</v>
      </c>
      <c r="O882">
        <v>13</v>
      </c>
      <c r="P882">
        <v>13</v>
      </c>
      <c r="Q882">
        <v>1</v>
      </c>
      <c r="W882"/>
      <c r="X882"/>
      <c r="Y882"/>
    </row>
    <row r="883" spans="1:25" x14ac:dyDescent="0.3">
      <c r="A883" t="str">
        <f>Table_Capacity_HD_frontsheet[[#This Row],[Name]]&amp;B883</f>
        <v>SuttonShort-term residential/nursing care for someone likely to require a longer-term care home placement (pathway 3)</v>
      </c>
      <c r="B883" t="str">
        <f>VLOOKUP(Table_Capacity_HD_frontsheet[[#This Row],[Service Area]],PathwayLookup!A:B,2,0)</f>
        <v>Short-term residential/nursing care for someone likely to require a longer-term care home placement (pathway 3)</v>
      </c>
      <c r="C883" t="s">
        <v>315</v>
      </c>
      <c r="D883" t="s">
        <v>731</v>
      </c>
      <c r="E883">
        <v>18</v>
      </c>
      <c r="F883">
        <v>18</v>
      </c>
      <c r="G883">
        <v>18</v>
      </c>
      <c r="H883">
        <v>18</v>
      </c>
      <c r="I883">
        <v>18</v>
      </c>
      <c r="J883">
        <v>18</v>
      </c>
      <c r="K883">
        <v>18</v>
      </c>
      <c r="L883">
        <v>18</v>
      </c>
      <c r="M883">
        <v>18</v>
      </c>
      <c r="N883">
        <v>18</v>
      </c>
      <c r="O883">
        <v>18</v>
      </c>
      <c r="P883">
        <v>18</v>
      </c>
      <c r="Q883">
        <v>0.7</v>
      </c>
      <c r="R883">
        <v>0.3</v>
      </c>
      <c r="W883"/>
      <c r="X883"/>
      <c r="Y883"/>
    </row>
    <row r="884" spans="1:25" x14ac:dyDescent="0.3">
      <c r="A884" t="str">
        <f>Table_Capacity_HD_frontsheet[[#This Row],[Name]]&amp;B884</f>
        <v>SwindonSocial support (including VCS) (pathway 0)</v>
      </c>
      <c r="B884" t="str">
        <f>VLOOKUP(Table_Capacity_HD_frontsheet[[#This Row],[Service Area]],PathwayLookup!A:B,2,0)</f>
        <v>Social support (including VCS) (pathway 0)</v>
      </c>
      <c r="C884" t="s">
        <v>317</v>
      </c>
      <c r="D884" t="s">
        <v>726</v>
      </c>
      <c r="E884">
        <v>1045</v>
      </c>
      <c r="F884">
        <v>1078</v>
      </c>
      <c r="G884">
        <v>1122</v>
      </c>
      <c r="H884">
        <v>1135</v>
      </c>
      <c r="I884">
        <v>1151</v>
      </c>
      <c r="J884">
        <v>1144</v>
      </c>
      <c r="K884">
        <v>1072</v>
      </c>
      <c r="L884">
        <v>1134</v>
      </c>
      <c r="M884">
        <v>1236</v>
      </c>
      <c r="N884">
        <v>1205</v>
      </c>
      <c r="O884">
        <v>1118</v>
      </c>
      <c r="P884">
        <v>1205</v>
      </c>
      <c r="Q884">
        <v>1</v>
      </c>
      <c r="W884"/>
      <c r="X884"/>
      <c r="Y884"/>
    </row>
    <row r="885" spans="1:25" x14ac:dyDescent="0.3">
      <c r="A885" t="str">
        <f>Table_Capacity_HD_frontsheet[[#This Row],[Name]]&amp;B885</f>
        <v>SwindonReablement &amp; Rehabilitation at home  (pathway 1)</v>
      </c>
      <c r="B885" t="str">
        <f>VLOOKUP(Table_Capacity_HD_frontsheet[[#This Row],[Service Area]],PathwayLookup!A:B,2,0)</f>
        <v>Reablement &amp; Rehabilitation at home  (pathway 1)</v>
      </c>
      <c r="C885" t="s">
        <v>317</v>
      </c>
      <c r="D885" t="s">
        <v>728</v>
      </c>
      <c r="E885">
        <v>15</v>
      </c>
      <c r="F885">
        <v>15</v>
      </c>
      <c r="G885">
        <v>15</v>
      </c>
      <c r="H885">
        <v>15</v>
      </c>
      <c r="I885">
        <v>15</v>
      </c>
      <c r="J885">
        <v>15</v>
      </c>
      <c r="K885">
        <v>15</v>
      </c>
      <c r="L885">
        <v>15</v>
      </c>
      <c r="M885">
        <v>15</v>
      </c>
      <c r="N885">
        <v>15</v>
      </c>
      <c r="O885">
        <v>15</v>
      </c>
      <c r="P885">
        <v>15</v>
      </c>
      <c r="R885">
        <v>1</v>
      </c>
      <c r="W885"/>
      <c r="X885"/>
      <c r="Y885"/>
    </row>
    <row r="886" spans="1:25" x14ac:dyDescent="0.3">
      <c r="A886" t="str">
        <f>Table_Capacity_HD_frontsheet[[#This Row],[Name]]&amp;B886</f>
        <v>SwindonReablement &amp; Rehabilitation at home  (pathway 1)</v>
      </c>
      <c r="B886" t="str">
        <f>VLOOKUP(Table_Capacity_HD_frontsheet[[#This Row],[Service Area]],PathwayLookup!A:B,2,0)</f>
        <v>Reablement &amp; Rehabilitation at home  (pathway 1)</v>
      </c>
      <c r="C886" t="s">
        <v>317</v>
      </c>
      <c r="D886" t="s">
        <v>721</v>
      </c>
      <c r="E886">
        <v>0</v>
      </c>
      <c r="F886">
        <v>0</v>
      </c>
      <c r="G886">
        <v>0</v>
      </c>
      <c r="H886">
        <v>0</v>
      </c>
      <c r="I886">
        <v>0</v>
      </c>
      <c r="J886">
        <v>0</v>
      </c>
      <c r="K886">
        <v>0</v>
      </c>
      <c r="L886">
        <v>0</v>
      </c>
      <c r="M886">
        <v>0</v>
      </c>
      <c r="N886">
        <v>0</v>
      </c>
      <c r="O886">
        <v>0</v>
      </c>
      <c r="P886">
        <v>0</v>
      </c>
      <c r="Q886">
        <v>1</v>
      </c>
      <c r="W886"/>
      <c r="X886"/>
      <c r="Y886"/>
    </row>
    <row r="887" spans="1:25" x14ac:dyDescent="0.3">
      <c r="A887" t="str">
        <f>Table_Capacity_HD_frontsheet[[#This Row],[Name]]&amp;B887</f>
        <v>SwindonShort term domiciliary care (pathway 1)</v>
      </c>
      <c r="B887" t="str">
        <f>VLOOKUP(Table_Capacity_HD_frontsheet[[#This Row],[Service Area]],PathwayLookup!A:B,2,0)</f>
        <v>Short term domiciliary care (pathway 1)</v>
      </c>
      <c r="C887" t="s">
        <v>317</v>
      </c>
      <c r="D887" t="s">
        <v>730</v>
      </c>
      <c r="E887">
        <v>35</v>
      </c>
      <c r="F887">
        <v>35</v>
      </c>
      <c r="G887">
        <v>35</v>
      </c>
      <c r="H887">
        <v>35</v>
      </c>
      <c r="I887">
        <v>35</v>
      </c>
      <c r="J887">
        <v>35</v>
      </c>
      <c r="K887">
        <v>35</v>
      </c>
      <c r="L887">
        <v>35</v>
      </c>
      <c r="M887">
        <v>35</v>
      </c>
      <c r="N887">
        <v>35</v>
      </c>
      <c r="O887">
        <v>35</v>
      </c>
      <c r="P887">
        <v>35</v>
      </c>
      <c r="R887">
        <v>1</v>
      </c>
      <c r="W887"/>
      <c r="X887"/>
      <c r="Y887"/>
    </row>
    <row r="888" spans="1:25" x14ac:dyDescent="0.3">
      <c r="A888" t="str">
        <f>Table_Capacity_HD_frontsheet[[#This Row],[Name]]&amp;B888</f>
        <v>SwindonReablement &amp; Rehabilitation in a bedded setting (pathway 2)</v>
      </c>
      <c r="B888" t="str">
        <f>VLOOKUP(Table_Capacity_HD_frontsheet[[#This Row],[Service Area]],PathwayLookup!A:B,2,0)</f>
        <v>Reablement &amp; Rehabilitation in a bedded setting (pathway 2)</v>
      </c>
      <c r="C888" t="s">
        <v>317</v>
      </c>
      <c r="D888" t="s">
        <v>723</v>
      </c>
      <c r="E888">
        <v>10</v>
      </c>
      <c r="F888">
        <v>10</v>
      </c>
      <c r="G888">
        <v>10</v>
      </c>
      <c r="H888">
        <v>10</v>
      </c>
      <c r="I888">
        <v>10</v>
      </c>
      <c r="J888">
        <v>10</v>
      </c>
      <c r="K888">
        <v>10</v>
      </c>
      <c r="L888">
        <v>10</v>
      </c>
      <c r="M888">
        <v>10</v>
      </c>
      <c r="N888">
        <v>10</v>
      </c>
      <c r="O888">
        <v>10</v>
      </c>
      <c r="P888">
        <v>10</v>
      </c>
      <c r="R888">
        <v>1</v>
      </c>
      <c r="W888"/>
      <c r="X888"/>
      <c r="Y888"/>
    </row>
    <row r="889" spans="1:25" x14ac:dyDescent="0.3">
      <c r="A889" t="str">
        <f>Table_Capacity_HD_frontsheet[[#This Row],[Name]]&amp;B889</f>
        <v>SwindonReablement &amp; Rehabilitation in a bedded setting (pathway 2)</v>
      </c>
      <c r="B889" t="str">
        <f>VLOOKUP(Table_Capacity_HD_frontsheet[[#This Row],[Service Area]],PathwayLookup!A:B,2,0)</f>
        <v>Reablement &amp; Rehabilitation in a bedded setting (pathway 2)</v>
      </c>
      <c r="C889" t="s">
        <v>317</v>
      </c>
      <c r="D889" t="s">
        <v>725</v>
      </c>
      <c r="E889">
        <v>92</v>
      </c>
      <c r="F889">
        <v>95</v>
      </c>
      <c r="G889">
        <v>92</v>
      </c>
      <c r="H889">
        <v>95</v>
      </c>
      <c r="I889">
        <v>95</v>
      </c>
      <c r="J889">
        <v>92</v>
      </c>
      <c r="K889">
        <v>95</v>
      </c>
      <c r="L889">
        <v>92</v>
      </c>
      <c r="M889">
        <v>95</v>
      </c>
      <c r="N889">
        <v>95</v>
      </c>
      <c r="O889">
        <v>86</v>
      </c>
      <c r="P889">
        <v>95</v>
      </c>
      <c r="Q889">
        <v>1</v>
      </c>
      <c r="W889"/>
      <c r="X889"/>
      <c r="Y889"/>
    </row>
    <row r="890" spans="1:25" x14ac:dyDescent="0.3">
      <c r="A890" t="str">
        <f>Table_Capacity_HD_frontsheet[[#This Row],[Name]]&amp;B890</f>
        <v>SwindonShort-term residential/nursing care for someone likely to require a longer-term care home placement (pathway 3)</v>
      </c>
      <c r="B890" t="str">
        <f>VLOOKUP(Table_Capacity_HD_frontsheet[[#This Row],[Service Area]],PathwayLookup!A:B,2,0)</f>
        <v>Short-term residential/nursing care for someone likely to require a longer-term care home placement (pathway 3)</v>
      </c>
      <c r="C890" t="s">
        <v>317</v>
      </c>
      <c r="D890" t="s">
        <v>731</v>
      </c>
      <c r="E890">
        <v>20</v>
      </c>
      <c r="F890">
        <v>20</v>
      </c>
      <c r="G890">
        <v>20</v>
      </c>
      <c r="H890">
        <v>20</v>
      </c>
      <c r="I890">
        <v>20</v>
      </c>
      <c r="J890">
        <v>20</v>
      </c>
      <c r="K890">
        <v>20</v>
      </c>
      <c r="L890">
        <v>20</v>
      </c>
      <c r="M890">
        <v>20</v>
      </c>
      <c r="N890">
        <v>20</v>
      </c>
      <c r="O890">
        <v>20</v>
      </c>
      <c r="P890">
        <v>20</v>
      </c>
      <c r="R890">
        <v>1</v>
      </c>
      <c r="W890"/>
      <c r="X890"/>
      <c r="Y890"/>
    </row>
    <row r="891" spans="1:25" x14ac:dyDescent="0.3">
      <c r="A891" t="str">
        <f>Table_Capacity_HD_frontsheet[[#This Row],[Name]]&amp;B891</f>
        <v>TamesideSocial support (including VCS) (pathway 0)</v>
      </c>
      <c r="B891" t="str">
        <f>VLOOKUP(Table_Capacity_HD_frontsheet[[#This Row],[Service Area]],PathwayLookup!A:B,2,0)</f>
        <v>Social support (including VCS) (pathway 0)</v>
      </c>
      <c r="C891" t="s">
        <v>319</v>
      </c>
      <c r="D891" t="s">
        <v>726</v>
      </c>
      <c r="E891">
        <v>32</v>
      </c>
      <c r="F891">
        <v>32</v>
      </c>
      <c r="G891">
        <v>32</v>
      </c>
      <c r="H891">
        <v>32</v>
      </c>
      <c r="I891">
        <v>32</v>
      </c>
      <c r="J891">
        <v>32</v>
      </c>
      <c r="K891">
        <v>32</v>
      </c>
      <c r="L891">
        <v>32</v>
      </c>
      <c r="M891">
        <v>32</v>
      </c>
      <c r="N891">
        <v>32</v>
      </c>
      <c r="O891">
        <v>32</v>
      </c>
      <c r="P891">
        <v>32</v>
      </c>
      <c r="R891">
        <v>1</v>
      </c>
      <c r="W891"/>
      <c r="X891"/>
      <c r="Y891"/>
    </row>
    <row r="892" spans="1:25" x14ac:dyDescent="0.3">
      <c r="A892" t="str">
        <f>Table_Capacity_HD_frontsheet[[#This Row],[Name]]&amp;B892</f>
        <v>TamesideReablement &amp; Rehabilitation at home  (pathway 1)</v>
      </c>
      <c r="B892" t="str">
        <f>VLOOKUP(Table_Capacity_HD_frontsheet[[#This Row],[Service Area]],PathwayLookup!A:B,2,0)</f>
        <v>Reablement &amp; Rehabilitation at home  (pathway 1)</v>
      </c>
      <c r="C892" t="s">
        <v>319</v>
      </c>
      <c r="D892" t="s">
        <v>728</v>
      </c>
      <c r="E892">
        <v>0</v>
      </c>
      <c r="F892">
        <v>0</v>
      </c>
      <c r="G892">
        <v>0</v>
      </c>
      <c r="H892">
        <v>0</v>
      </c>
      <c r="I892">
        <v>0</v>
      </c>
      <c r="J892">
        <v>0</v>
      </c>
      <c r="K892">
        <v>0</v>
      </c>
      <c r="L892">
        <v>0</v>
      </c>
      <c r="M892">
        <v>0</v>
      </c>
      <c r="N892">
        <v>0</v>
      </c>
      <c r="O892">
        <v>0</v>
      </c>
      <c r="P892">
        <v>0</v>
      </c>
      <c r="R892">
        <v>1</v>
      </c>
      <c r="W892"/>
      <c r="X892"/>
      <c r="Y892"/>
    </row>
    <row r="893" spans="1:25" x14ac:dyDescent="0.3">
      <c r="A893" t="str">
        <f>Table_Capacity_HD_frontsheet[[#This Row],[Name]]&amp;B893</f>
        <v>TamesideReablement &amp; Rehabilitation at home  (pathway 1)</v>
      </c>
      <c r="B893" t="str">
        <f>VLOOKUP(Table_Capacity_HD_frontsheet[[#This Row],[Service Area]],PathwayLookup!A:B,2,0)</f>
        <v>Reablement &amp; Rehabilitation at home  (pathway 1)</v>
      </c>
      <c r="C893" t="s">
        <v>319</v>
      </c>
      <c r="D893" t="s">
        <v>721</v>
      </c>
      <c r="E893">
        <v>150</v>
      </c>
      <c r="F893">
        <v>145</v>
      </c>
      <c r="G893">
        <v>146</v>
      </c>
      <c r="H893">
        <v>155</v>
      </c>
      <c r="I893">
        <v>151</v>
      </c>
      <c r="J893">
        <v>154</v>
      </c>
      <c r="K893">
        <v>151</v>
      </c>
      <c r="L893">
        <v>145</v>
      </c>
      <c r="M893">
        <v>138</v>
      </c>
      <c r="N893">
        <v>137</v>
      </c>
      <c r="O893">
        <v>120</v>
      </c>
      <c r="P893">
        <v>126</v>
      </c>
      <c r="W893"/>
      <c r="X893"/>
      <c r="Y893"/>
    </row>
    <row r="894" spans="1:25" x14ac:dyDescent="0.3">
      <c r="A894" t="str">
        <f>Table_Capacity_HD_frontsheet[[#This Row],[Name]]&amp;B894</f>
        <v>TamesideShort term domiciliary care (pathway 1)</v>
      </c>
      <c r="B894" t="str">
        <f>VLOOKUP(Table_Capacity_HD_frontsheet[[#This Row],[Service Area]],PathwayLookup!A:B,2,0)</f>
        <v>Short term domiciliary care (pathway 1)</v>
      </c>
      <c r="C894" t="s">
        <v>319</v>
      </c>
      <c r="D894" t="s">
        <v>730</v>
      </c>
      <c r="E894">
        <v>15</v>
      </c>
      <c r="F894">
        <v>15</v>
      </c>
      <c r="G894">
        <v>15</v>
      </c>
      <c r="H894">
        <v>15</v>
      </c>
      <c r="I894">
        <v>15</v>
      </c>
      <c r="J894">
        <v>15</v>
      </c>
      <c r="K894">
        <v>15</v>
      </c>
      <c r="L894">
        <v>15</v>
      </c>
      <c r="M894">
        <v>15</v>
      </c>
      <c r="N894">
        <v>15</v>
      </c>
      <c r="O894">
        <v>14</v>
      </c>
      <c r="P894">
        <v>15</v>
      </c>
      <c r="R894">
        <v>1</v>
      </c>
      <c r="W894"/>
      <c r="X894"/>
      <c r="Y894"/>
    </row>
    <row r="895" spans="1:25" x14ac:dyDescent="0.3">
      <c r="A895" t="str">
        <f>Table_Capacity_HD_frontsheet[[#This Row],[Name]]&amp;B895</f>
        <v>TamesideReablement &amp; Rehabilitation in a bedded setting (pathway 2)</v>
      </c>
      <c r="B895" t="str">
        <f>VLOOKUP(Table_Capacity_HD_frontsheet[[#This Row],[Service Area]],PathwayLookup!A:B,2,0)</f>
        <v>Reablement &amp; Rehabilitation in a bedded setting (pathway 2)</v>
      </c>
      <c r="C895" t="s">
        <v>319</v>
      </c>
      <c r="D895" t="s">
        <v>723</v>
      </c>
      <c r="E895">
        <v>0</v>
      </c>
      <c r="F895">
        <v>0</v>
      </c>
      <c r="G895">
        <v>0</v>
      </c>
      <c r="H895">
        <v>0</v>
      </c>
      <c r="I895">
        <v>0</v>
      </c>
      <c r="J895">
        <v>0</v>
      </c>
      <c r="K895">
        <v>0</v>
      </c>
      <c r="L895">
        <v>0</v>
      </c>
      <c r="M895">
        <v>0</v>
      </c>
      <c r="N895">
        <v>0</v>
      </c>
      <c r="O895">
        <v>0</v>
      </c>
      <c r="P895">
        <v>0</v>
      </c>
      <c r="Q895">
        <v>1</v>
      </c>
      <c r="W895"/>
      <c r="X895"/>
      <c r="Y895"/>
    </row>
    <row r="896" spans="1:25" x14ac:dyDescent="0.3">
      <c r="A896" t="str">
        <f>Table_Capacity_HD_frontsheet[[#This Row],[Name]]&amp;B896</f>
        <v>TamesideReablement &amp; Rehabilitation in a bedded setting (pathway 2)</v>
      </c>
      <c r="B896" t="str">
        <f>VLOOKUP(Table_Capacity_HD_frontsheet[[#This Row],[Service Area]],PathwayLookup!A:B,2,0)</f>
        <v>Reablement &amp; Rehabilitation in a bedded setting (pathway 2)</v>
      </c>
      <c r="C896" t="s">
        <v>319</v>
      </c>
      <c r="D896" t="s">
        <v>725</v>
      </c>
      <c r="E896">
        <v>124</v>
      </c>
      <c r="F896">
        <v>125</v>
      </c>
      <c r="G896">
        <v>128</v>
      </c>
      <c r="H896">
        <v>140</v>
      </c>
      <c r="I896">
        <v>130</v>
      </c>
      <c r="J896">
        <v>135</v>
      </c>
      <c r="K896">
        <v>140</v>
      </c>
      <c r="L896">
        <v>146</v>
      </c>
      <c r="M896">
        <v>152</v>
      </c>
      <c r="N896">
        <v>157</v>
      </c>
      <c r="O896">
        <v>139</v>
      </c>
      <c r="P896">
        <v>147</v>
      </c>
      <c r="W896"/>
      <c r="X896"/>
      <c r="Y896"/>
    </row>
    <row r="897" spans="1:25" x14ac:dyDescent="0.3">
      <c r="A897" t="str">
        <f>Table_Capacity_HD_frontsheet[[#This Row],[Name]]&amp;B897</f>
        <v>TamesideShort-term residential/nursing care for someone likely to require a longer-term care home placement (pathway 3)</v>
      </c>
      <c r="B897" t="str">
        <f>VLOOKUP(Table_Capacity_HD_frontsheet[[#This Row],[Service Area]],PathwayLookup!A:B,2,0)</f>
        <v>Short-term residential/nursing care for someone likely to require a longer-term care home placement (pathway 3)</v>
      </c>
      <c r="C897" t="s">
        <v>319</v>
      </c>
      <c r="D897" t="s">
        <v>731</v>
      </c>
      <c r="E897">
        <v>56</v>
      </c>
      <c r="F897">
        <v>57</v>
      </c>
      <c r="G897">
        <v>56</v>
      </c>
      <c r="H897">
        <v>57</v>
      </c>
      <c r="I897">
        <v>57</v>
      </c>
      <c r="J897">
        <v>56</v>
      </c>
      <c r="K897">
        <v>57</v>
      </c>
      <c r="L897">
        <v>56</v>
      </c>
      <c r="M897">
        <v>57</v>
      </c>
      <c r="N897">
        <v>57</v>
      </c>
      <c r="O897">
        <v>52</v>
      </c>
      <c r="P897">
        <v>57</v>
      </c>
      <c r="R897">
        <v>1</v>
      </c>
      <c r="W897"/>
      <c r="X897"/>
      <c r="Y897"/>
    </row>
    <row r="898" spans="1:25" x14ac:dyDescent="0.3">
      <c r="A898" t="str">
        <f>Table_Capacity_HD_frontsheet[[#This Row],[Name]]&amp;B898</f>
        <v>Telford and WrekinSocial support (including VCS) (pathway 0)</v>
      </c>
      <c r="B898" t="str">
        <f>VLOOKUP(Table_Capacity_HD_frontsheet[[#This Row],[Service Area]],PathwayLookup!A:B,2,0)</f>
        <v>Social support (including VCS) (pathway 0)</v>
      </c>
      <c r="C898" t="s">
        <v>321</v>
      </c>
      <c r="D898" t="s">
        <v>726</v>
      </c>
      <c r="W898"/>
      <c r="X898"/>
      <c r="Y898"/>
    </row>
    <row r="899" spans="1:25" x14ac:dyDescent="0.3">
      <c r="A899" t="str">
        <f>Table_Capacity_HD_frontsheet[[#This Row],[Name]]&amp;B899</f>
        <v>Telford and WrekinReablement &amp; Rehabilitation at home  (pathway 1)</v>
      </c>
      <c r="B899" t="str">
        <f>VLOOKUP(Table_Capacity_HD_frontsheet[[#This Row],[Service Area]],PathwayLookup!A:B,2,0)</f>
        <v>Reablement &amp; Rehabilitation at home  (pathway 1)</v>
      </c>
      <c r="C899" t="s">
        <v>321</v>
      </c>
      <c r="D899" t="s">
        <v>728</v>
      </c>
      <c r="E899">
        <v>26</v>
      </c>
      <c r="F899">
        <v>26</v>
      </c>
      <c r="G899">
        <v>26</v>
      </c>
      <c r="H899">
        <v>26</v>
      </c>
      <c r="I899">
        <v>26</v>
      </c>
      <c r="J899">
        <v>26</v>
      </c>
      <c r="K899">
        <v>26</v>
      </c>
      <c r="L899">
        <v>26</v>
      </c>
      <c r="M899">
        <v>28</v>
      </c>
      <c r="N899">
        <v>26</v>
      </c>
      <c r="O899">
        <v>26</v>
      </c>
      <c r="P899">
        <v>26</v>
      </c>
      <c r="W899"/>
      <c r="X899"/>
      <c r="Y899"/>
    </row>
    <row r="900" spans="1:25" x14ac:dyDescent="0.3">
      <c r="A900" t="str">
        <f>Table_Capacity_HD_frontsheet[[#This Row],[Name]]&amp;B900</f>
        <v>Telford and WrekinReablement &amp; Rehabilitation at home  (pathway 1)</v>
      </c>
      <c r="B900" t="str">
        <f>VLOOKUP(Table_Capacity_HD_frontsheet[[#This Row],[Service Area]],PathwayLookup!A:B,2,0)</f>
        <v>Reablement &amp; Rehabilitation at home  (pathway 1)</v>
      </c>
      <c r="C900" t="s">
        <v>321</v>
      </c>
      <c r="D900" t="s">
        <v>721</v>
      </c>
      <c r="W900"/>
      <c r="X900"/>
      <c r="Y900"/>
    </row>
    <row r="901" spans="1:25" x14ac:dyDescent="0.3">
      <c r="A901" t="str">
        <f>Table_Capacity_HD_frontsheet[[#This Row],[Name]]&amp;B901</f>
        <v>Telford and WrekinShort term domiciliary care (pathway 1)</v>
      </c>
      <c r="B901" t="str">
        <f>VLOOKUP(Table_Capacity_HD_frontsheet[[#This Row],[Service Area]],PathwayLookup!A:B,2,0)</f>
        <v>Short term domiciliary care (pathway 1)</v>
      </c>
      <c r="C901" t="s">
        <v>321</v>
      </c>
      <c r="D901" t="s">
        <v>730</v>
      </c>
      <c r="W901"/>
      <c r="X901"/>
      <c r="Y901"/>
    </row>
    <row r="902" spans="1:25" x14ac:dyDescent="0.3">
      <c r="A902" t="str">
        <f>Table_Capacity_HD_frontsheet[[#This Row],[Name]]&amp;B902</f>
        <v>Telford and WrekinReablement &amp; Rehabilitation in a bedded setting (pathway 2)</v>
      </c>
      <c r="B902" t="str">
        <f>VLOOKUP(Table_Capacity_HD_frontsheet[[#This Row],[Service Area]],PathwayLookup!A:B,2,0)</f>
        <v>Reablement &amp; Rehabilitation in a bedded setting (pathway 2)</v>
      </c>
      <c r="C902" t="s">
        <v>321</v>
      </c>
      <c r="D902" t="s">
        <v>723</v>
      </c>
      <c r="E902">
        <v>43</v>
      </c>
      <c r="F902">
        <v>43</v>
      </c>
      <c r="G902">
        <v>43</v>
      </c>
      <c r="H902">
        <v>43</v>
      </c>
      <c r="I902">
        <v>43</v>
      </c>
      <c r="J902">
        <v>43</v>
      </c>
      <c r="K902">
        <v>43</v>
      </c>
      <c r="L902">
        <v>43</v>
      </c>
      <c r="M902">
        <v>43</v>
      </c>
      <c r="N902">
        <v>43</v>
      </c>
      <c r="O902">
        <v>43</v>
      </c>
      <c r="P902">
        <v>43</v>
      </c>
      <c r="W902"/>
      <c r="X902"/>
      <c r="Y902"/>
    </row>
    <row r="903" spans="1:25" x14ac:dyDescent="0.3">
      <c r="A903" t="str">
        <f>Table_Capacity_HD_frontsheet[[#This Row],[Name]]&amp;B903</f>
        <v>Telford and WrekinReablement &amp; Rehabilitation in a bedded setting (pathway 2)</v>
      </c>
      <c r="B903" t="str">
        <f>VLOOKUP(Table_Capacity_HD_frontsheet[[#This Row],[Service Area]],PathwayLookup!A:B,2,0)</f>
        <v>Reablement &amp; Rehabilitation in a bedded setting (pathway 2)</v>
      </c>
      <c r="C903" t="s">
        <v>321</v>
      </c>
      <c r="D903" t="s">
        <v>725</v>
      </c>
      <c r="W903"/>
      <c r="X903"/>
      <c r="Y903"/>
    </row>
    <row r="904" spans="1:25" x14ac:dyDescent="0.3">
      <c r="A904" t="str">
        <f>Table_Capacity_HD_frontsheet[[#This Row],[Name]]&amp;B904</f>
        <v>Telford and WrekinShort-term residential/nursing care for someone likely to require a longer-term care home placement (pathway 3)</v>
      </c>
      <c r="B904" t="str">
        <f>VLOOKUP(Table_Capacity_HD_frontsheet[[#This Row],[Service Area]],PathwayLookup!A:B,2,0)</f>
        <v>Short-term residential/nursing care for someone likely to require a longer-term care home placement (pathway 3)</v>
      </c>
      <c r="C904" t="s">
        <v>321</v>
      </c>
      <c r="D904" t="s">
        <v>731</v>
      </c>
      <c r="W904"/>
      <c r="X904"/>
      <c r="Y904"/>
    </row>
    <row r="905" spans="1:25" x14ac:dyDescent="0.3">
      <c r="A905" t="str">
        <f>Table_Capacity_HD_frontsheet[[#This Row],[Name]]&amp;B905</f>
        <v>ThurrockSocial support (including VCS) (pathway 0)</v>
      </c>
      <c r="B905" t="str">
        <f>VLOOKUP(Table_Capacity_HD_frontsheet[[#This Row],[Service Area]],PathwayLookup!A:B,2,0)</f>
        <v>Social support (including VCS) (pathway 0)</v>
      </c>
      <c r="C905" t="s">
        <v>323</v>
      </c>
      <c r="D905" t="s">
        <v>726</v>
      </c>
      <c r="E905">
        <v>233</v>
      </c>
      <c r="F905">
        <v>233</v>
      </c>
      <c r="G905">
        <v>233</v>
      </c>
      <c r="H905">
        <v>187</v>
      </c>
      <c r="I905">
        <v>187</v>
      </c>
      <c r="J905">
        <v>187</v>
      </c>
      <c r="K905">
        <v>192</v>
      </c>
      <c r="L905">
        <v>192</v>
      </c>
      <c r="M905">
        <v>192</v>
      </c>
      <c r="N905">
        <v>255</v>
      </c>
      <c r="O905">
        <v>255</v>
      </c>
      <c r="P905">
        <v>255</v>
      </c>
      <c r="W905"/>
      <c r="X905"/>
      <c r="Y905"/>
    </row>
    <row r="906" spans="1:25" x14ac:dyDescent="0.3">
      <c r="A906" t="str">
        <f>Table_Capacity_HD_frontsheet[[#This Row],[Name]]&amp;B906</f>
        <v>ThurrockReablement &amp; Rehabilitation at home  (pathway 1)</v>
      </c>
      <c r="B906" t="str">
        <f>VLOOKUP(Table_Capacity_HD_frontsheet[[#This Row],[Service Area]],PathwayLookup!A:B,2,0)</f>
        <v>Reablement &amp; Rehabilitation at home  (pathway 1)</v>
      </c>
      <c r="C906" t="s">
        <v>323</v>
      </c>
      <c r="D906" t="s">
        <v>728</v>
      </c>
      <c r="E906">
        <v>25</v>
      </c>
      <c r="F906">
        <v>25</v>
      </c>
      <c r="G906">
        <v>25</v>
      </c>
      <c r="H906">
        <v>25</v>
      </c>
      <c r="I906">
        <v>25</v>
      </c>
      <c r="J906">
        <v>25</v>
      </c>
      <c r="K906">
        <v>25</v>
      </c>
      <c r="L906">
        <v>25</v>
      </c>
      <c r="M906">
        <v>25</v>
      </c>
      <c r="N906">
        <v>25</v>
      </c>
      <c r="O906">
        <v>24</v>
      </c>
      <c r="P906">
        <v>25</v>
      </c>
      <c r="W906"/>
      <c r="X906"/>
      <c r="Y906"/>
    </row>
    <row r="907" spans="1:25" x14ac:dyDescent="0.3">
      <c r="A907" t="str">
        <f>Table_Capacity_HD_frontsheet[[#This Row],[Name]]&amp;B907</f>
        <v>ThurrockReablement &amp; Rehabilitation at home  (pathway 1)</v>
      </c>
      <c r="B907" t="str">
        <f>VLOOKUP(Table_Capacity_HD_frontsheet[[#This Row],[Service Area]],PathwayLookup!A:B,2,0)</f>
        <v>Reablement &amp; Rehabilitation at home  (pathway 1)</v>
      </c>
      <c r="C907" t="s">
        <v>323</v>
      </c>
      <c r="D907" t="s">
        <v>721</v>
      </c>
      <c r="W907"/>
      <c r="X907"/>
      <c r="Y907"/>
    </row>
    <row r="908" spans="1:25" x14ac:dyDescent="0.3">
      <c r="A908" t="str">
        <f>Table_Capacity_HD_frontsheet[[#This Row],[Name]]&amp;B908</f>
        <v>ThurrockShort term domiciliary care (pathway 1)</v>
      </c>
      <c r="B908" t="str">
        <f>VLOOKUP(Table_Capacity_HD_frontsheet[[#This Row],[Service Area]],PathwayLookup!A:B,2,0)</f>
        <v>Short term domiciliary care (pathway 1)</v>
      </c>
      <c r="C908" t="s">
        <v>323</v>
      </c>
      <c r="D908" t="s">
        <v>730</v>
      </c>
      <c r="E908">
        <v>10</v>
      </c>
      <c r="F908">
        <v>10</v>
      </c>
      <c r="G908">
        <v>10</v>
      </c>
      <c r="H908">
        <v>10</v>
      </c>
      <c r="I908">
        <v>10</v>
      </c>
      <c r="J908">
        <v>10</v>
      </c>
      <c r="K908">
        <v>10</v>
      </c>
      <c r="L908">
        <v>10</v>
      </c>
      <c r="M908">
        <v>10</v>
      </c>
      <c r="N908">
        <v>10</v>
      </c>
      <c r="O908">
        <v>10</v>
      </c>
      <c r="P908">
        <v>10</v>
      </c>
      <c r="W908"/>
      <c r="X908"/>
      <c r="Y908"/>
    </row>
    <row r="909" spans="1:25" x14ac:dyDescent="0.3">
      <c r="A909" t="str">
        <f>Table_Capacity_HD_frontsheet[[#This Row],[Name]]&amp;B909</f>
        <v>ThurrockReablement &amp; Rehabilitation in a bedded setting (pathway 2)</v>
      </c>
      <c r="B909" t="str">
        <f>VLOOKUP(Table_Capacity_HD_frontsheet[[#This Row],[Service Area]],PathwayLookup!A:B,2,0)</f>
        <v>Reablement &amp; Rehabilitation in a bedded setting (pathway 2)</v>
      </c>
      <c r="C909" t="s">
        <v>323</v>
      </c>
      <c r="D909" t="s">
        <v>723</v>
      </c>
      <c r="E909">
        <v>2</v>
      </c>
      <c r="F909">
        <v>2</v>
      </c>
      <c r="G909">
        <v>2</v>
      </c>
      <c r="H909">
        <v>2</v>
      </c>
      <c r="I909">
        <v>2</v>
      </c>
      <c r="J909">
        <v>2</v>
      </c>
      <c r="K909">
        <v>2</v>
      </c>
      <c r="L909">
        <v>2</v>
      </c>
      <c r="M909">
        <v>2</v>
      </c>
      <c r="N909">
        <v>2</v>
      </c>
      <c r="O909">
        <v>2</v>
      </c>
      <c r="P909">
        <v>2</v>
      </c>
      <c r="W909"/>
      <c r="X909"/>
      <c r="Y909"/>
    </row>
    <row r="910" spans="1:25" x14ac:dyDescent="0.3">
      <c r="A910" t="str">
        <f>Table_Capacity_HD_frontsheet[[#This Row],[Name]]&amp;B910</f>
        <v>ThurrockReablement &amp; Rehabilitation in a bedded setting (pathway 2)</v>
      </c>
      <c r="B910" t="str">
        <f>VLOOKUP(Table_Capacity_HD_frontsheet[[#This Row],[Service Area]],PathwayLookup!A:B,2,0)</f>
        <v>Reablement &amp; Rehabilitation in a bedded setting (pathway 2)</v>
      </c>
      <c r="C910" t="s">
        <v>323</v>
      </c>
      <c r="D910" t="s">
        <v>725</v>
      </c>
      <c r="W910"/>
      <c r="X910"/>
      <c r="Y910"/>
    </row>
    <row r="911" spans="1:25" x14ac:dyDescent="0.3">
      <c r="A911" t="str">
        <f>Table_Capacity_HD_frontsheet[[#This Row],[Name]]&amp;B911</f>
        <v>ThurrockShort-term residential/nursing care for someone likely to require a longer-term care home placement (pathway 3)</v>
      </c>
      <c r="B911" t="str">
        <f>VLOOKUP(Table_Capacity_HD_frontsheet[[#This Row],[Service Area]],PathwayLookup!A:B,2,0)</f>
        <v>Short-term residential/nursing care for someone likely to require a longer-term care home placement (pathway 3)</v>
      </c>
      <c r="C911" t="s">
        <v>323</v>
      </c>
      <c r="D911" t="s">
        <v>731</v>
      </c>
      <c r="W911"/>
      <c r="X911"/>
      <c r="Y911"/>
    </row>
    <row r="912" spans="1:25" x14ac:dyDescent="0.3">
      <c r="A912" t="str">
        <f>Table_Capacity_HD_frontsheet[[#This Row],[Name]]&amp;B912</f>
        <v>TorbaySocial support (including VCS) (pathway 0)</v>
      </c>
      <c r="B912" t="str">
        <f>VLOOKUP(Table_Capacity_HD_frontsheet[[#This Row],[Service Area]],PathwayLookup!A:B,2,0)</f>
        <v>Social support (including VCS) (pathway 0)</v>
      </c>
      <c r="C912" t="s">
        <v>325</v>
      </c>
      <c r="D912" t="s">
        <v>726</v>
      </c>
      <c r="W912"/>
      <c r="X912"/>
      <c r="Y912"/>
    </row>
    <row r="913" spans="1:25" x14ac:dyDescent="0.3">
      <c r="A913" t="str">
        <f>Table_Capacity_HD_frontsheet[[#This Row],[Name]]&amp;B913</f>
        <v>TorbayReablement &amp; Rehabilitation at home  (pathway 1)</v>
      </c>
      <c r="B913" t="str">
        <f>VLOOKUP(Table_Capacity_HD_frontsheet[[#This Row],[Service Area]],PathwayLookup!A:B,2,0)</f>
        <v>Reablement &amp; Rehabilitation at home  (pathway 1)</v>
      </c>
      <c r="C913" t="s">
        <v>325</v>
      </c>
      <c r="D913" t="s">
        <v>728</v>
      </c>
      <c r="E913">
        <v>100</v>
      </c>
      <c r="F913">
        <v>100</v>
      </c>
      <c r="G913">
        <v>100</v>
      </c>
      <c r="H913">
        <v>100</v>
      </c>
      <c r="I913">
        <v>100</v>
      </c>
      <c r="J913">
        <v>100</v>
      </c>
      <c r="K913">
        <v>100</v>
      </c>
      <c r="L913">
        <v>100</v>
      </c>
      <c r="M913">
        <v>100</v>
      </c>
      <c r="N913">
        <v>100</v>
      </c>
      <c r="O913">
        <v>100</v>
      </c>
      <c r="P913">
        <v>100</v>
      </c>
      <c r="R913">
        <v>1</v>
      </c>
      <c r="W913"/>
      <c r="X913"/>
      <c r="Y913"/>
    </row>
    <row r="914" spans="1:25" x14ac:dyDescent="0.3">
      <c r="A914" t="str">
        <f>Table_Capacity_HD_frontsheet[[#This Row],[Name]]&amp;B914</f>
        <v>TorbayReablement &amp; Rehabilitation at home  (pathway 1)</v>
      </c>
      <c r="B914" t="str">
        <f>VLOOKUP(Table_Capacity_HD_frontsheet[[#This Row],[Service Area]],PathwayLookup!A:B,2,0)</f>
        <v>Reablement &amp; Rehabilitation at home  (pathway 1)</v>
      </c>
      <c r="C914" t="s">
        <v>325</v>
      </c>
      <c r="D914" t="s">
        <v>721</v>
      </c>
      <c r="W914"/>
      <c r="X914"/>
      <c r="Y914"/>
    </row>
    <row r="915" spans="1:25" x14ac:dyDescent="0.3">
      <c r="A915" t="str">
        <f>Table_Capacity_HD_frontsheet[[#This Row],[Name]]&amp;B915</f>
        <v>TorbayShort term domiciliary care (pathway 1)</v>
      </c>
      <c r="B915" t="str">
        <f>VLOOKUP(Table_Capacity_HD_frontsheet[[#This Row],[Service Area]],PathwayLookup!A:B,2,0)</f>
        <v>Short term domiciliary care (pathway 1)</v>
      </c>
      <c r="C915" t="s">
        <v>325</v>
      </c>
      <c r="D915" t="s">
        <v>730</v>
      </c>
      <c r="W915"/>
      <c r="X915"/>
      <c r="Y915"/>
    </row>
    <row r="916" spans="1:25" x14ac:dyDescent="0.3">
      <c r="A916" t="str">
        <f>Table_Capacity_HD_frontsheet[[#This Row],[Name]]&amp;B916</f>
        <v>TorbayReablement &amp; Rehabilitation in a bedded setting (pathway 2)</v>
      </c>
      <c r="B916" t="str">
        <f>VLOOKUP(Table_Capacity_HD_frontsheet[[#This Row],[Service Area]],PathwayLookup!A:B,2,0)</f>
        <v>Reablement &amp; Rehabilitation in a bedded setting (pathway 2)</v>
      </c>
      <c r="C916" t="s">
        <v>325</v>
      </c>
      <c r="D916" t="s">
        <v>723</v>
      </c>
      <c r="E916">
        <v>40</v>
      </c>
      <c r="F916">
        <v>40</v>
      </c>
      <c r="G916">
        <v>40</v>
      </c>
      <c r="H916">
        <v>40</v>
      </c>
      <c r="I916">
        <v>40</v>
      </c>
      <c r="J916">
        <v>40</v>
      </c>
      <c r="K916">
        <v>40</v>
      </c>
      <c r="L916">
        <v>40</v>
      </c>
      <c r="M916">
        <v>40</v>
      </c>
      <c r="N916">
        <v>40</v>
      </c>
      <c r="O916">
        <v>40</v>
      </c>
      <c r="P916">
        <v>40</v>
      </c>
      <c r="R916">
        <v>1</v>
      </c>
      <c r="W916"/>
      <c r="X916"/>
      <c r="Y916"/>
    </row>
    <row r="917" spans="1:25" x14ac:dyDescent="0.3">
      <c r="A917" t="str">
        <f>Table_Capacity_HD_frontsheet[[#This Row],[Name]]&amp;B917</f>
        <v>TorbayReablement &amp; Rehabilitation in a bedded setting (pathway 2)</v>
      </c>
      <c r="B917" t="str">
        <f>VLOOKUP(Table_Capacity_HD_frontsheet[[#This Row],[Service Area]],PathwayLookup!A:B,2,0)</f>
        <v>Reablement &amp; Rehabilitation in a bedded setting (pathway 2)</v>
      </c>
      <c r="C917" t="s">
        <v>325</v>
      </c>
      <c r="D917" t="s">
        <v>725</v>
      </c>
      <c r="W917"/>
      <c r="X917"/>
      <c r="Y917"/>
    </row>
    <row r="918" spans="1:25" x14ac:dyDescent="0.3">
      <c r="A918" t="str">
        <f>Table_Capacity_HD_frontsheet[[#This Row],[Name]]&amp;B918</f>
        <v>TorbayShort-term residential/nursing care for someone likely to require a longer-term care home placement (pathway 3)</v>
      </c>
      <c r="B918" t="str">
        <f>VLOOKUP(Table_Capacity_HD_frontsheet[[#This Row],[Service Area]],PathwayLookup!A:B,2,0)</f>
        <v>Short-term residential/nursing care for someone likely to require a longer-term care home placement (pathway 3)</v>
      </c>
      <c r="C918" t="s">
        <v>325</v>
      </c>
      <c r="D918" t="s">
        <v>731</v>
      </c>
      <c r="E918">
        <v>40</v>
      </c>
      <c r="F918">
        <v>40</v>
      </c>
      <c r="G918">
        <v>40</v>
      </c>
      <c r="H918">
        <v>40</v>
      </c>
      <c r="I918">
        <v>40</v>
      </c>
      <c r="J918">
        <v>40</v>
      </c>
      <c r="K918">
        <v>40</v>
      </c>
      <c r="L918">
        <v>40</v>
      </c>
      <c r="M918">
        <v>40</v>
      </c>
      <c r="N918">
        <v>40</v>
      </c>
      <c r="O918">
        <v>40</v>
      </c>
      <c r="P918">
        <v>40</v>
      </c>
      <c r="R918">
        <v>1</v>
      </c>
      <c r="W918"/>
      <c r="X918"/>
      <c r="Y918"/>
    </row>
    <row r="919" spans="1:25" x14ac:dyDescent="0.3">
      <c r="A919" t="str">
        <f>Table_Capacity_HD_frontsheet[[#This Row],[Name]]&amp;B919</f>
        <v>Tower HamletsSocial support (including VCS) (pathway 0)</v>
      </c>
      <c r="B919" t="str">
        <f>VLOOKUP(Table_Capacity_HD_frontsheet[[#This Row],[Service Area]],PathwayLookup!A:B,2,0)</f>
        <v>Social support (including VCS) (pathway 0)</v>
      </c>
      <c r="C919" t="s">
        <v>327</v>
      </c>
      <c r="D919" t="s">
        <v>726</v>
      </c>
      <c r="E919">
        <v>3</v>
      </c>
      <c r="F919">
        <v>3</v>
      </c>
      <c r="G919">
        <v>3</v>
      </c>
      <c r="H919">
        <v>3</v>
      </c>
      <c r="I919">
        <v>3</v>
      </c>
      <c r="J919">
        <v>3</v>
      </c>
      <c r="K919">
        <v>3</v>
      </c>
      <c r="L919">
        <v>3</v>
      </c>
      <c r="M919">
        <v>3</v>
      </c>
      <c r="N919">
        <v>3</v>
      </c>
      <c r="O919">
        <v>3</v>
      </c>
      <c r="P919">
        <v>3</v>
      </c>
      <c r="W919"/>
      <c r="X919"/>
      <c r="Y919"/>
    </row>
    <row r="920" spans="1:25" x14ac:dyDescent="0.3">
      <c r="A920" t="str">
        <f>Table_Capacity_HD_frontsheet[[#This Row],[Name]]&amp;B920</f>
        <v>Tower HamletsReablement &amp; Rehabilitation at home  (pathway 1)</v>
      </c>
      <c r="B920" t="str">
        <f>VLOOKUP(Table_Capacity_HD_frontsheet[[#This Row],[Service Area]],PathwayLookup!A:B,2,0)</f>
        <v>Reablement &amp; Rehabilitation at home  (pathway 1)</v>
      </c>
      <c r="C920" t="s">
        <v>327</v>
      </c>
      <c r="D920" t="s">
        <v>728</v>
      </c>
      <c r="E920">
        <v>83.774033810004511</v>
      </c>
      <c r="F920">
        <v>98.957940695390576</v>
      </c>
      <c r="G920">
        <v>94.232113768526915</v>
      </c>
      <c r="H920">
        <v>94.547168896984473</v>
      </c>
      <c r="I920">
        <v>89.003073789265713</v>
      </c>
      <c r="J920">
        <v>88.863049287729027</v>
      </c>
      <c r="K920">
        <v>88.197932905429695</v>
      </c>
      <c r="L920">
        <v>91.225962751160878</v>
      </c>
      <c r="M920">
        <v>90.559787081377934</v>
      </c>
      <c r="N920">
        <v>110.57559855726376</v>
      </c>
      <c r="O920">
        <v>87.467442264347241</v>
      </c>
      <c r="P920">
        <v>88.18042984273761</v>
      </c>
      <c r="W920"/>
      <c r="X920"/>
      <c r="Y920"/>
    </row>
    <row r="921" spans="1:25" x14ac:dyDescent="0.3">
      <c r="A921" t="str">
        <f>Table_Capacity_HD_frontsheet[[#This Row],[Name]]&amp;B921</f>
        <v>Tower HamletsReablement &amp; Rehabilitation at home  (pathway 1)</v>
      </c>
      <c r="B921" t="str">
        <f>VLOOKUP(Table_Capacity_HD_frontsheet[[#This Row],[Service Area]],PathwayLookup!A:B,2,0)</f>
        <v>Reablement &amp; Rehabilitation at home  (pathway 1)</v>
      </c>
      <c r="C921" t="s">
        <v>327</v>
      </c>
      <c r="D921" t="s">
        <v>721</v>
      </c>
      <c r="E921">
        <v>20.07877620729095</v>
      </c>
      <c r="F921">
        <v>16.817939615478345</v>
      </c>
      <c r="G921">
        <v>12.818680532385685</v>
      </c>
      <c r="H921">
        <v>20.921694881722271</v>
      </c>
      <c r="I921">
        <v>6.5634482994830963</v>
      </c>
      <c r="J921">
        <v>12.440488222943529</v>
      </c>
      <c r="K921">
        <v>6.2219871577191581</v>
      </c>
      <c r="L921">
        <v>9.7162657988922732</v>
      </c>
      <c r="M921">
        <v>6.9040117097540294</v>
      </c>
      <c r="N921">
        <v>2.3848522192451376</v>
      </c>
      <c r="O921">
        <v>9.4945229474624195</v>
      </c>
      <c r="P921">
        <v>10.818728997518178</v>
      </c>
      <c r="W921"/>
      <c r="X921"/>
      <c r="Y921"/>
    </row>
    <row r="922" spans="1:25" x14ac:dyDescent="0.3">
      <c r="A922" t="str">
        <f>Table_Capacity_HD_frontsheet[[#This Row],[Name]]&amp;B922</f>
        <v>Tower HamletsReablement &amp; Rehabilitation in a bedded setting (pathway 2)</v>
      </c>
      <c r="B922" t="str">
        <f>VLOOKUP(Table_Capacity_HD_frontsheet[[#This Row],[Service Area]],PathwayLookup!A:B,2,0)</f>
        <v>Reablement &amp; Rehabilitation in a bedded setting (pathway 2)</v>
      </c>
      <c r="C922" t="s">
        <v>327</v>
      </c>
      <c r="D922" t="s">
        <v>723</v>
      </c>
      <c r="E922">
        <v>20.07877620729095</v>
      </c>
      <c r="F922">
        <v>16.817939615478345</v>
      </c>
      <c r="G922">
        <v>12.818680532385685</v>
      </c>
      <c r="H922">
        <v>20.921694881722271</v>
      </c>
      <c r="I922">
        <v>6.5634482994830963</v>
      </c>
      <c r="J922">
        <v>12.440488222943529</v>
      </c>
      <c r="K922">
        <v>6.2219871577191581</v>
      </c>
      <c r="L922">
        <v>9.7162657988922732</v>
      </c>
      <c r="M922">
        <v>6.9040117097540294</v>
      </c>
      <c r="N922">
        <v>2.3848522192451376</v>
      </c>
      <c r="O922">
        <v>9.4945229474624195</v>
      </c>
      <c r="P922">
        <v>10.818728997518178</v>
      </c>
      <c r="W922"/>
      <c r="X922"/>
      <c r="Y922"/>
    </row>
    <row r="923" spans="1:25" x14ac:dyDescent="0.3">
      <c r="A923" t="str">
        <f>Table_Capacity_HD_frontsheet[[#This Row],[Name]]&amp;B923</f>
        <v>Tower HamletsReablement &amp; Rehabilitation in a bedded setting (pathway 2)</v>
      </c>
      <c r="B923" t="str">
        <f>VLOOKUP(Table_Capacity_HD_frontsheet[[#This Row],[Service Area]],PathwayLookup!A:B,2,0)</f>
        <v>Reablement &amp; Rehabilitation in a bedded setting (pathway 2)</v>
      </c>
      <c r="C923" t="s">
        <v>327</v>
      </c>
      <c r="D923" t="s">
        <v>725</v>
      </c>
      <c r="E923">
        <v>10.511008385439837</v>
      </c>
      <c r="F923">
        <v>12.690809861509454</v>
      </c>
      <c r="G923">
        <v>10.231569356281344</v>
      </c>
      <c r="H923">
        <v>7.7253495383776558</v>
      </c>
      <c r="I923">
        <v>8.6431344650271065</v>
      </c>
      <c r="J923">
        <v>7.6229919405634305</v>
      </c>
      <c r="K923">
        <v>7.5189176159099036</v>
      </c>
      <c r="L923">
        <v>7.2225882097841199</v>
      </c>
      <c r="M923">
        <v>7.8796735312091775</v>
      </c>
      <c r="N923">
        <v>7.7236881898234975</v>
      </c>
      <c r="O923">
        <v>7.3849737250647793</v>
      </c>
      <c r="P923">
        <v>7.7228021372612803</v>
      </c>
      <c r="W923"/>
      <c r="X923"/>
      <c r="Y923"/>
    </row>
    <row r="924" spans="1:25" x14ac:dyDescent="0.3">
      <c r="A924" t="str">
        <f>Table_Capacity_HD_frontsheet[[#This Row],[Name]]&amp;B924</f>
        <v>Tower HamletsShort term domiciliary care (pathway 1)</v>
      </c>
      <c r="B924" t="str">
        <f>VLOOKUP(Table_Capacity_HD_frontsheet[[#This Row],[Service Area]],PathwayLookup!A:B,2,0)</f>
        <v>Short term domiciliary care (pathway 1)</v>
      </c>
      <c r="C924" t="s">
        <v>327</v>
      </c>
      <c r="D924" t="s">
        <v>730</v>
      </c>
      <c r="E924">
        <v>10.511008385439837</v>
      </c>
      <c r="F924">
        <v>12.690809861509454</v>
      </c>
      <c r="G924">
        <v>10.231569356281344</v>
      </c>
      <c r="H924">
        <v>7.7253495383776558</v>
      </c>
      <c r="I924">
        <v>8.6431344650271065</v>
      </c>
      <c r="J924">
        <v>7.6229919405634305</v>
      </c>
      <c r="K924">
        <v>7.5189176159099036</v>
      </c>
      <c r="L924">
        <v>7.2225882097841199</v>
      </c>
      <c r="M924">
        <v>7.8796735312091775</v>
      </c>
      <c r="N924">
        <v>7.7236881898234975</v>
      </c>
      <c r="O924">
        <v>7.3849737250647793</v>
      </c>
      <c r="P924">
        <v>7.7228021372612803</v>
      </c>
      <c r="W924"/>
      <c r="X924"/>
      <c r="Y924"/>
    </row>
    <row r="925" spans="1:25" x14ac:dyDescent="0.3">
      <c r="A925" t="str">
        <f>Table_Capacity_HD_frontsheet[[#This Row],[Name]]&amp;B925</f>
        <v>Tower HamletsShort-term residential/nursing care for someone likely to require a longer-term care home placement (pathway 3)</v>
      </c>
      <c r="B925" t="str">
        <f>VLOOKUP(Table_Capacity_HD_frontsheet[[#This Row],[Service Area]],PathwayLookup!A:B,2,0)</f>
        <v>Short-term residential/nursing care for someone likely to require a longer-term care home placement (pathway 3)</v>
      </c>
      <c r="C925" t="s">
        <v>327</v>
      </c>
      <c r="D925" t="s">
        <v>731</v>
      </c>
      <c r="E925">
        <v>10.927471322693169</v>
      </c>
      <c r="F925">
        <v>19.087452600801736</v>
      </c>
      <c r="G925">
        <v>11.477459827891282</v>
      </c>
      <c r="H925">
        <v>9.4651219036548948</v>
      </c>
      <c r="I925">
        <v>11.91269799784102</v>
      </c>
      <c r="J925">
        <v>12.31819940873036</v>
      </c>
      <c r="K925">
        <v>11.287202565725298</v>
      </c>
      <c r="L925">
        <v>16.845012504708315</v>
      </c>
      <c r="M925">
        <v>19.797435681844338</v>
      </c>
      <c r="N925">
        <v>19.041378230132217</v>
      </c>
      <c r="O925">
        <v>18.03346697587417</v>
      </c>
      <c r="P925">
        <v>19.444501252637881</v>
      </c>
      <c r="W925"/>
      <c r="X925"/>
      <c r="Y925"/>
    </row>
    <row r="926" spans="1:25" x14ac:dyDescent="0.3">
      <c r="A926" t="str">
        <f>Table_Capacity_HD_frontsheet[[#This Row],[Name]]&amp;B926</f>
        <v>TraffordSocial support (including VCS) (pathway 0)</v>
      </c>
      <c r="B926" t="str">
        <f>VLOOKUP(Table_Capacity_HD_frontsheet[[#This Row],[Service Area]],PathwayLookup!A:B,2,0)</f>
        <v>Social support (including VCS) (pathway 0)</v>
      </c>
      <c r="C926" t="s">
        <v>329</v>
      </c>
      <c r="D926" t="s">
        <v>726</v>
      </c>
      <c r="E926">
        <v>18</v>
      </c>
      <c r="F926">
        <v>30</v>
      </c>
      <c r="G926">
        <v>30</v>
      </c>
      <c r="H926">
        <v>30</v>
      </c>
      <c r="I926">
        <v>30</v>
      </c>
      <c r="J926">
        <v>30</v>
      </c>
      <c r="K926">
        <v>30</v>
      </c>
      <c r="L926">
        <v>32</v>
      </c>
      <c r="M926">
        <v>33</v>
      </c>
      <c r="N926">
        <v>33</v>
      </c>
      <c r="O926">
        <v>32</v>
      </c>
      <c r="P926">
        <v>30</v>
      </c>
      <c r="R926">
        <v>1</v>
      </c>
      <c r="W926"/>
      <c r="X926"/>
      <c r="Y926"/>
    </row>
    <row r="927" spans="1:25" x14ac:dyDescent="0.3">
      <c r="A927" t="str">
        <f>Table_Capacity_HD_frontsheet[[#This Row],[Name]]&amp;B927</f>
        <v>TraffordReablement &amp; Rehabilitation at home  (pathway 1)</v>
      </c>
      <c r="B927" t="str">
        <f>VLOOKUP(Table_Capacity_HD_frontsheet[[#This Row],[Service Area]],PathwayLookup!A:B,2,0)</f>
        <v>Reablement &amp; Rehabilitation at home  (pathway 1)</v>
      </c>
      <c r="C927" t="s">
        <v>329</v>
      </c>
      <c r="D927" t="s">
        <v>728</v>
      </c>
      <c r="E927">
        <v>76</v>
      </c>
      <c r="F927">
        <v>76</v>
      </c>
      <c r="G927">
        <v>76</v>
      </c>
      <c r="H927">
        <v>76</v>
      </c>
      <c r="I927">
        <v>76</v>
      </c>
      <c r="J927">
        <v>76</v>
      </c>
      <c r="K927">
        <v>76</v>
      </c>
      <c r="L927">
        <v>76</v>
      </c>
      <c r="M927">
        <v>76</v>
      </c>
      <c r="N927">
        <v>76</v>
      </c>
      <c r="O927">
        <v>76</v>
      </c>
      <c r="P927">
        <v>76</v>
      </c>
      <c r="Q927">
        <v>0.5</v>
      </c>
      <c r="R927">
        <v>0.5</v>
      </c>
      <c r="S927">
        <v>1</v>
      </c>
      <c r="W927"/>
      <c r="X927"/>
      <c r="Y927"/>
    </row>
    <row r="928" spans="1:25" x14ac:dyDescent="0.3">
      <c r="A928" t="str">
        <f>Table_Capacity_HD_frontsheet[[#This Row],[Name]]&amp;B928</f>
        <v>TraffordReablement &amp; Rehabilitation at home  (pathway 1)</v>
      </c>
      <c r="B928" t="str">
        <f>VLOOKUP(Table_Capacity_HD_frontsheet[[#This Row],[Service Area]],PathwayLookup!A:B,2,0)</f>
        <v>Reablement &amp; Rehabilitation at home  (pathway 1)</v>
      </c>
      <c r="C928" t="s">
        <v>329</v>
      </c>
      <c r="D928" t="s">
        <v>721</v>
      </c>
      <c r="W928"/>
      <c r="X928"/>
      <c r="Y928"/>
    </row>
    <row r="929" spans="1:25" x14ac:dyDescent="0.3">
      <c r="A929" t="str">
        <f>Table_Capacity_HD_frontsheet[[#This Row],[Name]]&amp;B929</f>
        <v>TraffordShort term domiciliary care (pathway 1)</v>
      </c>
      <c r="B929" t="str">
        <f>VLOOKUP(Table_Capacity_HD_frontsheet[[#This Row],[Service Area]],PathwayLookup!A:B,2,0)</f>
        <v>Short term domiciliary care (pathway 1)</v>
      </c>
      <c r="C929" t="s">
        <v>329</v>
      </c>
      <c r="D929" t="s">
        <v>730</v>
      </c>
      <c r="W929"/>
      <c r="X929"/>
      <c r="Y929"/>
    </row>
    <row r="930" spans="1:25" x14ac:dyDescent="0.3">
      <c r="A930" t="str">
        <f>Table_Capacity_HD_frontsheet[[#This Row],[Name]]&amp;B930</f>
        <v>TraffordReablement &amp; Rehabilitation in a bedded setting (pathway 2)</v>
      </c>
      <c r="B930" t="str">
        <f>VLOOKUP(Table_Capacity_HD_frontsheet[[#This Row],[Service Area]],PathwayLookup!A:B,2,0)</f>
        <v>Reablement &amp; Rehabilitation in a bedded setting (pathway 2)</v>
      </c>
      <c r="C930" t="s">
        <v>329</v>
      </c>
      <c r="D930" t="s">
        <v>723</v>
      </c>
      <c r="W930"/>
      <c r="X930"/>
      <c r="Y930"/>
    </row>
    <row r="931" spans="1:25" x14ac:dyDescent="0.3">
      <c r="A931" t="str">
        <f>Table_Capacity_HD_frontsheet[[#This Row],[Name]]&amp;B931</f>
        <v>TraffordReablement &amp; Rehabilitation in a bedded setting (pathway 2)</v>
      </c>
      <c r="B931" t="str">
        <f>VLOOKUP(Table_Capacity_HD_frontsheet[[#This Row],[Service Area]],PathwayLookup!A:B,2,0)</f>
        <v>Reablement &amp; Rehabilitation in a bedded setting (pathway 2)</v>
      </c>
      <c r="C931" t="s">
        <v>329</v>
      </c>
      <c r="D931" t="s">
        <v>725</v>
      </c>
      <c r="E931">
        <v>36</v>
      </c>
      <c r="F931">
        <v>36</v>
      </c>
      <c r="G931">
        <v>36</v>
      </c>
      <c r="H931">
        <v>36</v>
      </c>
      <c r="I931">
        <v>36</v>
      </c>
      <c r="J931">
        <v>36</v>
      </c>
      <c r="K931">
        <v>36</v>
      </c>
      <c r="L931">
        <v>36</v>
      </c>
      <c r="M931">
        <v>36</v>
      </c>
      <c r="N931">
        <v>36</v>
      </c>
      <c r="O931">
        <v>36</v>
      </c>
      <c r="P931">
        <v>36</v>
      </c>
      <c r="Q931">
        <v>1</v>
      </c>
      <c r="W931"/>
      <c r="X931"/>
      <c r="Y931"/>
    </row>
    <row r="932" spans="1:25" x14ac:dyDescent="0.3">
      <c r="A932" t="str">
        <f>Table_Capacity_HD_frontsheet[[#This Row],[Name]]&amp;B932</f>
        <v>TraffordShort-term residential/nursing care for someone likely to require a longer-term care home placement (pathway 3)</v>
      </c>
      <c r="B932" t="str">
        <f>VLOOKUP(Table_Capacity_HD_frontsheet[[#This Row],[Service Area]],PathwayLookup!A:B,2,0)</f>
        <v>Short-term residential/nursing care for someone likely to require a longer-term care home placement (pathway 3)</v>
      </c>
      <c r="C932" t="s">
        <v>329</v>
      </c>
      <c r="D932" t="s">
        <v>731</v>
      </c>
      <c r="E932">
        <v>41</v>
      </c>
      <c r="F932">
        <v>41</v>
      </c>
      <c r="G932">
        <v>36</v>
      </c>
      <c r="H932">
        <v>36</v>
      </c>
      <c r="I932">
        <v>36</v>
      </c>
      <c r="J932">
        <v>36</v>
      </c>
      <c r="K932">
        <v>37</v>
      </c>
      <c r="L932">
        <v>42</v>
      </c>
      <c r="M932">
        <v>45</v>
      </c>
      <c r="N932">
        <v>45</v>
      </c>
      <c r="O932">
        <v>45</v>
      </c>
      <c r="P932">
        <v>45</v>
      </c>
      <c r="Q932">
        <v>0.2</v>
      </c>
      <c r="R932">
        <v>0.8</v>
      </c>
      <c r="W932"/>
      <c r="X932"/>
      <c r="Y932"/>
    </row>
    <row r="933" spans="1:25" x14ac:dyDescent="0.3">
      <c r="A933" t="str">
        <f>Table_Capacity_HD_frontsheet[[#This Row],[Name]]&amp;B933</f>
        <v>WakefieldSocial support (including VCS) (pathway 0)</v>
      </c>
      <c r="B933" t="str">
        <f>VLOOKUP(Table_Capacity_HD_frontsheet[[#This Row],[Service Area]],PathwayLookup!A:B,2,0)</f>
        <v>Social support (including VCS) (pathway 0)</v>
      </c>
      <c r="C933" t="s">
        <v>331</v>
      </c>
      <c r="D933" t="s">
        <v>726</v>
      </c>
      <c r="E933">
        <v>23</v>
      </c>
      <c r="F933">
        <v>23</v>
      </c>
      <c r="G933">
        <v>23</v>
      </c>
      <c r="H933">
        <v>23</v>
      </c>
      <c r="I933">
        <v>23</v>
      </c>
      <c r="J933">
        <v>23</v>
      </c>
      <c r="K933">
        <v>23</v>
      </c>
      <c r="L933">
        <v>23</v>
      </c>
      <c r="M933">
        <v>23</v>
      </c>
      <c r="N933">
        <v>23</v>
      </c>
      <c r="O933">
        <v>23</v>
      </c>
      <c r="P933">
        <v>23</v>
      </c>
      <c r="W933"/>
      <c r="X933"/>
      <c r="Y933"/>
    </row>
    <row r="934" spans="1:25" x14ac:dyDescent="0.3">
      <c r="A934" t="str">
        <f>Table_Capacity_HD_frontsheet[[#This Row],[Name]]&amp;B934</f>
        <v>WakefieldReablement &amp; Rehabilitation at home  (pathway 1)</v>
      </c>
      <c r="B934" t="str">
        <f>VLOOKUP(Table_Capacity_HD_frontsheet[[#This Row],[Service Area]],PathwayLookup!A:B,2,0)</f>
        <v>Reablement &amp; Rehabilitation at home  (pathway 1)</v>
      </c>
      <c r="C934" t="s">
        <v>331</v>
      </c>
      <c r="D934" t="s">
        <v>728</v>
      </c>
      <c r="E934">
        <v>49</v>
      </c>
      <c r="F934">
        <v>60</v>
      </c>
      <c r="G934">
        <v>54</v>
      </c>
      <c r="H934">
        <v>51</v>
      </c>
      <c r="I934">
        <v>57</v>
      </c>
      <c r="J934">
        <v>54</v>
      </c>
      <c r="K934">
        <v>50</v>
      </c>
      <c r="L934">
        <v>69</v>
      </c>
      <c r="M934">
        <v>53</v>
      </c>
      <c r="N934">
        <v>67</v>
      </c>
      <c r="O934">
        <v>55</v>
      </c>
      <c r="P934">
        <v>57</v>
      </c>
      <c r="W934"/>
      <c r="X934"/>
      <c r="Y934"/>
    </row>
    <row r="935" spans="1:25" x14ac:dyDescent="0.3">
      <c r="A935" t="str">
        <f>Table_Capacity_HD_frontsheet[[#This Row],[Name]]&amp;B935</f>
        <v>WakefieldReablement &amp; Rehabilitation at home  (pathway 1)</v>
      </c>
      <c r="B935" t="str">
        <f>VLOOKUP(Table_Capacity_HD_frontsheet[[#This Row],[Service Area]],PathwayLookup!A:B,2,0)</f>
        <v>Reablement &amp; Rehabilitation at home  (pathway 1)</v>
      </c>
      <c r="C935" t="s">
        <v>331</v>
      </c>
      <c r="D935" t="s">
        <v>721</v>
      </c>
      <c r="E935">
        <v>270</v>
      </c>
      <c r="F935">
        <v>274</v>
      </c>
      <c r="G935">
        <v>274</v>
      </c>
      <c r="H935">
        <v>274</v>
      </c>
      <c r="I935">
        <v>274</v>
      </c>
      <c r="J935">
        <v>274</v>
      </c>
      <c r="K935">
        <v>274</v>
      </c>
      <c r="L935">
        <v>274</v>
      </c>
      <c r="M935">
        <v>274</v>
      </c>
      <c r="N935">
        <v>274</v>
      </c>
      <c r="O935">
        <v>274</v>
      </c>
      <c r="P935">
        <v>274</v>
      </c>
      <c r="W935"/>
      <c r="X935"/>
      <c r="Y935"/>
    </row>
    <row r="936" spans="1:25" x14ac:dyDescent="0.3">
      <c r="A936" t="str">
        <f>Table_Capacity_HD_frontsheet[[#This Row],[Name]]&amp;B936</f>
        <v>WakefieldShort term domiciliary care (pathway 1)</v>
      </c>
      <c r="B936" t="str">
        <f>VLOOKUP(Table_Capacity_HD_frontsheet[[#This Row],[Service Area]],PathwayLookup!A:B,2,0)</f>
        <v>Short term domiciliary care (pathway 1)</v>
      </c>
      <c r="C936" t="s">
        <v>331</v>
      </c>
      <c r="D936" t="s">
        <v>730</v>
      </c>
      <c r="E936">
        <v>10</v>
      </c>
      <c r="F936">
        <v>10</v>
      </c>
      <c r="G936">
        <v>10</v>
      </c>
      <c r="H936">
        <v>10</v>
      </c>
      <c r="I936">
        <v>10</v>
      </c>
      <c r="J936">
        <v>10</v>
      </c>
      <c r="K936">
        <v>10</v>
      </c>
      <c r="L936">
        <v>10</v>
      </c>
      <c r="M936">
        <v>10</v>
      </c>
      <c r="N936">
        <v>10</v>
      </c>
      <c r="O936">
        <v>10</v>
      </c>
      <c r="P936">
        <v>10</v>
      </c>
      <c r="W936"/>
      <c r="X936"/>
      <c r="Y936"/>
    </row>
    <row r="937" spans="1:25" x14ac:dyDescent="0.3">
      <c r="A937" t="str">
        <f>Table_Capacity_HD_frontsheet[[#This Row],[Name]]&amp;B937</f>
        <v>WakefieldReablement &amp; Rehabilitation in a bedded setting (pathway 2)</v>
      </c>
      <c r="B937" t="str">
        <f>VLOOKUP(Table_Capacity_HD_frontsheet[[#This Row],[Service Area]],PathwayLookup!A:B,2,0)</f>
        <v>Reablement &amp; Rehabilitation in a bedded setting (pathway 2)</v>
      </c>
      <c r="C937" t="s">
        <v>331</v>
      </c>
      <c r="D937" t="s">
        <v>723</v>
      </c>
      <c r="E937">
        <v>24</v>
      </c>
      <c r="F937">
        <v>24</v>
      </c>
      <c r="G937">
        <v>24</v>
      </c>
      <c r="H937">
        <v>24</v>
      </c>
      <c r="I937">
        <v>24</v>
      </c>
      <c r="J937">
        <v>24</v>
      </c>
      <c r="K937">
        <v>24</v>
      </c>
      <c r="L937">
        <v>24</v>
      </c>
      <c r="M937">
        <v>24</v>
      </c>
      <c r="N937">
        <v>24</v>
      </c>
      <c r="O937">
        <v>24</v>
      </c>
      <c r="P937">
        <v>24</v>
      </c>
      <c r="W937"/>
      <c r="X937"/>
      <c r="Y937"/>
    </row>
    <row r="938" spans="1:25" x14ac:dyDescent="0.3">
      <c r="A938" t="str">
        <f>Table_Capacity_HD_frontsheet[[#This Row],[Name]]&amp;B938</f>
        <v>WakefieldReablement &amp; Rehabilitation in a bedded setting (pathway 2)</v>
      </c>
      <c r="B938" t="str">
        <f>VLOOKUP(Table_Capacity_HD_frontsheet[[#This Row],[Service Area]],PathwayLookup!A:B,2,0)</f>
        <v>Reablement &amp; Rehabilitation in a bedded setting (pathway 2)</v>
      </c>
      <c r="C938" t="s">
        <v>331</v>
      </c>
      <c r="D938" t="s">
        <v>725</v>
      </c>
      <c r="E938">
        <v>22</v>
      </c>
      <c r="F938">
        <v>22</v>
      </c>
      <c r="G938">
        <v>22</v>
      </c>
      <c r="H938">
        <v>22</v>
      </c>
      <c r="I938">
        <v>22</v>
      </c>
      <c r="J938">
        <v>22</v>
      </c>
      <c r="K938">
        <v>26</v>
      </c>
      <c r="L938">
        <v>26</v>
      </c>
      <c r="M938">
        <v>26</v>
      </c>
      <c r="N938">
        <v>26</v>
      </c>
      <c r="O938">
        <v>26</v>
      </c>
      <c r="P938">
        <v>26</v>
      </c>
      <c r="W938"/>
      <c r="X938"/>
      <c r="Y938"/>
    </row>
    <row r="939" spans="1:25" x14ac:dyDescent="0.3">
      <c r="A939" t="str">
        <f>Table_Capacity_HD_frontsheet[[#This Row],[Name]]&amp;B939</f>
        <v>WakefieldShort-term residential/nursing care for someone likely to require a longer-term care home placement (pathway 3)</v>
      </c>
      <c r="B939" t="str">
        <f>VLOOKUP(Table_Capacity_HD_frontsheet[[#This Row],[Service Area]],PathwayLookup!A:B,2,0)</f>
        <v>Short-term residential/nursing care for someone likely to require a longer-term care home placement (pathway 3)</v>
      </c>
      <c r="C939" t="s">
        <v>331</v>
      </c>
      <c r="D939" t="s">
        <v>731</v>
      </c>
      <c r="E939">
        <v>18</v>
      </c>
      <c r="F939">
        <v>18</v>
      </c>
      <c r="G939">
        <v>18</v>
      </c>
      <c r="H939">
        <v>18</v>
      </c>
      <c r="I939">
        <v>18</v>
      </c>
      <c r="J939">
        <v>18</v>
      </c>
      <c r="K939">
        <v>18</v>
      </c>
      <c r="L939">
        <v>18</v>
      </c>
      <c r="M939">
        <v>18</v>
      </c>
      <c r="N939">
        <v>18</v>
      </c>
      <c r="O939">
        <v>18</v>
      </c>
      <c r="P939">
        <v>18</v>
      </c>
      <c r="W939"/>
      <c r="X939"/>
      <c r="Y939"/>
    </row>
    <row r="940" spans="1:25" x14ac:dyDescent="0.3">
      <c r="A940" t="str">
        <f>Table_Capacity_HD_frontsheet[[#This Row],[Name]]&amp;B940</f>
        <v>WalsallSocial support (including VCS) (pathway 0)</v>
      </c>
      <c r="B940" t="str">
        <f>VLOOKUP(Table_Capacity_HD_frontsheet[[#This Row],[Service Area]],PathwayLookup!A:B,2,0)</f>
        <v>Social support (including VCS) (pathway 0)</v>
      </c>
      <c r="C940" t="s">
        <v>333</v>
      </c>
      <c r="D940" t="s">
        <v>726</v>
      </c>
      <c r="W940"/>
      <c r="X940"/>
      <c r="Y940"/>
    </row>
    <row r="941" spans="1:25" x14ac:dyDescent="0.3">
      <c r="A941" t="str">
        <f>Table_Capacity_HD_frontsheet[[#This Row],[Name]]&amp;B941</f>
        <v>WalsallReablement &amp; Rehabilitation at home  (pathway 1)</v>
      </c>
      <c r="B941" t="str">
        <f>VLOOKUP(Table_Capacity_HD_frontsheet[[#This Row],[Service Area]],PathwayLookup!A:B,2,0)</f>
        <v>Reablement &amp; Rehabilitation at home  (pathway 1)</v>
      </c>
      <c r="C941" t="s">
        <v>333</v>
      </c>
      <c r="D941" t="s">
        <v>728</v>
      </c>
      <c r="E941">
        <v>148</v>
      </c>
      <c r="F941">
        <v>133</v>
      </c>
      <c r="G941">
        <v>176</v>
      </c>
      <c r="H941">
        <v>165</v>
      </c>
      <c r="I941">
        <v>157</v>
      </c>
      <c r="J941">
        <v>160</v>
      </c>
      <c r="K941">
        <v>175</v>
      </c>
      <c r="L941">
        <v>200</v>
      </c>
      <c r="M941">
        <v>200</v>
      </c>
      <c r="N941">
        <v>180</v>
      </c>
      <c r="O941">
        <v>202</v>
      </c>
      <c r="P941">
        <v>139</v>
      </c>
      <c r="S941">
        <v>1</v>
      </c>
      <c r="W941"/>
      <c r="X941"/>
      <c r="Y941"/>
    </row>
    <row r="942" spans="1:25" x14ac:dyDescent="0.3">
      <c r="A942" t="str">
        <f>Table_Capacity_HD_frontsheet[[#This Row],[Name]]&amp;B942</f>
        <v>WalsallReablement &amp; Rehabilitation at home  (pathway 1)</v>
      </c>
      <c r="B942" t="str">
        <f>VLOOKUP(Table_Capacity_HD_frontsheet[[#This Row],[Service Area]],PathwayLookup!A:B,2,0)</f>
        <v>Reablement &amp; Rehabilitation at home  (pathway 1)</v>
      </c>
      <c r="C942" t="s">
        <v>333</v>
      </c>
      <c r="D942" t="s">
        <v>721</v>
      </c>
      <c r="E942">
        <v>48</v>
      </c>
      <c r="F942">
        <v>47</v>
      </c>
      <c r="G942">
        <v>48</v>
      </c>
      <c r="H942">
        <v>55</v>
      </c>
      <c r="I942">
        <v>53</v>
      </c>
      <c r="J942">
        <v>30</v>
      </c>
      <c r="K942">
        <v>55</v>
      </c>
      <c r="L942">
        <v>50</v>
      </c>
      <c r="M942">
        <v>50</v>
      </c>
      <c r="N942">
        <v>56</v>
      </c>
      <c r="O942">
        <v>54</v>
      </c>
      <c r="P942">
        <v>49</v>
      </c>
      <c r="S942">
        <v>1</v>
      </c>
      <c r="W942"/>
      <c r="X942"/>
      <c r="Y942"/>
    </row>
    <row r="943" spans="1:25" x14ac:dyDescent="0.3">
      <c r="A943" t="str">
        <f>Table_Capacity_HD_frontsheet[[#This Row],[Name]]&amp;B943</f>
        <v>WalsallShort term domiciliary care (pathway 1)</v>
      </c>
      <c r="B943" t="str">
        <f>VLOOKUP(Table_Capacity_HD_frontsheet[[#This Row],[Service Area]],PathwayLookup!A:B,2,0)</f>
        <v>Short term domiciliary care (pathway 1)</v>
      </c>
      <c r="C943" t="s">
        <v>333</v>
      </c>
      <c r="D943" t="s">
        <v>730</v>
      </c>
      <c r="W943"/>
      <c r="X943"/>
      <c r="Y943"/>
    </row>
    <row r="944" spans="1:25" x14ac:dyDescent="0.3">
      <c r="A944" t="str">
        <f>Table_Capacity_HD_frontsheet[[#This Row],[Name]]&amp;B944</f>
        <v>WalsallReablement &amp; Rehabilitation in a bedded setting (pathway 2)</v>
      </c>
      <c r="B944" t="str">
        <f>VLOOKUP(Table_Capacity_HD_frontsheet[[#This Row],[Service Area]],PathwayLookup!A:B,2,0)</f>
        <v>Reablement &amp; Rehabilitation in a bedded setting (pathway 2)</v>
      </c>
      <c r="C944" t="s">
        <v>333</v>
      </c>
      <c r="D944" t="s">
        <v>723</v>
      </c>
      <c r="W944"/>
      <c r="X944"/>
      <c r="Y944"/>
    </row>
    <row r="945" spans="1:25" x14ac:dyDescent="0.3">
      <c r="A945" t="str">
        <f>Table_Capacity_HD_frontsheet[[#This Row],[Name]]&amp;B945</f>
        <v>WalsallReablement &amp; Rehabilitation in a bedded setting (pathway 2)</v>
      </c>
      <c r="B945" t="str">
        <f>VLOOKUP(Table_Capacity_HD_frontsheet[[#This Row],[Service Area]],PathwayLookup!A:B,2,0)</f>
        <v>Reablement &amp; Rehabilitation in a bedded setting (pathway 2)</v>
      </c>
      <c r="C945" t="s">
        <v>333</v>
      </c>
      <c r="D945" t="s">
        <v>725</v>
      </c>
      <c r="E945">
        <v>8</v>
      </c>
      <c r="F945">
        <v>10</v>
      </c>
      <c r="G945">
        <v>8</v>
      </c>
      <c r="H945">
        <v>10</v>
      </c>
      <c r="I945">
        <v>10</v>
      </c>
      <c r="J945">
        <v>12</v>
      </c>
      <c r="K945">
        <v>14</v>
      </c>
      <c r="L945">
        <v>14</v>
      </c>
      <c r="M945">
        <v>17</v>
      </c>
      <c r="N945">
        <v>17</v>
      </c>
      <c r="O945">
        <v>8</v>
      </c>
      <c r="P945">
        <v>14</v>
      </c>
      <c r="S945">
        <v>1</v>
      </c>
      <c r="W945"/>
      <c r="X945"/>
      <c r="Y945"/>
    </row>
    <row r="946" spans="1:25" x14ac:dyDescent="0.3">
      <c r="A946" t="str">
        <f>Table_Capacity_HD_frontsheet[[#This Row],[Name]]&amp;B946</f>
        <v>WalsallShort-term residential/nursing care for someone likely to require a longer-term care home placement (pathway 3)</v>
      </c>
      <c r="B946" t="str">
        <f>VLOOKUP(Table_Capacity_HD_frontsheet[[#This Row],[Service Area]],PathwayLookup!A:B,2,0)</f>
        <v>Short-term residential/nursing care for someone likely to require a longer-term care home placement (pathway 3)</v>
      </c>
      <c r="C946" t="s">
        <v>333</v>
      </c>
      <c r="D946" t="s">
        <v>731</v>
      </c>
      <c r="E946">
        <v>33</v>
      </c>
      <c r="F946">
        <v>39</v>
      </c>
      <c r="G946">
        <v>18</v>
      </c>
      <c r="H946">
        <v>30</v>
      </c>
      <c r="I946">
        <v>30</v>
      </c>
      <c r="J946">
        <v>34</v>
      </c>
      <c r="K946">
        <v>37</v>
      </c>
      <c r="L946">
        <v>37</v>
      </c>
      <c r="M946">
        <v>48</v>
      </c>
      <c r="N946">
        <v>46</v>
      </c>
      <c r="O946">
        <v>32</v>
      </c>
      <c r="P946">
        <v>37</v>
      </c>
      <c r="S946">
        <v>1</v>
      </c>
      <c r="W946"/>
      <c r="X946"/>
      <c r="Y946"/>
    </row>
    <row r="947" spans="1:25" x14ac:dyDescent="0.3">
      <c r="A947" t="str">
        <f>Table_Capacity_HD_frontsheet[[#This Row],[Name]]&amp;B947</f>
        <v>Waltham ForestSocial support (including VCS) (pathway 0)</v>
      </c>
      <c r="B947" t="str">
        <f>VLOOKUP(Table_Capacity_HD_frontsheet[[#This Row],[Service Area]],PathwayLookup!A:B,2,0)</f>
        <v>Social support (including VCS) (pathway 0)</v>
      </c>
      <c r="C947" t="s">
        <v>335</v>
      </c>
      <c r="D947" t="s">
        <v>726</v>
      </c>
      <c r="E947">
        <v>608.55050471124264</v>
      </c>
      <c r="F947">
        <v>725.06449684729819</v>
      </c>
      <c r="G947">
        <v>705.20169978082652</v>
      </c>
      <c r="H947">
        <v>848.14760812147904</v>
      </c>
      <c r="I947">
        <v>874.69024749320852</v>
      </c>
      <c r="J947">
        <v>864.3615067191887</v>
      </c>
      <c r="K947">
        <v>869.56728732297995</v>
      </c>
      <c r="L947">
        <v>890.08491086118704</v>
      </c>
      <c r="M947">
        <v>861.9386157345217</v>
      </c>
      <c r="N947">
        <v>852.38951230799637</v>
      </c>
      <c r="O947">
        <v>861.49602432089739</v>
      </c>
      <c r="P947">
        <v>853.77952146676876</v>
      </c>
      <c r="W947"/>
      <c r="X947"/>
      <c r="Y947"/>
    </row>
    <row r="948" spans="1:25" x14ac:dyDescent="0.3">
      <c r="A948" t="str">
        <f>Table_Capacity_HD_frontsheet[[#This Row],[Name]]&amp;B948</f>
        <v>Waltham ForestReablement &amp; Rehabilitation at home  (pathway 1)</v>
      </c>
      <c r="B948" t="str">
        <f>VLOOKUP(Table_Capacity_HD_frontsheet[[#This Row],[Service Area]],PathwayLookup!A:B,2,0)</f>
        <v>Reablement &amp; Rehabilitation at home  (pathway 1)</v>
      </c>
      <c r="C948" t="s">
        <v>335</v>
      </c>
      <c r="D948" t="s">
        <v>728</v>
      </c>
      <c r="E948">
        <v>82.438209285792922</v>
      </c>
      <c r="F948">
        <v>97.380000156605263</v>
      </c>
      <c r="G948">
        <v>92.729529222750131</v>
      </c>
      <c r="H948">
        <v>93.039560618340474</v>
      </c>
      <c r="I948">
        <v>87.583869254271519</v>
      </c>
      <c r="J948">
        <v>87.446077522898051</v>
      </c>
      <c r="K948">
        <v>86.791566798874001</v>
      </c>
      <c r="L948">
        <v>89.771312989825603</v>
      </c>
      <c r="M948">
        <v>89.115759869258198</v>
      </c>
      <c r="N948">
        <v>108.8124078689991</v>
      </c>
      <c r="O948">
        <v>86.072724245733411</v>
      </c>
      <c r="P948">
        <v>86.774342832452319</v>
      </c>
      <c r="W948"/>
      <c r="X948"/>
      <c r="Y948"/>
    </row>
    <row r="949" spans="1:25" x14ac:dyDescent="0.3">
      <c r="A949" t="str">
        <f>Table_Capacity_HD_frontsheet[[#This Row],[Name]]&amp;B949</f>
        <v>Waltham ForestReablement &amp; Rehabilitation at home  (pathway 1)</v>
      </c>
      <c r="B949" t="str">
        <f>VLOOKUP(Table_Capacity_HD_frontsheet[[#This Row],[Service Area]],PathwayLookup!A:B,2,0)</f>
        <v>Reablement &amp; Rehabilitation at home  (pathway 1)</v>
      </c>
      <c r="C949" t="s">
        <v>335</v>
      </c>
      <c r="D949" t="s">
        <v>721</v>
      </c>
      <c r="E949">
        <v>17.696847277532761</v>
      </c>
      <c r="F949">
        <v>14.839716854885832</v>
      </c>
      <c r="G949">
        <v>11.321897534093775</v>
      </c>
      <c r="H949">
        <v>19.330836003841476</v>
      </c>
      <c r="I949">
        <v>7.0035994775024744</v>
      </c>
      <c r="J949">
        <v>12.167134556245561</v>
      </c>
      <c r="K949">
        <v>6.6923102692779377</v>
      </c>
      <c r="L949">
        <v>9.8055299898780692</v>
      </c>
      <c r="M949">
        <v>6.9428967826014736</v>
      </c>
      <c r="N949">
        <v>2.1609245438038704</v>
      </c>
      <c r="O949">
        <v>8.6248727372527405</v>
      </c>
      <c r="P949">
        <v>10.732259107456214</v>
      </c>
      <c r="W949"/>
      <c r="X949"/>
      <c r="Y949"/>
    </row>
    <row r="950" spans="1:25" x14ac:dyDescent="0.3">
      <c r="A950" t="str">
        <f>Table_Capacity_HD_frontsheet[[#This Row],[Name]]&amp;B950</f>
        <v>Waltham ForestShort term domiciliary care (pathway 1)</v>
      </c>
      <c r="B950" t="str">
        <f>VLOOKUP(Table_Capacity_HD_frontsheet[[#This Row],[Service Area]],PathwayLookup!A:B,2,0)</f>
        <v>Short term domiciliary care (pathway 1)</v>
      </c>
      <c r="C950" t="s">
        <v>335</v>
      </c>
      <c r="D950" t="s">
        <v>730</v>
      </c>
      <c r="E950">
        <v>17.696847277532761</v>
      </c>
      <c r="F950">
        <v>14.839716854885832</v>
      </c>
      <c r="G950">
        <v>11.321897534093775</v>
      </c>
      <c r="H950">
        <v>19.330836003841476</v>
      </c>
      <c r="I950">
        <v>7.0035994775024744</v>
      </c>
      <c r="J950">
        <v>12.167134556245561</v>
      </c>
      <c r="K950">
        <v>6.6923102692779377</v>
      </c>
      <c r="L950">
        <v>9.8055299898780692</v>
      </c>
      <c r="M950">
        <v>6.9428967826014736</v>
      </c>
      <c r="N950">
        <v>2.1609245438038704</v>
      </c>
      <c r="O950">
        <v>8.6248727372527405</v>
      </c>
      <c r="P950">
        <v>10.732259107456214</v>
      </c>
      <c r="W950"/>
      <c r="X950"/>
      <c r="Y950"/>
    </row>
    <row r="951" spans="1:25" x14ac:dyDescent="0.3">
      <c r="A951" t="str">
        <f>Table_Capacity_HD_frontsheet[[#This Row],[Name]]&amp;B951</f>
        <v>Waltham ForestReablement &amp; Rehabilitation in a bedded setting (pathway 2)</v>
      </c>
      <c r="B951" t="str">
        <f>VLOOKUP(Table_Capacity_HD_frontsheet[[#This Row],[Service Area]],PathwayLookup!A:B,2,0)</f>
        <v>Reablement &amp; Rehabilitation in a bedded setting (pathway 2)</v>
      </c>
      <c r="C951" t="s">
        <v>335</v>
      </c>
      <c r="D951" t="s">
        <v>723</v>
      </c>
      <c r="E951">
        <v>9.5699325166206286</v>
      </c>
      <c r="F951">
        <v>11.545906444314401</v>
      </c>
      <c r="G951">
        <v>9.3657153874712016</v>
      </c>
      <c r="H951">
        <v>7.2302144553292749</v>
      </c>
      <c r="I951">
        <v>8.0369652298900736</v>
      </c>
      <c r="J951">
        <v>7.1396436830880265</v>
      </c>
      <c r="K951">
        <v>7.0448798230415592</v>
      </c>
      <c r="L951">
        <v>6.7994081203246637</v>
      </c>
      <c r="M951">
        <v>7.4707733394980114</v>
      </c>
      <c r="N951">
        <v>7.2261566284210001</v>
      </c>
      <c r="O951">
        <v>6.6898170565535233</v>
      </c>
      <c r="P951">
        <v>7.2239924540699185</v>
      </c>
      <c r="W951"/>
      <c r="X951"/>
      <c r="Y951"/>
    </row>
    <row r="952" spans="1:25" x14ac:dyDescent="0.3">
      <c r="A952" t="str">
        <f>Table_Capacity_HD_frontsheet[[#This Row],[Name]]&amp;B952</f>
        <v>Waltham ForestReablement &amp; Rehabilitation in a bedded setting (pathway 2)</v>
      </c>
      <c r="B952" t="str">
        <f>VLOOKUP(Table_Capacity_HD_frontsheet[[#This Row],[Service Area]],PathwayLookup!A:B,2,0)</f>
        <v>Reablement &amp; Rehabilitation in a bedded setting (pathway 2)</v>
      </c>
      <c r="C952" t="s">
        <v>335</v>
      </c>
      <c r="D952" t="s">
        <v>725</v>
      </c>
      <c r="E952">
        <v>9.5699325166206286</v>
      </c>
      <c r="F952">
        <v>11.545906444314401</v>
      </c>
      <c r="G952">
        <v>9.3657153874712016</v>
      </c>
      <c r="H952">
        <v>7.2302144553292749</v>
      </c>
      <c r="I952">
        <v>8.0369652298900736</v>
      </c>
      <c r="J952">
        <v>7.1396436830880265</v>
      </c>
      <c r="K952">
        <v>7.0448798230415592</v>
      </c>
      <c r="L952">
        <v>6.7994081203246637</v>
      </c>
      <c r="M952">
        <v>7.4707733394980114</v>
      </c>
      <c r="N952">
        <v>7.2261566284210001</v>
      </c>
      <c r="O952">
        <v>6.6898170565535233</v>
      </c>
      <c r="P952">
        <v>7.2239924540699185</v>
      </c>
      <c r="W952"/>
      <c r="X952"/>
      <c r="Y952"/>
    </row>
    <row r="953" spans="1:25" x14ac:dyDescent="0.3">
      <c r="A953" t="str">
        <f>Table_Capacity_HD_frontsheet[[#This Row],[Name]]&amp;B953</f>
        <v>Waltham ForestShort-term residential/nursing care for someone likely to require a longer-term care home placement (pathway 3)</v>
      </c>
      <c r="B953" t="str">
        <f>VLOOKUP(Table_Capacity_HD_frontsheet[[#This Row],[Service Area]],PathwayLookup!A:B,2,0)</f>
        <v>Short-term residential/nursing care for someone likely to require a longer-term care home placement (pathway 3)</v>
      </c>
      <c r="C953" t="s">
        <v>335</v>
      </c>
      <c r="D953" t="s">
        <v>731</v>
      </c>
      <c r="E953">
        <v>11.223300015872194</v>
      </c>
      <c r="F953">
        <v>18.688729993489545</v>
      </c>
      <c r="G953">
        <v>11.908793390543584</v>
      </c>
      <c r="H953">
        <v>10.468608688293619</v>
      </c>
      <c r="I953">
        <v>12.62026748677552</v>
      </c>
      <c r="J953">
        <v>12.973290507599836</v>
      </c>
      <c r="K953">
        <v>12.051055423598454</v>
      </c>
      <c r="L953">
        <v>17.009097006025097</v>
      </c>
      <c r="M953">
        <v>19.527094095529801</v>
      </c>
      <c r="N953">
        <v>18.872736747434196</v>
      </c>
      <c r="O953">
        <v>17.645029148251762</v>
      </c>
      <c r="P953">
        <v>19.220287005232223</v>
      </c>
      <c r="W953"/>
      <c r="X953"/>
      <c r="Y953"/>
    </row>
    <row r="954" spans="1:25" x14ac:dyDescent="0.3">
      <c r="A954" t="str">
        <f>Table_Capacity_HD_frontsheet[[#This Row],[Name]]&amp;B954</f>
        <v>WandsworthSocial support (including VCS) (pathway 0)</v>
      </c>
      <c r="B954" t="str">
        <f>VLOOKUP(Table_Capacity_HD_frontsheet[[#This Row],[Service Area]],PathwayLookup!A:B,2,0)</f>
        <v>Social support (including VCS) (pathway 0)</v>
      </c>
      <c r="C954" t="s">
        <v>337</v>
      </c>
      <c r="D954" t="s">
        <v>726</v>
      </c>
      <c r="E954">
        <v>36</v>
      </c>
      <c r="F954">
        <v>38</v>
      </c>
      <c r="G954">
        <v>36</v>
      </c>
      <c r="H954">
        <v>38</v>
      </c>
      <c r="I954">
        <v>38</v>
      </c>
      <c r="J954">
        <v>36</v>
      </c>
      <c r="K954">
        <v>38</v>
      </c>
      <c r="L954">
        <v>36</v>
      </c>
      <c r="M954">
        <v>38</v>
      </c>
      <c r="N954">
        <v>38</v>
      </c>
      <c r="O954">
        <v>35</v>
      </c>
      <c r="P954">
        <v>38</v>
      </c>
      <c r="Q954">
        <v>0</v>
      </c>
      <c r="R954">
        <v>1</v>
      </c>
      <c r="S954">
        <v>0</v>
      </c>
      <c r="W954"/>
      <c r="X954"/>
      <c r="Y954"/>
    </row>
    <row r="955" spans="1:25" x14ac:dyDescent="0.3">
      <c r="A955" t="str">
        <f>Table_Capacity_HD_frontsheet[[#This Row],[Name]]&amp;B955</f>
        <v>WandsworthReablement &amp; Rehabilitation at home  (pathway 1)</v>
      </c>
      <c r="B955" t="str">
        <f>VLOOKUP(Table_Capacity_HD_frontsheet[[#This Row],[Service Area]],PathwayLookup!A:B,2,0)</f>
        <v>Reablement &amp; Rehabilitation at home  (pathway 1)</v>
      </c>
      <c r="C955" t="s">
        <v>337</v>
      </c>
      <c r="D955" t="s">
        <v>728</v>
      </c>
      <c r="E955">
        <v>169</v>
      </c>
      <c r="F955">
        <v>174</v>
      </c>
      <c r="G955">
        <v>169</v>
      </c>
      <c r="H955">
        <v>174</v>
      </c>
      <c r="I955">
        <v>174</v>
      </c>
      <c r="J955">
        <v>169</v>
      </c>
      <c r="K955">
        <v>174</v>
      </c>
      <c r="L955">
        <v>169</v>
      </c>
      <c r="M955">
        <v>174</v>
      </c>
      <c r="N955">
        <v>174</v>
      </c>
      <c r="O955">
        <v>163</v>
      </c>
      <c r="P955">
        <v>174</v>
      </c>
      <c r="Q955">
        <v>0.05</v>
      </c>
      <c r="R955">
        <v>0.95</v>
      </c>
      <c r="S955">
        <v>0</v>
      </c>
      <c r="W955"/>
      <c r="X955"/>
      <c r="Y955"/>
    </row>
    <row r="956" spans="1:25" x14ac:dyDescent="0.3">
      <c r="A956" t="str">
        <f>Table_Capacity_HD_frontsheet[[#This Row],[Name]]&amp;B956</f>
        <v>WandsworthReablement &amp; Rehabilitation at home  (pathway 1)</v>
      </c>
      <c r="B956" t="str">
        <f>VLOOKUP(Table_Capacity_HD_frontsheet[[#This Row],[Service Area]],PathwayLookup!A:B,2,0)</f>
        <v>Reablement &amp; Rehabilitation at home  (pathway 1)</v>
      </c>
      <c r="C956" t="s">
        <v>337</v>
      </c>
      <c r="D956" t="s">
        <v>721</v>
      </c>
      <c r="E956">
        <v>158</v>
      </c>
      <c r="F956">
        <v>164</v>
      </c>
      <c r="G956">
        <v>158</v>
      </c>
      <c r="H956">
        <v>164</v>
      </c>
      <c r="I956">
        <v>164</v>
      </c>
      <c r="J956">
        <v>158</v>
      </c>
      <c r="K956">
        <v>164</v>
      </c>
      <c r="L956">
        <v>158</v>
      </c>
      <c r="M956">
        <v>164</v>
      </c>
      <c r="N956">
        <v>164</v>
      </c>
      <c r="O956">
        <v>153</v>
      </c>
      <c r="P956">
        <v>164</v>
      </c>
      <c r="Q956">
        <v>0.9</v>
      </c>
      <c r="R956">
        <v>0.1</v>
      </c>
      <c r="S956">
        <v>0</v>
      </c>
      <c r="W956"/>
      <c r="X956"/>
      <c r="Y956"/>
    </row>
    <row r="957" spans="1:25" x14ac:dyDescent="0.3">
      <c r="A957" t="str">
        <f>Table_Capacity_HD_frontsheet[[#This Row],[Name]]&amp;B957</f>
        <v>WandsworthShort term domiciliary care (pathway 1)</v>
      </c>
      <c r="B957" t="str">
        <f>VLOOKUP(Table_Capacity_HD_frontsheet[[#This Row],[Service Area]],PathwayLookup!A:B,2,0)</f>
        <v>Short term domiciliary care (pathway 1)</v>
      </c>
      <c r="C957" t="s">
        <v>337</v>
      </c>
      <c r="D957" t="s">
        <v>730</v>
      </c>
      <c r="E957">
        <v>4</v>
      </c>
      <c r="F957">
        <v>4</v>
      </c>
      <c r="G957">
        <v>4</v>
      </c>
      <c r="H957">
        <v>4</v>
      </c>
      <c r="I957">
        <v>4</v>
      </c>
      <c r="J957">
        <v>4</v>
      </c>
      <c r="K957">
        <v>4</v>
      </c>
      <c r="L957">
        <v>4</v>
      </c>
      <c r="M957">
        <v>4</v>
      </c>
      <c r="N957">
        <v>4</v>
      </c>
      <c r="O957">
        <v>4</v>
      </c>
      <c r="P957">
        <v>4</v>
      </c>
      <c r="Q957">
        <v>0</v>
      </c>
      <c r="R957">
        <v>1</v>
      </c>
      <c r="S957">
        <v>0</v>
      </c>
      <c r="W957"/>
      <c r="X957"/>
      <c r="Y957"/>
    </row>
    <row r="958" spans="1:25" x14ac:dyDescent="0.3">
      <c r="A958" t="str">
        <f>Table_Capacity_HD_frontsheet[[#This Row],[Name]]&amp;B958</f>
        <v>WandsworthReablement &amp; Rehabilitation in a bedded setting (pathway 2)</v>
      </c>
      <c r="B958" t="str">
        <f>VLOOKUP(Table_Capacity_HD_frontsheet[[#This Row],[Service Area]],PathwayLookup!A:B,2,0)</f>
        <v>Reablement &amp; Rehabilitation in a bedded setting (pathway 2)</v>
      </c>
      <c r="C958" t="s">
        <v>337</v>
      </c>
      <c r="D958" t="s">
        <v>723</v>
      </c>
      <c r="E958">
        <v>0</v>
      </c>
      <c r="F958">
        <v>0</v>
      </c>
      <c r="G958">
        <v>0</v>
      </c>
      <c r="H958">
        <v>0</v>
      </c>
      <c r="I958">
        <v>0</v>
      </c>
      <c r="J958">
        <v>0</v>
      </c>
      <c r="K958">
        <v>0</v>
      </c>
      <c r="L958">
        <v>0</v>
      </c>
      <c r="M958">
        <v>0</v>
      </c>
      <c r="N958">
        <v>0</v>
      </c>
      <c r="O958">
        <v>0</v>
      </c>
      <c r="P958">
        <v>0</v>
      </c>
      <c r="Q958">
        <v>0</v>
      </c>
      <c r="R958">
        <v>0</v>
      </c>
      <c r="S958">
        <v>0</v>
      </c>
      <c r="W958"/>
      <c r="X958"/>
      <c r="Y958"/>
    </row>
    <row r="959" spans="1:25" x14ac:dyDescent="0.3">
      <c r="A959" t="str">
        <f>Table_Capacity_HD_frontsheet[[#This Row],[Name]]&amp;B959</f>
        <v>WandsworthReablement &amp; Rehabilitation in a bedded setting (pathway 2)</v>
      </c>
      <c r="B959" t="str">
        <f>VLOOKUP(Table_Capacity_HD_frontsheet[[#This Row],[Service Area]],PathwayLookup!A:B,2,0)</f>
        <v>Reablement &amp; Rehabilitation in a bedded setting (pathway 2)</v>
      </c>
      <c r="C959" t="s">
        <v>337</v>
      </c>
      <c r="D959" t="s">
        <v>725</v>
      </c>
      <c r="E959">
        <v>35</v>
      </c>
      <c r="F959">
        <v>36</v>
      </c>
      <c r="G959">
        <v>35</v>
      </c>
      <c r="H959">
        <v>36</v>
      </c>
      <c r="I959">
        <v>36</v>
      </c>
      <c r="J959">
        <v>35</v>
      </c>
      <c r="K959">
        <v>36</v>
      </c>
      <c r="L959">
        <v>35</v>
      </c>
      <c r="M959">
        <v>36</v>
      </c>
      <c r="N959">
        <v>36</v>
      </c>
      <c r="O959">
        <v>34</v>
      </c>
      <c r="P959">
        <v>36</v>
      </c>
      <c r="Q959">
        <v>0.3</v>
      </c>
      <c r="R959">
        <v>0.7</v>
      </c>
      <c r="S959">
        <v>0</v>
      </c>
      <c r="W959"/>
      <c r="X959"/>
      <c r="Y959"/>
    </row>
    <row r="960" spans="1:25" x14ac:dyDescent="0.3">
      <c r="A960" t="str">
        <f>Table_Capacity_HD_frontsheet[[#This Row],[Name]]&amp;B960</f>
        <v>WandsworthShort-term residential/nursing care for someone likely to require a longer-term care home placement (pathway 3)</v>
      </c>
      <c r="B960" t="str">
        <f>VLOOKUP(Table_Capacity_HD_frontsheet[[#This Row],[Service Area]],PathwayLookup!A:B,2,0)</f>
        <v>Short-term residential/nursing care for someone likely to require a longer-term care home placement (pathway 3)</v>
      </c>
      <c r="C960" t="s">
        <v>337</v>
      </c>
      <c r="D960" t="s">
        <v>731</v>
      </c>
      <c r="E960">
        <v>26</v>
      </c>
      <c r="F960">
        <v>27</v>
      </c>
      <c r="G960">
        <v>26</v>
      </c>
      <c r="H960">
        <v>27</v>
      </c>
      <c r="I960">
        <v>27</v>
      </c>
      <c r="J960">
        <v>26</v>
      </c>
      <c r="K960">
        <v>27</v>
      </c>
      <c r="L960">
        <v>26</v>
      </c>
      <c r="M960">
        <v>27</v>
      </c>
      <c r="N960">
        <v>27</v>
      </c>
      <c r="O960">
        <v>25</v>
      </c>
      <c r="P960">
        <v>27</v>
      </c>
      <c r="Q960">
        <v>0.3</v>
      </c>
      <c r="R960">
        <v>0.7</v>
      </c>
      <c r="S960">
        <v>0</v>
      </c>
      <c r="W960"/>
      <c r="X960"/>
      <c r="Y960"/>
    </row>
    <row r="961" spans="1:25" x14ac:dyDescent="0.3">
      <c r="A961" t="str">
        <f>Table_Capacity_HD_frontsheet[[#This Row],[Name]]&amp;B961</f>
        <v>WarringtonSocial support (including VCS) (pathway 0)</v>
      </c>
      <c r="B961" t="str">
        <f>VLOOKUP(Table_Capacity_HD_frontsheet[[#This Row],[Service Area]],PathwayLookup!A:B,2,0)</f>
        <v>Social support (including VCS) (pathway 0)</v>
      </c>
      <c r="C961" t="s">
        <v>339</v>
      </c>
      <c r="D961" t="s">
        <v>726</v>
      </c>
      <c r="E961">
        <v>146</v>
      </c>
      <c r="F961">
        <v>146</v>
      </c>
      <c r="G961">
        <v>146</v>
      </c>
      <c r="H961">
        <v>146</v>
      </c>
      <c r="I961">
        <v>146</v>
      </c>
      <c r="J961">
        <v>146</v>
      </c>
      <c r="K961">
        <v>146</v>
      </c>
      <c r="L961">
        <v>146</v>
      </c>
      <c r="M961">
        <v>146</v>
      </c>
      <c r="N961">
        <v>146</v>
      </c>
      <c r="O961">
        <v>146</v>
      </c>
      <c r="P961">
        <v>146</v>
      </c>
      <c r="S961">
        <v>1</v>
      </c>
      <c r="W961"/>
      <c r="X961"/>
      <c r="Y961"/>
    </row>
    <row r="962" spans="1:25" x14ac:dyDescent="0.3">
      <c r="A962" t="str">
        <f>Table_Capacity_HD_frontsheet[[#This Row],[Name]]&amp;B962</f>
        <v>WarringtonReablement &amp; Rehabilitation at home  (pathway 1)</v>
      </c>
      <c r="B962" t="str">
        <f>VLOOKUP(Table_Capacity_HD_frontsheet[[#This Row],[Service Area]],PathwayLookup!A:B,2,0)</f>
        <v>Reablement &amp; Rehabilitation at home  (pathway 1)</v>
      </c>
      <c r="C962" t="s">
        <v>339</v>
      </c>
      <c r="D962" t="s">
        <v>728</v>
      </c>
      <c r="E962">
        <v>113</v>
      </c>
      <c r="F962">
        <v>111</v>
      </c>
      <c r="G962">
        <v>105</v>
      </c>
      <c r="H962">
        <v>114</v>
      </c>
      <c r="I962">
        <v>117</v>
      </c>
      <c r="J962">
        <v>102</v>
      </c>
      <c r="K962">
        <v>105</v>
      </c>
      <c r="L962">
        <v>95</v>
      </c>
      <c r="M962">
        <v>86</v>
      </c>
      <c r="N962">
        <v>95</v>
      </c>
      <c r="O962">
        <v>82</v>
      </c>
      <c r="P962">
        <v>99</v>
      </c>
      <c r="S962">
        <v>1</v>
      </c>
      <c r="W962"/>
      <c r="X962"/>
      <c r="Y962"/>
    </row>
    <row r="963" spans="1:25" x14ac:dyDescent="0.3">
      <c r="A963" t="str">
        <f>Table_Capacity_HD_frontsheet[[#This Row],[Name]]&amp;B963</f>
        <v>WarringtonReablement &amp; Rehabilitation at home  (pathway 1)</v>
      </c>
      <c r="B963" t="str">
        <f>VLOOKUP(Table_Capacity_HD_frontsheet[[#This Row],[Service Area]],PathwayLookup!A:B,2,0)</f>
        <v>Reablement &amp; Rehabilitation at home  (pathway 1)</v>
      </c>
      <c r="C963" t="s">
        <v>339</v>
      </c>
      <c r="D963" t="s">
        <v>721</v>
      </c>
      <c r="E963">
        <v>0</v>
      </c>
      <c r="F963">
        <v>0</v>
      </c>
      <c r="G963">
        <v>0</v>
      </c>
      <c r="H963">
        <v>0</v>
      </c>
      <c r="I963">
        <v>0</v>
      </c>
      <c r="J963">
        <v>0</v>
      </c>
      <c r="K963">
        <v>0</v>
      </c>
      <c r="L963">
        <v>0</v>
      </c>
      <c r="M963">
        <v>0</v>
      </c>
      <c r="N963">
        <v>0</v>
      </c>
      <c r="O963">
        <v>0</v>
      </c>
      <c r="P963">
        <v>0</v>
      </c>
      <c r="S963">
        <v>0</v>
      </c>
      <c r="W963"/>
      <c r="X963"/>
      <c r="Y963"/>
    </row>
    <row r="964" spans="1:25" x14ac:dyDescent="0.3">
      <c r="A964" t="str">
        <f>Table_Capacity_HD_frontsheet[[#This Row],[Name]]&amp;B964</f>
        <v>WarringtonShort term domiciliary care (pathway 1)</v>
      </c>
      <c r="B964" t="str">
        <f>VLOOKUP(Table_Capacity_HD_frontsheet[[#This Row],[Service Area]],PathwayLookup!A:B,2,0)</f>
        <v>Short term domiciliary care (pathway 1)</v>
      </c>
      <c r="C964" t="s">
        <v>339</v>
      </c>
      <c r="D964" t="s">
        <v>730</v>
      </c>
      <c r="E964">
        <v>23</v>
      </c>
      <c r="F964">
        <v>23</v>
      </c>
      <c r="G964">
        <v>23</v>
      </c>
      <c r="H964">
        <v>23</v>
      </c>
      <c r="I964">
        <v>23</v>
      </c>
      <c r="J964">
        <v>23</v>
      </c>
      <c r="K964">
        <v>23</v>
      </c>
      <c r="L964">
        <v>23</v>
      </c>
      <c r="M964">
        <v>23</v>
      </c>
      <c r="N964">
        <v>23</v>
      </c>
      <c r="O964">
        <v>23</v>
      </c>
      <c r="P964">
        <v>23</v>
      </c>
      <c r="R964">
        <v>1</v>
      </c>
      <c r="W964"/>
      <c r="X964"/>
      <c r="Y964"/>
    </row>
    <row r="965" spans="1:25" x14ac:dyDescent="0.3">
      <c r="A965" t="str">
        <f>Table_Capacity_HD_frontsheet[[#This Row],[Name]]&amp;B965</f>
        <v>WarringtonReablement &amp; Rehabilitation in a bedded setting (pathway 2)</v>
      </c>
      <c r="B965" t="str">
        <f>VLOOKUP(Table_Capacity_HD_frontsheet[[#This Row],[Service Area]],PathwayLookup!A:B,2,0)</f>
        <v>Reablement &amp; Rehabilitation in a bedded setting (pathway 2)</v>
      </c>
      <c r="C965" t="s">
        <v>339</v>
      </c>
      <c r="D965" t="s">
        <v>723</v>
      </c>
      <c r="E965">
        <v>26</v>
      </c>
      <c r="F965">
        <v>26</v>
      </c>
      <c r="G965">
        <v>26</v>
      </c>
      <c r="H965">
        <v>26</v>
      </c>
      <c r="I965">
        <v>26</v>
      </c>
      <c r="J965">
        <v>26</v>
      </c>
      <c r="K965">
        <v>26</v>
      </c>
      <c r="L965">
        <v>26</v>
      </c>
      <c r="M965">
        <v>26</v>
      </c>
      <c r="N965">
        <v>26</v>
      </c>
      <c r="O965">
        <v>26</v>
      </c>
      <c r="P965">
        <v>26</v>
      </c>
      <c r="S965">
        <v>1</v>
      </c>
      <c r="W965"/>
      <c r="X965"/>
      <c r="Y965"/>
    </row>
    <row r="966" spans="1:25" x14ac:dyDescent="0.3">
      <c r="A966" t="str">
        <f>Table_Capacity_HD_frontsheet[[#This Row],[Name]]&amp;B966</f>
        <v>WarringtonReablement &amp; Rehabilitation in a bedded setting (pathway 2)</v>
      </c>
      <c r="B966" t="str">
        <f>VLOOKUP(Table_Capacity_HD_frontsheet[[#This Row],[Service Area]],PathwayLookup!A:B,2,0)</f>
        <v>Reablement &amp; Rehabilitation in a bedded setting (pathway 2)</v>
      </c>
      <c r="C966" t="s">
        <v>339</v>
      </c>
      <c r="D966" t="s">
        <v>725</v>
      </c>
      <c r="E966">
        <v>39</v>
      </c>
      <c r="F966">
        <v>42</v>
      </c>
      <c r="G966">
        <v>29</v>
      </c>
      <c r="H966">
        <v>37</v>
      </c>
      <c r="I966">
        <v>37</v>
      </c>
      <c r="J966">
        <v>37</v>
      </c>
      <c r="K966">
        <v>37</v>
      </c>
      <c r="L966">
        <v>37</v>
      </c>
      <c r="M966">
        <v>37</v>
      </c>
      <c r="N966">
        <v>37</v>
      </c>
      <c r="O966">
        <v>37</v>
      </c>
      <c r="P966">
        <v>37</v>
      </c>
      <c r="S966">
        <v>1</v>
      </c>
      <c r="W966"/>
      <c r="X966"/>
      <c r="Y966"/>
    </row>
    <row r="967" spans="1:25" x14ac:dyDescent="0.3">
      <c r="A967" t="str">
        <f>Table_Capacity_HD_frontsheet[[#This Row],[Name]]&amp;B967</f>
        <v>WarringtonShort-term residential/nursing care for someone likely to require a longer-term care home placement (pathway 3)</v>
      </c>
      <c r="B967" t="str">
        <f>VLOOKUP(Table_Capacity_HD_frontsheet[[#This Row],[Service Area]],PathwayLookup!A:B,2,0)</f>
        <v>Short-term residential/nursing care for someone likely to require a longer-term care home placement (pathway 3)</v>
      </c>
      <c r="C967" t="s">
        <v>339</v>
      </c>
      <c r="D967" t="s">
        <v>731</v>
      </c>
      <c r="E967">
        <v>104</v>
      </c>
      <c r="F967">
        <v>98</v>
      </c>
      <c r="G967">
        <v>95</v>
      </c>
      <c r="H967">
        <v>105</v>
      </c>
      <c r="I967">
        <v>96</v>
      </c>
      <c r="J967">
        <v>103</v>
      </c>
      <c r="K967">
        <v>98</v>
      </c>
      <c r="L967">
        <v>108</v>
      </c>
      <c r="M967">
        <v>105</v>
      </c>
      <c r="N967">
        <v>104</v>
      </c>
      <c r="O967">
        <v>104</v>
      </c>
      <c r="P967">
        <v>99</v>
      </c>
      <c r="Q967">
        <v>0.2</v>
      </c>
      <c r="R967">
        <v>0.8</v>
      </c>
      <c r="W967"/>
      <c r="X967"/>
      <c r="Y967"/>
    </row>
    <row r="968" spans="1:25" x14ac:dyDescent="0.3">
      <c r="A968" t="str">
        <f>Table_Capacity_HD_frontsheet[[#This Row],[Name]]&amp;B968</f>
        <v>WarwickshireSocial support (including VCS) (pathway 0)</v>
      </c>
      <c r="B968" t="str">
        <f>VLOOKUP(Table_Capacity_HD_frontsheet[[#This Row],[Service Area]],PathwayLookup!A:B,2,0)</f>
        <v>Social support (including VCS) (pathway 0)</v>
      </c>
      <c r="C968" t="s">
        <v>341</v>
      </c>
      <c r="D968" t="s">
        <v>726</v>
      </c>
      <c r="E968">
        <v>146</v>
      </c>
      <c r="F968">
        <v>194</v>
      </c>
      <c r="G968">
        <v>163</v>
      </c>
      <c r="H968">
        <v>145</v>
      </c>
      <c r="I968">
        <v>167</v>
      </c>
      <c r="J968">
        <v>160</v>
      </c>
      <c r="K968">
        <v>171</v>
      </c>
      <c r="L968">
        <v>172</v>
      </c>
      <c r="M968">
        <v>158</v>
      </c>
      <c r="N968">
        <v>171</v>
      </c>
      <c r="O968">
        <v>169</v>
      </c>
      <c r="P968">
        <v>153</v>
      </c>
      <c r="R968">
        <v>1</v>
      </c>
      <c r="W968"/>
      <c r="X968"/>
      <c r="Y968"/>
    </row>
    <row r="969" spans="1:25" x14ac:dyDescent="0.3">
      <c r="A969" t="str">
        <f>Table_Capacity_HD_frontsheet[[#This Row],[Name]]&amp;B969</f>
        <v>WarwickshireReablement &amp; Rehabilitation at home  (pathway 1)</v>
      </c>
      <c r="B969" t="str">
        <f>VLOOKUP(Table_Capacity_HD_frontsheet[[#This Row],[Service Area]],PathwayLookup!A:B,2,0)</f>
        <v>Reablement &amp; Rehabilitation at home  (pathway 1)</v>
      </c>
      <c r="C969" t="s">
        <v>341</v>
      </c>
      <c r="D969" t="s">
        <v>728</v>
      </c>
      <c r="E969">
        <v>102</v>
      </c>
      <c r="F969">
        <v>105</v>
      </c>
      <c r="G969">
        <v>102</v>
      </c>
      <c r="H969">
        <v>105</v>
      </c>
      <c r="I969">
        <v>105</v>
      </c>
      <c r="J969">
        <v>102</v>
      </c>
      <c r="K969">
        <v>105</v>
      </c>
      <c r="L969">
        <v>102</v>
      </c>
      <c r="M969">
        <v>105</v>
      </c>
      <c r="N969">
        <v>105</v>
      </c>
      <c r="O969">
        <v>95</v>
      </c>
      <c r="P969">
        <v>105</v>
      </c>
      <c r="R969">
        <v>1</v>
      </c>
      <c r="W969"/>
      <c r="X969"/>
      <c r="Y969"/>
    </row>
    <row r="970" spans="1:25" x14ac:dyDescent="0.3">
      <c r="A970" t="str">
        <f>Table_Capacity_HD_frontsheet[[#This Row],[Name]]&amp;B970</f>
        <v>WarwickshireReablement &amp; Rehabilitation at home  (pathway 1)</v>
      </c>
      <c r="B970" t="str">
        <f>VLOOKUP(Table_Capacity_HD_frontsheet[[#This Row],[Service Area]],PathwayLookup!A:B,2,0)</f>
        <v>Reablement &amp; Rehabilitation at home  (pathway 1)</v>
      </c>
      <c r="C970" t="s">
        <v>341</v>
      </c>
      <c r="D970" t="s">
        <v>721</v>
      </c>
      <c r="E970">
        <v>43</v>
      </c>
      <c r="F970">
        <v>134</v>
      </c>
      <c r="G970">
        <v>129</v>
      </c>
      <c r="H970">
        <v>134</v>
      </c>
      <c r="I970">
        <v>134</v>
      </c>
      <c r="J970">
        <v>129</v>
      </c>
      <c r="K970">
        <v>134</v>
      </c>
      <c r="L970">
        <v>129</v>
      </c>
      <c r="M970">
        <v>134</v>
      </c>
      <c r="N970">
        <v>134</v>
      </c>
      <c r="O970">
        <v>125</v>
      </c>
      <c r="P970">
        <v>134</v>
      </c>
      <c r="R970">
        <v>1</v>
      </c>
      <c r="W970"/>
      <c r="X970"/>
      <c r="Y970"/>
    </row>
    <row r="971" spans="1:25" x14ac:dyDescent="0.3">
      <c r="A971" t="str">
        <f>Table_Capacity_HD_frontsheet[[#This Row],[Name]]&amp;B971</f>
        <v>WarwickshireShort term domiciliary care (pathway 1)</v>
      </c>
      <c r="B971" t="str">
        <f>VLOOKUP(Table_Capacity_HD_frontsheet[[#This Row],[Service Area]],PathwayLookup!A:B,2,0)</f>
        <v>Short term domiciliary care (pathway 1)</v>
      </c>
      <c r="C971" t="s">
        <v>341</v>
      </c>
      <c r="D971" t="s">
        <v>730</v>
      </c>
      <c r="E971">
        <v>414</v>
      </c>
      <c r="F971">
        <v>354</v>
      </c>
      <c r="G971">
        <v>337</v>
      </c>
      <c r="H971">
        <v>356</v>
      </c>
      <c r="I971">
        <v>311</v>
      </c>
      <c r="J971">
        <v>339</v>
      </c>
      <c r="K971">
        <v>380</v>
      </c>
      <c r="L971">
        <v>355</v>
      </c>
      <c r="M971">
        <v>330</v>
      </c>
      <c r="N971">
        <v>330</v>
      </c>
      <c r="O971">
        <v>334</v>
      </c>
      <c r="P971">
        <v>376</v>
      </c>
      <c r="S971">
        <v>1</v>
      </c>
      <c r="W971"/>
      <c r="X971"/>
      <c r="Y971"/>
    </row>
    <row r="972" spans="1:25" x14ac:dyDescent="0.3">
      <c r="A972" t="str">
        <f>Table_Capacity_HD_frontsheet[[#This Row],[Name]]&amp;B972</f>
        <v>WarwickshireReablement &amp; Rehabilitation in a bedded setting (pathway 2)</v>
      </c>
      <c r="B972" t="str">
        <f>VLOOKUP(Table_Capacity_HD_frontsheet[[#This Row],[Service Area]],PathwayLookup!A:B,2,0)</f>
        <v>Reablement &amp; Rehabilitation in a bedded setting (pathway 2)</v>
      </c>
      <c r="C972" t="s">
        <v>341</v>
      </c>
      <c r="D972" t="s">
        <v>723</v>
      </c>
      <c r="E972">
        <v>27.147634969999999</v>
      </c>
      <c r="F972">
        <v>28.0525561</v>
      </c>
      <c r="G972">
        <v>27.147635000000001</v>
      </c>
      <c r="H972">
        <v>28.0525561</v>
      </c>
      <c r="I972">
        <v>28.0525561</v>
      </c>
      <c r="J972">
        <v>27.147635000000001</v>
      </c>
      <c r="K972">
        <v>28.0525561</v>
      </c>
      <c r="L972">
        <v>27.147635000000001</v>
      </c>
      <c r="M972">
        <v>36.670316800000002</v>
      </c>
      <c r="N972">
        <v>47.562208599999998</v>
      </c>
      <c r="O972">
        <v>42.959414299999999</v>
      </c>
      <c r="P972">
        <v>47.562208599999998</v>
      </c>
      <c r="Q972">
        <v>0.2</v>
      </c>
      <c r="R972">
        <v>0.8</v>
      </c>
      <c r="W972"/>
      <c r="X972"/>
      <c r="Y972"/>
    </row>
    <row r="973" spans="1:25" x14ac:dyDescent="0.3">
      <c r="A973" t="str">
        <f>Table_Capacity_HD_frontsheet[[#This Row],[Name]]&amp;B973</f>
        <v>WarwickshireReablement &amp; Rehabilitation in a bedded setting (pathway 2)</v>
      </c>
      <c r="B973" t="str">
        <f>VLOOKUP(Table_Capacity_HD_frontsheet[[#This Row],[Service Area]],PathwayLookup!A:B,2,0)</f>
        <v>Reablement &amp; Rehabilitation in a bedded setting (pathway 2)</v>
      </c>
      <c r="C973" t="s">
        <v>341</v>
      </c>
      <c r="D973" t="s">
        <v>725</v>
      </c>
      <c r="E973">
        <v>51.174559719999998</v>
      </c>
      <c r="F973">
        <v>55.840282999999999</v>
      </c>
      <c r="G973">
        <v>52.573884300000003</v>
      </c>
      <c r="H973">
        <v>50.0297543</v>
      </c>
      <c r="I973">
        <v>49.896485300000002</v>
      </c>
      <c r="J973">
        <v>50.041773200000002</v>
      </c>
      <c r="K973">
        <v>52.108750800000003</v>
      </c>
      <c r="L973">
        <v>53.253556199999998</v>
      </c>
      <c r="M973">
        <v>43.0378756</v>
      </c>
      <c r="N973">
        <v>30.8399474</v>
      </c>
      <c r="O973">
        <v>32.337573999999996</v>
      </c>
      <c r="P973">
        <v>34.638114100000003</v>
      </c>
      <c r="S973">
        <v>1</v>
      </c>
      <c r="W973"/>
      <c r="X973"/>
      <c r="Y973"/>
    </row>
    <row r="974" spans="1:25" x14ac:dyDescent="0.3">
      <c r="A974" t="str">
        <f>Table_Capacity_HD_frontsheet[[#This Row],[Name]]&amp;B974</f>
        <v>WarwickshireShort-term residential/nursing care for someone likely to require a longer-term care home placement (pathway 3)</v>
      </c>
      <c r="B974" t="str">
        <f>VLOOKUP(Table_Capacity_HD_frontsheet[[#This Row],[Service Area]],PathwayLookup!A:B,2,0)</f>
        <v>Short-term residential/nursing care for someone likely to require a longer-term care home placement (pathway 3)</v>
      </c>
      <c r="C974" t="s">
        <v>341</v>
      </c>
      <c r="D974" t="s">
        <v>731</v>
      </c>
      <c r="E974">
        <v>1.4955582270000001</v>
      </c>
      <c r="F974">
        <v>1.60192939</v>
      </c>
      <c r="G974">
        <v>1.52227826</v>
      </c>
      <c r="H974">
        <v>1.49097765</v>
      </c>
      <c r="I974">
        <v>1.4884328899999999</v>
      </c>
      <c r="J974">
        <v>1.47392773</v>
      </c>
      <c r="K974">
        <v>1.53067598</v>
      </c>
      <c r="L974">
        <v>1.5352565600000001</v>
      </c>
      <c r="M974">
        <v>1.52202378</v>
      </c>
      <c r="N974">
        <v>1.4970850899999999</v>
      </c>
      <c r="O974">
        <v>1.43779207</v>
      </c>
      <c r="P974">
        <v>1.5696108799999999</v>
      </c>
      <c r="Q974">
        <v>1</v>
      </c>
      <c r="W974"/>
      <c r="X974"/>
      <c r="Y974"/>
    </row>
    <row r="975" spans="1:25" x14ac:dyDescent="0.3">
      <c r="A975" t="str">
        <f>Table_Capacity_HD_frontsheet[[#This Row],[Name]]&amp;B975</f>
        <v>West BerkshireSocial support (including VCS) (pathway 0)</v>
      </c>
      <c r="B975" t="str">
        <f>VLOOKUP(Table_Capacity_HD_frontsheet[[#This Row],[Service Area]],PathwayLookup!A:B,2,0)</f>
        <v>Social support (including VCS) (pathway 0)</v>
      </c>
      <c r="C975" t="s">
        <v>343</v>
      </c>
      <c r="D975" t="s">
        <v>726</v>
      </c>
      <c r="E975">
        <v>0</v>
      </c>
      <c r="F975">
        <v>0</v>
      </c>
      <c r="G975">
        <v>0</v>
      </c>
      <c r="H975">
        <v>0</v>
      </c>
      <c r="I975">
        <v>0</v>
      </c>
      <c r="J975">
        <v>0</v>
      </c>
      <c r="K975">
        <v>0</v>
      </c>
      <c r="L975">
        <v>0</v>
      </c>
      <c r="M975">
        <v>0</v>
      </c>
      <c r="N975">
        <v>0</v>
      </c>
      <c r="O975">
        <v>0</v>
      </c>
      <c r="P975">
        <v>0</v>
      </c>
      <c r="Q975">
        <v>0</v>
      </c>
      <c r="R975">
        <v>0</v>
      </c>
      <c r="S975">
        <v>0</v>
      </c>
      <c r="W975"/>
      <c r="X975"/>
      <c r="Y975"/>
    </row>
    <row r="976" spans="1:25" x14ac:dyDescent="0.3">
      <c r="A976" t="str">
        <f>Table_Capacity_HD_frontsheet[[#This Row],[Name]]&amp;B976</f>
        <v>West BerkshireReablement &amp; Rehabilitation at home  (pathway 1)</v>
      </c>
      <c r="B976" t="str">
        <f>VLOOKUP(Table_Capacity_HD_frontsheet[[#This Row],[Service Area]],PathwayLookup!A:B,2,0)</f>
        <v>Reablement &amp; Rehabilitation at home  (pathway 1)</v>
      </c>
      <c r="C976" t="s">
        <v>343</v>
      </c>
      <c r="D976" t="s">
        <v>728</v>
      </c>
      <c r="E976">
        <v>113</v>
      </c>
      <c r="F976">
        <v>85</v>
      </c>
      <c r="G976">
        <v>125</v>
      </c>
      <c r="H976">
        <v>119</v>
      </c>
      <c r="I976">
        <v>107</v>
      </c>
      <c r="J976">
        <v>81</v>
      </c>
      <c r="K976">
        <v>125</v>
      </c>
      <c r="L976">
        <v>121</v>
      </c>
      <c r="M976">
        <v>79</v>
      </c>
      <c r="N976">
        <v>121</v>
      </c>
      <c r="O976">
        <v>103</v>
      </c>
      <c r="P976">
        <v>95</v>
      </c>
      <c r="Q976">
        <v>0</v>
      </c>
      <c r="R976">
        <v>1</v>
      </c>
      <c r="S976">
        <v>0</v>
      </c>
      <c r="W976"/>
      <c r="X976"/>
      <c r="Y976"/>
    </row>
    <row r="977" spans="1:25" x14ac:dyDescent="0.3">
      <c r="A977" t="str">
        <f>Table_Capacity_HD_frontsheet[[#This Row],[Name]]&amp;B977</f>
        <v>West BerkshireReablement &amp; Rehabilitation at home  (pathway 1)</v>
      </c>
      <c r="B977" t="str">
        <f>VLOOKUP(Table_Capacity_HD_frontsheet[[#This Row],[Service Area]],PathwayLookup!A:B,2,0)</f>
        <v>Reablement &amp; Rehabilitation at home  (pathway 1)</v>
      </c>
      <c r="C977" t="s">
        <v>343</v>
      </c>
      <c r="D977" t="s">
        <v>721</v>
      </c>
      <c r="E977">
        <v>23</v>
      </c>
      <c r="F977">
        <v>20</v>
      </c>
      <c r="G977">
        <v>22</v>
      </c>
      <c r="H977">
        <v>23</v>
      </c>
      <c r="I977">
        <v>23</v>
      </c>
      <c r="J977">
        <v>18</v>
      </c>
      <c r="K977">
        <v>28</v>
      </c>
      <c r="L977">
        <v>19</v>
      </c>
      <c r="M977">
        <v>26</v>
      </c>
      <c r="N977">
        <v>20</v>
      </c>
      <c r="O977">
        <v>24</v>
      </c>
      <c r="P977">
        <v>18</v>
      </c>
      <c r="Q977">
        <v>1</v>
      </c>
      <c r="R977">
        <v>0</v>
      </c>
      <c r="S977">
        <v>0</v>
      </c>
      <c r="W977"/>
      <c r="X977"/>
      <c r="Y977"/>
    </row>
    <row r="978" spans="1:25" x14ac:dyDescent="0.3">
      <c r="A978" t="str">
        <f>Table_Capacity_HD_frontsheet[[#This Row],[Name]]&amp;B978</f>
        <v>West BerkshireShort term domiciliary care (pathway 1)</v>
      </c>
      <c r="B978" t="str">
        <f>VLOOKUP(Table_Capacity_HD_frontsheet[[#This Row],[Service Area]],PathwayLookup!A:B,2,0)</f>
        <v>Short term domiciliary care (pathway 1)</v>
      </c>
      <c r="C978" t="s">
        <v>343</v>
      </c>
      <c r="D978" t="s">
        <v>730</v>
      </c>
      <c r="E978">
        <v>0</v>
      </c>
      <c r="F978">
        <v>0</v>
      </c>
      <c r="G978">
        <v>0</v>
      </c>
      <c r="H978">
        <v>0</v>
      </c>
      <c r="I978">
        <v>0</v>
      </c>
      <c r="J978">
        <v>0</v>
      </c>
      <c r="K978">
        <v>0</v>
      </c>
      <c r="L978">
        <v>0</v>
      </c>
      <c r="M978">
        <v>0</v>
      </c>
      <c r="N978">
        <v>0</v>
      </c>
      <c r="O978">
        <v>0</v>
      </c>
      <c r="P978">
        <v>0</v>
      </c>
      <c r="Q978">
        <v>0</v>
      </c>
      <c r="R978">
        <v>0</v>
      </c>
      <c r="S978">
        <v>0</v>
      </c>
      <c r="W978"/>
      <c r="X978"/>
      <c r="Y978"/>
    </row>
    <row r="979" spans="1:25" x14ac:dyDescent="0.3">
      <c r="A979" t="str">
        <f>Table_Capacity_HD_frontsheet[[#This Row],[Name]]&amp;B979</f>
        <v>West BerkshireReablement &amp; Rehabilitation in a bedded setting (pathway 2)</v>
      </c>
      <c r="B979" t="str">
        <f>VLOOKUP(Table_Capacity_HD_frontsheet[[#This Row],[Service Area]],PathwayLookup!A:B,2,0)</f>
        <v>Reablement &amp; Rehabilitation in a bedded setting (pathway 2)</v>
      </c>
      <c r="C979" t="s">
        <v>343</v>
      </c>
      <c r="D979" t="s">
        <v>723</v>
      </c>
      <c r="E979">
        <v>30</v>
      </c>
      <c r="F979">
        <v>24</v>
      </c>
      <c r="G979">
        <v>25</v>
      </c>
      <c r="H979">
        <v>23</v>
      </c>
      <c r="I979">
        <v>27</v>
      </c>
      <c r="J979">
        <v>24</v>
      </c>
      <c r="K979">
        <v>28</v>
      </c>
      <c r="L979">
        <v>24</v>
      </c>
      <c r="M979">
        <v>34</v>
      </c>
      <c r="N979">
        <v>34</v>
      </c>
      <c r="O979">
        <v>19</v>
      </c>
      <c r="P979">
        <v>27</v>
      </c>
      <c r="Q979">
        <v>0</v>
      </c>
      <c r="R979">
        <v>0</v>
      </c>
      <c r="S979">
        <v>1</v>
      </c>
      <c r="W979"/>
      <c r="X979"/>
      <c r="Y979"/>
    </row>
    <row r="980" spans="1:25" x14ac:dyDescent="0.3">
      <c r="A980" t="str">
        <f>Table_Capacity_HD_frontsheet[[#This Row],[Name]]&amp;B980</f>
        <v>West BerkshireReablement &amp; Rehabilitation in a bedded setting (pathway 2)</v>
      </c>
      <c r="B980" t="str">
        <f>VLOOKUP(Table_Capacity_HD_frontsheet[[#This Row],[Service Area]],PathwayLookup!A:B,2,0)</f>
        <v>Reablement &amp; Rehabilitation in a bedded setting (pathway 2)</v>
      </c>
      <c r="C980" t="s">
        <v>343</v>
      </c>
      <c r="D980" t="s">
        <v>725</v>
      </c>
      <c r="E980">
        <v>115</v>
      </c>
      <c r="F980">
        <v>115</v>
      </c>
      <c r="G980">
        <v>115</v>
      </c>
      <c r="H980">
        <v>115</v>
      </c>
      <c r="I980">
        <v>115</v>
      </c>
      <c r="J980">
        <v>115</v>
      </c>
      <c r="K980">
        <v>115</v>
      </c>
      <c r="L980">
        <v>115</v>
      </c>
      <c r="M980">
        <v>115</v>
      </c>
      <c r="N980">
        <v>115</v>
      </c>
      <c r="O980">
        <v>115</v>
      </c>
      <c r="P980">
        <v>115</v>
      </c>
      <c r="Q980">
        <v>0</v>
      </c>
      <c r="R980">
        <v>0</v>
      </c>
      <c r="S980">
        <v>1</v>
      </c>
      <c r="W980"/>
      <c r="X980"/>
      <c r="Y980"/>
    </row>
    <row r="981" spans="1:25" x14ac:dyDescent="0.3">
      <c r="A981" t="str">
        <f>Table_Capacity_HD_frontsheet[[#This Row],[Name]]&amp;B981</f>
        <v>West BerkshireShort-term residential/nursing care for someone likely to require a longer-term care home placement (pathway 3)</v>
      </c>
      <c r="B981" t="str">
        <f>VLOOKUP(Table_Capacity_HD_frontsheet[[#This Row],[Service Area]],PathwayLookup!A:B,2,0)</f>
        <v>Short-term residential/nursing care for someone likely to require a longer-term care home placement (pathway 3)</v>
      </c>
      <c r="C981" t="s">
        <v>343</v>
      </c>
      <c r="D981" t="s">
        <v>731</v>
      </c>
      <c r="E981">
        <v>13</v>
      </c>
      <c r="F981">
        <v>23</v>
      </c>
      <c r="G981">
        <v>13</v>
      </c>
      <c r="H981">
        <v>10</v>
      </c>
      <c r="I981">
        <v>12</v>
      </c>
      <c r="J981">
        <v>12</v>
      </c>
      <c r="K981">
        <v>13</v>
      </c>
      <c r="L981">
        <v>8</v>
      </c>
      <c r="M981">
        <v>19</v>
      </c>
      <c r="N981">
        <v>6</v>
      </c>
      <c r="O981">
        <v>6</v>
      </c>
      <c r="P981">
        <v>21</v>
      </c>
      <c r="Q981">
        <v>0</v>
      </c>
      <c r="R981">
        <v>1</v>
      </c>
      <c r="S981">
        <v>0</v>
      </c>
      <c r="W981"/>
      <c r="X981"/>
      <c r="Y981"/>
    </row>
    <row r="982" spans="1:25" x14ac:dyDescent="0.3">
      <c r="A982" t="str">
        <f>Table_Capacity_HD_frontsheet[[#This Row],[Name]]&amp;B982</f>
        <v>West NorthamptonshireSocial support (including VCS) (pathway 0)</v>
      </c>
      <c r="B982" t="str">
        <f>VLOOKUP(Table_Capacity_HD_frontsheet[[#This Row],[Service Area]],PathwayLookup!A:B,2,0)</f>
        <v>Social support (including VCS) (pathway 0)</v>
      </c>
      <c r="C982" t="s">
        <v>345</v>
      </c>
      <c r="D982" t="s">
        <v>726</v>
      </c>
      <c r="E982">
        <v>1530</v>
      </c>
      <c r="F982">
        <v>1620</v>
      </c>
      <c r="G982">
        <v>1635</v>
      </c>
      <c r="H982">
        <v>1632</v>
      </c>
      <c r="I982">
        <v>1667</v>
      </c>
      <c r="J982">
        <v>1617</v>
      </c>
      <c r="K982">
        <v>1646</v>
      </c>
      <c r="L982">
        <v>1625</v>
      </c>
      <c r="M982">
        <v>1607</v>
      </c>
      <c r="N982">
        <v>1654</v>
      </c>
      <c r="O982">
        <v>1567</v>
      </c>
      <c r="P982">
        <v>1615</v>
      </c>
      <c r="Q982">
        <v>1</v>
      </c>
      <c r="W982"/>
      <c r="X982"/>
      <c r="Y982"/>
    </row>
    <row r="983" spans="1:25" x14ac:dyDescent="0.3">
      <c r="A983" t="str">
        <f>Table_Capacity_HD_frontsheet[[#This Row],[Name]]&amp;B983</f>
        <v>West NorthamptonshireReablement &amp; Rehabilitation at home  (pathway 1)</v>
      </c>
      <c r="B983" t="str">
        <f>VLOOKUP(Table_Capacity_HD_frontsheet[[#This Row],[Service Area]],PathwayLookup!A:B,2,0)</f>
        <v>Reablement &amp; Rehabilitation at home  (pathway 1)</v>
      </c>
      <c r="C983" t="s">
        <v>345</v>
      </c>
      <c r="D983" t="s">
        <v>728</v>
      </c>
      <c r="E983">
        <v>155</v>
      </c>
      <c r="F983">
        <v>157</v>
      </c>
      <c r="G983">
        <v>151</v>
      </c>
      <c r="H983">
        <v>152</v>
      </c>
      <c r="I983">
        <v>152</v>
      </c>
      <c r="J983">
        <v>151</v>
      </c>
      <c r="K983">
        <v>156</v>
      </c>
      <c r="L983">
        <v>167</v>
      </c>
      <c r="M983">
        <v>176</v>
      </c>
      <c r="N983">
        <v>176</v>
      </c>
      <c r="O983">
        <v>174</v>
      </c>
      <c r="P983">
        <v>176</v>
      </c>
      <c r="R983">
        <v>1</v>
      </c>
      <c r="W983"/>
      <c r="X983"/>
      <c r="Y983"/>
    </row>
    <row r="984" spans="1:25" x14ac:dyDescent="0.3">
      <c r="A984" t="str">
        <f>Table_Capacity_HD_frontsheet[[#This Row],[Name]]&amp;B984</f>
        <v>West NorthamptonshireReablement &amp; Rehabilitation at home  (pathway 1)</v>
      </c>
      <c r="B984" t="str">
        <f>VLOOKUP(Table_Capacity_HD_frontsheet[[#This Row],[Service Area]],PathwayLookup!A:B,2,0)</f>
        <v>Reablement &amp; Rehabilitation at home  (pathway 1)</v>
      </c>
      <c r="C984" t="s">
        <v>345</v>
      </c>
      <c r="D984" t="s">
        <v>721</v>
      </c>
      <c r="E984">
        <v>106</v>
      </c>
      <c r="F984">
        <v>116</v>
      </c>
      <c r="G984">
        <v>114</v>
      </c>
      <c r="H984">
        <v>109</v>
      </c>
      <c r="I984">
        <v>118</v>
      </c>
      <c r="J984">
        <v>111</v>
      </c>
      <c r="K984">
        <v>112</v>
      </c>
      <c r="L984">
        <v>114</v>
      </c>
      <c r="M984">
        <v>111</v>
      </c>
      <c r="N984">
        <v>116</v>
      </c>
      <c r="O984">
        <v>108</v>
      </c>
      <c r="P984">
        <v>111</v>
      </c>
      <c r="Q984">
        <v>1</v>
      </c>
      <c r="W984"/>
      <c r="X984"/>
      <c r="Y984"/>
    </row>
    <row r="985" spans="1:25" x14ac:dyDescent="0.3">
      <c r="A985" t="str">
        <f>Table_Capacity_HD_frontsheet[[#This Row],[Name]]&amp;B985</f>
        <v>West NorthamptonshireShort term domiciliary care (pathway 1)</v>
      </c>
      <c r="B985" t="str">
        <f>VLOOKUP(Table_Capacity_HD_frontsheet[[#This Row],[Service Area]],PathwayLookup!A:B,2,0)</f>
        <v>Short term domiciliary care (pathway 1)</v>
      </c>
      <c r="C985" t="s">
        <v>345</v>
      </c>
      <c r="D985" t="s">
        <v>730</v>
      </c>
      <c r="R985">
        <v>1</v>
      </c>
      <c r="W985"/>
      <c r="X985"/>
      <c r="Y985"/>
    </row>
    <row r="986" spans="1:25" x14ac:dyDescent="0.3">
      <c r="A986" t="str">
        <f>Table_Capacity_HD_frontsheet[[#This Row],[Name]]&amp;B986</f>
        <v>West NorthamptonshireReablement &amp; Rehabilitation in a bedded setting (pathway 2)</v>
      </c>
      <c r="B986" t="str">
        <f>VLOOKUP(Table_Capacity_HD_frontsheet[[#This Row],[Service Area]],PathwayLookup!A:B,2,0)</f>
        <v>Reablement &amp; Rehabilitation in a bedded setting (pathway 2)</v>
      </c>
      <c r="C986" t="s">
        <v>345</v>
      </c>
      <c r="D986" t="s">
        <v>723</v>
      </c>
      <c r="E986">
        <v>36</v>
      </c>
      <c r="F986">
        <v>38</v>
      </c>
      <c r="G986">
        <v>36</v>
      </c>
      <c r="H986">
        <v>38</v>
      </c>
      <c r="I986">
        <v>38</v>
      </c>
      <c r="J986">
        <v>36</v>
      </c>
      <c r="K986">
        <v>44</v>
      </c>
      <c r="L986">
        <v>43</v>
      </c>
      <c r="M986">
        <v>44</v>
      </c>
      <c r="N986">
        <v>44</v>
      </c>
      <c r="O986">
        <v>41</v>
      </c>
      <c r="P986">
        <v>44</v>
      </c>
      <c r="R986">
        <v>1</v>
      </c>
      <c r="W986"/>
      <c r="X986"/>
      <c r="Y986"/>
    </row>
    <row r="987" spans="1:25" x14ac:dyDescent="0.3">
      <c r="A987" t="str">
        <f>Table_Capacity_HD_frontsheet[[#This Row],[Name]]&amp;B987</f>
        <v>West NorthamptonshireReablement &amp; Rehabilitation in a bedded setting (pathway 2)</v>
      </c>
      <c r="B987" t="str">
        <f>VLOOKUP(Table_Capacity_HD_frontsheet[[#This Row],[Service Area]],PathwayLookup!A:B,2,0)</f>
        <v>Reablement &amp; Rehabilitation in a bedded setting (pathway 2)</v>
      </c>
      <c r="C987" t="s">
        <v>345</v>
      </c>
      <c r="D987" t="s">
        <v>725</v>
      </c>
      <c r="E987">
        <v>30</v>
      </c>
      <c r="F987">
        <v>31</v>
      </c>
      <c r="G987">
        <v>26</v>
      </c>
      <c r="H987">
        <v>27</v>
      </c>
      <c r="I987">
        <v>27</v>
      </c>
      <c r="J987">
        <v>26</v>
      </c>
      <c r="K987">
        <v>27</v>
      </c>
      <c r="L987">
        <v>26</v>
      </c>
      <c r="M987">
        <v>27</v>
      </c>
      <c r="N987">
        <v>27</v>
      </c>
      <c r="O987">
        <v>25</v>
      </c>
      <c r="P987">
        <v>27</v>
      </c>
      <c r="Q987">
        <v>1</v>
      </c>
      <c r="W987"/>
      <c r="X987"/>
      <c r="Y987"/>
    </row>
    <row r="988" spans="1:25" x14ac:dyDescent="0.3">
      <c r="A988" t="str">
        <f>Table_Capacity_HD_frontsheet[[#This Row],[Name]]&amp;B988</f>
        <v>West NorthamptonshireShort-term residential/nursing care for someone likely to require a longer-term care home placement (pathway 3)</v>
      </c>
      <c r="B988" t="str">
        <f>VLOOKUP(Table_Capacity_HD_frontsheet[[#This Row],[Service Area]],PathwayLookup!A:B,2,0)</f>
        <v>Short-term residential/nursing care for someone likely to require a longer-term care home placement (pathway 3)</v>
      </c>
      <c r="C988" t="s">
        <v>345</v>
      </c>
      <c r="D988" t="s">
        <v>731</v>
      </c>
      <c r="E988">
        <v>48</v>
      </c>
      <c r="F988">
        <v>51</v>
      </c>
      <c r="G988">
        <v>52</v>
      </c>
      <c r="H988">
        <v>52</v>
      </c>
      <c r="I988">
        <v>53</v>
      </c>
      <c r="J988">
        <v>51</v>
      </c>
      <c r="K988">
        <v>53</v>
      </c>
      <c r="L988">
        <v>52</v>
      </c>
      <c r="M988">
        <v>50</v>
      </c>
      <c r="N988">
        <v>53</v>
      </c>
      <c r="O988">
        <v>50</v>
      </c>
      <c r="P988">
        <v>51</v>
      </c>
      <c r="S988">
        <v>1</v>
      </c>
      <c r="W988"/>
      <c r="X988"/>
      <c r="Y988"/>
    </row>
    <row r="989" spans="1:25" x14ac:dyDescent="0.3">
      <c r="A989" t="str">
        <f>Table_Capacity_HD_frontsheet[[#This Row],[Name]]&amp;B989</f>
        <v>West SussexSocial support (including VCS) (pathway 0)</v>
      </c>
      <c r="B989" t="str">
        <f>VLOOKUP(Table_Capacity_HD_frontsheet[[#This Row],[Service Area]],PathwayLookup!A:B,2,0)</f>
        <v>Social support (including VCS) (pathway 0)</v>
      </c>
      <c r="C989" t="s">
        <v>347</v>
      </c>
      <c r="D989" t="s">
        <v>726</v>
      </c>
      <c r="E989">
        <v>130</v>
      </c>
      <c r="F989">
        <v>130</v>
      </c>
      <c r="G989">
        <v>130</v>
      </c>
      <c r="H989">
        <v>130</v>
      </c>
      <c r="I989">
        <v>130</v>
      </c>
      <c r="J989">
        <v>130</v>
      </c>
      <c r="K989">
        <v>130</v>
      </c>
      <c r="L989">
        <v>130</v>
      </c>
      <c r="M989">
        <v>130</v>
      </c>
      <c r="N989">
        <v>130</v>
      </c>
      <c r="O989">
        <v>130</v>
      </c>
      <c r="P989">
        <v>130</v>
      </c>
      <c r="R989">
        <v>1</v>
      </c>
      <c r="W989"/>
      <c r="X989"/>
      <c r="Y989"/>
    </row>
    <row r="990" spans="1:25" x14ac:dyDescent="0.3">
      <c r="A990" t="str">
        <f>Table_Capacity_HD_frontsheet[[#This Row],[Name]]&amp;B990</f>
        <v>West SussexReablement &amp; Rehabilitation at home  (pathway 1)</v>
      </c>
      <c r="B990" t="str">
        <f>VLOOKUP(Table_Capacity_HD_frontsheet[[#This Row],[Service Area]],PathwayLookup!A:B,2,0)</f>
        <v>Reablement &amp; Rehabilitation at home  (pathway 1)</v>
      </c>
      <c r="C990" t="s">
        <v>347</v>
      </c>
      <c r="D990" t="s">
        <v>728</v>
      </c>
      <c r="E990">
        <v>45</v>
      </c>
      <c r="F990">
        <v>45</v>
      </c>
      <c r="G990">
        <v>45</v>
      </c>
      <c r="H990">
        <v>45</v>
      </c>
      <c r="I990">
        <v>45</v>
      </c>
      <c r="J990">
        <v>45</v>
      </c>
      <c r="K990">
        <v>45</v>
      </c>
      <c r="L990">
        <v>45</v>
      </c>
      <c r="M990">
        <v>45</v>
      </c>
      <c r="N990">
        <v>45</v>
      </c>
      <c r="O990">
        <v>45</v>
      </c>
      <c r="P990">
        <v>45</v>
      </c>
      <c r="R990">
        <v>1</v>
      </c>
      <c r="W990"/>
      <c r="X990"/>
      <c r="Y990"/>
    </row>
    <row r="991" spans="1:25" x14ac:dyDescent="0.3">
      <c r="A991" t="str">
        <f>Table_Capacity_HD_frontsheet[[#This Row],[Name]]&amp;B991</f>
        <v>West SussexReablement &amp; Rehabilitation at home  (pathway 1)</v>
      </c>
      <c r="B991" t="str">
        <f>VLOOKUP(Table_Capacity_HD_frontsheet[[#This Row],[Service Area]],PathwayLookup!A:B,2,0)</f>
        <v>Reablement &amp; Rehabilitation at home  (pathway 1)</v>
      </c>
      <c r="C991" t="s">
        <v>347</v>
      </c>
      <c r="D991" t="s">
        <v>721</v>
      </c>
      <c r="E991">
        <v>397</v>
      </c>
      <c r="F991">
        <v>411</v>
      </c>
      <c r="G991">
        <v>397</v>
      </c>
      <c r="H991">
        <v>411</v>
      </c>
      <c r="I991">
        <v>411</v>
      </c>
      <c r="J991">
        <v>397</v>
      </c>
      <c r="K991">
        <v>411</v>
      </c>
      <c r="L991">
        <v>397</v>
      </c>
      <c r="M991">
        <v>411</v>
      </c>
      <c r="N991">
        <v>411</v>
      </c>
      <c r="O991">
        <v>384</v>
      </c>
      <c r="P991">
        <v>411</v>
      </c>
      <c r="Q991">
        <v>1</v>
      </c>
      <c r="W991"/>
      <c r="X991"/>
      <c r="Y991"/>
    </row>
    <row r="992" spans="1:25" x14ac:dyDescent="0.3">
      <c r="A992" t="str">
        <f>Table_Capacity_HD_frontsheet[[#This Row],[Name]]&amp;B992</f>
        <v>West SussexShort term domiciliary care (pathway 1)</v>
      </c>
      <c r="B992" t="str">
        <f>VLOOKUP(Table_Capacity_HD_frontsheet[[#This Row],[Service Area]],PathwayLookup!A:B,2,0)</f>
        <v>Short term domiciliary care (pathway 1)</v>
      </c>
      <c r="C992" t="s">
        <v>347</v>
      </c>
      <c r="D992" t="s">
        <v>730</v>
      </c>
      <c r="E992">
        <v>23</v>
      </c>
      <c r="F992">
        <v>23</v>
      </c>
      <c r="G992">
        <v>23</v>
      </c>
      <c r="H992">
        <v>23</v>
      </c>
      <c r="I992">
        <v>23</v>
      </c>
      <c r="J992">
        <v>23</v>
      </c>
      <c r="K992">
        <v>23</v>
      </c>
      <c r="L992">
        <v>23</v>
      </c>
      <c r="M992">
        <v>23</v>
      </c>
      <c r="N992">
        <v>23</v>
      </c>
      <c r="O992">
        <v>23</v>
      </c>
      <c r="P992">
        <v>23</v>
      </c>
      <c r="R992">
        <v>1</v>
      </c>
      <c r="W992"/>
      <c r="X992"/>
      <c r="Y992"/>
    </row>
    <row r="993" spans="1:25" x14ac:dyDescent="0.3">
      <c r="A993" t="str">
        <f>Table_Capacity_HD_frontsheet[[#This Row],[Name]]&amp;B993</f>
        <v>West SussexReablement &amp; Rehabilitation in a bedded setting (pathway 2)</v>
      </c>
      <c r="B993" t="str">
        <f>VLOOKUP(Table_Capacity_HD_frontsheet[[#This Row],[Service Area]],PathwayLookup!A:B,2,0)</f>
        <v>Reablement &amp; Rehabilitation in a bedded setting (pathway 2)</v>
      </c>
      <c r="C993" t="s">
        <v>347</v>
      </c>
      <c r="D993" t="s">
        <v>723</v>
      </c>
      <c r="E993">
        <v>36</v>
      </c>
      <c r="F993">
        <v>36</v>
      </c>
      <c r="G993">
        <v>36</v>
      </c>
      <c r="H993">
        <v>36</v>
      </c>
      <c r="I993">
        <v>36</v>
      </c>
      <c r="J993">
        <v>36</v>
      </c>
      <c r="K993">
        <v>36</v>
      </c>
      <c r="L993">
        <v>36</v>
      </c>
      <c r="M993">
        <v>36</v>
      </c>
      <c r="N993">
        <v>36</v>
      </c>
      <c r="O993">
        <v>36</v>
      </c>
      <c r="P993">
        <v>36</v>
      </c>
      <c r="R993">
        <v>1</v>
      </c>
      <c r="W993"/>
      <c r="X993"/>
      <c r="Y993"/>
    </row>
    <row r="994" spans="1:25" x14ac:dyDescent="0.3">
      <c r="A994" t="str">
        <f>Table_Capacity_HD_frontsheet[[#This Row],[Name]]&amp;B994</f>
        <v>West SussexReablement &amp; Rehabilitation in a bedded setting (pathway 2)</v>
      </c>
      <c r="B994" t="str">
        <f>VLOOKUP(Table_Capacity_HD_frontsheet[[#This Row],[Service Area]],PathwayLookup!A:B,2,0)</f>
        <v>Reablement &amp; Rehabilitation in a bedded setting (pathway 2)</v>
      </c>
      <c r="C994" t="s">
        <v>347</v>
      </c>
      <c r="D994" t="s">
        <v>725</v>
      </c>
      <c r="E994">
        <v>317</v>
      </c>
      <c r="F994">
        <v>317</v>
      </c>
      <c r="G994">
        <v>317</v>
      </c>
      <c r="H994">
        <v>317</v>
      </c>
      <c r="I994">
        <v>317</v>
      </c>
      <c r="J994">
        <v>317</v>
      </c>
      <c r="K994">
        <v>317</v>
      </c>
      <c r="L994">
        <v>317</v>
      </c>
      <c r="M994">
        <v>317</v>
      </c>
      <c r="N994">
        <v>317</v>
      </c>
      <c r="O994">
        <v>317</v>
      </c>
      <c r="P994">
        <v>317</v>
      </c>
      <c r="Q994">
        <v>1</v>
      </c>
      <c r="W994"/>
      <c r="X994"/>
      <c r="Y994"/>
    </row>
    <row r="995" spans="1:25" x14ac:dyDescent="0.3">
      <c r="A995" t="str">
        <f>Table_Capacity_HD_frontsheet[[#This Row],[Name]]&amp;B995</f>
        <v>West SussexShort-term residential/nursing care for someone likely to require a longer-term care home placement (pathway 3)</v>
      </c>
      <c r="B995" t="str">
        <f>VLOOKUP(Table_Capacity_HD_frontsheet[[#This Row],[Service Area]],PathwayLookup!A:B,2,0)</f>
        <v>Short-term residential/nursing care for someone likely to require a longer-term care home placement (pathway 3)</v>
      </c>
      <c r="C995" t="s">
        <v>347</v>
      </c>
      <c r="D995" t="s">
        <v>731</v>
      </c>
      <c r="E995">
        <v>114</v>
      </c>
      <c r="F995">
        <v>114</v>
      </c>
      <c r="G995">
        <v>114</v>
      </c>
      <c r="H995">
        <v>114</v>
      </c>
      <c r="I995">
        <v>114</v>
      </c>
      <c r="J995">
        <v>114</v>
      </c>
      <c r="K995">
        <v>114</v>
      </c>
      <c r="L995">
        <v>114</v>
      </c>
      <c r="M995">
        <v>114</v>
      </c>
      <c r="N995">
        <v>114</v>
      </c>
      <c r="O995">
        <v>114</v>
      </c>
      <c r="P995">
        <v>114</v>
      </c>
      <c r="Q995">
        <v>0.5</v>
      </c>
      <c r="R995">
        <v>0.5</v>
      </c>
      <c r="W995"/>
      <c r="X995"/>
      <c r="Y995"/>
    </row>
    <row r="996" spans="1:25" x14ac:dyDescent="0.3">
      <c r="A996" t="str">
        <f>Table_Capacity_HD_frontsheet[[#This Row],[Name]]&amp;B996</f>
        <v>WestminsterSocial support (including VCS) (pathway 0)</v>
      </c>
      <c r="B996" t="str">
        <f>VLOOKUP(Table_Capacity_HD_frontsheet[[#This Row],[Service Area]],PathwayLookup!A:B,2,0)</f>
        <v>Social support (including VCS) (pathway 0)</v>
      </c>
      <c r="C996" t="s">
        <v>349</v>
      </c>
      <c r="D996" t="s">
        <v>726</v>
      </c>
      <c r="E996">
        <v>66</v>
      </c>
      <c r="F996">
        <v>63</v>
      </c>
      <c r="G996">
        <v>60</v>
      </c>
      <c r="H996">
        <v>67</v>
      </c>
      <c r="I996">
        <v>64</v>
      </c>
      <c r="J996">
        <v>70</v>
      </c>
      <c r="K996">
        <v>77</v>
      </c>
      <c r="L996">
        <v>76</v>
      </c>
      <c r="M996">
        <v>80</v>
      </c>
      <c r="N996">
        <v>85</v>
      </c>
      <c r="O996">
        <v>83</v>
      </c>
      <c r="P996">
        <v>73</v>
      </c>
      <c r="R996">
        <v>1</v>
      </c>
      <c r="W996"/>
      <c r="X996"/>
      <c r="Y996"/>
    </row>
    <row r="997" spans="1:25" x14ac:dyDescent="0.3">
      <c r="A997" t="str">
        <f>Table_Capacity_HD_frontsheet[[#This Row],[Name]]&amp;B997</f>
        <v>WestminsterReablement &amp; Rehabilitation at home  (pathway 1)</v>
      </c>
      <c r="B997" t="str">
        <f>VLOOKUP(Table_Capacity_HD_frontsheet[[#This Row],[Service Area]],PathwayLookup!A:B,2,0)</f>
        <v>Reablement &amp; Rehabilitation at home  (pathway 1)</v>
      </c>
      <c r="C997" t="s">
        <v>349</v>
      </c>
      <c r="D997" t="s">
        <v>728</v>
      </c>
      <c r="E997">
        <v>31</v>
      </c>
      <c r="F997">
        <v>33</v>
      </c>
      <c r="G997">
        <v>33</v>
      </c>
      <c r="H997">
        <v>32</v>
      </c>
      <c r="I997">
        <v>32</v>
      </c>
      <c r="J997">
        <v>34</v>
      </c>
      <c r="K997">
        <v>36</v>
      </c>
      <c r="L997">
        <v>37</v>
      </c>
      <c r="M997">
        <v>32</v>
      </c>
      <c r="N997">
        <v>32</v>
      </c>
      <c r="O997">
        <v>33</v>
      </c>
      <c r="P997">
        <v>40</v>
      </c>
      <c r="S997">
        <v>1</v>
      </c>
      <c r="W997"/>
      <c r="X997"/>
      <c r="Y997"/>
    </row>
    <row r="998" spans="1:25" x14ac:dyDescent="0.3">
      <c r="A998" t="str">
        <f>Table_Capacity_HD_frontsheet[[#This Row],[Name]]&amp;B998</f>
        <v>WestminsterReablement &amp; Rehabilitation at home  (pathway 1)</v>
      </c>
      <c r="B998" t="str">
        <f>VLOOKUP(Table_Capacity_HD_frontsheet[[#This Row],[Service Area]],PathwayLookup!A:B,2,0)</f>
        <v>Reablement &amp; Rehabilitation at home  (pathway 1)</v>
      </c>
      <c r="C998" t="s">
        <v>349</v>
      </c>
      <c r="D998" t="s">
        <v>721</v>
      </c>
      <c r="E998">
        <v>31</v>
      </c>
      <c r="F998">
        <v>33</v>
      </c>
      <c r="G998">
        <v>33</v>
      </c>
      <c r="H998">
        <v>32</v>
      </c>
      <c r="I998">
        <v>32</v>
      </c>
      <c r="J998">
        <v>34</v>
      </c>
      <c r="K998">
        <v>36</v>
      </c>
      <c r="L998">
        <v>37</v>
      </c>
      <c r="M998">
        <v>32</v>
      </c>
      <c r="N998">
        <v>32</v>
      </c>
      <c r="O998">
        <v>33</v>
      </c>
      <c r="P998">
        <v>40</v>
      </c>
      <c r="Q998">
        <v>1</v>
      </c>
      <c r="W998"/>
      <c r="X998"/>
      <c r="Y998"/>
    </row>
    <row r="999" spans="1:25" x14ac:dyDescent="0.3">
      <c r="A999" t="str">
        <f>Table_Capacity_HD_frontsheet[[#This Row],[Name]]&amp;B999</f>
        <v>WestminsterShort term domiciliary care (pathway 1)</v>
      </c>
      <c r="B999" t="str">
        <f>VLOOKUP(Table_Capacity_HD_frontsheet[[#This Row],[Service Area]],PathwayLookup!A:B,2,0)</f>
        <v>Short term domiciliary care (pathway 1)</v>
      </c>
      <c r="C999" t="s">
        <v>349</v>
      </c>
      <c r="D999" t="s">
        <v>730</v>
      </c>
      <c r="E999">
        <v>31</v>
      </c>
      <c r="F999">
        <v>33</v>
      </c>
      <c r="G999">
        <v>33</v>
      </c>
      <c r="H999">
        <v>32</v>
      </c>
      <c r="I999">
        <v>32</v>
      </c>
      <c r="J999">
        <v>34</v>
      </c>
      <c r="K999">
        <v>36</v>
      </c>
      <c r="L999">
        <v>37</v>
      </c>
      <c r="M999">
        <v>32</v>
      </c>
      <c r="N999">
        <v>32</v>
      </c>
      <c r="O999">
        <v>33</v>
      </c>
      <c r="P999">
        <v>40</v>
      </c>
      <c r="R999">
        <v>1</v>
      </c>
      <c r="W999"/>
      <c r="X999"/>
      <c r="Y999"/>
    </row>
    <row r="1000" spans="1:25" x14ac:dyDescent="0.3">
      <c r="A1000" t="str">
        <f>Table_Capacity_HD_frontsheet[[#This Row],[Name]]&amp;B1000</f>
        <v>WestminsterReablement &amp; Rehabilitation in a bedded setting (pathway 2)</v>
      </c>
      <c r="B1000" t="str">
        <f>VLOOKUP(Table_Capacity_HD_frontsheet[[#This Row],[Service Area]],PathwayLookup!A:B,2,0)</f>
        <v>Reablement &amp; Rehabilitation in a bedded setting (pathway 2)</v>
      </c>
      <c r="C1000" t="s">
        <v>349</v>
      </c>
      <c r="D1000" t="s">
        <v>723</v>
      </c>
      <c r="E1000">
        <v>0</v>
      </c>
      <c r="F1000">
        <v>0</v>
      </c>
      <c r="G1000">
        <v>0</v>
      </c>
      <c r="H1000">
        <v>0</v>
      </c>
      <c r="I1000">
        <v>0</v>
      </c>
      <c r="J1000">
        <v>0</v>
      </c>
      <c r="K1000">
        <v>0</v>
      </c>
      <c r="L1000">
        <v>0</v>
      </c>
      <c r="M1000">
        <v>0</v>
      </c>
      <c r="N1000">
        <v>0</v>
      </c>
      <c r="O1000">
        <v>0</v>
      </c>
      <c r="P1000">
        <v>0</v>
      </c>
      <c r="W1000"/>
      <c r="X1000"/>
      <c r="Y1000"/>
    </row>
    <row r="1001" spans="1:25" x14ac:dyDescent="0.3">
      <c r="A1001" t="str">
        <f>Table_Capacity_HD_frontsheet[[#This Row],[Name]]&amp;B1001</f>
        <v>WestminsterReablement &amp; Rehabilitation in a bedded setting (pathway 2)</v>
      </c>
      <c r="B1001" t="str">
        <f>VLOOKUP(Table_Capacity_HD_frontsheet[[#This Row],[Service Area]],PathwayLookup!A:B,2,0)</f>
        <v>Reablement &amp; Rehabilitation in a bedded setting (pathway 2)</v>
      </c>
      <c r="C1001" t="s">
        <v>349</v>
      </c>
      <c r="D1001" t="s">
        <v>725</v>
      </c>
      <c r="E1001">
        <v>13</v>
      </c>
      <c r="F1001">
        <v>14</v>
      </c>
      <c r="G1001">
        <v>14</v>
      </c>
      <c r="H1001">
        <v>14</v>
      </c>
      <c r="I1001">
        <v>13</v>
      </c>
      <c r="J1001">
        <v>14</v>
      </c>
      <c r="K1001">
        <v>15</v>
      </c>
      <c r="L1001">
        <v>16</v>
      </c>
      <c r="M1001">
        <v>14</v>
      </c>
      <c r="N1001">
        <v>14</v>
      </c>
      <c r="O1001">
        <v>14</v>
      </c>
      <c r="P1001">
        <v>17</v>
      </c>
      <c r="Q1001">
        <v>1</v>
      </c>
      <c r="W1001"/>
      <c r="X1001"/>
      <c r="Y1001"/>
    </row>
    <row r="1002" spans="1:25" x14ac:dyDescent="0.3">
      <c r="A1002" t="str">
        <f>Table_Capacity_HD_frontsheet[[#This Row],[Name]]&amp;B1002</f>
        <v>WestminsterShort-term residential/nursing care for someone likely to require a longer-term care home placement (pathway 3)</v>
      </c>
      <c r="B1002" t="str">
        <f>VLOOKUP(Table_Capacity_HD_frontsheet[[#This Row],[Service Area]],PathwayLookup!A:B,2,0)</f>
        <v>Short-term residential/nursing care for someone likely to require a longer-term care home placement (pathway 3)</v>
      </c>
      <c r="C1002" t="s">
        <v>349</v>
      </c>
      <c r="D1002" t="s">
        <v>731</v>
      </c>
      <c r="E1002">
        <v>19</v>
      </c>
      <c r="F1002">
        <v>19</v>
      </c>
      <c r="G1002">
        <v>20</v>
      </c>
      <c r="H1002">
        <v>19</v>
      </c>
      <c r="I1002">
        <v>19</v>
      </c>
      <c r="J1002">
        <v>21</v>
      </c>
      <c r="K1002">
        <v>21</v>
      </c>
      <c r="L1002">
        <v>22</v>
      </c>
      <c r="M1002">
        <v>19</v>
      </c>
      <c r="N1002">
        <v>19</v>
      </c>
      <c r="O1002">
        <v>20</v>
      </c>
      <c r="P1002">
        <v>24</v>
      </c>
      <c r="Q1002">
        <v>1</v>
      </c>
      <c r="W1002"/>
      <c r="X1002"/>
      <c r="Y1002"/>
    </row>
    <row r="1003" spans="1:25" x14ac:dyDescent="0.3">
      <c r="A1003" t="str">
        <f>Table_Capacity_HD_frontsheet[[#This Row],[Name]]&amp;B1003</f>
        <v>Westmorland and FurnessSocial support (including VCS) (pathway 0)</v>
      </c>
      <c r="B1003" t="str">
        <f>VLOOKUP(Table_Capacity_HD_frontsheet[[#This Row],[Service Area]],PathwayLookup!A:B,2,0)</f>
        <v>Social support (including VCS) (pathway 0)</v>
      </c>
      <c r="C1003" t="s">
        <v>351</v>
      </c>
      <c r="D1003" t="s">
        <v>726</v>
      </c>
      <c r="E1003">
        <v>300</v>
      </c>
      <c r="F1003">
        <v>300</v>
      </c>
      <c r="G1003">
        <v>300</v>
      </c>
      <c r="H1003">
        <v>300</v>
      </c>
      <c r="I1003">
        <v>300</v>
      </c>
      <c r="J1003">
        <v>300</v>
      </c>
      <c r="K1003">
        <v>300</v>
      </c>
      <c r="L1003">
        <v>300</v>
      </c>
      <c r="M1003">
        <v>300</v>
      </c>
      <c r="N1003">
        <v>300</v>
      </c>
      <c r="O1003">
        <v>300</v>
      </c>
      <c r="P1003">
        <v>300</v>
      </c>
      <c r="Q1003">
        <v>0.9</v>
      </c>
      <c r="R1003">
        <v>0.1</v>
      </c>
      <c r="W1003"/>
      <c r="X1003"/>
      <c r="Y1003"/>
    </row>
    <row r="1004" spans="1:25" x14ac:dyDescent="0.3">
      <c r="A1004" t="str">
        <f>Table_Capacity_HD_frontsheet[[#This Row],[Name]]&amp;B1004</f>
        <v>Westmorland and FurnessReablement &amp; Rehabilitation at home  (pathway 1)</v>
      </c>
      <c r="B1004" t="str">
        <f>VLOOKUP(Table_Capacity_HD_frontsheet[[#This Row],[Service Area]],PathwayLookup!A:B,2,0)</f>
        <v>Reablement &amp; Rehabilitation at home  (pathway 1)</v>
      </c>
      <c r="C1004" t="s">
        <v>351</v>
      </c>
      <c r="D1004" t="s">
        <v>728</v>
      </c>
      <c r="E1004">
        <v>75</v>
      </c>
      <c r="F1004">
        <v>75</v>
      </c>
      <c r="G1004">
        <v>75</v>
      </c>
      <c r="H1004">
        <v>75</v>
      </c>
      <c r="I1004">
        <v>75</v>
      </c>
      <c r="J1004">
        <v>80</v>
      </c>
      <c r="K1004">
        <v>80</v>
      </c>
      <c r="L1004">
        <v>80</v>
      </c>
      <c r="M1004">
        <v>85</v>
      </c>
      <c r="N1004">
        <v>85</v>
      </c>
      <c r="O1004">
        <v>85</v>
      </c>
      <c r="P1004">
        <v>85</v>
      </c>
      <c r="R1004">
        <v>1</v>
      </c>
      <c r="W1004"/>
      <c r="X1004"/>
      <c r="Y1004"/>
    </row>
    <row r="1005" spans="1:25" x14ac:dyDescent="0.3">
      <c r="A1005" t="str">
        <f>Table_Capacity_HD_frontsheet[[#This Row],[Name]]&amp;B1005</f>
        <v>Westmorland and FurnessReablement &amp; Rehabilitation at home  (pathway 1)</v>
      </c>
      <c r="B1005" t="str">
        <f>VLOOKUP(Table_Capacity_HD_frontsheet[[#This Row],[Service Area]],PathwayLookup!A:B,2,0)</f>
        <v>Reablement &amp; Rehabilitation at home  (pathway 1)</v>
      </c>
      <c r="C1005" t="s">
        <v>351</v>
      </c>
      <c r="D1005" t="s">
        <v>721</v>
      </c>
      <c r="E1005">
        <v>135</v>
      </c>
      <c r="F1005">
        <v>160</v>
      </c>
      <c r="G1005">
        <v>120</v>
      </c>
      <c r="H1005">
        <v>120</v>
      </c>
      <c r="I1005">
        <v>135</v>
      </c>
      <c r="J1005">
        <v>150</v>
      </c>
      <c r="K1005">
        <v>150</v>
      </c>
      <c r="L1005">
        <v>120</v>
      </c>
      <c r="M1005">
        <v>140</v>
      </c>
      <c r="N1005">
        <v>150</v>
      </c>
      <c r="O1005">
        <v>150</v>
      </c>
      <c r="P1005">
        <v>150</v>
      </c>
      <c r="Q1005">
        <v>1</v>
      </c>
      <c r="W1005"/>
      <c r="X1005"/>
      <c r="Y1005"/>
    </row>
    <row r="1006" spans="1:25" x14ac:dyDescent="0.3">
      <c r="A1006" t="str">
        <f>Table_Capacity_HD_frontsheet[[#This Row],[Name]]&amp;B1006</f>
        <v>Westmorland and FurnessShort term domiciliary care (pathway 1)</v>
      </c>
      <c r="B1006" t="str">
        <f>VLOOKUP(Table_Capacity_HD_frontsheet[[#This Row],[Service Area]],PathwayLookup!A:B,2,0)</f>
        <v>Short term domiciliary care (pathway 1)</v>
      </c>
      <c r="C1006" t="s">
        <v>351</v>
      </c>
      <c r="D1006" t="s">
        <v>730</v>
      </c>
      <c r="E1006">
        <v>35</v>
      </c>
      <c r="F1006">
        <v>35</v>
      </c>
      <c r="G1006">
        <v>35</v>
      </c>
      <c r="H1006">
        <v>35</v>
      </c>
      <c r="I1006">
        <v>35</v>
      </c>
      <c r="J1006">
        <v>35</v>
      </c>
      <c r="K1006">
        <v>35</v>
      </c>
      <c r="L1006">
        <v>35</v>
      </c>
      <c r="M1006">
        <v>35</v>
      </c>
      <c r="N1006">
        <v>35</v>
      </c>
      <c r="O1006">
        <v>35</v>
      </c>
      <c r="P1006">
        <v>35</v>
      </c>
      <c r="Q1006">
        <v>0.8</v>
      </c>
      <c r="R1006">
        <v>0.2</v>
      </c>
      <c r="W1006"/>
      <c r="X1006"/>
      <c r="Y1006"/>
    </row>
    <row r="1007" spans="1:25" x14ac:dyDescent="0.3">
      <c r="A1007" t="str">
        <f>Table_Capacity_HD_frontsheet[[#This Row],[Name]]&amp;B1007</f>
        <v>Westmorland and FurnessReablement &amp; Rehabilitation in a bedded setting (pathway 2)</v>
      </c>
      <c r="B1007" t="str">
        <f>VLOOKUP(Table_Capacity_HD_frontsheet[[#This Row],[Service Area]],PathwayLookup!A:B,2,0)</f>
        <v>Reablement &amp; Rehabilitation in a bedded setting (pathway 2)</v>
      </c>
      <c r="C1007" t="s">
        <v>351</v>
      </c>
      <c r="D1007" t="s">
        <v>723</v>
      </c>
      <c r="E1007">
        <v>10</v>
      </c>
      <c r="F1007">
        <v>10</v>
      </c>
      <c r="G1007">
        <v>10</v>
      </c>
      <c r="H1007">
        <v>10</v>
      </c>
      <c r="I1007">
        <v>10</v>
      </c>
      <c r="J1007">
        <v>10</v>
      </c>
      <c r="K1007">
        <v>10</v>
      </c>
      <c r="L1007">
        <v>10</v>
      </c>
      <c r="M1007">
        <v>10</v>
      </c>
      <c r="N1007">
        <v>10</v>
      </c>
      <c r="O1007">
        <v>10</v>
      </c>
      <c r="P1007">
        <v>10</v>
      </c>
      <c r="Q1007">
        <v>0.5</v>
      </c>
      <c r="R1007">
        <v>0.5</v>
      </c>
      <c r="W1007"/>
      <c r="X1007"/>
      <c r="Y1007"/>
    </row>
    <row r="1008" spans="1:25" x14ac:dyDescent="0.3">
      <c r="A1008" t="str">
        <f>Table_Capacity_HD_frontsheet[[#This Row],[Name]]&amp;B1008</f>
        <v>Westmorland and FurnessReablement &amp; Rehabilitation in a bedded setting (pathway 2)</v>
      </c>
      <c r="B1008" t="str">
        <f>VLOOKUP(Table_Capacity_HD_frontsheet[[#This Row],[Service Area]],PathwayLookup!A:B,2,0)</f>
        <v>Reablement &amp; Rehabilitation in a bedded setting (pathway 2)</v>
      </c>
      <c r="C1008" t="s">
        <v>351</v>
      </c>
      <c r="D1008" t="s">
        <v>725</v>
      </c>
      <c r="E1008">
        <v>10</v>
      </c>
      <c r="F1008">
        <v>10</v>
      </c>
      <c r="G1008">
        <v>10</v>
      </c>
      <c r="H1008">
        <v>10</v>
      </c>
      <c r="I1008">
        <v>10</v>
      </c>
      <c r="J1008">
        <v>10</v>
      </c>
      <c r="K1008">
        <v>10</v>
      </c>
      <c r="L1008">
        <v>10</v>
      </c>
      <c r="M1008">
        <v>10</v>
      </c>
      <c r="N1008">
        <v>10</v>
      </c>
      <c r="O1008">
        <v>10</v>
      </c>
      <c r="P1008">
        <v>10</v>
      </c>
      <c r="Q1008">
        <v>1</v>
      </c>
      <c r="W1008"/>
      <c r="X1008"/>
      <c r="Y1008"/>
    </row>
    <row r="1009" spans="1:25" x14ac:dyDescent="0.3">
      <c r="A1009" t="str">
        <f>Table_Capacity_HD_frontsheet[[#This Row],[Name]]&amp;B1009</f>
        <v>Westmorland and FurnessShort-term residential/nursing care for someone likely to require a longer-term care home placement (pathway 3)</v>
      </c>
      <c r="B1009" t="str">
        <f>VLOOKUP(Table_Capacity_HD_frontsheet[[#This Row],[Service Area]],PathwayLookup!A:B,2,0)</f>
        <v>Short-term residential/nursing care for someone likely to require a longer-term care home placement (pathway 3)</v>
      </c>
      <c r="C1009" t="s">
        <v>351</v>
      </c>
      <c r="D1009" t="s">
        <v>731</v>
      </c>
      <c r="E1009">
        <v>30</v>
      </c>
      <c r="F1009">
        <v>30</v>
      </c>
      <c r="G1009">
        <v>30</v>
      </c>
      <c r="H1009">
        <v>30</v>
      </c>
      <c r="I1009">
        <v>30</v>
      </c>
      <c r="J1009">
        <v>30</v>
      </c>
      <c r="K1009">
        <v>30</v>
      </c>
      <c r="L1009">
        <v>30</v>
      </c>
      <c r="M1009">
        <v>30</v>
      </c>
      <c r="N1009">
        <v>30</v>
      </c>
      <c r="O1009">
        <v>30</v>
      </c>
      <c r="P1009">
        <v>30</v>
      </c>
      <c r="Q1009">
        <v>0.8</v>
      </c>
      <c r="R1009">
        <v>0.2</v>
      </c>
      <c r="W1009"/>
      <c r="X1009"/>
      <c r="Y1009"/>
    </row>
    <row r="1010" spans="1:25" x14ac:dyDescent="0.3">
      <c r="C1010" t="s">
        <v>353</v>
      </c>
      <c r="D1010" t="s">
        <v>726</v>
      </c>
      <c r="E1010">
        <v>2339</v>
      </c>
      <c r="F1010">
        <v>2339</v>
      </c>
      <c r="G1010">
        <v>2339</v>
      </c>
      <c r="H1010">
        <v>2339</v>
      </c>
      <c r="I1010">
        <v>2339</v>
      </c>
      <c r="J1010">
        <v>2339</v>
      </c>
      <c r="K1010">
        <v>2339</v>
      </c>
      <c r="L1010">
        <v>2339</v>
      </c>
      <c r="M1010">
        <v>2456</v>
      </c>
      <c r="N1010">
        <v>2456</v>
      </c>
      <c r="O1010">
        <v>2456</v>
      </c>
      <c r="P1010">
        <v>2339</v>
      </c>
      <c r="S1010">
        <v>1</v>
      </c>
    </row>
    <row r="1011" spans="1:25" x14ac:dyDescent="0.3">
      <c r="C1011" t="s">
        <v>353</v>
      </c>
      <c r="D1011" t="s">
        <v>728</v>
      </c>
      <c r="E1011">
        <v>108</v>
      </c>
      <c r="F1011">
        <v>108</v>
      </c>
      <c r="G1011">
        <v>108</v>
      </c>
      <c r="H1011">
        <v>108</v>
      </c>
      <c r="I1011">
        <v>108</v>
      </c>
      <c r="J1011">
        <v>108</v>
      </c>
      <c r="K1011">
        <v>108</v>
      </c>
      <c r="L1011">
        <v>108</v>
      </c>
      <c r="M1011">
        <v>113</v>
      </c>
      <c r="N1011">
        <v>113</v>
      </c>
      <c r="O1011">
        <v>113</v>
      </c>
      <c r="P1011">
        <v>108</v>
      </c>
      <c r="R1011">
        <v>1</v>
      </c>
    </row>
    <row r="1012" spans="1:25" x14ac:dyDescent="0.3">
      <c r="C1012" t="s">
        <v>353</v>
      </c>
      <c r="D1012" t="s">
        <v>721</v>
      </c>
      <c r="E1012">
        <v>0</v>
      </c>
      <c r="F1012">
        <v>0</v>
      </c>
      <c r="G1012">
        <v>0</v>
      </c>
      <c r="H1012">
        <v>0</v>
      </c>
      <c r="I1012">
        <v>0</v>
      </c>
      <c r="J1012">
        <v>0</v>
      </c>
      <c r="K1012">
        <v>40</v>
      </c>
      <c r="L1012">
        <v>40</v>
      </c>
      <c r="M1012">
        <v>40</v>
      </c>
      <c r="N1012">
        <v>40</v>
      </c>
      <c r="O1012">
        <v>40</v>
      </c>
      <c r="P1012">
        <v>40</v>
      </c>
      <c r="Q1012">
        <v>1</v>
      </c>
    </row>
    <row r="1013" spans="1:25" x14ac:dyDescent="0.3">
      <c r="C1013" t="s">
        <v>353</v>
      </c>
      <c r="D1013" t="s">
        <v>730</v>
      </c>
      <c r="E1013">
        <v>93</v>
      </c>
      <c r="F1013">
        <v>93</v>
      </c>
      <c r="G1013">
        <v>93</v>
      </c>
      <c r="H1013">
        <v>93</v>
      </c>
      <c r="I1013">
        <v>93</v>
      </c>
      <c r="J1013">
        <v>93</v>
      </c>
      <c r="K1013">
        <v>93</v>
      </c>
      <c r="L1013">
        <v>93</v>
      </c>
      <c r="M1013">
        <v>95</v>
      </c>
      <c r="N1013">
        <v>95</v>
      </c>
      <c r="O1013">
        <v>95</v>
      </c>
      <c r="P1013">
        <v>93</v>
      </c>
      <c r="R1013">
        <v>1</v>
      </c>
    </row>
    <row r="1014" spans="1:25" x14ac:dyDescent="0.3">
      <c r="C1014" t="s">
        <v>353</v>
      </c>
      <c r="D1014" t="s">
        <v>723</v>
      </c>
      <c r="E1014">
        <v>31</v>
      </c>
      <c r="F1014">
        <v>31</v>
      </c>
      <c r="G1014">
        <v>31</v>
      </c>
      <c r="H1014">
        <v>31</v>
      </c>
      <c r="I1014">
        <v>31</v>
      </c>
      <c r="J1014">
        <v>31</v>
      </c>
      <c r="K1014">
        <v>31</v>
      </c>
      <c r="L1014">
        <v>31</v>
      </c>
      <c r="M1014">
        <v>31</v>
      </c>
      <c r="N1014">
        <v>31</v>
      </c>
      <c r="O1014">
        <v>31</v>
      </c>
      <c r="P1014">
        <v>31</v>
      </c>
      <c r="Q1014">
        <v>0.77</v>
      </c>
      <c r="R1014">
        <v>0.23</v>
      </c>
    </row>
    <row r="1015" spans="1:25" x14ac:dyDescent="0.3">
      <c r="C1015" t="s">
        <v>353</v>
      </c>
      <c r="D1015" t="s">
        <v>725</v>
      </c>
      <c r="E1015">
        <v>64</v>
      </c>
      <c r="F1015">
        <v>64</v>
      </c>
      <c r="G1015">
        <v>64</v>
      </c>
      <c r="H1015">
        <v>64</v>
      </c>
      <c r="I1015">
        <v>64</v>
      </c>
      <c r="J1015">
        <v>64</v>
      </c>
      <c r="K1015">
        <v>48</v>
      </c>
      <c r="L1015">
        <v>48</v>
      </c>
      <c r="M1015">
        <v>50</v>
      </c>
      <c r="N1015">
        <v>50</v>
      </c>
      <c r="O1015">
        <v>50</v>
      </c>
      <c r="P1015">
        <v>48</v>
      </c>
      <c r="S1015">
        <v>1</v>
      </c>
    </row>
    <row r="1016" spans="1:25" x14ac:dyDescent="0.3">
      <c r="C1016" t="s">
        <v>353</v>
      </c>
      <c r="D1016" t="s">
        <v>731</v>
      </c>
      <c r="E1016">
        <v>22</v>
      </c>
      <c r="F1016">
        <v>22</v>
      </c>
      <c r="G1016">
        <v>22</v>
      </c>
      <c r="H1016">
        <v>22</v>
      </c>
      <c r="I1016">
        <v>22</v>
      </c>
      <c r="J1016">
        <v>22</v>
      </c>
      <c r="K1016">
        <v>22</v>
      </c>
      <c r="L1016">
        <v>22</v>
      </c>
      <c r="M1016">
        <v>22</v>
      </c>
      <c r="N1016">
        <v>22</v>
      </c>
      <c r="O1016">
        <v>22</v>
      </c>
      <c r="P1016">
        <v>22</v>
      </c>
      <c r="S1016">
        <v>1</v>
      </c>
    </row>
    <row r="1017" spans="1:25" x14ac:dyDescent="0.3">
      <c r="C1017" t="s">
        <v>355</v>
      </c>
      <c r="D1017" t="s">
        <v>726</v>
      </c>
      <c r="E1017">
        <v>150</v>
      </c>
      <c r="F1017">
        <v>150</v>
      </c>
      <c r="G1017">
        <v>150</v>
      </c>
      <c r="H1017">
        <v>150</v>
      </c>
      <c r="I1017">
        <v>150</v>
      </c>
      <c r="J1017">
        <v>150</v>
      </c>
      <c r="K1017">
        <v>150</v>
      </c>
      <c r="L1017">
        <v>150</v>
      </c>
      <c r="M1017">
        <v>150</v>
      </c>
      <c r="N1017">
        <v>150</v>
      </c>
      <c r="O1017">
        <v>150</v>
      </c>
      <c r="P1017">
        <v>150</v>
      </c>
      <c r="S1017">
        <v>1</v>
      </c>
    </row>
    <row r="1018" spans="1:25" x14ac:dyDescent="0.3">
      <c r="C1018" t="s">
        <v>355</v>
      </c>
      <c r="D1018" t="s">
        <v>728</v>
      </c>
      <c r="E1018">
        <v>147</v>
      </c>
      <c r="F1018">
        <v>147</v>
      </c>
      <c r="G1018">
        <v>147</v>
      </c>
      <c r="H1018">
        <v>147</v>
      </c>
      <c r="I1018">
        <v>147</v>
      </c>
      <c r="J1018">
        <v>147</v>
      </c>
      <c r="K1018">
        <v>147</v>
      </c>
      <c r="L1018">
        <v>147</v>
      </c>
      <c r="M1018">
        <v>147</v>
      </c>
      <c r="N1018">
        <v>147</v>
      </c>
      <c r="O1018">
        <v>147</v>
      </c>
      <c r="P1018">
        <v>147</v>
      </c>
      <c r="R1018">
        <v>1</v>
      </c>
    </row>
    <row r="1019" spans="1:25" x14ac:dyDescent="0.3">
      <c r="C1019" t="s">
        <v>355</v>
      </c>
      <c r="D1019" t="s">
        <v>721</v>
      </c>
    </row>
    <row r="1020" spans="1:25" x14ac:dyDescent="0.3">
      <c r="C1020" t="s">
        <v>355</v>
      </c>
      <c r="D1020" t="s">
        <v>730</v>
      </c>
      <c r="E1020">
        <v>110</v>
      </c>
      <c r="F1020">
        <v>110</v>
      </c>
      <c r="G1020">
        <v>110</v>
      </c>
      <c r="H1020">
        <v>110</v>
      </c>
      <c r="I1020">
        <v>110</v>
      </c>
      <c r="J1020">
        <v>110</v>
      </c>
      <c r="K1020">
        <v>110</v>
      </c>
      <c r="L1020">
        <v>110</v>
      </c>
      <c r="M1020">
        <v>110</v>
      </c>
      <c r="N1020">
        <v>110</v>
      </c>
      <c r="O1020">
        <v>110</v>
      </c>
      <c r="P1020">
        <v>110</v>
      </c>
      <c r="S1020">
        <v>1</v>
      </c>
    </row>
    <row r="1021" spans="1:25" x14ac:dyDescent="0.3">
      <c r="C1021" t="s">
        <v>355</v>
      </c>
      <c r="D1021" t="s">
        <v>723</v>
      </c>
      <c r="E1021">
        <v>71</v>
      </c>
      <c r="F1021">
        <v>71</v>
      </c>
      <c r="G1021">
        <v>71</v>
      </c>
      <c r="H1021">
        <v>71</v>
      </c>
      <c r="I1021">
        <v>71</v>
      </c>
      <c r="J1021">
        <v>71</v>
      </c>
      <c r="K1021">
        <v>71</v>
      </c>
      <c r="L1021">
        <v>71</v>
      </c>
      <c r="M1021">
        <v>71</v>
      </c>
      <c r="N1021">
        <v>71</v>
      </c>
      <c r="O1021">
        <v>71</v>
      </c>
      <c r="P1021">
        <v>71</v>
      </c>
      <c r="S1021">
        <v>1</v>
      </c>
    </row>
    <row r="1022" spans="1:25" x14ac:dyDescent="0.3">
      <c r="C1022" t="s">
        <v>355</v>
      </c>
      <c r="D1022" t="s">
        <v>725</v>
      </c>
      <c r="E1022">
        <v>190</v>
      </c>
      <c r="F1022">
        <v>190</v>
      </c>
      <c r="G1022">
        <v>133</v>
      </c>
      <c r="H1022">
        <v>126</v>
      </c>
      <c r="I1022">
        <v>126</v>
      </c>
      <c r="J1022">
        <v>126</v>
      </c>
      <c r="K1022">
        <v>126</v>
      </c>
      <c r="L1022">
        <v>126</v>
      </c>
      <c r="M1022">
        <v>126</v>
      </c>
      <c r="N1022">
        <v>126</v>
      </c>
      <c r="O1022">
        <v>126</v>
      </c>
      <c r="P1022">
        <v>126</v>
      </c>
      <c r="R1022">
        <v>1</v>
      </c>
    </row>
    <row r="1023" spans="1:25" x14ac:dyDescent="0.3">
      <c r="C1023" t="s">
        <v>355</v>
      </c>
      <c r="D1023" t="s">
        <v>731</v>
      </c>
      <c r="E1023">
        <v>36</v>
      </c>
      <c r="F1023">
        <v>41</v>
      </c>
      <c r="G1023">
        <v>46</v>
      </c>
      <c r="H1023">
        <v>46</v>
      </c>
      <c r="I1023">
        <v>46</v>
      </c>
      <c r="J1023">
        <v>46</v>
      </c>
      <c r="K1023">
        <v>46</v>
      </c>
      <c r="L1023">
        <v>46</v>
      </c>
      <c r="M1023">
        <v>46</v>
      </c>
      <c r="N1023">
        <v>46</v>
      </c>
      <c r="O1023">
        <v>46</v>
      </c>
      <c r="P1023">
        <v>46</v>
      </c>
      <c r="R1023">
        <v>1</v>
      </c>
    </row>
    <row r="1024" spans="1:25" x14ac:dyDescent="0.3">
      <c r="C1024" t="s">
        <v>357</v>
      </c>
      <c r="D1024" t="s">
        <v>726</v>
      </c>
      <c r="E1024">
        <v>97</v>
      </c>
      <c r="F1024">
        <v>97</v>
      </c>
      <c r="G1024">
        <v>97</v>
      </c>
      <c r="H1024">
        <v>97</v>
      </c>
      <c r="I1024">
        <v>97</v>
      </c>
      <c r="J1024">
        <v>97</v>
      </c>
      <c r="K1024">
        <v>97</v>
      </c>
      <c r="L1024">
        <v>97</v>
      </c>
      <c r="M1024">
        <v>97</v>
      </c>
      <c r="N1024">
        <v>97</v>
      </c>
      <c r="O1024">
        <v>97</v>
      </c>
      <c r="P1024">
        <v>97</v>
      </c>
      <c r="Q1024">
        <v>0</v>
      </c>
      <c r="R1024">
        <v>0.5</v>
      </c>
      <c r="S1024">
        <v>0.5</v>
      </c>
    </row>
    <row r="1025" spans="3:19" x14ac:dyDescent="0.3">
      <c r="C1025" t="s">
        <v>357</v>
      </c>
      <c r="D1025" t="s">
        <v>728</v>
      </c>
      <c r="E1025">
        <v>84</v>
      </c>
      <c r="F1025">
        <v>84</v>
      </c>
      <c r="G1025">
        <v>84</v>
      </c>
      <c r="H1025">
        <v>84</v>
      </c>
      <c r="I1025">
        <v>84</v>
      </c>
      <c r="J1025">
        <v>84</v>
      </c>
      <c r="K1025">
        <v>84</v>
      </c>
      <c r="L1025">
        <v>84</v>
      </c>
      <c r="M1025">
        <v>84</v>
      </c>
      <c r="N1025">
        <v>84</v>
      </c>
      <c r="O1025">
        <v>84</v>
      </c>
      <c r="P1025">
        <v>84</v>
      </c>
      <c r="Q1025">
        <v>0</v>
      </c>
      <c r="R1025">
        <v>0.9</v>
      </c>
      <c r="S1025">
        <v>0.1</v>
      </c>
    </row>
    <row r="1026" spans="3:19" x14ac:dyDescent="0.3">
      <c r="C1026" t="s">
        <v>357</v>
      </c>
      <c r="D1026" t="s">
        <v>721</v>
      </c>
    </row>
    <row r="1027" spans="3:19" x14ac:dyDescent="0.3">
      <c r="C1027" t="s">
        <v>357</v>
      </c>
      <c r="D1027" t="s">
        <v>730</v>
      </c>
      <c r="E1027">
        <v>13</v>
      </c>
      <c r="F1027">
        <v>13</v>
      </c>
      <c r="G1027">
        <v>13</v>
      </c>
      <c r="H1027">
        <v>13</v>
      </c>
      <c r="I1027">
        <v>13</v>
      </c>
      <c r="J1027">
        <v>13</v>
      </c>
      <c r="K1027">
        <v>13</v>
      </c>
      <c r="L1027">
        <v>13</v>
      </c>
      <c r="M1027">
        <v>13</v>
      </c>
      <c r="N1027">
        <v>13</v>
      </c>
      <c r="O1027">
        <v>13</v>
      </c>
      <c r="P1027">
        <v>13</v>
      </c>
      <c r="Q1027">
        <v>0</v>
      </c>
      <c r="R1027">
        <v>0.9</v>
      </c>
      <c r="S1027">
        <v>0.1</v>
      </c>
    </row>
    <row r="1028" spans="3:19" x14ac:dyDescent="0.3">
      <c r="C1028" t="s">
        <v>357</v>
      </c>
      <c r="D1028" t="s">
        <v>723</v>
      </c>
      <c r="E1028">
        <v>55</v>
      </c>
      <c r="F1028">
        <v>55</v>
      </c>
      <c r="G1028">
        <v>55</v>
      </c>
      <c r="H1028">
        <v>55</v>
      </c>
      <c r="I1028">
        <v>55</v>
      </c>
      <c r="J1028">
        <v>55</v>
      </c>
      <c r="K1028">
        <v>55</v>
      </c>
      <c r="L1028">
        <v>55</v>
      </c>
      <c r="M1028">
        <v>55</v>
      </c>
      <c r="N1028">
        <v>55</v>
      </c>
      <c r="O1028">
        <v>55</v>
      </c>
      <c r="P1028">
        <v>55</v>
      </c>
      <c r="Q1028">
        <v>0.9</v>
      </c>
      <c r="R1028">
        <v>0</v>
      </c>
      <c r="S1028">
        <v>0.1</v>
      </c>
    </row>
    <row r="1029" spans="3:19" x14ac:dyDescent="0.3">
      <c r="C1029" t="s">
        <v>357</v>
      </c>
      <c r="D1029" t="s">
        <v>725</v>
      </c>
    </row>
    <row r="1030" spans="3:19" x14ac:dyDescent="0.3">
      <c r="C1030" t="s">
        <v>357</v>
      </c>
      <c r="D1030" t="s">
        <v>731</v>
      </c>
      <c r="E1030">
        <v>16</v>
      </c>
      <c r="F1030">
        <v>16</v>
      </c>
      <c r="G1030">
        <v>16</v>
      </c>
      <c r="H1030">
        <v>16</v>
      </c>
      <c r="I1030">
        <v>16</v>
      </c>
      <c r="J1030">
        <v>16</v>
      </c>
      <c r="K1030">
        <v>16</v>
      </c>
      <c r="L1030">
        <v>16</v>
      </c>
      <c r="M1030">
        <v>16</v>
      </c>
      <c r="N1030">
        <v>16</v>
      </c>
      <c r="O1030">
        <v>16</v>
      </c>
      <c r="P1030">
        <v>16</v>
      </c>
      <c r="Q1030">
        <v>0</v>
      </c>
      <c r="R1030">
        <v>0</v>
      </c>
      <c r="S1030">
        <v>1</v>
      </c>
    </row>
    <row r="1031" spans="3:19" x14ac:dyDescent="0.3">
      <c r="C1031" t="s">
        <v>359</v>
      </c>
      <c r="D1031" t="s">
        <v>726</v>
      </c>
      <c r="E1031">
        <v>0</v>
      </c>
      <c r="F1031">
        <v>0</v>
      </c>
      <c r="G1031">
        <v>0</v>
      </c>
      <c r="H1031">
        <v>0</v>
      </c>
      <c r="I1031">
        <v>0</v>
      </c>
      <c r="J1031">
        <v>0</v>
      </c>
      <c r="K1031">
        <v>0</v>
      </c>
      <c r="L1031">
        <v>0</v>
      </c>
      <c r="M1031">
        <v>0</v>
      </c>
      <c r="N1031">
        <v>0</v>
      </c>
      <c r="O1031">
        <v>0</v>
      </c>
      <c r="P1031">
        <v>0</v>
      </c>
    </row>
    <row r="1032" spans="3:19" x14ac:dyDescent="0.3">
      <c r="C1032" t="s">
        <v>359</v>
      </c>
      <c r="D1032" t="s">
        <v>728</v>
      </c>
      <c r="E1032">
        <v>102</v>
      </c>
      <c r="F1032">
        <v>102</v>
      </c>
      <c r="G1032">
        <v>102</v>
      </c>
      <c r="H1032">
        <v>102</v>
      </c>
      <c r="I1032">
        <v>102</v>
      </c>
      <c r="J1032">
        <v>102</v>
      </c>
      <c r="K1032">
        <v>102</v>
      </c>
      <c r="L1032">
        <v>102</v>
      </c>
      <c r="M1032">
        <v>102</v>
      </c>
      <c r="N1032">
        <v>102</v>
      </c>
      <c r="O1032">
        <v>102</v>
      </c>
      <c r="P1032">
        <v>102</v>
      </c>
      <c r="S1032">
        <v>1</v>
      </c>
    </row>
    <row r="1033" spans="3:19" x14ac:dyDescent="0.3">
      <c r="C1033" t="s">
        <v>359</v>
      </c>
      <c r="D1033" t="s">
        <v>721</v>
      </c>
      <c r="E1033">
        <v>0</v>
      </c>
      <c r="F1033">
        <v>0</v>
      </c>
      <c r="G1033">
        <v>0</v>
      </c>
      <c r="H1033">
        <v>0</v>
      </c>
      <c r="I1033">
        <v>0</v>
      </c>
      <c r="J1033">
        <v>0</v>
      </c>
      <c r="K1033">
        <v>0</v>
      </c>
      <c r="L1033">
        <v>0</v>
      </c>
      <c r="M1033">
        <v>0</v>
      </c>
      <c r="N1033">
        <v>0</v>
      </c>
      <c r="O1033">
        <v>0</v>
      </c>
      <c r="P1033">
        <v>0</v>
      </c>
    </row>
    <row r="1034" spans="3:19" x14ac:dyDescent="0.3">
      <c r="C1034" t="s">
        <v>359</v>
      </c>
      <c r="D1034" t="s">
        <v>730</v>
      </c>
      <c r="E1034">
        <v>0</v>
      </c>
      <c r="F1034">
        <v>0</v>
      </c>
      <c r="G1034">
        <v>0</v>
      </c>
      <c r="H1034">
        <v>0</v>
      </c>
      <c r="I1034">
        <v>0</v>
      </c>
      <c r="J1034">
        <v>0</v>
      </c>
      <c r="K1034">
        <v>0</v>
      </c>
      <c r="L1034">
        <v>0</v>
      </c>
      <c r="M1034">
        <v>0</v>
      </c>
      <c r="N1034">
        <v>0</v>
      </c>
      <c r="O1034">
        <v>0</v>
      </c>
      <c r="P1034">
        <v>0</v>
      </c>
    </row>
    <row r="1035" spans="3:19" x14ac:dyDescent="0.3">
      <c r="C1035" t="s">
        <v>359</v>
      </c>
      <c r="D1035" t="s">
        <v>723</v>
      </c>
      <c r="E1035">
        <v>0</v>
      </c>
      <c r="F1035">
        <v>0</v>
      </c>
      <c r="G1035">
        <v>0</v>
      </c>
      <c r="H1035">
        <v>0</v>
      </c>
      <c r="I1035">
        <v>0</v>
      </c>
      <c r="J1035">
        <v>0</v>
      </c>
      <c r="K1035">
        <v>0</v>
      </c>
      <c r="L1035">
        <v>0</v>
      </c>
      <c r="M1035">
        <v>0</v>
      </c>
      <c r="N1035">
        <v>0</v>
      </c>
      <c r="O1035">
        <v>0</v>
      </c>
      <c r="P1035">
        <v>0</v>
      </c>
    </row>
    <row r="1036" spans="3:19" x14ac:dyDescent="0.3">
      <c r="C1036" t="s">
        <v>359</v>
      </c>
      <c r="D1036" t="s">
        <v>725</v>
      </c>
      <c r="E1036">
        <v>102</v>
      </c>
      <c r="F1036">
        <v>102</v>
      </c>
      <c r="G1036">
        <v>102</v>
      </c>
      <c r="H1036">
        <v>102</v>
      </c>
      <c r="I1036">
        <v>102</v>
      </c>
      <c r="J1036">
        <v>102</v>
      </c>
      <c r="K1036">
        <v>102</v>
      </c>
      <c r="L1036">
        <v>102</v>
      </c>
      <c r="M1036">
        <v>102</v>
      </c>
      <c r="N1036">
        <v>102</v>
      </c>
      <c r="O1036">
        <v>102</v>
      </c>
      <c r="P1036">
        <v>102</v>
      </c>
      <c r="S1036">
        <v>1</v>
      </c>
    </row>
    <row r="1037" spans="3:19" x14ac:dyDescent="0.3">
      <c r="C1037" t="s">
        <v>359</v>
      </c>
      <c r="D1037" t="s">
        <v>731</v>
      </c>
      <c r="E1037">
        <v>0</v>
      </c>
      <c r="F1037">
        <v>0</v>
      </c>
      <c r="G1037">
        <v>0</v>
      </c>
      <c r="H1037">
        <v>0</v>
      </c>
      <c r="I1037">
        <v>0</v>
      </c>
      <c r="J1037">
        <v>0</v>
      </c>
      <c r="K1037">
        <v>0</v>
      </c>
      <c r="L1037">
        <v>0</v>
      </c>
      <c r="M1037">
        <v>0</v>
      </c>
      <c r="N1037">
        <v>0</v>
      </c>
      <c r="O1037">
        <v>0</v>
      </c>
      <c r="P1037">
        <v>0</v>
      </c>
    </row>
    <row r="1038" spans="3:19" x14ac:dyDescent="0.3">
      <c r="C1038" t="s">
        <v>361</v>
      </c>
      <c r="D1038" t="s">
        <v>726</v>
      </c>
      <c r="E1038">
        <v>25</v>
      </c>
      <c r="F1038">
        <v>25</v>
      </c>
      <c r="G1038">
        <v>25</v>
      </c>
      <c r="H1038">
        <v>25</v>
      </c>
      <c r="I1038">
        <v>25</v>
      </c>
      <c r="J1038">
        <v>25</v>
      </c>
      <c r="K1038">
        <v>40</v>
      </c>
      <c r="L1038">
        <v>40</v>
      </c>
      <c r="M1038">
        <v>40</v>
      </c>
      <c r="N1038">
        <v>40</v>
      </c>
      <c r="O1038">
        <v>40</v>
      </c>
      <c r="P1038">
        <v>40</v>
      </c>
    </row>
    <row r="1039" spans="3:19" x14ac:dyDescent="0.3">
      <c r="C1039" t="s">
        <v>361</v>
      </c>
      <c r="D1039" t="s">
        <v>728</v>
      </c>
      <c r="E1039">
        <v>0</v>
      </c>
      <c r="F1039">
        <v>0</v>
      </c>
      <c r="G1039">
        <v>0</v>
      </c>
      <c r="H1039">
        <v>0</v>
      </c>
      <c r="I1039">
        <v>0</v>
      </c>
      <c r="J1039">
        <v>0</v>
      </c>
      <c r="K1039">
        <v>0</v>
      </c>
      <c r="L1039">
        <v>0</v>
      </c>
      <c r="M1039">
        <v>0</v>
      </c>
      <c r="N1039">
        <v>0</v>
      </c>
      <c r="O1039">
        <v>0</v>
      </c>
      <c r="P1039">
        <v>0</v>
      </c>
    </row>
    <row r="1040" spans="3:19" x14ac:dyDescent="0.3">
      <c r="C1040" t="s">
        <v>361</v>
      </c>
      <c r="D1040" t="s">
        <v>721</v>
      </c>
      <c r="E1040">
        <v>106</v>
      </c>
      <c r="F1040">
        <v>107</v>
      </c>
      <c r="G1040">
        <v>104</v>
      </c>
      <c r="H1040">
        <v>97</v>
      </c>
      <c r="I1040">
        <v>136</v>
      </c>
      <c r="J1040">
        <v>141</v>
      </c>
      <c r="K1040">
        <v>137</v>
      </c>
      <c r="L1040">
        <v>126</v>
      </c>
      <c r="M1040">
        <v>106</v>
      </c>
      <c r="N1040">
        <v>119</v>
      </c>
      <c r="O1040">
        <v>131</v>
      </c>
      <c r="P1040">
        <v>112</v>
      </c>
    </row>
    <row r="1041" spans="3:18" x14ac:dyDescent="0.3">
      <c r="C1041" t="s">
        <v>361</v>
      </c>
      <c r="D1041" t="s">
        <v>723</v>
      </c>
      <c r="E1041">
        <v>115</v>
      </c>
      <c r="F1041">
        <v>115</v>
      </c>
      <c r="G1041">
        <v>115</v>
      </c>
      <c r="H1041">
        <v>115</v>
      </c>
      <c r="I1041">
        <v>115</v>
      </c>
      <c r="J1041">
        <v>115</v>
      </c>
      <c r="K1041">
        <v>115</v>
      </c>
      <c r="L1041">
        <v>115</v>
      </c>
      <c r="M1041">
        <v>115</v>
      </c>
      <c r="N1041">
        <v>115</v>
      </c>
      <c r="O1041">
        <v>115</v>
      </c>
      <c r="P1041">
        <v>115</v>
      </c>
    </row>
    <row r="1042" spans="3:18" x14ac:dyDescent="0.3">
      <c r="C1042" t="s">
        <v>361</v>
      </c>
      <c r="D1042" t="s">
        <v>725</v>
      </c>
      <c r="E1042">
        <v>4</v>
      </c>
      <c r="F1042">
        <v>4</v>
      </c>
      <c r="G1042">
        <v>4</v>
      </c>
      <c r="H1042">
        <v>4</v>
      </c>
      <c r="I1042">
        <v>4</v>
      </c>
      <c r="J1042">
        <v>4</v>
      </c>
      <c r="K1042">
        <v>4</v>
      </c>
      <c r="L1042">
        <v>4</v>
      </c>
      <c r="M1042">
        <v>4</v>
      </c>
      <c r="N1042">
        <v>4</v>
      </c>
      <c r="O1042">
        <v>4</v>
      </c>
      <c r="P1042">
        <v>4</v>
      </c>
    </row>
    <row r="1043" spans="3:18" x14ac:dyDescent="0.3">
      <c r="C1043" t="s">
        <v>361</v>
      </c>
      <c r="D1043" t="s">
        <v>730</v>
      </c>
      <c r="E1043">
        <v>0</v>
      </c>
      <c r="F1043">
        <v>0</v>
      </c>
      <c r="G1043">
        <v>0</v>
      </c>
      <c r="H1043">
        <v>0</v>
      </c>
      <c r="I1043">
        <v>0</v>
      </c>
      <c r="J1043">
        <v>0</v>
      </c>
      <c r="K1043">
        <v>0</v>
      </c>
      <c r="L1043">
        <v>0</v>
      </c>
      <c r="M1043">
        <v>0</v>
      </c>
      <c r="N1043">
        <v>0</v>
      </c>
      <c r="O1043">
        <v>0</v>
      </c>
      <c r="P1043">
        <v>0</v>
      </c>
    </row>
    <row r="1044" spans="3:18" x14ac:dyDescent="0.3">
      <c r="C1044" t="s">
        <v>361</v>
      </c>
      <c r="D1044" t="s">
        <v>731</v>
      </c>
      <c r="E1044">
        <v>5</v>
      </c>
      <c r="F1044">
        <v>5</v>
      </c>
      <c r="G1044">
        <v>5</v>
      </c>
      <c r="H1044">
        <v>5</v>
      </c>
      <c r="I1044">
        <v>5</v>
      </c>
      <c r="J1044">
        <v>5</v>
      </c>
      <c r="K1044">
        <v>5</v>
      </c>
      <c r="L1044">
        <v>5</v>
      </c>
      <c r="M1044">
        <v>5</v>
      </c>
      <c r="N1044">
        <v>5</v>
      </c>
      <c r="O1044">
        <v>5</v>
      </c>
      <c r="P1044">
        <v>5</v>
      </c>
    </row>
    <row r="1045" spans="3:18" x14ac:dyDescent="0.3">
      <c r="C1045" t="s">
        <v>363</v>
      </c>
      <c r="D1045" t="s">
        <v>726</v>
      </c>
      <c r="E1045">
        <v>60</v>
      </c>
      <c r="F1045">
        <v>60</v>
      </c>
      <c r="G1045">
        <v>60</v>
      </c>
      <c r="H1045">
        <v>60</v>
      </c>
      <c r="I1045">
        <v>60</v>
      </c>
      <c r="J1045">
        <v>60</v>
      </c>
      <c r="K1045">
        <v>60</v>
      </c>
      <c r="L1045">
        <v>60</v>
      </c>
      <c r="M1045">
        <v>60</v>
      </c>
      <c r="N1045">
        <v>60</v>
      </c>
      <c r="O1045">
        <v>60</v>
      </c>
      <c r="P1045">
        <v>60</v>
      </c>
      <c r="Q1045">
        <v>1</v>
      </c>
      <c r="R1045">
        <v>0</v>
      </c>
    </row>
    <row r="1046" spans="3:18" x14ac:dyDescent="0.3">
      <c r="C1046" t="s">
        <v>363</v>
      </c>
      <c r="D1046" t="s">
        <v>728</v>
      </c>
      <c r="E1046">
        <v>176.83912831739792</v>
      </c>
      <c r="F1046">
        <v>120.38022537089516</v>
      </c>
      <c r="G1046">
        <v>163.50748875063914</v>
      </c>
      <c r="H1046">
        <v>141.7402752230611</v>
      </c>
      <c r="I1046">
        <v>134.50419397878892</v>
      </c>
      <c r="J1046">
        <v>158.03806053331047</v>
      </c>
      <c r="K1046">
        <v>178.72115254237289</v>
      </c>
      <c r="L1046">
        <v>123.50567804878048</v>
      </c>
      <c r="M1046">
        <v>139.43070476361353</v>
      </c>
      <c r="N1046">
        <v>148.22076242095753</v>
      </c>
      <c r="O1046">
        <v>134.27683388841066</v>
      </c>
      <c r="P1046">
        <v>164.56835900835694</v>
      </c>
      <c r="Q1046">
        <v>0.1</v>
      </c>
      <c r="R1046">
        <v>0.9</v>
      </c>
    </row>
    <row r="1047" spans="3:18" x14ac:dyDescent="0.3">
      <c r="C1047" t="s">
        <v>363</v>
      </c>
      <c r="D1047" t="s">
        <v>721</v>
      </c>
      <c r="E1047">
        <v>0</v>
      </c>
      <c r="F1047">
        <v>0</v>
      </c>
      <c r="G1047">
        <v>0</v>
      </c>
      <c r="H1047">
        <v>0</v>
      </c>
      <c r="I1047">
        <v>0</v>
      </c>
      <c r="J1047">
        <v>0</v>
      </c>
      <c r="K1047">
        <v>0</v>
      </c>
      <c r="L1047">
        <v>0</v>
      </c>
      <c r="M1047">
        <v>0</v>
      </c>
      <c r="N1047">
        <v>0</v>
      </c>
      <c r="O1047">
        <v>0</v>
      </c>
      <c r="P1047">
        <v>0</v>
      </c>
      <c r="Q1047">
        <v>0</v>
      </c>
      <c r="R1047">
        <v>0</v>
      </c>
    </row>
    <row r="1048" spans="3:18" x14ac:dyDescent="0.3">
      <c r="C1048" t="s">
        <v>363</v>
      </c>
      <c r="D1048" t="s">
        <v>730</v>
      </c>
      <c r="E1048">
        <v>151</v>
      </c>
      <c r="F1048">
        <v>151</v>
      </c>
      <c r="G1048">
        <v>151</v>
      </c>
      <c r="H1048">
        <v>151</v>
      </c>
      <c r="I1048">
        <v>151</v>
      </c>
      <c r="J1048">
        <v>151</v>
      </c>
      <c r="K1048">
        <v>151</v>
      </c>
      <c r="L1048">
        <v>151</v>
      </c>
      <c r="M1048">
        <v>151</v>
      </c>
      <c r="N1048">
        <v>151</v>
      </c>
      <c r="O1048">
        <v>151</v>
      </c>
      <c r="P1048">
        <v>151</v>
      </c>
      <c r="Q1048">
        <v>1</v>
      </c>
      <c r="R1048">
        <v>0</v>
      </c>
    </row>
    <row r="1049" spans="3:18" x14ac:dyDescent="0.3">
      <c r="C1049" t="s">
        <v>363</v>
      </c>
      <c r="D1049" t="s">
        <v>723</v>
      </c>
      <c r="E1049">
        <v>72</v>
      </c>
      <c r="F1049">
        <v>95</v>
      </c>
      <c r="G1049">
        <v>84</v>
      </c>
      <c r="H1049">
        <v>102</v>
      </c>
      <c r="I1049">
        <v>94</v>
      </c>
      <c r="J1049">
        <v>125</v>
      </c>
      <c r="K1049">
        <v>105</v>
      </c>
      <c r="L1049">
        <v>99</v>
      </c>
      <c r="M1049">
        <v>139</v>
      </c>
      <c r="N1049">
        <v>150</v>
      </c>
      <c r="O1049">
        <v>106</v>
      </c>
      <c r="P1049">
        <v>100</v>
      </c>
      <c r="Q1049">
        <v>0.5</v>
      </c>
      <c r="R1049">
        <v>0.5</v>
      </c>
    </row>
    <row r="1050" spans="3:18" x14ac:dyDescent="0.3">
      <c r="C1050" t="s">
        <v>363</v>
      </c>
      <c r="D1050" t="s">
        <v>725</v>
      </c>
      <c r="E1050">
        <v>0</v>
      </c>
      <c r="F1050">
        <v>0</v>
      </c>
      <c r="G1050">
        <v>0</v>
      </c>
      <c r="H1050">
        <v>0</v>
      </c>
      <c r="I1050">
        <v>0</v>
      </c>
      <c r="J1050">
        <v>0</v>
      </c>
      <c r="K1050">
        <v>0</v>
      </c>
      <c r="L1050">
        <v>0</v>
      </c>
      <c r="M1050">
        <v>0</v>
      </c>
      <c r="N1050">
        <v>0</v>
      </c>
      <c r="O1050">
        <v>0</v>
      </c>
      <c r="P1050">
        <v>0</v>
      </c>
      <c r="R1050">
        <v>0.1</v>
      </c>
    </row>
    <row r="1051" spans="3:18" x14ac:dyDescent="0.3">
      <c r="C1051" t="s">
        <v>363</v>
      </c>
      <c r="D1051" t="s">
        <v>731</v>
      </c>
      <c r="E1051">
        <v>37</v>
      </c>
      <c r="F1051">
        <v>28</v>
      </c>
      <c r="G1051">
        <v>16</v>
      </c>
      <c r="H1051">
        <v>24</v>
      </c>
      <c r="I1051">
        <v>32</v>
      </c>
      <c r="J1051">
        <v>26</v>
      </c>
      <c r="K1051">
        <v>31</v>
      </c>
      <c r="L1051">
        <v>34</v>
      </c>
      <c r="M1051">
        <v>28</v>
      </c>
      <c r="N1051">
        <v>46</v>
      </c>
      <c r="O1051">
        <v>34</v>
      </c>
      <c r="P1051">
        <v>22</v>
      </c>
      <c r="Q1051">
        <v>1</v>
      </c>
      <c r="R1051">
        <v>0</v>
      </c>
    </row>
    <row r="1052" spans="3:18" x14ac:dyDescent="0.3">
      <c r="C1052" t="s">
        <v>365</v>
      </c>
      <c r="D1052" t="s">
        <v>726</v>
      </c>
      <c r="E1052">
        <v>3138</v>
      </c>
      <c r="F1052">
        <v>3275</v>
      </c>
      <c r="G1052">
        <v>3168</v>
      </c>
      <c r="H1052">
        <v>3203</v>
      </c>
      <c r="I1052">
        <v>3320</v>
      </c>
      <c r="J1052">
        <v>3168</v>
      </c>
      <c r="K1052">
        <v>3340</v>
      </c>
      <c r="L1052">
        <v>3189</v>
      </c>
      <c r="M1052">
        <v>3248</v>
      </c>
      <c r="N1052">
        <v>3275</v>
      </c>
      <c r="O1052">
        <v>2948</v>
      </c>
      <c r="P1052">
        <v>3278</v>
      </c>
    </row>
    <row r="1053" spans="3:18" x14ac:dyDescent="0.3">
      <c r="C1053" t="s">
        <v>365</v>
      </c>
      <c r="D1053" t="s">
        <v>728</v>
      </c>
      <c r="E1053">
        <v>557</v>
      </c>
      <c r="F1053">
        <v>575</v>
      </c>
      <c r="G1053">
        <v>557</v>
      </c>
      <c r="H1053">
        <v>575</v>
      </c>
      <c r="I1053">
        <v>575</v>
      </c>
      <c r="J1053">
        <v>575</v>
      </c>
      <c r="K1053">
        <v>575</v>
      </c>
      <c r="L1053">
        <v>557</v>
      </c>
      <c r="M1053">
        <v>575</v>
      </c>
      <c r="N1053">
        <v>575</v>
      </c>
      <c r="O1053">
        <v>539</v>
      </c>
      <c r="P1053">
        <v>575</v>
      </c>
    </row>
    <row r="1054" spans="3:18" x14ac:dyDescent="0.3">
      <c r="C1054" t="s">
        <v>365</v>
      </c>
      <c r="D1054" t="s">
        <v>721</v>
      </c>
      <c r="E1054">
        <v>40</v>
      </c>
      <c r="F1054">
        <v>40</v>
      </c>
      <c r="G1054">
        <v>40</v>
      </c>
      <c r="H1054">
        <v>40</v>
      </c>
      <c r="I1054">
        <v>40</v>
      </c>
      <c r="J1054">
        <v>40</v>
      </c>
      <c r="K1054">
        <v>40</v>
      </c>
      <c r="L1054">
        <v>40</v>
      </c>
      <c r="M1054">
        <v>40</v>
      </c>
      <c r="N1054">
        <v>40</v>
      </c>
      <c r="O1054">
        <v>40</v>
      </c>
      <c r="P1054">
        <v>40</v>
      </c>
    </row>
    <row r="1055" spans="3:18" x14ac:dyDescent="0.3">
      <c r="C1055" t="s">
        <v>365</v>
      </c>
      <c r="D1055" t="s">
        <v>730</v>
      </c>
      <c r="E1055">
        <v>0</v>
      </c>
      <c r="F1055">
        <v>0</v>
      </c>
      <c r="G1055">
        <v>0</v>
      </c>
      <c r="H1055">
        <v>0</v>
      </c>
      <c r="I1055">
        <v>0</v>
      </c>
      <c r="J1055">
        <v>0</v>
      </c>
      <c r="K1055">
        <v>0</v>
      </c>
      <c r="L1055">
        <v>0</v>
      </c>
      <c r="M1055">
        <v>0</v>
      </c>
      <c r="N1055">
        <v>0</v>
      </c>
      <c r="O1055">
        <v>0</v>
      </c>
      <c r="P1055">
        <v>0</v>
      </c>
    </row>
    <row r="1056" spans="3:18" x14ac:dyDescent="0.3">
      <c r="C1056" t="s">
        <v>365</v>
      </c>
      <c r="D1056" t="s">
        <v>723</v>
      </c>
      <c r="E1056">
        <v>0</v>
      </c>
      <c r="F1056">
        <v>0</v>
      </c>
      <c r="G1056">
        <v>0</v>
      </c>
      <c r="H1056">
        <v>0</v>
      </c>
      <c r="I1056">
        <v>0</v>
      </c>
      <c r="J1056">
        <v>0</v>
      </c>
      <c r="K1056">
        <v>0</v>
      </c>
      <c r="L1056">
        <v>0</v>
      </c>
      <c r="M1056">
        <v>0</v>
      </c>
      <c r="N1056">
        <v>0</v>
      </c>
      <c r="O1056">
        <v>0</v>
      </c>
      <c r="P1056">
        <v>0</v>
      </c>
    </row>
    <row r="1057" spans="3:19" x14ac:dyDescent="0.3">
      <c r="C1057" t="s">
        <v>365</v>
      </c>
      <c r="D1057" t="s">
        <v>725</v>
      </c>
      <c r="E1057">
        <v>230</v>
      </c>
      <c r="F1057">
        <v>240</v>
      </c>
      <c r="G1057">
        <v>232</v>
      </c>
      <c r="H1057">
        <v>238</v>
      </c>
      <c r="I1057">
        <v>240</v>
      </c>
      <c r="J1057">
        <v>231</v>
      </c>
      <c r="K1057">
        <v>239</v>
      </c>
      <c r="L1057">
        <v>232</v>
      </c>
      <c r="M1057">
        <v>238</v>
      </c>
      <c r="N1057">
        <v>240</v>
      </c>
      <c r="O1057">
        <v>224</v>
      </c>
      <c r="P1057">
        <v>238</v>
      </c>
    </row>
    <row r="1058" spans="3:19" x14ac:dyDescent="0.3">
      <c r="C1058" t="s">
        <v>365</v>
      </c>
      <c r="D1058" t="s">
        <v>731</v>
      </c>
      <c r="E1058">
        <v>40</v>
      </c>
      <c r="F1058">
        <v>40</v>
      </c>
      <c r="G1058">
        <v>40</v>
      </c>
      <c r="H1058">
        <v>40</v>
      </c>
      <c r="I1058">
        <v>40</v>
      </c>
      <c r="J1058">
        <v>40</v>
      </c>
      <c r="K1058">
        <v>40</v>
      </c>
      <c r="L1058">
        <v>40</v>
      </c>
      <c r="M1058">
        <v>40</v>
      </c>
      <c r="N1058">
        <v>40</v>
      </c>
      <c r="O1058">
        <v>40</v>
      </c>
      <c r="P1058">
        <v>40</v>
      </c>
    </row>
    <row r="1059" spans="3:19" x14ac:dyDescent="0.3">
      <c r="C1059" t="s">
        <v>368</v>
      </c>
      <c r="D1059" t="s">
        <v>726</v>
      </c>
      <c r="E1059">
        <v>130</v>
      </c>
      <c r="F1059">
        <v>140</v>
      </c>
      <c r="G1059">
        <v>136</v>
      </c>
      <c r="H1059">
        <v>135</v>
      </c>
      <c r="I1059">
        <v>132</v>
      </c>
      <c r="J1059">
        <v>145</v>
      </c>
      <c r="K1059">
        <v>144</v>
      </c>
      <c r="L1059">
        <v>143</v>
      </c>
      <c r="M1059">
        <v>130</v>
      </c>
      <c r="N1059">
        <v>144</v>
      </c>
      <c r="O1059">
        <v>135</v>
      </c>
      <c r="P1059">
        <v>145</v>
      </c>
      <c r="Q1059">
        <v>0.2</v>
      </c>
      <c r="R1059">
        <v>0.8</v>
      </c>
    </row>
    <row r="1060" spans="3:19" x14ac:dyDescent="0.3">
      <c r="C1060" t="s">
        <v>368</v>
      </c>
      <c r="D1060" t="s">
        <v>728</v>
      </c>
      <c r="E1060">
        <v>59</v>
      </c>
      <c r="F1060">
        <v>64</v>
      </c>
      <c r="G1060">
        <v>61</v>
      </c>
      <c r="H1060">
        <v>61</v>
      </c>
      <c r="I1060">
        <v>60</v>
      </c>
      <c r="J1060">
        <v>66</v>
      </c>
      <c r="K1060">
        <v>65</v>
      </c>
      <c r="L1060">
        <v>64</v>
      </c>
      <c r="M1060">
        <v>59</v>
      </c>
      <c r="N1060">
        <v>65</v>
      </c>
      <c r="O1060">
        <v>61</v>
      </c>
      <c r="P1060">
        <v>66</v>
      </c>
      <c r="R1060">
        <v>1</v>
      </c>
    </row>
    <row r="1061" spans="3:19" x14ac:dyDescent="0.3">
      <c r="C1061" t="s">
        <v>368</v>
      </c>
      <c r="D1061" t="s">
        <v>721</v>
      </c>
    </row>
    <row r="1062" spans="3:19" x14ac:dyDescent="0.3">
      <c r="C1062" t="s">
        <v>368</v>
      </c>
      <c r="D1062" t="s">
        <v>730</v>
      </c>
    </row>
    <row r="1063" spans="3:19" x14ac:dyDescent="0.3">
      <c r="C1063" t="s">
        <v>368</v>
      </c>
      <c r="D1063" t="s">
        <v>723</v>
      </c>
      <c r="E1063">
        <v>59</v>
      </c>
      <c r="F1063">
        <v>64</v>
      </c>
      <c r="G1063">
        <v>61</v>
      </c>
      <c r="H1063">
        <v>61</v>
      </c>
      <c r="I1063">
        <v>60</v>
      </c>
      <c r="J1063">
        <v>66</v>
      </c>
      <c r="K1063">
        <v>65</v>
      </c>
      <c r="L1063">
        <v>64</v>
      </c>
      <c r="M1063">
        <v>59</v>
      </c>
      <c r="N1063">
        <v>65</v>
      </c>
      <c r="O1063">
        <v>61</v>
      </c>
      <c r="P1063">
        <v>66</v>
      </c>
      <c r="R1063">
        <v>1</v>
      </c>
    </row>
    <row r="1064" spans="3:19" x14ac:dyDescent="0.3">
      <c r="C1064" t="s">
        <v>368</v>
      </c>
      <c r="D1064" t="s">
        <v>725</v>
      </c>
    </row>
    <row r="1065" spans="3:19" x14ac:dyDescent="0.3">
      <c r="C1065" t="s">
        <v>368</v>
      </c>
      <c r="D1065" t="s">
        <v>731</v>
      </c>
      <c r="E1065">
        <v>20</v>
      </c>
      <c r="F1065">
        <v>21</v>
      </c>
      <c r="G1065">
        <v>34</v>
      </c>
      <c r="H1065">
        <v>33</v>
      </c>
      <c r="I1065">
        <v>33</v>
      </c>
      <c r="J1065">
        <v>35</v>
      </c>
      <c r="K1065">
        <v>35</v>
      </c>
      <c r="L1065">
        <v>35</v>
      </c>
      <c r="M1065">
        <v>20</v>
      </c>
      <c r="N1065">
        <v>22</v>
      </c>
      <c r="O1065">
        <v>21</v>
      </c>
      <c r="P1065">
        <v>22</v>
      </c>
      <c r="S1065">
        <v>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7F4E-F9E9-4BF6-9C42-A84A8C03CD23}">
  <dimension ref="A1:P1065"/>
  <sheetViews>
    <sheetView zoomScale="80" zoomScaleNormal="80" workbookViewId="0">
      <selection activeCell="C1" sqref="C1"/>
    </sheetView>
  </sheetViews>
  <sheetFormatPr defaultRowHeight="14.4" x14ac:dyDescent="0.3"/>
  <cols>
    <col min="1" max="1" width="20.6640625" customWidth="1"/>
    <col min="2" max="2" width="24.109375" customWidth="1"/>
    <col min="3" max="3" width="35.44140625" bestFit="1" customWidth="1"/>
    <col min="4" max="4" width="32.109375" bestFit="1" customWidth="1"/>
    <col min="5" max="15" width="13" bestFit="1" customWidth="1"/>
    <col min="16" max="17" width="13" customWidth="1"/>
  </cols>
  <sheetData>
    <row r="1" spans="1:16" x14ac:dyDescent="0.3">
      <c r="A1" s="9" t="s">
        <v>7612</v>
      </c>
      <c r="B1" s="9" t="s">
        <v>735</v>
      </c>
      <c r="C1" t="s">
        <v>443</v>
      </c>
      <c r="D1" t="s">
        <v>713</v>
      </c>
      <c r="E1" t="s">
        <v>737</v>
      </c>
      <c r="F1" t="s">
        <v>738</v>
      </c>
      <c r="G1" t="s">
        <v>739</v>
      </c>
      <c r="H1" t="s">
        <v>740</v>
      </c>
      <c r="I1" t="s">
        <v>741</v>
      </c>
      <c r="J1" t="s">
        <v>742</v>
      </c>
      <c r="K1" t="s">
        <v>743</v>
      </c>
      <c r="L1" t="s">
        <v>744</v>
      </c>
      <c r="M1" t="s">
        <v>745</v>
      </c>
      <c r="N1" t="s">
        <v>746</v>
      </c>
      <c r="O1" t="s">
        <v>747</v>
      </c>
      <c r="P1" t="s">
        <v>748</v>
      </c>
    </row>
    <row r="2" spans="1:16" x14ac:dyDescent="0.3">
      <c r="A2" t="str">
        <f>Table_Demand___Community_frontsheet[[#This Row],[Name]]&amp;B2</f>
        <v>Barking and DagenhamSocial support (including VCS)</v>
      </c>
      <c r="B2" t="str">
        <f>VLOOKUP(Table_Demand___Community_frontsheet[[#This Row],[Service Type]],PathwayLookup!E:F,2,0)</f>
        <v>Social support (including VCS)</v>
      </c>
      <c r="C2" t="s">
        <v>65</v>
      </c>
      <c r="D2" t="s">
        <v>704</v>
      </c>
    </row>
    <row r="3" spans="1:16" x14ac:dyDescent="0.3">
      <c r="A3" t="str">
        <f>Table_Demand___Community_frontsheet[[#This Row],[Name]]&amp;B3</f>
        <v>Barking and DagenhamUrgent Community Response</v>
      </c>
      <c r="B3" t="str">
        <f>VLOOKUP(Table_Demand___Community_frontsheet[[#This Row],[Service Type]],PathwayLookup!E:F,2,0)</f>
        <v>Urgent Community Response</v>
      </c>
      <c r="C3" t="s">
        <v>65</v>
      </c>
      <c r="D3" t="s">
        <v>705</v>
      </c>
      <c r="E3">
        <v>112.48428454431982</v>
      </c>
      <c r="F3">
        <v>112.48428454431982</v>
      </c>
      <c r="G3">
        <v>112.48428454431982</v>
      </c>
      <c r="H3">
        <v>113.28870135870112</v>
      </c>
      <c r="I3">
        <v>113.28870135870112</v>
      </c>
      <c r="J3">
        <v>113.28870135870112</v>
      </c>
      <c r="K3">
        <v>109.26661728679458</v>
      </c>
      <c r="L3">
        <v>109.26661728679458</v>
      </c>
      <c r="M3">
        <v>109.26661728679458</v>
      </c>
      <c r="N3">
        <v>111.67986772993852</v>
      </c>
      <c r="O3">
        <v>111.67986772993852</v>
      </c>
      <c r="P3">
        <v>111.67986772993852</v>
      </c>
    </row>
    <row r="4" spans="1:16" x14ac:dyDescent="0.3">
      <c r="A4" t="str">
        <f>Table_Demand___Community_frontsheet[[#This Row],[Name]]&amp;B4</f>
        <v>Barking and DagenhamReablement &amp; Rehabilitation at home</v>
      </c>
      <c r="B4" t="str">
        <f>VLOOKUP(Table_Demand___Community_frontsheet[[#This Row],[Service Type]],PathwayLookup!E:F,2,0)</f>
        <v>Reablement &amp; Rehabilitation at home</v>
      </c>
      <c r="C4" t="s">
        <v>65</v>
      </c>
      <c r="D4" t="s">
        <v>720</v>
      </c>
      <c r="E4">
        <v>36</v>
      </c>
      <c r="F4">
        <v>36</v>
      </c>
      <c r="G4">
        <v>37</v>
      </c>
      <c r="H4">
        <v>37</v>
      </c>
      <c r="I4">
        <v>37</v>
      </c>
      <c r="J4">
        <v>37</v>
      </c>
      <c r="K4">
        <v>38</v>
      </c>
      <c r="L4">
        <v>38</v>
      </c>
      <c r="M4">
        <v>39</v>
      </c>
      <c r="N4">
        <v>39</v>
      </c>
      <c r="O4">
        <v>40</v>
      </c>
      <c r="P4">
        <v>40</v>
      </c>
    </row>
    <row r="5" spans="1:16" x14ac:dyDescent="0.3">
      <c r="A5" t="str">
        <f>Table_Demand___Community_frontsheet[[#This Row],[Name]]&amp;B5</f>
        <v>Barking and DagenhamReablement &amp; Rehabilitation at home</v>
      </c>
      <c r="B5" t="str">
        <f>VLOOKUP(Table_Demand___Community_frontsheet[[#This Row],[Service Type]],PathwayLookup!E:F,2,0)</f>
        <v>Reablement &amp; Rehabilitation at home</v>
      </c>
      <c r="C5" t="s">
        <v>65</v>
      </c>
      <c r="D5" t="s">
        <v>721</v>
      </c>
      <c r="E5">
        <v>10.5</v>
      </c>
      <c r="F5">
        <v>11.3</v>
      </c>
      <c r="G5">
        <v>11</v>
      </c>
      <c r="H5">
        <v>10.5</v>
      </c>
      <c r="I5">
        <v>11</v>
      </c>
      <c r="J5">
        <v>5.2</v>
      </c>
      <c r="K5">
        <v>6.3</v>
      </c>
      <c r="L5">
        <v>6.3</v>
      </c>
      <c r="M5">
        <v>7</v>
      </c>
      <c r="N5">
        <v>11.5</v>
      </c>
      <c r="O5">
        <v>9.6999999999999993</v>
      </c>
      <c r="P5">
        <v>9.6999999999999993</v>
      </c>
    </row>
    <row r="6" spans="1:16" x14ac:dyDescent="0.3">
      <c r="A6" t="str">
        <f>Table_Demand___Community_frontsheet[[#This Row],[Name]]&amp;B6</f>
        <v>Barking and DagenhamReablement &amp; Rehabilitation in a bedded setting</v>
      </c>
      <c r="B6" t="str">
        <f>VLOOKUP(Table_Demand___Community_frontsheet[[#This Row],[Service Type]],PathwayLookup!E:F,2,0)</f>
        <v>Reablement &amp; Rehabilitation in a bedded setting</v>
      </c>
      <c r="C6" t="s">
        <v>65</v>
      </c>
      <c r="D6" t="s">
        <v>723</v>
      </c>
    </row>
    <row r="7" spans="1:16" x14ac:dyDescent="0.3">
      <c r="A7" t="str">
        <f>Table_Demand___Community_frontsheet[[#This Row],[Name]]&amp;B7</f>
        <v>Barking and DagenhamReablement &amp; Rehabilitation in a bedded setting</v>
      </c>
      <c r="B7" t="str">
        <f>VLOOKUP(Table_Demand___Community_frontsheet[[#This Row],[Service Type]],PathwayLookup!E:F,2,0)</f>
        <v>Reablement &amp; Rehabilitation in a bedded setting</v>
      </c>
      <c r="C7" t="s">
        <v>65</v>
      </c>
      <c r="D7" t="s">
        <v>725</v>
      </c>
      <c r="E7">
        <v>1</v>
      </c>
      <c r="F7">
        <v>1</v>
      </c>
      <c r="G7">
        <v>1</v>
      </c>
      <c r="H7">
        <v>1</v>
      </c>
      <c r="I7">
        <v>1</v>
      </c>
      <c r="J7">
        <v>1</v>
      </c>
      <c r="K7">
        <v>1</v>
      </c>
      <c r="L7">
        <v>1</v>
      </c>
      <c r="M7">
        <v>1</v>
      </c>
      <c r="N7">
        <v>1</v>
      </c>
      <c r="O7">
        <v>1</v>
      </c>
      <c r="P7">
        <v>1</v>
      </c>
    </row>
    <row r="8" spans="1:16" x14ac:dyDescent="0.3">
      <c r="A8" t="str">
        <f>Table_Demand___Community_frontsheet[[#This Row],[Name]]&amp;B8</f>
        <v>Barking and DagenhamOther short-term social care</v>
      </c>
      <c r="B8" t="str">
        <f>VLOOKUP(Table_Demand___Community_frontsheet[[#This Row],[Service Type]],PathwayLookup!E:F,2,0)</f>
        <v>Other short-term social care</v>
      </c>
      <c r="C8" t="s">
        <v>65</v>
      </c>
      <c r="D8" t="s">
        <v>708</v>
      </c>
    </row>
    <row r="9" spans="1:16" x14ac:dyDescent="0.3">
      <c r="A9" t="str">
        <f>Table_Demand___Community_frontsheet[[#This Row],[Name]]&amp;B9</f>
        <v>BarnetSocial support (including VCS)</v>
      </c>
      <c r="B9" t="str">
        <f>VLOOKUP(Table_Demand___Community_frontsheet[[#This Row],[Service Type]],PathwayLookup!E:F,2,0)</f>
        <v>Social support (including VCS)</v>
      </c>
      <c r="C9" t="s">
        <v>67</v>
      </c>
      <c r="D9" t="s">
        <v>704</v>
      </c>
      <c r="E9">
        <v>0</v>
      </c>
      <c r="F9">
        <v>0</v>
      </c>
      <c r="G9">
        <v>0</v>
      </c>
      <c r="H9">
        <v>0</v>
      </c>
      <c r="I9">
        <v>0</v>
      </c>
      <c r="J9">
        <v>0</v>
      </c>
      <c r="K9">
        <v>0</v>
      </c>
      <c r="L9">
        <v>0</v>
      </c>
      <c r="M9">
        <v>0</v>
      </c>
      <c r="N9">
        <v>0</v>
      </c>
      <c r="O9">
        <v>0</v>
      </c>
      <c r="P9">
        <v>0</v>
      </c>
    </row>
    <row r="10" spans="1:16" x14ac:dyDescent="0.3">
      <c r="A10" t="str">
        <f>Table_Demand___Community_frontsheet[[#This Row],[Name]]&amp;B10</f>
        <v>BarnetUrgent Community Response</v>
      </c>
      <c r="B10" t="str">
        <f>VLOOKUP(Table_Demand___Community_frontsheet[[#This Row],[Service Type]],PathwayLookup!E:F,2,0)</f>
        <v>Urgent Community Response</v>
      </c>
      <c r="C10" t="s">
        <v>67</v>
      </c>
      <c r="D10" t="s">
        <v>705</v>
      </c>
      <c r="E10">
        <v>572</v>
      </c>
      <c r="F10">
        <v>572</v>
      </c>
      <c r="G10">
        <v>572</v>
      </c>
      <c r="H10">
        <v>557</v>
      </c>
      <c r="I10">
        <v>557</v>
      </c>
      <c r="J10">
        <v>557</v>
      </c>
      <c r="K10">
        <v>666</v>
      </c>
      <c r="L10">
        <v>666</v>
      </c>
      <c r="M10">
        <v>666</v>
      </c>
      <c r="N10">
        <v>699</v>
      </c>
      <c r="O10">
        <v>699</v>
      </c>
      <c r="P10">
        <v>699</v>
      </c>
    </row>
    <row r="11" spans="1:16" x14ac:dyDescent="0.3">
      <c r="A11" t="str">
        <f>Table_Demand___Community_frontsheet[[#This Row],[Name]]&amp;B11</f>
        <v>BarnetReablement &amp; Rehabilitation at home</v>
      </c>
      <c r="B11" t="str">
        <f>VLOOKUP(Table_Demand___Community_frontsheet[[#This Row],[Service Type]],PathwayLookup!E:F,2,0)</f>
        <v>Reablement &amp; Rehabilitation at home</v>
      </c>
      <c r="C11" t="s">
        <v>67</v>
      </c>
      <c r="D11" t="s">
        <v>720</v>
      </c>
      <c r="E11">
        <v>53</v>
      </c>
      <c r="F11">
        <v>75</v>
      </c>
      <c r="G11">
        <v>127</v>
      </c>
      <c r="H11">
        <v>140</v>
      </c>
      <c r="I11">
        <v>146</v>
      </c>
      <c r="J11">
        <v>114</v>
      </c>
      <c r="K11">
        <v>127</v>
      </c>
      <c r="L11">
        <v>125</v>
      </c>
      <c r="M11">
        <v>84</v>
      </c>
      <c r="N11">
        <v>87</v>
      </c>
      <c r="O11">
        <v>57</v>
      </c>
      <c r="P11">
        <v>36</v>
      </c>
    </row>
    <row r="12" spans="1:16" x14ac:dyDescent="0.3">
      <c r="A12" t="str">
        <f>Table_Demand___Community_frontsheet[[#This Row],[Name]]&amp;B12</f>
        <v>BarnetReablement &amp; Rehabilitation at home</v>
      </c>
      <c r="B12" t="str">
        <f>VLOOKUP(Table_Demand___Community_frontsheet[[#This Row],[Service Type]],PathwayLookup!E:F,2,0)</f>
        <v>Reablement &amp; Rehabilitation at home</v>
      </c>
      <c r="C12" t="s">
        <v>67</v>
      </c>
      <c r="D12" t="s">
        <v>721</v>
      </c>
      <c r="E12">
        <v>88</v>
      </c>
      <c r="F12">
        <v>88</v>
      </c>
      <c r="G12">
        <v>88</v>
      </c>
      <c r="H12">
        <v>88</v>
      </c>
      <c r="I12">
        <v>88</v>
      </c>
      <c r="J12">
        <v>88</v>
      </c>
      <c r="K12">
        <v>88</v>
      </c>
      <c r="L12">
        <v>88</v>
      </c>
      <c r="M12">
        <v>88</v>
      </c>
      <c r="N12">
        <v>88</v>
      </c>
      <c r="O12">
        <v>88</v>
      </c>
      <c r="P12">
        <v>88</v>
      </c>
    </row>
    <row r="13" spans="1:16" x14ac:dyDescent="0.3">
      <c r="A13" t="str">
        <f>Table_Demand___Community_frontsheet[[#This Row],[Name]]&amp;B13</f>
        <v>BarnetReablement &amp; Rehabilitation in a bedded setting</v>
      </c>
      <c r="B13" t="str">
        <f>VLOOKUP(Table_Demand___Community_frontsheet[[#This Row],[Service Type]],PathwayLookup!E:F,2,0)</f>
        <v>Reablement &amp; Rehabilitation in a bedded setting</v>
      </c>
      <c r="C13" t="s">
        <v>67</v>
      </c>
      <c r="D13" t="s">
        <v>723</v>
      </c>
      <c r="E13">
        <v>0</v>
      </c>
      <c r="F13">
        <v>0</v>
      </c>
      <c r="G13">
        <v>0</v>
      </c>
      <c r="H13">
        <v>0</v>
      </c>
      <c r="I13">
        <v>0</v>
      </c>
      <c r="J13">
        <v>0</v>
      </c>
      <c r="K13">
        <v>0</v>
      </c>
      <c r="L13">
        <v>0</v>
      </c>
      <c r="M13">
        <v>0</v>
      </c>
      <c r="N13">
        <v>0</v>
      </c>
      <c r="O13">
        <v>0</v>
      </c>
      <c r="P13">
        <v>0</v>
      </c>
    </row>
    <row r="14" spans="1:16" x14ac:dyDescent="0.3">
      <c r="A14" t="str">
        <f>Table_Demand___Community_frontsheet[[#This Row],[Name]]&amp;B14</f>
        <v>BarnetReablement &amp; Rehabilitation in a bedded setting</v>
      </c>
      <c r="B14" t="str">
        <f>VLOOKUP(Table_Demand___Community_frontsheet[[#This Row],[Service Type]],PathwayLookup!E:F,2,0)</f>
        <v>Reablement &amp; Rehabilitation in a bedded setting</v>
      </c>
      <c r="C14" t="s">
        <v>67</v>
      </c>
      <c r="D14" t="s">
        <v>725</v>
      </c>
      <c r="E14">
        <v>29</v>
      </c>
      <c r="F14">
        <v>40</v>
      </c>
      <c r="G14">
        <v>30</v>
      </c>
      <c r="H14">
        <v>23</v>
      </c>
      <c r="I14">
        <v>17</v>
      </c>
      <c r="J14">
        <v>12</v>
      </c>
      <c r="K14">
        <v>15</v>
      </c>
      <c r="L14">
        <v>24</v>
      </c>
      <c r="M14">
        <v>37</v>
      </c>
      <c r="N14">
        <v>32</v>
      </c>
      <c r="O14">
        <v>17</v>
      </c>
      <c r="P14">
        <v>28</v>
      </c>
    </row>
    <row r="15" spans="1:16" x14ac:dyDescent="0.3">
      <c r="A15" t="str">
        <f>Table_Demand___Community_frontsheet[[#This Row],[Name]]&amp;B15</f>
        <v>BarnetOther short-term social care</v>
      </c>
      <c r="B15" t="str">
        <f>VLOOKUP(Table_Demand___Community_frontsheet[[#This Row],[Service Type]],PathwayLookup!E:F,2,0)</f>
        <v>Other short-term social care</v>
      </c>
      <c r="C15" t="s">
        <v>67</v>
      </c>
      <c r="D15" t="s">
        <v>708</v>
      </c>
      <c r="E15">
        <v>0</v>
      </c>
      <c r="F15">
        <v>0</v>
      </c>
      <c r="G15">
        <v>0</v>
      </c>
      <c r="H15">
        <v>0</v>
      </c>
      <c r="I15">
        <v>0</v>
      </c>
      <c r="J15">
        <v>0</v>
      </c>
      <c r="K15">
        <v>0</v>
      </c>
      <c r="L15">
        <v>0</v>
      </c>
      <c r="M15">
        <v>0</v>
      </c>
      <c r="N15">
        <v>0</v>
      </c>
      <c r="O15">
        <v>0</v>
      </c>
      <c r="P15">
        <v>0</v>
      </c>
    </row>
    <row r="16" spans="1:16" x14ac:dyDescent="0.3">
      <c r="A16" t="str">
        <f>Table_Demand___Community_frontsheet[[#This Row],[Name]]&amp;B16</f>
        <v>BarnsleySocial support (including VCS)</v>
      </c>
      <c r="B16" t="str">
        <f>VLOOKUP(Table_Demand___Community_frontsheet[[#This Row],[Service Type]],PathwayLookup!E:F,2,0)</f>
        <v>Social support (including VCS)</v>
      </c>
      <c r="C16" t="s">
        <v>69</v>
      </c>
      <c r="D16" t="s">
        <v>704</v>
      </c>
    </row>
    <row r="17" spans="1:16" x14ac:dyDescent="0.3">
      <c r="A17" t="str">
        <f>Table_Demand___Community_frontsheet[[#This Row],[Name]]&amp;B17</f>
        <v>BarnsleyUrgent Community Response</v>
      </c>
      <c r="B17" t="str">
        <f>VLOOKUP(Table_Demand___Community_frontsheet[[#This Row],[Service Type]],PathwayLookup!E:F,2,0)</f>
        <v>Urgent Community Response</v>
      </c>
      <c r="C17" t="s">
        <v>69</v>
      </c>
      <c r="D17" t="s">
        <v>705</v>
      </c>
      <c r="E17">
        <v>833</v>
      </c>
      <c r="F17">
        <v>833</v>
      </c>
      <c r="G17">
        <v>834</v>
      </c>
      <c r="H17">
        <v>900</v>
      </c>
      <c r="I17">
        <v>900</v>
      </c>
      <c r="J17">
        <v>900</v>
      </c>
      <c r="K17">
        <v>966</v>
      </c>
      <c r="L17">
        <v>967</v>
      </c>
      <c r="M17">
        <v>967</v>
      </c>
      <c r="N17">
        <v>1034</v>
      </c>
      <c r="O17">
        <v>1033</v>
      </c>
      <c r="P17">
        <v>1034</v>
      </c>
    </row>
    <row r="18" spans="1:16" x14ac:dyDescent="0.3">
      <c r="A18" t="str">
        <f>Table_Demand___Community_frontsheet[[#This Row],[Name]]&amp;B18</f>
        <v>BarnsleyReablement &amp; Rehabilitation at home</v>
      </c>
      <c r="B18" t="str">
        <f>VLOOKUP(Table_Demand___Community_frontsheet[[#This Row],[Service Type]],PathwayLookup!E:F,2,0)</f>
        <v>Reablement &amp; Rehabilitation at home</v>
      </c>
      <c r="C18" t="s">
        <v>69</v>
      </c>
      <c r="D18" t="s">
        <v>720</v>
      </c>
      <c r="E18">
        <v>112</v>
      </c>
      <c r="F18">
        <v>127</v>
      </c>
      <c r="G18">
        <v>135</v>
      </c>
      <c r="H18">
        <v>148</v>
      </c>
      <c r="I18">
        <v>139</v>
      </c>
      <c r="J18">
        <v>135</v>
      </c>
      <c r="K18">
        <v>148</v>
      </c>
      <c r="L18">
        <v>140</v>
      </c>
      <c r="M18">
        <v>144</v>
      </c>
      <c r="N18">
        <v>124</v>
      </c>
      <c r="O18">
        <v>132</v>
      </c>
      <c r="P18">
        <v>153</v>
      </c>
    </row>
    <row r="19" spans="1:16" x14ac:dyDescent="0.3">
      <c r="A19" t="str">
        <f>Table_Demand___Community_frontsheet[[#This Row],[Name]]&amp;B19</f>
        <v>BarnsleyReablement &amp; Rehabilitation at home</v>
      </c>
      <c r="B19" t="str">
        <f>VLOOKUP(Table_Demand___Community_frontsheet[[#This Row],[Service Type]],PathwayLookup!E:F,2,0)</f>
        <v>Reablement &amp; Rehabilitation at home</v>
      </c>
      <c r="C19" t="s">
        <v>69</v>
      </c>
      <c r="D19" t="s">
        <v>721</v>
      </c>
      <c r="E19">
        <v>67</v>
      </c>
      <c r="F19">
        <v>67</v>
      </c>
      <c r="G19">
        <v>67</v>
      </c>
      <c r="H19">
        <v>69</v>
      </c>
      <c r="I19">
        <v>67</v>
      </c>
      <c r="J19">
        <v>69</v>
      </c>
      <c r="K19">
        <v>67</v>
      </c>
      <c r="L19">
        <v>69</v>
      </c>
      <c r="M19">
        <v>69</v>
      </c>
      <c r="N19">
        <v>69</v>
      </c>
      <c r="O19">
        <v>62</v>
      </c>
      <c r="P19">
        <v>69</v>
      </c>
    </row>
    <row r="20" spans="1:16" x14ac:dyDescent="0.3">
      <c r="A20" t="str">
        <f>Table_Demand___Community_frontsheet[[#This Row],[Name]]&amp;B20</f>
        <v>BarnsleyReablement &amp; Rehabilitation in a bedded setting</v>
      </c>
      <c r="B20" t="str">
        <f>VLOOKUP(Table_Demand___Community_frontsheet[[#This Row],[Service Type]],PathwayLookup!E:F,2,0)</f>
        <v>Reablement &amp; Rehabilitation in a bedded setting</v>
      </c>
      <c r="C20" t="s">
        <v>69</v>
      </c>
      <c r="D20" t="s">
        <v>723</v>
      </c>
    </row>
    <row r="21" spans="1:16" x14ac:dyDescent="0.3">
      <c r="A21" t="str">
        <f>Table_Demand___Community_frontsheet[[#This Row],[Name]]&amp;B21</f>
        <v>BarnsleyReablement &amp; Rehabilitation in a bedded setting</v>
      </c>
      <c r="B21" t="str">
        <f>VLOOKUP(Table_Demand___Community_frontsheet[[#This Row],[Service Type]],PathwayLookup!E:F,2,0)</f>
        <v>Reablement &amp; Rehabilitation in a bedded setting</v>
      </c>
      <c r="C21" t="s">
        <v>69</v>
      </c>
      <c r="D21" t="s">
        <v>725</v>
      </c>
      <c r="E21">
        <v>7</v>
      </c>
      <c r="F21">
        <v>7</v>
      </c>
      <c r="G21">
        <v>7</v>
      </c>
      <c r="H21">
        <v>7</v>
      </c>
      <c r="I21">
        <v>7</v>
      </c>
      <c r="J21">
        <v>7</v>
      </c>
      <c r="K21">
        <v>7</v>
      </c>
      <c r="L21">
        <v>7</v>
      </c>
      <c r="M21">
        <v>7</v>
      </c>
      <c r="N21">
        <v>7</v>
      </c>
      <c r="O21">
        <v>7</v>
      </c>
      <c r="P21">
        <v>7</v>
      </c>
    </row>
    <row r="22" spans="1:16" x14ac:dyDescent="0.3">
      <c r="A22" t="str">
        <f>Table_Demand___Community_frontsheet[[#This Row],[Name]]&amp;B22</f>
        <v>BarnsleyOther short-term social care</v>
      </c>
      <c r="B22" t="str">
        <f>VLOOKUP(Table_Demand___Community_frontsheet[[#This Row],[Service Type]],PathwayLookup!E:F,2,0)</f>
        <v>Other short-term social care</v>
      </c>
      <c r="C22" t="s">
        <v>69</v>
      </c>
      <c r="D22" t="s">
        <v>708</v>
      </c>
    </row>
    <row r="23" spans="1:16" x14ac:dyDescent="0.3">
      <c r="A23" t="str">
        <f>Table_Demand___Community_frontsheet[[#This Row],[Name]]&amp;B23</f>
        <v>Bath and North East SomersetSocial support (including VCS)</v>
      </c>
      <c r="B23" t="str">
        <f>VLOOKUP(Table_Demand___Community_frontsheet[[#This Row],[Service Type]],PathwayLookup!E:F,2,0)</f>
        <v>Social support (including VCS)</v>
      </c>
      <c r="C23" t="s">
        <v>71</v>
      </c>
      <c r="D23" t="s">
        <v>704</v>
      </c>
      <c r="E23">
        <v>5</v>
      </c>
      <c r="F23">
        <v>5</v>
      </c>
      <c r="G23">
        <v>5</v>
      </c>
      <c r="H23">
        <v>5</v>
      </c>
      <c r="I23">
        <v>5</v>
      </c>
      <c r="J23">
        <v>5</v>
      </c>
      <c r="K23">
        <v>5</v>
      </c>
      <c r="L23">
        <v>5</v>
      </c>
      <c r="M23">
        <v>5</v>
      </c>
      <c r="N23">
        <v>5</v>
      </c>
      <c r="O23">
        <v>5</v>
      </c>
      <c r="P23">
        <v>5</v>
      </c>
    </row>
    <row r="24" spans="1:16" x14ac:dyDescent="0.3">
      <c r="A24" t="str">
        <f>Table_Demand___Community_frontsheet[[#This Row],[Name]]&amp;B24</f>
        <v>Bath and North East SomersetUrgent Community Response</v>
      </c>
      <c r="B24" t="str">
        <f>VLOOKUP(Table_Demand___Community_frontsheet[[#This Row],[Service Type]],PathwayLookup!E:F,2,0)</f>
        <v>Urgent Community Response</v>
      </c>
      <c r="C24" t="s">
        <v>71</v>
      </c>
      <c r="D24" t="s">
        <v>705</v>
      </c>
      <c r="E24">
        <v>164</v>
      </c>
      <c r="F24">
        <v>149</v>
      </c>
      <c r="G24">
        <v>169</v>
      </c>
      <c r="H24">
        <v>172</v>
      </c>
      <c r="I24">
        <v>176</v>
      </c>
      <c r="J24">
        <v>180</v>
      </c>
      <c r="K24">
        <v>228</v>
      </c>
      <c r="L24">
        <v>259</v>
      </c>
      <c r="M24">
        <v>232</v>
      </c>
      <c r="N24">
        <v>204</v>
      </c>
      <c r="O24">
        <v>185</v>
      </c>
      <c r="P24">
        <v>185</v>
      </c>
    </row>
    <row r="25" spans="1:16" x14ac:dyDescent="0.3">
      <c r="A25" t="str">
        <f>Table_Demand___Community_frontsheet[[#This Row],[Name]]&amp;B25</f>
        <v>Bath and North East SomersetReablement &amp; Rehabilitation at home</v>
      </c>
      <c r="B25" t="str">
        <f>VLOOKUP(Table_Demand___Community_frontsheet[[#This Row],[Service Type]],PathwayLookup!E:F,2,0)</f>
        <v>Reablement &amp; Rehabilitation at home</v>
      </c>
      <c r="C25" t="s">
        <v>71</v>
      </c>
      <c r="D25" t="s">
        <v>720</v>
      </c>
      <c r="E25">
        <v>222</v>
      </c>
      <c r="F25">
        <v>221</v>
      </c>
      <c r="G25">
        <v>182</v>
      </c>
      <c r="H25">
        <v>203</v>
      </c>
      <c r="I25">
        <v>228</v>
      </c>
      <c r="J25">
        <v>188</v>
      </c>
      <c r="K25">
        <v>167</v>
      </c>
      <c r="L25">
        <v>256</v>
      </c>
      <c r="M25">
        <v>219</v>
      </c>
      <c r="N25">
        <v>257</v>
      </c>
      <c r="O25">
        <v>222</v>
      </c>
      <c r="P25">
        <v>277</v>
      </c>
    </row>
    <row r="26" spans="1:16" x14ac:dyDescent="0.3">
      <c r="A26" t="str">
        <f>Table_Demand___Community_frontsheet[[#This Row],[Name]]&amp;B26</f>
        <v>Bath and North East SomersetReablement &amp; Rehabilitation at home</v>
      </c>
      <c r="B26" t="str">
        <f>VLOOKUP(Table_Demand___Community_frontsheet[[#This Row],[Service Type]],PathwayLookup!E:F,2,0)</f>
        <v>Reablement &amp; Rehabilitation at home</v>
      </c>
      <c r="C26" t="s">
        <v>71</v>
      </c>
      <c r="D26" t="s">
        <v>721</v>
      </c>
      <c r="E26">
        <v>0</v>
      </c>
      <c r="F26">
        <v>0</v>
      </c>
      <c r="G26">
        <v>0</v>
      </c>
      <c r="H26">
        <v>0</v>
      </c>
      <c r="I26">
        <v>0</v>
      </c>
      <c r="J26">
        <v>0</v>
      </c>
      <c r="K26">
        <v>0</v>
      </c>
      <c r="L26">
        <v>0</v>
      </c>
      <c r="M26">
        <v>0</v>
      </c>
      <c r="N26">
        <v>0</v>
      </c>
      <c r="O26">
        <v>0</v>
      </c>
      <c r="P26">
        <v>0</v>
      </c>
    </row>
    <row r="27" spans="1:16" x14ac:dyDescent="0.3">
      <c r="A27" t="str">
        <f>Table_Demand___Community_frontsheet[[#This Row],[Name]]&amp;B27</f>
        <v>Bath and North East SomersetReablement &amp; Rehabilitation in a bedded setting</v>
      </c>
      <c r="B27" t="str">
        <f>VLOOKUP(Table_Demand___Community_frontsheet[[#This Row],[Service Type]],PathwayLookup!E:F,2,0)</f>
        <v>Reablement &amp; Rehabilitation in a bedded setting</v>
      </c>
      <c r="C27" t="s">
        <v>71</v>
      </c>
      <c r="D27" t="s">
        <v>723</v>
      </c>
      <c r="E27">
        <v>4</v>
      </c>
      <c r="F27">
        <v>4</v>
      </c>
      <c r="G27">
        <v>5</v>
      </c>
      <c r="H27">
        <v>4</v>
      </c>
      <c r="I27">
        <v>5</v>
      </c>
      <c r="J27">
        <v>4</v>
      </c>
      <c r="K27">
        <v>4</v>
      </c>
      <c r="L27">
        <v>5</v>
      </c>
      <c r="M27">
        <v>4</v>
      </c>
      <c r="N27">
        <v>4</v>
      </c>
      <c r="O27">
        <v>5</v>
      </c>
      <c r="P27">
        <v>4</v>
      </c>
    </row>
    <row r="28" spans="1:16" x14ac:dyDescent="0.3">
      <c r="A28" t="str">
        <f>Table_Demand___Community_frontsheet[[#This Row],[Name]]&amp;B28</f>
        <v>Bath and North East SomersetReablement &amp; Rehabilitation in a bedded setting</v>
      </c>
      <c r="B28" t="str">
        <f>VLOOKUP(Table_Demand___Community_frontsheet[[#This Row],[Service Type]],PathwayLookup!E:F,2,0)</f>
        <v>Reablement &amp; Rehabilitation in a bedded setting</v>
      </c>
      <c r="C28" t="s">
        <v>71</v>
      </c>
      <c r="D28" t="s">
        <v>725</v>
      </c>
      <c r="E28">
        <v>0</v>
      </c>
      <c r="F28">
        <v>0</v>
      </c>
      <c r="G28">
        <v>0</v>
      </c>
      <c r="H28">
        <v>0</v>
      </c>
      <c r="I28">
        <v>0</v>
      </c>
      <c r="J28">
        <v>0</v>
      </c>
      <c r="K28">
        <v>0</v>
      </c>
      <c r="L28">
        <v>0</v>
      </c>
      <c r="M28">
        <v>0</v>
      </c>
      <c r="N28">
        <v>0</v>
      </c>
      <c r="O28">
        <v>0</v>
      </c>
      <c r="P28">
        <v>0</v>
      </c>
    </row>
    <row r="29" spans="1:16" x14ac:dyDescent="0.3">
      <c r="A29" t="str">
        <f>Table_Demand___Community_frontsheet[[#This Row],[Name]]&amp;B29</f>
        <v>Bath and North East SomersetOther short-term social care</v>
      </c>
      <c r="B29" t="str">
        <f>VLOOKUP(Table_Demand___Community_frontsheet[[#This Row],[Service Type]],PathwayLookup!E:F,2,0)</f>
        <v>Other short-term social care</v>
      </c>
      <c r="C29" t="s">
        <v>71</v>
      </c>
      <c r="D29" t="s">
        <v>708</v>
      </c>
      <c r="E29">
        <v>0</v>
      </c>
      <c r="F29">
        <v>0</v>
      </c>
      <c r="G29">
        <v>0</v>
      </c>
      <c r="H29">
        <v>0</v>
      </c>
      <c r="I29">
        <v>0</v>
      </c>
      <c r="J29">
        <v>0</v>
      </c>
      <c r="K29">
        <v>0</v>
      </c>
      <c r="L29">
        <v>0</v>
      </c>
      <c r="M29">
        <v>0</v>
      </c>
      <c r="N29">
        <v>0</v>
      </c>
      <c r="O29">
        <v>0</v>
      </c>
      <c r="P29">
        <v>0</v>
      </c>
    </row>
    <row r="30" spans="1:16" x14ac:dyDescent="0.3">
      <c r="A30" t="str">
        <f>Table_Demand___Community_frontsheet[[#This Row],[Name]]&amp;B30</f>
        <v>BedfordSocial support (including VCS)</v>
      </c>
      <c r="B30" t="str">
        <f>VLOOKUP(Table_Demand___Community_frontsheet[[#This Row],[Service Type]],PathwayLookup!E:F,2,0)</f>
        <v>Social support (including VCS)</v>
      </c>
      <c r="C30" t="s">
        <v>73</v>
      </c>
      <c r="D30" t="s">
        <v>704</v>
      </c>
      <c r="E30">
        <v>1</v>
      </c>
      <c r="F30">
        <v>1</v>
      </c>
      <c r="G30">
        <v>2</v>
      </c>
      <c r="H30">
        <v>1</v>
      </c>
      <c r="I30">
        <v>2</v>
      </c>
      <c r="J30">
        <v>1</v>
      </c>
      <c r="K30">
        <v>1</v>
      </c>
      <c r="L30">
        <v>1</v>
      </c>
      <c r="M30">
        <v>1</v>
      </c>
      <c r="N30">
        <v>3</v>
      </c>
      <c r="O30">
        <v>2</v>
      </c>
      <c r="P30">
        <v>5</v>
      </c>
    </row>
    <row r="31" spans="1:16" x14ac:dyDescent="0.3">
      <c r="A31" t="str">
        <f>Table_Demand___Community_frontsheet[[#This Row],[Name]]&amp;B31</f>
        <v>BedfordUrgent Community Response</v>
      </c>
      <c r="B31" t="str">
        <f>VLOOKUP(Table_Demand___Community_frontsheet[[#This Row],[Service Type]],PathwayLookup!E:F,2,0)</f>
        <v>Urgent Community Response</v>
      </c>
      <c r="C31" t="s">
        <v>73</v>
      </c>
      <c r="D31" t="s">
        <v>705</v>
      </c>
      <c r="E31">
        <v>22</v>
      </c>
      <c r="F31">
        <v>17</v>
      </c>
      <c r="G31">
        <v>20</v>
      </c>
      <c r="H31">
        <v>15</v>
      </c>
      <c r="I31">
        <v>20</v>
      </c>
      <c r="J31">
        <v>11</v>
      </c>
      <c r="K31">
        <v>18</v>
      </c>
      <c r="L31">
        <v>20</v>
      </c>
      <c r="M31">
        <v>25</v>
      </c>
      <c r="N31">
        <v>23</v>
      </c>
      <c r="O31">
        <v>15</v>
      </c>
      <c r="P31">
        <v>25</v>
      </c>
    </row>
    <row r="32" spans="1:16" x14ac:dyDescent="0.3">
      <c r="A32" t="str">
        <f>Table_Demand___Community_frontsheet[[#This Row],[Name]]&amp;B32</f>
        <v>BedfordReablement &amp; Rehabilitation at home</v>
      </c>
      <c r="B32" t="str">
        <f>VLOOKUP(Table_Demand___Community_frontsheet[[#This Row],[Service Type]],PathwayLookup!E:F,2,0)</f>
        <v>Reablement &amp; Rehabilitation at home</v>
      </c>
      <c r="C32" t="s">
        <v>73</v>
      </c>
      <c r="D32" t="s">
        <v>720</v>
      </c>
      <c r="E32">
        <v>0</v>
      </c>
      <c r="F32">
        <v>0</v>
      </c>
      <c r="G32">
        <v>0</v>
      </c>
      <c r="H32">
        <v>0</v>
      </c>
      <c r="I32">
        <v>0</v>
      </c>
      <c r="J32">
        <v>0</v>
      </c>
      <c r="K32">
        <v>0</v>
      </c>
      <c r="L32">
        <v>0</v>
      </c>
      <c r="M32">
        <v>0</v>
      </c>
      <c r="N32">
        <v>0</v>
      </c>
      <c r="O32">
        <v>0</v>
      </c>
      <c r="P32">
        <v>0</v>
      </c>
    </row>
    <row r="33" spans="1:16" x14ac:dyDescent="0.3">
      <c r="A33" t="str">
        <f>Table_Demand___Community_frontsheet[[#This Row],[Name]]&amp;B33</f>
        <v>BedfordReablement &amp; Rehabilitation at home</v>
      </c>
      <c r="B33" t="str">
        <f>VLOOKUP(Table_Demand___Community_frontsheet[[#This Row],[Service Type]],PathwayLookup!E:F,2,0)</f>
        <v>Reablement &amp; Rehabilitation at home</v>
      </c>
      <c r="C33" t="s">
        <v>73</v>
      </c>
      <c r="D33" t="s">
        <v>721</v>
      </c>
      <c r="E33">
        <v>5</v>
      </c>
      <c r="F33">
        <v>1</v>
      </c>
      <c r="G33">
        <v>1</v>
      </c>
      <c r="H33">
        <v>6</v>
      </c>
      <c r="I33">
        <v>2</v>
      </c>
      <c r="J33">
        <v>3</v>
      </c>
      <c r="K33">
        <v>1</v>
      </c>
      <c r="L33">
        <v>2</v>
      </c>
      <c r="M33">
        <v>2</v>
      </c>
      <c r="N33">
        <v>3</v>
      </c>
      <c r="O33">
        <v>0</v>
      </c>
      <c r="P33">
        <v>1</v>
      </c>
    </row>
    <row r="34" spans="1:16" x14ac:dyDescent="0.3">
      <c r="A34" t="str">
        <f>Table_Demand___Community_frontsheet[[#This Row],[Name]]&amp;B34</f>
        <v>BedfordReablement &amp; Rehabilitation in a bedded setting</v>
      </c>
      <c r="B34" t="str">
        <f>VLOOKUP(Table_Demand___Community_frontsheet[[#This Row],[Service Type]],PathwayLookup!E:F,2,0)</f>
        <v>Reablement &amp; Rehabilitation in a bedded setting</v>
      </c>
      <c r="C34" t="s">
        <v>73</v>
      </c>
      <c r="D34" t="s">
        <v>723</v>
      </c>
      <c r="E34">
        <v>16</v>
      </c>
      <c r="F34">
        <v>16</v>
      </c>
      <c r="G34">
        <v>16</v>
      </c>
      <c r="H34">
        <v>16</v>
      </c>
      <c r="I34">
        <v>16</v>
      </c>
      <c r="J34">
        <v>16</v>
      </c>
      <c r="K34">
        <v>16</v>
      </c>
      <c r="L34">
        <v>16</v>
      </c>
      <c r="M34">
        <v>16</v>
      </c>
      <c r="N34">
        <v>16</v>
      </c>
      <c r="O34">
        <v>16</v>
      </c>
      <c r="P34">
        <v>16</v>
      </c>
    </row>
    <row r="35" spans="1:16" x14ac:dyDescent="0.3">
      <c r="A35" t="str">
        <f>Table_Demand___Community_frontsheet[[#This Row],[Name]]&amp;B35</f>
        <v>BedfordReablement &amp; Rehabilitation in a bedded setting</v>
      </c>
      <c r="B35" t="str">
        <f>VLOOKUP(Table_Demand___Community_frontsheet[[#This Row],[Service Type]],PathwayLookup!E:F,2,0)</f>
        <v>Reablement &amp; Rehabilitation in a bedded setting</v>
      </c>
      <c r="C35" t="s">
        <v>73</v>
      </c>
      <c r="D35" t="s">
        <v>725</v>
      </c>
      <c r="E35">
        <v>10</v>
      </c>
      <c r="F35">
        <v>10</v>
      </c>
      <c r="G35">
        <v>13</v>
      </c>
      <c r="H35">
        <v>11</v>
      </c>
      <c r="I35">
        <v>11</v>
      </c>
      <c r="J35">
        <v>11</v>
      </c>
      <c r="K35">
        <v>10</v>
      </c>
      <c r="L35">
        <v>10</v>
      </c>
      <c r="M35">
        <v>12</v>
      </c>
      <c r="N35">
        <v>11</v>
      </c>
      <c r="O35">
        <v>11</v>
      </c>
      <c r="P35">
        <v>10</v>
      </c>
    </row>
    <row r="36" spans="1:16" x14ac:dyDescent="0.3">
      <c r="A36" t="str">
        <f>Table_Demand___Community_frontsheet[[#This Row],[Name]]&amp;B36</f>
        <v>BedfordOther short-term social care</v>
      </c>
      <c r="B36" t="str">
        <f>VLOOKUP(Table_Demand___Community_frontsheet[[#This Row],[Service Type]],PathwayLookup!E:F,2,0)</f>
        <v>Other short-term social care</v>
      </c>
      <c r="C36" t="s">
        <v>73</v>
      </c>
      <c r="D36" t="s">
        <v>708</v>
      </c>
      <c r="E36">
        <v>0</v>
      </c>
      <c r="F36">
        <v>0</v>
      </c>
      <c r="G36">
        <v>0</v>
      </c>
      <c r="H36">
        <v>0</v>
      </c>
      <c r="I36">
        <v>0</v>
      </c>
      <c r="J36">
        <v>0</v>
      </c>
      <c r="K36">
        <v>0</v>
      </c>
      <c r="L36">
        <v>0</v>
      </c>
      <c r="M36">
        <v>0</v>
      </c>
      <c r="N36">
        <v>0</v>
      </c>
      <c r="O36">
        <v>0</v>
      </c>
      <c r="P36">
        <v>0</v>
      </c>
    </row>
    <row r="37" spans="1:16" x14ac:dyDescent="0.3">
      <c r="A37" t="str">
        <f>Table_Demand___Community_frontsheet[[#This Row],[Name]]&amp;B37</f>
        <v>BexleySocial support (including VCS)</v>
      </c>
      <c r="B37" t="str">
        <f>VLOOKUP(Table_Demand___Community_frontsheet[[#This Row],[Service Type]],PathwayLookup!E:F,2,0)</f>
        <v>Social support (including VCS)</v>
      </c>
      <c r="C37" t="s">
        <v>75</v>
      </c>
      <c r="D37" t="s">
        <v>704</v>
      </c>
      <c r="E37">
        <v>221</v>
      </c>
      <c r="F37">
        <v>221</v>
      </c>
      <c r="G37">
        <v>221</v>
      </c>
      <c r="H37">
        <v>221</v>
      </c>
      <c r="I37">
        <v>221</v>
      </c>
      <c r="J37">
        <v>221</v>
      </c>
      <c r="K37">
        <v>221</v>
      </c>
      <c r="L37">
        <v>221</v>
      </c>
      <c r="M37">
        <v>221</v>
      </c>
      <c r="N37">
        <v>221</v>
      </c>
      <c r="O37">
        <v>221</v>
      </c>
      <c r="P37">
        <v>222</v>
      </c>
    </row>
    <row r="38" spans="1:16" x14ac:dyDescent="0.3">
      <c r="A38" t="str">
        <f>Table_Demand___Community_frontsheet[[#This Row],[Name]]&amp;B38</f>
        <v>BexleyUrgent Community Response</v>
      </c>
      <c r="B38" t="str">
        <f>VLOOKUP(Table_Demand___Community_frontsheet[[#This Row],[Service Type]],PathwayLookup!E:F,2,0)</f>
        <v>Urgent Community Response</v>
      </c>
      <c r="C38" t="s">
        <v>75</v>
      </c>
      <c r="D38" t="s">
        <v>705</v>
      </c>
      <c r="E38">
        <v>123</v>
      </c>
      <c r="F38">
        <v>123</v>
      </c>
      <c r="G38">
        <v>123</v>
      </c>
      <c r="H38">
        <v>123</v>
      </c>
      <c r="I38">
        <v>123</v>
      </c>
      <c r="J38">
        <v>123</v>
      </c>
      <c r="K38">
        <v>123</v>
      </c>
      <c r="L38">
        <v>123</v>
      </c>
      <c r="M38">
        <v>123</v>
      </c>
      <c r="N38">
        <v>123</v>
      </c>
      <c r="O38">
        <v>123</v>
      </c>
      <c r="P38">
        <v>123</v>
      </c>
    </row>
    <row r="39" spans="1:16" x14ac:dyDescent="0.3">
      <c r="A39" t="str">
        <f>Table_Demand___Community_frontsheet[[#This Row],[Name]]&amp;B39</f>
        <v>BexleyReablement &amp; Rehabilitation at home</v>
      </c>
      <c r="B39" t="str">
        <f>VLOOKUP(Table_Demand___Community_frontsheet[[#This Row],[Service Type]],PathwayLookup!E:F,2,0)</f>
        <v>Reablement &amp; Rehabilitation at home</v>
      </c>
      <c r="C39" t="s">
        <v>75</v>
      </c>
      <c r="D39" t="s">
        <v>720</v>
      </c>
      <c r="E39">
        <v>25</v>
      </c>
      <c r="F39">
        <v>25</v>
      </c>
      <c r="G39">
        <v>25</v>
      </c>
      <c r="H39">
        <v>25</v>
      </c>
      <c r="I39">
        <v>25</v>
      </c>
      <c r="J39">
        <v>25</v>
      </c>
      <c r="K39">
        <v>25</v>
      </c>
      <c r="L39">
        <v>25</v>
      </c>
      <c r="M39">
        <v>25</v>
      </c>
      <c r="N39">
        <v>25</v>
      </c>
      <c r="O39">
        <v>25</v>
      </c>
      <c r="P39">
        <v>25</v>
      </c>
    </row>
    <row r="40" spans="1:16" x14ac:dyDescent="0.3">
      <c r="A40" t="str">
        <f>Table_Demand___Community_frontsheet[[#This Row],[Name]]&amp;B40</f>
        <v>BexleyReablement &amp; Rehabilitation at home</v>
      </c>
      <c r="B40" t="str">
        <f>VLOOKUP(Table_Demand___Community_frontsheet[[#This Row],[Service Type]],PathwayLookup!E:F,2,0)</f>
        <v>Reablement &amp; Rehabilitation at home</v>
      </c>
      <c r="C40" t="s">
        <v>75</v>
      </c>
      <c r="D40" t="s">
        <v>721</v>
      </c>
      <c r="E40">
        <v>65</v>
      </c>
      <c r="F40">
        <v>65</v>
      </c>
      <c r="G40">
        <v>65</v>
      </c>
      <c r="H40">
        <v>65</v>
      </c>
      <c r="I40">
        <v>65</v>
      </c>
      <c r="J40">
        <v>65</v>
      </c>
      <c r="K40">
        <v>65</v>
      </c>
      <c r="L40">
        <v>65</v>
      </c>
      <c r="M40">
        <v>65</v>
      </c>
      <c r="N40">
        <v>65</v>
      </c>
      <c r="O40">
        <v>65</v>
      </c>
      <c r="P40">
        <v>65</v>
      </c>
    </row>
    <row r="41" spans="1:16" x14ac:dyDescent="0.3">
      <c r="A41" t="str">
        <f>Table_Demand___Community_frontsheet[[#This Row],[Name]]&amp;B41</f>
        <v>BexleyReablement &amp; Rehabilitation in a bedded setting</v>
      </c>
      <c r="B41" t="str">
        <f>VLOOKUP(Table_Demand___Community_frontsheet[[#This Row],[Service Type]],PathwayLookup!E:F,2,0)</f>
        <v>Reablement &amp; Rehabilitation in a bedded setting</v>
      </c>
      <c r="C41" t="s">
        <v>75</v>
      </c>
      <c r="D41" t="s">
        <v>723</v>
      </c>
      <c r="E41">
        <v>0</v>
      </c>
      <c r="F41">
        <v>0</v>
      </c>
      <c r="G41">
        <v>0</v>
      </c>
      <c r="H41">
        <v>0</v>
      </c>
      <c r="I41">
        <v>0</v>
      </c>
      <c r="J41">
        <v>0</v>
      </c>
      <c r="K41">
        <v>0</v>
      </c>
      <c r="L41">
        <v>0</v>
      </c>
      <c r="M41">
        <v>0</v>
      </c>
      <c r="N41">
        <v>0</v>
      </c>
      <c r="O41">
        <v>0</v>
      </c>
      <c r="P41">
        <v>0</v>
      </c>
    </row>
    <row r="42" spans="1:16" x14ac:dyDescent="0.3">
      <c r="A42" t="str">
        <f>Table_Demand___Community_frontsheet[[#This Row],[Name]]&amp;B42</f>
        <v>BexleyReablement &amp; Rehabilitation in a bedded setting</v>
      </c>
      <c r="B42" t="str">
        <f>VLOOKUP(Table_Demand___Community_frontsheet[[#This Row],[Service Type]],PathwayLookup!E:F,2,0)</f>
        <v>Reablement &amp; Rehabilitation in a bedded setting</v>
      </c>
      <c r="C42" t="s">
        <v>75</v>
      </c>
      <c r="D42" t="s">
        <v>725</v>
      </c>
      <c r="E42">
        <v>1</v>
      </c>
      <c r="F42">
        <v>1</v>
      </c>
      <c r="G42">
        <v>1</v>
      </c>
      <c r="H42">
        <v>1</v>
      </c>
      <c r="I42">
        <v>1</v>
      </c>
      <c r="J42">
        <v>1</v>
      </c>
      <c r="K42">
        <v>1</v>
      </c>
      <c r="L42">
        <v>1</v>
      </c>
      <c r="M42">
        <v>1</v>
      </c>
      <c r="N42">
        <v>1</v>
      </c>
      <c r="O42">
        <v>1</v>
      </c>
      <c r="P42">
        <v>1</v>
      </c>
    </row>
    <row r="43" spans="1:16" x14ac:dyDescent="0.3">
      <c r="A43" t="str">
        <f>Table_Demand___Community_frontsheet[[#This Row],[Name]]&amp;B43</f>
        <v>BexleyOther short-term social care</v>
      </c>
      <c r="B43" t="str">
        <f>VLOOKUP(Table_Demand___Community_frontsheet[[#This Row],[Service Type]],PathwayLookup!E:F,2,0)</f>
        <v>Other short-term social care</v>
      </c>
      <c r="C43" t="s">
        <v>75</v>
      </c>
      <c r="D43" t="s">
        <v>708</v>
      </c>
      <c r="E43">
        <v>14</v>
      </c>
      <c r="F43">
        <v>14</v>
      </c>
      <c r="G43">
        <v>14</v>
      </c>
      <c r="H43">
        <v>14</v>
      </c>
      <c r="I43">
        <v>14</v>
      </c>
      <c r="J43">
        <v>15</v>
      </c>
      <c r="K43">
        <v>15</v>
      </c>
      <c r="L43">
        <v>15</v>
      </c>
      <c r="M43">
        <v>15</v>
      </c>
      <c r="N43">
        <v>15</v>
      </c>
      <c r="O43">
        <v>15</v>
      </c>
      <c r="P43">
        <v>15</v>
      </c>
    </row>
    <row r="44" spans="1:16" x14ac:dyDescent="0.3">
      <c r="A44" t="str">
        <f>Table_Demand___Community_frontsheet[[#This Row],[Name]]&amp;B44</f>
        <v>BirminghamSocial support (including VCS)</v>
      </c>
      <c r="B44" t="str">
        <f>VLOOKUP(Table_Demand___Community_frontsheet[[#This Row],[Service Type]],PathwayLookup!E:F,2,0)</f>
        <v>Social support (including VCS)</v>
      </c>
      <c r="C44" t="s">
        <v>77</v>
      </c>
      <c r="D44" t="s">
        <v>704</v>
      </c>
      <c r="E44">
        <v>5</v>
      </c>
      <c r="F44">
        <v>5</v>
      </c>
      <c r="G44">
        <v>5</v>
      </c>
      <c r="H44">
        <v>5</v>
      </c>
      <c r="I44">
        <v>5</v>
      </c>
      <c r="J44">
        <v>5</v>
      </c>
      <c r="K44">
        <v>5</v>
      </c>
      <c r="L44">
        <v>8</v>
      </c>
      <c r="M44">
        <v>8</v>
      </c>
      <c r="N44">
        <v>8</v>
      </c>
      <c r="O44">
        <v>8</v>
      </c>
      <c r="P44">
        <v>8</v>
      </c>
    </row>
    <row r="45" spans="1:16" x14ac:dyDescent="0.3">
      <c r="A45" t="str">
        <f>Table_Demand___Community_frontsheet[[#This Row],[Name]]&amp;B45</f>
        <v>BirminghamUrgent Community Response</v>
      </c>
      <c r="B45" t="str">
        <f>VLOOKUP(Table_Demand___Community_frontsheet[[#This Row],[Service Type]],PathwayLookup!E:F,2,0)</f>
        <v>Urgent Community Response</v>
      </c>
      <c r="C45" t="s">
        <v>77</v>
      </c>
      <c r="D45" t="s">
        <v>705</v>
      </c>
      <c r="E45">
        <v>1484</v>
      </c>
      <c r="F45">
        <v>1533</v>
      </c>
      <c r="G45">
        <v>1484</v>
      </c>
      <c r="H45">
        <v>1601</v>
      </c>
      <c r="I45">
        <v>1601</v>
      </c>
      <c r="J45">
        <v>1549</v>
      </c>
      <c r="K45">
        <v>1685</v>
      </c>
      <c r="L45">
        <v>1630</v>
      </c>
      <c r="M45">
        <v>1685</v>
      </c>
      <c r="N45">
        <v>1788</v>
      </c>
      <c r="O45">
        <v>1673</v>
      </c>
      <c r="P45">
        <v>1787</v>
      </c>
    </row>
    <row r="46" spans="1:16" x14ac:dyDescent="0.3">
      <c r="A46" t="str">
        <f>Table_Demand___Community_frontsheet[[#This Row],[Name]]&amp;B46</f>
        <v>BirminghamReablement &amp; Rehabilitation at home</v>
      </c>
      <c r="B46" t="str">
        <f>VLOOKUP(Table_Demand___Community_frontsheet[[#This Row],[Service Type]],PathwayLookup!E:F,2,0)</f>
        <v>Reablement &amp; Rehabilitation at home</v>
      </c>
      <c r="C46" t="s">
        <v>77</v>
      </c>
      <c r="D46" t="s">
        <v>720</v>
      </c>
    </row>
    <row r="47" spans="1:16" x14ac:dyDescent="0.3">
      <c r="A47" t="str">
        <f>Table_Demand___Community_frontsheet[[#This Row],[Name]]&amp;B47</f>
        <v>BirminghamReablement &amp; Rehabilitation at home</v>
      </c>
      <c r="B47" t="str">
        <f>VLOOKUP(Table_Demand___Community_frontsheet[[#This Row],[Service Type]],PathwayLookup!E:F,2,0)</f>
        <v>Reablement &amp; Rehabilitation at home</v>
      </c>
      <c r="C47" t="s">
        <v>77</v>
      </c>
      <c r="D47" t="s">
        <v>721</v>
      </c>
      <c r="E47">
        <v>331</v>
      </c>
      <c r="F47">
        <v>375</v>
      </c>
      <c r="G47">
        <v>362</v>
      </c>
      <c r="H47">
        <v>358</v>
      </c>
      <c r="I47">
        <v>380</v>
      </c>
      <c r="J47">
        <v>334</v>
      </c>
      <c r="K47">
        <v>390</v>
      </c>
      <c r="L47">
        <v>394</v>
      </c>
      <c r="M47">
        <v>355</v>
      </c>
      <c r="N47">
        <v>394</v>
      </c>
      <c r="O47">
        <v>312</v>
      </c>
      <c r="P47">
        <v>381</v>
      </c>
    </row>
    <row r="48" spans="1:16" x14ac:dyDescent="0.3">
      <c r="A48" t="str">
        <f>Table_Demand___Community_frontsheet[[#This Row],[Name]]&amp;B48</f>
        <v>BirminghamReablement &amp; Rehabilitation in a bedded setting</v>
      </c>
      <c r="B48" t="str">
        <f>VLOOKUP(Table_Demand___Community_frontsheet[[#This Row],[Service Type]],PathwayLookup!E:F,2,0)</f>
        <v>Reablement &amp; Rehabilitation in a bedded setting</v>
      </c>
      <c r="C48" t="s">
        <v>77</v>
      </c>
      <c r="D48" t="s">
        <v>723</v>
      </c>
    </row>
    <row r="49" spans="1:16" x14ac:dyDescent="0.3">
      <c r="A49" t="str">
        <f>Table_Demand___Community_frontsheet[[#This Row],[Name]]&amp;B49</f>
        <v>BirminghamReablement &amp; Rehabilitation in a bedded setting</v>
      </c>
      <c r="B49" t="str">
        <f>VLOOKUP(Table_Demand___Community_frontsheet[[#This Row],[Service Type]],PathwayLookup!E:F,2,0)</f>
        <v>Reablement &amp; Rehabilitation in a bedded setting</v>
      </c>
      <c r="C49" t="s">
        <v>77</v>
      </c>
      <c r="D49" t="s">
        <v>725</v>
      </c>
      <c r="E49">
        <v>6</v>
      </c>
      <c r="F49">
        <v>6</v>
      </c>
      <c r="G49">
        <v>11</v>
      </c>
      <c r="H49">
        <v>9</v>
      </c>
      <c r="I49">
        <v>8</v>
      </c>
      <c r="J49">
        <v>6</v>
      </c>
      <c r="K49">
        <v>5</v>
      </c>
      <c r="L49">
        <v>7</v>
      </c>
      <c r="M49">
        <v>10</v>
      </c>
      <c r="N49">
        <v>5</v>
      </c>
      <c r="O49">
        <v>5</v>
      </c>
      <c r="P49">
        <v>8</v>
      </c>
    </row>
    <row r="50" spans="1:16" x14ac:dyDescent="0.3">
      <c r="A50" t="str">
        <f>Table_Demand___Community_frontsheet[[#This Row],[Name]]&amp;B50</f>
        <v>BirminghamOther short-term social care</v>
      </c>
      <c r="B50" t="str">
        <f>VLOOKUP(Table_Demand___Community_frontsheet[[#This Row],[Service Type]],PathwayLookup!E:F,2,0)</f>
        <v>Other short-term social care</v>
      </c>
      <c r="C50" t="s">
        <v>77</v>
      </c>
      <c r="D50" t="s">
        <v>708</v>
      </c>
      <c r="E50">
        <v>2</v>
      </c>
      <c r="F50">
        <v>2</v>
      </c>
      <c r="G50">
        <v>2</v>
      </c>
      <c r="H50">
        <v>2</v>
      </c>
      <c r="I50">
        <v>2</v>
      </c>
      <c r="J50">
        <v>2</v>
      </c>
      <c r="K50">
        <v>2</v>
      </c>
      <c r="L50">
        <v>2</v>
      </c>
      <c r="M50">
        <v>2</v>
      </c>
      <c r="N50">
        <v>2</v>
      </c>
      <c r="O50">
        <v>2</v>
      </c>
      <c r="P50">
        <v>2</v>
      </c>
    </row>
    <row r="51" spans="1:16" x14ac:dyDescent="0.3">
      <c r="A51" t="str">
        <f>Table_Demand___Community_frontsheet[[#This Row],[Name]]&amp;B51</f>
        <v>Blackburn with DarwenSocial support (including VCS)</v>
      </c>
      <c r="B51" t="str">
        <f>VLOOKUP(Table_Demand___Community_frontsheet[[#This Row],[Service Type]],PathwayLookup!E:F,2,0)</f>
        <v>Social support (including VCS)</v>
      </c>
      <c r="C51" t="s">
        <v>79</v>
      </c>
      <c r="D51" t="s">
        <v>704</v>
      </c>
      <c r="E51">
        <v>885</v>
      </c>
      <c r="F51">
        <v>885</v>
      </c>
      <c r="G51">
        <v>885</v>
      </c>
      <c r="H51">
        <v>885</v>
      </c>
      <c r="I51">
        <v>885</v>
      </c>
      <c r="J51">
        <v>885</v>
      </c>
      <c r="K51">
        <v>932</v>
      </c>
      <c r="L51">
        <v>932</v>
      </c>
      <c r="M51">
        <v>932</v>
      </c>
      <c r="N51">
        <v>932</v>
      </c>
      <c r="O51">
        <v>932</v>
      </c>
      <c r="P51">
        <v>932</v>
      </c>
    </row>
    <row r="52" spans="1:16" x14ac:dyDescent="0.3">
      <c r="A52" t="str">
        <f>Table_Demand___Community_frontsheet[[#This Row],[Name]]&amp;B52</f>
        <v>Blackburn with DarwenUrgent Community Response</v>
      </c>
      <c r="B52" t="str">
        <f>VLOOKUP(Table_Demand___Community_frontsheet[[#This Row],[Service Type]],PathwayLookup!E:F,2,0)</f>
        <v>Urgent Community Response</v>
      </c>
      <c r="C52" t="s">
        <v>79</v>
      </c>
      <c r="D52" t="s">
        <v>705</v>
      </c>
      <c r="E52">
        <v>165</v>
      </c>
      <c r="F52">
        <v>165</v>
      </c>
      <c r="G52">
        <v>165</v>
      </c>
      <c r="H52">
        <v>165</v>
      </c>
      <c r="I52">
        <v>165</v>
      </c>
      <c r="J52">
        <v>165</v>
      </c>
      <c r="K52">
        <v>165</v>
      </c>
      <c r="L52">
        <v>165</v>
      </c>
      <c r="M52">
        <v>165</v>
      </c>
      <c r="N52">
        <v>165</v>
      </c>
      <c r="O52">
        <v>165</v>
      </c>
      <c r="P52">
        <v>165</v>
      </c>
    </row>
    <row r="53" spans="1:16" x14ac:dyDescent="0.3">
      <c r="A53" t="str">
        <f>Table_Demand___Community_frontsheet[[#This Row],[Name]]&amp;B53</f>
        <v>Blackburn with DarwenReablement &amp; Rehabilitation at home</v>
      </c>
      <c r="B53" t="str">
        <f>VLOOKUP(Table_Demand___Community_frontsheet[[#This Row],[Service Type]],PathwayLookup!E:F,2,0)</f>
        <v>Reablement &amp; Rehabilitation at home</v>
      </c>
      <c r="C53" t="s">
        <v>79</v>
      </c>
      <c r="D53" t="s">
        <v>720</v>
      </c>
      <c r="E53">
        <v>39</v>
      </c>
      <c r="F53">
        <v>39</v>
      </c>
      <c r="G53">
        <v>39</v>
      </c>
      <c r="H53">
        <v>39</v>
      </c>
      <c r="I53">
        <v>39</v>
      </c>
      <c r="J53">
        <v>39</v>
      </c>
      <c r="K53">
        <v>39</v>
      </c>
      <c r="L53">
        <v>39</v>
      </c>
      <c r="M53">
        <v>39</v>
      </c>
      <c r="N53">
        <v>39</v>
      </c>
      <c r="O53">
        <v>39</v>
      </c>
      <c r="P53">
        <v>39</v>
      </c>
    </row>
    <row r="54" spans="1:16" x14ac:dyDescent="0.3">
      <c r="A54" t="str">
        <f>Table_Demand___Community_frontsheet[[#This Row],[Name]]&amp;B54</f>
        <v>Blackburn with DarwenReablement &amp; Rehabilitation at home</v>
      </c>
      <c r="B54" t="str">
        <f>VLOOKUP(Table_Demand___Community_frontsheet[[#This Row],[Service Type]],PathwayLookup!E:F,2,0)</f>
        <v>Reablement &amp; Rehabilitation at home</v>
      </c>
      <c r="C54" t="s">
        <v>79</v>
      </c>
      <c r="D54" t="s">
        <v>721</v>
      </c>
      <c r="E54">
        <v>13</v>
      </c>
      <c r="F54">
        <v>13</v>
      </c>
      <c r="G54">
        <v>13</v>
      </c>
      <c r="H54">
        <v>13</v>
      </c>
      <c r="I54">
        <v>13</v>
      </c>
      <c r="J54">
        <v>13</v>
      </c>
      <c r="K54">
        <v>13</v>
      </c>
      <c r="L54">
        <v>13</v>
      </c>
      <c r="M54">
        <v>13</v>
      </c>
      <c r="N54">
        <v>13</v>
      </c>
      <c r="O54">
        <v>13</v>
      </c>
      <c r="P54">
        <v>13</v>
      </c>
    </row>
    <row r="55" spans="1:16" x14ac:dyDescent="0.3">
      <c r="A55" t="str">
        <f>Table_Demand___Community_frontsheet[[#This Row],[Name]]&amp;B55</f>
        <v>Blackburn with DarwenReablement &amp; Rehabilitation in a bedded setting</v>
      </c>
      <c r="B55" t="str">
        <f>VLOOKUP(Table_Demand___Community_frontsheet[[#This Row],[Service Type]],PathwayLookup!E:F,2,0)</f>
        <v>Reablement &amp; Rehabilitation in a bedded setting</v>
      </c>
      <c r="C55" t="s">
        <v>79</v>
      </c>
      <c r="D55" t="s">
        <v>723</v>
      </c>
      <c r="E55">
        <v>16</v>
      </c>
      <c r="F55">
        <v>16</v>
      </c>
      <c r="G55">
        <v>16</v>
      </c>
      <c r="H55">
        <v>16</v>
      </c>
      <c r="I55">
        <v>16</v>
      </c>
      <c r="J55">
        <v>16</v>
      </c>
      <c r="K55">
        <v>16</v>
      </c>
      <c r="L55">
        <v>16</v>
      </c>
      <c r="M55">
        <v>16</v>
      </c>
      <c r="N55">
        <v>16</v>
      </c>
      <c r="O55">
        <v>16</v>
      </c>
      <c r="P55">
        <v>16</v>
      </c>
    </row>
    <row r="56" spans="1:16" x14ac:dyDescent="0.3">
      <c r="A56" t="str">
        <f>Table_Demand___Community_frontsheet[[#This Row],[Name]]&amp;B56</f>
        <v>Blackburn with DarwenReablement &amp; Rehabilitation in a bedded setting</v>
      </c>
      <c r="B56" t="str">
        <f>VLOOKUP(Table_Demand___Community_frontsheet[[#This Row],[Service Type]],PathwayLookup!E:F,2,0)</f>
        <v>Reablement &amp; Rehabilitation in a bedded setting</v>
      </c>
      <c r="C56" t="s">
        <v>79</v>
      </c>
      <c r="D56" t="s">
        <v>725</v>
      </c>
      <c r="E56">
        <v>0</v>
      </c>
      <c r="F56">
        <v>0</v>
      </c>
      <c r="G56">
        <v>0</v>
      </c>
      <c r="H56">
        <v>0</v>
      </c>
      <c r="I56">
        <v>0</v>
      </c>
      <c r="J56">
        <v>0</v>
      </c>
      <c r="K56">
        <v>0</v>
      </c>
      <c r="L56">
        <v>0</v>
      </c>
      <c r="M56">
        <v>0</v>
      </c>
      <c r="N56">
        <v>0</v>
      </c>
      <c r="O56">
        <v>0</v>
      </c>
      <c r="P56">
        <v>0</v>
      </c>
    </row>
    <row r="57" spans="1:16" x14ac:dyDescent="0.3">
      <c r="A57" t="str">
        <f>Table_Demand___Community_frontsheet[[#This Row],[Name]]&amp;B57</f>
        <v>Blackburn with DarwenOther short-term social care</v>
      </c>
      <c r="B57" t="str">
        <f>VLOOKUP(Table_Demand___Community_frontsheet[[#This Row],[Service Type]],PathwayLookup!E:F,2,0)</f>
        <v>Other short-term social care</v>
      </c>
      <c r="C57" t="s">
        <v>79</v>
      </c>
      <c r="D57" t="s">
        <v>708</v>
      </c>
      <c r="E57">
        <v>74</v>
      </c>
      <c r="F57">
        <v>74</v>
      </c>
      <c r="G57">
        <v>74</v>
      </c>
      <c r="H57">
        <v>74</v>
      </c>
      <c r="I57">
        <v>74</v>
      </c>
      <c r="J57">
        <v>74</v>
      </c>
      <c r="K57">
        <v>74</v>
      </c>
      <c r="L57">
        <v>74</v>
      </c>
      <c r="M57">
        <v>74</v>
      </c>
      <c r="N57">
        <v>74</v>
      </c>
      <c r="O57">
        <v>74</v>
      </c>
      <c r="P57">
        <v>74</v>
      </c>
    </row>
    <row r="58" spans="1:16" x14ac:dyDescent="0.3">
      <c r="A58" t="str">
        <f>Table_Demand___Community_frontsheet[[#This Row],[Name]]&amp;B58</f>
        <v>BlackpoolSocial support (including VCS)</v>
      </c>
      <c r="B58" t="str">
        <f>VLOOKUP(Table_Demand___Community_frontsheet[[#This Row],[Service Type]],PathwayLookup!E:F,2,0)</f>
        <v>Social support (including VCS)</v>
      </c>
      <c r="C58" t="s">
        <v>81</v>
      </c>
      <c r="D58" t="s">
        <v>704</v>
      </c>
      <c r="E58">
        <v>24</v>
      </c>
      <c r="F58">
        <v>32</v>
      </c>
      <c r="G58">
        <v>30</v>
      </c>
      <c r="H58">
        <v>30</v>
      </c>
      <c r="I58">
        <v>30</v>
      </c>
      <c r="J58">
        <v>30</v>
      </c>
      <c r="K58">
        <v>30</v>
      </c>
      <c r="L58">
        <v>30</v>
      </c>
      <c r="M58">
        <v>30</v>
      </c>
      <c r="N58">
        <v>30</v>
      </c>
      <c r="O58">
        <v>30</v>
      </c>
      <c r="P58">
        <v>30</v>
      </c>
    </row>
    <row r="59" spans="1:16" x14ac:dyDescent="0.3">
      <c r="A59" t="str">
        <f>Table_Demand___Community_frontsheet[[#This Row],[Name]]&amp;B59</f>
        <v>BlackpoolUrgent Community Response</v>
      </c>
      <c r="B59" t="str">
        <f>VLOOKUP(Table_Demand___Community_frontsheet[[#This Row],[Service Type]],PathwayLookup!E:F,2,0)</f>
        <v>Urgent Community Response</v>
      </c>
      <c r="C59" t="s">
        <v>81</v>
      </c>
      <c r="D59" t="s">
        <v>705</v>
      </c>
      <c r="E59">
        <v>48</v>
      </c>
      <c r="F59">
        <v>52</v>
      </c>
      <c r="G59">
        <v>45</v>
      </c>
      <c r="H59">
        <v>45</v>
      </c>
      <c r="I59">
        <v>45</v>
      </c>
      <c r="J59">
        <v>45</v>
      </c>
      <c r="K59">
        <v>45</v>
      </c>
      <c r="L59">
        <v>45</v>
      </c>
      <c r="M59">
        <v>45</v>
      </c>
      <c r="N59">
        <v>45</v>
      </c>
      <c r="O59">
        <v>45</v>
      </c>
      <c r="P59">
        <v>45</v>
      </c>
    </row>
    <row r="60" spans="1:16" x14ac:dyDescent="0.3">
      <c r="A60" t="str">
        <f>Table_Demand___Community_frontsheet[[#This Row],[Name]]&amp;B60</f>
        <v>BlackpoolReablement &amp; Rehabilitation at home</v>
      </c>
      <c r="B60" t="str">
        <f>VLOOKUP(Table_Demand___Community_frontsheet[[#This Row],[Service Type]],PathwayLookup!E:F,2,0)</f>
        <v>Reablement &amp; Rehabilitation at home</v>
      </c>
      <c r="C60" t="s">
        <v>81</v>
      </c>
      <c r="D60" t="s">
        <v>720</v>
      </c>
      <c r="E60">
        <v>39</v>
      </c>
      <c r="F60">
        <v>45</v>
      </c>
      <c r="G60">
        <v>42</v>
      </c>
      <c r="H60">
        <v>42</v>
      </c>
      <c r="I60">
        <v>42</v>
      </c>
      <c r="J60">
        <v>42</v>
      </c>
      <c r="K60">
        <v>42</v>
      </c>
      <c r="L60">
        <v>42</v>
      </c>
      <c r="M60">
        <v>42</v>
      </c>
      <c r="N60">
        <v>42</v>
      </c>
      <c r="O60">
        <v>42</v>
      </c>
      <c r="P60">
        <v>42</v>
      </c>
    </row>
    <row r="61" spans="1:16" x14ac:dyDescent="0.3">
      <c r="A61" t="str">
        <f>Table_Demand___Community_frontsheet[[#This Row],[Name]]&amp;B61</f>
        <v>BlackpoolReablement &amp; Rehabilitation at home</v>
      </c>
      <c r="B61" t="str">
        <f>VLOOKUP(Table_Demand___Community_frontsheet[[#This Row],[Service Type]],PathwayLookup!E:F,2,0)</f>
        <v>Reablement &amp; Rehabilitation at home</v>
      </c>
      <c r="C61" t="s">
        <v>81</v>
      </c>
      <c r="D61" t="s">
        <v>721</v>
      </c>
      <c r="E61">
        <v>36</v>
      </c>
      <c r="F61">
        <v>42</v>
      </c>
      <c r="G61">
        <v>40</v>
      </c>
      <c r="H61">
        <v>40</v>
      </c>
      <c r="I61">
        <v>40</v>
      </c>
      <c r="J61">
        <v>40</v>
      </c>
      <c r="K61">
        <v>40</v>
      </c>
      <c r="L61">
        <v>40</v>
      </c>
      <c r="M61">
        <v>40</v>
      </c>
      <c r="N61">
        <v>40</v>
      </c>
      <c r="O61">
        <v>40</v>
      </c>
      <c r="P61">
        <v>40</v>
      </c>
    </row>
    <row r="62" spans="1:16" x14ac:dyDescent="0.3">
      <c r="A62" t="str">
        <f>Table_Demand___Community_frontsheet[[#This Row],[Name]]&amp;B62</f>
        <v>BlackpoolReablement &amp; Rehabilitation in a bedded setting</v>
      </c>
      <c r="B62" t="str">
        <f>VLOOKUP(Table_Demand___Community_frontsheet[[#This Row],[Service Type]],PathwayLookup!E:F,2,0)</f>
        <v>Reablement &amp; Rehabilitation in a bedded setting</v>
      </c>
      <c r="C62" t="s">
        <v>81</v>
      </c>
      <c r="D62" t="s">
        <v>723</v>
      </c>
      <c r="E62">
        <v>33</v>
      </c>
      <c r="F62">
        <v>35</v>
      </c>
      <c r="G62">
        <v>32</v>
      </c>
      <c r="H62">
        <v>32</v>
      </c>
      <c r="I62">
        <v>32</v>
      </c>
      <c r="J62">
        <v>32</v>
      </c>
      <c r="K62">
        <v>32</v>
      </c>
      <c r="L62">
        <v>32</v>
      </c>
      <c r="M62">
        <v>32</v>
      </c>
      <c r="N62">
        <v>32</v>
      </c>
      <c r="O62">
        <v>32</v>
      </c>
      <c r="P62">
        <v>32</v>
      </c>
    </row>
    <row r="63" spans="1:16" x14ac:dyDescent="0.3">
      <c r="A63" t="str">
        <f>Table_Demand___Community_frontsheet[[#This Row],[Name]]&amp;B63</f>
        <v>BlackpoolReablement &amp; Rehabilitation in a bedded setting</v>
      </c>
      <c r="B63" t="str">
        <f>VLOOKUP(Table_Demand___Community_frontsheet[[#This Row],[Service Type]],PathwayLookup!E:F,2,0)</f>
        <v>Reablement &amp; Rehabilitation in a bedded setting</v>
      </c>
      <c r="C63" t="s">
        <v>81</v>
      </c>
      <c r="D63" t="s">
        <v>725</v>
      </c>
      <c r="E63">
        <v>14</v>
      </c>
      <c r="F63">
        <v>15</v>
      </c>
      <c r="G63">
        <v>16</v>
      </c>
      <c r="H63">
        <v>16</v>
      </c>
      <c r="I63">
        <v>16</v>
      </c>
      <c r="J63">
        <v>16</v>
      </c>
      <c r="K63">
        <v>16</v>
      </c>
      <c r="L63">
        <v>16</v>
      </c>
      <c r="M63">
        <v>16</v>
      </c>
      <c r="N63">
        <v>16</v>
      </c>
      <c r="O63">
        <v>16</v>
      </c>
      <c r="P63">
        <v>16</v>
      </c>
    </row>
    <row r="64" spans="1:16" x14ac:dyDescent="0.3">
      <c r="A64" t="str">
        <f>Table_Demand___Community_frontsheet[[#This Row],[Name]]&amp;B64</f>
        <v>BlackpoolOther short-term social care</v>
      </c>
      <c r="B64" t="str">
        <f>VLOOKUP(Table_Demand___Community_frontsheet[[#This Row],[Service Type]],PathwayLookup!E:F,2,0)</f>
        <v>Other short-term social care</v>
      </c>
      <c r="C64" t="s">
        <v>81</v>
      </c>
      <c r="D64" t="s">
        <v>708</v>
      </c>
      <c r="E64">
        <v>4</v>
      </c>
      <c r="F64">
        <v>2</v>
      </c>
      <c r="G64">
        <v>3</v>
      </c>
      <c r="H64">
        <v>3</v>
      </c>
      <c r="I64">
        <v>3</v>
      </c>
      <c r="J64">
        <v>3</v>
      </c>
      <c r="K64">
        <v>3</v>
      </c>
      <c r="L64">
        <v>3</v>
      </c>
      <c r="M64">
        <v>3</v>
      </c>
      <c r="N64">
        <v>3</v>
      </c>
      <c r="O64">
        <v>3</v>
      </c>
      <c r="P64">
        <v>3</v>
      </c>
    </row>
    <row r="65" spans="1:16" x14ac:dyDescent="0.3">
      <c r="A65" t="str">
        <f>Table_Demand___Community_frontsheet[[#This Row],[Name]]&amp;B65</f>
        <v>BoltonSocial support (including VCS)</v>
      </c>
      <c r="B65" t="str">
        <f>VLOOKUP(Table_Demand___Community_frontsheet[[#This Row],[Service Type]],PathwayLookup!E:F,2,0)</f>
        <v>Social support (including VCS)</v>
      </c>
      <c r="C65" t="s">
        <v>83</v>
      </c>
      <c r="D65" t="s">
        <v>704</v>
      </c>
      <c r="E65">
        <v>0</v>
      </c>
      <c r="F65">
        <v>0</v>
      </c>
      <c r="G65">
        <v>0</v>
      </c>
      <c r="H65">
        <v>0</v>
      </c>
      <c r="I65">
        <v>0</v>
      </c>
      <c r="J65">
        <v>0</v>
      </c>
      <c r="K65">
        <v>0</v>
      </c>
      <c r="L65">
        <v>0</v>
      </c>
      <c r="M65">
        <v>0</v>
      </c>
      <c r="N65">
        <v>0</v>
      </c>
      <c r="O65">
        <v>0</v>
      </c>
      <c r="P65">
        <v>0</v>
      </c>
    </row>
    <row r="66" spans="1:16" x14ac:dyDescent="0.3">
      <c r="A66" t="str">
        <f>Table_Demand___Community_frontsheet[[#This Row],[Name]]&amp;B66</f>
        <v>BoltonUrgent Community Response</v>
      </c>
      <c r="B66" t="str">
        <f>VLOOKUP(Table_Demand___Community_frontsheet[[#This Row],[Service Type]],PathwayLookup!E:F,2,0)</f>
        <v>Urgent Community Response</v>
      </c>
      <c r="C66" t="s">
        <v>83</v>
      </c>
      <c r="D66" t="s">
        <v>705</v>
      </c>
      <c r="E66">
        <v>160</v>
      </c>
      <c r="F66">
        <v>160</v>
      </c>
      <c r="G66">
        <v>160</v>
      </c>
      <c r="H66">
        <v>160</v>
      </c>
      <c r="I66">
        <v>160</v>
      </c>
      <c r="J66">
        <v>160</v>
      </c>
      <c r="K66">
        <v>160</v>
      </c>
      <c r="L66">
        <v>160</v>
      </c>
      <c r="M66">
        <v>160</v>
      </c>
      <c r="N66">
        <v>160</v>
      </c>
      <c r="O66">
        <v>160</v>
      </c>
      <c r="P66">
        <v>160</v>
      </c>
    </row>
    <row r="67" spans="1:16" x14ac:dyDescent="0.3">
      <c r="A67" t="str">
        <f>Table_Demand___Community_frontsheet[[#This Row],[Name]]&amp;B67</f>
        <v>BoltonReablement &amp; Rehabilitation at home</v>
      </c>
      <c r="B67" t="str">
        <f>VLOOKUP(Table_Demand___Community_frontsheet[[#This Row],[Service Type]],PathwayLookup!E:F,2,0)</f>
        <v>Reablement &amp; Rehabilitation at home</v>
      </c>
      <c r="C67" t="s">
        <v>83</v>
      </c>
      <c r="D67" t="s">
        <v>720</v>
      </c>
      <c r="E67">
        <v>0</v>
      </c>
      <c r="F67">
        <v>0</v>
      </c>
      <c r="G67">
        <v>0</v>
      </c>
      <c r="H67">
        <v>0</v>
      </c>
      <c r="I67">
        <v>0</v>
      </c>
      <c r="J67">
        <v>0</v>
      </c>
      <c r="K67">
        <v>0</v>
      </c>
      <c r="L67">
        <v>0</v>
      </c>
      <c r="M67">
        <v>0</v>
      </c>
      <c r="N67">
        <v>0</v>
      </c>
      <c r="O67">
        <v>0</v>
      </c>
      <c r="P67">
        <v>0</v>
      </c>
    </row>
    <row r="68" spans="1:16" x14ac:dyDescent="0.3">
      <c r="A68" t="str">
        <f>Table_Demand___Community_frontsheet[[#This Row],[Name]]&amp;B68</f>
        <v>BoltonReablement &amp; Rehabilitation at home</v>
      </c>
      <c r="B68" t="str">
        <f>VLOOKUP(Table_Demand___Community_frontsheet[[#This Row],[Service Type]],PathwayLookup!E:F,2,0)</f>
        <v>Reablement &amp; Rehabilitation at home</v>
      </c>
      <c r="C68" t="s">
        <v>83</v>
      </c>
      <c r="D68" t="s">
        <v>721</v>
      </c>
      <c r="E68">
        <v>270</v>
      </c>
      <c r="F68">
        <v>270</v>
      </c>
      <c r="G68">
        <v>270</v>
      </c>
      <c r="H68">
        <v>270</v>
      </c>
      <c r="I68">
        <v>270</v>
      </c>
      <c r="J68">
        <v>270</v>
      </c>
      <c r="K68">
        <v>270</v>
      </c>
      <c r="L68">
        <v>270</v>
      </c>
      <c r="M68">
        <v>270</v>
      </c>
      <c r="N68">
        <v>270</v>
      </c>
      <c r="O68">
        <v>270</v>
      </c>
      <c r="P68">
        <v>270</v>
      </c>
    </row>
    <row r="69" spans="1:16" x14ac:dyDescent="0.3">
      <c r="A69" t="str">
        <f>Table_Demand___Community_frontsheet[[#This Row],[Name]]&amp;B69</f>
        <v>BoltonReablement &amp; Rehabilitation in a bedded setting</v>
      </c>
      <c r="B69" t="str">
        <f>VLOOKUP(Table_Demand___Community_frontsheet[[#This Row],[Service Type]],PathwayLookup!E:F,2,0)</f>
        <v>Reablement &amp; Rehabilitation in a bedded setting</v>
      </c>
      <c r="C69" t="s">
        <v>83</v>
      </c>
      <c r="D69" t="s">
        <v>723</v>
      </c>
      <c r="E69">
        <v>0</v>
      </c>
      <c r="F69">
        <v>0</v>
      </c>
      <c r="G69">
        <v>0</v>
      </c>
      <c r="H69">
        <v>0</v>
      </c>
      <c r="I69">
        <v>0</v>
      </c>
      <c r="J69">
        <v>0</v>
      </c>
      <c r="K69">
        <v>0</v>
      </c>
      <c r="L69">
        <v>0</v>
      </c>
      <c r="M69">
        <v>0</v>
      </c>
      <c r="N69">
        <v>0</v>
      </c>
      <c r="O69">
        <v>0</v>
      </c>
      <c r="P69">
        <v>0</v>
      </c>
    </row>
    <row r="70" spans="1:16" x14ac:dyDescent="0.3">
      <c r="A70" t="str">
        <f>Table_Demand___Community_frontsheet[[#This Row],[Name]]&amp;B70</f>
        <v>BoltonReablement &amp; Rehabilitation in a bedded setting</v>
      </c>
      <c r="B70" t="str">
        <f>VLOOKUP(Table_Demand___Community_frontsheet[[#This Row],[Service Type]],PathwayLookup!E:F,2,0)</f>
        <v>Reablement &amp; Rehabilitation in a bedded setting</v>
      </c>
      <c r="C70" t="s">
        <v>83</v>
      </c>
      <c r="D70" t="s">
        <v>725</v>
      </c>
      <c r="E70">
        <v>0</v>
      </c>
      <c r="F70">
        <v>0</v>
      </c>
      <c r="G70">
        <v>0</v>
      </c>
      <c r="H70">
        <v>0</v>
      </c>
      <c r="I70">
        <v>0</v>
      </c>
      <c r="J70">
        <v>0</v>
      </c>
      <c r="K70">
        <v>0</v>
      </c>
      <c r="L70">
        <v>0</v>
      </c>
      <c r="M70">
        <v>0</v>
      </c>
      <c r="N70">
        <v>0</v>
      </c>
      <c r="O70">
        <v>0</v>
      </c>
      <c r="P70">
        <v>0</v>
      </c>
    </row>
    <row r="71" spans="1:16" x14ac:dyDescent="0.3">
      <c r="A71" t="str">
        <f>Table_Demand___Community_frontsheet[[#This Row],[Name]]&amp;B71</f>
        <v>BoltonOther short-term social care</v>
      </c>
      <c r="B71" t="str">
        <f>VLOOKUP(Table_Demand___Community_frontsheet[[#This Row],[Service Type]],PathwayLookup!E:F,2,0)</f>
        <v>Other short-term social care</v>
      </c>
      <c r="C71" t="s">
        <v>83</v>
      </c>
      <c r="D71" t="s">
        <v>708</v>
      </c>
      <c r="E71">
        <v>5</v>
      </c>
      <c r="F71">
        <v>5</v>
      </c>
      <c r="G71">
        <v>5</v>
      </c>
      <c r="H71">
        <v>5</v>
      </c>
      <c r="I71">
        <v>5</v>
      </c>
      <c r="J71">
        <v>5</v>
      </c>
      <c r="K71">
        <v>5</v>
      </c>
      <c r="L71">
        <v>5</v>
      </c>
      <c r="M71">
        <v>5</v>
      </c>
      <c r="N71">
        <v>5</v>
      </c>
      <c r="O71">
        <v>5</v>
      </c>
      <c r="P71">
        <v>5</v>
      </c>
    </row>
    <row r="72" spans="1:16" x14ac:dyDescent="0.3">
      <c r="A72" t="str">
        <f>Table_Demand___Community_frontsheet[[#This Row],[Name]]&amp;B72</f>
        <v>Bournemouth, Christchurch and PooleSocial support (including VCS)</v>
      </c>
      <c r="B72" t="str">
        <f>VLOOKUP(Table_Demand___Community_frontsheet[[#This Row],[Service Type]],PathwayLookup!E:F,2,0)</f>
        <v>Social support (including VCS)</v>
      </c>
      <c r="C72" t="s">
        <v>85</v>
      </c>
      <c r="D72" t="s">
        <v>704</v>
      </c>
      <c r="E72">
        <v>144</v>
      </c>
      <c r="F72">
        <v>141</v>
      </c>
      <c r="G72">
        <v>141</v>
      </c>
      <c r="H72">
        <v>141</v>
      </c>
      <c r="I72">
        <v>141</v>
      </c>
      <c r="J72">
        <v>141</v>
      </c>
      <c r="K72">
        <v>141</v>
      </c>
      <c r="L72">
        <v>141</v>
      </c>
      <c r="M72">
        <v>141</v>
      </c>
      <c r="N72">
        <v>141</v>
      </c>
      <c r="O72">
        <v>141</v>
      </c>
      <c r="P72">
        <v>141</v>
      </c>
    </row>
    <row r="73" spans="1:16" x14ac:dyDescent="0.3">
      <c r="A73" t="str">
        <f>Table_Demand___Community_frontsheet[[#This Row],[Name]]&amp;B73</f>
        <v>Bournemouth, Christchurch and PooleUrgent Community Response</v>
      </c>
      <c r="B73" t="str">
        <f>VLOOKUP(Table_Demand___Community_frontsheet[[#This Row],[Service Type]],PathwayLookup!E:F,2,0)</f>
        <v>Urgent Community Response</v>
      </c>
      <c r="C73" t="s">
        <v>85</v>
      </c>
      <c r="D73" t="s">
        <v>705</v>
      </c>
      <c r="E73">
        <v>194</v>
      </c>
      <c r="F73">
        <v>191</v>
      </c>
      <c r="G73">
        <v>69</v>
      </c>
      <c r="H73">
        <v>102</v>
      </c>
      <c r="I73">
        <v>113</v>
      </c>
      <c r="J73">
        <v>95</v>
      </c>
      <c r="K73">
        <v>97</v>
      </c>
      <c r="L73">
        <v>92</v>
      </c>
      <c r="M73">
        <v>161</v>
      </c>
      <c r="N73">
        <v>127</v>
      </c>
      <c r="O73">
        <v>127</v>
      </c>
      <c r="P73">
        <v>116</v>
      </c>
    </row>
    <row r="74" spans="1:16" x14ac:dyDescent="0.3">
      <c r="A74" t="str">
        <f>Table_Demand___Community_frontsheet[[#This Row],[Name]]&amp;B74</f>
        <v>Bournemouth, Christchurch and PooleReablement &amp; Rehabilitation at home</v>
      </c>
      <c r="B74" t="str">
        <f>VLOOKUP(Table_Demand___Community_frontsheet[[#This Row],[Service Type]],PathwayLookup!E:F,2,0)</f>
        <v>Reablement &amp; Rehabilitation at home</v>
      </c>
      <c r="C74" t="s">
        <v>85</v>
      </c>
      <c r="D74" t="s">
        <v>720</v>
      </c>
      <c r="E74">
        <v>5</v>
      </c>
      <c r="F74">
        <v>8</v>
      </c>
      <c r="G74">
        <v>8</v>
      </c>
      <c r="H74">
        <v>3</v>
      </c>
      <c r="I74">
        <v>1</v>
      </c>
      <c r="J74">
        <v>7</v>
      </c>
      <c r="K74">
        <v>3</v>
      </c>
      <c r="L74">
        <v>3</v>
      </c>
      <c r="M74">
        <v>0</v>
      </c>
      <c r="N74">
        <v>5</v>
      </c>
      <c r="O74">
        <v>5</v>
      </c>
      <c r="P74">
        <v>3</v>
      </c>
    </row>
    <row r="75" spans="1:16" x14ac:dyDescent="0.3">
      <c r="A75" t="str">
        <f>Table_Demand___Community_frontsheet[[#This Row],[Name]]&amp;B75</f>
        <v>Bournemouth, Christchurch and PooleReablement &amp; Rehabilitation at home</v>
      </c>
      <c r="B75" t="str">
        <f>VLOOKUP(Table_Demand___Community_frontsheet[[#This Row],[Service Type]],PathwayLookup!E:F,2,0)</f>
        <v>Reablement &amp; Rehabilitation at home</v>
      </c>
      <c r="C75" t="s">
        <v>85</v>
      </c>
      <c r="D75" t="s">
        <v>721</v>
      </c>
      <c r="E75">
        <v>77</v>
      </c>
      <c r="F75">
        <v>77</v>
      </c>
      <c r="G75">
        <v>77</v>
      </c>
      <c r="H75">
        <v>77</v>
      </c>
      <c r="I75">
        <v>77</v>
      </c>
      <c r="J75">
        <v>77</v>
      </c>
      <c r="K75">
        <v>77</v>
      </c>
      <c r="L75">
        <v>77</v>
      </c>
      <c r="M75">
        <v>77</v>
      </c>
      <c r="N75">
        <v>77</v>
      </c>
      <c r="O75">
        <v>77</v>
      </c>
      <c r="P75">
        <v>77</v>
      </c>
    </row>
    <row r="76" spans="1:16" x14ac:dyDescent="0.3">
      <c r="A76" t="str">
        <f>Table_Demand___Community_frontsheet[[#This Row],[Name]]&amp;B76</f>
        <v>Bournemouth, Christchurch and PooleReablement &amp; Rehabilitation in a bedded setting</v>
      </c>
      <c r="B76" t="str">
        <f>VLOOKUP(Table_Demand___Community_frontsheet[[#This Row],[Service Type]],PathwayLookup!E:F,2,0)</f>
        <v>Reablement &amp; Rehabilitation in a bedded setting</v>
      </c>
      <c r="C76" t="s">
        <v>85</v>
      </c>
      <c r="D76" t="s">
        <v>723</v>
      </c>
      <c r="E76">
        <v>5</v>
      </c>
      <c r="F76">
        <v>10</v>
      </c>
      <c r="G76">
        <v>2</v>
      </c>
      <c r="H76">
        <v>5</v>
      </c>
      <c r="I76">
        <v>5</v>
      </c>
      <c r="J76">
        <v>5</v>
      </c>
      <c r="K76">
        <v>5</v>
      </c>
      <c r="L76">
        <v>5</v>
      </c>
      <c r="M76">
        <v>5</v>
      </c>
      <c r="N76">
        <v>5</v>
      </c>
      <c r="O76">
        <v>5</v>
      </c>
      <c r="P76">
        <v>5</v>
      </c>
    </row>
    <row r="77" spans="1:16" x14ac:dyDescent="0.3">
      <c r="A77" t="str">
        <f>Table_Demand___Community_frontsheet[[#This Row],[Name]]&amp;B77</f>
        <v>Bournemouth, Christchurch and PooleReablement &amp; Rehabilitation in a bedded setting</v>
      </c>
      <c r="B77" t="str">
        <f>VLOOKUP(Table_Demand___Community_frontsheet[[#This Row],[Service Type]],PathwayLookup!E:F,2,0)</f>
        <v>Reablement &amp; Rehabilitation in a bedded setting</v>
      </c>
      <c r="C77" t="s">
        <v>85</v>
      </c>
      <c r="D77" t="s">
        <v>725</v>
      </c>
      <c r="E77">
        <v>0</v>
      </c>
      <c r="F77">
        <v>1</v>
      </c>
      <c r="G77">
        <v>4</v>
      </c>
      <c r="H77">
        <v>1</v>
      </c>
      <c r="I77">
        <v>1</v>
      </c>
      <c r="J77">
        <v>0</v>
      </c>
      <c r="K77">
        <v>5</v>
      </c>
      <c r="L77">
        <v>2</v>
      </c>
      <c r="M77">
        <v>0</v>
      </c>
      <c r="N77">
        <v>6</v>
      </c>
      <c r="O77">
        <v>4</v>
      </c>
      <c r="P77">
        <v>2</v>
      </c>
    </row>
    <row r="78" spans="1:16" x14ac:dyDescent="0.3">
      <c r="A78" t="str">
        <f>Table_Demand___Community_frontsheet[[#This Row],[Name]]&amp;B78</f>
        <v>Bournemouth, Christchurch and PooleOther short-term social care</v>
      </c>
      <c r="B78" t="str">
        <f>VLOOKUP(Table_Demand___Community_frontsheet[[#This Row],[Service Type]],PathwayLookup!E:F,2,0)</f>
        <v>Other short-term social care</v>
      </c>
      <c r="C78" t="s">
        <v>85</v>
      </c>
      <c r="D78" t="s">
        <v>708</v>
      </c>
    </row>
    <row r="79" spans="1:16" x14ac:dyDescent="0.3">
      <c r="A79" t="str">
        <f>Table_Demand___Community_frontsheet[[#This Row],[Name]]&amp;B79</f>
        <v>Bracknell ForestSocial support (including VCS)</v>
      </c>
      <c r="B79" t="str">
        <f>VLOOKUP(Table_Demand___Community_frontsheet[[#This Row],[Service Type]],PathwayLookup!E:F,2,0)</f>
        <v>Social support (including VCS)</v>
      </c>
      <c r="C79" t="s">
        <v>87</v>
      </c>
      <c r="D79" t="s">
        <v>704</v>
      </c>
      <c r="E79">
        <v>0</v>
      </c>
      <c r="F79">
        <v>0</v>
      </c>
      <c r="G79">
        <v>0</v>
      </c>
      <c r="H79">
        <v>0</v>
      </c>
      <c r="I79">
        <v>0</v>
      </c>
      <c r="J79">
        <v>0</v>
      </c>
      <c r="K79">
        <v>0</v>
      </c>
      <c r="L79">
        <v>0</v>
      </c>
      <c r="M79">
        <v>0</v>
      </c>
      <c r="N79">
        <v>0</v>
      </c>
      <c r="O79">
        <v>0</v>
      </c>
      <c r="P79">
        <v>0</v>
      </c>
    </row>
    <row r="80" spans="1:16" x14ac:dyDescent="0.3">
      <c r="A80" t="str">
        <f>Table_Demand___Community_frontsheet[[#This Row],[Name]]&amp;B80</f>
        <v>Bracknell ForestUrgent Community Response</v>
      </c>
      <c r="B80" t="str">
        <f>VLOOKUP(Table_Demand___Community_frontsheet[[#This Row],[Service Type]],PathwayLookup!E:F,2,0)</f>
        <v>Urgent Community Response</v>
      </c>
      <c r="C80" t="s">
        <v>87</v>
      </c>
      <c r="D80" t="s">
        <v>705</v>
      </c>
      <c r="E80">
        <v>20</v>
      </c>
      <c r="F80">
        <v>28</v>
      </c>
      <c r="G80">
        <v>29</v>
      </c>
      <c r="H80">
        <v>34</v>
      </c>
      <c r="I80">
        <v>43</v>
      </c>
      <c r="J80">
        <v>37</v>
      </c>
      <c r="K80">
        <v>42</v>
      </c>
      <c r="L80">
        <v>36</v>
      </c>
      <c r="M80">
        <v>30</v>
      </c>
      <c r="N80">
        <v>33</v>
      </c>
      <c r="O80">
        <v>27</v>
      </c>
      <c r="P80">
        <v>34</v>
      </c>
    </row>
    <row r="81" spans="1:16" x14ac:dyDescent="0.3">
      <c r="A81" t="str">
        <f>Table_Demand___Community_frontsheet[[#This Row],[Name]]&amp;B81</f>
        <v>Bracknell ForestReablement &amp; Rehabilitation at home</v>
      </c>
      <c r="B81" t="str">
        <f>VLOOKUP(Table_Demand___Community_frontsheet[[#This Row],[Service Type]],PathwayLookup!E:F,2,0)</f>
        <v>Reablement &amp; Rehabilitation at home</v>
      </c>
      <c r="C81" t="s">
        <v>87</v>
      </c>
      <c r="D81" t="s">
        <v>720</v>
      </c>
      <c r="E81">
        <v>14</v>
      </c>
      <c r="F81">
        <v>15</v>
      </c>
      <c r="G81">
        <v>17</v>
      </c>
      <c r="H81">
        <v>10</v>
      </c>
      <c r="I81">
        <v>14</v>
      </c>
      <c r="J81">
        <v>10</v>
      </c>
      <c r="K81">
        <v>14</v>
      </c>
      <c r="L81">
        <v>10</v>
      </c>
      <c r="M81">
        <v>14</v>
      </c>
      <c r="N81">
        <v>14</v>
      </c>
      <c r="O81">
        <v>16</v>
      </c>
      <c r="P81">
        <v>15</v>
      </c>
    </row>
    <row r="82" spans="1:16" x14ac:dyDescent="0.3">
      <c r="A82" t="str">
        <f>Table_Demand___Community_frontsheet[[#This Row],[Name]]&amp;B82</f>
        <v>Bracknell ForestReablement &amp; Rehabilitation at home</v>
      </c>
      <c r="B82" t="str">
        <f>VLOOKUP(Table_Demand___Community_frontsheet[[#This Row],[Service Type]],PathwayLookup!E:F,2,0)</f>
        <v>Reablement &amp; Rehabilitation at home</v>
      </c>
      <c r="C82" t="s">
        <v>87</v>
      </c>
      <c r="D82" t="s">
        <v>721</v>
      </c>
      <c r="E82">
        <v>0</v>
      </c>
      <c r="F82">
        <v>0</v>
      </c>
      <c r="G82">
        <v>0</v>
      </c>
      <c r="H82">
        <v>0</v>
      </c>
      <c r="I82">
        <v>0</v>
      </c>
      <c r="J82">
        <v>0</v>
      </c>
      <c r="K82">
        <v>0</v>
      </c>
      <c r="L82">
        <v>0</v>
      </c>
      <c r="M82">
        <v>0</v>
      </c>
      <c r="N82">
        <v>0</v>
      </c>
      <c r="O82">
        <v>0</v>
      </c>
      <c r="P82">
        <v>0</v>
      </c>
    </row>
    <row r="83" spans="1:16" x14ac:dyDescent="0.3">
      <c r="A83" t="str">
        <f>Table_Demand___Community_frontsheet[[#This Row],[Name]]&amp;B83</f>
        <v>Bracknell ForestReablement &amp; Rehabilitation in a bedded setting</v>
      </c>
      <c r="B83" t="str">
        <f>VLOOKUP(Table_Demand___Community_frontsheet[[#This Row],[Service Type]],PathwayLookup!E:F,2,0)</f>
        <v>Reablement &amp; Rehabilitation in a bedded setting</v>
      </c>
      <c r="C83" t="s">
        <v>87</v>
      </c>
      <c r="D83" t="s">
        <v>723</v>
      </c>
      <c r="E83">
        <v>5</v>
      </c>
      <c r="F83">
        <v>5</v>
      </c>
      <c r="G83">
        <v>5</v>
      </c>
      <c r="H83">
        <v>5</v>
      </c>
      <c r="I83">
        <v>5</v>
      </c>
      <c r="J83">
        <v>5</v>
      </c>
      <c r="K83">
        <v>5</v>
      </c>
      <c r="L83">
        <v>5</v>
      </c>
      <c r="M83">
        <v>5</v>
      </c>
      <c r="N83">
        <v>5</v>
      </c>
      <c r="O83">
        <v>5</v>
      </c>
      <c r="P83">
        <v>5</v>
      </c>
    </row>
    <row r="84" spans="1:16" x14ac:dyDescent="0.3">
      <c r="A84" t="str">
        <f>Table_Demand___Community_frontsheet[[#This Row],[Name]]&amp;B84</f>
        <v>Bracknell ForestReablement &amp; Rehabilitation in a bedded setting</v>
      </c>
      <c r="B84" t="str">
        <f>VLOOKUP(Table_Demand___Community_frontsheet[[#This Row],[Service Type]],PathwayLookup!E:F,2,0)</f>
        <v>Reablement &amp; Rehabilitation in a bedded setting</v>
      </c>
      <c r="C84" t="s">
        <v>87</v>
      </c>
      <c r="D84" t="s">
        <v>725</v>
      </c>
      <c r="E84">
        <v>0</v>
      </c>
      <c r="F84">
        <v>0</v>
      </c>
      <c r="G84">
        <v>0</v>
      </c>
      <c r="H84">
        <v>0</v>
      </c>
      <c r="I84">
        <v>0</v>
      </c>
      <c r="J84">
        <v>0</v>
      </c>
      <c r="K84">
        <v>0</v>
      </c>
      <c r="L84">
        <v>0</v>
      </c>
      <c r="M84">
        <v>0</v>
      </c>
      <c r="N84">
        <v>0</v>
      </c>
      <c r="O84">
        <v>0</v>
      </c>
      <c r="P84">
        <v>0</v>
      </c>
    </row>
    <row r="85" spans="1:16" x14ac:dyDescent="0.3">
      <c r="A85" t="str">
        <f>Table_Demand___Community_frontsheet[[#This Row],[Name]]&amp;B85</f>
        <v>Bracknell ForestOther short-term social care</v>
      </c>
      <c r="B85" t="str">
        <f>VLOOKUP(Table_Demand___Community_frontsheet[[#This Row],[Service Type]],PathwayLookup!E:F,2,0)</f>
        <v>Other short-term social care</v>
      </c>
      <c r="C85" t="s">
        <v>87</v>
      </c>
      <c r="D85" t="s">
        <v>708</v>
      </c>
      <c r="E85">
        <v>0</v>
      </c>
      <c r="F85">
        <v>0</v>
      </c>
      <c r="G85">
        <v>0</v>
      </c>
      <c r="H85">
        <v>0</v>
      </c>
      <c r="I85">
        <v>0</v>
      </c>
      <c r="J85">
        <v>0</v>
      </c>
      <c r="K85">
        <v>0</v>
      </c>
      <c r="L85">
        <v>0</v>
      </c>
      <c r="M85">
        <v>0</v>
      </c>
      <c r="N85">
        <v>0</v>
      </c>
      <c r="O85">
        <v>0</v>
      </c>
      <c r="P85">
        <v>0</v>
      </c>
    </row>
    <row r="86" spans="1:16" x14ac:dyDescent="0.3">
      <c r="A86" t="str">
        <f>Table_Demand___Community_frontsheet[[#This Row],[Name]]&amp;B86</f>
        <v>BradfordSocial support (including VCS)</v>
      </c>
      <c r="B86" t="str">
        <f>VLOOKUP(Table_Demand___Community_frontsheet[[#This Row],[Service Type]],PathwayLookup!E:F,2,0)</f>
        <v>Social support (including VCS)</v>
      </c>
      <c r="C86" t="s">
        <v>89</v>
      </c>
      <c r="D86" t="s">
        <v>704</v>
      </c>
      <c r="E86">
        <v>178</v>
      </c>
      <c r="F86">
        <v>178</v>
      </c>
      <c r="G86">
        <v>178</v>
      </c>
      <c r="H86">
        <v>178</v>
      </c>
      <c r="I86">
        <v>178</v>
      </c>
      <c r="J86">
        <v>178</v>
      </c>
      <c r="K86">
        <v>178</v>
      </c>
      <c r="L86">
        <v>178</v>
      </c>
      <c r="M86">
        <v>178</v>
      </c>
      <c r="N86">
        <v>178</v>
      </c>
      <c r="O86">
        <v>178</v>
      </c>
      <c r="P86">
        <v>178</v>
      </c>
    </row>
    <row r="87" spans="1:16" x14ac:dyDescent="0.3">
      <c r="A87" t="str">
        <f>Table_Demand___Community_frontsheet[[#This Row],[Name]]&amp;B87</f>
        <v>BradfordUrgent Community Response</v>
      </c>
      <c r="B87" t="str">
        <f>VLOOKUP(Table_Demand___Community_frontsheet[[#This Row],[Service Type]],PathwayLookup!E:F,2,0)</f>
        <v>Urgent Community Response</v>
      </c>
      <c r="C87" t="s">
        <v>89</v>
      </c>
      <c r="D87" t="s">
        <v>705</v>
      </c>
      <c r="E87">
        <v>324</v>
      </c>
      <c r="F87">
        <v>324</v>
      </c>
      <c r="G87">
        <v>324</v>
      </c>
      <c r="H87">
        <v>340</v>
      </c>
      <c r="I87">
        <v>340</v>
      </c>
      <c r="J87">
        <v>340</v>
      </c>
      <c r="K87">
        <v>357</v>
      </c>
      <c r="L87">
        <v>357</v>
      </c>
      <c r="M87">
        <v>357</v>
      </c>
      <c r="N87">
        <v>373</v>
      </c>
      <c r="O87">
        <v>373</v>
      </c>
      <c r="P87">
        <v>373</v>
      </c>
    </row>
    <row r="88" spans="1:16" x14ac:dyDescent="0.3">
      <c r="A88" t="str">
        <f>Table_Demand___Community_frontsheet[[#This Row],[Name]]&amp;B88</f>
        <v>BradfordReablement &amp; Rehabilitation at home</v>
      </c>
      <c r="B88" t="str">
        <f>VLOOKUP(Table_Demand___Community_frontsheet[[#This Row],[Service Type]],PathwayLookup!E:F,2,0)</f>
        <v>Reablement &amp; Rehabilitation at home</v>
      </c>
      <c r="C88" t="s">
        <v>89</v>
      </c>
      <c r="D88" t="s">
        <v>720</v>
      </c>
      <c r="E88">
        <v>127</v>
      </c>
      <c r="F88">
        <v>161</v>
      </c>
      <c r="G88">
        <v>132</v>
      </c>
      <c r="H88">
        <v>117</v>
      </c>
      <c r="I88">
        <v>128</v>
      </c>
      <c r="J88">
        <v>141</v>
      </c>
      <c r="K88">
        <v>137</v>
      </c>
      <c r="L88">
        <v>136</v>
      </c>
      <c r="M88">
        <v>114</v>
      </c>
      <c r="N88">
        <v>171</v>
      </c>
      <c r="O88">
        <v>147</v>
      </c>
      <c r="P88">
        <v>142</v>
      </c>
    </row>
    <row r="89" spans="1:16" x14ac:dyDescent="0.3">
      <c r="A89" t="str">
        <f>Table_Demand___Community_frontsheet[[#This Row],[Name]]&amp;B89</f>
        <v>BradfordReablement &amp; Rehabilitation at home</v>
      </c>
      <c r="B89" t="str">
        <f>VLOOKUP(Table_Demand___Community_frontsheet[[#This Row],[Service Type]],PathwayLookup!E:F,2,0)</f>
        <v>Reablement &amp; Rehabilitation at home</v>
      </c>
      <c r="C89" t="s">
        <v>89</v>
      </c>
      <c r="D89" t="s">
        <v>721</v>
      </c>
    </row>
    <row r="90" spans="1:16" x14ac:dyDescent="0.3">
      <c r="A90" t="str">
        <f>Table_Demand___Community_frontsheet[[#This Row],[Name]]&amp;B90</f>
        <v>BradfordReablement &amp; Rehabilitation in a bedded setting</v>
      </c>
      <c r="B90" t="str">
        <f>VLOOKUP(Table_Demand___Community_frontsheet[[#This Row],[Service Type]],PathwayLookup!E:F,2,0)</f>
        <v>Reablement &amp; Rehabilitation in a bedded setting</v>
      </c>
      <c r="C90" t="s">
        <v>89</v>
      </c>
      <c r="D90" t="s">
        <v>723</v>
      </c>
      <c r="E90">
        <v>20</v>
      </c>
      <c r="F90">
        <v>37</v>
      </c>
      <c r="G90">
        <v>33</v>
      </c>
      <c r="H90">
        <v>27</v>
      </c>
      <c r="I90">
        <v>38</v>
      </c>
      <c r="J90">
        <v>29</v>
      </c>
      <c r="K90">
        <v>32</v>
      </c>
      <c r="L90">
        <v>39</v>
      </c>
      <c r="M90">
        <v>34</v>
      </c>
      <c r="N90">
        <v>22</v>
      </c>
      <c r="O90">
        <v>20</v>
      </c>
      <c r="P90">
        <v>16</v>
      </c>
    </row>
    <row r="91" spans="1:16" x14ac:dyDescent="0.3">
      <c r="A91" t="str">
        <f>Table_Demand___Community_frontsheet[[#This Row],[Name]]&amp;B91</f>
        <v>BradfordReablement &amp; Rehabilitation in a bedded setting</v>
      </c>
      <c r="B91" t="str">
        <f>VLOOKUP(Table_Demand___Community_frontsheet[[#This Row],[Service Type]],PathwayLookup!E:F,2,0)</f>
        <v>Reablement &amp; Rehabilitation in a bedded setting</v>
      </c>
      <c r="C91" t="s">
        <v>89</v>
      </c>
      <c r="D91" t="s">
        <v>725</v>
      </c>
      <c r="E91">
        <v>5</v>
      </c>
      <c r="F91">
        <v>5</v>
      </c>
      <c r="G91">
        <v>5</v>
      </c>
      <c r="H91">
        <v>5</v>
      </c>
      <c r="I91">
        <v>5</v>
      </c>
      <c r="J91">
        <v>5</v>
      </c>
      <c r="K91">
        <v>5</v>
      </c>
      <c r="L91">
        <v>5</v>
      </c>
      <c r="M91">
        <v>5</v>
      </c>
      <c r="N91">
        <v>5</v>
      </c>
      <c r="O91">
        <v>5</v>
      </c>
      <c r="P91">
        <v>5</v>
      </c>
    </row>
    <row r="92" spans="1:16" x14ac:dyDescent="0.3">
      <c r="A92" t="str">
        <f>Table_Demand___Community_frontsheet[[#This Row],[Name]]&amp;B92</f>
        <v>BradfordOther short-term social care</v>
      </c>
      <c r="B92" t="str">
        <f>VLOOKUP(Table_Demand___Community_frontsheet[[#This Row],[Service Type]],PathwayLookup!E:F,2,0)</f>
        <v>Other short-term social care</v>
      </c>
      <c r="C92" t="s">
        <v>89</v>
      </c>
      <c r="D92" t="s">
        <v>708</v>
      </c>
    </row>
    <row r="93" spans="1:16" x14ac:dyDescent="0.3">
      <c r="A93" t="str">
        <f>Table_Demand___Community_frontsheet[[#This Row],[Name]]&amp;B93</f>
        <v>BrentSocial support (including VCS)</v>
      </c>
      <c r="B93" t="str">
        <f>VLOOKUP(Table_Demand___Community_frontsheet[[#This Row],[Service Type]],PathwayLookup!E:F,2,0)</f>
        <v>Social support (including VCS)</v>
      </c>
      <c r="C93" t="s">
        <v>91</v>
      </c>
      <c r="D93" t="s">
        <v>704</v>
      </c>
      <c r="E93">
        <v>209</v>
      </c>
      <c r="F93">
        <v>385</v>
      </c>
      <c r="G93">
        <v>593</v>
      </c>
      <c r="H93">
        <v>200</v>
      </c>
      <c r="I93">
        <v>347</v>
      </c>
      <c r="J93">
        <v>347</v>
      </c>
      <c r="K93">
        <v>209</v>
      </c>
      <c r="L93">
        <v>385</v>
      </c>
      <c r="M93">
        <v>593</v>
      </c>
      <c r="N93">
        <v>200</v>
      </c>
      <c r="O93">
        <v>347</v>
      </c>
      <c r="P93">
        <v>347</v>
      </c>
    </row>
    <row r="94" spans="1:16" x14ac:dyDescent="0.3">
      <c r="A94" t="str">
        <f>Table_Demand___Community_frontsheet[[#This Row],[Name]]&amp;B94</f>
        <v>BrentUrgent Community Response</v>
      </c>
      <c r="B94" t="str">
        <f>VLOOKUP(Table_Demand___Community_frontsheet[[#This Row],[Service Type]],PathwayLookup!E:F,2,0)</f>
        <v>Urgent Community Response</v>
      </c>
      <c r="C94" t="s">
        <v>91</v>
      </c>
      <c r="D94" t="s">
        <v>705</v>
      </c>
      <c r="E94">
        <v>397</v>
      </c>
      <c r="F94">
        <v>397</v>
      </c>
      <c r="G94">
        <v>397</v>
      </c>
      <c r="H94">
        <v>397</v>
      </c>
      <c r="I94">
        <v>397</v>
      </c>
      <c r="J94">
        <v>397</v>
      </c>
      <c r="K94">
        <v>397</v>
      </c>
      <c r="L94">
        <v>397</v>
      </c>
      <c r="M94">
        <v>397</v>
      </c>
      <c r="N94">
        <v>397</v>
      </c>
      <c r="O94">
        <v>397</v>
      </c>
      <c r="P94">
        <v>397</v>
      </c>
    </row>
    <row r="95" spans="1:16" x14ac:dyDescent="0.3">
      <c r="A95" t="str">
        <f>Table_Demand___Community_frontsheet[[#This Row],[Name]]&amp;B95</f>
        <v>BrentReablement &amp; Rehabilitation at home</v>
      </c>
      <c r="B95" t="str">
        <f>VLOOKUP(Table_Demand___Community_frontsheet[[#This Row],[Service Type]],PathwayLookup!E:F,2,0)</f>
        <v>Reablement &amp; Rehabilitation at home</v>
      </c>
      <c r="C95" t="s">
        <v>91</v>
      </c>
      <c r="D95" t="s">
        <v>720</v>
      </c>
      <c r="E95">
        <v>50</v>
      </c>
      <c r="F95">
        <v>45</v>
      </c>
      <c r="G95">
        <v>45</v>
      </c>
      <c r="H95">
        <v>45</v>
      </c>
      <c r="I95">
        <v>50</v>
      </c>
      <c r="J95">
        <v>45</v>
      </c>
      <c r="K95">
        <v>50</v>
      </c>
      <c r="L95">
        <v>45</v>
      </c>
      <c r="M95">
        <v>45</v>
      </c>
      <c r="N95">
        <v>45</v>
      </c>
      <c r="O95">
        <v>50</v>
      </c>
      <c r="P95">
        <v>45</v>
      </c>
    </row>
    <row r="96" spans="1:16" x14ac:dyDescent="0.3">
      <c r="A96" t="str">
        <f>Table_Demand___Community_frontsheet[[#This Row],[Name]]&amp;B96</f>
        <v>BrentReablement &amp; Rehabilitation at home</v>
      </c>
      <c r="B96" t="str">
        <f>VLOOKUP(Table_Demand___Community_frontsheet[[#This Row],[Service Type]],PathwayLookup!E:F,2,0)</f>
        <v>Reablement &amp; Rehabilitation at home</v>
      </c>
      <c r="C96" t="s">
        <v>91</v>
      </c>
      <c r="D96" t="s">
        <v>721</v>
      </c>
      <c r="E96">
        <v>450</v>
      </c>
      <c r="F96">
        <v>450</v>
      </c>
      <c r="G96">
        <v>450</v>
      </c>
      <c r="H96">
        <v>450</v>
      </c>
      <c r="I96">
        <v>450</v>
      </c>
      <c r="J96">
        <v>450</v>
      </c>
      <c r="K96">
        <v>450</v>
      </c>
      <c r="L96">
        <v>450</v>
      </c>
      <c r="M96">
        <v>450</v>
      </c>
      <c r="N96">
        <v>450</v>
      </c>
      <c r="O96">
        <v>450</v>
      </c>
      <c r="P96">
        <v>450</v>
      </c>
    </row>
    <row r="97" spans="1:16" x14ac:dyDescent="0.3">
      <c r="A97" t="str">
        <f>Table_Demand___Community_frontsheet[[#This Row],[Name]]&amp;B97</f>
        <v>BrentReablement &amp; Rehabilitation in a bedded setting</v>
      </c>
      <c r="B97" t="str">
        <f>VLOOKUP(Table_Demand___Community_frontsheet[[#This Row],[Service Type]],PathwayLookup!E:F,2,0)</f>
        <v>Reablement &amp; Rehabilitation in a bedded setting</v>
      </c>
      <c r="C97" t="s">
        <v>91</v>
      </c>
      <c r="D97" t="s">
        <v>723</v>
      </c>
      <c r="E97">
        <v>0</v>
      </c>
      <c r="F97">
        <v>0</v>
      </c>
      <c r="G97">
        <v>0</v>
      </c>
      <c r="H97">
        <v>0</v>
      </c>
      <c r="I97">
        <v>0</v>
      </c>
      <c r="J97">
        <v>0</v>
      </c>
      <c r="K97">
        <v>0</v>
      </c>
      <c r="L97">
        <v>0</v>
      </c>
      <c r="M97">
        <v>0</v>
      </c>
      <c r="N97">
        <v>0</v>
      </c>
      <c r="O97">
        <v>0</v>
      </c>
      <c r="P97">
        <v>0</v>
      </c>
    </row>
    <row r="98" spans="1:16" x14ac:dyDescent="0.3">
      <c r="A98" t="str">
        <f>Table_Demand___Community_frontsheet[[#This Row],[Name]]&amp;B98</f>
        <v>BrentReablement &amp; Rehabilitation in a bedded setting</v>
      </c>
      <c r="B98" t="str">
        <f>VLOOKUP(Table_Demand___Community_frontsheet[[#This Row],[Service Type]],PathwayLookup!E:F,2,0)</f>
        <v>Reablement &amp; Rehabilitation in a bedded setting</v>
      </c>
      <c r="C98" t="s">
        <v>91</v>
      </c>
      <c r="D98" t="s">
        <v>725</v>
      </c>
      <c r="E98">
        <v>19</v>
      </c>
      <c r="F98">
        <v>19</v>
      </c>
      <c r="G98">
        <v>19</v>
      </c>
      <c r="H98">
        <v>19</v>
      </c>
      <c r="I98">
        <v>19</v>
      </c>
      <c r="J98">
        <v>19</v>
      </c>
      <c r="K98">
        <v>19</v>
      </c>
      <c r="L98">
        <v>19</v>
      </c>
      <c r="M98">
        <v>19</v>
      </c>
      <c r="N98">
        <v>19</v>
      </c>
      <c r="O98">
        <v>19</v>
      </c>
      <c r="P98">
        <v>19</v>
      </c>
    </row>
    <row r="99" spans="1:16" x14ac:dyDescent="0.3">
      <c r="A99" t="str">
        <f>Table_Demand___Community_frontsheet[[#This Row],[Name]]&amp;B99</f>
        <v>BrentOther short-term social care</v>
      </c>
      <c r="B99" t="str">
        <f>VLOOKUP(Table_Demand___Community_frontsheet[[#This Row],[Service Type]],PathwayLookup!E:F,2,0)</f>
        <v>Other short-term social care</v>
      </c>
      <c r="C99" t="s">
        <v>91</v>
      </c>
      <c r="D99" t="s">
        <v>708</v>
      </c>
      <c r="E99">
        <v>0</v>
      </c>
      <c r="F99">
        <v>0</v>
      </c>
      <c r="G99">
        <v>0</v>
      </c>
      <c r="H99">
        <v>0</v>
      </c>
      <c r="I99">
        <v>0</v>
      </c>
      <c r="J99">
        <v>0</v>
      </c>
      <c r="K99">
        <v>0</v>
      </c>
      <c r="L99">
        <v>0</v>
      </c>
      <c r="M99">
        <v>0</v>
      </c>
      <c r="N99">
        <v>0</v>
      </c>
      <c r="O99">
        <v>0</v>
      </c>
      <c r="P99">
        <v>0</v>
      </c>
    </row>
    <row r="100" spans="1:16" x14ac:dyDescent="0.3">
      <c r="A100" t="str">
        <f>Table_Demand___Community_frontsheet[[#This Row],[Name]]&amp;B100</f>
        <v>Brighton and HoveSocial support (including VCS)</v>
      </c>
      <c r="B100" t="str">
        <f>VLOOKUP(Table_Demand___Community_frontsheet[[#This Row],[Service Type]],PathwayLookup!E:F,2,0)</f>
        <v>Social support (including VCS)</v>
      </c>
      <c r="C100" t="s">
        <v>93</v>
      </c>
      <c r="D100" t="s">
        <v>704</v>
      </c>
      <c r="E100">
        <v>0</v>
      </c>
      <c r="F100">
        <v>0</v>
      </c>
      <c r="G100">
        <v>0</v>
      </c>
      <c r="H100">
        <v>0</v>
      </c>
      <c r="I100">
        <v>0</v>
      </c>
      <c r="J100">
        <v>0</v>
      </c>
      <c r="K100">
        <v>0</v>
      </c>
      <c r="L100">
        <v>0</v>
      </c>
      <c r="M100">
        <v>0</v>
      </c>
      <c r="N100">
        <v>0</v>
      </c>
      <c r="O100">
        <v>0</v>
      </c>
      <c r="P100">
        <v>0</v>
      </c>
    </row>
    <row r="101" spans="1:16" x14ac:dyDescent="0.3">
      <c r="A101" t="str">
        <f>Table_Demand___Community_frontsheet[[#This Row],[Name]]&amp;B101</f>
        <v>Brighton and HoveUrgent Community Response</v>
      </c>
      <c r="B101" t="str">
        <f>VLOOKUP(Table_Demand___Community_frontsheet[[#This Row],[Service Type]],PathwayLookup!E:F,2,0)</f>
        <v>Urgent Community Response</v>
      </c>
      <c r="C101" t="s">
        <v>93</v>
      </c>
      <c r="D101" t="s">
        <v>705</v>
      </c>
      <c r="E101">
        <v>251.23809523809521</v>
      </c>
      <c r="F101">
        <v>259.61269841269836</v>
      </c>
      <c r="G101">
        <v>251.23809523809521</v>
      </c>
      <c r="H101">
        <v>259.61269841269836</v>
      </c>
      <c r="I101">
        <v>259.61269841269836</v>
      </c>
      <c r="J101">
        <v>251.23809523809521</v>
      </c>
      <c r="K101">
        <v>259.61269841269836</v>
      </c>
      <c r="L101">
        <v>251.23809523809521</v>
      </c>
      <c r="M101">
        <v>259.61269841269836</v>
      </c>
      <c r="N101">
        <v>259.61269841269836</v>
      </c>
      <c r="O101">
        <v>242.86349206349203</v>
      </c>
      <c r="P101">
        <v>259.61269841269836</v>
      </c>
    </row>
    <row r="102" spans="1:16" x14ac:dyDescent="0.3">
      <c r="A102" t="str">
        <f>Table_Demand___Community_frontsheet[[#This Row],[Name]]&amp;B102</f>
        <v>Brighton and HoveReablement &amp; Rehabilitation at home</v>
      </c>
      <c r="B102" t="str">
        <f>VLOOKUP(Table_Demand___Community_frontsheet[[#This Row],[Service Type]],PathwayLookup!E:F,2,0)</f>
        <v>Reablement &amp; Rehabilitation at home</v>
      </c>
      <c r="C102" t="s">
        <v>93</v>
      </c>
      <c r="D102" t="s">
        <v>720</v>
      </c>
      <c r="E102">
        <v>0</v>
      </c>
      <c r="F102">
        <v>0</v>
      </c>
      <c r="G102">
        <v>0</v>
      </c>
      <c r="H102">
        <v>0</v>
      </c>
      <c r="I102">
        <v>0</v>
      </c>
      <c r="J102">
        <v>0</v>
      </c>
      <c r="K102">
        <v>0</v>
      </c>
      <c r="L102">
        <v>0</v>
      </c>
      <c r="M102">
        <v>0</v>
      </c>
      <c r="N102">
        <v>0</v>
      </c>
      <c r="O102">
        <v>0</v>
      </c>
      <c r="P102">
        <v>0</v>
      </c>
    </row>
    <row r="103" spans="1:16" x14ac:dyDescent="0.3">
      <c r="A103" t="str">
        <f>Table_Demand___Community_frontsheet[[#This Row],[Name]]&amp;B103</f>
        <v>Brighton and HoveReablement &amp; Rehabilitation at home</v>
      </c>
      <c r="B103" t="str">
        <f>VLOOKUP(Table_Demand___Community_frontsheet[[#This Row],[Service Type]],PathwayLookup!E:F,2,0)</f>
        <v>Reablement &amp; Rehabilitation at home</v>
      </c>
      <c r="C103" t="s">
        <v>93</v>
      </c>
      <c r="D103" t="s">
        <v>721</v>
      </c>
      <c r="E103">
        <v>171</v>
      </c>
      <c r="F103">
        <v>176.70000000000002</v>
      </c>
      <c r="G103">
        <v>171</v>
      </c>
      <c r="H103">
        <v>176.70000000000002</v>
      </c>
      <c r="I103">
        <v>176.70000000000002</v>
      </c>
      <c r="J103">
        <v>171</v>
      </c>
      <c r="K103">
        <v>176.70000000000002</v>
      </c>
      <c r="L103">
        <v>171</v>
      </c>
      <c r="M103">
        <v>176.70000000000002</v>
      </c>
      <c r="N103">
        <v>176.70000000000002</v>
      </c>
      <c r="O103">
        <v>165.3</v>
      </c>
      <c r="P103">
        <v>176.70000000000002</v>
      </c>
    </row>
    <row r="104" spans="1:16" x14ac:dyDescent="0.3">
      <c r="A104" t="str">
        <f>Table_Demand___Community_frontsheet[[#This Row],[Name]]&amp;B104</f>
        <v>Brighton and HoveReablement &amp; Rehabilitation in a bedded setting</v>
      </c>
      <c r="B104" t="str">
        <f>VLOOKUP(Table_Demand___Community_frontsheet[[#This Row],[Service Type]],PathwayLookup!E:F,2,0)</f>
        <v>Reablement &amp; Rehabilitation in a bedded setting</v>
      </c>
      <c r="C104" t="s">
        <v>93</v>
      </c>
      <c r="D104" t="s">
        <v>723</v>
      </c>
      <c r="E104">
        <v>0</v>
      </c>
      <c r="F104">
        <v>0</v>
      </c>
      <c r="G104">
        <v>0</v>
      </c>
      <c r="H104">
        <v>0</v>
      </c>
      <c r="I104">
        <v>0</v>
      </c>
      <c r="J104">
        <v>0</v>
      </c>
      <c r="K104">
        <v>0</v>
      </c>
      <c r="L104">
        <v>0</v>
      </c>
      <c r="M104">
        <v>0</v>
      </c>
      <c r="N104">
        <v>0</v>
      </c>
      <c r="O104">
        <v>0</v>
      </c>
      <c r="P104">
        <v>0</v>
      </c>
    </row>
    <row r="105" spans="1:16" x14ac:dyDescent="0.3">
      <c r="A105" t="str">
        <f>Table_Demand___Community_frontsheet[[#This Row],[Name]]&amp;B105</f>
        <v>Brighton and HoveReablement &amp; Rehabilitation in a bedded setting</v>
      </c>
      <c r="B105" t="str">
        <f>VLOOKUP(Table_Demand___Community_frontsheet[[#This Row],[Service Type]],PathwayLookup!E:F,2,0)</f>
        <v>Reablement &amp; Rehabilitation in a bedded setting</v>
      </c>
      <c r="C105" t="s">
        <v>93</v>
      </c>
      <c r="D105" t="s">
        <v>725</v>
      </c>
      <c r="E105">
        <v>0</v>
      </c>
      <c r="F105">
        <v>0</v>
      </c>
      <c r="G105">
        <v>0</v>
      </c>
      <c r="H105">
        <v>0</v>
      </c>
      <c r="I105">
        <v>0</v>
      </c>
      <c r="J105">
        <v>0</v>
      </c>
      <c r="K105">
        <v>0</v>
      </c>
      <c r="L105">
        <v>0</v>
      </c>
      <c r="M105">
        <v>0</v>
      </c>
      <c r="N105">
        <v>0</v>
      </c>
      <c r="O105">
        <v>0</v>
      </c>
      <c r="P105">
        <v>0</v>
      </c>
    </row>
    <row r="106" spans="1:16" x14ac:dyDescent="0.3">
      <c r="A106" t="str">
        <f>Table_Demand___Community_frontsheet[[#This Row],[Name]]&amp;B106</f>
        <v>Brighton and HoveOther short-term social care</v>
      </c>
      <c r="B106" t="str">
        <f>VLOOKUP(Table_Demand___Community_frontsheet[[#This Row],[Service Type]],PathwayLookup!E:F,2,0)</f>
        <v>Other short-term social care</v>
      </c>
      <c r="C106" t="s">
        <v>93</v>
      </c>
      <c r="D106" t="s">
        <v>708</v>
      </c>
      <c r="E106">
        <v>0</v>
      </c>
      <c r="F106">
        <v>0</v>
      </c>
      <c r="G106">
        <v>0</v>
      </c>
      <c r="H106">
        <v>0</v>
      </c>
      <c r="I106">
        <v>0</v>
      </c>
      <c r="J106">
        <v>0</v>
      </c>
      <c r="K106">
        <v>0</v>
      </c>
      <c r="L106">
        <v>0</v>
      </c>
      <c r="M106">
        <v>0</v>
      </c>
      <c r="N106">
        <v>0</v>
      </c>
      <c r="O106">
        <v>0</v>
      </c>
      <c r="P106">
        <v>0</v>
      </c>
    </row>
    <row r="107" spans="1:16" x14ac:dyDescent="0.3">
      <c r="A107" t="str">
        <f>Table_Demand___Community_frontsheet[[#This Row],[Name]]&amp;B107</f>
        <v>Bristol, City ofSocial support (including VCS)</v>
      </c>
      <c r="B107" t="str">
        <f>VLOOKUP(Table_Demand___Community_frontsheet[[#This Row],[Service Type]],PathwayLookup!E:F,2,0)</f>
        <v>Social support (including VCS)</v>
      </c>
      <c r="C107" t="s">
        <v>95</v>
      </c>
      <c r="D107" t="s">
        <v>704</v>
      </c>
      <c r="E107">
        <v>17</v>
      </c>
      <c r="F107">
        <v>17</v>
      </c>
      <c r="G107">
        <v>17</v>
      </c>
      <c r="H107">
        <v>17</v>
      </c>
      <c r="I107">
        <v>17</v>
      </c>
      <c r="J107">
        <v>17</v>
      </c>
      <c r="K107">
        <v>17</v>
      </c>
      <c r="L107">
        <v>17</v>
      </c>
      <c r="M107">
        <v>17</v>
      </c>
      <c r="N107">
        <v>17</v>
      </c>
      <c r="O107">
        <v>17</v>
      </c>
      <c r="P107">
        <v>17</v>
      </c>
    </row>
    <row r="108" spans="1:16" x14ac:dyDescent="0.3">
      <c r="A108" t="str">
        <f>Table_Demand___Community_frontsheet[[#This Row],[Name]]&amp;B108</f>
        <v>Bristol, City ofUrgent Community Response</v>
      </c>
      <c r="B108" t="str">
        <f>VLOOKUP(Table_Demand___Community_frontsheet[[#This Row],[Service Type]],PathwayLookup!E:F,2,0)</f>
        <v>Urgent Community Response</v>
      </c>
      <c r="C108" t="s">
        <v>95</v>
      </c>
      <c r="D108" t="s">
        <v>705</v>
      </c>
      <c r="E108">
        <v>565</v>
      </c>
      <c r="F108">
        <v>576</v>
      </c>
      <c r="G108">
        <v>564</v>
      </c>
      <c r="H108">
        <v>576</v>
      </c>
      <c r="I108">
        <v>575</v>
      </c>
      <c r="J108">
        <v>563</v>
      </c>
      <c r="K108">
        <v>589</v>
      </c>
      <c r="L108">
        <v>578</v>
      </c>
      <c r="M108">
        <v>590</v>
      </c>
      <c r="N108">
        <v>604</v>
      </c>
      <c r="O108">
        <v>581</v>
      </c>
      <c r="P108">
        <v>603</v>
      </c>
    </row>
    <row r="109" spans="1:16" x14ac:dyDescent="0.3">
      <c r="A109" t="str">
        <f>Table_Demand___Community_frontsheet[[#This Row],[Name]]&amp;B109</f>
        <v>Bristol, City ofReablement &amp; Rehabilitation at home</v>
      </c>
      <c r="B109" t="str">
        <f>VLOOKUP(Table_Demand___Community_frontsheet[[#This Row],[Service Type]],PathwayLookup!E:F,2,0)</f>
        <v>Reablement &amp; Rehabilitation at home</v>
      </c>
      <c r="C109" t="s">
        <v>95</v>
      </c>
      <c r="D109" t="s">
        <v>720</v>
      </c>
      <c r="E109">
        <v>45</v>
      </c>
      <c r="F109">
        <v>43</v>
      </c>
      <c r="G109">
        <v>43</v>
      </c>
      <c r="H109">
        <v>41</v>
      </c>
      <c r="I109">
        <v>39</v>
      </c>
      <c r="J109">
        <v>39</v>
      </c>
      <c r="K109">
        <v>39</v>
      </c>
      <c r="L109">
        <v>42</v>
      </c>
      <c r="M109">
        <v>42</v>
      </c>
      <c r="N109">
        <v>43</v>
      </c>
      <c r="O109">
        <v>43</v>
      </c>
      <c r="P109">
        <v>38</v>
      </c>
    </row>
    <row r="110" spans="1:16" x14ac:dyDescent="0.3">
      <c r="A110" t="str">
        <f>Table_Demand___Community_frontsheet[[#This Row],[Name]]&amp;B110</f>
        <v>Bristol, City ofReablement &amp; Rehabilitation at home</v>
      </c>
      <c r="B110" t="str">
        <f>VLOOKUP(Table_Demand___Community_frontsheet[[#This Row],[Service Type]],PathwayLookup!E:F,2,0)</f>
        <v>Reablement &amp; Rehabilitation at home</v>
      </c>
      <c r="C110" t="s">
        <v>95</v>
      </c>
      <c r="D110" t="s">
        <v>721</v>
      </c>
    </row>
    <row r="111" spans="1:16" x14ac:dyDescent="0.3">
      <c r="A111" t="str">
        <f>Table_Demand___Community_frontsheet[[#This Row],[Name]]&amp;B111</f>
        <v>Bristol, City ofReablement &amp; Rehabilitation in a bedded setting</v>
      </c>
      <c r="B111" t="str">
        <f>VLOOKUP(Table_Demand___Community_frontsheet[[#This Row],[Service Type]],PathwayLookup!E:F,2,0)</f>
        <v>Reablement &amp; Rehabilitation in a bedded setting</v>
      </c>
      <c r="C111" t="s">
        <v>95</v>
      </c>
      <c r="D111" t="s">
        <v>723</v>
      </c>
    </row>
    <row r="112" spans="1:16" x14ac:dyDescent="0.3">
      <c r="A112" t="str">
        <f>Table_Demand___Community_frontsheet[[#This Row],[Name]]&amp;B112</f>
        <v>Bristol, City ofReablement &amp; Rehabilitation in a bedded setting</v>
      </c>
      <c r="B112" t="str">
        <f>VLOOKUP(Table_Demand___Community_frontsheet[[#This Row],[Service Type]],PathwayLookup!E:F,2,0)</f>
        <v>Reablement &amp; Rehabilitation in a bedded setting</v>
      </c>
      <c r="C112" t="s">
        <v>95</v>
      </c>
      <c r="D112" t="s">
        <v>725</v>
      </c>
    </row>
    <row r="113" spans="1:16" x14ac:dyDescent="0.3">
      <c r="A113" t="str">
        <f>Table_Demand___Community_frontsheet[[#This Row],[Name]]&amp;B113</f>
        <v>Bristol, City ofOther short-term social care</v>
      </c>
      <c r="B113" t="str">
        <f>VLOOKUP(Table_Demand___Community_frontsheet[[#This Row],[Service Type]],PathwayLookup!E:F,2,0)</f>
        <v>Other short-term social care</v>
      </c>
      <c r="C113" t="s">
        <v>95</v>
      </c>
      <c r="D113" t="s">
        <v>708</v>
      </c>
    </row>
    <row r="114" spans="1:16" x14ac:dyDescent="0.3">
      <c r="A114" t="str">
        <f>Table_Demand___Community_frontsheet[[#This Row],[Name]]&amp;B114</f>
        <v>BromleySocial support (including VCS)</v>
      </c>
      <c r="B114" t="str">
        <f>VLOOKUP(Table_Demand___Community_frontsheet[[#This Row],[Service Type]],PathwayLookup!E:F,2,0)</f>
        <v>Social support (including VCS)</v>
      </c>
      <c r="C114" t="s">
        <v>97</v>
      </c>
      <c r="D114" t="s">
        <v>704</v>
      </c>
      <c r="E114">
        <v>833</v>
      </c>
      <c r="F114">
        <v>833</v>
      </c>
      <c r="G114">
        <v>833</v>
      </c>
      <c r="H114">
        <v>833</v>
      </c>
      <c r="I114">
        <v>833</v>
      </c>
      <c r="J114">
        <v>833</v>
      </c>
      <c r="K114">
        <v>833</v>
      </c>
      <c r="L114">
        <v>833</v>
      </c>
      <c r="M114">
        <v>833</v>
      </c>
      <c r="N114">
        <v>833</v>
      </c>
      <c r="O114">
        <v>833</v>
      </c>
      <c r="P114">
        <v>833</v>
      </c>
    </row>
    <row r="115" spans="1:16" x14ac:dyDescent="0.3">
      <c r="A115" t="str">
        <f>Table_Demand___Community_frontsheet[[#This Row],[Name]]&amp;B115</f>
        <v>BromleyUrgent Community Response</v>
      </c>
      <c r="B115" t="str">
        <f>VLOOKUP(Table_Demand___Community_frontsheet[[#This Row],[Service Type]],PathwayLookup!E:F,2,0)</f>
        <v>Urgent Community Response</v>
      </c>
      <c r="C115" t="s">
        <v>97</v>
      </c>
      <c r="D115" t="s">
        <v>705</v>
      </c>
      <c r="E115">
        <v>862</v>
      </c>
      <c r="F115">
        <v>862</v>
      </c>
      <c r="G115">
        <v>862</v>
      </c>
      <c r="H115">
        <v>862</v>
      </c>
      <c r="I115">
        <v>862</v>
      </c>
      <c r="J115">
        <v>862</v>
      </c>
      <c r="K115">
        <v>862</v>
      </c>
      <c r="L115">
        <v>862</v>
      </c>
      <c r="M115">
        <v>862</v>
      </c>
      <c r="N115">
        <v>862</v>
      </c>
      <c r="O115">
        <v>862</v>
      </c>
      <c r="P115">
        <v>862</v>
      </c>
    </row>
    <row r="116" spans="1:16" x14ac:dyDescent="0.3">
      <c r="A116" t="str">
        <f>Table_Demand___Community_frontsheet[[#This Row],[Name]]&amp;B116</f>
        <v>BromleyReablement &amp; Rehabilitation at home</v>
      </c>
      <c r="B116" t="str">
        <f>VLOOKUP(Table_Demand___Community_frontsheet[[#This Row],[Service Type]],PathwayLookup!E:F,2,0)</f>
        <v>Reablement &amp; Rehabilitation at home</v>
      </c>
      <c r="C116" t="s">
        <v>97</v>
      </c>
      <c r="D116" t="s">
        <v>720</v>
      </c>
      <c r="E116">
        <v>65</v>
      </c>
      <c r="F116">
        <v>65</v>
      </c>
      <c r="G116">
        <v>65</v>
      </c>
      <c r="H116">
        <v>65</v>
      </c>
      <c r="I116">
        <v>65</v>
      </c>
      <c r="J116">
        <v>65</v>
      </c>
      <c r="K116">
        <v>65</v>
      </c>
      <c r="L116">
        <v>65</v>
      </c>
      <c r="M116">
        <v>65</v>
      </c>
      <c r="N116">
        <v>65</v>
      </c>
      <c r="O116">
        <v>65</v>
      </c>
      <c r="P116">
        <v>65</v>
      </c>
    </row>
    <row r="117" spans="1:16" x14ac:dyDescent="0.3">
      <c r="A117" t="str">
        <f>Table_Demand___Community_frontsheet[[#This Row],[Name]]&amp;B117</f>
        <v>BromleyReablement &amp; Rehabilitation at home</v>
      </c>
      <c r="B117" t="str">
        <f>VLOOKUP(Table_Demand___Community_frontsheet[[#This Row],[Service Type]],PathwayLookup!E:F,2,0)</f>
        <v>Reablement &amp; Rehabilitation at home</v>
      </c>
      <c r="C117" t="s">
        <v>97</v>
      </c>
      <c r="D117" t="s">
        <v>721</v>
      </c>
      <c r="E117">
        <v>112</v>
      </c>
      <c r="F117">
        <v>112</v>
      </c>
      <c r="G117">
        <v>112</v>
      </c>
      <c r="H117">
        <v>112</v>
      </c>
      <c r="I117">
        <v>112</v>
      </c>
      <c r="J117">
        <v>112</v>
      </c>
      <c r="K117">
        <v>112</v>
      </c>
      <c r="L117">
        <v>112</v>
      </c>
      <c r="M117">
        <v>112</v>
      </c>
      <c r="N117">
        <v>112</v>
      </c>
      <c r="O117">
        <v>112</v>
      </c>
      <c r="P117">
        <v>112</v>
      </c>
    </row>
    <row r="118" spans="1:16" x14ac:dyDescent="0.3">
      <c r="A118" t="str">
        <f>Table_Demand___Community_frontsheet[[#This Row],[Name]]&amp;B118</f>
        <v>BromleyReablement &amp; Rehabilitation in a bedded setting</v>
      </c>
      <c r="B118" t="str">
        <f>VLOOKUP(Table_Demand___Community_frontsheet[[#This Row],[Service Type]],PathwayLookup!E:F,2,0)</f>
        <v>Reablement &amp; Rehabilitation in a bedded setting</v>
      </c>
      <c r="C118" t="s">
        <v>97</v>
      </c>
      <c r="D118" t="s">
        <v>723</v>
      </c>
      <c r="E118">
        <v>0</v>
      </c>
      <c r="F118">
        <v>0</v>
      </c>
      <c r="G118">
        <v>0</v>
      </c>
      <c r="H118">
        <v>0</v>
      </c>
      <c r="I118">
        <v>0</v>
      </c>
      <c r="J118">
        <v>0</v>
      </c>
      <c r="K118">
        <v>0</v>
      </c>
      <c r="L118">
        <v>0</v>
      </c>
      <c r="M118">
        <v>0</v>
      </c>
      <c r="N118">
        <v>0</v>
      </c>
      <c r="O118">
        <v>0</v>
      </c>
      <c r="P118">
        <v>0</v>
      </c>
    </row>
    <row r="119" spans="1:16" x14ac:dyDescent="0.3">
      <c r="A119" t="str">
        <f>Table_Demand___Community_frontsheet[[#This Row],[Name]]&amp;B119</f>
        <v>BromleyReablement &amp; Rehabilitation in a bedded setting</v>
      </c>
      <c r="B119" t="str">
        <f>VLOOKUP(Table_Demand___Community_frontsheet[[#This Row],[Service Type]],PathwayLookup!E:F,2,0)</f>
        <v>Reablement &amp; Rehabilitation in a bedded setting</v>
      </c>
      <c r="C119" t="s">
        <v>97</v>
      </c>
      <c r="D119" t="s">
        <v>725</v>
      </c>
      <c r="E119">
        <v>36</v>
      </c>
      <c r="F119">
        <v>36</v>
      </c>
      <c r="G119">
        <v>36</v>
      </c>
      <c r="H119">
        <v>36</v>
      </c>
      <c r="I119">
        <v>36</v>
      </c>
      <c r="J119">
        <v>36</v>
      </c>
      <c r="K119">
        <v>36</v>
      </c>
      <c r="L119">
        <v>36</v>
      </c>
      <c r="M119">
        <v>36</v>
      </c>
      <c r="N119">
        <v>36</v>
      </c>
      <c r="O119">
        <v>36</v>
      </c>
      <c r="P119">
        <v>36</v>
      </c>
    </row>
    <row r="120" spans="1:16" x14ac:dyDescent="0.3">
      <c r="A120" t="str">
        <f>Table_Demand___Community_frontsheet[[#This Row],[Name]]&amp;B120</f>
        <v>BromleyOther short-term social care</v>
      </c>
      <c r="B120" t="str">
        <f>VLOOKUP(Table_Demand___Community_frontsheet[[#This Row],[Service Type]],PathwayLookup!E:F,2,0)</f>
        <v>Other short-term social care</v>
      </c>
      <c r="C120" t="s">
        <v>97</v>
      </c>
      <c r="D120" t="s">
        <v>708</v>
      </c>
      <c r="E120">
        <v>0</v>
      </c>
      <c r="F120">
        <v>0</v>
      </c>
      <c r="G120">
        <v>0</v>
      </c>
      <c r="H120">
        <v>0</v>
      </c>
      <c r="I120">
        <v>0</v>
      </c>
      <c r="J120">
        <v>0</v>
      </c>
      <c r="K120">
        <v>0</v>
      </c>
      <c r="L120">
        <v>0</v>
      </c>
      <c r="M120">
        <v>0</v>
      </c>
      <c r="N120">
        <v>0</v>
      </c>
      <c r="O120">
        <v>0</v>
      </c>
      <c r="P120">
        <v>0</v>
      </c>
    </row>
    <row r="121" spans="1:16" x14ac:dyDescent="0.3">
      <c r="A121" t="str">
        <f>Table_Demand___Community_frontsheet[[#This Row],[Name]]&amp;B121</f>
        <v>BuckinghamshireSocial support (including VCS)</v>
      </c>
      <c r="B121" t="str">
        <f>VLOOKUP(Table_Demand___Community_frontsheet[[#This Row],[Service Type]],PathwayLookup!E:F,2,0)</f>
        <v>Social support (including VCS)</v>
      </c>
      <c r="C121" t="s">
        <v>99</v>
      </c>
      <c r="D121" t="s">
        <v>704</v>
      </c>
      <c r="E121">
        <v>33</v>
      </c>
      <c r="F121">
        <v>34</v>
      </c>
      <c r="G121">
        <v>28</v>
      </c>
      <c r="H121">
        <v>37</v>
      </c>
      <c r="I121">
        <v>29</v>
      </c>
      <c r="J121">
        <v>26</v>
      </c>
      <c r="K121">
        <v>29</v>
      </c>
      <c r="L121">
        <v>49</v>
      </c>
      <c r="M121">
        <v>35</v>
      </c>
      <c r="N121">
        <v>41</v>
      </c>
      <c r="O121">
        <v>27</v>
      </c>
      <c r="P121">
        <v>34</v>
      </c>
    </row>
    <row r="122" spans="1:16" x14ac:dyDescent="0.3">
      <c r="A122" t="str">
        <f>Table_Demand___Community_frontsheet[[#This Row],[Name]]&amp;B122</f>
        <v>BuckinghamshireUrgent Community Response</v>
      </c>
      <c r="B122" t="str">
        <f>VLOOKUP(Table_Demand___Community_frontsheet[[#This Row],[Service Type]],PathwayLookup!E:F,2,0)</f>
        <v>Urgent Community Response</v>
      </c>
      <c r="C122" t="s">
        <v>99</v>
      </c>
      <c r="D122" t="s">
        <v>705</v>
      </c>
      <c r="E122">
        <v>581</v>
      </c>
      <c r="F122">
        <v>581</v>
      </c>
      <c r="G122">
        <v>581</v>
      </c>
      <c r="H122">
        <v>581</v>
      </c>
      <c r="I122">
        <v>581</v>
      </c>
      <c r="J122">
        <v>581</v>
      </c>
      <c r="K122">
        <v>581</v>
      </c>
      <c r="L122">
        <v>581</v>
      </c>
      <c r="M122">
        <v>581</v>
      </c>
      <c r="N122">
        <v>581</v>
      </c>
      <c r="O122">
        <v>581</v>
      </c>
      <c r="P122">
        <v>581</v>
      </c>
    </row>
    <row r="123" spans="1:16" x14ac:dyDescent="0.3">
      <c r="A123" t="str">
        <f>Table_Demand___Community_frontsheet[[#This Row],[Name]]&amp;B123</f>
        <v>BuckinghamshireReablement &amp; Rehabilitation at home</v>
      </c>
      <c r="B123" t="str">
        <f>VLOOKUP(Table_Demand___Community_frontsheet[[#This Row],[Service Type]],PathwayLookup!E:F,2,0)</f>
        <v>Reablement &amp; Rehabilitation at home</v>
      </c>
      <c r="C123" t="s">
        <v>99</v>
      </c>
      <c r="D123" t="s">
        <v>720</v>
      </c>
      <c r="E123">
        <v>25</v>
      </c>
      <c r="F123">
        <v>25</v>
      </c>
      <c r="G123">
        <v>28</v>
      </c>
      <c r="H123">
        <v>28</v>
      </c>
      <c r="I123">
        <v>36</v>
      </c>
      <c r="J123">
        <v>36</v>
      </c>
      <c r="K123">
        <v>40</v>
      </c>
      <c r="L123">
        <v>42</v>
      </c>
      <c r="M123">
        <v>44</v>
      </c>
      <c r="N123">
        <v>49</v>
      </c>
      <c r="O123">
        <v>51</v>
      </c>
      <c r="P123">
        <v>51</v>
      </c>
    </row>
    <row r="124" spans="1:16" x14ac:dyDescent="0.3">
      <c r="A124" t="str">
        <f>Table_Demand___Community_frontsheet[[#This Row],[Name]]&amp;B124</f>
        <v>BuckinghamshireReablement &amp; Rehabilitation at home</v>
      </c>
      <c r="B124" t="str">
        <f>VLOOKUP(Table_Demand___Community_frontsheet[[#This Row],[Service Type]],PathwayLookup!E:F,2,0)</f>
        <v>Reablement &amp; Rehabilitation at home</v>
      </c>
      <c r="C124" t="s">
        <v>99</v>
      </c>
      <c r="D124" t="s">
        <v>721</v>
      </c>
      <c r="E124">
        <v>120</v>
      </c>
      <c r="F124">
        <v>120</v>
      </c>
      <c r="G124">
        <v>120</v>
      </c>
      <c r="H124">
        <v>120</v>
      </c>
      <c r="I124">
        <v>120</v>
      </c>
      <c r="J124">
        <v>120</v>
      </c>
      <c r="K124">
        <v>120</v>
      </c>
      <c r="L124">
        <v>120</v>
      </c>
      <c r="M124">
        <v>120</v>
      </c>
      <c r="N124">
        <v>120</v>
      </c>
      <c r="O124">
        <v>120</v>
      </c>
      <c r="P124">
        <v>120</v>
      </c>
    </row>
    <row r="125" spans="1:16" x14ac:dyDescent="0.3">
      <c r="A125" t="str">
        <f>Table_Demand___Community_frontsheet[[#This Row],[Name]]&amp;B125</f>
        <v>BuckinghamshireReablement &amp; Rehabilitation in a bedded setting</v>
      </c>
      <c r="B125" t="str">
        <f>VLOOKUP(Table_Demand___Community_frontsheet[[#This Row],[Service Type]],PathwayLookup!E:F,2,0)</f>
        <v>Reablement &amp; Rehabilitation in a bedded setting</v>
      </c>
      <c r="C125" t="s">
        <v>99</v>
      </c>
      <c r="D125" t="s">
        <v>723</v>
      </c>
      <c r="E125">
        <v>10</v>
      </c>
      <c r="F125">
        <v>10</v>
      </c>
      <c r="G125">
        <v>10</v>
      </c>
      <c r="H125">
        <v>10</v>
      </c>
      <c r="I125">
        <v>10</v>
      </c>
      <c r="J125">
        <v>10</v>
      </c>
      <c r="K125">
        <v>10</v>
      </c>
      <c r="L125">
        <v>10</v>
      </c>
      <c r="M125">
        <v>10</v>
      </c>
      <c r="N125">
        <v>10</v>
      </c>
      <c r="O125">
        <v>10</v>
      </c>
      <c r="P125">
        <v>10</v>
      </c>
    </row>
    <row r="126" spans="1:16" x14ac:dyDescent="0.3">
      <c r="A126" t="str">
        <f>Table_Demand___Community_frontsheet[[#This Row],[Name]]&amp;B126</f>
        <v>BuckinghamshireReablement &amp; Rehabilitation in a bedded setting</v>
      </c>
      <c r="B126" t="str">
        <f>VLOOKUP(Table_Demand___Community_frontsheet[[#This Row],[Service Type]],PathwayLookup!E:F,2,0)</f>
        <v>Reablement &amp; Rehabilitation in a bedded setting</v>
      </c>
      <c r="C126" t="s">
        <v>99</v>
      </c>
      <c r="D126" t="s">
        <v>725</v>
      </c>
      <c r="E126">
        <v>4</v>
      </c>
      <c r="F126">
        <v>4</v>
      </c>
      <c r="G126">
        <v>4</v>
      </c>
      <c r="H126">
        <v>4</v>
      </c>
      <c r="I126">
        <v>4</v>
      </c>
      <c r="J126">
        <v>4</v>
      </c>
      <c r="K126">
        <v>4</v>
      </c>
      <c r="L126">
        <v>4</v>
      </c>
      <c r="M126">
        <v>4</v>
      </c>
      <c r="N126">
        <v>4</v>
      </c>
      <c r="O126">
        <v>4</v>
      </c>
      <c r="P126">
        <v>4</v>
      </c>
    </row>
    <row r="127" spans="1:16" x14ac:dyDescent="0.3">
      <c r="A127" t="str">
        <f>Table_Demand___Community_frontsheet[[#This Row],[Name]]&amp;B127</f>
        <v>BuckinghamshireOther short-term social care</v>
      </c>
      <c r="B127" t="str">
        <f>VLOOKUP(Table_Demand___Community_frontsheet[[#This Row],[Service Type]],PathwayLookup!E:F,2,0)</f>
        <v>Other short-term social care</v>
      </c>
      <c r="C127" t="s">
        <v>99</v>
      </c>
      <c r="D127" t="s">
        <v>708</v>
      </c>
      <c r="E127">
        <v>0</v>
      </c>
      <c r="F127">
        <v>0</v>
      </c>
      <c r="G127">
        <v>0</v>
      </c>
      <c r="H127">
        <v>0</v>
      </c>
      <c r="I127">
        <v>0</v>
      </c>
      <c r="J127">
        <v>0</v>
      </c>
      <c r="K127">
        <v>0</v>
      </c>
      <c r="L127">
        <v>0</v>
      </c>
      <c r="M127">
        <v>0</v>
      </c>
      <c r="N127">
        <v>0</v>
      </c>
      <c r="O127">
        <v>0</v>
      </c>
      <c r="P127">
        <v>0</v>
      </c>
    </row>
    <row r="128" spans="1:16" x14ac:dyDescent="0.3">
      <c r="A128" t="str">
        <f>Table_Demand___Community_frontsheet[[#This Row],[Name]]&amp;B128</f>
        <v>BurySocial support (including VCS)</v>
      </c>
      <c r="B128" t="str">
        <f>VLOOKUP(Table_Demand___Community_frontsheet[[#This Row],[Service Type]],PathwayLookup!E:F,2,0)</f>
        <v>Social support (including VCS)</v>
      </c>
      <c r="C128" t="s">
        <v>101</v>
      </c>
      <c r="D128" t="s">
        <v>704</v>
      </c>
      <c r="E128">
        <v>3</v>
      </c>
      <c r="F128">
        <v>3</v>
      </c>
      <c r="G128">
        <v>4</v>
      </c>
      <c r="H128">
        <v>4</v>
      </c>
      <c r="I128">
        <v>5</v>
      </c>
      <c r="J128">
        <v>6</v>
      </c>
      <c r="K128">
        <v>5</v>
      </c>
      <c r="L128">
        <v>4</v>
      </c>
      <c r="M128">
        <v>7</v>
      </c>
      <c r="N128">
        <v>5</v>
      </c>
      <c r="O128">
        <v>5</v>
      </c>
      <c r="P128">
        <v>7</v>
      </c>
    </row>
    <row r="129" spans="1:16" x14ac:dyDescent="0.3">
      <c r="A129" t="str">
        <f>Table_Demand___Community_frontsheet[[#This Row],[Name]]&amp;B129</f>
        <v>BuryUrgent Community Response</v>
      </c>
      <c r="B129" t="str">
        <f>VLOOKUP(Table_Demand___Community_frontsheet[[#This Row],[Service Type]],PathwayLookup!E:F,2,0)</f>
        <v>Urgent Community Response</v>
      </c>
      <c r="C129" t="s">
        <v>101</v>
      </c>
      <c r="D129" t="s">
        <v>705</v>
      </c>
      <c r="E129">
        <v>225</v>
      </c>
      <c r="F129">
        <v>225</v>
      </c>
      <c r="G129">
        <v>225</v>
      </c>
      <c r="H129">
        <v>225</v>
      </c>
      <c r="I129">
        <v>225</v>
      </c>
      <c r="J129">
        <v>225</v>
      </c>
      <c r="K129">
        <v>225</v>
      </c>
      <c r="L129">
        <v>225</v>
      </c>
      <c r="M129">
        <v>225</v>
      </c>
      <c r="N129">
        <v>225</v>
      </c>
      <c r="O129">
        <v>225</v>
      </c>
      <c r="P129">
        <v>225</v>
      </c>
    </row>
    <row r="130" spans="1:16" x14ac:dyDescent="0.3">
      <c r="A130" t="str">
        <f>Table_Demand___Community_frontsheet[[#This Row],[Name]]&amp;B130</f>
        <v>BuryReablement &amp; Rehabilitation at home</v>
      </c>
      <c r="B130" t="str">
        <f>VLOOKUP(Table_Demand___Community_frontsheet[[#This Row],[Service Type]],PathwayLookup!E:F,2,0)</f>
        <v>Reablement &amp; Rehabilitation at home</v>
      </c>
      <c r="C130" t="s">
        <v>101</v>
      </c>
      <c r="D130" t="s">
        <v>720</v>
      </c>
      <c r="E130">
        <v>38</v>
      </c>
      <c r="F130">
        <v>48</v>
      </c>
      <c r="G130">
        <v>49</v>
      </c>
      <c r="H130">
        <v>29</v>
      </c>
      <c r="I130">
        <v>44</v>
      </c>
      <c r="J130">
        <v>39</v>
      </c>
      <c r="K130">
        <v>43</v>
      </c>
      <c r="L130">
        <v>87</v>
      </c>
      <c r="M130">
        <v>59</v>
      </c>
      <c r="N130">
        <v>94</v>
      </c>
      <c r="O130">
        <v>55</v>
      </c>
      <c r="P130">
        <v>103</v>
      </c>
    </row>
    <row r="131" spans="1:16" x14ac:dyDescent="0.3">
      <c r="A131" t="str">
        <f>Table_Demand___Community_frontsheet[[#This Row],[Name]]&amp;B131</f>
        <v>BuryReablement &amp; Rehabilitation at home</v>
      </c>
      <c r="B131" t="str">
        <f>VLOOKUP(Table_Demand___Community_frontsheet[[#This Row],[Service Type]],PathwayLookup!E:F,2,0)</f>
        <v>Reablement &amp; Rehabilitation at home</v>
      </c>
      <c r="C131" t="s">
        <v>101</v>
      </c>
      <c r="D131" t="s">
        <v>721</v>
      </c>
      <c r="E131">
        <v>50</v>
      </c>
      <c r="F131">
        <v>50</v>
      </c>
      <c r="G131">
        <v>50</v>
      </c>
      <c r="H131">
        <v>50</v>
      </c>
      <c r="I131">
        <v>50</v>
      </c>
      <c r="J131">
        <v>50</v>
      </c>
      <c r="K131">
        <v>50</v>
      </c>
      <c r="L131">
        <v>50</v>
      </c>
      <c r="M131">
        <v>50</v>
      </c>
      <c r="N131">
        <v>50</v>
      </c>
      <c r="O131">
        <v>50</v>
      </c>
      <c r="P131">
        <v>50</v>
      </c>
    </row>
    <row r="132" spans="1:16" x14ac:dyDescent="0.3">
      <c r="A132" t="str">
        <f>Table_Demand___Community_frontsheet[[#This Row],[Name]]&amp;B132</f>
        <v>BuryReablement &amp; Rehabilitation in a bedded setting</v>
      </c>
      <c r="B132" t="str">
        <f>VLOOKUP(Table_Demand___Community_frontsheet[[#This Row],[Service Type]],PathwayLookup!E:F,2,0)</f>
        <v>Reablement &amp; Rehabilitation in a bedded setting</v>
      </c>
      <c r="C132" t="s">
        <v>101</v>
      </c>
      <c r="D132" t="s">
        <v>723</v>
      </c>
      <c r="E132">
        <v>90</v>
      </c>
      <c r="F132">
        <v>89</v>
      </c>
      <c r="G132">
        <v>90</v>
      </c>
      <c r="H132">
        <v>23</v>
      </c>
      <c r="I132">
        <v>32</v>
      </c>
      <c r="J132">
        <v>34</v>
      </c>
      <c r="K132">
        <v>25</v>
      </c>
      <c r="L132">
        <v>31</v>
      </c>
      <c r="M132">
        <v>28</v>
      </c>
      <c r="N132">
        <v>33</v>
      </c>
      <c r="O132">
        <v>27</v>
      </c>
      <c r="P132">
        <v>27</v>
      </c>
    </row>
    <row r="133" spans="1:16" x14ac:dyDescent="0.3">
      <c r="A133" t="str">
        <f>Table_Demand___Community_frontsheet[[#This Row],[Name]]&amp;B133</f>
        <v>BuryReablement &amp; Rehabilitation in a bedded setting</v>
      </c>
      <c r="B133" t="str">
        <f>VLOOKUP(Table_Demand___Community_frontsheet[[#This Row],[Service Type]],PathwayLookup!E:F,2,0)</f>
        <v>Reablement &amp; Rehabilitation in a bedded setting</v>
      </c>
      <c r="C133" t="s">
        <v>101</v>
      </c>
      <c r="D133" t="s">
        <v>725</v>
      </c>
      <c r="E133">
        <v>12</v>
      </c>
      <c r="F133">
        <v>8</v>
      </c>
      <c r="G133">
        <v>16</v>
      </c>
      <c r="H133">
        <v>19</v>
      </c>
      <c r="I133">
        <v>16</v>
      </c>
      <c r="J133">
        <v>12</v>
      </c>
      <c r="K133">
        <v>12</v>
      </c>
      <c r="L133">
        <v>16</v>
      </c>
      <c r="M133">
        <v>16</v>
      </c>
      <c r="N133">
        <v>20</v>
      </c>
      <c r="O133">
        <v>20</v>
      </c>
      <c r="P133">
        <v>20</v>
      </c>
    </row>
    <row r="134" spans="1:16" x14ac:dyDescent="0.3">
      <c r="A134" t="str">
        <f>Table_Demand___Community_frontsheet[[#This Row],[Name]]&amp;B134</f>
        <v>BuryOther short-term social care</v>
      </c>
      <c r="B134" t="str">
        <f>VLOOKUP(Table_Demand___Community_frontsheet[[#This Row],[Service Type]],PathwayLookup!E:F,2,0)</f>
        <v>Other short-term social care</v>
      </c>
      <c r="C134" t="s">
        <v>101</v>
      </c>
      <c r="D134" t="s">
        <v>708</v>
      </c>
      <c r="E134">
        <v>6</v>
      </c>
      <c r="F134">
        <v>6</v>
      </c>
      <c r="G134">
        <v>6</v>
      </c>
      <c r="H134">
        <v>6</v>
      </c>
      <c r="I134">
        <v>6</v>
      </c>
      <c r="J134">
        <v>6</v>
      </c>
      <c r="K134">
        <v>9</v>
      </c>
      <c r="L134">
        <v>9</v>
      </c>
      <c r="M134">
        <v>5</v>
      </c>
      <c r="N134">
        <v>6</v>
      </c>
      <c r="O134">
        <v>7</v>
      </c>
      <c r="P134">
        <v>6</v>
      </c>
    </row>
    <row r="135" spans="1:16" x14ac:dyDescent="0.3">
      <c r="A135" t="str">
        <f>Table_Demand___Community_frontsheet[[#This Row],[Name]]&amp;B135</f>
        <v>CalderdaleSocial support (including VCS)</v>
      </c>
      <c r="B135" t="str">
        <f>VLOOKUP(Table_Demand___Community_frontsheet[[#This Row],[Service Type]],PathwayLookup!E:F,2,0)</f>
        <v>Social support (including VCS)</v>
      </c>
      <c r="C135" t="s">
        <v>103</v>
      </c>
      <c r="D135" t="s">
        <v>704</v>
      </c>
      <c r="E135">
        <v>55</v>
      </c>
      <c r="F135">
        <v>55</v>
      </c>
      <c r="G135">
        <v>55</v>
      </c>
      <c r="H135">
        <v>50</v>
      </c>
      <c r="I135">
        <v>50</v>
      </c>
      <c r="J135">
        <v>50</v>
      </c>
      <c r="K135">
        <v>50</v>
      </c>
      <c r="L135">
        <v>55</v>
      </c>
      <c r="M135">
        <v>60</v>
      </c>
      <c r="N135">
        <v>60</v>
      </c>
      <c r="O135">
        <v>60</v>
      </c>
      <c r="P135">
        <v>55</v>
      </c>
    </row>
    <row r="136" spans="1:16" x14ac:dyDescent="0.3">
      <c r="A136" t="str">
        <f>Table_Demand___Community_frontsheet[[#This Row],[Name]]&amp;B136</f>
        <v>CalderdaleUrgent Community Response</v>
      </c>
      <c r="B136" t="str">
        <f>VLOOKUP(Table_Demand___Community_frontsheet[[#This Row],[Service Type]],PathwayLookup!E:F,2,0)</f>
        <v>Urgent Community Response</v>
      </c>
      <c r="C136" t="s">
        <v>103</v>
      </c>
      <c r="D136" t="s">
        <v>705</v>
      </c>
      <c r="E136">
        <v>250</v>
      </c>
      <c r="F136">
        <v>250</v>
      </c>
      <c r="G136">
        <v>250</v>
      </c>
      <c r="H136">
        <v>260</v>
      </c>
      <c r="I136">
        <v>270</v>
      </c>
      <c r="J136">
        <v>290</v>
      </c>
      <c r="K136">
        <v>310</v>
      </c>
      <c r="L136">
        <v>330</v>
      </c>
      <c r="M136">
        <v>340</v>
      </c>
      <c r="N136">
        <v>260</v>
      </c>
      <c r="O136">
        <v>290</v>
      </c>
      <c r="P136">
        <v>310</v>
      </c>
    </row>
    <row r="137" spans="1:16" x14ac:dyDescent="0.3">
      <c r="A137" t="str">
        <f>Table_Demand___Community_frontsheet[[#This Row],[Name]]&amp;B137</f>
        <v>CalderdaleReablement &amp; Rehabilitation at home</v>
      </c>
      <c r="B137" t="str">
        <f>VLOOKUP(Table_Demand___Community_frontsheet[[#This Row],[Service Type]],PathwayLookup!E:F,2,0)</f>
        <v>Reablement &amp; Rehabilitation at home</v>
      </c>
      <c r="C137" t="s">
        <v>103</v>
      </c>
      <c r="D137" t="s">
        <v>720</v>
      </c>
      <c r="E137">
        <v>202</v>
      </c>
      <c r="F137">
        <v>211</v>
      </c>
      <c r="G137">
        <v>192</v>
      </c>
      <c r="H137">
        <v>175</v>
      </c>
      <c r="I137">
        <v>196</v>
      </c>
      <c r="J137">
        <v>195</v>
      </c>
      <c r="K137">
        <v>191</v>
      </c>
      <c r="L137">
        <v>181</v>
      </c>
      <c r="M137">
        <v>169</v>
      </c>
      <c r="N137">
        <v>197</v>
      </c>
      <c r="O137">
        <v>193</v>
      </c>
      <c r="P137">
        <v>210</v>
      </c>
    </row>
    <row r="138" spans="1:16" x14ac:dyDescent="0.3">
      <c r="A138" t="str">
        <f>Table_Demand___Community_frontsheet[[#This Row],[Name]]&amp;B138</f>
        <v>CalderdaleReablement &amp; Rehabilitation at home</v>
      </c>
      <c r="B138" t="str">
        <f>VLOOKUP(Table_Demand___Community_frontsheet[[#This Row],[Service Type]],PathwayLookup!E:F,2,0)</f>
        <v>Reablement &amp; Rehabilitation at home</v>
      </c>
      <c r="C138" t="s">
        <v>103</v>
      </c>
      <c r="D138" t="s">
        <v>721</v>
      </c>
      <c r="E138">
        <v>381</v>
      </c>
      <c r="F138">
        <v>485</v>
      </c>
      <c r="G138">
        <v>443</v>
      </c>
      <c r="H138">
        <v>384</v>
      </c>
      <c r="I138">
        <v>447</v>
      </c>
      <c r="J138">
        <v>377</v>
      </c>
      <c r="K138">
        <v>390</v>
      </c>
      <c r="L138">
        <v>400</v>
      </c>
      <c r="M138">
        <v>370</v>
      </c>
      <c r="N138">
        <v>430</v>
      </c>
      <c r="O138">
        <v>444</v>
      </c>
      <c r="P138">
        <v>446</v>
      </c>
    </row>
    <row r="139" spans="1:16" x14ac:dyDescent="0.3">
      <c r="A139" t="str">
        <f>Table_Demand___Community_frontsheet[[#This Row],[Name]]&amp;B139</f>
        <v>CalderdaleReablement &amp; Rehabilitation in a bedded setting</v>
      </c>
      <c r="B139" t="str">
        <f>VLOOKUP(Table_Demand___Community_frontsheet[[#This Row],[Service Type]],PathwayLookup!E:F,2,0)</f>
        <v>Reablement &amp; Rehabilitation in a bedded setting</v>
      </c>
      <c r="C139" t="s">
        <v>103</v>
      </c>
      <c r="D139" t="s">
        <v>723</v>
      </c>
      <c r="E139">
        <v>25</v>
      </c>
      <c r="F139">
        <v>25</v>
      </c>
      <c r="G139">
        <v>28</v>
      </c>
      <c r="H139">
        <v>25</v>
      </c>
      <c r="I139">
        <v>25</v>
      </c>
      <c r="J139">
        <v>26</v>
      </c>
      <c r="K139">
        <v>30</v>
      </c>
      <c r="L139">
        <v>26</v>
      </c>
      <c r="M139">
        <v>26</v>
      </c>
      <c r="N139">
        <v>27</v>
      </c>
      <c r="O139">
        <v>27</v>
      </c>
      <c r="P139">
        <v>29</v>
      </c>
    </row>
    <row r="140" spans="1:16" x14ac:dyDescent="0.3">
      <c r="A140" t="str">
        <f>Table_Demand___Community_frontsheet[[#This Row],[Name]]&amp;B140</f>
        <v>CalderdaleReablement &amp; Rehabilitation in a bedded setting</v>
      </c>
      <c r="B140" t="str">
        <f>VLOOKUP(Table_Demand___Community_frontsheet[[#This Row],[Service Type]],PathwayLookup!E:F,2,0)</f>
        <v>Reablement &amp; Rehabilitation in a bedded setting</v>
      </c>
      <c r="C140" t="s">
        <v>103</v>
      </c>
      <c r="D140" t="s">
        <v>725</v>
      </c>
      <c r="E140">
        <v>25</v>
      </c>
      <c r="F140">
        <v>20</v>
      </c>
      <c r="G140">
        <v>20</v>
      </c>
      <c r="H140">
        <v>20</v>
      </c>
      <c r="I140">
        <v>20</v>
      </c>
      <c r="J140">
        <v>20</v>
      </c>
      <c r="K140">
        <v>20</v>
      </c>
      <c r="L140">
        <v>20</v>
      </c>
      <c r="M140">
        <v>20</v>
      </c>
      <c r="N140">
        <v>20</v>
      </c>
      <c r="O140">
        <v>20</v>
      </c>
      <c r="P140">
        <v>20</v>
      </c>
    </row>
    <row r="141" spans="1:16" x14ac:dyDescent="0.3">
      <c r="A141" t="str">
        <f>Table_Demand___Community_frontsheet[[#This Row],[Name]]&amp;B141</f>
        <v>CalderdaleOther short-term social care</v>
      </c>
      <c r="B141" t="str">
        <f>VLOOKUP(Table_Demand___Community_frontsheet[[#This Row],[Service Type]],PathwayLookup!E:F,2,0)</f>
        <v>Other short-term social care</v>
      </c>
      <c r="C141" t="s">
        <v>103</v>
      </c>
      <c r="D141" t="s">
        <v>708</v>
      </c>
      <c r="E141">
        <v>0</v>
      </c>
      <c r="F141">
        <v>0</v>
      </c>
      <c r="G141">
        <v>0</v>
      </c>
      <c r="H141">
        <v>0</v>
      </c>
      <c r="I141">
        <v>0</v>
      </c>
      <c r="J141">
        <v>0</v>
      </c>
      <c r="K141">
        <v>0</v>
      </c>
      <c r="L141">
        <v>0</v>
      </c>
      <c r="M141">
        <v>0</v>
      </c>
      <c r="N141">
        <v>0</v>
      </c>
      <c r="O141">
        <v>0</v>
      </c>
      <c r="P141">
        <v>0</v>
      </c>
    </row>
    <row r="142" spans="1:16" x14ac:dyDescent="0.3">
      <c r="A142" t="str">
        <f>Table_Demand___Community_frontsheet[[#This Row],[Name]]&amp;B142</f>
        <v>CambridgeshireSocial support (including VCS)</v>
      </c>
      <c r="B142" t="str">
        <f>VLOOKUP(Table_Demand___Community_frontsheet[[#This Row],[Service Type]],PathwayLookup!E:F,2,0)</f>
        <v>Social support (including VCS)</v>
      </c>
      <c r="C142" t="s">
        <v>105</v>
      </c>
      <c r="D142" t="s">
        <v>704</v>
      </c>
      <c r="E142">
        <v>0</v>
      </c>
      <c r="F142">
        <v>0</v>
      </c>
      <c r="G142">
        <v>0</v>
      </c>
      <c r="H142">
        <v>0</v>
      </c>
      <c r="I142">
        <v>0</v>
      </c>
      <c r="J142">
        <v>0</v>
      </c>
      <c r="K142">
        <v>0</v>
      </c>
      <c r="L142">
        <v>0</v>
      </c>
      <c r="M142">
        <v>0</v>
      </c>
      <c r="N142">
        <v>0</v>
      </c>
      <c r="O142">
        <v>0</v>
      </c>
      <c r="P142">
        <v>0</v>
      </c>
    </row>
    <row r="143" spans="1:16" x14ac:dyDescent="0.3">
      <c r="A143" t="str">
        <f>Table_Demand___Community_frontsheet[[#This Row],[Name]]&amp;B143</f>
        <v>CambridgeshireUrgent Community Response</v>
      </c>
      <c r="B143" t="str">
        <f>VLOOKUP(Table_Demand___Community_frontsheet[[#This Row],[Service Type]],PathwayLookup!E:F,2,0)</f>
        <v>Urgent Community Response</v>
      </c>
      <c r="C143" t="s">
        <v>105</v>
      </c>
      <c r="D143" t="s">
        <v>705</v>
      </c>
      <c r="E143">
        <v>891</v>
      </c>
      <c r="F143">
        <v>957</v>
      </c>
      <c r="G143">
        <v>1059</v>
      </c>
      <c r="H143">
        <v>1043</v>
      </c>
      <c r="I143">
        <v>857</v>
      </c>
      <c r="J143">
        <v>888</v>
      </c>
      <c r="K143">
        <v>965</v>
      </c>
      <c r="L143">
        <v>1022</v>
      </c>
      <c r="M143">
        <v>1070</v>
      </c>
      <c r="N143">
        <v>1023</v>
      </c>
      <c r="O143">
        <v>894</v>
      </c>
      <c r="P143">
        <v>917</v>
      </c>
    </row>
    <row r="144" spans="1:16" x14ac:dyDescent="0.3">
      <c r="A144" t="str">
        <f>Table_Demand___Community_frontsheet[[#This Row],[Name]]&amp;B144</f>
        <v>CambridgeshireReablement &amp; Rehabilitation at home</v>
      </c>
      <c r="B144" t="str">
        <f>VLOOKUP(Table_Demand___Community_frontsheet[[#This Row],[Service Type]],PathwayLookup!E:F,2,0)</f>
        <v>Reablement &amp; Rehabilitation at home</v>
      </c>
      <c r="C144" t="s">
        <v>105</v>
      </c>
      <c r="D144" t="s">
        <v>720</v>
      </c>
      <c r="E144">
        <v>115</v>
      </c>
      <c r="F144">
        <v>119</v>
      </c>
      <c r="G144">
        <v>115</v>
      </c>
      <c r="H144">
        <v>124</v>
      </c>
      <c r="I144">
        <v>127</v>
      </c>
      <c r="J144">
        <v>89</v>
      </c>
      <c r="K144">
        <v>118</v>
      </c>
      <c r="L144">
        <v>134</v>
      </c>
      <c r="M144">
        <v>104</v>
      </c>
      <c r="N144">
        <v>134</v>
      </c>
      <c r="O144">
        <v>123</v>
      </c>
      <c r="P144">
        <v>110</v>
      </c>
    </row>
    <row r="145" spans="1:16" x14ac:dyDescent="0.3">
      <c r="A145" t="str">
        <f>Table_Demand___Community_frontsheet[[#This Row],[Name]]&amp;B145</f>
        <v>CambridgeshireReablement &amp; Rehabilitation at home</v>
      </c>
      <c r="B145" t="str">
        <f>VLOOKUP(Table_Demand___Community_frontsheet[[#This Row],[Service Type]],PathwayLookup!E:F,2,0)</f>
        <v>Reablement &amp; Rehabilitation at home</v>
      </c>
      <c r="C145" t="s">
        <v>105</v>
      </c>
      <c r="D145" t="s">
        <v>721</v>
      </c>
      <c r="E145">
        <v>557</v>
      </c>
      <c r="F145">
        <v>591</v>
      </c>
      <c r="G145">
        <v>596</v>
      </c>
      <c r="H145">
        <v>652</v>
      </c>
      <c r="I145">
        <v>629</v>
      </c>
      <c r="J145">
        <v>635</v>
      </c>
      <c r="K145">
        <v>688</v>
      </c>
      <c r="L145">
        <v>725</v>
      </c>
      <c r="M145">
        <v>769</v>
      </c>
      <c r="N145">
        <v>731</v>
      </c>
      <c r="O145">
        <v>691</v>
      </c>
      <c r="P145">
        <v>722</v>
      </c>
    </row>
    <row r="146" spans="1:16" x14ac:dyDescent="0.3">
      <c r="A146" t="str">
        <f>Table_Demand___Community_frontsheet[[#This Row],[Name]]&amp;B146</f>
        <v>CambridgeshireReablement &amp; Rehabilitation in a bedded setting</v>
      </c>
      <c r="B146" t="str">
        <f>VLOOKUP(Table_Demand___Community_frontsheet[[#This Row],[Service Type]],PathwayLookup!E:F,2,0)</f>
        <v>Reablement &amp; Rehabilitation in a bedded setting</v>
      </c>
      <c r="C146" t="s">
        <v>105</v>
      </c>
      <c r="D146" t="s">
        <v>723</v>
      </c>
      <c r="E146">
        <v>0</v>
      </c>
      <c r="F146">
        <v>0</v>
      </c>
      <c r="G146">
        <v>0</v>
      </c>
      <c r="H146">
        <v>0</v>
      </c>
      <c r="I146">
        <v>0</v>
      </c>
      <c r="J146">
        <v>0</v>
      </c>
      <c r="K146">
        <v>0</v>
      </c>
      <c r="L146">
        <v>0</v>
      </c>
      <c r="M146">
        <v>0</v>
      </c>
      <c r="N146">
        <v>0</v>
      </c>
      <c r="O146">
        <v>0</v>
      </c>
      <c r="P146">
        <v>0</v>
      </c>
    </row>
    <row r="147" spans="1:16" x14ac:dyDescent="0.3">
      <c r="A147" t="str">
        <f>Table_Demand___Community_frontsheet[[#This Row],[Name]]&amp;B147</f>
        <v>CambridgeshireReablement &amp; Rehabilitation in a bedded setting</v>
      </c>
      <c r="B147" t="str">
        <f>VLOOKUP(Table_Demand___Community_frontsheet[[#This Row],[Service Type]],PathwayLookup!E:F,2,0)</f>
        <v>Reablement &amp; Rehabilitation in a bedded setting</v>
      </c>
      <c r="C147" t="s">
        <v>105</v>
      </c>
      <c r="D147" t="s">
        <v>725</v>
      </c>
      <c r="E147">
        <v>1</v>
      </c>
      <c r="F147">
        <v>2</v>
      </c>
      <c r="G147">
        <v>2</v>
      </c>
      <c r="H147">
        <v>0</v>
      </c>
      <c r="I147">
        <v>2</v>
      </c>
      <c r="J147">
        <v>1</v>
      </c>
      <c r="K147">
        <v>3</v>
      </c>
      <c r="L147">
        <v>1</v>
      </c>
      <c r="M147">
        <v>1</v>
      </c>
      <c r="N147">
        <v>1</v>
      </c>
      <c r="O147">
        <v>1</v>
      </c>
      <c r="P147">
        <v>1</v>
      </c>
    </row>
    <row r="148" spans="1:16" x14ac:dyDescent="0.3">
      <c r="A148" t="str">
        <f>Table_Demand___Community_frontsheet[[#This Row],[Name]]&amp;B148</f>
        <v>CambridgeshireOther short-term social care</v>
      </c>
      <c r="B148" t="str">
        <f>VLOOKUP(Table_Demand___Community_frontsheet[[#This Row],[Service Type]],PathwayLookup!E:F,2,0)</f>
        <v>Other short-term social care</v>
      </c>
      <c r="C148" t="s">
        <v>105</v>
      </c>
      <c r="D148" t="s">
        <v>708</v>
      </c>
      <c r="E148">
        <v>0</v>
      </c>
      <c r="F148">
        <v>0</v>
      </c>
      <c r="G148">
        <v>0</v>
      </c>
      <c r="H148">
        <v>0</v>
      </c>
      <c r="I148">
        <v>0</v>
      </c>
      <c r="J148">
        <v>0</v>
      </c>
      <c r="K148">
        <v>0</v>
      </c>
      <c r="L148">
        <v>0</v>
      </c>
      <c r="M148">
        <v>0</v>
      </c>
      <c r="N148">
        <v>0</v>
      </c>
      <c r="O148">
        <v>0</v>
      </c>
      <c r="P148">
        <v>0</v>
      </c>
    </row>
    <row r="149" spans="1:16" x14ac:dyDescent="0.3">
      <c r="A149" t="str">
        <f>Table_Demand___Community_frontsheet[[#This Row],[Name]]&amp;B149</f>
        <v>CamdenSocial support (including VCS)</v>
      </c>
      <c r="B149" t="str">
        <f>VLOOKUP(Table_Demand___Community_frontsheet[[#This Row],[Service Type]],PathwayLookup!E:F,2,0)</f>
        <v>Social support (including VCS)</v>
      </c>
      <c r="C149" t="s">
        <v>107</v>
      </c>
      <c r="D149" t="s">
        <v>704</v>
      </c>
      <c r="E149">
        <v>0</v>
      </c>
      <c r="F149">
        <v>0</v>
      </c>
      <c r="G149">
        <v>0</v>
      </c>
      <c r="H149">
        <v>0</v>
      </c>
      <c r="I149">
        <v>0</v>
      </c>
      <c r="J149">
        <v>0</v>
      </c>
      <c r="K149">
        <v>0</v>
      </c>
      <c r="L149">
        <v>0</v>
      </c>
      <c r="M149">
        <v>0</v>
      </c>
      <c r="N149">
        <v>0</v>
      </c>
      <c r="O149">
        <v>0</v>
      </c>
      <c r="P149">
        <v>0</v>
      </c>
    </row>
    <row r="150" spans="1:16" x14ac:dyDescent="0.3">
      <c r="A150" t="str">
        <f>Table_Demand___Community_frontsheet[[#This Row],[Name]]&amp;B150</f>
        <v>CamdenUrgent Community Response</v>
      </c>
      <c r="B150" t="str">
        <f>VLOOKUP(Table_Demand___Community_frontsheet[[#This Row],[Service Type]],PathwayLookup!E:F,2,0)</f>
        <v>Urgent Community Response</v>
      </c>
      <c r="C150" t="s">
        <v>107</v>
      </c>
      <c r="D150" t="s">
        <v>705</v>
      </c>
      <c r="E150">
        <v>276</v>
      </c>
      <c r="F150">
        <v>276</v>
      </c>
      <c r="G150">
        <v>276</v>
      </c>
      <c r="H150">
        <v>340</v>
      </c>
      <c r="I150">
        <v>340</v>
      </c>
      <c r="J150">
        <v>340</v>
      </c>
      <c r="K150">
        <v>388</v>
      </c>
      <c r="L150">
        <v>388</v>
      </c>
      <c r="M150">
        <v>388</v>
      </c>
      <c r="N150">
        <v>397</v>
      </c>
      <c r="O150">
        <v>397</v>
      </c>
      <c r="P150">
        <v>397</v>
      </c>
    </row>
    <row r="151" spans="1:16" x14ac:dyDescent="0.3">
      <c r="A151" t="str">
        <f>Table_Demand___Community_frontsheet[[#This Row],[Name]]&amp;B151</f>
        <v>CamdenReablement &amp; Rehabilitation at home</v>
      </c>
      <c r="B151" t="str">
        <f>VLOOKUP(Table_Demand___Community_frontsheet[[#This Row],[Service Type]],PathwayLookup!E:F,2,0)</f>
        <v>Reablement &amp; Rehabilitation at home</v>
      </c>
      <c r="C151" t="s">
        <v>107</v>
      </c>
      <c r="D151" t="s">
        <v>720</v>
      </c>
      <c r="E151">
        <v>42</v>
      </c>
      <c r="F151">
        <v>30</v>
      </c>
      <c r="G151">
        <v>33</v>
      </c>
      <c r="H151">
        <v>48</v>
      </c>
      <c r="I151">
        <v>37</v>
      </c>
      <c r="J151">
        <v>25</v>
      </c>
      <c r="K151">
        <v>41</v>
      </c>
      <c r="L151">
        <v>29</v>
      </c>
      <c r="M151">
        <v>33</v>
      </c>
      <c r="N151">
        <v>23</v>
      </c>
      <c r="O151">
        <v>10</v>
      </c>
      <c r="P151">
        <v>21</v>
      </c>
    </row>
    <row r="152" spans="1:16" x14ac:dyDescent="0.3">
      <c r="A152" t="str">
        <f>Table_Demand___Community_frontsheet[[#This Row],[Name]]&amp;B152</f>
        <v>CamdenReablement &amp; Rehabilitation at home</v>
      </c>
      <c r="B152" t="str">
        <f>VLOOKUP(Table_Demand___Community_frontsheet[[#This Row],[Service Type]],PathwayLookup!E:F,2,0)</f>
        <v>Reablement &amp; Rehabilitation at home</v>
      </c>
      <c r="C152" t="s">
        <v>107</v>
      </c>
      <c r="D152" t="s">
        <v>721</v>
      </c>
      <c r="E152">
        <v>13</v>
      </c>
      <c r="F152">
        <v>13</v>
      </c>
      <c r="G152">
        <v>13</v>
      </c>
      <c r="H152">
        <v>13</v>
      </c>
      <c r="I152">
        <v>13</v>
      </c>
      <c r="J152">
        <v>13</v>
      </c>
      <c r="K152">
        <v>13</v>
      </c>
      <c r="L152">
        <v>13</v>
      </c>
      <c r="M152">
        <v>13</v>
      </c>
      <c r="N152">
        <v>13</v>
      </c>
      <c r="O152">
        <v>12</v>
      </c>
      <c r="P152">
        <v>13</v>
      </c>
    </row>
    <row r="153" spans="1:16" x14ac:dyDescent="0.3">
      <c r="A153" t="str">
        <f>Table_Demand___Community_frontsheet[[#This Row],[Name]]&amp;B153</f>
        <v>CamdenReablement &amp; Rehabilitation in a bedded setting</v>
      </c>
      <c r="B153" t="str">
        <f>VLOOKUP(Table_Demand___Community_frontsheet[[#This Row],[Service Type]],PathwayLookup!E:F,2,0)</f>
        <v>Reablement &amp; Rehabilitation in a bedded setting</v>
      </c>
      <c r="C153" t="s">
        <v>107</v>
      </c>
      <c r="D153" t="s">
        <v>723</v>
      </c>
      <c r="E153">
        <v>2</v>
      </c>
      <c r="F153">
        <v>2</v>
      </c>
      <c r="G153">
        <v>2</v>
      </c>
      <c r="H153">
        <v>2</v>
      </c>
      <c r="I153">
        <v>2</v>
      </c>
      <c r="J153">
        <v>2</v>
      </c>
      <c r="K153">
        <v>2</v>
      </c>
      <c r="L153">
        <v>2</v>
      </c>
      <c r="M153">
        <v>2</v>
      </c>
      <c r="N153">
        <v>2</v>
      </c>
      <c r="O153">
        <v>2</v>
      </c>
      <c r="P153">
        <v>2</v>
      </c>
    </row>
    <row r="154" spans="1:16" x14ac:dyDescent="0.3">
      <c r="A154" t="str">
        <f>Table_Demand___Community_frontsheet[[#This Row],[Name]]&amp;B154</f>
        <v>CamdenReablement &amp; Rehabilitation in a bedded setting</v>
      </c>
      <c r="B154" t="str">
        <f>VLOOKUP(Table_Demand___Community_frontsheet[[#This Row],[Service Type]],PathwayLookup!E:F,2,0)</f>
        <v>Reablement &amp; Rehabilitation in a bedded setting</v>
      </c>
      <c r="C154" t="s">
        <v>107</v>
      </c>
      <c r="D154" t="s">
        <v>725</v>
      </c>
      <c r="E154">
        <v>1</v>
      </c>
      <c r="F154">
        <v>1</v>
      </c>
      <c r="G154">
        <v>1</v>
      </c>
      <c r="H154">
        <v>1</v>
      </c>
      <c r="I154">
        <v>1</v>
      </c>
      <c r="J154">
        <v>1</v>
      </c>
      <c r="K154">
        <v>1</v>
      </c>
      <c r="L154">
        <v>1</v>
      </c>
      <c r="M154">
        <v>1</v>
      </c>
      <c r="N154">
        <v>1</v>
      </c>
      <c r="O154">
        <v>1</v>
      </c>
      <c r="P154">
        <v>1</v>
      </c>
    </row>
    <row r="155" spans="1:16" x14ac:dyDescent="0.3">
      <c r="A155" t="str">
        <f>Table_Demand___Community_frontsheet[[#This Row],[Name]]&amp;B155</f>
        <v>CamdenOther short-term social care</v>
      </c>
      <c r="B155" t="str">
        <f>VLOOKUP(Table_Demand___Community_frontsheet[[#This Row],[Service Type]],PathwayLookup!E:F,2,0)</f>
        <v>Other short-term social care</v>
      </c>
      <c r="C155" t="s">
        <v>107</v>
      </c>
      <c r="D155" t="s">
        <v>708</v>
      </c>
      <c r="E155">
        <v>9</v>
      </c>
      <c r="F155">
        <v>7</v>
      </c>
      <c r="G155">
        <v>9</v>
      </c>
      <c r="H155">
        <v>15</v>
      </c>
      <c r="I155">
        <v>17</v>
      </c>
      <c r="J155">
        <v>10</v>
      </c>
      <c r="K155">
        <v>9</v>
      </c>
      <c r="L155">
        <v>23</v>
      </c>
      <c r="M155">
        <v>17</v>
      </c>
      <c r="N155">
        <v>14</v>
      </c>
      <c r="O155">
        <v>9</v>
      </c>
      <c r="P155">
        <v>13</v>
      </c>
    </row>
    <row r="156" spans="1:16" x14ac:dyDescent="0.3">
      <c r="A156" t="str">
        <f>Table_Demand___Community_frontsheet[[#This Row],[Name]]&amp;B156</f>
        <v>Central BedfordshireSocial support (including VCS)</v>
      </c>
      <c r="B156" t="str">
        <f>VLOOKUP(Table_Demand___Community_frontsheet[[#This Row],[Service Type]],PathwayLookup!E:F,2,0)</f>
        <v>Social support (including VCS)</v>
      </c>
      <c r="C156" t="s">
        <v>109</v>
      </c>
      <c r="D156" t="s">
        <v>704</v>
      </c>
      <c r="E156">
        <v>0</v>
      </c>
      <c r="F156">
        <v>0</v>
      </c>
      <c r="G156">
        <v>0</v>
      </c>
      <c r="H156">
        <v>0</v>
      </c>
      <c r="I156">
        <v>0</v>
      </c>
      <c r="J156">
        <v>0</v>
      </c>
      <c r="K156">
        <v>0</v>
      </c>
      <c r="L156">
        <v>0</v>
      </c>
      <c r="M156">
        <v>0</v>
      </c>
      <c r="N156">
        <v>0</v>
      </c>
      <c r="O156">
        <v>0</v>
      </c>
      <c r="P156">
        <v>0</v>
      </c>
    </row>
    <row r="157" spans="1:16" x14ac:dyDescent="0.3">
      <c r="A157" t="str">
        <f>Table_Demand___Community_frontsheet[[#This Row],[Name]]&amp;B157</f>
        <v>Central BedfordshireUrgent Community Response</v>
      </c>
      <c r="B157" t="str">
        <f>VLOOKUP(Table_Demand___Community_frontsheet[[#This Row],[Service Type]],PathwayLookup!E:F,2,0)</f>
        <v>Urgent Community Response</v>
      </c>
      <c r="C157" t="s">
        <v>109</v>
      </c>
      <c r="D157" t="s">
        <v>705</v>
      </c>
      <c r="E157">
        <v>0</v>
      </c>
      <c r="F157">
        <v>0</v>
      </c>
      <c r="G157">
        <v>0</v>
      </c>
      <c r="H157">
        <v>0</v>
      </c>
      <c r="I157">
        <v>0</v>
      </c>
      <c r="J157">
        <v>0</v>
      </c>
      <c r="K157">
        <v>0</v>
      </c>
      <c r="L157">
        <v>0</v>
      </c>
      <c r="M157">
        <v>0</v>
      </c>
      <c r="N157">
        <v>0</v>
      </c>
      <c r="O157">
        <v>0</v>
      </c>
      <c r="P157">
        <v>0</v>
      </c>
    </row>
    <row r="158" spans="1:16" x14ac:dyDescent="0.3">
      <c r="A158" t="str">
        <f>Table_Demand___Community_frontsheet[[#This Row],[Name]]&amp;B158</f>
        <v>Central BedfordshireReablement &amp; Rehabilitation at home</v>
      </c>
      <c r="B158" t="str">
        <f>VLOOKUP(Table_Demand___Community_frontsheet[[#This Row],[Service Type]],PathwayLookup!E:F,2,0)</f>
        <v>Reablement &amp; Rehabilitation at home</v>
      </c>
      <c r="C158" t="s">
        <v>109</v>
      </c>
      <c r="D158" t="s">
        <v>720</v>
      </c>
      <c r="E158">
        <v>42</v>
      </c>
      <c r="F158">
        <v>45</v>
      </c>
      <c r="G158">
        <v>48</v>
      </c>
      <c r="H158">
        <v>40</v>
      </c>
      <c r="I158">
        <v>33</v>
      </c>
      <c r="J158">
        <v>31</v>
      </c>
      <c r="K158">
        <v>28</v>
      </c>
      <c r="L158">
        <v>40</v>
      </c>
      <c r="M158">
        <v>38</v>
      </c>
      <c r="N158">
        <v>36</v>
      </c>
      <c r="O158">
        <v>35</v>
      </c>
      <c r="P158">
        <v>35</v>
      </c>
    </row>
    <row r="159" spans="1:16" x14ac:dyDescent="0.3">
      <c r="A159" t="str">
        <f>Table_Demand___Community_frontsheet[[#This Row],[Name]]&amp;B159</f>
        <v>Central BedfordshireReablement &amp; Rehabilitation at home</v>
      </c>
      <c r="B159" t="str">
        <f>VLOOKUP(Table_Demand___Community_frontsheet[[#This Row],[Service Type]],PathwayLookup!E:F,2,0)</f>
        <v>Reablement &amp; Rehabilitation at home</v>
      </c>
      <c r="C159" t="s">
        <v>109</v>
      </c>
      <c r="D159" t="s">
        <v>721</v>
      </c>
      <c r="E159">
        <v>0</v>
      </c>
      <c r="F159">
        <v>0</v>
      </c>
      <c r="G159">
        <v>0</v>
      </c>
      <c r="H159">
        <v>0</v>
      </c>
      <c r="I159">
        <v>0</v>
      </c>
      <c r="J159">
        <v>0</v>
      </c>
      <c r="K159">
        <v>0</v>
      </c>
      <c r="L159">
        <v>0</v>
      </c>
      <c r="M159">
        <v>0</v>
      </c>
      <c r="N159">
        <v>0</v>
      </c>
      <c r="O159">
        <v>0</v>
      </c>
      <c r="P159">
        <v>0</v>
      </c>
    </row>
    <row r="160" spans="1:16" x14ac:dyDescent="0.3">
      <c r="A160" t="str">
        <f>Table_Demand___Community_frontsheet[[#This Row],[Name]]&amp;B160</f>
        <v>Central BedfordshireReablement &amp; Rehabilitation in a bedded setting</v>
      </c>
      <c r="B160" t="str">
        <f>VLOOKUP(Table_Demand___Community_frontsheet[[#This Row],[Service Type]],PathwayLookup!E:F,2,0)</f>
        <v>Reablement &amp; Rehabilitation in a bedded setting</v>
      </c>
      <c r="C160" t="s">
        <v>109</v>
      </c>
      <c r="D160" t="s">
        <v>723</v>
      </c>
      <c r="E160">
        <v>1</v>
      </c>
      <c r="F160">
        <v>2</v>
      </c>
      <c r="G160">
        <v>2</v>
      </c>
      <c r="H160">
        <v>2</v>
      </c>
      <c r="I160">
        <v>2</v>
      </c>
      <c r="J160">
        <v>1</v>
      </c>
      <c r="K160">
        <v>2</v>
      </c>
      <c r="L160">
        <v>6</v>
      </c>
      <c r="M160">
        <v>2</v>
      </c>
      <c r="N160">
        <v>1</v>
      </c>
      <c r="O160">
        <v>2</v>
      </c>
      <c r="P160">
        <v>2</v>
      </c>
    </row>
    <row r="161" spans="1:16" x14ac:dyDescent="0.3">
      <c r="A161" t="str">
        <f>Table_Demand___Community_frontsheet[[#This Row],[Name]]&amp;B161</f>
        <v>Central BedfordshireReablement &amp; Rehabilitation in a bedded setting</v>
      </c>
      <c r="B161" t="str">
        <f>VLOOKUP(Table_Demand___Community_frontsheet[[#This Row],[Service Type]],PathwayLookup!E:F,2,0)</f>
        <v>Reablement &amp; Rehabilitation in a bedded setting</v>
      </c>
      <c r="C161" t="s">
        <v>109</v>
      </c>
      <c r="D161" t="s">
        <v>725</v>
      </c>
      <c r="E161">
        <v>0</v>
      </c>
      <c r="F161">
        <v>0</v>
      </c>
      <c r="G161">
        <v>0</v>
      </c>
      <c r="H161">
        <v>0</v>
      </c>
      <c r="I161">
        <v>0</v>
      </c>
      <c r="J161">
        <v>0</v>
      </c>
      <c r="K161">
        <v>0</v>
      </c>
      <c r="L161">
        <v>0</v>
      </c>
      <c r="M161">
        <v>0</v>
      </c>
      <c r="N161">
        <v>0</v>
      </c>
      <c r="O161">
        <v>0</v>
      </c>
      <c r="P161">
        <v>0</v>
      </c>
    </row>
    <row r="162" spans="1:16" x14ac:dyDescent="0.3">
      <c r="A162" t="str">
        <f>Table_Demand___Community_frontsheet[[#This Row],[Name]]&amp;B162</f>
        <v>Central BedfordshireOther short-term social care</v>
      </c>
      <c r="B162" t="str">
        <f>VLOOKUP(Table_Demand___Community_frontsheet[[#This Row],[Service Type]],PathwayLookup!E:F,2,0)</f>
        <v>Other short-term social care</v>
      </c>
      <c r="C162" t="s">
        <v>109</v>
      </c>
      <c r="D162" t="s">
        <v>708</v>
      </c>
      <c r="E162">
        <v>3</v>
      </c>
      <c r="F162">
        <v>3</v>
      </c>
      <c r="G162">
        <v>3</v>
      </c>
      <c r="H162">
        <v>3</v>
      </c>
      <c r="I162">
        <v>2</v>
      </c>
      <c r="J162">
        <v>2</v>
      </c>
      <c r="K162">
        <v>2</v>
      </c>
      <c r="L162">
        <v>3</v>
      </c>
      <c r="M162">
        <v>2</v>
      </c>
      <c r="N162">
        <v>2</v>
      </c>
      <c r="O162">
        <v>2</v>
      </c>
      <c r="P162">
        <v>2</v>
      </c>
    </row>
    <row r="163" spans="1:16" x14ac:dyDescent="0.3">
      <c r="A163" t="str">
        <f>Table_Demand___Community_frontsheet[[#This Row],[Name]]&amp;B163</f>
        <v>Cheshire EastSocial support (including VCS)</v>
      </c>
      <c r="B163" t="str">
        <f>VLOOKUP(Table_Demand___Community_frontsheet[[#This Row],[Service Type]],PathwayLookup!E:F,2,0)</f>
        <v>Social support (including VCS)</v>
      </c>
      <c r="C163" t="s">
        <v>111</v>
      </c>
      <c r="D163" t="s">
        <v>704</v>
      </c>
    </row>
    <row r="164" spans="1:16" x14ac:dyDescent="0.3">
      <c r="A164" t="str">
        <f>Table_Demand___Community_frontsheet[[#This Row],[Name]]&amp;B164</f>
        <v>Cheshire EastUrgent Community Response</v>
      </c>
      <c r="B164" t="str">
        <f>VLOOKUP(Table_Demand___Community_frontsheet[[#This Row],[Service Type]],PathwayLookup!E:F,2,0)</f>
        <v>Urgent Community Response</v>
      </c>
      <c r="C164" t="s">
        <v>111</v>
      </c>
      <c r="D164" t="s">
        <v>705</v>
      </c>
      <c r="E164">
        <v>600</v>
      </c>
      <c r="F164">
        <v>600</v>
      </c>
      <c r="G164">
        <v>600</v>
      </c>
      <c r="H164">
        <v>600</v>
      </c>
      <c r="I164">
        <v>600</v>
      </c>
      <c r="J164">
        <v>600</v>
      </c>
      <c r="K164">
        <v>600</v>
      </c>
      <c r="L164">
        <v>600</v>
      </c>
      <c r="M164">
        <v>600</v>
      </c>
      <c r="N164">
        <v>600</v>
      </c>
      <c r="O164">
        <v>600</v>
      </c>
      <c r="P164">
        <v>600</v>
      </c>
    </row>
    <row r="165" spans="1:16" x14ac:dyDescent="0.3">
      <c r="A165" t="str">
        <f>Table_Demand___Community_frontsheet[[#This Row],[Name]]&amp;B165</f>
        <v>Cheshire EastReablement &amp; Rehabilitation at home</v>
      </c>
      <c r="B165" t="str">
        <f>VLOOKUP(Table_Demand___Community_frontsheet[[#This Row],[Service Type]],PathwayLookup!E:F,2,0)</f>
        <v>Reablement &amp; Rehabilitation at home</v>
      </c>
      <c r="C165" t="s">
        <v>111</v>
      </c>
      <c r="D165" t="s">
        <v>720</v>
      </c>
      <c r="E165">
        <v>10</v>
      </c>
      <c r="F165">
        <v>10</v>
      </c>
      <c r="G165">
        <v>11</v>
      </c>
      <c r="H165">
        <v>11</v>
      </c>
      <c r="I165">
        <v>11</v>
      </c>
      <c r="J165">
        <v>11</v>
      </c>
      <c r="K165">
        <v>10</v>
      </c>
      <c r="L165">
        <v>10</v>
      </c>
      <c r="M165">
        <v>10</v>
      </c>
      <c r="N165">
        <v>10</v>
      </c>
      <c r="O165">
        <v>10</v>
      </c>
      <c r="P165">
        <v>10</v>
      </c>
    </row>
    <row r="166" spans="1:16" x14ac:dyDescent="0.3">
      <c r="A166" t="str">
        <f>Table_Demand___Community_frontsheet[[#This Row],[Name]]&amp;B166</f>
        <v>Cheshire EastReablement &amp; Rehabilitation at home</v>
      </c>
      <c r="B166" t="str">
        <f>VLOOKUP(Table_Demand___Community_frontsheet[[#This Row],[Service Type]],PathwayLookup!E:F,2,0)</f>
        <v>Reablement &amp; Rehabilitation at home</v>
      </c>
      <c r="C166" t="s">
        <v>111</v>
      </c>
      <c r="D166" t="s">
        <v>721</v>
      </c>
      <c r="E166">
        <v>1</v>
      </c>
      <c r="F166">
        <v>1</v>
      </c>
      <c r="G166">
        <v>1</v>
      </c>
      <c r="H166">
        <v>1</v>
      </c>
      <c r="I166">
        <v>1</v>
      </c>
      <c r="J166">
        <v>1</v>
      </c>
      <c r="K166">
        <v>1</v>
      </c>
      <c r="L166">
        <v>1</v>
      </c>
      <c r="M166">
        <v>1</v>
      </c>
      <c r="N166">
        <v>1</v>
      </c>
      <c r="O166">
        <v>1</v>
      </c>
      <c r="P166">
        <v>1</v>
      </c>
    </row>
    <row r="167" spans="1:16" x14ac:dyDescent="0.3">
      <c r="A167" t="str">
        <f>Table_Demand___Community_frontsheet[[#This Row],[Name]]&amp;B167</f>
        <v>Cheshire EastReablement &amp; Rehabilitation in a bedded setting</v>
      </c>
      <c r="B167" t="str">
        <f>VLOOKUP(Table_Demand___Community_frontsheet[[#This Row],[Service Type]],PathwayLookup!E:F,2,0)</f>
        <v>Reablement &amp; Rehabilitation in a bedded setting</v>
      </c>
      <c r="C167" t="s">
        <v>111</v>
      </c>
      <c r="D167" t="s">
        <v>723</v>
      </c>
    </row>
    <row r="168" spans="1:16" x14ac:dyDescent="0.3">
      <c r="A168" t="str">
        <f>Table_Demand___Community_frontsheet[[#This Row],[Name]]&amp;B168</f>
        <v>Cheshire EastReablement &amp; Rehabilitation in a bedded setting</v>
      </c>
      <c r="B168" t="str">
        <f>VLOOKUP(Table_Demand___Community_frontsheet[[#This Row],[Service Type]],PathwayLookup!E:F,2,0)</f>
        <v>Reablement &amp; Rehabilitation in a bedded setting</v>
      </c>
      <c r="C168" t="s">
        <v>111</v>
      </c>
      <c r="D168" t="s">
        <v>725</v>
      </c>
      <c r="E168">
        <v>7</v>
      </c>
      <c r="F168">
        <v>8</v>
      </c>
      <c r="G168">
        <v>8</v>
      </c>
      <c r="H168">
        <v>8</v>
      </c>
      <c r="I168">
        <v>9</v>
      </c>
      <c r="J168">
        <v>8</v>
      </c>
      <c r="K168">
        <v>8</v>
      </c>
      <c r="L168">
        <v>8</v>
      </c>
      <c r="M168">
        <v>8</v>
      </c>
      <c r="N168">
        <v>8</v>
      </c>
      <c r="O168">
        <v>8</v>
      </c>
      <c r="P168">
        <v>8</v>
      </c>
    </row>
    <row r="169" spans="1:16" x14ac:dyDescent="0.3">
      <c r="A169" t="str">
        <f>Table_Demand___Community_frontsheet[[#This Row],[Name]]&amp;B169</f>
        <v>Cheshire EastOther short-term social care</v>
      </c>
      <c r="B169" t="str">
        <f>VLOOKUP(Table_Demand___Community_frontsheet[[#This Row],[Service Type]],PathwayLookup!E:F,2,0)</f>
        <v>Other short-term social care</v>
      </c>
      <c r="C169" t="s">
        <v>111</v>
      </c>
      <c r="D169" t="s">
        <v>708</v>
      </c>
    </row>
    <row r="170" spans="1:16" x14ac:dyDescent="0.3">
      <c r="A170" t="str">
        <f>Table_Demand___Community_frontsheet[[#This Row],[Name]]&amp;B170</f>
        <v>Cheshire West and ChesterSocial support (including VCS)</v>
      </c>
      <c r="B170" t="str">
        <f>VLOOKUP(Table_Demand___Community_frontsheet[[#This Row],[Service Type]],PathwayLookup!E:F,2,0)</f>
        <v>Social support (including VCS)</v>
      </c>
      <c r="C170" t="s">
        <v>113</v>
      </c>
      <c r="D170" t="s">
        <v>704</v>
      </c>
      <c r="E170">
        <v>71</v>
      </c>
      <c r="F170">
        <v>71</v>
      </c>
      <c r="G170">
        <v>71</v>
      </c>
      <c r="H170">
        <v>71</v>
      </c>
      <c r="I170">
        <v>71</v>
      </c>
      <c r="J170">
        <v>71</v>
      </c>
      <c r="K170">
        <v>71</v>
      </c>
      <c r="L170">
        <v>71</v>
      </c>
      <c r="M170">
        <v>71</v>
      </c>
      <c r="N170">
        <v>71</v>
      </c>
      <c r="O170">
        <v>71</v>
      </c>
      <c r="P170">
        <v>71</v>
      </c>
    </row>
    <row r="171" spans="1:16" x14ac:dyDescent="0.3">
      <c r="A171" t="str">
        <f>Table_Demand___Community_frontsheet[[#This Row],[Name]]&amp;B171</f>
        <v>Cheshire West and ChesterUrgent Community Response</v>
      </c>
      <c r="B171" t="str">
        <f>VLOOKUP(Table_Demand___Community_frontsheet[[#This Row],[Service Type]],PathwayLookup!E:F,2,0)</f>
        <v>Urgent Community Response</v>
      </c>
      <c r="C171" t="s">
        <v>113</v>
      </c>
      <c r="D171" t="s">
        <v>705</v>
      </c>
      <c r="E171">
        <v>332</v>
      </c>
      <c r="F171">
        <v>362</v>
      </c>
      <c r="G171">
        <v>370</v>
      </c>
      <c r="H171">
        <v>380</v>
      </c>
      <c r="I171">
        <v>390</v>
      </c>
      <c r="J171">
        <v>400</v>
      </c>
      <c r="K171">
        <v>410</v>
      </c>
      <c r="L171">
        <v>410</v>
      </c>
      <c r="M171">
        <v>410</v>
      </c>
      <c r="N171">
        <v>410</v>
      </c>
      <c r="O171">
        <v>390</v>
      </c>
      <c r="P171">
        <v>390</v>
      </c>
    </row>
    <row r="172" spans="1:16" x14ac:dyDescent="0.3">
      <c r="A172" t="str">
        <f>Table_Demand___Community_frontsheet[[#This Row],[Name]]&amp;B172</f>
        <v>Cheshire West and ChesterReablement &amp; Rehabilitation at home</v>
      </c>
      <c r="B172" t="str">
        <f>VLOOKUP(Table_Demand___Community_frontsheet[[#This Row],[Service Type]],PathwayLookup!E:F,2,0)</f>
        <v>Reablement &amp; Rehabilitation at home</v>
      </c>
      <c r="C172" t="s">
        <v>113</v>
      </c>
      <c r="D172" t="s">
        <v>720</v>
      </c>
      <c r="E172">
        <v>52</v>
      </c>
      <c r="F172">
        <v>52</v>
      </c>
      <c r="G172">
        <v>52</v>
      </c>
      <c r="H172">
        <v>52</v>
      </c>
      <c r="I172">
        <v>52</v>
      </c>
      <c r="J172">
        <v>52</v>
      </c>
      <c r="K172">
        <v>52</v>
      </c>
      <c r="L172">
        <v>52</v>
      </c>
      <c r="M172">
        <v>52</v>
      </c>
      <c r="N172">
        <v>52</v>
      </c>
      <c r="O172">
        <v>52</v>
      </c>
      <c r="P172">
        <v>52</v>
      </c>
    </row>
    <row r="173" spans="1:16" x14ac:dyDescent="0.3">
      <c r="A173" t="str">
        <f>Table_Demand___Community_frontsheet[[#This Row],[Name]]&amp;B173</f>
        <v>Cheshire West and ChesterReablement &amp; Rehabilitation at home</v>
      </c>
      <c r="B173" t="str">
        <f>VLOOKUP(Table_Demand___Community_frontsheet[[#This Row],[Service Type]],PathwayLookup!E:F,2,0)</f>
        <v>Reablement &amp; Rehabilitation at home</v>
      </c>
      <c r="C173" t="s">
        <v>113</v>
      </c>
      <c r="D173" t="s">
        <v>721</v>
      </c>
      <c r="E173">
        <v>103</v>
      </c>
      <c r="F173">
        <v>103</v>
      </c>
      <c r="G173">
        <v>103</v>
      </c>
      <c r="H173">
        <v>103</v>
      </c>
      <c r="I173">
        <v>103</v>
      </c>
      <c r="J173">
        <v>103</v>
      </c>
      <c r="K173">
        <v>103</v>
      </c>
      <c r="L173">
        <v>103</v>
      </c>
      <c r="M173">
        <v>103</v>
      </c>
      <c r="N173">
        <v>103</v>
      </c>
      <c r="O173">
        <v>103</v>
      </c>
      <c r="P173">
        <v>103</v>
      </c>
    </row>
    <row r="174" spans="1:16" x14ac:dyDescent="0.3">
      <c r="A174" t="str">
        <f>Table_Demand___Community_frontsheet[[#This Row],[Name]]&amp;B174</f>
        <v>Cheshire West and ChesterReablement &amp; Rehabilitation in a bedded setting</v>
      </c>
      <c r="B174" t="str">
        <f>VLOOKUP(Table_Demand___Community_frontsheet[[#This Row],[Service Type]],PathwayLookup!E:F,2,0)</f>
        <v>Reablement &amp; Rehabilitation in a bedded setting</v>
      </c>
      <c r="C174" t="s">
        <v>113</v>
      </c>
      <c r="D174" t="s">
        <v>723</v>
      </c>
      <c r="E174">
        <v>50</v>
      </c>
      <c r="F174">
        <v>50</v>
      </c>
      <c r="G174">
        <v>50</v>
      </c>
      <c r="H174">
        <v>50</v>
      </c>
      <c r="I174">
        <v>50</v>
      </c>
      <c r="J174">
        <v>50</v>
      </c>
      <c r="K174">
        <v>50</v>
      </c>
      <c r="L174">
        <v>50</v>
      </c>
      <c r="M174">
        <v>50</v>
      </c>
      <c r="N174">
        <v>50</v>
      </c>
      <c r="O174">
        <v>50</v>
      </c>
      <c r="P174">
        <v>50</v>
      </c>
    </row>
    <row r="175" spans="1:16" x14ac:dyDescent="0.3">
      <c r="A175" t="str">
        <f>Table_Demand___Community_frontsheet[[#This Row],[Name]]&amp;B175</f>
        <v>Cheshire West and ChesterReablement &amp; Rehabilitation in a bedded setting</v>
      </c>
      <c r="B175" t="str">
        <f>VLOOKUP(Table_Demand___Community_frontsheet[[#This Row],[Service Type]],PathwayLookup!E:F,2,0)</f>
        <v>Reablement &amp; Rehabilitation in a bedded setting</v>
      </c>
      <c r="C175" t="s">
        <v>113</v>
      </c>
      <c r="D175" t="s">
        <v>725</v>
      </c>
      <c r="E175">
        <v>117</v>
      </c>
      <c r="F175">
        <v>121</v>
      </c>
      <c r="G175">
        <v>117</v>
      </c>
      <c r="H175">
        <v>121</v>
      </c>
      <c r="I175">
        <v>121</v>
      </c>
      <c r="J175">
        <v>117</v>
      </c>
      <c r="K175">
        <v>121</v>
      </c>
      <c r="L175">
        <v>117</v>
      </c>
      <c r="M175">
        <v>121</v>
      </c>
      <c r="N175">
        <v>121</v>
      </c>
      <c r="O175">
        <v>113</v>
      </c>
      <c r="P175">
        <v>121</v>
      </c>
    </row>
    <row r="176" spans="1:16" x14ac:dyDescent="0.3">
      <c r="A176" t="str">
        <f>Table_Demand___Community_frontsheet[[#This Row],[Name]]&amp;B176</f>
        <v>Cheshire West and ChesterOther short-term social care</v>
      </c>
      <c r="B176" t="str">
        <f>VLOOKUP(Table_Demand___Community_frontsheet[[#This Row],[Service Type]],PathwayLookup!E:F,2,0)</f>
        <v>Other short-term social care</v>
      </c>
      <c r="C176" t="s">
        <v>113</v>
      </c>
      <c r="D176" t="s">
        <v>708</v>
      </c>
    </row>
    <row r="177" spans="1:16" x14ac:dyDescent="0.3">
      <c r="A177" t="str">
        <f>Table_Demand___Community_frontsheet[[#This Row],[Name]]&amp;B177</f>
        <v>City of LondonSocial support (including VCS)</v>
      </c>
      <c r="B177" t="str">
        <f>VLOOKUP(Table_Demand___Community_frontsheet[[#This Row],[Service Type]],PathwayLookup!E:F,2,0)</f>
        <v>Social support (including VCS)</v>
      </c>
      <c r="C177" t="s">
        <v>115</v>
      </c>
      <c r="D177" t="s">
        <v>704</v>
      </c>
      <c r="E177">
        <v>0</v>
      </c>
      <c r="F177">
        <v>0</v>
      </c>
      <c r="G177">
        <v>0</v>
      </c>
      <c r="H177">
        <v>0</v>
      </c>
      <c r="I177">
        <v>0</v>
      </c>
      <c r="J177">
        <v>0</v>
      </c>
      <c r="K177">
        <v>0</v>
      </c>
      <c r="L177">
        <v>0</v>
      </c>
      <c r="M177">
        <v>0</v>
      </c>
      <c r="N177">
        <v>0</v>
      </c>
      <c r="O177">
        <v>0</v>
      </c>
      <c r="P177">
        <v>0</v>
      </c>
    </row>
    <row r="178" spans="1:16" x14ac:dyDescent="0.3">
      <c r="A178" t="str">
        <f>Table_Demand___Community_frontsheet[[#This Row],[Name]]&amp;B178</f>
        <v>City of LondonUrgent Community Response</v>
      </c>
      <c r="B178" t="str">
        <f>VLOOKUP(Table_Demand___Community_frontsheet[[#This Row],[Service Type]],PathwayLookup!E:F,2,0)</f>
        <v>Urgent Community Response</v>
      </c>
      <c r="C178" t="s">
        <v>115</v>
      </c>
      <c r="D178" t="s">
        <v>705</v>
      </c>
      <c r="E178">
        <v>0</v>
      </c>
      <c r="F178">
        <v>0</v>
      </c>
      <c r="G178">
        <v>0</v>
      </c>
      <c r="H178">
        <v>0</v>
      </c>
      <c r="I178">
        <v>0</v>
      </c>
      <c r="J178">
        <v>0</v>
      </c>
      <c r="K178">
        <v>0</v>
      </c>
      <c r="L178">
        <v>0</v>
      </c>
      <c r="M178">
        <v>0</v>
      </c>
      <c r="N178">
        <v>0</v>
      </c>
      <c r="O178">
        <v>0</v>
      </c>
      <c r="P178">
        <v>0</v>
      </c>
    </row>
    <row r="179" spans="1:16" x14ac:dyDescent="0.3">
      <c r="A179" t="str">
        <f>Table_Demand___Community_frontsheet[[#This Row],[Name]]&amp;B179</f>
        <v>City of LondonReablement &amp; Rehabilitation at home</v>
      </c>
      <c r="B179" t="str">
        <f>VLOOKUP(Table_Demand___Community_frontsheet[[#This Row],[Service Type]],PathwayLookup!E:F,2,0)</f>
        <v>Reablement &amp; Rehabilitation at home</v>
      </c>
      <c r="C179" t="s">
        <v>115</v>
      </c>
      <c r="D179" t="s">
        <v>720</v>
      </c>
      <c r="E179">
        <v>0</v>
      </c>
      <c r="F179">
        <v>0</v>
      </c>
      <c r="G179">
        <v>0</v>
      </c>
      <c r="H179">
        <v>0</v>
      </c>
      <c r="I179">
        <v>0</v>
      </c>
      <c r="J179">
        <v>0</v>
      </c>
      <c r="K179">
        <v>0</v>
      </c>
      <c r="L179">
        <v>0</v>
      </c>
      <c r="M179">
        <v>0</v>
      </c>
      <c r="N179">
        <v>0</v>
      </c>
      <c r="O179">
        <v>0</v>
      </c>
      <c r="P179">
        <v>0</v>
      </c>
    </row>
    <row r="180" spans="1:16" x14ac:dyDescent="0.3">
      <c r="A180" t="str">
        <f>Table_Demand___Community_frontsheet[[#This Row],[Name]]&amp;B180</f>
        <v>City of LondonReablement &amp; Rehabilitation at home</v>
      </c>
      <c r="B180" t="str">
        <f>VLOOKUP(Table_Demand___Community_frontsheet[[#This Row],[Service Type]],PathwayLookup!E:F,2,0)</f>
        <v>Reablement &amp; Rehabilitation at home</v>
      </c>
      <c r="C180" t="s">
        <v>115</v>
      </c>
      <c r="D180" t="s">
        <v>721</v>
      </c>
      <c r="E180">
        <v>0</v>
      </c>
      <c r="F180">
        <v>0</v>
      </c>
      <c r="G180">
        <v>0</v>
      </c>
      <c r="H180">
        <v>0</v>
      </c>
      <c r="I180">
        <v>0</v>
      </c>
      <c r="J180">
        <v>0</v>
      </c>
      <c r="K180">
        <v>0</v>
      </c>
      <c r="L180">
        <v>0</v>
      </c>
      <c r="M180">
        <v>0</v>
      </c>
      <c r="N180">
        <v>0</v>
      </c>
      <c r="O180">
        <v>0</v>
      </c>
      <c r="P180">
        <v>0</v>
      </c>
    </row>
    <row r="181" spans="1:16" x14ac:dyDescent="0.3">
      <c r="A181" t="str">
        <f>Table_Demand___Community_frontsheet[[#This Row],[Name]]&amp;B181</f>
        <v>City of LondonReablement &amp; Rehabilitation in a bedded setting</v>
      </c>
      <c r="B181" t="str">
        <f>VLOOKUP(Table_Demand___Community_frontsheet[[#This Row],[Service Type]],PathwayLookup!E:F,2,0)</f>
        <v>Reablement &amp; Rehabilitation in a bedded setting</v>
      </c>
      <c r="C181" t="s">
        <v>115</v>
      </c>
      <c r="D181" t="s">
        <v>723</v>
      </c>
      <c r="E181">
        <v>0</v>
      </c>
      <c r="F181">
        <v>0</v>
      </c>
      <c r="G181">
        <v>0</v>
      </c>
      <c r="H181">
        <v>0</v>
      </c>
      <c r="I181">
        <v>0</v>
      </c>
      <c r="J181">
        <v>0</v>
      </c>
      <c r="K181">
        <v>0</v>
      </c>
      <c r="L181">
        <v>0</v>
      </c>
      <c r="M181">
        <v>0</v>
      </c>
      <c r="N181">
        <v>0</v>
      </c>
      <c r="O181">
        <v>0</v>
      </c>
      <c r="P181">
        <v>0</v>
      </c>
    </row>
    <row r="182" spans="1:16" x14ac:dyDescent="0.3">
      <c r="A182" t="str">
        <f>Table_Demand___Community_frontsheet[[#This Row],[Name]]&amp;B182</f>
        <v>City of LondonReablement &amp; Rehabilitation in a bedded setting</v>
      </c>
      <c r="B182" t="str">
        <f>VLOOKUP(Table_Demand___Community_frontsheet[[#This Row],[Service Type]],PathwayLookup!E:F,2,0)</f>
        <v>Reablement &amp; Rehabilitation in a bedded setting</v>
      </c>
      <c r="C182" t="s">
        <v>115</v>
      </c>
      <c r="D182" t="s">
        <v>725</v>
      </c>
      <c r="E182">
        <v>1</v>
      </c>
      <c r="F182">
        <v>0</v>
      </c>
      <c r="G182">
        <v>1</v>
      </c>
      <c r="H182">
        <v>0</v>
      </c>
      <c r="I182">
        <v>1</v>
      </c>
      <c r="J182">
        <v>1</v>
      </c>
      <c r="K182">
        <v>0</v>
      </c>
      <c r="L182">
        <v>0</v>
      </c>
      <c r="M182">
        <v>0</v>
      </c>
      <c r="N182">
        <v>0</v>
      </c>
      <c r="O182">
        <v>0</v>
      </c>
      <c r="P182">
        <v>0</v>
      </c>
    </row>
    <row r="183" spans="1:16" x14ac:dyDescent="0.3">
      <c r="A183" t="str">
        <f>Table_Demand___Community_frontsheet[[#This Row],[Name]]&amp;B183</f>
        <v>City of LondonOther short-term social care</v>
      </c>
      <c r="B183" t="str">
        <f>VLOOKUP(Table_Demand___Community_frontsheet[[#This Row],[Service Type]],PathwayLookup!E:F,2,0)</f>
        <v>Other short-term social care</v>
      </c>
      <c r="C183" t="s">
        <v>115</v>
      </c>
      <c r="D183" t="s">
        <v>708</v>
      </c>
      <c r="E183">
        <v>0</v>
      </c>
      <c r="F183">
        <v>0</v>
      </c>
      <c r="G183">
        <v>0</v>
      </c>
      <c r="H183">
        <v>0</v>
      </c>
      <c r="I183">
        <v>0</v>
      </c>
      <c r="J183">
        <v>0</v>
      </c>
      <c r="K183">
        <v>0</v>
      </c>
      <c r="L183">
        <v>0</v>
      </c>
      <c r="M183">
        <v>0</v>
      </c>
      <c r="N183">
        <v>0</v>
      </c>
      <c r="O183">
        <v>0</v>
      </c>
      <c r="P183">
        <v>0</v>
      </c>
    </row>
    <row r="184" spans="1:16" x14ac:dyDescent="0.3">
      <c r="A184" t="str">
        <f>Table_Demand___Community_frontsheet[[#This Row],[Name]]&amp;B184</f>
        <v>Cornwall &amp; ScillySocial support (including VCS)</v>
      </c>
      <c r="B184" t="str">
        <f>VLOOKUP(Table_Demand___Community_frontsheet[[#This Row],[Service Type]],PathwayLookup!E:F,2,0)</f>
        <v>Social support (including VCS)</v>
      </c>
      <c r="C184" t="s">
        <v>117</v>
      </c>
      <c r="D184" t="s">
        <v>704</v>
      </c>
      <c r="E184">
        <v>8356</v>
      </c>
      <c r="F184">
        <v>8356</v>
      </c>
      <c r="G184">
        <v>8356</v>
      </c>
      <c r="H184">
        <v>8297</v>
      </c>
      <c r="I184">
        <v>8297</v>
      </c>
      <c r="J184">
        <v>8297</v>
      </c>
      <c r="K184">
        <v>8304</v>
      </c>
      <c r="L184">
        <v>8304</v>
      </c>
      <c r="M184">
        <v>8304</v>
      </c>
      <c r="N184">
        <v>8239</v>
      </c>
      <c r="O184">
        <v>8239</v>
      </c>
      <c r="P184">
        <v>8239</v>
      </c>
    </row>
    <row r="185" spans="1:16" x14ac:dyDescent="0.3">
      <c r="A185" t="str">
        <f>Table_Demand___Community_frontsheet[[#This Row],[Name]]&amp;B185</f>
        <v>Cornwall &amp; ScillyUrgent Community Response</v>
      </c>
      <c r="B185" t="str">
        <f>VLOOKUP(Table_Demand___Community_frontsheet[[#This Row],[Service Type]],PathwayLookup!E:F,2,0)</f>
        <v>Urgent Community Response</v>
      </c>
      <c r="C185" t="s">
        <v>117</v>
      </c>
      <c r="D185" t="s">
        <v>705</v>
      </c>
      <c r="E185">
        <v>205</v>
      </c>
      <c r="F185">
        <v>205</v>
      </c>
      <c r="G185">
        <v>205</v>
      </c>
      <c r="H185">
        <v>205</v>
      </c>
      <c r="I185">
        <v>205</v>
      </c>
      <c r="J185">
        <v>205</v>
      </c>
      <c r="K185">
        <v>205</v>
      </c>
      <c r="L185">
        <v>205</v>
      </c>
      <c r="M185">
        <v>205</v>
      </c>
      <c r="N185">
        <v>205</v>
      </c>
      <c r="O185">
        <v>205</v>
      </c>
      <c r="P185">
        <v>205</v>
      </c>
    </row>
    <row r="186" spans="1:16" x14ac:dyDescent="0.3">
      <c r="A186" t="str">
        <f>Table_Demand___Community_frontsheet[[#This Row],[Name]]&amp;B186</f>
        <v>Cornwall &amp; ScillyReablement &amp; Rehabilitation at home</v>
      </c>
      <c r="B186" t="str">
        <f>VLOOKUP(Table_Demand___Community_frontsheet[[#This Row],[Service Type]],PathwayLookup!E:F,2,0)</f>
        <v>Reablement &amp; Rehabilitation at home</v>
      </c>
      <c r="C186" t="s">
        <v>117</v>
      </c>
      <c r="D186" t="s">
        <v>720</v>
      </c>
      <c r="E186">
        <v>65</v>
      </c>
      <c r="F186">
        <v>70</v>
      </c>
      <c r="G186">
        <v>74</v>
      </c>
      <c r="H186">
        <v>79</v>
      </c>
      <c r="I186">
        <v>78</v>
      </c>
      <c r="J186">
        <v>63</v>
      </c>
      <c r="K186">
        <v>69</v>
      </c>
      <c r="L186">
        <v>70</v>
      </c>
      <c r="M186">
        <v>71</v>
      </c>
      <c r="N186">
        <v>103</v>
      </c>
      <c r="O186">
        <v>95</v>
      </c>
      <c r="P186">
        <v>71</v>
      </c>
    </row>
    <row r="187" spans="1:16" x14ac:dyDescent="0.3">
      <c r="A187" t="str">
        <f>Table_Demand___Community_frontsheet[[#This Row],[Name]]&amp;B187</f>
        <v>Cornwall &amp; ScillyReablement &amp; Rehabilitation at home</v>
      </c>
      <c r="B187" t="str">
        <f>VLOOKUP(Table_Demand___Community_frontsheet[[#This Row],[Service Type]],PathwayLookup!E:F,2,0)</f>
        <v>Reablement &amp; Rehabilitation at home</v>
      </c>
      <c r="C187" t="s">
        <v>117</v>
      </c>
      <c r="D187" t="s">
        <v>721</v>
      </c>
      <c r="E187">
        <v>159</v>
      </c>
      <c r="F187">
        <v>159</v>
      </c>
      <c r="G187">
        <v>159</v>
      </c>
      <c r="H187">
        <v>159</v>
      </c>
      <c r="I187">
        <v>159</v>
      </c>
      <c r="J187">
        <v>159</v>
      </c>
      <c r="K187">
        <v>159</v>
      </c>
      <c r="L187">
        <v>159</v>
      </c>
      <c r="M187">
        <v>159</v>
      </c>
      <c r="N187">
        <v>159</v>
      </c>
      <c r="O187">
        <v>159</v>
      </c>
      <c r="P187">
        <v>159</v>
      </c>
    </row>
    <row r="188" spans="1:16" x14ac:dyDescent="0.3">
      <c r="A188" t="str">
        <f>Table_Demand___Community_frontsheet[[#This Row],[Name]]&amp;B188</f>
        <v>Cornwall &amp; ScillyReablement &amp; Rehabilitation in a bedded setting</v>
      </c>
      <c r="B188" t="str">
        <f>VLOOKUP(Table_Demand___Community_frontsheet[[#This Row],[Service Type]],PathwayLookup!E:F,2,0)</f>
        <v>Reablement &amp; Rehabilitation in a bedded setting</v>
      </c>
      <c r="C188" t="s">
        <v>117</v>
      </c>
      <c r="D188" t="s">
        <v>723</v>
      </c>
      <c r="E188">
        <v>5</v>
      </c>
      <c r="F188">
        <v>5</v>
      </c>
      <c r="G188">
        <v>5</v>
      </c>
      <c r="H188">
        <v>5</v>
      </c>
      <c r="I188">
        <v>5</v>
      </c>
      <c r="J188">
        <v>5</v>
      </c>
      <c r="K188">
        <v>5</v>
      </c>
      <c r="L188">
        <v>5</v>
      </c>
      <c r="M188">
        <v>5</v>
      </c>
      <c r="N188">
        <v>5</v>
      </c>
      <c r="O188">
        <v>5</v>
      </c>
      <c r="P188">
        <v>5</v>
      </c>
    </row>
    <row r="189" spans="1:16" x14ac:dyDescent="0.3">
      <c r="A189" t="str">
        <f>Table_Demand___Community_frontsheet[[#This Row],[Name]]&amp;B189</f>
        <v>Cornwall &amp; ScillyReablement &amp; Rehabilitation in a bedded setting</v>
      </c>
      <c r="B189" t="str">
        <f>VLOOKUP(Table_Demand___Community_frontsheet[[#This Row],[Service Type]],PathwayLookup!E:F,2,0)</f>
        <v>Reablement &amp; Rehabilitation in a bedded setting</v>
      </c>
      <c r="C189" t="s">
        <v>117</v>
      </c>
      <c r="D189" t="s">
        <v>725</v>
      </c>
    </row>
    <row r="190" spans="1:16" x14ac:dyDescent="0.3">
      <c r="A190" t="str">
        <f>Table_Demand___Community_frontsheet[[#This Row],[Name]]&amp;B190</f>
        <v>Cornwall &amp; ScillyOther short-term social care</v>
      </c>
      <c r="B190" t="str">
        <f>VLOOKUP(Table_Demand___Community_frontsheet[[#This Row],[Service Type]],PathwayLookup!E:F,2,0)</f>
        <v>Other short-term social care</v>
      </c>
      <c r="C190" t="s">
        <v>117</v>
      </c>
      <c r="D190" t="s">
        <v>708</v>
      </c>
      <c r="E190">
        <v>59</v>
      </c>
      <c r="F190">
        <v>48</v>
      </c>
      <c r="G190">
        <v>48</v>
      </c>
      <c r="H190">
        <v>37</v>
      </c>
      <c r="I190">
        <v>45</v>
      </c>
      <c r="J190">
        <v>38</v>
      </c>
      <c r="K190">
        <v>60</v>
      </c>
      <c r="L190">
        <v>70</v>
      </c>
      <c r="M190">
        <v>47</v>
      </c>
      <c r="N190">
        <v>77</v>
      </c>
      <c r="O190">
        <v>91</v>
      </c>
      <c r="P190">
        <v>67</v>
      </c>
    </row>
    <row r="191" spans="1:16" x14ac:dyDescent="0.3">
      <c r="A191" t="str">
        <f>Table_Demand___Community_frontsheet[[#This Row],[Name]]&amp;B191</f>
        <v>County DurhamSocial support (including VCS)</v>
      </c>
      <c r="B191" t="str">
        <f>VLOOKUP(Table_Demand___Community_frontsheet[[#This Row],[Service Type]],PathwayLookup!E:F,2,0)</f>
        <v>Social support (including VCS)</v>
      </c>
      <c r="C191" t="s">
        <v>119</v>
      </c>
      <c r="D191" t="s">
        <v>704</v>
      </c>
      <c r="E191">
        <v>4</v>
      </c>
      <c r="F191">
        <v>4</v>
      </c>
      <c r="G191">
        <v>4</v>
      </c>
      <c r="H191">
        <v>4</v>
      </c>
      <c r="I191">
        <v>4</v>
      </c>
      <c r="J191">
        <v>4</v>
      </c>
      <c r="K191">
        <v>5</v>
      </c>
      <c r="L191">
        <v>5</v>
      </c>
      <c r="M191">
        <v>6</v>
      </c>
      <c r="N191">
        <v>6</v>
      </c>
      <c r="O191">
        <v>4</v>
      </c>
      <c r="P191">
        <v>4</v>
      </c>
    </row>
    <row r="192" spans="1:16" x14ac:dyDescent="0.3">
      <c r="A192" t="str">
        <f>Table_Demand___Community_frontsheet[[#This Row],[Name]]&amp;B192</f>
        <v>County DurhamUrgent Community Response</v>
      </c>
      <c r="B192" t="str">
        <f>VLOOKUP(Table_Demand___Community_frontsheet[[#This Row],[Service Type]],PathwayLookup!E:F,2,0)</f>
        <v>Urgent Community Response</v>
      </c>
      <c r="C192" t="s">
        <v>119</v>
      </c>
      <c r="D192" t="s">
        <v>705</v>
      </c>
      <c r="E192">
        <v>31</v>
      </c>
      <c r="F192">
        <v>32</v>
      </c>
      <c r="G192">
        <v>31</v>
      </c>
      <c r="H192">
        <v>32</v>
      </c>
      <c r="I192">
        <v>32</v>
      </c>
      <c r="J192">
        <v>31</v>
      </c>
      <c r="K192">
        <v>35</v>
      </c>
      <c r="L192">
        <v>34</v>
      </c>
      <c r="M192">
        <v>37</v>
      </c>
      <c r="N192">
        <v>37</v>
      </c>
      <c r="O192">
        <v>29</v>
      </c>
      <c r="P192">
        <v>32</v>
      </c>
    </row>
    <row r="193" spans="1:16" x14ac:dyDescent="0.3">
      <c r="A193" t="str">
        <f>Table_Demand___Community_frontsheet[[#This Row],[Name]]&amp;B193</f>
        <v>County DurhamReablement &amp; Rehabilitation at home</v>
      </c>
      <c r="B193" t="str">
        <f>VLOOKUP(Table_Demand___Community_frontsheet[[#This Row],[Service Type]],PathwayLookup!E:F,2,0)</f>
        <v>Reablement &amp; Rehabilitation at home</v>
      </c>
      <c r="C193" t="s">
        <v>119</v>
      </c>
      <c r="D193" t="s">
        <v>720</v>
      </c>
      <c r="E193">
        <v>61</v>
      </c>
      <c r="F193">
        <v>64</v>
      </c>
      <c r="G193">
        <v>62</v>
      </c>
      <c r="H193">
        <v>64</v>
      </c>
      <c r="I193">
        <v>64</v>
      </c>
      <c r="J193">
        <v>62</v>
      </c>
      <c r="K193">
        <v>70</v>
      </c>
      <c r="L193">
        <v>68</v>
      </c>
      <c r="M193">
        <v>74</v>
      </c>
      <c r="N193">
        <v>74</v>
      </c>
      <c r="O193">
        <v>58</v>
      </c>
      <c r="P193">
        <v>64</v>
      </c>
    </row>
    <row r="194" spans="1:16" x14ac:dyDescent="0.3">
      <c r="A194" t="str">
        <f>Table_Demand___Community_frontsheet[[#This Row],[Name]]&amp;B194</f>
        <v>County DurhamReablement &amp; Rehabilitation at home</v>
      </c>
      <c r="B194" t="str">
        <f>VLOOKUP(Table_Demand___Community_frontsheet[[#This Row],[Service Type]],PathwayLookup!E:F,2,0)</f>
        <v>Reablement &amp; Rehabilitation at home</v>
      </c>
      <c r="C194" t="s">
        <v>119</v>
      </c>
      <c r="D194" t="s">
        <v>721</v>
      </c>
    </row>
    <row r="195" spans="1:16" x14ac:dyDescent="0.3">
      <c r="A195" t="str">
        <f>Table_Demand___Community_frontsheet[[#This Row],[Name]]&amp;B195</f>
        <v>County DurhamReablement &amp; Rehabilitation in a bedded setting</v>
      </c>
      <c r="B195" t="str">
        <f>VLOOKUP(Table_Demand___Community_frontsheet[[#This Row],[Service Type]],PathwayLookup!E:F,2,0)</f>
        <v>Reablement &amp; Rehabilitation in a bedded setting</v>
      </c>
      <c r="C195" t="s">
        <v>119</v>
      </c>
      <c r="D195" t="s">
        <v>723</v>
      </c>
    </row>
    <row r="196" spans="1:16" x14ac:dyDescent="0.3">
      <c r="A196" t="str">
        <f>Table_Demand___Community_frontsheet[[#This Row],[Name]]&amp;B196</f>
        <v>County DurhamReablement &amp; Rehabilitation in a bedded setting</v>
      </c>
      <c r="B196" t="str">
        <f>VLOOKUP(Table_Demand___Community_frontsheet[[#This Row],[Service Type]],PathwayLookup!E:F,2,0)</f>
        <v>Reablement &amp; Rehabilitation in a bedded setting</v>
      </c>
      <c r="C196" t="s">
        <v>119</v>
      </c>
      <c r="D196" t="s">
        <v>725</v>
      </c>
      <c r="E196">
        <v>36</v>
      </c>
      <c r="F196">
        <v>37</v>
      </c>
      <c r="G196">
        <v>36</v>
      </c>
      <c r="H196">
        <v>37</v>
      </c>
      <c r="I196">
        <v>37</v>
      </c>
      <c r="J196">
        <v>36</v>
      </c>
      <c r="K196">
        <v>41</v>
      </c>
      <c r="L196">
        <v>40</v>
      </c>
      <c r="M196">
        <v>43</v>
      </c>
      <c r="N196">
        <v>43</v>
      </c>
      <c r="O196">
        <v>34</v>
      </c>
      <c r="P196">
        <v>37</v>
      </c>
    </row>
    <row r="197" spans="1:16" x14ac:dyDescent="0.3">
      <c r="A197" t="str">
        <f>Table_Demand___Community_frontsheet[[#This Row],[Name]]&amp;B197</f>
        <v>County DurhamOther short-term social care</v>
      </c>
      <c r="B197" t="str">
        <f>VLOOKUP(Table_Demand___Community_frontsheet[[#This Row],[Service Type]],PathwayLookup!E:F,2,0)</f>
        <v>Other short-term social care</v>
      </c>
      <c r="C197" t="s">
        <v>119</v>
      </c>
      <c r="D197" t="s">
        <v>708</v>
      </c>
      <c r="E197">
        <v>68</v>
      </c>
      <c r="F197">
        <v>70</v>
      </c>
      <c r="G197">
        <v>68</v>
      </c>
      <c r="H197">
        <v>70</v>
      </c>
      <c r="I197">
        <v>70</v>
      </c>
      <c r="J197">
        <v>68</v>
      </c>
      <c r="K197">
        <v>77</v>
      </c>
      <c r="L197">
        <v>75</v>
      </c>
      <c r="M197">
        <v>81</v>
      </c>
      <c r="N197">
        <v>81</v>
      </c>
      <c r="O197">
        <v>64</v>
      </c>
      <c r="P197">
        <v>70</v>
      </c>
    </row>
    <row r="198" spans="1:16" x14ac:dyDescent="0.3">
      <c r="A198" t="str">
        <f>Table_Demand___Community_frontsheet[[#This Row],[Name]]&amp;B198</f>
        <v>CoventrySocial support (including VCS)</v>
      </c>
      <c r="B198" t="str">
        <f>VLOOKUP(Table_Demand___Community_frontsheet[[#This Row],[Service Type]],PathwayLookup!E:F,2,0)</f>
        <v>Social support (including VCS)</v>
      </c>
      <c r="C198" t="s">
        <v>121</v>
      </c>
      <c r="D198" t="s">
        <v>704</v>
      </c>
      <c r="E198">
        <v>0</v>
      </c>
      <c r="F198">
        <v>0</v>
      </c>
      <c r="G198">
        <v>0</v>
      </c>
      <c r="H198">
        <v>0</v>
      </c>
      <c r="I198">
        <v>0</v>
      </c>
      <c r="J198">
        <v>0</v>
      </c>
      <c r="K198">
        <v>0</v>
      </c>
      <c r="L198">
        <v>0</v>
      </c>
      <c r="M198">
        <v>0</v>
      </c>
      <c r="N198">
        <v>0</v>
      </c>
      <c r="O198">
        <v>0</v>
      </c>
      <c r="P198">
        <v>0</v>
      </c>
    </row>
    <row r="199" spans="1:16" x14ac:dyDescent="0.3">
      <c r="A199" t="str">
        <f>Table_Demand___Community_frontsheet[[#This Row],[Name]]&amp;B199</f>
        <v>CoventryUrgent Community Response</v>
      </c>
      <c r="B199" t="str">
        <f>VLOOKUP(Table_Demand___Community_frontsheet[[#This Row],[Service Type]],PathwayLookup!E:F,2,0)</f>
        <v>Urgent Community Response</v>
      </c>
      <c r="C199" t="s">
        <v>121</v>
      </c>
      <c r="D199" t="s">
        <v>705</v>
      </c>
      <c r="E199">
        <v>0</v>
      </c>
      <c r="F199">
        <v>0</v>
      </c>
      <c r="G199">
        <v>0</v>
      </c>
      <c r="H199">
        <v>0</v>
      </c>
      <c r="I199">
        <v>0</v>
      </c>
      <c r="J199">
        <v>0</v>
      </c>
      <c r="K199">
        <v>0</v>
      </c>
      <c r="L199">
        <v>0</v>
      </c>
      <c r="M199">
        <v>0</v>
      </c>
      <c r="N199">
        <v>0</v>
      </c>
      <c r="O199">
        <v>0</v>
      </c>
      <c r="P199">
        <v>0</v>
      </c>
    </row>
    <row r="200" spans="1:16" x14ac:dyDescent="0.3">
      <c r="A200" t="str">
        <f>Table_Demand___Community_frontsheet[[#This Row],[Name]]&amp;B200</f>
        <v>CoventryReablement &amp; Rehabilitation at home</v>
      </c>
      <c r="B200" t="str">
        <f>VLOOKUP(Table_Demand___Community_frontsheet[[#This Row],[Service Type]],PathwayLookup!E:F,2,0)</f>
        <v>Reablement &amp; Rehabilitation at home</v>
      </c>
      <c r="C200" t="s">
        <v>121</v>
      </c>
      <c r="D200" t="s">
        <v>720</v>
      </c>
      <c r="E200">
        <v>45</v>
      </c>
      <c r="F200">
        <v>45</v>
      </c>
      <c r="G200">
        <v>45</v>
      </c>
      <c r="H200">
        <v>45</v>
      </c>
      <c r="I200">
        <v>45</v>
      </c>
      <c r="J200">
        <v>45</v>
      </c>
      <c r="K200">
        <v>45</v>
      </c>
      <c r="L200">
        <v>45</v>
      </c>
      <c r="M200">
        <v>45</v>
      </c>
      <c r="N200">
        <v>45</v>
      </c>
      <c r="O200">
        <v>45</v>
      </c>
      <c r="P200">
        <v>45</v>
      </c>
    </row>
    <row r="201" spans="1:16" x14ac:dyDescent="0.3">
      <c r="A201" t="str">
        <f>Table_Demand___Community_frontsheet[[#This Row],[Name]]&amp;B201</f>
        <v>CoventryReablement &amp; Rehabilitation at home</v>
      </c>
      <c r="B201" t="str">
        <f>VLOOKUP(Table_Demand___Community_frontsheet[[#This Row],[Service Type]],PathwayLookup!E:F,2,0)</f>
        <v>Reablement &amp; Rehabilitation at home</v>
      </c>
      <c r="C201" t="s">
        <v>121</v>
      </c>
      <c r="D201" t="s">
        <v>721</v>
      </c>
      <c r="E201">
        <v>0</v>
      </c>
      <c r="F201">
        <v>0</v>
      </c>
      <c r="G201">
        <v>0</v>
      </c>
      <c r="H201">
        <v>0</v>
      </c>
      <c r="I201">
        <v>0</v>
      </c>
      <c r="J201">
        <v>0</v>
      </c>
      <c r="K201">
        <v>0</v>
      </c>
      <c r="L201">
        <v>0</v>
      </c>
      <c r="M201">
        <v>0</v>
      </c>
      <c r="N201">
        <v>0</v>
      </c>
      <c r="O201">
        <v>0</v>
      </c>
      <c r="P201">
        <v>0</v>
      </c>
    </row>
    <row r="202" spans="1:16" x14ac:dyDescent="0.3">
      <c r="A202" t="str">
        <f>Table_Demand___Community_frontsheet[[#This Row],[Name]]&amp;B202</f>
        <v>CoventryReablement &amp; Rehabilitation in a bedded setting</v>
      </c>
      <c r="B202" t="str">
        <f>VLOOKUP(Table_Demand___Community_frontsheet[[#This Row],[Service Type]],PathwayLookup!E:F,2,0)</f>
        <v>Reablement &amp; Rehabilitation in a bedded setting</v>
      </c>
      <c r="C202" t="s">
        <v>121</v>
      </c>
      <c r="D202" t="s">
        <v>723</v>
      </c>
      <c r="E202">
        <v>8</v>
      </c>
      <c r="F202">
        <v>8</v>
      </c>
      <c r="G202">
        <v>8</v>
      </c>
      <c r="H202">
        <v>8</v>
      </c>
      <c r="I202">
        <v>8</v>
      </c>
      <c r="J202">
        <v>8</v>
      </c>
      <c r="K202">
        <v>8</v>
      </c>
      <c r="L202">
        <v>8</v>
      </c>
      <c r="M202">
        <v>8</v>
      </c>
      <c r="N202">
        <v>8</v>
      </c>
      <c r="O202">
        <v>8</v>
      </c>
      <c r="P202">
        <v>8</v>
      </c>
    </row>
    <row r="203" spans="1:16" x14ac:dyDescent="0.3">
      <c r="A203" t="str">
        <f>Table_Demand___Community_frontsheet[[#This Row],[Name]]&amp;B203</f>
        <v>CoventryReablement &amp; Rehabilitation in a bedded setting</v>
      </c>
      <c r="B203" t="str">
        <f>VLOOKUP(Table_Demand___Community_frontsheet[[#This Row],[Service Type]],PathwayLookup!E:F,2,0)</f>
        <v>Reablement &amp; Rehabilitation in a bedded setting</v>
      </c>
      <c r="C203" t="s">
        <v>121</v>
      </c>
      <c r="D203" t="s">
        <v>725</v>
      </c>
      <c r="E203">
        <v>0</v>
      </c>
      <c r="F203">
        <v>0</v>
      </c>
      <c r="G203">
        <v>0</v>
      </c>
      <c r="H203">
        <v>0</v>
      </c>
      <c r="I203">
        <v>0</v>
      </c>
      <c r="J203">
        <v>0</v>
      </c>
      <c r="K203">
        <v>0</v>
      </c>
      <c r="L203">
        <v>0</v>
      </c>
      <c r="M203">
        <v>0</v>
      </c>
      <c r="N203">
        <v>0</v>
      </c>
      <c r="O203">
        <v>0</v>
      </c>
      <c r="P203">
        <v>0</v>
      </c>
    </row>
    <row r="204" spans="1:16" x14ac:dyDescent="0.3">
      <c r="A204" t="str">
        <f>Table_Demand___Community_frontsheet[[#This Row],[Name]]&amp;B204</f>
        <v>CoventryOther short-term social care</v>
      </c>
      <c r="B204" t="str">
        <f>VLOOKUP(Table_Demand___Community_frontsheet[[#This Row],[Service Type]],PathwayLookup!E:F,2,0)</f>
        <v>Other short-term social care</v>
      </c>
      <c r="C204" t="s">
        <v>121</v>
      </c>
      <c r="D204" t="s">
        <v>708</v>
      </c>
      <c r="E204">
        <v>0</v>
      </c>
      <c r="F204">
        <v>0</v>
      </c>
      <c r="G204">
        <v>0</v>
      </c>
      <c r="H204">
        <v>0</v>
      </c>
      <c r="I204">
        <v>0</v>
      </c>
      <c r="J204">
        <v>0</v>
      </c>
      <c r="K204">
        <v>0</v>
      </c>
      <c r="L204">
        <v>0</v>
      </c>
      <c r="M204">
        <v>0</v>
      </c>
      <c r="N204">
        <v>0</v>
      </c>
      <c r="O204">
        <v>0</v>
      </c>
      <c r="P204">
        <v>0</v>
      </c>
    </row>
    <row r="205" spans="1:16" x14ac:dyDescent="0.3">
      <c r="A205" t="str">
        <f>Table_Demand___Community_frontsheet[[#This Row],[Name]]&amp;B205</f>
        <v>CroydonSocial support (including VCS)</v>
      </c>
      <c r="B205" t="str">
        <f>VLOOKUP(Table_Demand___Community_frontsheet[[#This Row],[Service Type]],PathwayLookup!E:F,2,0)</f>
        <v>Social support (including VCS)</v>
      </c>
      <c r="C205" t="s">
        <v>123</v>
      </c>
      <c r="D205" t="s">
        <v>704</v>
      </c>
      <c r="E205">
        <v>77</v>
      </c>
      <c r="F205">
        <v>77</v>
      </c>
      <c r="G205">
        <v>77</v>
      </c>
      <c r="H205">
        <v>77</v>
      </c>
      <c r="I205">
        <v>77</v>
      </c>
      <c r="J205">
        <v>77</v>
      </c>
      <c r="K205">
        <v>77</v>
      </c>
      <c r="L205">
        <v>77</v>
      </c>
      <c r="M205">
        <v>77</v>
      </c>
      <c r="N205">
        <v>77</v>
      </c>
      <c r="O205">
        <v>77</v>
      </c>
      <c r="P205">
        <v>77</v>
      </c>
    </row>
    <row r="206" spans="1:16" x14ac:dyDescent="0.3">
      <c r="A206" t="str">
        <f>Table_Demand___Community_frontsheet[[#This Row],[Name]]&amp;B206</f>
        <v>CroydonUrgent Community Response</v>
      </c>
      <c r="B206" t="str">
        <f>VLOOKUP(Table_Demand___Community_frontsheet[[#This Row],[Service Type]],PathwayLookup!E:F,2,0)</f>
        <v>Urgent Community Response</v>
      </c>
      <c r="C206" t="s">
        <v>123</v>
      </c>
      <c r="D206" t="s">
        <v>705</v>
      </c>
      <c r="E206">
        <v>408</v>
      </c>
      <c r="F206">
        <v>319</v>
      </c>
      <c r="G206">
        <v>364</v>
      </c>
      <c r="H206">
        <v>388</v>
      </c>
      <c r="I206">
        <v>372</v>
      </c>
      <c r="J206">
        <v>338</v>
      </c>
      <c r="K206">
        <v>470</v>
      </c>
      <c r="L206">
        <v>395</v>
      </c>
      <c r="M206">
        <v>510</v>
      </c>
      <c r="N206">
        <v>408</v>
      </c>
      <c r="O206">
        <v>415</v>
      </c>
      <c r="P206">
        <v>443</v>
      </c>
    </row>
    <row r="207" spans="1:16" x14ac:dyDescent="0.3">
      <c r="A207" t="str">
        <f>Table_Demand___Community_frontsheet[[#This Row],[Name]]&amp;B207</f>
        <v>CroydonReablement &amp; Rehabilitation at home</v>
      </c>
      <c r="B207" t="str">
        <f>VLOOKUP(Table_Demand___Community_frontsheet[[#This Row],[Service Type]],PathwayLookup!E:F,2,0)</f>
        <v>Reablement &amp; Rehabilitation at home</v>
      </c>
      <c r="C207" t="s">
        <v>123</v>
      </c>
      <c r="D207" t="s">
        <v>720</v>
      </c>
      <c r="E207">
        <v>89</v>
      </c>
      <c r="F207">
        <v>89</v>
      </c>
      <c r="G207">
        <v>89</v>
      </c>
      <c r="H207">
        <v>89</v>
      </c>
      <c r="I207">
        <v>89</v>
      </c>
      <c r="J207">
        <v>89</v>
      </c>
      <c r="K207">
        <v>130</v>
      </c>
      <c r="L207">
        <v>130</v>
      </c>
      <c r="M207">
        <v>130</v>
      </c>
      <c r="N207">
        <v>130</v>
      </c>
      <c r="O207">
        <v>130</v>
      </c>
      <c r="P207">
        <v>130</v>
      </c>
    </row>
    <row r="208" spans="1:16" x14ac:dyDescent="0.3">
      <c r="A208" t="str">
        <f>Table_Demand___Community_frontsheet[[#This Row],[Name]]&amp;B208</f>
        <v>CroydonReablement &amp; Rehabilitation at home</v>
      </c>
      <c r="B208" t="str">
        <f>VLOOKUP(Table_Demand___Community_frontsheet[[#This Row],[Service Type]],PathwayLookup!E:F,2,0)</f>
        <v>Reablement &amp; Rehabilitation at home</v>
      </c>
      <c r="C208" t="s">
        <v>123</v>
      </c>
      <c r="D208" t="s">
        <v>721</v>
      </c>
      <c r="E208">
        <v>5</v>
      </c>
      <c r="F208">
        <v>5</v>
      </c>
      <c r="G208">
        <v>5</v>
      </c>
      <c r="H208">
        <v>5</v>
      </c>
      <c r="I208">
        <v>5</v>
      </c>
      <c r="J208">
        <v>5</v>
      </c>
      <c r="K208">
        <v>5</v>
      </c>
      <c r="L208">
        <v>5</v>
      </c>
      <c r="M208">
        <v>5</v>
      </c>
      <c r="N208">
        <v>5</v>
      </c>
      <c r="O208">
        <v>4</v>
      </c>
      <c r="P208">
        <v>5</v>
      </c>
    </row>
    <row r="209" spans="1:16" x14ac:dyDescent="0.3">
      <c r="A209" t="str">
        <f>Table_Demand___Community_frontsheet[[#This Row],[Name]]&amp;B209</f>
        <v>CroydonReablement &amp; Rehabilitation in a bedded setting</v>
      </c>
      <c r="B209" t="str">
        <f>VLOOKUP(Table_Demand___Community_frontsheet[[#This Row],[Service Type]],PathwayLookup!E:F,2,0)</f>
        <v>Reablement &amp; Rehabilitation in a bedded setting</v>
      </c>
      <c r="C209" t="s">
        <v>123</v>
      </c>
      <c r="D209" t="s">
        <v>723</v>
      </c>
      <c r="E209">
        <v>0</v>
      </c>
      <c r="F209">
        <v>0</v>
      </c>
      <c r="G209">
        <v>0</v>
      </c>
      <c r="H209">
        <v>0</v>
      </c>
      <c r="I209">
        <v>0</v>
      </c>
      <c r="J209">
        <v>0</v>
      </c>
      <c r="K209">
        <v>0</v>
      </c>
      <c r="L209">
        <v>0</v>
      </c>
      <c r="M209">
        <v>0</v>
      </c>
      <c r="N209">
        <v>0</v>
      </c>
      <c r="O209">
        <v>0</v>
      </c>
      <c r="P209">
        <v>0</v>
      </c>
    </row>
    <row r="210" spans="1:16" x14ac:dyDescent="0.3">
      <c r="A210" t="str">
        <f>Table_Demand___Community_frontsheet[[#This Row],[Name]]&amp;B210</f>
        <v>CroydonReablement &amp; Rehabilitation in a bedded setting</v>
      </c>
      <c r="B210" t="str">
        <f>VLOOKUP(Table_Demand___Community_frontsheet[[#This Row],[Service Type]],PathwayLookup!E:F,2,0)</f>
        <v>Reablement &amp; Rehabilitation in a bedded setting</v>
      </c>
      <c r="C210" t="s">
        <v>123</v>
      </c>
      <c r="D210" t="s">
        <v>725</v>
      </c>
      <c r="E210">
        <v>4</v>
      </c>
      <c r="F210">
        <v>4</v>
      </c>
      <c r="G210">
        <v>4</v>
      </c>
      <c r="H210">
        <v>4</v>
      </c>
      <c r="I210">
        <v>4</v>
      </c>
      <c r="J210">
        <v>4</v>
      </c>
      <c r="K210">
        <v>4</v>
      </c>
      <c r="L210">
        <v>4</v>
      </c>
      <c r="M210">
        <v>4</v>
      </c>
      <c r="N210">
        <v>4</v>
      </c>
      <c r="O210">
        <v>4</v>
      </c>
      <c r="P210">
        <v>4</v>
      </c>
    </row>
    <row r="211" spans="1:16" x14ac:dyDescent="0.3">
      <c r="A211" t="str">
        <f>Table_Demand___Community_frontsheet[[#This Row],[Name]]&amp;B211</f>
        <v>CroydonOther short-term social care</v>
      </c>
      <c r="B211" t="str">
        <f>VLOOKUP(Table_Demand___Community_frontsheet[[#This Row],[Service Type]],PathwayLookup!E:F,2,0)</f>
        <v>Other short-term social care</v>
      </c>
      <c r="C211" t="s">
        <v>123</v>
      </c>
      <c r="D211" t="s">
        <v>708</v>
      </c>
      <c r="E211">
        <v>0</v>
      </c>
      <c r="F211">
        <v>0</v>
      </c>
      <c r="G211">
        <v>0</v>
      </c>
      <c r="H211">
        <v>0</v>
      </c>
      <c r="I211">
        <v>0</v>
      </c>
      <c r="J211">
        <v>0</v>
      </c>
      <c r="K211">
        <v>0</v>
      </c>
      <c r="L211">
        <v>0</v>
      </c>
      <c r="M211">
        <v>0</v>
      </c>
      <c r="N211">
        <v>0</v>
      </c>
      <c r="O211">
        <v>0</v>
      </c>
      <c r="P211">
        <v>0</v>
      </c>
    </row>
    <row r="212" spans="1:16" x14ac:dyDescent="0.3">
      <c r="A212" t="str">
        <f>Table_Demand___Community_frontsheet[[#This Row],[Name]]&amp;B212</f>
        <v>CumberlandSocial support (including VCS)</v>
      </c>
      <c r="B212" t="str">
        <f>VLOOKUP(Table_Demand___Community_frontsheet[[#This Row],[Service Type]],PathwayLookup!E:F,2,0)</f>
        <v>Social support (including VCS)</v>
      </c>
      <c r="C212" t="s">
        <v>125</v>
      </c>
      <c r="D212" t="s">
        <v>704</v>
      </c>
      <c r="E212">
        <v>0</v>
      </c>
      <c r="F212">
        <v>0</v>
      </c>
      <c r="G212">
        <v>0</v>
      </c>
      <c r="H212">
        <v>0</v>
      </c>
      <c r="I212">
        <v>0</v>
      </c>
      <c r="J212">
        <v>0</v>
      </c>
      <c r="K212">
        <v>0</v>
      </c>
      <c r="L212">
        <v>0</v>
      </c>
      <c r="M212">
        <v>0</v>
      </c>
      <c r="N212">
        <v>0</v>
      </c>
      <c r="O212">
        <v>0</v>
      </c>
      <c r="P212">
        <v>0</v>
      </c>
    </row>
    <row r="213" spans="1:16" x14ac:dyDescent="0.3">
      <c r="A213" t="str">
        <f>Table_Demand___Community_frontsheet[[#This Row],[Name]]&amp;B213</f>
        <v>CumberlandUrgent Community Response</v>
      </c>
      <c r="B213" t="str">
        <f>VLOOKUP(Table_Demand___Community_frontsheet[[#This Row],[Service Type]],PathwayLookup!E:F,2,0)</f>
        <v>Urgent Community Response</v>
      </c>
      <c r="C213" t="s">
        <v>125</v>
      </c>
      <c r="D213" t="s">
        <v>705</v>
      </c>
      <c r="E213">
        <v>25</v>
      </c>
      <c r="F213">
        <v>26</v>
      </c>
      <c r="G213">
        <v>25</v>
      </c>
      <c r="H213">
        <v>25</v>
      </c>
      <c r="I213">
        <v>26</v>
      </c>
      <c r="J213">
        <v>26</v>
      </c>
      <c r="K213">
        <v>34</v>
      </c>
      <c r="L213">
        <v>34</v>
      </c>
      <c r="M213">
        <v>34</v>
      </c>
      <c r="N213">
        <v>32</v>
      </c>
      <c r="O213">
        <v>29</v>
      </c>
      <c r="P213">
        <v>33</v>
      </c>
    </row>
    <row r="214" spans="1:16" x14ac:dyDescent="0.3">
      <c r="A214" t="str">
        <f>Table_Demand___Community_frontsheet[[#This Row],[Name]]&amp;B214</f>
        <v>CumberlandReablement &amp; Rehabilitation at home</v>
      </c>
      <c r="B214" t="str">
        <f>VLOOKUP(Table_Demand___Community_frontsheet[[#This Row],[Service Type]],PathwayLookup!E:F,2,0)</f>
        <v>Reablement &amp; Rehabilitation at home</v>
      </c>
      <c r="C214" t="s">
        <v>125</v>
      </c>
      <c r="D214" t="s">
        <v>720</v>
      </c>
      <c r="E214">
        <v>58</v>
      </c>
      <c r="F214">
        <v>58</v>
      </c>
      <c r="G214">
        <v>58</v>
      </c>
      <c r="H214">
        <v>58</v>
      </c>
      <c r="I214">
        <v>58</v>
      </c>
      <c r="J214">
        <v>58</v>
      </c>
      <c r="K214">
        <v>58</v>
      </c>
      <c r="L214">
        <v>58</v>
      </c>
      <c r="M214">
        <v>58</v>
      </c>
      <c r="N214">
        <v>58</v>
      </c>
      <c r="O214">
        <v>58</v>
      </c>
      <c r="P214">
        <v>58</v>
      </c>
    </row>
    <row r="215" spans="1:16" x14ac:dyDescent="0.3">
      <c r="A215" t="str">
        <f>Table_Demand___Community_frontsheet[[#This Row],[Name]]&amp;B215</f>
        <v>CumberlandReablement &amp; Rehabilitation at home</v>
      </c>
      <c r="B215" t="str">
        <f>VLOOKUP(Table_Demand___Community_frontsheet[[#This Row],[Service Type]],PathwayLookup!E:F,2,0)</f>
        <v>Reablement &amp; Rehabilitation at home</v>
      </c>
      <c r="C215" t="s">
        <v>125</v>
      </c>
      <c r="D215" t="s">
        <v>721</v>
      </c>
      <c r="E215">
        <v>123</v>
      </c>
      <c r="F215">
        <v>135</v>
      </c>
      <c r="G215">
        <v>135</v>
      </c>
      <c r="H215">
        <v>135</v>
      </c>
      <c r="I215">
        <v>135</v>
      </c>
      <c r="J215">
        <v>135</v>
      </c>
      <c r="K215">
        <v>140</v>
      </c>
      <c r="L215">
        <v>140</v>
      </c>
      <c r="M215">
        <v>140</v>
      </c>
      <c r="N215">
        <v>140</v>
      </c>
      <c r="O215">
        <v>140</v>
      </c>
      <c r="P215">
        <v>140</v>
      </c>
    </row>
    <row r="216" spans="1:16" x14ac:dyDescent="0.3">
      <c r="A216" t="str">
        <f>Table_Demand___Community_frontsheet[[#This Row],[Name]]&amp;B216</f>
        <v>CumberlandReablement &amp; Rehabilitation in a bedded setting</v>
      </c>
      <c r="B216" t="str">
        <f>VLOOKUP(Table_Demand___Community_frontsheet[[#This Row],[Service Type]],PathwayLookup!E:F,2,0)</f>
        <v>Reablement &amp; Rehabilitation in a bedded setting</v>
      </c>
      <c r="C216" t="s">
        <v>125</v>
      </c>
      <c r="D216" t="s">
        <v>723</v>
      </c>
      <c r="E216">
        <v>0</v>
      </c>
      <c r="F216">
        <v>0</v>
      </c>
      <c r="G216">
        <v>0</v>
      </c>
      <c r="H216">
        <v>0</v>
      </c>
      <c r="I216">
        <v>0</v>
      </c>
      <c r="J216">
        <v>0</v>
      </c>
      <c r="K216">
        <v>0</v>
      </c>
      <c r="L216">
        <v>0</v>
      </c>
      <c r="M216">
        <v>0</v>
      </c>
      <c r="N216">
        <v>0</v>
      </c>
      <c r="O216">
        <v>0</v>
      </c>
      <c r="P216">
        <v>0</v>
      </c>
    </row>
    <row r="217" spans="1:16" x14ac:dyDescent="0.3">
      <c r="A217" t="str">
        <f>Table_Demand___Community_frontsheet[[#This Row],[Name]]&amp;B217</f>
        <v>CumberlandReablement &amp; Rehabilitation in a bedded setting</v>
      </c>
      <c r="B217" t="str">
        <f>VLOOKUP(Table_Demand___Community_frontsheet[[#This Row],[Service Type]],PathwayLookup!E:F,2,0)</f>
        <v>Reablement &amp; Rehabilitation in a bedded setting</v>
      </c>
      <c r="C217" t="s">
        <v>125</v>
      </c>
      <c r="D217" t="s">
        <v>725</v>
      </c>
      <c r="E217">
        <v>28</v>
      </c>
      <c r="F217">
        <v>28</v>
      </c>
      <c r="G217">
        <v>28</v>
      </c>
      <c r="H217">
        <v>28</v>
      </c>
      <c r="I217">
        <v>28</v>
      </c>
      <c r="J217">
        <v>28</v>
      </c>
      <c r="K217">
        <v>40</v>
      </c>
      <c r="L217">
        <v>40</v>
      </c>
      <c r="M217">
        <v>40</v>
      </c>
      <c r="N217">
        <v>40</v>
      </c>
      <c r="O217">
        <v>40</v>
      </c>
      <c r="P217">
        <v>40</v>
      </c>
    </row>
    <row r="218" spans="1:16" x14ac:dyDescent="0.3">
      <c r="A218" t="str">
        <f>Table_Demand___Community_frontsheet[[#This Row],[Name]]&amp;B218</f>
        <v>CumberlandOther short-term social care</v>
      </c>
      <c r="B218" t="str">
        <f>VLOOKUP(Table_Demand___Community_frontsheet[[#This Row],[Service Type]],PathwayLookup!E:F,2,0)</f>
        <v>Other short-term social care</v>
      </c>
      <c r="C218" t="s">
        <v>125</v>
      </c>
      <c r="D218" t="s">
        <v>708</v>
      </c>
      <c r="E218">
        <v>0</v>
      </c>
      <c r="F218">
        <v>0</v>
      </c>
      <c r="G218">
        <v>0</v>
      </c>
      <c r="H218">
        <v>0</v>
      </c>
      <c r="I218">
        <v>0</v>
      </c>
      <c r="J218">
        <v>0</v>
      </c>
      <c r="K218">
        <v>0</v>
      </c>
      <c r="L218">
        <v>0</v>
      </c>
      <c r="M218">
        <v>0</v>
      </c>
      <c r="N218">
        <v>0</v>
      </c>
      <c r="O218">
        <v>0</v>
      </c>
      <c r="P218">
        <v>0</v>
      </c>
    </row>
    <row r="219" spans="1:16" x14ac:dyDescent="0.3">
      <c r="A219" t="str">
        <f>Table_Demand___Community_frontsheet[[#This Row],[Name]]&amp;B219</f>
        <v>DarlingtonSocial support (including VCS)</v>
      </c>
      <c r="B219" t="str">
        <f>VLOOKUP(Table_Demand___Community_frontsheet[[#This Row],[Service Type]],PathwayLookup!E:F,2,0)</f>
        <v>Social support (including VCS)</v>
      </c>
      <c r="C219" t="s">
        <v>127</v>
      </c>
      <c r="D219" t="s">
        <v>704</v>
      </c>
      <c r="E219">
        <v>0</v>
      </c>
      <c r="F219">
        <v>0</v>
      </c>
      <c r="G219">
        <v>0</v>
      </c>
      <c r="H219">
        <v>0</v>
      </c>
      <c r="I219">
        <v>0</v>
      </c>
      <c r="J219">
        <v>0</v>
      </c>
      <c r="K219">
        <v>0</v>
      </c>
      <c r="L219">
        <v>0</v>
      </c>
      <c r="M219">
        <v>0</v>
      </c>
      <c r="N219">
        <v>0</v>
      </c>
      <c r="O219">
        <v>0</v>
      </c>
      <c r="P219">
        <v>0</v>
      </c>
    </row>
    <row r="220" spans="1:16" x14ac:dyDescent="0.3">
      <c r="A220" t="str">
        <f>Table_Demand___Community_frontsheet[[#This Row],[Name]]&amp;B220</f>
        <v>DarlingtonUrgent Community Response</v>
      </c>
      <c r="B220" t="str">
        <f>VLOOKUP(Table_Demand___Community_frontsheet[[#This Row],[Service Type]],PathwayLookup!E:F,2,0)</f>
        <v>Urgent Community Response</v>
      </c>
      <c r="C220" t="s">
        <v>127</v>
      </c>
      <c r="D220" t="s">
        <v>705</v>
      </c>
      <c r="E220">
        <v>123</v>
      </c>
      <c r="F220">
        <v>127</v>
      </c>
      <c r="G220">
        <v>123</v>
      </c>
      <c r="H220">
        <v>127</v>
      </c>
      <c r="I220">
        <v>127</v>
      </c>
      <c r="J220">
        <v>123</v>
      </c>
      <c r="K220">
        <v>127</v>
      </c>
      <c r="L220">
        <v>123</v>
      </c>
      <c r="M220">
        <v>127</v>
      </c>
      <c r="N220">
        <v>127</v>
      </c>
      <c r="O220">
        <v>119</v>
      </c>
      <c r="P220">
        <v>127</v>
      </c>
    </row>
    <row r="221" spans="1:16" x14ac:dyDescent="0.3">
      <c r="A221" t="str">
        <f>Table_Demand___Community_frontsheet[[#This Row],[Name]]&amp;B221</f>
        <v>DarlingtonReablement &amp; Rehabilitation at home</v>
      </c>
      <c r="B221" t="str">
        <f>VLOOKUP(Table_Demand___Community_frontsheet[[#This Row],[Service Type]],PathwayLookup!E:F,2,0)</f>
        <v>Reablement &amp; Rehabilitation at home</v>
      </c>
      <c r="C221" t="s">
        <v>127</v>
      </c>
      <c r="D221" t="s">
        <v>720</v>
      </c>
      <c r="E221">
        <v>3</v>
      </c>
      <c r="F221">
        <v>3</v>
      </c>
      <c r="G221">
        <v>3</v>
      </c>
      <c r="H221">
        <v>3</v>
      </c>
      <c r="I221">
        <v>3</v>
      </c>
      <c r="J221">
        <v>3</v>
      </c>
      <c r="K221">
        <v>3</v>
      </c>
      <c r="L221">
        <v>3</v>
      </c>
      <c r="M221">
        <v>3</v>
      </c>
      <c r="N221">
        <v>3</v>
      </c>
      <c r="O221">
        <v>3</v>
      </c>
      <c r="P221">
        <v>3</v>
      </c>
    </row>
    <row r="222" spans="1:16" x14ac:dyDescent="0.3">
      <c r="A222" t="str">
        <f>Table_Demand___Community_frontsheet[[#This Row],[Name]]&amp;B222</f>
        <v>DarlingtonReablement &amp; Rehabilitation at home</v>
      </c>
      <c r="B222" t="str">
        <f>VLOOKUP(Table_Demand___Community_frontsheet[[#This Row],[Service Type]],PathwayLookup!E:F,2,0)</f>
        <v>Reablement &amp; Rehabilitation at home</v>
      </c>
      <c r="C222" t="s">
        <v>127</v>
      </c>
      <c r="D222" t="s">
        <v>721</v>
      </c>
      <c r="E222">
        <v>0</v>
      </c>
      <c r="F222">
        <v>0</v>
      </c>
      <c r="G222">
        <v>1</v>
      </c>
      <c r="H222">
        <v>0</v>
      </c>
      <c r="I222">
        <v>1</v>
      </c>
      <c r="J222">
        <v>1</v>
      </c>
      <c r="K222">
        <v>1</v>
      </c>
      <c r="L222">
        <v>0</v>
      </c>
      <c r="M222">
        <v>1</v>
      </c>
      <c r="N222">
        <v>0</v>
      </c>
      <c r="O222">
        <v>1</v>
      </c>
      <c r="P222">
        <v>1</v>
      </c>
    </row>
    <row r="223" spans="1:16" x14ac:dyDescent="0.3">
      <c r="A223" t="str">
        <f>Table_Demand___Community_frontsheet[[#This Row],[Name]]&amp;B223</f>
        <v>DarlingtonReablement &amp; Rehabilitation in a bedded setting</v>
      </c>
      <c r="B223" t="str">
        <f>VLOOKUP(Table_Demand___Community_frontsheet[[#This Row],[Service Type]],PathwayLookup!E:F,2,0)</f>
        <v>Reablement &amp; Rehabilitation in a bedded setting</v>
      </c>
      <c r="C223" t="s">
        <v>127</v>
      </c>
      <c r="D223" t="s">
        <v>723</v>
      </c>
      <c r="E223">
        <v>2</v>
      </c>
      <c r="F223">
        <v>2</v>
      </c>
      <c r="G223">
        <v>2</v>
      </c>
      <c r="H223">
        <v>2</v>
      </c>
      <c r="I223">
        <v>2</v>
      </c>
      <c r="J223">
        <v>2</v>
      </c>
      <c r="K223">
        <v>2</v>
      </c>
      <c r="L223">
        <v>2</v>
      </c>
      <c r="M223">
        <v>2</v>
      </c>
      <c r="N223">
        <v>2</v>
      </c>
      <c r="O223">
        <v>2</v>
      </c>
      <c r="P223">
        <v>2</v>
      </c>
    </row>
    <row r="224" spans="1:16" x14ac:dyDescent="0.3">
      <c r="A224" t="str">
        <f>Table_Demand___Community_frontsheet[[#This Row],[Name]]&amp;B224</f>
        <v>DarlingtonReablement &amp; Rehabilitation in a bedded setting</v>
      </c>
      <c r="B224" t="str">
        <f>VLOOKUP(Table_Demand___Community_frontsheet[[#This Row],[Service Type]],PathwayLookup!E:F,2,0)</f>
        <v>Reablement &amp; Rehabilitation in a bedded setting</v>
      </c>
      <c r="C224" t="s">
        <v>127</v>
      </c>
      <c r="D224" t="s">
        <v>725</v>
      </c>
      <c r="E224">
        <v>0</v>
      </c>
      <c r="F224">
        <v>0</v>
      </c>
      <c r="G224">
        <v>0</v>
      </c>
      <c r="H224">
        <v>0</v>
      </c>
      <c r="I224">
        <v>0</v>
      </c>
      <c r="J224">
        <v>0</v>
      </c>
      <c r="K224">
        <v>0</v>
      </c>
      <c r="L224">
        <v>0</v>
      </c>
      <c r="M224">
        <v>0</v>
      </c>
      <c r="N224">
        <v>0</v>
      </c>
      <c r="O224">
        <v>0</v>
      </c>
      <c r="P224">
        <v>0</v>
      </c>
    </row>
    <row r="225" spans="1:16" x14ac:dyDescent="0.3">
      <c r="A225" t="str">
        <f>Table_Demand___Community_frontsheet[[#This Row],[Name]]&amp;B225</f>
        <v>DarlingtonOther short-term social care</v>
      </c>
      <c r="B225" t="str">
        <f>VLOOKUP(Table_Demand___Community_frontsheet[[#This Row],[Service Type]],PathwayLookup!E:F,2,0)</f>
        <v>Other short-term social care</v>
      </c>
      <c r="C225" t="s">
        <v>127</v>
      </c>
      <c r="D225" t="s">
        <v>708</v>
      </c>
      <c r="E225">
        <v>0</v>
      </c>
      <c r="F225">
        <v>0</v>
      </c>
      <c r="G225">
        <v>0</v>
      </c>
      <c r="H225">
        <v>0</v>
      </c>
      <c r="I225">
        <v>0</v>
      </c>
      <c r="J225">
        <v>0</v>
      </c>
      <c r="K225">
        <v>0</v>
      </c>
      <c r="L225">
        <v>0</v>
      </c>
      <c r="M225">
        <v>0</v>
      </c>
      <c r="N225">
        <v>0</v>
      </c>
      <c r="O225">
        <v>0</v>
      </c>
      <c r="P225">
        <v>0</v>
      </c>
    </row>
    <row r="226" spans="1:16" x14ac:dyDescent="0.3">
      <c r="A226" t="str">
        <f>Table_Demand___Community_frontsheet[[#This Row],[Name]]&amp;B226</f>
        <v>DerbySocial support (including VCS)</v>
      </c>
      <c r="B226" t="str">
        <f>VLOOKUP(Table_Demand___Community_frontsheet[[#This Row],[Service Type]],PathwayLookup!E:F,2,0)</f>
        <v>Social support (including VCS)</v>
      </c>
      <c r="C226" t="s">
        <v>129</v>
      </c>
      <c r="D226" t="s">
        <v>704</v>
      </c>
      <c r="E226">
        <v>110</v>
      </c>
      <c r="F226">
        <v>110</v>
      </c>
      <c r="G226">
        <v>110</v>
      </c>
      <c r="H226">
        <v>110</v>
      </c>
      <c r="I226">
        <v>110</v>
      </c>
      <c r="J226">
        <v>110</v>
      </c>
      <c r="K226">
        <v>110</v>
      </c>
      <c r="L226">
        <v>110</v>
      </c>
      <c r="M226">
        <v>110</v>
      </c>
      <c r="N226">
        <v>110</v>
      </c>
      <c r="O226">
        <v>110</v>
      </c>
      <c r="P226">
        <v>110</v>
      </c>
    </row>
    <row r="227" spans="1:16" x14ac:dyDescent="0.3">
      <c r="A227" t="str">
        <f>Table_Demand___Community_frontsheet[[#This Row],[Name]]&amp;B227</f>
        <v>DerbyUrgent Community Response</v>
      </c>
      <c r="B227" t="str">
        <f>VLOOKUP(Table_Demand___Community_frontsheet[[#This Row],[Service Type]],PathwayLookup!E:F,2,0)</f>
        <v>Urgent Community Response</v>
      </c>
      <c r="C227" t="s">
        <v>129</v>
      </c>
      <c r="D227" t="s">
        <v>705</v>
      </c>
      <c r="E227">
        <v>200</v>
      </c>
      <c r="F227">
        <v>200</v>
      </c>
      <c r="G227">
        <v>200</v>
      </c>
      <c r="H227">
        <v>200</v>
      </c>
      <c r="I227">
        <v>200</v>
      </c>
      <c r="J227">
        <v>200</v>
      </c>
      <c r="K227">
        <v>200</v>
      </c>
      <c r="L227">
        <v>200</v>
      </c>
      <c r="M227">
        <v>200</v>
      </c>
      <c r="N227">
        <v>200</v>
      </c>
      <c r="O227">
        <v>200</v>
      </c>
      <c r="P227">
        <v>200</v>
      </c>
    </row>
    <row r="228" spans="1:16" x14ac:dyDescent="0.3">
      <c r="A228" t="str">
        <f>Table_Demand___Community_frontsheet[[#This Row],[Name]]&amp;B228</f>
        <v>DerbyReablement &amp; Rehabilitation at home</v>
      </c>
      <c r="B228" t="str">
        <f>VLOOKUP(Table_Demand___Community_frontsheet[[#This Row],[Service Type]],PathwayLookup!E:F,2,0)</f>
        <v>Reablement &amp; Rehabilitation at home</v>
      </c>
      <c r="C228" t="s">
        <v>129</v>
      </c>
      <c r="D228" t="s">
        <v>720</v>
      </c>
      <c r="E228">
        <v>25</v>
      </c>
      <c r="F228">
        <v>24</v>
      </c>
      <c r="G228">
        <v>24</v>
      </c>
      <c r="H228">
        <v>20</v>
      </c>
      <c r="I228">
        <v>31</v>
      </c>
      <c r="J228">
        <v>31</v>
      </c>
      <c r="K228">
        <v>28</v>
      </c>
      <c r="L228">
        <v>19</v>
      </c>
      <c r="M228">
        <v>40</v>
      </c>
      <c r="N228">
        <v>33</v>
      </c>
      <c r="O228">
        <v>27</v>
      </c>
      <c r="P228">
        <v>25</v>
      </c>
    </row>
    <row r="229" spans="1:16" x14ac:dyDescent="0.3">
      <c r="A229" t="str">
        <f>Table_Demand___Community_frontsheet[[#This Row],[Name]]&amp;B229</f>
        <v>DerbyReablement &amp; Rehabilitation at home</v>
      </c>
      <c r="B229" t="str">
        <f>VLOOKUP(Table_Demand___Community_frontsheet[[#This Row],[Service Type]],PathwayLookup!E:F,2,0)</f>
        <v>Reablement &amp; Rehabilitation at home</v>
      </c>
      <c r="C229" t="s">
        <v>129</v>
      </c>
      <c r="D229" t="s">
        <v>721</v>
      </c>
      <c r="E229">
        <v>47</v>
      </c>
      <c r="F229">
        <v>64</v>
      </c>
      <c r="G229">
        <v>58</v>
      </c>
      <c r="H229">
        <v>71</v>
      </c>
      <c r="I229">
        <v>70</v>
      </c>
      <c r="J229">
        <v>65</v>
      </c>
      <c r="K229">
        <v>73</v>
      </c>
      <c r="L229">
        <v>76</v>
      </c>
      <c r="M229">
        <v>71</v>
      </c>
      <c r="N229">
        <v>85</v>
      </c>
      <c r="O229">
        <v>69</v>
      </c>
      <c r="P229">
        <v>69</v>
      </c>
    </row>
    <row r="230" spans="1:16" x14ac:dyDescent="0.3">
      <c r="A230" t="str">
        <f>Table_Demand___Community_frontsheet[[#This Row],[Name]]&amp;B230</f>
        <v>DerbyReablement &amp; Rehabilitation in a bedded setting</v>
      </c>
      <c r="B230" t="str">
        <f>VLOOKUP(Table_Demand___Community_frontsheet[[#This Row],[Service Type]],PathwayLookup!E:F,2,0)</f>
        <v>Reablement &amp; Rehabilitation in a bedded setting</v>
      </c>
      <c r="C230" t="s">
        <v>129</v>
      </c>
      <c r="D230" t="s">
        <v>723</v>
      </c>
      <c r="E230">
        <v>16</v>
      </c>
      <c r="F230">
        <v>4</v>
      </c>
      <c r="G230">
        <v>4</v>
      </c>
      <c r="H230">
        <v>7</v>
      </c>
      <c r="I230">
        <v>7</v>
      </c>
      <c r="J230">
        <v>8</v>
      </c>
      <c r="K230">
        <v>6</v>
      </c>
      <c r="L230">
        <v>9</v>
      </c>
      <c r="M230">
        <v>9</v>
      </c>
      <c r="N230">
        <v>10</v>
      </c>
      <c r="O230">
        <v>6</v>
      </c>
      <c r="P230">
        <v>13</v>
      </c>
    </row>
    <row r="231" spans="1:16" x14ac:dyDescent="0.3">
      <c r="A231" t="str">
        <f>Table_Demand___Community_frontsheet[[#This Row],[Name]]&amp;B231</f>
        <v>DerbyReablement &amp; Rehabilitation in a bedded setting</v>
      </c>
      <c r="B231" t="str">
        <f>VLOOKUP(Table_Demand___Community_frontsheet[[#This Row],[Service Type]],PathwayLookup!E:F,2,0)</f>
        <v>Reablement &amp; Rehabilitation in a bedded setting</v>
      </c>
      <c r="C231" t="s">
        <v>129</v>
      </c>
      <c r="D231" t="s">
        <v>725</v>
      </c>
    </row>
    <row r="232" spans="1:16" x14ac:dyDescent="0.3">
      <c r="A232" t="str">
        <f>Table_Demand___Community_frontsheet[[#This Row],[Name]]&amp;B232</f>
        <v>DerbyOther short-term social care</v>
      </c>
      <c r="B232" t="str">
        <f>VLOOKUP(Table_Demand___Community_frontsheet[[#This Row],[Service Type]],PathwayLookup!E:F,2,0)</f>
        <v>Other short-term social care</v>
      </c>
      <c r="C232" t="s">
        <v>129</v>
      </c>
      <c r="D232" t="s">
        <v>708</v>
      </c>
    </row>
    <row r="233" spans="1:16" x14ac:dyDescent="0.3">
      <c r="A233" t="str">
        <f>Table_Demand___Community_frontsheet[[#This Row],[Name]]&amp;B233</f>
        <v>DerbyshireSocial support (including VCS)</v>
      </c>
      <c r="B233" t="str">
        <f>VLOOKUP(Table_Demand___Community_frontsheet[[#This Row],[Service Type]],PathwayLookup!E:F,2,0)</f>
        <v>Social support (including VCS)</v>
      </c>
      <c r="C233" t="s">
        <v>131</v>
      </c>
      <c r="D233" t="s">
        <v>704</v>
      </c>
      <c r="E233">
        <v>50</v>
      </c>
      <c r="F233">
        <v>50</v>
      </c>
      <c r="G233">
        <v>50</v>
      </c>
      <c r="H233">
        <v>50</v>
      </c>
      <c r="I233">
        <v>50</v>
      </c>
      <c r="J233">
        <v>50</v>
      </c>
      <c r="K233">
        <v>50</v>
      </c>
      <c r="L233">
        <v>50</v>
      </c>
      <c r="M233">
        <v>50</v>
      </c>
      <c r="N233">
        <v>50</v>
      </c>
      <c r="O233">
        <v>50</v>
      </c>
      <c r="P233">
        <v>50</v>
      </c>
    </row>
    <row r="234" spans="1:16" x14ac:dyDescent="0.3">
      <c r="A234" t="str">
        <f>Table_Demand___Community_frontsheet[[#This Row],[Name]]&amp;B234</f>
        <v>DerbyshireUrgent Community Response</v>
      </c>
      <c r="B234" t="str">
        <f>VLOOKUP(Table_Demand___Community_frontsheet[[#This Row],[Service Type]],PathwayLookup!E:F,2,0)</f>
        <v>Urgent Community Response</v>
      </c>
      <c r="C234" t="s">
        <v>131</v>
      </c>
      <c r="D234" t="s">
        <v>705</v>
      </c>
      <c r="E234">
        <v>931</v>
      </c>
      <c r="F234">
        <v>931</v>
      </c>
      <c r="G234">
        <v>931</v>
      </c>
      <c r="H234">
        <v>931</v>
      </c>
      <c r="I234">
        <v>931</v>
      </c>
      <c r="J234">
        <v>931</v>
      </c>
      <c r="K234">
        <v>937</v>
      </c>
      <c r="L234">
        <v>937</v>
      </c>
      <c r="M234">
        <v>937</v>
      </c>
      <c r="N234">
        <v>937</v>
      </c>
      <c r="O234">
        <v>937</v>
      </c>
      <c r="P234">
        <v>937</v>
      </c>
    </row>
    <row r="235" spans="1:16" x14ac:dyDescent="0.3">
      <c r="A235" t="str">
        <f>Table_Demand___Community_frontsheet[[#This Row],[Name]]&amp;B235</f>
        <v>DerbyshireReablement &amp; Rehabilitation at home</v>
      </c>
      <c r="B235" t="str">
        <f>VLOOKUP(Table_Demand___Community_frontsheet[[#This Row],[Service Type]],PathwayLookup!E:F,2,0)</f>
        <v>Reablement &amp; Rehabilitation at home</v>
      </c>
      <c r="C235" t="s">
        <v>131</v>
      </c>
      <c r="D235" t="s">
        <v>720</v>
      </c>
      <c r="E235">
        <v>426</v>
      </c>
      <c r="F235">
        <v>339</v>
      </c>
      <c r="G235">
        <v>318</v>
      </c>
      <c r="H235">
        <v>338</v>
      </c>
      <c r="I235">
        <v>329</v>
      </c>
      <c r="J235">
        <v>202</v>
      </c>
      <c r="K235">
        <v>332</v>
      </c>
      <c r="L235">
        <v>334</v>
      </c>
      <c r="M235">
        <v>294</v>
      </c>
      <c r="N235">
        <v>359</v>
      </c>
      <c r="O235">
        <v>320</v>
      </c>
      <c r="P235">
        <v>295</v>
      </c>
    </row>
    <row r="236" spans="1:16" x14ac:dyDescent="0.3">
      <c r="A236" t="str">
        <f>Table_Demand___Community_frontsheet[[#This Row],[Name]]&amp;B236</f>
        <v>DerbyshireReablement &amp; Rehabilitation at home</v>
      </c>
      <c r="B236" t="str">
        <f>VLOOKUP(Table_Demand___Community_frontsheet[[#This Row],[Service Type]],PathwayLookup!E:F,2,0)</f>
        <v>Reablement &amp; Rehabilitation at home</v>
      </c>
      <c r="C236" t="s">
        <v>131</v>
      </c>
      <c r="D236" t="s">
        <v>721</v>
      </c>
      <c r="E236">
        <v>510</v>
      </c>
      <c r="F236">
        <v>529</v>
      </c>
      <c r="G236">
        <v>496</v>
      </c>
      <c r="H236">
        <v>486</v>
      </c>
      <c r="I236">
        <v>493</v>
      </c>
      <c r="J236">
        <v>482</v>
      </c>
      <c r="K236">
        <v>485</v>
      </c>
      <c r="L236">
        <v>487</v>
      </c>
      <c r="M236">
        <v>526</v>
      </c>
      <c r="N236">
        <v>525</v>
      </c>
      <c r="O236">
        <v>472</v>
      </c>
      <c r="P236">
        <v>451</v>
      </c>
    </row>
    <row r="237" spans="1:16" x14ac:dyDescent="0.3">
      <c r="A237" t="str">
        <f>Table_Demand___Community_frontsheet[[#This Row],[Name]]&amp;B237</f>
        <v>DerbyshireReablement &amp; Rehabilitation in a bedded setting</v>
      </c>
      <c r="B237" t="str">
        <f>VLOOKUP(Table_Demand___Community_frontsheet[[#This Row],[Service Type]],PathwayLookup!E:F,2,0)</f>
        <v>Reablement &amp; Rehabilitation in a bedded setting</v>
      </c>
      <c r="C237" t="s">
        <v>131</v>
      </c>
      <c r="D237" t="s">
        <v>723</v>
      </c>
      <c r="E237">
        <v>12</v>
      </c>
      <c r="F237">
        <v>12</v>
      </c>
      <c r="G237">
        <v>12</v>
      </c>
      <c r="H237">
        <v>12</v>
      </c>
      <c r="I237">
        <v>12</v>
      </c>
      <c r="J237">
        <v>12</v>
      </c>
      <c r="K237">
        <v>12</v>
      </c>
      <c r="L237">
        <v>12</v>
      </c>
      <c r="M237">
        <v>12</v>
      </c>
      <c r="N237">
        <v>12</v>
      </c>
      <c r="O237">
        <v>12</v>
      </c>
      <c r="P237">
        <v>12</v>
      </c>
    </row>
    <row r="238" spans="1:16" x14ac:dyDescent="0.3">
      <c r="A238" t="str">
        <f>Table_Demand___Community_frontsheet[[#This Row],[Name]]&amp;B238</f>
        <v>DerbyshireReablement &amp; Rehabilitation in a bedded setting</v>
      </c>
      <c r="B238" t="str">
        <f>VLOOKUP(Table_Demand___Community_frontsheet[[#This Row],[Service Type]],PathwayLookup!E:F,2,0)</f>
        <v>Reablement &amp; Rehabilitation in a bedded setting</v>
      </c>
      <c r="C238" t="s">
        <v>131</v>
      </c>
      <c r="D238" t="s">
        <v>725</v>
      </c>
    </row>
    <row r="239" spans="1:16" x14ac:dyDescent="0.3">
      <c r="A239" t="str">
        <f>Table_Demand___Community_frontsheet[[#This Row],[Name]]&amp;B239</f>
        <v>DerbyshireOther short-term social care</v>
      </c>
      <c r="B239" t="str">
        <f>VLOOKUP(Table_Demand___Community_frontsheet[[#This Row],[Service Type]],PathwayLookup!E:F,2,0)</f>
        <v>Other short-term social care</v>
      </c>
      <c r="C239" t="s">
        <v>131</v>
      </c>
      <c r="D239" t="s">
        <v>708</v>
      </c>
    </row>
    <row r="240" spans="1:16" x14ac:dyDescent="0.3">
      <c r="A240" t="str">
        <f>Table_Demand___Community_frontsheet[[#This Row],[Name]]&amp;B240</f>
        <v>DevonSocial support (including VCS)</v>
      </c>
      <c r="B240" t="str">
        <f>VLOOKUP(Table_Demand___Community_frontsheet[[#This Row],[Service Type]],PathwayLookup!E:F,2,0)</f>
        <v>Social support (including VCS)</v>
      </c>
      <c r="C240" t="s">
        <v>133</v>
      </c>
      <c r="D240" t="s">
        <v>704</v>
      </c>
      <c r="E240">
        <v>28</v>
      </c>
      <c r="F240">
        <v>28</v>
      </c>
      <c r="G240">
        <v>28</v>
      </c>
      <c r="H240">
        <v>28</v>
      </c>
      <c r="I240">
        <v>28</v>
      </c>
      <c r="J240">
        <v>28</v>
      </c>
      <c r="K240">
        <v>28</v>
      </c>
      <c r="L240">
        <v>28</v>
      </c>
      <c r="M240">
        <v>28</v>
      </c>
      <c r="N240">
        <v>28</v>
      </c>
      <c r="O240">
        <v>28</v>
      </c>
      <c r="P240">
        <v>28</v>
      </c>
    </row>
    <row r="241" spans="1:16" x14ac:dyDescent="0.3">
      <c r="A241" t="str">
        <f>Table_Demand___Community_frontsheet[[#This Row],[Name]]&amp;B241</f>
        <v>DevonUrgent Community Response</v>
      </c>
      <c r="B241" t="str">
        <f>VLOOKUP(Table_Demand___Community_frontsheet[[#This Row],[Service Type]],PathwayLookup!E:F,2,0)</f>
        <v>Urgent Community Response</v>
      </c>
      <c r="C241" t="s">
        <v>133</v>
      </c>
      <c r="D241" t="s">
        <v>705</v>
      </c>
    </row>
    <row r="242" spans="1:16" x14ac:dyDescent="0.3">
      <c r="A242" t="str">
        <f>Table_Demand___Community_frontsheet[[#This Row],[Name]]&amp;B242</f>
        <v>DevonReablement &amp; Rehabilitation at home</v>
      </c>
      <c r="B242" t="str">
        <f>VLOOKUP(Table_Demand___Community_frontsheet[[#This Row],[Service Type]],PathwayLookup!E:F,2,0)</f>
        <v>Reablement &amp; Rehabilitation at home</v>
      </c>
      <c r="C242" t="s">
        <v>133</v>
      </c>
      <c r="D242" t="s">
        <v>720</v>
      </c>
      <c r="E242">
        <v>55</v>
      </c>
      <c r="F242">
        <v>55</v>
      </c>
      <c r="G242">
        <v>55</v>
      </c>
      <c r="H242">
        <v>55</v>
      </c>
      <c r="I242">
        <v>55</v>
      </c>
      <c r="J242">
        <v>55</v>
      </c>
      <c r="K242">
        <v>55</v>
      </c>
      <c r="L242">
        <v>55</v>
      </c>
      <c r="M242">
        <v>55</v>
      </c>
      <c r="N242">
        <v>55</v>
      </c>
      <c r="O242">
        <v>55</v>
      </c>
      <c r="P242">
        <v>55</v>
      </c>
    </row>
    <row r="243" spans="1:16" x14ac:dyDescent="0.3">
      <c r="A243" t="str">
        <f>Table_Demand___Community_frontsheet[[#This Row],[Name]]&amp;B243</f>
        <v>DevonReablement &amp; Rehabilitation at home</v>
      </c>
      <c r="B243" t="str">
        <f>VLOOKUP(Table_Demand___Community_frontsheet[[#This Row],[Service Type]],PathwayLookup!E:F,2,0)</f>
        <v>Reablement &amp; Rehabilitation at home</v>
      </c>
      <c r="C243" t="s">
        <v>133</v>
      </c>
      <c r="D243" t="s">
        <v>721</v>
      </c>
    </row>
    <row r="244" spans="1:16" x14ac:dyDescent="0.3">
      <c r="A244" t="str">
        <f>Table_Demand___Community_frontsheet[[#This Row],[Name]]&amp;B244</f>
        <v>DevonReablement &amp; Rehabilitation in a bedded setting</v>
      </c>
      <c r="B244" t="str">
        <f>VLOOKUP(Table_Demand___Community_frontsheet[[#This Row],[Service Type]],PathwayLookup!E:F,2,0)</f>
        <v>Reablement &amp; Rehabilitation in a bedded setting</v>
      </c>
      <c r="C244" t="s">
        <v>133</v>
      </c>
      <c r="D244" t="s">
        <v>723</v>
      </c>
    </row>
    <row r="245" spans="1:16" x14ac:dyDescent="0.3">
      <c r="A245" t="str">
        <f>Table_Demand___Community_frontsheet[[#This Row],[Name]]&amp;B245</f>
        <v>DevonReablement &amp; Rehabilitation in a bedded setting</v>
      </c>
      <c r="B245" t="str">
        <f>VLOOKUP(Table_Demand___Community_frontsheet[[#This Row],[Service Type]],PathwayLookup!E:F,2,0)</f>
        <v>Reablement &amp; Rehabilitation in a bedded setting</v>
      </c>
      <c r="C245" t="s">
        <v>133</v>
      </c>
      <c r="D245" t="s">
        <v>725</v>
      </c>
    </row>
    <row r="246" spans="1:16" x14ac:dyDescent="0.3">
      <c r="A246" t="str">
        <f>Table_Demand___Community_frontsheet[[#This Row],[Name]]&amp;B246</f>
        <v>DevonOther short-term social care</v>
      </c>
      <c r="B246" t="str">
        <f>VLOOKUP(Table_Demand___Community_frontsheet[[#This Row],[Service Type]],PathwayLookup!E:F,2,0)</f>
        <v>Other short-term social care</v>
      </c>
      <c r="C246" t="s">
        <v>133</v>
      </c>
      <c r="D246" t="s">
        <v>708</v>
      </c>
    </row>
    <row r="247" spans="1:16" x14ac:dyDescent="0.3">
      <c r="A247" t="str">
        <f>Table_Demand___Community_frontsheet[[#This Row],[Name]]&amp;B247</f>
        <v>DoncasterSocial support (including VCS)</v>
      </c>
      <c r="B247" t="str">
        <f>VLOOKUP(Table_Demand___Community_frontsheet[[#This Row],[Service Type]],PathwayLookup!E:F,2,0)</f>
        <v>Social support (including VCS)</v>
      </c>
      <c r="C247" t="s">
        <v>135</v>
      </c>
      <c r="D247" t="s">
        <v>704</v>
      </c>
    </row>
    <row r="248" spans="1:16" x14ac:dyDescent="0.3">
      <c r="A248" t="str">
        <f>Table_Demand___Community_frontsheet[[#This Row],[Name]]&amp;B248</f>
        <v>DoncasterUrgent Community Response</v>
      </c>
      <c r="B248" t="str">
        <f>VLOOKUP(Table_Demand___Community_frontsheet[[#This Row],[Service Type]],PathwayLookup!E:F,2,0)</f>
        <v>Urgent Community Response</v>
      </c>
      <c r="C248" t="s">
        <v>135</v>
      </c>
      <c r="D248" t="s">
        <v>705</v>
      </c>
      <c r="E248">
        <v>85</v>
      </c>
      <c r="F248">
        <v>85</v>
      </c>
      <c r="G248">
        <v>85</v>
      </c>
      <c r="H248">
        <v>86</v>
      </c>
      <c r="I248">
        <v>86</v>
      </c>
      <c r="J248">
        <v>86</v>
      </c>
      <c r="K248">
        <v>88</v>
      </c>
      <c r="L248">
        <v>88</v>
      </c>
      <c r="M248">
        <v>88</v>
      </c>
      <c r="N248">
        <v>90</v>
      </c>
      <c r="O248">
        <v>90</v>
      </c>
      <c r="P248">
        <v>90</v>
      </c>
    </row>
    <row r="249" spans="1:16" x14ac:dyDescent="0.3">
      <c r="A249" t="str">
        <f>Table_Demand___Community_frontsheet[[#This Row],[Name]]&amp;B249</f>
        <v>DoncasterReablement &amp; Rehabilitation at home</v>
      </c>
      <c r="B249" t="str">
        <f>VLOOKUP(Table_Demand___Community_frontsheet[[#This Row],[Service Type]],PathwayLookup!E:F,2,0)</f>
        <v>Reablement &amp; Rehabilitation at home</v>
      </c>
      <c r="C249" t="s">
        <v>135</v>
      </c>
      <c r="D249" t="s">
        <v>720</v>
      </c>
      <c r="E249">
        <v>74</v>
      </c>
      <c r="F249">
        <v>76</v>
      </c>
      <c r="G249">
        <v>71</v>
      </c>
      <c r="H249">
        <v>69</v>
      </c>
      <c r="I249">
        <v>76</v>
      </c>
      <c r="J249">
        <v>79</v>
      </c>
      <c r="K249">
        <v>82</v>
      </c>
      <c r="L249">
        <v>79</v>
      </c>
      <c r="M249">
        <v>72</v>
      </c>
      <c r="N249">
        <v>82</v>
      </c>
      <c r="O249">
        <v>68</v>
      </c>
      <c r="P249">
        <v>74</v>
      </c>
    </row>
    <row r="250" spans="1:16" x14ac:dyDescent="0.3">
      <c r="A250" t="str">
        <f>Table_Demand___Community_frontsheet[[#This Row],[Name]]&amp;B250</f>
        <v>DoncasterReablement &amp; Rehabilitation at home</v>
      </c>
      <c r="B250" t="str">
        <f>VLOOKUP(Table_Demand___Community_frontsheet[[#This Row],[Service Type]],PathwayLookup!E:F,2,0)</f>
        <v>Reablement &amp; Rehabilitation at home</v>
      </c>
      <c r="C250" t="s">
        <v>135</v>
      </c>
      <c r="D250" t="s">
        <v>721</v>
      </c>
      <c r="E250">
        <v>25</v>
      </c>
      <c r="F250">
        <v>25</v>
      </c>
      <c r="G250">
        <v>25</v>
      </c>
      <c r="H250">
        <v>25</v>
      </c>
      <c r="I250">
        <v>25</v>
      </c>
      <c r="J250">
        <v>25</v>
      </c>
      <c r="K250">
        <v>25</v>
      </c>
      <c r="L250">
        <v>25</v>
      </c>
      <c r="M250">
        <v>25</v>
      </c>
      <c r="N250">
        <v>25</v>
      </c>
      <c r="O250">
        <v>25</v>
      </c>
      <c r="P250">
        <v>25</v>
      </c>
    </row>
    <row r="251" spans="1:16" x14ac:dyDescent="0.3">
      <c r="A251" t="str">
        <f>Table_Demand___Community_frontsheet[[#This Row],[Name]]&amp;B251</f>
        <v>DoncasterReablement &amp; Rehabilitation in a bedded setting</v>
      </c>
      <c r="B251" t="str">
        <f>VLOOKUP(Table_Demand___Community_frontsheet[[#This Row],[Service Type]],PathwayLookup!E:F,2,0)</f>
        <v>Reablement &amp; Rehabilitation in a bedded setting</v>
      </c>
      <c r="C251" t="s">
        <v>135</v>
      </c>
      <c r="D251" t="s">
        <v>723</v>
      </c>
    </row>
    <row r="252" spans="1:16" x14ac:dyDescent="0.3">
      <c r="A252" t="str">
        <f>Table_Demand___Community_frontsheet[[#This Row],[Name]]&amp;B252</f>
        <v>DoncasterReablement &amp; Rehabilitation in a bedded setting</v>
      </c>
      <c r="B252" t="str">
        <f>VLOOKUP(Table_Demand___Community_frontsheet[[#This Row],[Service Type]],PathwayLookup!E:F,2,0)</f>
        <v>Reablement &amp; Rehabilitation in a bedded setting</v>
      </c>
      <c r="C252" t="s">
        <v>135</v>
      </c>
      <c r="D252" t="s">
        <v>725</v>
      </c>
      <c r="E252">
        <v>40</v>
      </c>
      <c r="F252">
        <v>40</v>
      </c>
      <c r="G252">
        <v>40</v>
      </c>
      <c r="H252">
        <v>40</v>
      </c>
      <c r="I252">
        <v>40</v>
      </c>
      <c r="J252">
        <v>40</v>
      </c>
      <c r="K252">
        <v>40</v>
      </c>
      <c r="L252">
        <v>40</v>
      </c>
      <c r="M252">
        <v>40</v>
      </c>
      <c r="N252">
        <v>40</v>
      </c>
      <c r="O252">
        <v>40</v>
      </c>
      <c r="P252">
        <v>40</v>
      </c>
    </row>
    <row r="253" spans="1:16" x14ac:dyDescent="0.3">
      <c r="A253" t="str">
        <f>Table_Demand___Community_frontsheet[[#This Row],[Name]]&amp;B253</f>
        <v>DoncasterOther short-term social care</v>
      </c>
      <c r="B253" t="str">
        <f>VLOOKUP(Table_Demand___Community_frontsheet[[#This Row],[Service Type]],PathwayLookup!E:F,2,0)</f>
        <v>Other short-term social care</v>
      </c>
      <c r="C253" t="s">
        <v>135</v>
      </c>
      <c r="D253" t="s">
        <v>708</v>
      </c>
    </row>
    <row r="254" spans="1:16" x14ac:dyDescent="0.3">
      <c r="A254" t="str">
        <f>Table_Demand___Community_frontsheet[[#This Row],[Name]]&amp;B254</f>
        <v>DorsetSocial support (including VCS)</v>
      </c>
      <c r="B254" t="str">
        <f>VLOOKUP(Table_Demand___Community_frontsheet[[#This Row],[Service Type]],PathwayLookup!E:F,2,0)</f>
        <v>Social support (including VCS)</v>
      </c>
      <c r="C254" t="s">
        <v>137</v>
      </c>
      <c r="D254" t="s">
        <v>704</v>
      </c>
      <c r="E254">
        <v>362</v>
      </c>
      <c r="F254">
        <v>421</v>
      </c>
      <c r="G254">
        <v>415</v>
      </c>
      <c r="H254">
        <v>375</v>
      </c>
      <c r="I254">
        <v>372</v>
      </c>
      <c r="J254">
        <v>361</v>
      </c>
      <c r="K254">
        <v>331</v>
      </c>
      <c r="L254">
        <v>356</v>
      </c>
      <c r="M254">
        <v>290</v>
      </c>
      <c r="N254">
        <v>369</v>
      </c>
      <c r="O254">
        <v>274</v>
      </c>
      <c r="P254">
        <v>364</v>
      </c>
    </row>
    <row r="255" spans="1:16" x14ac:dyDescent="0.3">
      <c r="A255" t="str">
        <f>Table_Demand___Community_frontsheet[[#This Row],[Name]]&amp;B255</f>
        <v>DorsetUrgent Community Response</v>
      </c>
      <c r="B255" t="str">
        <f>VLOOKUP(Table_Demand___Community_frontsheet[[#This Row],[Service Type]],PathwayLookup!E:F,2,0)</f>
        <v>Urgent Community Response</v>
      </c>
      <c r="C255" t="s">
        <v>137</v>
      </c>
      <c r="D255" t="s">
        <v>705</v>
      </c>
      <c r="E255">
        <v>240</v>
      </c>
      <c r="F255">
        <v>260</v>
      </c>
      <c r="G255">
        <v>161</v>
      </c>
      <c r="H255">
        <v>174</v>
      </c>
      <c r="I255">
        <v>159</v>
      </c>
      <c r="J255">
        <v>150</v>
      </c>
      <c r="K255">
        <v>151</v>
      </c>
      <c r="L255">
        <v>163</v>
      </c>
      <c r="M255">
        <v>220</v>
      </c>
      <c r="N255">
        <v>224</v>
      </c>
      <c r="O255">
        <v>208</v>
      </c>
      <c r="P255">
        <v>235</v>
      </c>
    </row>
    <row r="256" spans="1:16" x14ac:dyDescent="0.3">
      <c r="A256" t="str">
        <f>Table_Demand___Community_frontsheet[[#This Row],[Name]]&amp;B256</f>
        <v>DorsetReablement &amp; Rehabilitation at home</v>
      </c>
      <c r="B256" t="str">
        <f>VLOOKUP(Table_Demand___Community_frontsheet[[#This Row],[Service Type]],PathwayLookup!E:F,2,0)</f>
        <v>Reablement &amp; Rehabilitation at home</v>
      </c>
      <c r="C256" t="s">
        <v>137</v>
      </c>
      <c r="D256" t="s">
        <v>720</v>
      </c>
      <c r="E256">
        <v>32</v>
      </c>
      <c r="F256">
        <v>32</v>
      </c>
      <c r="G256">
        <v>32</v>
      </c>
      <c r="H256">
        <v>32</v>
      </c>
      <c r="I256">
        <v>32</v>
      </c>
      <c r="J256">
        <v>40</v>
      </c>
      <c r="K256">
        <v>40</v>
      </c>
      <c r="L256">
        <v>40</v>
      </c>
      <c r="M256">
        <v>40</v>
      </c>
      <c r="N256">
        <v>40</v>
      </c>
      <c r="O256">
        <v>40</v>
      </c>
      <c r="P256">
        <v>40</v>
      </c>
    </row>
    <row r="257" spans="1:16" x14ac:dyDescent="0.3">
      <c r="A257" t="str">
        <f>Table_Demand___Community_frontsheet[[#This Row],[Name]]&amp;B257</f>
        <v>DorsetReablement &amp; Rehabilitation at home</v>
      </c>
      <c r="B257" t="str">
        <f>VLOOKUP(Table_Demand___Community_frontsheet[[#This Row],[Service Type]],PathwayLookup!E:F,2,0)</f>
        <v>Reablement &amp; Rehabilitation at home</v>
      </c>
      <c r="C257" t="s">
        <v>137</v>
      </c>
      <c r="D257" t="s">
        <v>721</v>
      </c>
      <c r="E257">
        <v>91</v>
      </c>
      <c r="F257">
        <v>91</v>
      </c>
      <c r="G257">
        <v>91</v>
      </c>
      <c r="H257">
        <v>91</v>
      </c>
      <c r="I257">
        <v>91</v>
      </c>
      <c r="J257">
        <v>91</v>
      </c>
      <c r="K257">
        <v>91</v>
      </c>
      <c r="L257">
        <v>91</v>
      </c>
      <c r="M257">
        <v>91</v>
      </c>
      <c r="N257">
        <v>91</v>
      </c>
      <c r="O257">
        <v>91</v>
      </c>
      <c r="P257">
        <v>91</v>
      </c>
    </row>
    <row r="258" spans="1:16" x14ac:dyDescent="0.3">
      <c r="A258" t="str">
        <f>Table_Demand___Community_frontsheet[[#This Row],[Name]]&amp;B258</f>
        <v>DorsetReablement &amp; Rehabilitation in a bedded setting</v>
      </c>
      <c r="B258" t="str">
        <f>VLOOKUP(Table_Demand___Community_frontsheet[[#This Row],[Service Type]],PathwayLookup!E:F,2,0)</f>
        <v>Reablement &amp; Rehabilitation in a bedded setting</v>
      </c>
      <c r="C258" t="s">
        <v>137</v>
      </c>
      <c r="D258" t="s">
        <v>723</v>
      </c>
      <c r="E258">
        <v>1</v>
      </c>
      <c r="F258">
        <v>1</v>
      </c>
      <c r="G258">
        <v>1</v>
      </c>
      <c r="H258">
        <v>1</v>
      </c>
      <c r="I258">
        <v>1</v>
      </c>
      <c r="J258">
        <v>2</v>
      </c>
      <c r="K258">
        <v>2</v>
      </c>
      <c r="L258">
        <v>2</v>
      </c>
      <c r="M258">
        <v>2</v>
      </c>
      <c r="N258">
        <v>2</v>
      </c>
      <c r="O258">
        <v>2</v>
      </c>
      <c r="P258">
        <v>1</v>
      </c>
    </row>
    <row r="259" spans="1:16" x14ac:dyDescent="0.3">
      <c r="A259" t="str">
        <f>Table_Demand___Community_frontsheet[[#This Row],[Name]]&amp;B259</f>
        <v>DorsetReablement &amp; Rehabilitation in a bedded setting</v>
      </c>
      <c r="B259" t="str">
        <f>VLOOKUP(Table_Demand___Community_frontsheet[[#This Row],[Service Type]],PathwayLookup!E:F,2,0)</f>
        <v>Reablement &amp; Rehabilitation in a bedded setting</v>
      </c>
      <c r="C259" t="s">
        <v>137</v>
      </c>
      <c r="D259" t="s">
        <v>725</v>
      </c>
      <c r="E259">
        <v>9</v>
      </c>
      <c r="F259">
        <v>14</v>
      </c>
      <c r="G259">
        <v>12</v>
      </c>
      <c r="H259">
        <v>9</v>
      </c>
      <c r="I259">
        <v>11</v>
      </c>
      <c r="J259">
        <v>7</v>
      </c>
      <c r="K259">
        <v>11</v>
      </c>
      <c r="L259">
        <v>4</v>
      </c>
      <c r="M259">
        <v>11</v>
      </c>
      <c r="N259">
        <v>11</v>
      </c>
      <c r="O259">
        <v>8</v>
      </c>
      <c r="P259">
        <v>10</v>
      </c>
    </row>
    <row r="260" spans="1:16" x14ac:dyDescent="0.3">
      <c r="A260" t="str">
        <f>Table_Demand___Community_frontsheet[[#This Row],[Name]]&amp;B260</f>
        <v>DorsetOther short-term social care</v>
      </c>
      <c r="B260" t="str">
        <f>VLOOKUP(Table_Demand___Community_frontsheet[[#This Row],[Service Type]],PathwayLookup!E:F,2,0)</f>
        <v>Other short-term social care</v>
      </c>
      <c r="C260" t="s">
        <v>137</v>
      </c>
      <c r="D260" t="s">
        <v>708</v>
      </c>
      <c r="E260">
        <v>2</v>
      </c>
      <c r="F260">
        <v>2</v>
      </c>
      <c r="G260">
        <v>2</v>
      </c>
      <c r="H260">
        <v>2</v>
      </c>
      <c r="I260">
        <v>2</v>
      </c>
      <c r="J260">
        <v>3</v>
      </c>
      <c r="K260">
        <v>3</v>
      </c>
      <c r="L260">
        <v>3</v>
      </c>
      <c r="M260">
        <v>3</v>
      </c>
      <c r="N260">
        <v>3</v>
      </c>
      <c r="O260">
        <v>3</v>
      </c>
      <c r="P260">
        <v>2</v>
      </c>
    </row>
    <row r="261" spans="1:16" x14ac:dyDescent="0.3">
      <c r="A261" t="str">
        <f>Table_Demand___Community_frontsheet[[#This Row],[Name]]&amp;B261</f>
        <v>DudleySocial support (including VCS)</v>
      </c>
      <c r="B261" t="str">
        <f>VLOOKUP(Table_Demand___Community_frontsheet[[#This Row],[Service Type]],PathwayLookup!E:F,2,0)</f>
        <v>Social support (including VCS)</v>
      </c>
      <c r="C261" t="s">
        <v>139</v>
      </c>
      <c r="D261" t="s">
        <v>704</v>
      </c>
      <c r="E261">
        <v>0</v>
      </c>
      <c r="F261">
        <v>0</v>
      </c>
      <c r="G261">
        <v>0</v>
      </c>
      <c r="H261">
        <v>0</v>
      </c>
      <c r="I261">
        <v>0</v>
      </c>
      <c r="J261">
        <v>0</v>
      </c>
      <c r="K261">
        <v>0</v>
      </c>
      <c r="L261">
        <v>0</v>
      </c>
      <c r="M261">
        <v>0</v>
      </c>
      <c r="N261">
        <v>0</v>
      </c>
      <c r="O261">
        <v>0</v>
      </c>
      <c r="P261">
        <v>0</v>
      </c>
    </row>
    <row r="262" spans="1:16" x14ac:dyDescent="0.3">
      <c r="A262" t="str">
        <f>Table_Demand___Community_frontsheet[[#This Row],[Name]]&amp;B262</f>
        <v>DudleyUrgent Community Response</v>
      </c>
      <c r="B262" t="str">
        <f>VLOOKUP(Table_Demand___Community_frontsheet[[#This Row],[Service Type]],PathwayLookup!E:F,2,0)</f>
        <v>Urgent Community Response</v>
      </c>
      <c r="C262" t="s">
        <v>139</v>
      </c>
      <c r="D262" t="s">
        <v>705</v>
      </c>
      <c r="E262">
        <v>97</v>
      </c>
      <c r="F262">
        <v>80</v>
      </c>
      <c r="G262">
        <v>84</v>
      </c>
      <c r="H262">
        <v>83</v>
      </c>
      <c r="I262">
        <v>55</v>
      </c>
      <c r="J262">
        <v>84</v>
      </c>
      <c r="K262">
        <v>72</v>
      </c>
      <c r="L262">
        <v>83</v>
      </c>
      <c r="M262">
        <v>98</v>
      </c>
      <c r="N262">
        <v>113</v>
      </c>
      <c r="O262">
        <v>86</v>
      </c>
      <c r="P262">
        <v>113</v>
      </c>
    </row>
    <row r="263" spans="1:16" x14ac:dyDescent="0.3">
      <c r="A263" t="str">
        <f>Table_Demand___Community_frontsheet[[#This Row],[Name]]&amp;B263</f>
        <v>DudleyReablement &amp; Rehabilitation at home</v>
      </c>
      <c r="B263" t="str">
        <f>VLOOKUP(Table_Demand___Community_frontsheet[[#This Row],[Service Type]],PathwayLookup!E:F,2,0)</f>
        <v>Reablement &amp; Rehabilitation at home</v>
      </c>
      <c r="C263" t="s">
        <v>139</v>
      </c>
      <c r="D263" t="s">
        <v>720</v>
      </c>
      <c r="E263">
        <v>168</v>
      </c>
      <c r="F263">
        <v>175</v>
      </c>
      <c r="G263">
        <v>140</v>
      </c>
      <c r="H263">
        <v>137</v>
      </c>
      <c r="I263">
        <v>149</v>
      </c>
      <c r="J263">
        <v>148</v>
      </c>
      <c r="K263">
        <v>175</v>
      </c>
      <c r="L263">
        <v>171</v>
      </c>
      <c r="M263">
        <v>159</v>
      </c>
      <c r="N263">
        <v>216</v>
      </c>
      <c r="O263">
        <v>150</v>
      </c>
      <c r="P263">
        <v>176</v>
      </c>
    </row>
    <row r="264" spans="1:16" x14ac:dyDescent="0.3">
      <c r="A264" t="str">
        <f>Table_Demand___Community_frontsheet[[#This Row],[Name]]&amp;B264</f>
        <v>DudleyReablement &amp; Rehabilitation at home</v>
      </c>
      <c r="B264" t="str">
        <f>VLOOKUP(Table_Demand___Community_frontsheet[[#This Row],[Service Type]],PathwayLookup!E:F,2,0)</f>
        <v>Reablement &amp; Rehabilitation at home</v>
      </c>
      <c r="C264" t="s">
        <v>139</v>
      </c>
      <c r="D264" t="s">
        <v>721</v>
      </c>
      <c r="E264">
        <v>0</v>
      </c>
      <c r="F264">
        <v>0</v>
      </c>
      <c r="G264">
        <v>0</v>
      </c>
      <c r="H264">
        <v>0</v>
      </c>
      <c r="I264">
        <v>0</v>
      </c>
      <c r="J264">
        <v>0</v>
      </c>
      <c r="K264">
        <v>0</v>
      </c>
      <c r="L264">
        <v>0</v>
      </c>
      <c r="M264">
        <v>0</v>
      </c>
      <c r="N264">
        <v>0</v>
      </c>
      <c r="O264">
        <v>0</v>
      </c>
      <c r="P264">
        <v>0</v>
      </c>
    </row>
    <row r="265" spans="1:16" x14ac:dyDescent="0.3">
      <c r="A265" t="str">
        <f>Table_Demand___Community_frontsheet[[#This Row],[Name]]&amp;B265</f>
        <v>DudleyReablement &amp; Rehabilitation in a bedded setting</v>
      </c>
      <c r="B265" t="str">
        <f>VLOOKUP(Table_Demand___Community_frontsheet[[#This Row],[Service Type]],PathwayLookup!E:F,2,0)</f>
        <v>Reablement &amp; Rehabilitation in a bedded setting</v>
      </c>
      <c r="C265" t="s">
        <v>139</v>
      </c>
      <c r="D265" t="s">
        <v>723</v>
      </c>
      <c r="E265">
        <v>0</v>
      </c>
      <c r="F265">
        <v>0</v>
      </c>
      <c r="G265">
        <v>0</v>
      </c>
      <c r="H265">
        <v>0</v>
      </c>
      <c r="I265">
        <v>0</v>
      </c>
      <c r="J265">
        <v>0</v>
      </c>
      <c r="K265">
        <v>0</v>
      </c>
      <c r="L265">
        <v>0</v>
      </c>
      <c r="M265">
        <v>0</v>
      </c>
      <c r="N265">
        <v>0</v>
      </c>
      <c r="O265">
        <v>0</v>
      </c>
      <c r="P265">
        <v>0</v>
      </c>
    </row>
    <row r="266" spans="1:16" x14ac:dyDescent="0.3">
      <c r="A266" t="str">
        <f>Table_Demand___Community_frontsheet[[#This Row],[Name]]&amp;B266</f>
        <v>DudleyReablement &amp; Rehabilitation in a bedded setting</v>
      </c>
      <c r="B266" t="str">
        <f>VLOOKUP(Table_Demand___Community_frontsheet[[#This Row],[Service Type]],PathwayLookup!E:F,2,0)</f>
        <v>Reablement &amp; Rehabilitation in a bedded setting</v>
      </c>
      <c r="C266" t="s">
        <v>139</v>
      </c>
      <c r="D266" t="s">
        <v>725</v>
      </c>
      <c r="E266">
        <v>6</v>
      </c>
      <c r="F266">
        <v>4</v>
      </c>
      <c r="G266">
        <v>3</v>
      </c>
      <c r="H266">
        <v>3</v>
      </c>
      <c r="I266">
        <v>4</v>
      </c>
      <c r="J266">
        <v>4</v>
      </c>
      <c r="K266">
        <v>4</v>
      </c>
      <c r="L266">
        <v>6</v>
      </c>
      <c r="M266">
        <v>6</v>
      </c>
      <c r="N266">
        <v>6</v>
      </c>
      <c r="O266">
        <v>6</v>
      </c>
      <c r="P266">
        <v>6</v>
      </c>
    </row>
    <row r="267" spans="1:16" x14ac:dyDescent="0.3">
      <c r="A267" t="str">
        <f>Table_Demand___Community_frontsheet[[#This Row],[Name]]&amp;B267</f>
        <v>DudleyOther short-term social care</v>
      </c>
      <c r="B267" t="str">
        <f>VLOOKUP(Table_Demand___Community_frontsheet[[#This Row],[Service Type]],PathwayLookup!E:F,2,0)</f>
        <v>Other short-term social care</v>
      </c>
      <c r="C267" t="s">
        <v>139</v>
      </c>
      <c r="D267" t="s">
        <v>708</v>
      </c>
      <c r="E267">
        <v>0</v>
      </c>
      <c r="F267">
        <v>0</v>
      </c>
      <c r="G267">
        <v>0</v>
      </c>
      <c r="H267">
        <v>0</v>
      </c>
      <c r="I267">
        <v>0</v>
      </c>
      <c r="J267">
        <v>0</v>
      </c>
      <c r="K267">
        <v>0</v>
      </c>
      <c r="L267">
        <v>0</v>
      </c>
      <c r="M267">
        <v>0</v>
      </c>
      <c r="N267">
        <v>0</v>
      </c>
      <c r="O267">
        <v>0</v>
      </c>
      <c r="P267">
        <v>0</v>
      </c>
    </row>
    <row r="268" spans="1:16" x14ac:dyDescent="0.3">
      <c r="A268" t="str">
        <f>Table_Demand___Community_frontsheet[[#This Row],[Name]]&amp;B268</f>
        <v>EalingSocial support (including VCS)</v>
      </c>
      <c r="B268" t="str">
        <f>VLOOKUP(Table_Demand___Community_frontsheet[[#This Row],[Service Type]],PathwayLookup!E:F,2,0)</f>
        <v>Social support (including VCS)</v>
      </c>
      <c r="C268" t="s">
        <v>141</v>
      </c>
      <c r="D268" t="s">
        <v>704</v>
      </c>
    </row>
    <row r="269" spans="1:16" x14ac:dyDescent="0.3">
      <c r="A269" t="str">
        <f>Table_Demand___Community_frontsheet[[#This Row],[Name]]&amp;B269</f>
        <v>EalingUrgent Community Response</v>
      </c>
      <c r="B269" t="str">
        <f>VLOOKUP(Table_Demand___Community_frontsheet[[#This Row],[Service Type]],PathwayLookup!E:F,2,0)</f>
        <v>Urgent Community Response</v>
      </c>
      <c r="C269" t="s">
        <v>141</v>
      </c>
      <c r="D269" t="s">
        <v>705</v>
      </c>
      <c r="E269">
        <v>222</v>
      </c>
      <c r="F269">
        <v>209</v>
      </c>
      <c r="G269">
        <v>219</v>
      </c>
      <c r="H269">
        <v>224</v>
      </c>
      <c r="I269">
        <v>233</v>
      </c>
      <c r="J269">
        <v>188</v>
      </c>
      <c r="K269">
        <v>207</v>
      </c>
      <c r="L269">
        <v>205</v>
      </c>
      <c r="M269">
        <v>246</v>
      </c>
      <c r="N269">
        <v>219</v>
      </c>
      <c r="O269">
        <v>258</v>
      </c>
      <c r="P269">
        <v>231</v>
      </c>
    </row>
    <row r="270" spans="1:16" x14ac:dyDescent="0.3">
      <c r="A270" t="str">
        <f>Table_Demand___Community_frontsheet[[#This Row],[Name]]&amp;B270</f>
        <v>EalingReablement &amp; Rehabilitation at home</v>
      </c>
      <c r="B270" t="str">
        <f>VLOOKUP(Table_Demand___Community_frontsheet[[#This Row],[Service Type]],PathwayLookup!E:F,2,0)</f>
        <v>Reablement &amp; Rehabilitation at home</v>
      </c>
      <c r="C270" t="s">
        <v>141</v>
      </c>
      <c r="D270" t="s">
        <v>720</v>
      </c>
      <c r="E270">
        <v>18</v>
      </c>
      <c r="F270">
        <v>18</v>
      </c>
      <c r="G270">
        <v>18</v>
      </c>
      <c r="H270">
        <v>18</v>
      </c>
      <c r="I270">
        <v>18</v>
      </c>
      <c r="J270">
        <v>11</v>
      </c>
      <c r="K270">
        <v>13</v>
      </c>
      <c r="L270">
        <v>15</v>
      </c>
      <c r="M270">
        <v>14</v>
      </c>
      <c r="N270">
        <v>29</v>
      </c>
      <c r="O270">
        <v>30</v>
      </c>
      <c r="P270">
        <v>18</v>
      </c>
    </row>
    <row r="271" spans="1:16" x14ac:dyDescent="0.3">
      <c r="A271" t="str">
        <f>Table_Demand___Community_frontsheet[[#This Row],[Name]]&amp;B271</f>
        <v>EalingReablement &amp; Rehabilitation at home</v>
      </c>
      <c r="B271" t="str">
        <f>VLOOKUP(Table_Demand___Community_frontsheet[[#This Row],[Service Type]],PathwayLookup!E:F,2,0)</f>
        <v>Reablement &amp; Rehabilitation at home</v>
      </c>
      <c r="C271" t="s">
        <v>141</v>
      </c>
      <c r="D271" t="s">
        <v>721</v>
      </c>
    </row>
    <row r="272" spans="1:16" x14ac:dyDescent="0.3">
      <c r="A272" t="str">
        <f>Table_Demand___Community_frontsheet[[#This Row],[Name]]&amp;B272</f>
        <v>EalingReablement &amp; Rehabilitation in a bedded setting</v>
      </c>
      <c r="B272" t="str">
        <f>VLOOKUP(Table_Demand___Community_frontsheet[[#This Row],[Service Type]],PathwayLookup!E:F,2,0)</f>
        <v>Reablement &amp; Rehabilitation in a bedded setting</v>
      </c>
      <c r="C272" t="s">
        <v>141</v>
      </c>
      <c r="D272" t="s">
        <v>723</v>
      </c>
    </row>
    <row r="273" spans="1:16" x14ac:dyDescent="0.3">
      <c r="A273" t="str">
        <f>Table_Demand___Community_frontsheet[[#This Row],[Name]]&amp;B273</f>
        <v>EalingReablement &amp; Rehabilitation in a bedded setting</v>
      </c>
      <c r="B273" t="str">
        <f>VLOOKUP(Table_Demand___Community_frontsheet[[#This Row],[Service Type]],PathwayLookup!E:F,2,0)</f>
        <v>Reablement &amp; Rehabilitation in a bedded setting</v>
      </c>
      <c r="C273" t="s">
        <v>141</v>
      </c>
      <c r="D273" t="s">
        <v>725</v>
      </c>
      <c r="E273">
        <v>1440</v>
      </c>
      <c r="F273">
        <v>1488</v>
      </c>
      <c r="G273">
        <v>1440</v>
      </c>
      <c r="H273">
        <v>1488</v>
      </c>
      <c r="I273">
        <v>1488</v>
      </c>
      <c r="J273">
        <v>1440</v>
      </c>
      <c r="K273">
        <v>1488</v>
      </c>
      <c r="L273">
        <v>1440</v>
      </c>
      <c r="M273">
        <v>1488</v>
      </c>
      <c r="N273">
        <v>1570</v>
      </c>
      <c r="O273">
        <v>1613</v>
      </c>
      <c r="P273">
        <v>1807</v>
      </c>
    </row>
    <row r="274" spans="1:16" x14ac:dyDescent="0.3">
      <c r="A274" t="str">
        <f>Table_Demand___Community_frontsheet[[#This Row],[Name]]&amp;B274</f>
        <v>EalingOther short-term social care</v>
      </c>
      <c r="B274" t="str">
        <f>VLOOKUP(Table_Demand___Community_frontsheet[[#This Row],[Service Type]],PathwayLookup!E:F,2,0)</f>
        <v>Other short-term social care</v>
      </c>
      <c r="C274" t="s">
        <v>141</v>
      </c>
      <c r="D274" t="s">
        <v>708</v>
      </c>
    </row>
    <row r="275" spans="1:16" x14ac:dyDescent="0.3">
      <c r="A275" t="str">
        <f>Table_Demand___Community_frontsheet[[#This Row],[Name]]&amp;B275</f>
        <v>East Riding of YorkshireSocial support (including VCS)</v>
      </c>
      <c r="B275" t="str">
        <f>VLOOKUP(Table_Demand___Community_frontsheet[[#This Row],[Service Type]],PathwayLookup!E:F,2,0)</f>
        <v>Social support (including VCS)</v>
      </c>
      <c r="C275" t="s">
        <v>143</v>
      </c>
      <c r="D275" t="s">
        <v>704</v>
      </c>
      <c r="E275">
        <v>5</v>
      </c>
      <c r="F275">
        <v>5</v>
      </c>
      <c r="G275">
        <v>5</v>
      </c>
      <c r="H275">
        <v>5</v>
      </c>
      <c r="I275">
        <v>5</v>
      </c>
      <c r="J275">
        <v>5</v>
      </c>
      <c r="K275">
        <v>7</v>
      </c>
      <c r="L275">
        <v>7</v>
      </c>
      <c r="M275">
        <v>7</v>
      </c>
      <c r="N275">
        <v>7</v>
      </c>
      <c r="O275">
        <v>7</v>
      </c>
      <c r="P275">
        <v>7</v>
      </c>
    </row>
    <row r="276" spans="1:16" x14ac:dyDescent="0.3">
      <c r="A276" t="str">
        <f>Table_Demand___Community_frontsheet[[#This Row],[Name]]&amp;B276</f>
        <v>East Riding of YorkshireUrgent Community Response</v>
      </c>
      <c r="B276" t="str">
        <f>VLOOKUP(Table_Demand___Community_frontsheet[[#This Row],[Service Type]],PathwayLookup!E:F,2,0)</f>
        <v>Urgent Community Response</v>
      </c>
      <c r="C276" t="s">
        <v>143</v>
      </c>
      <c r="D276" t="s">
        <v>705</v>
      </c>
      <c r="E276">
        <v>75</v>
      </c>
      <c r="F276">
        <v>75</v>
      </c>
      <c r="G276">
        <v>73</v>
      </c>
      <c r="H276">
        <v>73</v>
      </c>
      <c r="I276">
        <v>73</v>
      </c>
      <c r="J276">
        <v>75</v>
      </c>
      <c r="K276">
        <v>75</v>
      </c>
      <c r="L276">
        <v>76</v>
      </c>
      <c r="M276">
        <v>78</v>
      </c>
      <c r="N276">
        <v>77</v>
      </c>
      <c r="O276">
        <v>76</v>
      </c>
      <c r="P276">
        <v>74</v>
      </c>
    </row>
    <row r="277" spans="1:16" x14ac:dyDescent="0.3">
      <c r="A277" t="str">
        <f>Table_Demand___Community_frontsheet[[#This Row],[Name]]&amp;B277</f>
        <v>East Riding of YorkshireReablement &amp; Rehabilitation at home</v>
      </c>
      <c r="B277" t="str">
        <f>VLOOKUP(Table_Demand___Community_frontsheet[[#This Row],[Service Type]],PathwayLookup!E:F,2,0)</f>
        <v>Reablement &amp; Rehabilitation at home</v>
      </c>
      <c r="C277" t="s">
        <v>143</v>
      </c>
      <c r="D277" t="s">
        <v>720</v>
      </c>
    </row>
    <row r="278" spans="1:16" x14ac:dyDescent="0.3">
      <c r="A278" t="str">
        <f>Table_Demand___Community_frontsheet[[#This Row],[Name]]&amp;B278</f>
        <v>East Riding of YorkshireReablement &amp; Rehabilitation at home</v>
      </c>
      <c r="B278" t="str">
        <f>VLOOKUP(Table_Demand___Community_frontsheet[[#This Row],[Service Type]],PathwayLookup!E:F,2,0)</f>
        <v>Reablement &amp; Rehabilitation at home</v>
      </c>
      <c r="C278" t="s">
        <v>143</v>
      </c>
      <c r="D278" t="s">
        <v>721</v>
      </c>
      <c r="E278">
        <v>294</v>
      </c>
      <c r="F278">
        <v>294</v>
      </c>
      <c r="G278">
        <v>282</v>
      </c>
      <c r="H278">
        <v>282</v>
      </c>
      <c r="I278">
        <v>282</v>
      </c>
      <c r="J278">
        <v>294</v>
      </c>
      <c r="K278">
        <v>294</v>
      </c>
      <c r="L278">
        <v>306</v>
      </c>
      <c r="M278">
        <v>318</v>
      </c>
      <c r="N278">
        <v>306</v>
      </c>
      <c r="O278">
        <v>294</v>
      </c>
      <c r="P278">
        <v>282</v>
      </c>
    </row>
    <row r="279" spans="1:16" x14ac:dyDescent="0.3">
      <c r="A279" t="str">
        <f>Table_Demand___Community_frontsheet[[#This Row],[Name]]&amp;B279</f>
        <v>East Riding of YorkshireReablement &amp; Rehabilitation in a bedded setting</v>
      </c>
      <c r="B279" t="str">
        <f>VLOOKUP(Table_Demand___Community_frontsheet[[#This Row],[Service Type]],PathwayLookup!E:F,2,0)</f>
        <v>Reablement &amp; Rehabilitation in a bedded setting</v>
      </c>
      <c r="C279" t="s">
        <v>143</v>
      </c>
      <c r="D279" t="s">
        <v>723</v>
      </c>
    </row>
    <row r="280" spans="1:16" x14ac:dyDescent="0.3">
      <c r="A280" t="str">
        <f>Table_Demand___Community_frontsheet[[#This Row],[Name]]&amp;B280</f>
        <v>East Riding of YorkshireReablement &amp; Rehabilitation in a bedded setting</v>
      </c>
      <c r="B280" t="str">
        <f>VLOOKUP(Table_Demand___Community_frontsheet[[#This Row],[Service Type]],PathwayLookup!E:F,2,0)</f>
        <v>Reablement &amp; Rehabilitation in a bedded setting</v>
      </c>
      <c r="C280" t="s">
        <v>143</v>
      </c>
      <c r="D280" t="s">
        <v>725</v>
      </c>
      <c r="E280">
        <v>58</v>
      </c>
      <c r="F280">
        <v>58</v>
      </c>
      <c r="G280">
        <v>51</v>
      </c>
      <c r="H280">
        <v>51</v>
      </c>
      <c r="I280">
        <v>51</v>
      </c>
      <c r="J280">
        <v>58</v>
      </c>
      <c r="K280">
        <v>58</v>
      </c>
      <c r="L280">
        <v>64</v>
      </c>
      <c r="M280">
        <v>71</v>
      </c>
      <c r="N280">
        <v>65</v>
      </c>
      <c r="O280">
        <v>56</v>
      </c>
      <c r="P280">
        <v>55</v>
      </c>
    </row>
    <row r="281" spans="1:16" x14ac:dyDescent="0.3">
      <c r="A281" t="str">
        <f>Table_Demand___Community_frontsheet[[#This Row],[Name]]&amp;B281</f>
        <v>East Riding of YorkshireOther short-term social care</v>
      </c>
      <c r="B281" t="str">
        <f>VLOOKUP(Table_Demand___Community_frontsheet[[#This Row],[Service Type]],PathwayLookup!E:F,2,0)</f>
        <v>Other short-term social care</v>
      </c>
      <c r="C281" t="s">
        <v>143</v>
      </c>
      <c r="D281" t="s">
        <v>708</v>
      </c>
    </row>
    <row r="282" spans="1:16" x14ac:dyDescent="0.3">
      <c r="A282" t="str">
        <f>Table_Demand___Community_frontsheet[[#This Row],[Name]]&amp;B282</f>
        <v>East SussexSocial support (including VCS)</v>
      </c>
      <c r="B282" t="str">
        <f>VLOOKUP(Table_Demand___Community_frontsheet[[#This Row],[Service Type]],PathwayLookup!E:F,2,0)</f>
        <v>Social support (including VCS)</v>
      </c>
      <c r="C282" t="s">
        <v>145</v>
      </c>
      <c r="D282" t="s">
        <v>704</v>
      </c>
      <c r="E282">
        <v>597</v>
      </c>
      <c r="F282">
        <v>617</v>
      </c>
      <c r="G282">
        <v>597</v>
      </c>
      <c r="H282">
        <v>617</v>
      </c>
      <c r="I282">
        <v>617</v>
      </c>
      <c r="J282">
        <v>597</v>
      </c>
      <c r="K282">
        <v>617</v>
      </c>
      <c r="L282">
        <v>597</v>
      </c>
      <c r="M282">
        <v>617</v>
      </c>
      <c r="N282">
        <v>617</v>
      </c>
      <c r="O282">
        <v>577</v>
      </c>
      <c r="P282">
        <v>617</v>
      </c>
    </row>
    <row r="283" spans="1:16" x14ac:dyDescent="0.3">
      <c r="A283" t="str">
        <f>Table_Demand___Community_frontsheet[[#This Row],[Name]]&amp;B283</f>
        <v>East SussexUrgent Community Response</v>
      </c>
      <c r="B283" t="str">
        <f>VLOOKUP(Table_Demand___Community_frontsheet[[#This Row],[Service Type]],PathwayLookup!E:F,2,0)</f>
        <v>Urgent Community Response</v>
      </c>
      <c r="C283" t="s">
        <v>145</v>
      </c>
      <c r="D283" t="s">
        <v>705</v>
      </c>
      <c r="E283">
        <v>1317</v>
      </c>
      <c r="F283">
        <v>1361</v>
      </c>
      <c r="G283">
        <v>1317</v>
      </c>
      <c r="H283">
        <v>1361</v>
      </c>
      <c r="I283">
        <v>1361</v>
      </c>
      <c r="J283">
        <v>1317</v>
      </c>
      <c r="K283">
        <v>1361</v>
      </c>
      <c r="L283">
        <v>1317</v>
      </c>
      <c r="M283">
        <v>1361</v>
      </c>
      <c r="N283">
        <v>1361</v>
      </c>
      <c r="O283">
        <v>1273</v>
      </c>
      <c r="P283">
        <v>1361</v>
      </c>
    </row>
    <row r="284" spans="1:16" x14ac:dyDescent="0.3">
      <c r="A284" t="str">
        <f>Table_Demand___Community_frontsheet[[#This Row],[Name]]&amp;B284</f>
        <v>East SussexReablement &amp; Rehabilitation at home</v>
      </c>
      <c r="B284" t="str">
        <f>VLOOKUP(Table_Demand___Community_frontsheet[[#This Row],[Service Type]],PathwayLookup!E:F,2,0)</f>
        <v>Reablement &amp; Rehabilitation at home</v>
      </c>
      <c r="C284" t="s">
        <v>145</v>
      </c>
      <c r="D284" t="s">
        <v>720</v>
      </c>
      <c r="E284">
        <v>89</v>
      </c>
      <c r="F284">
        <v>89</v>
      </c>
      <c r="G284">
        <v>89</v>
      </c>
      <c r="H284">
        <v>89</v>
      </c>
      <c r="I284">
        <v>89</v>
      </c>
      <c r="J284">
        <v>89</v>
      </c>
      <c r="K284">
        <v>89</v>
      </c>
      <c r="L284">
        <v>89</v>
      </c>
      <c r="M284">
        <v>89</v>
      </c>
      <c r="N284">
        <v>89</v>
      </c>
      <c r="O284">
        <v>89</v>
      </c>
      <c r="P284">
        <v>89</v>
      </c>
    </row>
    <row r="285" spans="1:16" x14ac:dyDescent="0.3">
      <c r="A285" t="str">
        <f>Table_Demand___Community_frontsheet[[#This Row],[Name]]&amp;B285</f>
        <v>East SussexReablement &amp; Rehabilitation at home</v>
      </c>
      <c r="B285" t="str">
        <f>VLOOKUP(Table_Demand___Community_frontsheet[[#This Row],[Service Type]],PathwayLookup!E:F,2,0)</f>
        <v>Reablement &amp; Rehabilitation at home</v>
      </c>
      <c r="C285" t="s">
        <v>145</v>
      </c>
      <c r="D285" t="s">
        <v>721</v>
      </c>
      <c r="E285">
        <v>457</v>
      </c>
      <c r="F285">
        <v>457</v>
      </c>
      <c r="G285">
        <v>457</v>
      </c>
      <c r="H285">
        <v>457</v>
      </c>
      <c r="I285">
        <v>457</v>
      </c>
      <c r="J285">
        <v>457</v>
      </c>
      <c r="K285">
        <v>457</v>
      </c>
      <c r="L285">
        <v>457</v>
      </c>
      <c r="M285">
        <v>457</v>
      </c>
      <c r="N285">
        <v>457</v>
      </c>
      <c r="O285">
        <v>457</v>
      </c>
      <c r="P285">
        <v>457</v>
      </c>
    </row>
    <row r="286" spans="1:16" x14ac:dyDescent="0.3">
      <c r="A286" t="str">
        <f>Table_Demand___Community_frontsheet[[#This Row],[Name]]&amp;B286</f>
        <v>East SussexReablement &amp; Rehabilitation in a bedded setting</v>
      </c>
      <c r="B286" t="str">
        <f>VLOOKUP(Table_Demand___Community_frontsheet[[#This Row],[Service Type]],PathwayLookup!E:F,2,0)</f>
        <v>Reablement &amp; Rehabilitation in a bedded setting</v>
      </c>
      <c r="C286" t="s">
        <v>145</v>
      </c>
      <c r="D286" t="s">
        <v>723</v>
      </c>
      <c r="E286">
        <v>11</v>
      </c>
      <c r="F286">
        <v>11</v>
      </c>
      <c r="G286">
        <v>11</v>
      </c>
      <c r="H286">
        <v>11</v>
      </c>
      <c r="I286">
        <v>11</v>
      </c>
      <c r="J286">
        <v>11</v>
      </c>
      <c r="K286">
        <v>11</v>
      </c>
      <c r="L286">
        <v>11</v>
      </c>
      <c r="M286">
        <v>11</v>
      </c>
      <c r="N286">
        <v>11</v>
      </c>
      <c r="O286">
        <v>11</v>
      </c>
      <c r="P286">
        <v>11</v>
      </c>
    </row>
    <row r="287" spans="1:16" x14ac:dyDescent="0.3">
      <c r="A287" t="str">
        <f>Table_Demand___Community_frontsheet[[#This Row],[Name]]&amp;B287</f>
        <v>East SussexReablement &amp; Rehabilitation in a bedded setting</v>
      </c>
      <c r="B287" t="str">
        <f>VLOOKUP(Table_Demand___Community_frontsheet[[#This Row],[Service Type]],PathwayLookup!E:F,2,0)</f>
        <v>Reablement &amp; Rehabilitation in a bedded setting</v>
      </c>
      <c r="C287" t="s">
        <v>145</v>
      </c>
      <c r="D287" t="s">
        <v>725</v>
      </c>
      <c r="E287">
        <v>8</v>
      </c>
      <c r="F287">
        <v>8</v>
      </c>
      <c r="G287">
        <v>8</v>
      </c>
      <c r="H287">
        <v>8</v>
      </c>
      <c r="I287">
        <v>8</v>
      </c>
      <c r="J287">
        <v>8</v>
      </c>
      <c r="K287">
        <v>8</v>
      </c>
      <c r="L287">
        <v>8</v>
      </c>
      <c r="M287">
        <v>8</v>
      </c>
      <c r="N287">
        <v>8</v>
      </c>
      <c r="O287">
        <v>8</v>
      </c>
      <c r="P287">
        <v>8</v>
      </c>
    </row>
    <row r="288" spans="1:16" x14ac:dyDescent="0.3">
      <c r="A288" t="str">
        <f>Table_Demand___Community_frontsheet[[#This Row],[Name]]&amp;B288</f>
        <v>East SussexOther short-term social care</v>
      </c>
      <c r="B288" t="str">
        <f>VLOOKUP(Table_Demand___Community_frontsheet[[#This Row],[Service Type]],PathwayLookup!E:F,2,0)</f>
        <v>Other short-term social care</v>
      </c>
      <c r="C288" t="s">
        <v>145</v>
      </c>
      <c r="D288" t="s">
        <v>708</v>
      </c>
      <c r="E288">
        <v>0</v>
      </c>
      <c r="F288">
        <v>0</v>
      </c>
      <c r="G288">
        <v>0</v>
      </c>
      <c r="H288">
        <v>0</v>
      </c>
      <c r="I288">
        <v>0</v>
      </c>
      <c r="J288">
        <v>0</v>
      </c>
      <c r="K288">
        <v>0</v>
      </c>
      <c r="L288">
        <v>0</v>
      </c>
      <c r="M288">
        <v>0</v>
      </c>
      <c r="N288">
        <v>0</v>
      </c>
      <c r="O288">
        <v>0</v>
      </c>
      <c r="P288">
        <v>0</v>
      </c>
    </row>
    <row r="289" spans="1:16" x14ac:dyDescent="0.3">
      <c r="A289" t="str">
        <f>Table_Demand___Community_frontsheet[[#This Row],[Name]]&amp;B289</f>
        <v>EnfieldSocial support (including VCS)</v>
      </c>
      <c r="B289" t="str">
        <f>VLOOKUP(Table_Demand___Community_frontsheet[[#This Row],[Service Type]],PathwayLookup!E:F,2,0)</f>
        <v>Social support (including VCS)</v>
      </c>
      <c r="C289" t="s">
        <v>147</v>
      </c>
      <c r="D289" t="s">
        <v>704</v>
      </c>
      <c r="E289">
        <v>83</v>
      </c>
      <c r="F289">
        <v>83</v>
      </c>
      <c r="G289">
        <v>83</v>
      </c>
      <c r="H289">
        <v>83</v>
      </c>
      <c r="I289">
        <v>83</v>
      </c>
      <c r="J289">
        <v>83</v>
      </c>
      <c r="K289">
        <v>83</v>
      </c>
      <c r="L289">
        <v>83</v>
      </c>
      <c r="M289">
        <v>83</v>
      </c>
      <c r="N289">
        <v>83</v>
      </c>
      <c r="O289">
        <v>83</v>
      </c>
      <c r="P289">
        <v>83</v>
      </c>
    </row>
    <row r="290" spans="1:16" x14ac:dyDescent="0.3">
      <c r="A290" t="str">
        <f>Table_Demand___Community_frontsheet[[#This Row],[Name]]&amp;B290</f>
        <v>EnfieldUrgent Community Response</v>
      </c>
      <c r="B290" t="str">
        <f>VLOOKUP(Table_Demand___Community_frontsheet[[#This Row],[Service Type]],PathwayLookup!E:F,2,0)</f>
        <v>Urgent Community Response</v>
      </c>
      <c r="C290" t="s">
        <v>147</v>
      </c>
      <c r="D290" t="s">
        <v>705</v>
      </c>
      <c r="E290">
        <v>200</v>
      </c>
      <c r="F290">
        <v>200</v>
      </c>
      <c r="G290">
        <v>200</v>
      </c>
      <c r="H290">
        <v>221</v>
      </c>
      <c r="I290">
        <v>221</v>
      </c>
      <c r="J290">
        <v>221</v>
      </c>
      <c r="K290">
        <v>184</v>
      </c>
      <c r="L290">
        <v>184</v>
      </c>
      <c r="M290">
        <v>184</v>
      </c>
      <c r="N290">
        <v>174</v>
      </c>
      <c r="O290">
        <v>174</v>
      </c>
      <c r="P290">
        <v>174</v>
      </c>
    </row>
    <row r="291" spans="1:16" x14ac:dyDescent="0.3">
      <c r="A291" t="str">
        <f>Table_Demand___Community_frontsheet[[#This Row],[Name]]&amp;B291</f>
        <v>EnfieldReablement &amp; Rehabilitation at home</v>
      </c>
      <c r="B291" t="str">
        <f>VLOOKUP(Table_Demand___Community_frontsheet[[#This Row],[Service Type]],PathwayLookup!E:F,2,0)</f>
        <v>Reablement &amp; Rehabilitation at home</v>
      </c>
      <c r="C291" t="s">
        <v>147</v>
      </c>
      <c r="D291" t="s">
        <v>720</v>
      </c>
      <c r="E291">
        <v>133</v>
      </c>
      <c r="F291">
        <v>137</v>
      </c>
      <c r="G291">
        <v>135</v>
      </c>
      <c r="H291">
        <v>138</v>
      </c>
      <c r="I291">
        <v>133</v>
      </c>
      <c r="J291">
        <v>136</v>
      </c>
      <c r="K291">
        <v>140</v>
      </c>
      <c r="L291">
        <v>144</v>
      </c>
      <c r="M291">
        <v>148</v>
      </c>
      <c r="N291">
        <v>152</v>
      </c>
      <c r="O291">
        <v>156</v>
      </c>
      <c r="P291">
        <v>141</v>
      </c>
    </row>
    <row r="292" spans="1:16" x14ac:dyDescent="0.3">
      <c r="A292" t="str">
        <f>Table_Demand___Community_frontsheet[[#This Row],[Name]]&amp;B292</f>
        <v>EnfieldReablement &amp; Rehabilitation at home</v>
      </c>
      <c r="B292" t="str">
        <f>VLOOKUP(Table_Demand___Community_frontsheet[[#This Row],[Service Type]],PathwayLookup!E:F,2,0)</f>
        <v>Reablement &amp; Rehabilitation at home</v>
      </c>
      <c r="C292" t="s">
        <v>147</v>
      </c>
      <c r="D292" t="s">
        <v>721</v>
      </c>
      <c r="E292">
        <v>170</v>
      </c>
      <c r="F292">
        <v>170</v>
      </c>
      <c r="G292">
        <v>170</v>
      </c>
      <c r="H292">
        <v>170</v>
      </c>
      <c r="I292">
        <v>170</v>
      </c>
      <c r="J292">
        <v>170</v>
      </c>
      <c r="K292">
        <v>170</v>
      </c>
      <c r="L292">
        <v>170</v>
      </c>
      <c r="M292">
        <v>170</v>
      </c>
      <c r="N292">
        <v>170</v>
      </c>
      <c r="O292">
        <v>170</v>
      </c>
      <c r="P292">
        <v>170</v>
      </c>
    </row>
    <row r="293" spans="1:16" x14ac:dyDescent="0.3">
      <c r="A293" t="str">
        <f>Table_Demand___Community_frontsheet[[#This Row],[Name]]&amp;B293</f>
        <v>EnfieldReablement &amp; Rehabilitation in a bedded setting</v>
      </c>
      <c r="B293" t="str">
        <f>VLOOKUP(Table_Demand___Community_frontsheet[[#This Row],[Service Type]],PathwayLookup!E:F,2,0)</f>
        <v>Reablement &amp; Rehabilitation in a bedded setting</v>
      </c>
      <c r="C293" t="s">
        <v>147</v>
      </c>
      <c r="D293" t="s">
        <v>723</v>
      </c>
      <c r="E293">
        <v>0</v>
      </c>
      <c r="F293">
        <v>0</v>
      </c>
      <c r="G293">
        <v>0</v>
      </c>
      <c r="H293">
        <v>0</v>
      </c>
      <c r="I293">
        <v>0</v>
      </c>
      <c r="J293">
        <v>0</v>
      </c>
      <c r="K293">
        <v>0</v>
      </c>
      <c r="L293">
        <v>0</v>
      </c>
      <c r="M293">
        <v>0</v>
      </c>
      <c r="N293">
        <v>0</v>
      </c>
      <c r="O293">
        <v>0</v>
      </c>
      <c r="P293">
        <v>0</v>
      </c>
    </row>
    <row r="294" spans="1:16" x14ac:dyDescent="0.3">
      <c r="A294" t="str">
        <f>Table_Demand___Community_frontsheet[[#This Row],[Name]]&amp;B294</f>
        <v>EnfieldReablement &amp; Rehabilitation in a bedded setting</v>
      </c>
      <c r="B294" t="str">
        <f>VLOOKUP(Table_Demand___Community_frontsheet[[#This Row],[Service Type]],PathwayLookup!E:F,2,0)</f>
        <v>Reablement &amp; Rehabilitation in a bedded setting</v>
      </c>
      <c r="C294" t="s">
        <v>147</v>
      </c>
      <c r="D294" t="s">
        <v>725</v>
      </c>
      <c r="E294">
        <v>2</v>
      </c>
      <c r="F294">
        <v>2</v>
      </c>
      <c r="G294">
        <v>2</v>
      </c>
      <c r="H294">
        <v>2</v>
      </c>
      <c r="I294">
        <v>2</v>
      </c>
      <c r="J294">
        <v>2</v>
      </c>
      <c r="K294">
        <v>2</v>
      </c>
      <c r="L294">
        <v>2</v>
      </c>
      <c r="M294">
        <v>2</v>
      </c>
      <c r="N294">
        <v>2</v>
      </c>
      <c r="O294">
        <v>2</v>
      </c>
      <c r="P294">
        <v>2</v>
      </c>
    </row>
    <row r="295" spans="1:16" x14ac:dyDescent="0.3">
      <c r="A295" t="str">
        <f>Table_Demand___Community_frontsheet[[#This Row],[Name]]&amp;B295</f>
        <v>EnfieldOther short-term social care</v>
      </c>
      <c r="B295" t="str">
        <f>VLOOKUP(Table_Demand___Community_frontsheet[[#This Row],[Service Type]],PathwayLookup!E:F,2,0)</f>
        <v>Other short-term social care</v>
      </c>
      <c r="C295" t="s">
        <v>147</v>
      </c>
      <c r="D295" t="s">
        <v>708</v>
      </c>
      <c r="E295">
        <v>83</v>
      </c>
      <c r="F295">
        <v>83</v>
      </c>
      <c r="G295">
        <v>83</v>
      </c>
      <c r="H295">
        <v>83</v>
      </c>
      <c r="I295">
        <v>83</v>
      </c>
      <c r="J295">
        <v>83</v>
      </c>
      <c r="K295">
        <v>83</v>
      </c>
      <c r="L295">
        <v>83</v>
      </c>
      <c r="M295">
        <v>83</v>
      </c>
      <c r="N295">
        <v>83</v>
      </c>
      <c r="O295">
        <v>83</v>
      </c>
      <c r="P295">
        <v>83</v>
      </c>
    </row>
    <row r="296" spans="1:16" x14ac:dyDescent="0.3">
      <c r="A296" t="str">
        <f>Table_Demand___Community_frontsheet[[#This Row],[Name]]&amp;B296</f>
        <v>EssexSocial support (including VCS)</v>
      </c>
      <c r="B296" t="str">
        <f>VLOOKUP(Table_Demand___Community_frontsheet[[#This Row],[Service Type]],PathwayLookup!E:F,2,0)</f>
        <v>Social support (including VCS)</v>
      </c>
      <c r="C296" t="s">
        <v>149</v>
      </c>
      <c r="D296" t="s">
        <v>704</v>
      </c>
      <c r="E296">
        <v>812</v>
      </c>
      <c r="F296">
        <v>812</v>
      </c>
      <c r="G296">
        <v>812</v>
      </c>
      <c r="H296">
        <v>812</v>
      </c>
      <c r="I296">
        <v>812</v>
      </c>
      <c r="J296">
        <v>812</v>
      </c>
      <c r="K296">
        <v>812</v>
      </c>
      <c r="L296">
        <v>812</v>
      </c>
      <c r="M296">
        <v>812</v>
      </c>
      <c r="N296">
        <v>812</v>
      </c>
      <c r="O296">
        <v>812</v>
      </c>
      <c r="P296">
        <v>812</v>
      </c>
    </row>
    <row r="297" spans="1:16" x14ac:dyDescent="0.3">
      <c r="A297" t="str">
        <f>Table_Demand___Community_frontsheet[[#This Row],[Name]]&amp;B297</f>
        <v>EssexUrgent Community Response</v>
      </c>
      <c r="B297" t="str">
        <f>VLOOKUP(Table_Demand___Community_frontsheet[[#This Row],[Service Type]],PathwayLookup!E:F,2,0)</f>
        <v>Urgent Community Response</v>
      </c>
      <c r="C297" t="s">
        <v>149</v>
      </c>
      <c r="D297" t="s">
        <v>705</v>
      </c>
      <c r="E297">
        <v>2520</v>
      </c>
      <c r="F297">
        <v>2536</v>
      </c>
      <c r="G297">
        <v>2559</v>
      </c>
      <c r="H297">
        <v>2578</v>
      </c>
      <c r="I297">
        <v>2608</v>
      </c>
      <c r="J297">
        <v>2608</v>
      </c>
      <c r="K297">
        <v>2658</v>
      </c>
      <c r="L297">
        <v>2658</v>
      </c>
      <c r="M297">
        <v>2658</v>
      </c>
      <c r="N297">
        <v>2658</v>
      </c>
      <c r="O297">
        <v>2658</v>
      </c>
      <c r="P297">
        <v>2658</v>
      </c>
    </row>
    <row r="298" spans="1:16" x14ac:dyDescent="0.3">
      <c r="A298" t="str">
        <f>Table_Demand___Community_frontsheet[[#This Row],[Name]]&amp;B298</f>
        <v>EssexReablement &amp; Rehabilitation at home</v>
      </c>
      <c r="B298" t="str">
        <f>VLOOKUP(Table_Demand___Community_frontsheet[[#This Row],[Service Type]],PathwayLookup!E:F,2,0)</f>
        <v>Reablement &amp; Rehabilitation at home</v>
      </c>
      <c r="C298" t="s">
        <v>149</v>
      </c>
      <c r="D298" t="s">
        <v>720</v>
      </c>
      <c r="E298">
        <v>443</v>
      </c>
      <c r="F298">
        <v>481</v>
      </c>
      <c r="G298">
        <v>562</v>
      </c>
      <c r="H298">
        <v>499</v>
      </c>
      <c r="I298">
        <v>528</v>
      </c>
      <c r="J298">
        <v>522</v>
      </c>
      <c r="K298">
        <v>531</v>
      </c>
      <c r="L298">
        <v>549</v>
      </c>
      <c r="M298">
        <v>472</v>
      </c>
      <c r="N298">
        <v>528</v>
      </c>
      <c r="O298">
        <v>510</v>
      </c>
      <c r="P298">
        <v>492</v>
      </c>
    </row>
    <row r="299" spans="1:16" x14ac:dyDescent="0.3">
      <c r="A299" t="str">
        <f>Table_Demand___Community_frontsheet[[#This Row],[Name]]&amp;B299</f>
        <v>EssexReablement &amp; Rehabilitation at home</v>
      </c>
      <c r="B299" t="str">
        <f>VLOOKUP(Table_Demand___Community_frontsheet[[#This Row],[Service Type]],PathwayLookup!E:F,2,0)</f>
        <v>Reablement &amp; Rehabilitation at home</v>
      </c>
      <c r="C299" t="s">
        <v>149</v>
      </c>
      <c r="D299" t="s">
        <v>721</v>
      </c>
      <c r="E299">
        <v>777</v>
      </c>
      <c r="F299">
        <v>898</v>
      </c>
      <c r="G299">
        <v>805</v>
      </c>
      <c r="H299">
        <v>1031</v>
      </c>
      <c r="I299">
        <v>976</v>
      </c>
      <c r="J299">
        <v>958</v>
      </c>
      <c r="K299">
        <v>915</v>
      </c>
      <c r="L299">
        <v>854</v>
      </c>
      <c r="M299">
        <v>755</v>
      </c>
      <c r="N299">
        <v>957</v>
      </c>
      <c r="O299">
        <v>968</v>
      </c>
      <c r="P299">
        <v>1033</v>
      </c>
    </row>
    <row r="300" spans="1:16" x14ac:dyDescent="0.3">
      <c r="A300" t="str">
        <f>Table_Demand___Community_frontsheet[[#This Row],[Name]]&amp;B300</f>
        <v>EssexReablement &amp; Rehabilitation in a bedded setting</v>
      </c>
      <c r="B300" t="str">
        <f>VLOOKUP(Table_Demand___Community_frontsheet[[#This Row],[Service Type]],PathwayLookup!E:F,2,0)</f>
        <v>Reablement &amp; Rehabilitation in a bedded setting</v>
      </c>
      <c r="C300" t="s">
        <v>149</v>
      </c>
      <c r="D300" t="s">
        <v>723</v>
      </c>
      <c r="E300">
        <v>0</v>
      </c>
      <c r="F300">
        <v>0</v>
      </c>
      <c r="G300">
        <v>0</v>
      </c>
      <c r="H300">
        <v>0</v>
      </c>
      <c r="I300">
        <v>0</v>
      </c>
      <c r="J300">
        <v>0</v>
      </c>
      <c r="K300">
        <v>0</v>
      </c>
      <c r="L300">
        <v>0</v>
      </c>
      <c r="M300">
        <v>0</v>
      </c>
      <c r="N300">
        <v>0</v>
      </c>
      <c r="O300">
        <v>0</v>
      </c>
      <c r="P300">
        <v>0</v>
      </c>
    </row>
    <row r="301" spans="1:16" x14ac:dyDescent="0.3">
      <c r="A301" t="str">
        <f>Table_Demand___Community_frontsheet[[#This Row],[Name]]&amp;B301</f>
        <v>EssexReablement &amp; Rehabilitation in a bedded setting</v>
      </c>
      <c r="B301" t="str">
        <f>VLOOKUP(Table_Demand___Community_frontsheet[[#This Row],[Service Type]],PathwayLookup!E:F,2,0)</f>
        <v>Reablement &amp; Rehabilitation in a bedded setting</v>
      </c>
      <c r="C301" t="s">
        <v>149</v>
      </c>
      <c r="D301" t="s">
        <v>725</v>
      </c>
      <c r="E301">
        <v>114</v>
      </c>
      <c r="F301">
        <v>114</v>
      </c>
      <c r="G301">
        <v>114</v>
      </c>
      <c r="H301">
        <v>114</v>
      </c>
      <c r="I301">
        <v>114</v>
      </c>
      <c r="J301">
        <v>114</v>
      </c>
      <c r="K301">
        <v>114</v>
      </c>
      <c r="L301">
        <v>114</v>
      </c>
      <c r="M301">
        <v>114</v>
      </c>
      <c r="N301">
        <v>114</v>
      </c>
      <c r="O301">
        <v>114</v>
      </c>
      <c r="P301">
        <v>114</v>
      </c>
    </row>
    <row r="302" spans="1:16" x14ac:dyDescent="0.3">
      <c r="A302" t="str">
        <f>Table_Demand___Community_frontsheet[[#This Row],[Name]]&amp;B302</f>
        <v>EssexOther short-term social care</v>
      </c>
      <c r="B302" t="str">
        <f>VLOOKUP(Table_Demand___Community_frontsheet[[#This Row],[Service Type]],PathwayLookup!E:F,2,0)</f>
        <v>Other short-term social care</v>
      </c>
      <c r="C302" t="s">
        <v>149</v>
      </c>
      <c r="D302" t="s">
        <v>708</v>
      </c>
      <c r="E302">
        <v>0</v>
      </c>
      <c r="F302">
        <v>0</v>
      </c>
      <c r="G302">
        <v>0</v>
      </c>
      <c r="H302">
        <v>0</v>
      </c>
      <c r="I302">
        <v>0</v>
      </c>
      <c r="J302">
        <v>0</v>
      </c>
      <c r="K302">
        <v>0</v>
      </c>
      <c r="L302">
        <v>0</v>
      </c>
      <c r="M302">
        <v>0</v>
      </c>
      <c r="N302">
        <v>0</v>
      </c>
      <c r="O302">
        <v>0</v>
      </c>
      <c r="P302">
        <v>0</v>
      </c>
    </row>
    <row r="303" spans="1:16" x14ac:dyDescent="0.3">
      <c r="A303" t="str">
        <f>Table_Demand___Community_frontsheet[[#This Row],[Name]]&amp;B303</f>
        <v>GatesheadSocial support (including VCS)</v>
      </c>
      <c r="B303" t="str">
        <f>VLOOKUP(Table_Demand___Community_frontsheet[[#This Row],[Service Type]],PathwayLookup!E:F,2,0)</f>
        <v>Social support (including VCS)</v>
      </c>
      <c r="C303" t="s">
        <v>151</v>
      </c>
      <c r="D303" t="s">
        <v>704</v>
      </c>
      <c r="E303">
        <v>0</v>
      </c>
      <c r="F303">
        <v>0</v>
      </c>
      <c r="G303">
        <v>0</v>
      </c>
      <c r="H303">
        <v>0</v>
      </c>
      <c r="I303">
        <v>0</v>
      </c>
      <c r="J303">
        <v>0</v>
      </c>
      <c r="K303">
        <v>0</v>
      </c>
      <c r="L303">
        <v>0</v>
      </c>
      <c r="M303">
        <v>0</v>
      </c>
      <c r="N303">
        <v>0</v>
      </c>
      <c r="O303">
        <v>0</v>
      </c>
      <c r="P303">
        <v>0</v>
      </c>
    </row>
    <row r="304" spans="1:16" x14ac:dyDescent="0.3">
      <c r="A304" t="str">
        <f>Table_Demand___Community_frontsheet[[#This Row],[Name]]&amp;B304</f>
        <v>GatesheadUrgent Community Response</v>
      </c>
      <c r="B304" t="str">
        <f>VLOOKUP(Table_Demand___Community_frontsheet[[#This Row],[Service Type]],PathwayLookup!E:F,2,0)</f>
        <v>Urgent Community Response</v>
      </c>
      <c r="C304" t="s">
        <v>151</v>
      </c>
      <c r="D304" t="s">
        <v>705</v>
      </c>
      <c r="E304">
        <v>588</v>
      </c>
      <c r="F304">
        <v>656</v>
      </c>
      <c r="G304">
        <v>536</v>
      </c>
      <c r="H304">
        <v>620</v>
      </c>
      <c r="I304">
        <v>397</v>
      </c>
      <c r="J304">
        <v>489</v>
      </c>
      <c r="K304">
        <v>614</v>
      </c>
      <c r="L304">
        <v>746</v>
      </c>
      <c r="M304">
        <v>789</v>
      </c>
      <c r="N304">
        <v>749</v>
      </c>
      <c r="O304">
        <v>563</v>
      </c>
      <c r="P304">
        <v>627</v>
      </c>
    </row>
    <row r="305" spans="1:16" x14ac:dyDescent="0.3">
      <c r="A305" t="str">
        <f>Table_Demand___Community_frontsheet[[#This Row],[Name]]&amp;B305</f>
        <v>GatesheadReablement &amp; Rehabilitation at home</v>
      </c>
      <c r="B305" t="str">
        <f>VLOOKUP(Table_Demand___Community_frontsheet[[#This Row],[Service Type]],PathwayLookup!E:F,2,0)</f>
        <v>Reablement &amp; Rehabilitation at home</v>
      </c>
      <c r="C305" t="s">
        <v>151</v>
      </c>
      <c r="D305" t="s">
        <v>720</v>
      </c>
      <c r="E305">
        <v>12</v>
      </c>
      <c r="F305">
        <v>12</v>
      </c>
      <c r="G305">
        <v>12</v>
      </c>
      <c r="H305">
        <v>12</v>
      </c>
      <c r="I305">
        <v>12</v>
      </c>
      <c r="J305">
        <v>12</v>
      </c>
      <c r="K305">
        <v>14</v>
      </c>
      <c r="L305">
        <v>14</v>
      </c>
      <c r="M305">
        <v>15</v>
      </c>
      <c r="N305">
        <v>15</v>
      </c>
      <c r="O305">
        <v>15</v>
      </c>
      <c r="P305">
        <v>15</v>
      </c>
    </row>
    <row r="306" spans="1:16" x14ac:dyDescent="0.3">
      <c r="A306" t="str">
        <f>Table_Demand___Community_frontsheet[[#This Row],[Name]]&amp;B306</f>
        <v>GatesheadReablement &amp; Rehabilitation at home</v>
      </c>
      <c r="B306" t="str">
        <f>VLOOKUP(Table_Demand___Community_frontsheet[[#This Row],[Service Type]],PathwayLookup!E:F,2,0)</f>
        <v>Reablement &amp; Rehabilitation at home</v>
      </c>
      <c r="C306" t="s">
        <v>151</v>
      </c>
      <c r="D306" t="s">
        <v>721</v>
      </c>
      <c r="E306">
        <v>180</v>
      </c>
      <c r="F306">
        <v>192</v>
      </c>
      <c r="G306">
        <v>188</v>
      </c>
      <c r="H306">
        <v>198</v>
      </c>
      <c r="I306">
        <v>213</v>
      </c>
      <c r="J306">
        <v>253</v>
      </c>
      <c r="K306">
        <v>246</v>
      </c>
      <c r="L306">
        <v>252</v>
      </c>
      <c r="M306">
        <v>238</v>
      </c>
      <c r="N306">
        <v>278</v>
      </c>
      <c r="O306">
        <v>280</v>
      </c>
      <c r="P306">
        <v>287</v>
      </c>
    </row>
    <row r="307" spans="1:16" x14ac:dyDescent="0.3">
      <c r="A307" t="str">
        <f>Table_Demand___Community_frontsheet[[#This Row],[Name]]&amp;B307</f>
        <v>GatesheadReablement &amp; Rehabilitation in a bedded setting</v>
      </c>
      <c r="B307" t="str">
        <f>VLOOKUP(Table_Demand___Community_frontsheet[[#This Row],[Service Type]],PathwayLookup!E:F,2,0)</f>
        <v>Reablement &amp; Rehabilitation in a bedded setting</v>
      </c>
      <c r="C307" t="s">
        <v>151</v>
      </c>
      <c r="D307" t="s">
        <v>723</v>
      </c>
      <c r="E307">
        <v>6</v>
      </c>
      <c r="F307">
        <v>7</v>
      </c>
      <c r="G307">
        <v>6</v>
      </c>
      <c r="H307">
        <v>7</v>
      </c>
      <c r="I307">
        <v>6</v>
      </c>
      <c r="J307">
        <v>7</v>
      </c>
      <c r="K307">
        <v>6</v>
      </c>
      <c r="L307">
        <v>7</v>
      </c>
      <c r="M307">
        <v>8</v>
      </c>
      <c r="N307">
        <v>7</v>
      </c>
      <c r="O307">
        <v>6</v>
      </c>
      <c r="P307">
        <v>6</v>
      </c>
    </row>
    <row r="308" spans="1:16" x14ac:dyDescent="0.3">
      <c r="A308" t="str">
        <f>Table_Demand___Community_frontsheet[[#This Row],[Name]]&amp;B308</f>
        <v>GatesheadReablement &amp; Rehabilitation in a bedded setting</v>
      </c>
      <c r="B308" t="str">
        <f>VLOOKUP(Table_Demand___Community_frontsheet[[#This Row],[Service Type]],PathwayLookup!E:F,2,0)</f>
        <v>Reablement &amp; Rehabilitation in a bedded setting</v>
      </c>
      <c r="C308" t="s">
        <v>151</v>
      </c>
      <c r="D308" t="s">
        <v>725</v>
      </c>
      <c r="E308">
        <v>5</v>
      </c>
      <c r="F308">
        <v>4</v>
      </c>
      <c r="G308">
        <v>5</v>
      </c>
      <c r="H308">
        <v>4</v>
      </c>
      <c r="I308">
        <v>5</v>
      </c>
      <c r="J308">
        <v>4</v>
      </c>
      <c r="K308">
        <v>5</v>
      </c>
      <c r="L308">
        <v>4</v>
      </c>
      <c r="M308">
        <v>8</v>
      </c>
      <c r="N308">
        <v>7</v>
      </c>
      <c r="O308">
        <v>6</v>
      </c>
      <c r="P308">
        <v>6</v>
      </c>
    </row>
    <row r="309" spans="1:16" x14ac:dyDescent="0.3">
      <c r="A309" t="str">
        <f>Table_Demand___Community_frontsheet[[#This Row],[Name]]&amp;B309</f>
        <v>GatesheadOther short-term social care</v>
      </c>
      <c r="B309" t="str">
        <f>VLOOKUP(Table_Demand___Community_frontsheet[[#This Row],[Service Type]],PathwayLookup!E:F,2,0)</f>
        <v>Other short-term social care</v>
      </c>
      <c r="C309" t="s">
        <v>151</v>
      </c>
      <c r="D309" t="s">
        <v>708</v>
      </c>
      <c r="E309">
        <v>5</v>
      </c>
      <c r="F309">
        <v>5</v>
      </c>
      <c r="G309">
        <v>5</v>
      </c>
      <c r="H309">
        <v>5</v>
      </c>
      <c r="I309">
        <v>5</v>
      </c>
      <c r="J309">
        <v>5</v>
      </c>
      <c r="K309">
        <v>5</v>
      </c>
      <c r="L309">
        <v>5</v>
      </c>
      <c r="M309">
        <v>5</v>
      </c>
      <c r="N309">
        <v>5</v>
      </c>
      <c r="O309">
        <v>5</v>
      </c>
      <c r="P309">
        <v>5</v>
      </c>
    </row>
    <row r="310" spans="1:16" x14ac:dyDescent="0.3">
      <c r="A310" t="str">
        <f>Table_Demand___Community_frontsheet[[#This Row],[Name]]&amp;B310</f>
        <v>GloucestershireSocial support (including VCS)</v>
      </c>
      <c r="B310" t="str">
        <f>VLOOKUP(Table_Demand___Community_frontsheet[[#This Row],[Service Type]],PathwayLookup!E:F,2,0)</f>
        <v>Social support (including VCS)</v>
      </c>
      <c r="C310" t="s">
        <v>153</v>
      </c>
      <c r="D310" t="s">
        <v>704</v>
      </c>
      <c r="E310">
        <v>25</v>
      </c>
      <c r="F310">
        <v>25</v>
      </c>
      <c r="G310">
        <v>25</v>
      </c>
      <c r="H310">
        <v>25</v>
      </c>
      <c r="I310">
        <v>25</v>
      </c>
      <c r="J310">
        <v>25</v>
      </c>
      <c r="K310">
        <v>25</v>
      </c>
      <c r="L310">
        <v>25</v>
      </c>
      <c r="M310">
        <v>25</v>
      </c>
      <c r="N310">
        <v>25</v>
      </c>
      <c r="O310">
        <v>25</v>
      </c>
      <c r="P310">
        <v>25</v>
      </c>
    </row>
    <row r="311" spans="1:16" x14ac:dyDescent="0.3">
      <c r="A311" t="str">
        <f>Table_Demand___Community_frontsheet[[#This Row],[Name]]&amp;B311</f>
        <v>GloucestershireUrgent Community Response</v>
      </c>
      <c r="B311" t="str">
        <f>VLOOKUP(Table_Demand___Community_frontsheet[[#This Row],[Service Type]],PathwayLookup!E:F,2,0)</f>
        <v>Urgent Community Response</v>
      </c>
      <c r="C311" t="s">
        <v>153</v>
      </c>
      <c r="D311" t="s">
        <v>705</v>
      </c>
      <c r="E311">
        <v>334</v>
      </c>
      <c r="F311">
        <v>307</v>
      </c>
      <c r="G311">
        <v>295</v>
      </c>
      <c r="H311">
        <v>305</v>
      </c>
      <c r="I311">
        <v>333</v>
      </c>
      <c r="J311">
        <v>290</v>
      </c>
      <c r="K311">
        <v>354</v>
      </c>
      <c r="L311">
        <v>339</v>
      </c>
      <c r="M311">
        <v>464</v>
      </c>
      <c r="N311">
        <v>382</v>
      </c>
      <c r="O311">
        <v>327</v>
      </c>
      <c r="P311">
        <v>395</v>
      </c>
    </row>
    <row r="312" spans="1:16" x14ac:dyDescent="0.3">
      <c r="A312" t="str">
        <f>Table_Demand___Community_frontsheet[[#This Row],[Name]]&amp;B312</f>
        <v>GloucestershireReablement &amp; Rehabilitation at home</v>
      </c>
      <c r="B312" t="str">
        <f>VLOOKUP(Table_Demand___Community_frontsheet[[#This Row],[Service Type]],PathwayLookup!E:F,2,0)</f>
        <v>Reablement &amp; Rehabilitation at home</v>
      </c>
      <c r="C312" t="s">
        <v>153</v>
      </c>
      <c r="D312" t="s">
        <v>720</v>
      </c>
      <c r="E312">
        <v>117</v>
      </c>
      <c r="F312">
        <v>109</v>
      </c>
      <c r="G312">
        <v>107</v>
      </c>
      <c r="H312">
        <v>109</v>
      </c>
      <c r="I312">
        <v>114</v>
      </c>
      <c r="J312">
        <v>118</v>
      </c>
      <c r="K312">
        <v>122</v>
      </c>
      <c r="L312">
        <v>126</v>
      </c>
      <c r="M312">
        <v>130</v>
      </c>
      <c r="N312">
        <v>134</v>
      </c>
      <c r="O312">
        <v>137</v>
      </c>
      <c r="P312">
        <v>141</v>
      </c>
    </row>
    <row r="313" spans="1:16" x14ac:dyDescent="0.3">
      <c r="A313" t="str">
        <f>Table_Demand___Community_frontsheet[[#This Row],[Name]]&amp;B313</f>
        <v>GloucestershireReablement &amp; Rehabilitation at home</v>
      </c>
      <c r="B313" t="str">
        <f>VLOOKUP(Table_Demand___Community_frontsheet[[#This Row],[Service Type]],PathwayLookup!E:F,2,0)</f>
        <v>Reablement &amp; Rehabilitation at home</v>
      </c>
      <c r="C313" t="s">
        <v>153</v>
      </c>
      <c r="D313" t="s">
        <v>721</v>
      </c>
      <c r="E313">
        <v>0</v>
      </c>
      <c r="F313">
        <v>0</v>
      </c>
      <c r="G313">
        <v>0</v>
      </c>
      <c r="H313">
        <v>0</v>
      </c>
      <c r="I313">
        <v>0</v>
      </c>
      <c r="J313">
        <v>0</v>
      </c>
      <c r="K313">
        <v>0</v>
      </c>
      <c r="L313">
        <v>0</v>
      </c>
      <c r="M313">
        <v>0</v>
      </c>
      <c r="N313">
        <v>0</v>
      </c>
      <c r="O313">
        <v>0</v>
      </c>
      <c r="P313">
        <v>0</v>
      </c>
    </row>
    <row r="314" spans="1:16" x14ac:dyDescent="0.3">
      <c r="A314" t="str">
        <f>Table_Demand___Community_frontsheet[[#This Row],[Name]]&amp;B314</f>
        <v>GloucestershireReablement &amp; Rehabilitation in a bedded setting</v>
      </c>
      <c r="B314" t="str">
        <f>VLOOKUP(Table_Demand___Community_frontsheet[[#This Row],[Service Type]],PathwayLookup!E:F,2,0)</f>
        <v>Reablement &amp; Rehabilitation in a bedded setting</v>
      </c>
      <c r="C314" t="s">
        <v>153</v>
      </c>
      <c r="D314" t="s">
        <v>723</v>
      </c>
      <c r="E314">
        <v>0</v>
      </c>
      <c r="F314">
        <v>1</v>
      </c>
      <c r="G314">
        <v>0</v>
      </c>
      <c r="H314">
        <v>0</v>
      </c>
      <c r="I314">
        <v>0</v>
      </c>
      <c r="J314">
        <v>0</v>
      </c>
      <c r="K314">
        <v>0</v>
      </c>
      <c r="L314">
        <v>0</v>
      </c>
      <c r="M314">
        <v>0</v>
      </c>
      <c r="N314">
        <v>0</v>
      </c>
      <c r="O314">
        <v>0</v>
      </c>
      <c r="P314">
        <v>0</v>
      </c>
    </row>
    <row r="315" spans="1:16" x14ac:dyDescent="0.3">
      <c r="A315" t="str">
        <f>Table_Demand___Community_frontsheet[[#This Row],[Name]]&amp;B315</f>
        <v>GloucestershireReablement &amp; Rehabilitation in a bedded setting</v>
      </c>
      <c r="B315" t="str">
        <f>VLOOKUP(Table_Demand___Community_frontsheet[[#This Row],[Service Type]],PathwayLookup!E:F,2,0)</f>
        <v>Reablement &amp; Rehabilitation in a bedded setting</v>
      </c>
      <c r="C315" t="s">
        <v>153</v>
      </c>
      <c r="D315" t="s">
        <v>725</v>
      </c>
      <c r="E315">
        <v>0</v>
      </c>
      <c r="F315">
        <v>0</v>
      </c>
      <c r="G315">
        <v>0</v>
      </c>
      <c r="H315">
        <v>0</v>
      </c>
      <c r="I315">
        <v>0</v>
      </c>
      <c r="J315">
        <v>0</v>
      </c>
      <c r="K315">
        <v>0</v>
      </c>
      <c r="L315">
        <v>0</v>
      </c>
      <c r="M315">
        <v>0</v>
      </c>
      <c r="N315">
        <v>0</v>
      </c>
      <c r="O315">
        <v>0</v>
      </c>
      <c r="P315">
        <v>0</v>
      </c>
    </row>
    <row r="316" spans="1:16" x14ac:dyDescent="0.3">
      <c r="A316" t="str">
        <f>Table_Demand___Community_frontsheet[[#This Row],[Name]]&amp;B316</f>
        <v>GloucestershireOther short-term social care</v>
      </c>
      <c r="B316" t="str">
        <f>VLOOKUP(Table_Demand___Community_frontsheet[[#This Row],[Service Type]],PathwayLookup!E:F,2,0)</f>
        <v>Other short-term social care</v>
      </c>
      <c r="C316" t="s">
        <v>153</v>
      </c>
      <c r="D316" t="s">
        <v>708</v>
      </c>
      <c r="E316">
        <v>2</v>
      </c>
      <c r="F316">
        <v>2</v>
      </c>
      <c r="G316">
        <v>3</v>
      </c>
      <c r="H316">
        <v>2</v>
      </c>
      <c r="I316">
        <v>2</v>
      </c>
      <c r="J316">
        <v>2</v>
      </c>
      <c r="K316">
        <v>1</v>
      </c>
      <c r="L316">
        <v>1</v>
      </c>
      <c r="M316">
        <v>1</v>
      </c>
      <c r="N316">
        <v>1</v>
      </c>
      <c r="O316">
        <v>1</v>
      </c>
      <c r="P316">
        <v>1</v>
      </c>
    </row>
    <row r="317" spans="1:16" x14ac:dyDescent="0.3">
      <c r="A317" t="str">
        <f>Table_Demand___Community_frontsheet[[#This Row],[Name]]&amp;B317</f>
        <v>GreenwichSocial support (including VCS)</v>
      </c>
      <c r="B317" t="str">
        <f>VLOOKUP(Table_Demand___Community_frontsheet[[#This Row],[Service Type]],PathwayLookup!E:F,2,0)</f>
        <v>Social support (including VCS)</v>
      </c>
      <c r="C317" t="s">
        <v>155</v>
      </c>
      <c r="D317" t="s">
        <v>704</v>
      </c>
      <c r="E317">
        <v>48</v>
      </c>
      <c r="F317">
        <v>52</v>
      </c>
      <c r="G317">
        <v>53</v>
      </c>
      <c r="H317">
        <v>60</v>
      </c>
      <c r="I317">
        <v>60</v>
      </c>
      <c r="J317">
        <v>65</v>
      </c>
      <c r="K317">
        <v>74</v>
      </c>
      <c r="L317">
        <v>76</v>
      </c>
      <c r="M317">
        <v>83</v>
      </c>
      <c r="N317">
        <v>76</v>
      </c>
      <c r="O317">
        <v>66</v>
      </c>
      <c r="P317">
        <v>60</v>
      </c>
    </row>
    <row r="318" spans="1:16" x14ac:dyDescent="0.3">
      <c r="A318" t="str">
        <f>Table_Demand___Community_frontsheet[[#This Row],[Name]]&amp;B318</f>
        <v>GreenwichUrgent Community Response</v>
      </c>
      <c r="B318" t="str">
        <f>VLOOKUP(Table_Demand___Community_frontsheet[[#This Row],[Service Type]],PathwayLookup!E:F,2,0)</f>
        <v>Urgent Community Response</v>
      </c>
      <c r="C318" t="s">
        <v>155</v>
      </c>
      <c r="D318" t="s">
        <v>705</v>
      </c>
      <c r="E318">
        <v>224</v>
      </c>
      <c r="F318">
        <v>224</v>
      </c>
      <c r="G318">
        <v>224</v>
      </c>
      <c r="H318">
        <v>224</v>
      </c>
      <c r="I318">
        <v>224</v>
      </c>
      <c r="J318">
        <v>224</v>
      </c>
      <c r="K318">
        <v>224</v>
      </c>
      <c r="L318">
        <v>224</v>
      </c>
      <c r="M318">
        <v>224</v>
      </c>
      <c r="N318">
        <v>224</v>
      </c>
      <c r="O318">
        <v>224</v>
      </c>
      <c r="P318">
        <v>224</v>
      </c>
    </row>
    <row r="319" spans="1:16" x14ac:dyDescent="0.3">
      <c r="A319" t="str">
        <f>Table_Demand___Community_frontsheet[[#This Row],[Name]]&amp;B319</f>
        <v>GreenwichReablement &amp; Rehabilitation at home</v>
      </c>
      <c r="B319" t="str">
        <f>VLOOKUP(Table_Demand___Community_frontsheet[[#This Row],[Service Type]],PathwayLookup!E:F,2,0)</f>
        <v>Reablement &amp; Rehabilitation at home</v>
      </c>
      <c r="C319" t="s">
        <v>155</v>
      </c>
      <c r="D319" t="s">
        <v>720</v>
      </c>
      <c r="E319">
        <v>31</v>
      </c>
      <c r="F319">
        <v>32</v>
      </c>
      <c r="G319">
        <v>31</v>
      </c>
      <c r="H319">
        <v>32</v>
      </c>
      <c r="I319">
        <v>32</v>
      </c>
      <c r="J319">
        <v>31</v>
      </c>
      <c r="K319">
        <v>32</v>
      </c>
      <c r="L319">
        <v>31</v>
      </c>
      <c r="M319">
        <v>32</v>
      </c>
      <c r="N319">
        <v>32</v>
      </c>
      <c r="O319">
        <v>29</v>
      </c>
      <c r="P319">
        <v>32</v>
      </c>
    </row>
    <row r="320" spans="1:16" x14ac:dyDescent="0.3">
      <c r="A320" t="str">
        <f>Table_Demand___Community_frontsheet[[#This Row],[Name]]&amp;B320</f>
        <v>GreenwichReablement &amp; Rehabilitation at home</v>
      </c>
      <c r="B320" t="str">
        <f>VLOOKUP(Table_Demand___Community_frontsheet[[#This Row],[Service Type]],PathwayLookup!E:F,2,0)</f>
        <v>Reablement &amp; Rehabilitation at home</v>
      </c>
      <c r="C320" t="s">
        <v>155</v>
      </c>
      <c r="D320" t="s">
        <v>721</v>
      </c>
      <c r="E320">
        <v>100</v>
      </c>
      <c r="F320">
        <v>100</v>
      </c>
      <c r="G320">
        <v>100</v>
      </c>
      <c r="H320">
        <v>100</v>
      </c>
      <c r="I320">
        <v>100</v>
      </c>
      <c r="J320">
        <v>100</v>
      </c>
      <c r="K320">
        <v>100</v>
      </c>
      <c r="L320">
        <v>100</v>
      </c>
      <c r="M320">
        <v>100</v>
      </c>
      <c r="N320">
        <v>100</v>
      </c>
      <c r="O320">
        <v>100</v>
      </c>
      <c r="P320">
        <v>100</v>
      </c>
    </row>
    <row r="321" spans="1:16" x14ac:dyDescent="0.3">
      <c r="A321" t="str">
        <f>Table_Demand___Community_frontsheet[[#This Row],[Name]]&amp;B321</f>
        <v>GreenwichReablement &amp; Rehabilitation in a bedded setting</v>
      </c>
      <c r="B321" t="str">
        <f>VLOOKUP(Table_Demand___Community_frontsheet[[#This Row],[Service Type]],PathwayLookup!E:F,2,0)</f>
        <v>Reablement &amp; Rehabilitation in a bedded setting</v>
      </c>
      <c r="C321" t="s">
        <v>155</v>
      </c>
      <c r="D321" t="s">
        <v>723</v>
      </c>
      <c r="E321">
        <v>0</v>
      </c>
      <c r="F321">
        <v>0</v>
      </c>
      <c r="G321">
        <v>0</v>
      </c>
      <c r="H321">
        <v>0</v>
      </c>
      <c r="I321">
        <v>0</v>
      </c>
      <c r="J321">
        <v>0</v>
      </c>
      <c r="K321">
        <v>0</v>
      </c>
      <c r="L321">
        <v>0</v>
      </c>
      <c r="M321">
        <v>0</v>
      </c>
      <c r="O321">
        <v>0</v>
      </c>
      <c r="P321">
        <v>0</v>
      </c>
    </row>
    <row r="322" spans="1:16" x14ac:dyDescent="0.3">
      <c r="A322" t="str">
        <f>Table_Demand___Community_frontsheet[[#This Row],[Name]]&amp;B322</f>
        <v>GreenwichReablement &amp; Rehabilitation in a bedded setting</v>
      </c>
      <c r="B322" t="str">
        <f>VLOOKUP(Table_Demand___Community_frontsheet[[#This Row],[Service Type]],PathwayLookup!E:F,2,0)</f>
        <v>Reablement &amp; Rehabilitation in a bedded setting</v>
      </c>
      <c r="C322" t="s">
        <v>155</v>
      </c>
      <c r="D322" t="s">
        <v>725</v>
      </c>
      <c r="E322">
        <v>1</v>
      </c>
      <c r="F322">
        <v>1</v>
      </c>
      <c r="G322">
        <v>1</v>
      </c>
      <c r="H322">
        <v>1</v>
      </c>
      <c r="I322">
        <v>1</v>
      </c>
      <c r="J322">
        <v>1</v>
      </c>
      <c r="K322">
        <v>1</v>
      </c>
      <c r="L322">
        <v>1</v>
      </c>
      <c r="M322">
        <v>1</v>
      </c>
      <c r="N322">
        <v>1</v>
      </c>
      <c r="O322">
        <v>1</v>
      </c>
      <c r="P322">
        <v>1</v>
      </c>
    </row>
    <row r="323" spans="1:16" x14ac:dyDescent="0.3">
      <c r="A323" t="str">
        <f>Table_Demand___Community_frontsheet[[#This Row],[Name]]&amp;B323</f>
        <v>GreenwichOther short-term social care</v>
      </c>
      <c r="B323" t="str">
        <f>VLOOKUP(Table_Demand___Community_frontsheet[[#This Row],[Service Type]],PathwayLookup!E:F,2,0)</f>
        <v>Other short-term social care</v>
      </c>
      <c r="C323" t="s">
        <v>155</v>
      </c>
      <c r="D323" t="s">
        <v>708</v>
      </c>
      <c r="E323">
        <v>0</v>
      </c>
      <c r="F323">
        <v>0</v>
      </c>
      <c r="G323">
        <v>0</v>
      </c>
      <c r="H323">
        <v>0</v>
      </c>
      <c r="I323">
        <v>0</v>
      </c>
      <c r="J323">
        <v>0</v>
      </c>
      <c r="K323">
        <v>0</v>
      </c>
      <c r="L323">
        <v>0</v>
      </c>
      <c r="M323">
        <v>0</v>
      </c>
      <c r="N323">
        <v>0</v>
      </c>
      <c r="O323">
        <v>0</v>
      </c>
      <c r="P323">
        <v>0</v>
      </c>
    </row>
    <row r="324" spans="1:16" x14ac:dyDescent="0.3">
      <c r="A324" t="str">
        <f>Table_Demand___Community_frontsheet[[#This Row],[Name]]&amp;B324</f>
        <v>HackneySocial support (including VCS)</v>
      </c>
      <c r="B324" t="str">
        <f>VLOOKUP(Table_Demand___Community_frontsheet[[#This Row],[Service Type]],PathwayLookup!E:F,2,0)</f>
        <v>Social support (including VCS)</v>
      </c>
      <c r="C324" t="s">
        <v>157</v>
      </c>
      <c r="D324" t="s">
        <v>704</v>
      </c>
      <c r="E324">
        <v>0</v>
      </c>
      <c r="F324">
        <v>0</v>
      </c>
      <c r="G324">
        <v>0</v>
      </c>
      <c r="H324">
        <v>0</v>
      </c>
      <c r="I324">
        <v>0</v>
      </c>
      <c r="J324">
        <v>0</v>
      </c>
      <c r="K324">
        <v>0</v>
      </c>
      <c r="L324">
        <v>0</v>
      </c>
      <c r="M324">
        <v>0</v>
      </c>
      <c r="N324">
        <v>0</v>
      </c>
      <c r="O324">
        <v>0</v>
      </c>
      <c r="P324">
        <v>0</v>
      </c>
    </row>
    <row r="325" spans="1:16" x14ac:dyDescent="0.3">
      <c r="A325" t="str">
        <f>Table_Demand___Community_frontsheet[[#This Row],[Name]]&amp;B325</f>
        <v>HackneyUrgent Community Response</v>
      </c>
      <c r="B325" t="str">
        <f>VLOOKUP(Table_Demand___Community_frontsheet[[#This Row],[Service Type]],PathwayLookup!E:F,2,0)</f>
        <v>Urgent Community Response</v>
      </c>
      <c r="C325" t="s">
        <v>157</v>
      </c>
      <c r="D325" t="s">
        <v>705</v>
      </c>
      <c r="E325">
        <v>106</v>
      </c>
      <c r="F325">
        <v>106</v>
      </c>
      <c r="G325">
        <v>106</v>
      </c>
      <c r="H325">
        <v>106</v>
      </c>
      <c r="I325">
        <v>106</v>
      </c>
      <c r="J325">
        <v>106</v>
      </c>
      <c r="K325">
        <v>106</v>
      </c>
      <c r="L325">
        <v>106</v>
      </c>
      <c r="M325">
        <v>106</v>
      </c>
      <c r="N325">
        <v>106</v>
      </c>
      <c r="O325">
        <v>106</v>
      </c>
      <c r="P325">
        <v>106</v>
      </c>
    </row>
    <row r="326" spans="1:16" x14ac:dyDescent="0.3">
      <c r="A326" t="str">
        <f>Table_Demand___Community_frontsheet[[#This Row],[Name]]&amp;B326</f>
        <v>HackneyReablement &amp; Rehabilitation at home</v>
      </c>
      <c r="B326" t="str">
        <f>VLOOKUP(Table_Demand___Community_frontsheet[[#This Row],[Service Type]],PathwayLookup!E:F,2,0)</f>
        <v>Reablement &amp; Rehabilitation at home</v>
      </c>
      <c r="C326" t="s">
        <v>157</v>
      </c>
      <c r="D326" t="s">
        <v>720</v>
      </c>
      <c r="E326">
        <v>5</v>
      </c>
      <c r="F326">
        <v>5</v>
      </c>
      <c r="G326">
        <v>5</v>
      </c>
      <c r="H326">
        <v>5</v>
      </c>
      <c r="I326">
        <v>5</v>
      </c>
      <c r="J326">
        <v>5</v>
      </c>
      <c r="K326">
        <v>5</v>
      </c>
      <c r="L326">
        <v>5</v>
      </c>
      <c r="M326">
        <v>5</v>
      </c>
      <c r="N326">
        <v>5</v>
      </c>
      <c r="O326">
        <v>5</v>
      </c>
      <c r="P326">
        <v>5</v>
      </c>
    </row>
    <row r="327" spans="1:16" x14ac:dyDescent="0.3">
      <c r="A327" t="str">
        <f>Table_Demand___Community_frontsheet[[#This Row],[Name]]&amp;B327</f>
        <v>HackneyReablement &amp; Rehabilitation at home</v>
      </c>
      <c r="B327" t="str">
        <f>VLOOKUP(Table_Demand___Community_frontsheet[[#This Row],[Service Type]],PathwayLookup!E:F,2,0)</f>
        <v>Reablement &amp; Rehabilitation at home</v>
      </c>
      <c r="C327" t="s">
        <v>157</v>
      </c>
      <c r="D327" t="s">
        <v>721</v>
      </c>
      <c r="E327">
        <v>19</v>
      </c>
      <c r="F327">
        <v>19</v>
      </c>
      <c r="G327">
        <v>19</v>
      </c>
      <c r="H327">
        <v>19</v>
      </c>
      <c r="I327">
        <v>19</v>
      </c>
      <c r="J327">
        <v>19</v>
      </c>
      <c r="K327">
        <v>19</v>
      </c>
      <c r="L327">
        <v>19</v>
      </c>
      <c r="M327">
        <v>19</v>
      </c>
      <c r="N327">
        <v>19</v>
      </c>
      <c r="O327">
        <v>19</v>
      </c>
      <c r="P327">
        <v>19</v>
      </c>
    </row>
    <row r="328" spans="1:16" x14ac:dyDescent="0.3">
      <c r="A328" t="str">
        <f>Table_Demand___Community_frontsheet[[#This Row],[Name]]&amp;B328</f>
        <v>HackneyReablement &amp; Rehabilitation in a bedded setting</v>
      </c>
      <c r="B328" t="str">
        <f>VLOOKUP(Table_Demand___Community_frontsheet[[#This Row],[Service Type]],PathwayLookup!E:F,2,0)</f>
        <v>Reablement &amp; Rehabilitation in a bedded setting</v>
      </c>
      <c r="C328" t="s">
        <v>157</v>
      </c>
      <c r="D328" t="s">
        <v>723</v>
      </c>
      <c r="E328">
        <v>0</v>
      </c>
      <c r="F328">
        <v>0</v>
      </c>
      <c r="G328">
        <v>0</v>
      </c>
      <c r="H328">
        <v>0</v>
      </c>
      <c r="I328">
        <v>0</v>
      </c>
      <c r="J328">
        <v>0</v>
      </c>
      <c r="K328">
        <v>0</v>
      </c>
      <c r="L328">
        <v>0</v>
      </c>
      <c r="M328">
        <v>0</v>
      </c>
      <c r="N328">
        <v>0</v>
      </c>
      <c r="O328">
        <v>0</v>
      </c>
      <c r="P328">
        <v>0</v>
      </c>
    </row>
    <row r="329" spans="1:16" x14ac:dyDescent="0.3">
      <c r="A329" t="str">
        <f>Table_Demand___Community_frontsheet[[#This Row],[Name]]&amp;B329</f>
        <v>HackneyReablement &amp; Rehabilitation in a bedded setting</v>
      </c>
      <c r="B329" t="str">
        <f>VLOOKUP(Table_Demand___Community_frontsheet[[#This Row],[Service Type]],PathwayLookup!E:F,2,0)</f>
        <v>Reablement &amp; Rehabilitation in a bedded setting</v>
      </c>
      <c r="C329" t="s">
        <v>157</v>
      </c>
      <c r="D329" t="s">
        <v>725</v>
      </c>
      <c r="E329">
        <v>0</v>
      </c>
      <c r="F329">
        <v>0</v>
      </c>
      <c r="G329">
        <v>0</v>
      </c>
      <c r="H329">
        <v>0</v>
      </c>
      <c r="I329">
        <v>0</v>
      </c>
      <c r="J329">
        <v>0</v>
      </c>
      <c r="K329">
        <v>0</v>
      </c>
      <c r="L329">
        <v>0</v>
      </c>
      <c r="M329">
        <v>0</v>
      </c>
      <c r="N329">
        <v>0</v>
      </c>
      <c r="O329">
        <v>0</v>
      </c>
      <c r="P329">
        <v>0</v>
      </c>
    </row>
    <row r="330" spans="1:16" x14ac:dyDescent="0.3">
      <c r="A330" t="str">
        <f>Table_Demand___Community_frontsheet[[#This Row],[Name]]&amp;B330</f>
        <v>HackneyOther short-term social care</v>
      </c>
      <c r="B330" t="str">
        <f>VLOOKUP(Table_Demand___Community_frontsheet[[#This Row],[Service Type]],PathwayLookup!E:F,2,0)</f>
        <v>Other short-term social care</v>
      </c>
      <c r="C330" t="s">
        <v>157</v>
      </c>
      <c r="D330" t="s">
        <v>708</v>
      </c>
      <c r="E330">
        <v>0</v>
      </c>
      <c r="F330">
        <v>0</v>
      </c>
      <c r="G330">
        <v>0</v>
      </c>
      <c r="H330">
        <v>0</v>
      </c>
      <c r="I330">
        <v>0</v>
      </c>
      <c r="J330">
        <v>0</v>
      </c>
      <c r="K330">
        <v>0</v>
      </c>
      <c r="L330">
        <v>0</v>
      </c>
      <c r="M330">
        <v>0</v>
      </c>
      <c r="N330">
        <v>0</v>
      </c>
      <c r="O330">
        <v>0</v>
      </c>
      <c r="P330">
        <v>0</v>
      </c>
    </row>
    <row r="331" spans="1:16" x14ac:dyDescent="0.3">
      <c r="A331" t="str">
        <f>Table_Demand___Community_frontsheet[[#This Row],[Name]]&amp;B331</f>
        <v>HaltonSocial support (including VCS)</v>
      </c>
      <c r="B331" t="str">
        <f>VLOOKUP(Table_Demand___Community_frontsheet[[#This Row],[Service Type]],PathwayLookup!E:F,2,0)</f>
        <v>Social support (including VCS)</v>
      </c>
      <c r="C331" t="s">
        <v>159</v>
      </c>
      <c r="D331" t="s">
        <v>704</v>
      </c>
      <c r="E331">
        <v>12</v>
      </c>
      <c r="F331">
        <v>12</v>
      </c>
      <c r="G331">
        <v>12</v>
      </c>
      <c r="H331">
        <v>12</v>
      </c>
      <c r="I331">
        <v>12</v>
      </c>
      <c r="J331">
        <v>12</v>
      </c>
      <c r="K331">
        <v>12</v>
      </c>
      <c r="L331">
        <v>12</v>
      </c>
      <c r="M331">
        <v>12</v>
      </c>
      <c r="N331">
        <v>12</v>
      </c>
      <c r="O331">
        <v>12</v>
      </c>
      <c r="P331">
        <v>12</v>
      </c>
    </row>
    <row r="332" spans="1:16" x14ac:dyDescent="0.3">
      <c r="A332" t="str">
        <f>Table_Demand___Community_frontsheet[[#This Row],[Name]]&amp;B332</f>
        <v>HaltonUrgent Community Response</v>
      </c>
      <c r="B332" t="str">
        <f>VLOOKUP(Table_Demand___Community_frontsheet[[#This Row],[Service Type]],PathwayLookup!E:F,2,0)</f>
        <v>Urgent Community Response</v>
      </c>
      <c r="C332" t="s">
        <v>159</v>
      </c>
      <c r="D332" t="s">
        <v>705</v>
      </c>
      <c r="E332">
        <v>120</v>
      </c>
      <c r="F332">
        <v>120</v>
      </c>
      <c r="G332">
        <v>120</v>
      </c>
      <c r="H332">
        <v>120</v>
      </c>
      <c r="I332">
        <v>120</v>
      </c>
      <c r="J332">
        <v>120</v>
      </c>
      <c r="K332">
        <v>120</v>
      </c>
      <c r="L332">
        <v>120</v>
      </c>
      <c r="M332">
        <v>140</v>
      </c>
      <c r="N332">
        <v>140</v>
      </c>
      <c r="O332">
        <v>140</v>
      </c>
      <c r="P332">
        <v>140</v>
      </c>
    </row>
    <row r="333" spans="1:16" x14ac:dyDescent="0.3">
      <c r="A333" t="str">
        <f>Table_Demand___Community_frontsheet[[#This Row],[Name]]&amp;B333</f>
        <v>HaltonReablement &amp; Rehabilitation at home</v>
      </c>
      <c r="B333" t="str">
        <f>VLOOKUP(Table_Demand___Community_frontsheet[[#This Row],[Service Type]],PathwayLookup!E:F,2,0)</f>
        <v>Reablement &amp; Rehabilitation at home</v>
      </c>
      <c r="C333" t="s">
        <v>159</v>
      </c>
      <c r="D333" t="s">
        <v>720</v>
      </c>
      <c r="E333">
        <v>0</v>
      </c>
      <c r="F333">
        <v>0</v>
      </c>
      <c r="G333">
        <v>0</v>
      </c>
      <c r="H333">
        <v>0</v>
      </c>
      <c r="I333">
        <v>0</v>
      </c>
      <c r="J333">
        <v>0</v>
      </c>
      <c r="K333">
        <v>0</v>
      </c>
      <c r="L333">
        <v>0</v>
      </c>
      <c r="M333">
        <v>0</v>
      </c>
      <c r="N333">
        <v>0</v>
      </c>
      <c r="O333">
        <v>0</v>
      </c>
      <c r="P333">
        <v>0</v>
      </c>
    </row>
    <row r="334" spans="1:16" x14ac:dyDescent="0.3">
      <c r="A334" t="str">
        <f>Table_Demand___Community_frontsheet[[#This Row],[Name]]&amp;B334</f>
        <v>HaltonReablement &amp; Rehabilitation at home</v>
      </c>
      <c r="B334" t="str">
        <f>VLOOKUP(Table_Demand___Community_frontsheet[[#This Row],[Service Type]],PathwayLookup!E:F,2,0)</f>
        <v>Reablement &amp; Rehabilitation at home</v>
      </c>
      <c r="C334" t="s">
        <v>159</v>
      </c>
      <c r="D334" t="s">
        <v>721</v>
      </c>
      <c r="E334">
        <v>1</v>
      </c>
      <c r="F334">
        <v>1</v>
      </c>
      <c r="G334">
        <v>1</v>
      </c>
      <c r="H334">
        <v>1</v>
      </c>
      <c r="I334">
        <v>1</v>
      </c>
      <c r="J334">
        <v>1</v>
      </c>
      <c r="K334">
        <v>1</v>
      </c>
      <c r="L334">
        <v>1</v>
      </c>
      <c r="M334">
        <v>1</v>
      </c>
      <c r="N334">
        <v>1</v>
      </c>
      <c r="O334">
        <v>1</v>
      </c>
      <c r="P334">
        <v>1</v>
      </c>
    </row>
    <row r="335" spans="1:16" x14ac:dyDescent="0.3">
      <c r="A335" t="str">
        <f>Table_Demand___Community_frontsheet[[#This Row],[Name]]&amp;B335</f>
        <v>HaltonReablement &amp; Rehabilitation in a bedded setting</v>
      </c>
      <c r="B335" t="str">
        <f>VLOOKUP(Table_Demand___Community_frontsheet[[#This Row],[Service Type]],PathwayLookup!E:F,2,0)</f>
        <v>Reablement &amp; Rehabilitation in a bedded setting</v>
      </c>
      <c r="C335" t="s">
        <v>159</v>
      </c>
      <c r="D335" t="s">
        <v>723</v>
      </c>
      <c r="E335">
        <v>0</v>
      </c>
      <c r="F335">
        <v>0</v>
      </c>
      <c r="G335">
        <v>0</v>
      </c>
      <c r="H335">
        <v>0</v>
      </c>
      <c r="I335">
        <v>0</v>
      </c>
      <c r="J335">
        <v>0</v>
      </c>
      <c r="K335">
        <v>0</v>
      </c>
      <c r="L335">
        <v>0</v>
      </c>
      <c r="M335">
        <v>0</v>
      </c>
      <c r="N335">
        <v>0</v>
      </c>
      <c r="O335">
        <v>0</v>
      </c>
      <c r="P335">
        <v>0</v>
      </c>
    </row>
    <row r="336" spans="1:16" x14ac:dyDescent="0.3">
      <c r="A336" t="str">
        <f>Table_Demand___Community_frontsheet[[#This Row],[Name]]&amp;B336</f>
        <v>HaltonReablement &amp; Rehabilitation in a bedded setting</v>
      </c>
      <c r="B336" t="str">
        <f>VLOOKUP(Table_Demand___Community_frontsheet[[#This Row],[Service Type]],PathwayLookup!E:F,2,0)</f>
        <v>Reablement &amp; Rehabilitation in a bedded setting</v>
      </c>
      <c r="C336" t="s">
        <v>159</v>
      </c>
      <c r="D336" t="s">
        <v>725</v>
      </c>
      <c r="E336">
        <v>2</v>
      </c>
      <c r="F336">
        <v>2</v>
      </c>
      <c r="G336">
        <v>2</v>
      </c>
      <c r="H336">
        <v>2</v>
      </c>
      <c r="I336">
        <v>2</v>
      </c>
      <c r="J336">
        <v>2</v>
      </c>
      <c r="K336">
        <v>2</v>
      </c>
      <c r="L336">
        <v>2</v>
      </c>
      <c r="M336">
        <v>2</v>
      </c>
      <c r="N336">
        <v>2</v>
      </c>
      <c r="O336">
        <v>2</v>
      </c>
      <c r="P336">
        <v>2</v>
      </c>
    </row>
    <row r="337" spans="1:16" x14ac:dyDescent="0.3">
      <c r="A337" t="str">
        <f>Table_Demand___Community_frontsheet[[#This Row],[Name]]&amp;B337</f>
        <v>HaltonOther short-term social care</v>
      </c>
      <c r="B337" t="str">
        <f>VLOOKUP(Table_Demand___Community_frontsheet[[#This Row],[Service Type]],PathwayLookup!E:F,2,0)</f>
        <v>Other short-term social care</v>
      </c>
      <c r="C337" t="s">
        <v>159</v>
      </c>
      <c r="D337" t="s">
        <v>708</v>
      </c>
      <c r="E337">
        <v>0</v>
      </c>
      <c r="F337">
        <v>0</v>
      </c>
      <c r="G337">
        <v>0</v>
      </c>
      <c r="H337">
        <v>0</v>
      </c>
      <c r="I337">
        <v>0</v>
      </c>
      <c r="J337">
        <v>0</v>
      </c>
      <c r="K337">
        <v>0</v>
      </c>
      <c r="L337">
        <v>0</v>
      </c>
      <c r="M337">
        <v>0</v>
      </c>
      <c r="N337">
        <v>0</v>
      </c>
      <c r="O337">
        <v>0</v>
      </c>
      <c r="P337">
        <v>0</v>
      </c>
    </row>
    <row r="338" spans="1:16" x14ac:dyDescent="0.3">
      <c r="A338" t="str">
        <f>Table_Demand___Community_frontsheet[[#This Row],[Name]]&amp;B338</f>
        <v>Hammersmith and FulhamSocial support (including VCS)</v>
      </c>
      <c r="B338" t="str">
        <f>VLOOKUP(Table_Demand___Community_frontsheet[[#This Row],[Service Type]],PathwayLookup!E:F,2,0)</f>
        <v>Social support (including VCS)</v>
      </c>
      <c r="C338" t="s">
        <v>161</v>
      </c>
      <c r="D338" t="s">
        <v>704</v>
      </c>
      <c r="E338">
        <v>66</v>
      </c>
      <c r="F338">
        <v>72</v>
      </c>
      <c r="G338">
        <v>60</v>
      </c>
      <c r="H338">
        <v>41</v>
      </c>
      <c r="I338">
        <v>46</v>
      </c>
      <c r="J338">
        <v>79</v>
      </c>
      <c r="K338">
        <v>82</v>
      </c>
      <c r="L338">
        <v>74</v>
      </c>
      <c r="M338">
        <v>90</v>
      </c>
      <c r="N338">
        <v>92</v>
      </c>
      <c r="O338">
        <v>96</v>
      </c>
      <c r="P338">
        <v>87</v>
      </c>
    </row>
    <row r="339" spans="1:16" x14ac:dyDescent="0.3">
      <c r="A339" t="str">
        <f>Table_Demand___Community_frontsheet[[#This Row],[Name]]&amp;B339</f>
        <v>Hammersmith and FulhamUrgent Community Response</v>
      </c>
      <c r="B339" t="str">
        <f>VLOOKUP(Table_Demand___Community_frontsheet[[#This Row],[Service Type]],PathwayLookup!E:F,2,0)</f>
        <v>Urgent Community Response</v>
      </c>
      <c r="C339" t="s">
        <v>161</v>
      </c>
      <c r="D339" t="s">
        <v>705</v>
      </c>
      <c r="E339">
        <v>89</v>
      </c>
      <c r="F339">
        <v>89</v>
      </c>
      <c r="G339">
        <v>90</v>
      </c>
      <c r="H339">
        <v>91</v>
      </c>
      <c r="I339">
        <v>92</v>
      </c>
      <c r="J339">
        <v>89</v>
      </c>
      <c r="K339">
        <v>89</v>
      </c>
      <c r="L339">
        <v>90</v>
      </c>
      <c r="M339">
        <v>91</v>
      </c>
      <c r="N339">
        <v>92</v>
      </c>
      <c r="O339">
        <v>92</v>
      </c>
      <c r="P339">
        <v>91</v>
      </c>
    </row>
    <row r="340" spans="1:16" x14ac:dyDescent="0.3">
      <c r="A340" t="str">
        <f>Table_Demand___Community_frontsheet[[#This Row],[Name]]&amp;B340</f>
        <v>Hammersmith and FulhamReablement &amp; Rehabilitation at home</v>
      </c>
      <c r="B340" t="str">
        <f>VLOOKUP(Table_Demand___Community_frontsheet[[#This Row],[Service Type]],PathwayLookup!E:F,2,0)</f>
        <v>Reablement &amp; Rehabilitation at home</v>
      </c>
      <c r="C340" t="s">
        <v>161</v>
      </c>
      <c r="D340" t="s">
        <v>720</v>
      </c>
      <c r="E340">
        <v>280</v>
      </c>
      <c r="F340">
        <v>411</v>
      </c>
      <c r="G340">
        <v>406</v>
      </c>
      <c r="H340">
        <v>462</v>
      </c>
      <c r="I340">
        <v>444</v>
      </c>
      <c r="J340">
        <v>420</v>
      </c>
      <c r="K340">
        <v>425</v>
      </c>
      <c r="L340">
        <v>390</v>
      </c>
      <c r="M340">
        <v>364</v>
      </c>
      <c r="N340">
        <v>525</v>
      </c>
      <c r="O340">
        <v>386</v>
      </c>
      <c r="P340">
        <v>474</v>
      </c>
    </row>
    <row r="341" spans="1:16" x14ac:dyDescent="0.3">
      <c r="A341" t="str">
        <f>Table_Demand___Community_frontsheet[[#This Row],[Name]]&amp;B341</f>
        <v>Hammersmith and FulhamReablement &amp; Rehabilitation at home</v>
      </c>
      <c r="B341" t="str">
        <f>VLOOKUP(Table_Demand___Community_frontsheet[[#This Row],[Service Type]],PathwayLookup!E:F,2,0)</f>
        <v>Reablement &amp; Rehabilitation at home</v>
      </c>
      <c r="C341" t="s">
        <v>161</v>
      </c>
      <c r="D341" t="s">
        <v>721</v>
      </c>
      <c r="E341">
        <v>317</v>
      </c>
      <c r="F341">
        <v>399</v>
      </c>
      <c r="G341">
        <v>420</v>
      </c>
      <c r="H341">
        <v>480</v>
      </c>
      <c r="I341">
        <v>512</v>
      </c>
      <c r="J341">
        <v>574</v>
      </c>
      <c r="K341">
        <v>501</v>
      </c>
      <c r="L341">
        <v>435</v>
      </c>
      <c r="M341">
        <v>375</v>
      </c>
      <c r="N341">
        <v>443</v>
      </c>
      <c r="O341">
        <v>519</v>
      </c>
      <c r="P341">
        <v>509</v>
      </c>
    </row>
    <row r="342" spans="1:16" x14ac:dyDescent="0.3">
      <c r="A342" t="str">
        <f>Table_Demand___Community_frontsheet[[#This Row],[Name]]&amp;B342</f>
        <v>Hammersmith and FulhamReablement &amp; Rehabilitation in a bedded setting</v>
      </c>
      <c r="B342" t="str">
        <f>VLOOKUP(Table_Demand___Community_frontsheet[[#This Row],[Service Type]],PathwayLookup!E:F,2,0)</f>
        <v>Reablement &amp; Rehabilitation in a bedded setting</v>
      </c>
      <c r="C342" t="s">
        <v>161</v>
      </c>
      <c r="D342" t="s">
        <v>723</v>
      </c>
      <c r="E342">
        <v>0</v>
      </c>
      <c r="F342">
        <v>0</v>
      </c>
      <c r="G342">
        <v>0</v>
      </c>
      <c r="H342">
        <v>0</v>
      </c>
      <c r="I342">
        <v>0</v>
      </c>
      <c r="J342">
        <v>0</v>
      </c>
      <c r="K342">
        <v>0</v>
      </c>
      <c r="L342">
        <v>0</v>
      </c>
      <c r="M342">
        <v>0</v>
      </c>
      <c r="N342">
        <v>0</v>
      </c>
      <c r="O342">
        <v>0</v>
      </c>
      <c r="P342">
        <v>0</v>
      </c>
    </row>
    <row r="343" spans="1:16" x14ac:dyDescent="0.3">
      <c r="A343" t="str">
        <f>Table_Demand___Community_frontsheet[[#This Row],[Name]]&amp;B343</f>
        <v>Hammersmith and FulhamReablement &amp; Rehabilitation in a bedded setting</v>
      </c>
      <c r="B343" t="str">
        <f>VLOOKUP(Table_Demand___Community_frontsheet[[#This Row],[Service Type]],PathwayLookup!E:F,2,0)</f>
        <v>Reablement &amp; Rehabilitation in a bedded setting</v>
      </c>
      <c r="C343" t="s">
        <v>161</v>
      </c>
      <c r="D343" t="s">
        <v>725</v>
      </c>
      <c r="E343">
        <v>308</v>
      </c>
      <c r="F343">
        <v>308</v>
      </c>
      <c r="G343">
        <v>308</v>
      </c>
      <c r="H343">
        <v>308</v>
      </c>
      <c r="I343">
        <v>308</v>
      </c>
      <c r="J343">
        <v>308</v>
      </c>
      <c r="K343">
        <v>308</v>
      </c>
      <c r="L343">
        <v>308</v>
      </c>
      <c r="M343">
        <v>308</v>
      </c>
      <c r="N343">
        <v>308</v>
      </c>
      <c r="O343">
        <v>308</v>
      </c>
      <c r="P343">
        <v>308</v>
      </c>
    </row>
    <row r="344" spans="1:16" x14ac:dyDescent="0.3">
      <c r="A344" t="str">
        <f>Table_Demand___Community_frontsheet[[#This Row],[Name]]&amp;B344</f>
        <v>Hammersmith and FulhamOther short-term social care</v>
      </c>
      <c r="B344" t="str">
        <f>VLOOKUP(Table_Demand___Community_frontsheet[[#This Row],[Service Type]],PathwayLookup!E:F,2,0)</f>
        <v>Other short-term social care</v>
      </c>
      <c r="C344" t="s">
        <v>161</v>
      </c>
      <c r="D344" t="s">
        <v>708</v>
      </c>
      <c r="E344">
        <v>0</v>
      </c>
      <c r="F344">
        <v>0</v>
      </c>
      <c r="G344">
        <v>0</v>
      </c>
      <c r="H344">
        <v>0</v>
      </c>
      <c r="I344">
        <v>0</v>
      </c>
      <c r="J344">
        <v>0</v>
      </c>
      <c r="K344">
        <v>0</v>
      </c>
      <c r="L344">
        <v>0</v>
      </c>
      <c r="M344">
        <v>0</v>
      </c>
      <c r="N344">
        <v>0</v>
      </c>
      <c r="O344">
        <v>0</v>
      </c>
      <c r="P344">
        <v>0</v>
      </c>
    </row>
    <row r="345" spans="1:16" x14ac:dyDescent="0.3">
      <c r="A345" t="str">
        <f>Table_Demand___Community_frontsheet[[#This Row],[Name]]&amp;B345</f>
        <v>HampshireSocial support (including VCS)</v>
      </c>
      <c r="B345" t="str">
        <f>VLOOKUP(Table_Demand___Community_frontsheet[[#This Row],[Service Type]],PathwayLookup!E:F,2,0)</f>
        <v>Social support (including VCS)</v>
      </c>
      <c r="C345" t="s">
        <v>163</v>
      </c>
      <c r="D345" t="s">
        <v>704</v>
      </c>
      <c r="E345">
        <v>0</v>
      </c>
      <c r="F345">
        <v>0</v>
      </c>
      <c r="G345">
        <v>0</v>
      </c>
      <c r="H345">
        <v>0</v>
      </c>
      <c r="I345">
        <v>0</v>
      </c>
      <c r="J345">
        <v>0</v>
      </c>
      <c r="K345">
        <v>0</v>
      </c>
      <c r="L345">
        <v>0</v>
      </c>
      <c r="M345">
        <v>0</v>
      </c>
      <c r="N345">
        <v>0</v>
      </c>
      <c r="O345">
        <v>0</v>
      </c>
      <c r="P345">
        <v>0</v>
      </c>
    </row>
    <row r="346" spans="1:16" x14ac:dyDescent="0.3">
      <c r="A346" t="str">
        <f>Table_Demand___Community_frontsheet[[#This Row],[Name]]&amp;B346</f>
        <v>HampshireUrgent Community Response</v>
      </c>
      <c r="B346" t="str">
        <f>VLOOKUP(Table_Demand___Community_frontsheet[[#This Row],[Service Type]],PathwayLookup!E:F,2,0)</f>
        <v>Urgent Community Response</v>
      </c>
      <c r="C346" t="s">
        <v>163</v>
      </c>
      <c r="D346" t="s">
        <v>705</v>
      </c>
      <c r="E346">
        <v>2046</v>
      </c>
      <c r="F346">
        <v>2113</v>
      </c>
      <c r="G346">
        <v>2046</v>
      </c>
      <c r="H346">
        <v>2113</v>
      </c>
      <c r="I346">
        <v>2113</v>
      </c>
      <c r="J346">
        <v>2046</v>
      </c>
      <c r="K346">
        <v>2113</v>
      </c>
      <c r="L346">
        <v>2046</v>
      </c>
      <c r="M346">
        <v>2113</v>
      </c>
      <c r="N346">
        <v>2113</v>
      </c>
      <c r="O346">
        <v>1979</v>
      </c>
      <c r="P346">
        <v>2113</v>
      </c>
    </row>
    <row r="347" spans="1:16" x14ac:dyDescent="0.3">
      <c r="A347" t="str">
        <f>Table_Demand___Community_frontsheet[[#This Row],[Name]]&amp;B347</f>
        <v>HampshireReablement &amp; Rehabilitation at home</v>
      </c>
      <c r="B347" t="str">
        <f>VLOOKUP(Table_Demand___Community_frontsheet[[#This Row],[Service Type]],PathwayLookup!E:F,2,0)</f>
        <v>Reablement &amp; Rehabilitation at home</v>
      </c>
      <c r="C347" t="s">
        <v>163</v>
      </c>
      <c r="D347" t="s">
        <v>720</v>
      </c>
      <c r="E347">
        <v>1564</v>
      </c>
      <c r="F347">
        <v>1564</v>
      </c>
      <c r="G347">
        <v>1564</v>
      </c>
      <c r="H347">
        <v>1564</v>
      </c>
      <c r="I347">
        <v>1564</v>
      </c>
      <c r="J347">
        <v>1564</v>
      </c>
      <c r="K347">
        <v>1564</v>
      </c>
      <c r="L347">
        <v>1564</v>
      </c>
      <c r="M347">
        <v>1564</v>
      </c>
      <c r="N347">
        <v>1564</v>
      </c>
      <c r="O347">
        <v>1564</v>
      </c>
      <c r="P347">
        <v>1564</v>
      </c>
    </row>
    <row r="348" spans="1:16" x14ac:dyDescent="0.3">
      <c r="A348" t="str">
        <f>Table_Demand___Community_frontsheet[[#This Row],[Name]]&amp;B348</f>
        <v>HampshireReablement &amp; Rehabilitation at home</v>
      </c>
      <c r="B348" t="str">
        <f>VLOOKUP(Table_Demand___Community_frontsheet[[#This Row],[Service Type]],PathwayLookup!E:F,2,0)</f>
        <v>Reablement &amp; Rehabilitation at home</v>
      </c>
      <c r="C348" t="s">
        <v>163</v>
      </c>
      <c r="D348" t="s">
        <v>721</v>
      </c>
      <c r="E348">
        <v>2014</v>
      </c>
      <c r="F348">
        <v>2014</v>
      </c>
      <c r="G348">
        <v>2014</v>
      </c>
      <c r="H348">
        <v>2014</v>
      </c>
      <c r="I348">
        <v>2014</v>
      </c>
      <c r="J348">
        <v>2014</v>
      </c>
      <c r="K348">
        <v>2014</v>
      </c>
      <c r="L348">
        <v>2014</v>
      </c>
      <c r="M348">
        <v>2014</v>
      </c>
      <c r="N348">
        <v>2014</v>
      </c>
      <c r="O348">
        <v>2014</v>
      </c>
      <c r="P348">
        <v>2014</v>
      </c>
    </row>
    <row r="349" spans="1:16" x14ac:dyDescent="0.3">
      <c r="A349" t="str">
        <f>Table_Demand___Community_frontsheet[[#This Row],[Name]]&amp;B349</f>
        <v>HampshireReablement &amp; Rehabilitation in a bedded setting</v>
      </c>
      <c r="B349" t="str">
        <f>VLOOKUP(Table_Demand___Community_frontsheet[[#This Row],[Service Type]],PathwayLookup!E:F,2,0)</f>
        <v>Reablement &amp; Rehabilitation in a bedded setting</v>
      </c>
      <c r="C349" t="s">
        <v>163</v>
      </c>
      <c r="D349" t="s">
        <v>723</v>
      </c>
      <c r="E349">
        <v>0</v>
      </c>
      <c r="F349">
        <v>0</v>
      </c>
      <c r="G349">
        <v>0</v>
      </c>
      <c r="H349">
        <v>0</v>
      </c>
      <c r="I349">
        <v>0</v>
      </c>
      <c r="J349">
        <v>0</v>
      </c>
      <c r="K349">
        <v>0</v>
      </c>
      <c r="L349">
        <v>0</v>
      </c>
      <c r="M349">
        <v>0</v>
      </c>
      <c r="N349">
        <v>0</v>
      </c>
      <c r="O349">
        <v>0</v>
      </c>
      <c r="P349">
        <v>0</v>
      </c>
    </row>
    <row r="350" spans="1:16" x14ac:dyDescent="0.3">
      <c r="A350" t="str">
        <f>Table_Demand___Community_frontsheet[[#This Row],[Name]]&amp;B350</f>
        <v>HampshireReablement &amp; Rehabilitation in a bedded setting</v>
      </c>
      <c r="B350" t="str">
        <f>VLOOKUP(Table_Demand___Community_frontsheet[[#This Row],[Service Type]],PathwayLookup!E:F,2,0)</f>
        <v>Reablement &amp; Rehabilitation in a bedded setting</v>
      </c>
      <c r="C350" t="s">
        <v>163</v>
      </c>
      <c r="D350" t="s">
        <v>725</v>
      </c>
      <c r="E350">
        <v>59</v>
      </c>
      <c r="F350">
        <v>59</v>
      </c>
      <c r="G350">
        <v>59</v>
      </c>
      <c r="H350">
        <v>59</v>
      </c>
      <c r="I350">
        <v>59</v>
      </c>
      <c r="J350">
        <v>59</v>
      </c>
      <c r="K350">
        <v>59</v>
      </c>
      <c r="L350">
        <v>59</v>
      </c>
      <c r="M350">
        <v>59</v>
      </c>
      <c r="N350">
        <v>59</v>
      </c>
      <c r="O350">
        <v>59</v>
      </c>
      <c r="P350">
        <v>59</v>
      </c>
    </row>
    <row r="351" spans="1:16" x14ac:dyDescent="0.3">
      <c r="A351" t="str">
        <f>Table_Demand___Community_frontsheet[[#This Row],[Name]]&amp;B351</f>
        <v>HampshireOther short-term social care</v>
      </c>
      <c r="B351" t="str">
        <f>VLOOKUP(Table_Demand___Community_frontsheet[[#This Row],[Service Type]],PathwayLookup!E:F,2,0)</f>
        <v>Other short-term social care</v>
      </c>
      <c r="C351" t="s">
        <v>163</v>
      </c>
      <c r="D351" t="s">
        <v>708</v>
      </c>
      <c r="E351">
        <v>0</v>
      </c>
      <c r="F351">
        <v>0</v>
      </c>
      <c r="G351">
        <v>0</v>
      </c>
      <c r="H351">
        <v>0</v>
      </c>
      <c r="I351">
        <v>0</v>
      </c>
      <c r="J351">
        <v>0</v>
      </c>
      <c r="K351">
        <v>0</v>
      </c>
      <c r="L351">
        <v>0</v>
      </c>
      <c r="M351">
        <v>0</v>
      </c>
      <c r="N351">
        <v>0</v>
      </c>
      <c r="O351">
        <v>0</v>
      </c>
      <c r="P351">
        <v>0</v>
      </c>
    </row>
    <row r="352" spans="1:16" x14ac:dyDescent="0.3">
      <c r="A352" t="str">
        <f>Table_Demand___Community_frontsheet[[#This Row],[Name]]&amp;B352</f>
        <v>HaringeySocial support (including VCS)</v>
      </c>
      <c r="B352" t="str">
        <f>VLOOKUP(Table_Demand___Community_frontsheet[[#This Row],[Service Type]],PathwayLookup!E:F,2,0)</f>
        <v>Social support (including VCS)</v>
      </c>
      <c r="C352" t="s">
        <v>165</v>
      </c>
      <c r="D352" t="s">
        <v>704</v>
      </c>
      <c r="E352">
        <v>40</v>
      </c>
      <c r="F352">
        <v>40</v>
      </c>
      <c r="G352">
        <v>40</v>
      </c>
      <c r="H352">
        <v>40</v>
      </c>
      <c r="I352">
        <v>40</v>
      </c>
      <c r="J352">
        <v>40</v>
      </c>
      <c r="K352">
        <v>45</v>
      </c>
      <c r="L352">
        <v>48</v>
      </c>
      <c r="M352">
        <v>48</v>
      </c>
      <c r="N352">
        <v>50</v>
      </c>
      <c r="O352">
        <v>50</v>
      </c>
      <c r="P352">
        <v>50</v>
      </c>
    </row>
    <row r="353" spans="1:16" x14ac:dyDescent="0.3">
      <c r="A353" t="str">
        <f>Table_Demand___Community_frontsheet[[#This Row],[Name]]&amp;B353</f>
        <v>HaringeyUrgent Community Response</v>
      </c>
      <c r="B353" t="str">
        <f>VLOOKUP(Table_Demand___Community_frontsheet[[#This Row],[Service Type]],PathwayLookup!E:F,2,0)</f>
        <v>Urgent Community Response</v>
      </c>
      <c r="C353" t="s">
        <v>165</v>
      </c>
      <c r="D353" t="s">
        <v>705</v>
      </c>
      <c r="E353">
        <v>173</v>
      </c>
      <c r="F353">
        <v>173</v>
      </c>
      <c r="G353">
        <v>173</v>
      </c>
      <c r="H353">
        <v>191</v>
      </c>
      <c r="I353">
        <v>191</v>
      </c>
      <c r="J353">
        <v>181</v>
      </c>
      <c r="K353">
        <v>179</v>
      </c>
      <c r="L353">
        <v>179</v>
      </c>
      <c r="M353">
        <v>191</v>
      </c>
      <c r="N353">
        <v>204</v>
      </c>
      <c r="O353">
        <v>204</v>
      </c>
      <c r="P353">
        <v>204</v>
      </c>
    </row>
    <row r="354" spans="1:16" x14ac:dyDescent="0.3">
      <c r="A354" t="str">
        <f>Table_Demand___Community_frontsheet[[#This Row],[Name]]&amp;B354</f>
        <v>HaringeyReablement &amp; Rehabilitation at home</v>
      </c>
      <c r="B354" t="str">
        <f>VLOOKUP(Table_Demand___Community_frontsheet[[#This Row],[Service Type]],PathwayLookup!E:F,2,0)</f>
        <v>Reablement &amp; Rehabilitation at home</v>
      </c>
      <c r="C354" t="s">
        <v>165</v>
      </c>
      <c r="D354" t="s">
        <v>720</v>
      </c>
      <c r="E354">
        <v>17</v>
      </c>
      <c r="F354">
        <v>14</v>
      </c>
      <c r="G354">
        <v>15</v>
      </c>
      <c r="H354">
        <v>17</v>
      </c>
      <c r="I354">
        <v>10</v>
      </c>
      <c r="J354">
        <v>17</v>
      </c>
      <c r="K354">
        <v>13</v>
      </c>
      <c r="L354">
        <v>14</v>
      </c>
      <c r="M354">
        <v>17</v>
      </c>
      <c r="N354">
        <v>16</v>
      </c>
      <c r="O354">
        <v>15</v>
      </c>
      <c r="P354">
        <v>14</v>
      </c>
    </row>
    <row r="355" spans="1:16" x14ac:dyDescent="0.3">
      <c r="A355" t="str">
        <f>Table_Demand___Community_frontsheet[[#This Row],[Name]]&amp;B355</f>
        <v>HaringeyReablement &amp; Rehabilitation at home</v>
      </c>
      <c r="B355" t="str">
        <f>VLOOKUP(Table_Demand___Community_frontsheet[[#This Row],[Service Type]],PathwayLookup!E:F,2,0)</f>
        <v>Reablement &amp; Rehabilitation at home</v>
      </c>
      <c r="C355" t="s">
        <v>165</v>
      </c>
      <c r="D355" t="s">
        <v>721</v>
      </c>
      <c r="E355">
        <v>0</v>
      </c>
      <c r="F355">
        <v>0</v>
      </c>
      <c r="G355">
        <v>0</v>
      </c>
      <c r="H355">
        <v>0</v>
      </c>
      <c r="I355">
        <v>0</v>
      </c>
      <c r="J355">
        <v>0</v>
      </c>
      <c r="K355">
        <v>0</v>
      </c>
      <c r="L355">
        <v>0</v>
      </c>
      <c r="M355">
        <v>0</v>
      </c>
      <c r="N355">
        <v>0</v>
      </c>
      <c r="O355">
        <v>0</v>
      </c>
      <c r="P355">
        <v>0</v>
      </c>
    </row>
    <row r="356" spans="1:16" x14ac:dyDescent="0.3">
      <c r="A356" t="str">
        <f>Table_Demand___Community_frontsheet[[#This Row],[Name]]&amp;B356</f>
        <v>HaringeyReablement &amp; Rehabilitation in a bedded setting</v>
      </c>
      <c r="B356" t="str">
        <f>VLOOKUP(Table_Demand___Community_frontsheet[[#This Row],[Service Type]],PathwayLookup!E:F,2,0)</f>
        <v>Reablement &amp; Rehabilitation in a bedded setting</v>
      </c>
      <c r="C356" t="s">
        <v>165</v>
      </c>
      <c r="D356" t="s">
        <v>723</v>
      </c>
      <c r="E356">
        <v>1</v>
      </c>
      <c r="F356">
        <v>1</v>
      </c>
      <c r="G356">
        <v>1</v>
      </c>
      <c r="H356">
        <v>1</v>
      </c>
      <c r="I356">
        <v>1</v>
      </c>
      <c r="J356">
        <v>1</v>
      </c>
      <c r="K356">
        <v>1</v>
      </c>
      <c r="L356">
        <v>1</v>
      </c>
      <c r="M356">
        <v>1</v>
      </c>
      <c r="N356">
        <v>1</v>
      </c>
      <c r="O356">
        <v>1</v>
      </c>
      <c r="P356">
        <v>1</v>
      </c>
    </row>
    <row r="357" spans="1:16" x14ac:dyDescent="0.3">
      <c r="A357" t="str">
        <f>Table_Demand___Community_frontsheet[[#This Row],[Name]]&amp;B357</f>
        <v>HaringeyReablement &amp; Rehabilitation in a bedded setting</v>
      </c>
      <c r="B357" t="str">
        <f>VLOOKUP(Table_Demand___Community_frontsheet[[#This Row],[Service Type]],PathwayLookup!E:F,2,0)</f>
        <v>Reablement &amp; Rehabilitation in a bedded setting</v>
      </c>
      <c r="C357" t="s">
        <v>165</v>
      </c>
      <c r="D357" t="s">
        <v>725</v>
      </c>
      <c r="E357">
        <v>0</v>
      </c>
      <c r="F357">
        <v>0</v>
      </c>
      <c r="G357">
        <v>0</v>
      </c>
      <c r="H357">
        <v>0</v>
      </c>
      <c r="I357">
        <v>0</v>
      </c>
      <c r="J357">
        <v>0</v>
      </c>
      <c r="K357">
        <v>0</v>
      </c>
      <c r="L357">
        <v>0</v>
      </c>
      <c r="M357">
        <v>0</v>
      </c>
      <c r="N357">
        <v>0</v>
      </c>
      <c r="O357">
        <v>0</v>
      </c>
      <c r="P357">
        <v>0</v>
      </c>
    </row>
    <row r="358" spans="1:16" x14ac:dyDescent="0.3">
      <c r="A358" t="str">
        <f>Table_Demand___Community_frontsheet[[#This Row],[Name]]&amp;B358</f>
        <v>HaringeyOther short-term social care</v>
      </c>
      <c r="B358" t="str">
        <f>VLOOKUP(Table_Demand___Community_frontsheet[[#This Row],[Service Type]],PathwayLookup!E:F,2,0)</f>
        <v>Other short-term social care</v>
      </c>
      <c r="C358" t="s">
        <v>165</v>
      </c>
      <c r="D358" t="s">
        <v>708</v>
      </c>
      <c r="E358">
        <v>0</v>
      </c>
      <c r="F358">
        <v>0</v>
      </c>
      <c r="G358">
        <v>0</v>
      </c>
      <c r="H358">
        <v>0</v>
      </c>
      <c r="I358">
        <v>0</v>
      </c>
      <c r="J358">
        <v>0</v>
      </c>
      <c r="K358">
        <v>0</v>
      </c>
      <c r="L358">
        <v>0</v>
      </c>
      <c r="M358">
        <v>0</v>
      </c>
      <c r="N358">
        <v>0</v>
      </c>
      <c r="O358">
        <v>0</v>
      </c>
      <c r="P358">
        <v>0</v>
      </c>
    </row>
    <row r="359" spans="1:16" x14ac:dyDescent="0.3">
      <c r="A359" t="str">
        <f>Table_Demand___Community_frontsheet[[#This Row],[Name]]&amp;B359</f>
        <v>HarrowSocial support (including VCS)</v>
      </c>
      <c r="B359" t="str">
        <f>VLOOKUP(Table_Demand___Community_frontsheet[[#This Row],[Service Type]],PathwayLookup!E:F,2,0)</f>
        <v>Social support (including VCS)</v>
      </c>
      <c r="C359" t="s">
        <v>167</v>
      </c>
      <c r="D359" t="s">
        <v>704</v>
      </c>
      <c r="E359">
        <v>85</v>
      </c>
      <c r="F359">
        <v>85</v>
      </c>
      <c r="G359">
        <v>85</v>
      </c>
      <c r="H359">
        <v>85</v>
      </c>
      <c r="I359">
        <v>85</v>
      </c>
      <c r="J359">
        <v>85</v>
      </c>
      <c r="K359">
        <v>85</v>
      </c>
      <c r="L359">
        <v>85</v>
      </c>
      <c r="M359">
        <v>85</v>
      </c>
      <c r="N359">
        <v>85</v>
      </c>
      <c r="O359">
        <v>85</v>
      </c>
      <c r="P359">
        <v>85</v>
      </c>
    </row>
    <row r="360" spans="1:16" x14ac:dyDescent="0.3">
      <c r="A360" t="str">
        <f>Table_Demand___Community_frontsheet[[#This Row],[Name]]&amp;B360</f>
        <v>HarrowUrgent Community Response</v>
      </c>
      <c r="B360" t="str">
        <f>VLOOKUP(Table_Demand___Community_frontsheet[[#This Row],[Service Type]],PathwayLookup!E:F,2,0)</f>
        <v>Urgent Community Response</v>
      </c>
      <c r="C360" t="s">
        <v>167</v>
      </c>
      <c r="D360" t="s">
        <v>705</v>
      </c>
      <c r="E360">
        <v>275</v>
      </c>
      <c r="F360">
        <v>275</v>
      </c>
      <c r="G360">
        <v>275</v>
      </c>
      <c r="H360">
        <v>275</v>
      </c>
      <c r="I360">
        <v>275</v>
      </c>
      <c r="J360">
        <v>275</v>
      </c>
      <c r="K360">
        <v>275</v>
      </c>
      <c r="L360">
        <v>275</v>
      </c>
      <c r="M360">
        <v>275</v>
      </c>
      <c r="N360">
        <v>275</v>
      </c>
      <c r="O360">
        <v>275</v>
      </c>
      <c r="P360">
        <v>275</v>
      </c>
    </row>
    <row r="361" spans="1:16" x14ac:dyDescent="0.3">
      <c r="A361" t="str">
        <f>Table_Demand___Community_frontsheet[[#This Row],[Name]]&amp;B361</f>
        <v>HarrowReablement &amp; Rehabilitation at home</v>
      </c>
      <c r="B361" t="str">
        <f>VLOOKUP(Table_Demand___Community_frontsheet[[#This Row],[Service Type]],PathwayLookup!E:F,2,0)</f>
        <v>Reablement &amp; Rehabilitation at home</v>
      </c>
      <c r="C361" t="s">
        <v>167</v>
      </c>
      <c r="D361" t="s">
        <v>720</v>
      </c>
      <c r="E361">
        <v>13</v>
      </c>
      <c r="F361">
        <v>13</v>
      </c>
      <c r="G361">
        <v>13</v>
      </c>
      <c r="H361">
        <v>13</v>
      </c>
      <c r="I361">
        <v>13</v>
      </c>
      <c r="J361">
        <v>13</v>
      </c>
      <c r="K361">
        <v>13</v>
      </c>
      <c r="L361">
        <v>13</v>
      </c>
      <c r="M361">
        <v>13</v>
      </c>
      <c r="N361">
        <v>13</v>
      </c>
      <c r="O361">
        <v>13</v>
      </c>
      <c r="P361">
        <v>13</v>
      </c>
    </row>
    <row r="362" spans="1:16" x14ac:dyDescent="0.3">
      <c r="A362" t="str">
        <f>Table_Demand___Community_frontsheet[[#This Row],[Name]]&amp;B362</f>
        <v>HarrowReablement &amp; Rehabilitation at home</v>
      </c>
      <c r="B362" t="str">
        <f>VLOOKUP(Table_Demand___Community_frontsheet[[#This Row],[Service Type]],PathwayLookup!E:F,2,0)</f>
        <v>Reablement &amp; Rehabilitation at home</v>
      </c>
      <c r="C362" t="s">
        <v>167</v>
      </c>
      <c r="D362" t="s">
        <v>721</v>
      </c>
      <c r="E362">
        <v>0</v>
      </c>
      <c r="F362">
        <v>0</v>
      </c>
      <c r="G362">
        <v>0</v>
      </c>
      <c r="H362">
        <v>0</v>
      </c>
      <c r="I362">
        <v>0</v>
      </c>
      <c r="J362">
        <v>0</v>
      </c>
      <c r="K362">
        <v>0</v>
      </c>
      <c r="L362">
        <v>0</v>
      </c>
      <c r="M362">
        <v>0</v>
      </c>
      <c r="N362">
        <v>0</v>
      </c>
      <c r="O362">
        <v>0</v>
      </c>
      <c r="P362">
        <v>0</v>
      </c>
    </row>
    <row r="363" spans="1:16" x14ac:dyDescent="0.3">
      <c r="A363" t="str">
        <f>Table_Demand___Community_frontsheet[[#This Row],[Name]]&amp;B363</f>
        <v>HarrowReablement &amp; Rehabilitation in a bedded setting</v>
      </c>
      <c r="B363" t="str">
        <f>VLOOKUP(Table_Demand___Community_frontsheet[[#This Row],[Service Type]],PathwayLookup!E:F,2,0)</f>
        <v>Reablement &amp; Rehabilitation in a bedded setting</v>
      </c>
      <c r="C363" t="s">
        <v>167</v>
      </c>
      <c r="D363" t="s">
        <v>723</v>
      </c>
      <c r="E363">
        <v>0</v>
      </c>
      <c r="F363">
        <v>0</v>
      </c>
      <c r="G363">
        <v>0</v>
      </c>
      <c r="H363">
        <v>0</v>
      </c>
      <c r="I363">
        <v>0</v>
      </c>
      <c r="J363">
        <v>0</v>
      </c>
      <c r="K363">
        <v>0</v>
      </c>
      <c r="L363">
        <v>0</v>
      </c>
      <c r="M363">
        <v>0</v>
      </c>
      <c r="N363">
        <v>0</v>
      </c>
      <c r="O363">
        <v>0</v>
      </c>
      <c r="P363">
        <v>0</v>
      </c>
    </row>
    <row r="364" spans="1:16" x14ac:dyDescent="0.3">
      <c r="A364" t="str">
        <f>Table_Demand___Community_frontsheet[[#This Row],[Name]]&amp;B364</f>
        <v>HarrowReablement &amp; Rehabilitation in a bedded setting</v>
      </c>
      <c r="B364" t="str">
        <f>VLOOKUP(Table_Demand___Community_frontsheet[[#This Row],[Service Type]],PathwayLookup!E:F,2,0)</f>
        <v>Reablement &amp; Rehabilitation in a bedded setting</v>
      </c>
      <c r="C364" t="s">
        <v>167</v>
      </c>
      <c r="D364" t="s">
        <v>725</v>
      </c>
      <c r="E364">
        <v>0</v>
      </c>
      <c r="F364">
        <v>0</v>
      </c>
      <c r="G364">
        <v>0</v>
      </c>
      <c r="H364">
        <v>0</v>
      </c>
      <c r="I364">
        <v>0</v>
      </c>
      <c r="J364">
        <v>0</v>
      </c>
      <c r="K364">
        <v>0</v>
      </c>
      <c r="L364">
        <v>0</v>
      </c>
      <c r="M364">
        <v>0</v>
      </c>
      <c r="N364">
        <v>0</v>
      </c>
      <c r="O364">
        <v>0</v>
      </c>
      <c r="P364">
        <v>0</v>
      </c>
    </row>
    <row r="365" spans="1:16" x14ac:dyDescent="0.3">
      <c r="A365" t="str">
        <f>Table_Demand___Community_frontsheet[[#This Row],[Name]]&amp;B365</f>
        <v>HarrowOther short-term social care</v>
      </c>
      <c r="B365" t="str">
        <f>VLOOKUP(Table_Demand___Community_frontsheet[[#This Row],[Service Type]],PathwayLookup!E:F,2,0)</f>
        <v>Other short-term social care</v>
      </c>
      <c r="C365" t="s">
        <v>167</v>
      </c>
      <c r="D365" t="s">
        <v>708</v>
      </c>
      <c r="E365">
        <v>0</v>
      </c>
      <c r="F365">
        <v>0</v>
      </c>
      <c r="G365">
        <v>0</v>
      </c>
      <c r="H365">
        <v>0</v>
      </c>
      <c r="I365">
        <v>0</v>
      </c>
      <c r="J365">
        <v>0</v>
      </c>
      <c r="K365">
        <v>0</v>
      </c>
      <c r="L365">
        <v>0</v>
      </c>
      <c r="M365">
        <v>0</v>
      </c>
      <c r="N365">
        <v>0</v>
      </c>
      <c r="O365">
        <v>0</v>
      </c>
      <c r="P365">
        <v>0</v>
      </c>
    </row>
    <row r="366" spans="1:16" x14ac:dyDescent="0.3">
      <c r="A366" t="str">
        <f>Table_Demand___Community_frontsheet[[#This Row],[Name]]&amp;B366</f>
        <v>HartlepoolSocial support (including VCS)</v>
      </c>
      <c r="B366" t="str">
        <f>VLOOKUP(Table_Demand___Community_frontsheet[[#This Row],[Service Type]],PathwayLookup!E:F,2,0)</f>
        <v>Social support (including VCS)</v>
      </c>
      <c r="C366" t="s">
        <v>169</v>
      </c>
      <c r="D366" t="s">
        <v>704</v>
      </c>
      <c r="E366">
        <v>0</v>
      </c>
      <c r="F366">
        <v>0</v>
      </c>
      <c r="G366">
        <v>0</v>
      </c>
      <c r="H366">
        <v>0</v>
      </c>
      <c r="I366">
        <v>0</v>
      </c>
      <c r="J366">
        <v>0</v>
      </c>
      <c r="K366">
        <v>0</v>
      </c>
      <c r="L366">
        <v>0</v>
      </c>
      <c r="M366">
        <v>0</v>
      </c>
      <c r="N366">
        <v>0</v>
      </c>
      <c r="O366">
        <v>0</v>
      </c>
      <c r="P366">
        <v>0</v>
      </c>
    </row>
    <row r="367" spans="1:16" x14ac:dyDescent="0.3">
      <c r="A367" t="str">
        <f>Table_Demand___Community_frontsheet[[#This Row],[Name]]&amp;B367</f>
        <v>HartlepoolUrgent Community Response</v>
      </c>
      <c r="B367" t="str">
        <f>VLOOKUP(Table_Demand___Community_frontsheet[[#This Row],[Service Type]],PathwayLookup!E:F,2,0)</f>
        <v>Urgent Community Response</v>
      </c>
      <c r="C367" t="s">
        <v>169</v>
      </c>
      <c r="D367" t="s">
        <v>705</v>
      </c>
      <c r="E367">
        <v>55</v>
      </c>
      <c r="F367">
        <v>47</v>
      </c>
      <c r="G367">
        <v>49</v>
      </c>
      <c r="H367">
        <v>52</v>
      </c>
      <c r="I367">
        <v>44</v>
      </c>
      <c r="J367">
        <v>33</v>
      </c>
      <c r="K367">
        <v>39</v>
      </c>
      <c r="L367">
        <v>41</v>
      </c>
      <c r="M367">
        <v>56</v>
      </c>
      <c r="N367">
        <v>25</v>
      </c>
      <c r="O367">
        <v>16</v>
      </c>
      <c r="P367">
        <v>26</v>
      </c>
    </row>
    <row r="368" spans="1:16" x14ac:dyDescent="0.3">
      <c r="A368" t="str">
        <f>Table_Demand___Community_frontsheet[[#This Row],[Name]]&amp;B368</f>
        <v>HartlepoolReablement &amp; Rehabilitation at home</v>
      </c>
      <c r="B368" t="str">
        <f>VLOOKUP(Table_Demand___Community_frontsheet[[#This Row],[Service Type]],PathwayLookup!E:F,2,0)</f>
        <v>Reablement &amp; Rehabilitation at home</v>
      </c>
      <c r="C368" t="s">
        <v>169</v>
      </c>
      <c r="D368" t="s">
        <v>720</v>
      </c>
      <c r="E368">
        <v>10</v>
      </c>
      <c r="F368">
        <v>24</v>
      </c>
      <c r="G368">
        <v>21</v>
      </c>
      <c r="H368">
        <v>11</v>
      </c>
      <c r="I368">
        <v>16</v>
      </c>
      <c r="J368">
        <v>32</v>
      </c>
      <c r="K368">
        <v>23</v>
      </c>
      <c r="L368">
        <v>27</v>
      </c>
      <c r="M368">
        <v>27</v>
      </c>
      <c r="N368">
        <v>26</v>
      </c>
      <c r="O368">
        <v>24</v>
      </c>
      <c r="P368">
        <v>30</v>
      </c>
    </row>
    <row r="369" spans="1:16" x14ac:dyDescent="0.3">
      <c r="A369" t="str">
        <f>Table_Demand___Community_frontsheet[[#This Row],[Name]]&amp;B369</f>
        <v>HartlepoolReablement &amp; Rehabilitation at home</v>
      </c>
      <c r="B369" t="str">
        <f>VLOOKUP(Table_Demand___Community_frontsheet[[#This Row],[Service Type]],PathwayLookup!E:F,2,0)</f>
        <v>Reablement &amp; Rehabilitation at home</v>
      </c>
      <c r="C369" t="s">
        <v>169</v>
      </c>
      <c r="D369" t="s">
        <v>721</v>
      </c>
      <c r="E369">
        <v>13</v>
      </c>
      <c r="F369">
        <v>5</v>
      </c>
      <c r="G369">
        <v>5</v>
      </c>
      <c r="H369">
        <v>5</v>
      </c>
      <c r="I369">
        <v>16</v>
      </c>
      <c r="J369">
        <v>18</v>
      </c>
      <c r="K369">
        <v>8</v>
      </c>
      <c r="L369">
        <v>11</v>
      </c>
      <c r="M369">
        <v>4</v>
      </c>
      <c r="N369">
        <v>13</v>
      </c>
      <c r="O369">
        <v>5</v>
      </c>
      <c r="P369">
        <v>9</v>
      </c>
    </row>
    <row r="370" spans="1:16" x14ac:dyDescent="0.3">
      <c r="A370" t="str">
        <f>Table_Demand___Community_frontsheet[[#This Row],[Name]]&amp;B370</f>
        <v>HartlepoolReablement &amp; Rehabilitation in a bedded setting</v>
      </c>
      <c r="B370" t="str">
        <f>VLOOKUP(Table_Demand___Community_frontsheet[[#This Row],[Service Type]],PathwayLookup!E:F,2,0)</f>
        <v>Reablement &amp; Rehabilitation in a bedded setting</v>
      </c>
      <c r="C370" t="s">
        <v>169</v>
      </c>
      <c r="D370" t="s">
        <v>723</v>
      </c>
      <c r="E370">
        <v>3</v>
      </c>
      <c r="F370">
        <v>5</v>
      </c>
      <c r="G370">
        <v>7</v>
      </c>
      <c r="H370">
        <v>11</v>
      </c>
      <c r="I370">
        <v>7</v>
      </c>
      <c r="J370">
        <v>10</v>
      </c>
      <c r="K370">
        <v>10</v>
      </c>
      <c r="L370">
        <v>9</v>
      </c>
      <c r="M370">
        <v>5</v>
      </c>
      <c r="N370">
        <v>5</v>
      </c>
      <c r="O370">
        <v>7</v>
      </c>
      <c r="P370">
        <v>8</v>
      </c>
    </row>
    <row r="371" spans="1:16" x14ac:dyDescent="0.3">
      <c r="A371" t="str">
        <f>Table_Demand___Community_frontsheet[[#This Row],[Name]]&amp;B371</f>
        <v>HartlepoolReablement &amp; Rehabilitation in a bedded setting</v>
      </c>
      <c r="B371" t="str">
        <f>VLOOKUP(Table_Demand___Community_frontsheet[[#This Row],[Service Type]],PathwayLookup!E:F,2,0)</f>
        <v>Reablement &amp; Rehabilitation in a bedded setting</v>
      </c>
      <c r="C371" t="s">
        <v>169</v>
      </c>
      <c r="D371" t="s">
        <v>725</v>
      </c>
      <c r="E371">
        <v>0</v>
      </c>
      <c r="F371">
        <v>0</v>
      </c>
      <c r="G371">
        <v>0</v>
      </c>
      <c r="H371">
        <v>0</v>
      </c>
      <c r="I371">
        <v>0</v>
      </c>
      <c r="J371">
        <v>0</v>
      </c>
      <c r="K371">
        <v>0</v>
      </c>
      <c r="L371">
        <v>0</v>
      </c>
      <c r="M371">
        <v>0</v>
      </c>
      <c r="N371">
        <v>0</v>
      </c>
      <c r="O371">
        <v>0</v>
      </c>
      <c r="P371">
        <v>0</v>
      </c>
    </row>
    <row r="372" spans="1:16" x14ac:dyDescent="0.3">
      <c r="A372" t="str">
        <f>Table_Demand___Community_frontsheet[[#This Row],[Name]]&amp;B372</f>
        <v>HartlepoolOther short-term social care</v>
      </c>
      <c r="B372" t="str">
        <f>VLOOKUP(Table_Demand___Community_frontsheet[[#This Row],[Service Type]],PathwayLookup!E:F,2,0)</f>
        <v>Other short-term social care</v>
      </c>
      <c r="C372" t="s">
        <v>169</v>
      </c>
      <c r="D372" t="s">
        <v>708</v>
      </c>
      <c r="E372">
        <v>0</v>
      </c>
      <c r="F372">
        <v>0</v>
      </c>
      <c r="G372">
        <v>0</v>
      </c>
      <c r="H372">
        <v>0</v>
      </c>
      <c r="I372">
        <v>0</v>
      </c>
      <c r="J372">
        <v>0</v>
      </c>
      <c r="K372">
        <v>0</v>
      </c>
      <c r="L372">
        <v>0</v>
      </c>
      <c r="M372">
        <v>0</v>
      </c>
      <c r="N372">
        <v>0</v>
      </c>
      <c r="O372">
        <v>0</v>
      </c>
      <c r="P372">
        <v>0</v>
      </c>
    </row>
    <row r="373" spans="1:16" x14ac:dyDescent="0.3">
      <c r="A373" t="str">
        <f>Table_Demand___Community_frontsheet[[#This Row],[Name]]&amp;B373</f>
        <v>HaveringSocial support (including VCS)</v>
      </c>
      <c r="B373" t="str">
        <f>VLOOKUP(Table_Demand___Community_frontsheet[[#This Row],[Service Type]],PathwayLookup!E:F,2,0)</f>
        <v>Social support (including VCS)</v>
      </c>
      <c r="C373" t="s">
        <v>171</v>
      </c>
      <c r="D373" t="s">
        <v>704</v>
      </c>
    </row>
    <row r="374" spans="1:16" x14ac:dyDescent="0.3">
      <c r="A374" t="str">
        <f>Table_Demand___Community_frontsheet[[#This Row],[Name]]&amp;B374</f>
        <v>HaveringUrgent Community Response</v>
      </c>
      <c r="B374" t="str">
        <f>VLOOKUP(Table_Demand___Community_frontsheet[[#This Row],[Service Type]],PathwayLookup!E:F,2,0)</f>
        <v>Urgent Community Response</v>
      </c>
      <c r="C374" t="s">
        <v>171</v>
      </c>
      <c r="D374" t="s">
        <v>705</v>
      </c>
      <c r="E374">
        <v>209.83773206442979</v>
      </c>
      <c r="F374">
        <v>209.83773206442979</v>
      </c>
      <c r="G374">
        <v>209.83773206442979</v>
      </c>
      <c r="H374">
        <v>211.338359468943</v>
      </c>
      <c r="I374">
        <v>211.338359468943</v>
      </c>
      <c r="J374">
        <v>211.338359468943</v>
      </c>
      <c r="K374">
        <v>203.83522244637695</v>
      </c>
      <c r="L374">
        <v>203.83522244637695</v>
      </c>
      <c r="M374">
        <v>203.83522244637695</v>
      </c>
      <c r="N374">
        <v>208.33710465991655</v>
      </c>
      <c r="O374">
        <v>208.33710465991655</v>
      </c>
      <c r="P374">
        <v>208.33710465991655</v>
      </c>
    </row>
    <row r="375" spans="1:16" x14ac:dyDescent="0.3">
      <c r="A375" t="str">
        <f>Table_Demand___Community_frontsheet[[#This Row],[Name]]&amp;B375</f>
        <v>HaveringReablement &amp; Rehabilitation at home</v>
      </c>
      <c r="B375" t="str">
        <f>VLOOKUP(Table_Demand___Community_frontsheet[[#This Row],[Service Type]],PathwayLookup!E:F,2,0)</f>
        <v>Reablement &amp; Rehabilitation at home</v>
      </c>
      <c r="C375" t="s">
        <v>171</v>
      </c>
      <c r="D375" t="s">
        <v>720</v>
      </c>
      <c r="E375">
        <v>10</v>
      </c>
      <c r="F375">
        <v>5</v>
      </c>
      <c r="G375">
        <v>6</v>
      </c>
      <c r="H375">
        <v>8</v>
      </c>
      <c r="I375">
        <v>10</v>
      </c>
      <c r="J375">
        <v>4</v>
      </c>
      <c r="K375">
        <v>12</v>
      </c>
      <c r="L375">
        <v>6</v>
      </c>
      <c r="M375">
        <v>3</v>
      </c>
      <c r="N375">
        <v>0</v>
      </c>
      <c r="O375">
        <v>5</v>
      </c>
      <c r="P375">
        <v>3</v>
      </c>
    </row>
    <row r="376" spans="1:16" x14ac:dyDescent="0.3">
      <c r="A376" t="str">
        <f>Table_Demand___Community_frontsheet[[#This Row],[Name]]&amp;B376</f>
        <v>HaveringReablement &amp; Rehabilitation at home</v>
      </c>
      <c r="B376" t="str">
        <f>VLOOKUP(Table_Demand___Community_frontsheet[[#This Row],[Service Type]],PathwayLookup!E:F,2,0)</f>
        <v>Reablement &amp; Rehabilitation at home</v>
      </c>
      <c r="C376" t="s">
        <v>171</v>
      </c>
      <c r="D376" t="s">
        <v>721</v>
      </c>
      <c r="E376">
        <v>24</v>
      </c>
      <c r="F376">
        <v>17</v>
      </c>
      <c r="G376">
        <v>20</v>
      </c>
      <c r="H376">
        <v>16</v>
      </c>
      <c r="I376">
        <v>12</v>
      </c>
      <c r="J376">
        <v>11</v>
      </c>
      <c r="K376">
        <v>21</v>
      </c>
      <c r="L376">
        <v>21</v>
      </c>
      <c r="M376">
        <v>15</v>
      </c>
      <c r="N376">
        <v>17</v>
      </c>
      <c r="O376">
        <v>19</v>
      </c>
      <c r="P376">
        <v>13</v>
      </c>
    </row>
    <row r="377" spans="1:16" x14ac:dyDescent="0.3">
      <c r="A377" t="str">
        <f>Table_Demand___Community_frontsheet[[#This Row],[Name]]&amp;B377</f>
        <v>HaveringReablement &amp; Rehabilitation in a bedded setting</v>
      </c>
      <c r="B377" t="str">
        <f>VLOOKUP(Table_Demand___Community_frontsheet[[#This Row],[Service Type]],PathwayLookup!E:F,2,0)</f>
        <v>Reablement &amp; Rehabilitation in a bedded setting</v>
      </c>
      <c r="C377" t="s">
        <v>171</v>
      </c>
      <c r="D377" t="s">
        <v>723</v>
      </c>
      <c r="E377">
        <v>0</v>
      </c>
      <c r="F377">
        <v>0</v>
      </c>
      <c r="G377">
        <v>0</v>
      </c>
      <c r="H377">
        <v>0</v>
      </c>
      <c r="I377">
        <v>0</v>
      </c>
      <c r="J377">
        <v>0</v>
      </c>
      <c r="K377">
        <v>0</v>
      </c>
      <c r="L377">
        <v>0</v>
      </c>
      <c r="M377">
        <v>0</v>
      </c>
      <c r="N377">
        <v>0</v>
      </c>
      <c r="O377">
        <v>0</v>
      </c>
      <c r="P377">
        <v>0</v>
      </c>
    </row>
    <row r="378" spans="1:16" x14ac:dyDescent="0.3">
      <c r="A378" t="str">
        <f>Table_Demand___Community_frontsheet[[#This Row],[Name]]&amp;B378</f>
        <v>HaveringReablement &amp; Rehabilitation in a bedded setting</v>
      </c>
      <c r="B378" t="str">
        <f>VLOOKUP(Table_Demand___Community_frontsheet[[#This Row],[Service Type]],PathwayLookup!E:F,2,0)</f>
        <v>Reablement &amp; Rehabilitation in a bedded setting</v>
      </c>
      <c r="C378" t="s">
        <v>171</v>
      </c>
      <c r="D378" t="s">
        <v>725</v>
      </c>
      <c r="E378">
        <v>2.1</v>
      </c>
      <c r="F378">
        <v>2</v>
      </c>
      <c r="G378">
        <v>2</v>
      </c>
      <c r="H378">
        <v>2</v>
      </c>
      <c r="I378">
        <v>2</v>
      </c>
      <c r="J378">
        <v>2</v>
      </c>
      <c r="K378">
        <v>2</v>
      </c>
      <c r="L378">
        <v>2.1</v>
      </c>
      <c r="M378">
        <v>2.1</v>
      </c>
      <c r="N378">
        <v>2.1</v>
      </c>
      <c r="O378">
        <v>2.1</v>
      </c>
      <c r="P378">
        <v>2.1</v>
      </c>
    </row>
    <row r="379" spans="1:16" x14ac:dyDescent="0.3">
      <c r="A379" t="str">
        <f>Table_Demand___Community_frontsheet[[#This Row],[Name]]&amp;B379</f>
        <v>HaveringOther short-term social care</v>
      </c>
      <c r="B379" t="str">
        <f>VLOOKUP(Table_Demand___Community_frontsheet[[#This Row],[Service Type]],PathwayLookup!E:F,2,0)</f>
        <v>Other short-term social care</v>
      </c>
      <c r="C379" t="s">
        <v>171</v>
      </c>
      <c r="D379" t="s">
        <v>708</v>
      </c>
    </row>
    <row r="380" spans="1:16" x14ac:dyDescent="0.3">
      <c r="A380" t="str">
        <f>Table_Demand___Community_frontsheet[[#This Row],[Name]]&amp;B380</f>
        <v>Herefordshire, County ofSocial support (including VCS)</v>
      </c>
      <c r="B380" t="str">
        <f>VLOOKUP(Table_Demand___Community_frontsheet[[#This Row],[Service Type]],PathwayLookup!E:F,2,0)</f>
        <v>Social support (including VCS)</v>
      </c>
      <c r="C380" t="s">
        <v>173</v>
      </c>
      <c r="D380" t="s">
        <v>704</v>
      </c>
    </row>
    <row r="381" spans="1:16" x14ac:dyDescent="0.3">
      <c r="A381" t="str">
        <f>Table_Demand___Community_frontsheet[[#This Row],[Name]]&amp;B381</f>
        <v>Herefordshire, County ofUrgent Community Response</v>
      </c>
      <c r="B381" t="str">
        <f>VLOOKUP(Table_Demand___Community_frontsheet[[#This Row],[Service Type]],PathwayLookup!E:F,2,0)</f>
        <v>Urgent Community Response</v>
      </c>
      <c r="C381" t="s">
        <v>173</v>
      </c>
      <c r="D381" t="s">
        <v>705</v>
      </c>
    </row>
    <row r="382" spans="1:16" x14ac:dyDescent="0.3">
      <c r="A382" t="str">
        <f>Table_Demand___Community_frontsheet[[#This Row],[Name]]&amp;B382</f>
        <v>Herefordshire, County ofReablement &amp; Rehabilitation at home</v>
      </c>
      <c r="B382" t="str">
        <f>VLOOKUP(Table_Demand___Community_frontsheet[[#This Row],[Service Type]],PathwayLookup!E:F,2,0)</f>
        <v>Reablement &amp; Rehabilitation at home</v>
      </c>
      <c r="C382" t="s">
        <v>173</v>
      </c>
      <c r="D382" t="s">
        <v>720</v>
      </c>
      <c r="E382">
        <v>86</v>
      </c>
      <c r="F382">
        <v>67</v>
      </c>
      <c r="G382">
        <v>76</v>
      </c>
      <c r="H382">
        <v>69</v>
      </c>
      <c r="I382">
        <v>63</v>
      </c>
      <c r="J382">
        <v>78</v>
      </c>
      <c r="K382">
        <v>69</v>
      </c>
      <c r="L382">
        <v>86</v>
      </c>
      <c r="M382">
        <v>82</v>
      </c>
      <c r="N382">
        <v>88</v>
      </c>
      <c r="O382">
        <v>89</v>
      </c>
      <c r="P382">
        <v>79</v>
      </c>
    </row>
    <row r="383" spans="1:16" x14ac:dyDescent="0.3">
      <c r="A383" t="str">
        <f>Table_Demand___Community_frontsheet[[#This Row],[Name]]&amp;B383</f>
        <v>Herefordshire, County ofReablement &amp; Rehabilitation at home</v>
      </c>
      <c r="B383" t="str">
        <f>VLOOKUP(Table_Demand___Community_frontsheet[[#This Row],[Service Type]],PathwayLookup!E:F,2,0)</f>
        <v>Reablement &amp; Rehabilitation at home</v>
      </c>
      <c r="C383" t="s">
        <v>173</v>
      </c>
      <c r="D383" t="s">
        <v>721</v>
      </c>
    </row>
    <row r="384" spans="1:16" x14ac:dyDescent="0.3">
      <c r="A384" t="str">
        <f>Table_Demand___Community_frontsheet[[#This Row],[Name]]&amp;B384</f>
        <v>Herefordshire, County ofReablement &amp; Rehabilitation in a bedded setting</v>
      </c>
      <c r="B384" t="str">
        <f>VLOOKUP(Table_Demand___Community_frontsheet[[#This Row],[Service Type]],PathwayLookup!E:F,2,0)</f>
        <v>Reablement &amp; Rehabilitation in a bedded setting</v>
      </c>
      <c r="C384" t="s">
        <v>173</v>
      </c>
      <c r="D384" t="s">
        <v>723</v>
      </c>
    </row>
    <row r="385" spans="1:16" x14ac:dyDescent="0.3">
      <c r="A385" t="str">
        <f>Table_Demand___Community_frontsheet[[#This Row],[Name]]&amp;B385</f>
        <v>Herefordshire, County ofReablement &amp; Rehabilitation in a bedded setting</v>
      </c>
      <c r="B385" t="str">
        <f>VLOOKUP(Table_Demand___Community_frontsheet[[#This Row],[Service Type]],PathwayLookup!E:F,2,0)</f>
        <v>Reablement &amp; Rehabilitation in a bedded setting</v>
      </c>
      <c r="C385" t="s">
        <v>173</v>
      </c>
      <c r="D385" t="s">
        <v>725</v>
      </c>
    </row>
    <row r="386" spans="1:16" x14ac:dyDescent="0.3">
      <c r="A386" t="str">
        <f>Table_Demand___Community_frontsheet[[#This Row],[Name]]&amp;B386</f>
        <v>Herefordshire, County ofOther short-term social care</v>
      </c>
      <c r="B386" t="str">
        <f>VLOOKUP(Table_Demand___Community_frontsheet[[#This Row],[Service Type]],PathwayLookup!E:F,2,0)</f>
        <v>Other short-term social care</v>
      </c>
      <c r="C386" t="s">
        <v>173</v>
      </c>
      <c r="D386" t="s">
        <v>708</v>
      </c>
      <c r="E386">
        <v>22</v>
      </c>
      <c r="F386">
        <v>28</v>
      </c>
      <c r="G386">
        <v>29</v>
      </c>
      <c r="H386">
        <v>33</v>
      </c>
      <c r="I386">
        <v>31</v>
      </c>
      <c r="J386">
        <v>30</v>
      </c>
      <c r="K386">
        <v>24</v>
      </c>
      <c r="L386">
        <v>26</v>
      </c>
      <c r="M386">
        <v>38</v>
      </c>
      <c r="N386">
        <v>36</v>
      </c>
      <c r="O386">
        <v>22</v>
      </c>
      <c r="P386">
        <v>38</v>
      </c>
    </row>
    <row r="387" spans="1:16" x14ac:dyDescent="0.3">
      <c r="A387" t="str">
        <f>Table_Demand___Community_frontsheet[[#This Row],[Name]]&amp;B387</f>
        <v>HertfordshireSocial support (including VCS)</v>
      </c>
      <c r="B387" t="str">
        <f>VLOOKUP(Table_Demand___Community_frontsheet[[#This Row],[Service Type]],PathwayLookup!E:F,2,0)</f>
        <v>Social support (including VCS)</v>
      </c>
      <c r="C387" t="s">
        <v>175</v>
      </c>
      <c r="D387" t="s">
        <v>704</v>
      </c>
      <c r="E387">
        <v>1119</v>
      </c>
      <c r="F387">
        <v>1156</v>
      </c>
      <c r="G387">
        <v>1119</v>
      </c>
      <c r="H387">
        <v>1156</v>
      </c>
      <c r="I387">
        <v>1156</v>
      </c>
      <c r="J387">
        <v>1119</v>
      </c>
      <c r="K387">
        <v>1156</v>
      </c>
      <c r="L387">
        <v>1119</v>
      </c>
      <c r="M387">
        <v>1156</v>
      </c>
      <c r="N387">
        <v>1156</v>
      </c>
      <c r="O387">
        <v>1081</v>
      </c>
      <c r="P387">
        <v>1156</v>
      </c>
    </row>
    <row r="388" spans="1:16" x14ac:dyDescent="0.3">
      <c r="A388" t="str">
        <f>Table_Demand___Community_frontsheet[[#This Row],[Name]]&amp;B388</f>
        <v>HertfordshireUrgent Community Response</v>
      </c>
      <c r="B388" t="str">
        <f>VLOOKUP(Table_Demand___Community_frontsheet[[#This Row],[Service Type]],PathwayLookup!E:F,2,0)</f>
        <v>Urgent Community Response</v>
      </c>
      <c r="C388" t="s">
        <v>175</v>
      </c>
      <c r="D388" t="s">
        <v>705</v>
      </c>
      <c r="E388">
        <v>729</v>
      </c>
      <c r="F388">
        <v>770</v>
      </c>
      <c r="G388">
        <v>756</v>
      </c>
      <c r="H388">
        <v>742</v>
      </c>
      <c r="I388">
        <v>770</v>
      </c>
      <c r="J388">
        <v>742</v>
      </c>
      <c r="K388">
        <v>756</v>
      </c>
      <c r="L388">
        <v>767</v>
      </c>
      <c r="M388">
        <v>742</v>
      </c>
      <c r="N388">
        <v>770</v>
      </c>
      <c r="O388">
        <v>742</v>
      </c>
      <c r="P388">
        <v>742</v>
      </c>
    </row>
    <row r="389" spans="1:16" x14ac:dyDescent="0.3">
      <c r="A389" t="str">
        <f>Table_Demand___Community_frontsheet[[#This Row],[Name]]&amp;B389</f>
        <v>HertfordshireReablement &amp; Rehabilitation at home</v>
      </c>
      <c r="B389" t="str">
        <f>VLOOKUP(Table_Demand___Community_frontsheet[[#This Row],[Service Type]],PathwayLookup!E:F,2,0)</f>
        <v>Reablement &amp; Rehabilitation at home</v>
      </c>
      <c r="C389" t="s">
        <v>175</v>
      </c>
      <c r="D389" t="s">
        <v>720</v>
      </c>
      <c r="E389">
        <v>62</v>
      </c>
      <c r="F389">
        <v>82</v>
      </c>
      <c r="G389">
        <v>76</v>
      </c>
      <c r="H389">
        <v>57</v>
      </c>
      <c r="I389">
        <v>52</v>
      </c>
      <c r="J389">
        <v>62</v>
      </c>
      <c r="K389">
        <v>59</v>
      </c>
      <c r="L389">
        <v>74</v>
      </c>
      <c r="M389">
        <v>62</v>
      </c>
      <c r="N389">
        <v>82</v>
      </c>
      <c r="O389">
        <v>62</v>
      </c>
      <c r="P389">
        <v>71</v>
      </c>
    </row>
    <row r="390" spans="1:16" x14ac:dyDescent="0.3">
      <c r="A390" t="str">
        <f>Table_Demand___Community_frontsheet[[#This Row],[Name]]&amp;B390</f>
        <v>HertfordshireReablement &amp; Rehabilitation at home</v>
      </c>
      <c r="B390" t="str">
        <f>VLOOKUP(Table_Demand___Community_frontsheet[[#This Row],[Service Type]],PathwayLookup!E:F,2,0)</f>
        <v>Reablement &amp; Rehabilitation at home</v>
      </c>
      <c r="C390" t="s">
        <v>175</v>
      </c>
      <c r="D390" t="s">
        <v>721</v>
      </c>
      <c r="E390">
        <v>900</v>
      </c>
      <c r="F390">
        <v>900</v>
      </c>
      <c r="G390">
        <v>900</v>
      </c>
      <c r="H390">
        <v>900</v>
      </c>
      <c r="I390">
        <v>900</v>
      </c>
      <c r="J390">
        <v>900</v>
      </c>
      <c r="K390">
        <v>900</v>
      </c>
      <c r="L390">
        <v>900</v>
      </c>
      <c r="M390">
        <v>900</v>
      </c>
      <c r="N390">
        <v>900</v>
      </c>
      <c r="O390">
        <v>900</v>
      </c>
      <c r="P390">
        <v>900</v>
      </c>
    </row>
    <row r="391" spans="1:16" x14ac:dyDescent="0.3">
      <c r="A391" t="str">
        <f>Table_Demand___Community_frontsheet[[#This Row],[Name]]&amp;B391</f>
        <v>HertfordshireReablement &amp; Rehabilitation in a bedded setting</v>
      </c>
      <c r="B391" t="str">
        <f>VLOOKUP(Table_Demand___Community_frontsheet[[#This Row],[Service Type]],PathwayLookup!E:F,2,0)</f>
        <v>Reablement &amp; Rehabilitation in a bedded setting</v>
      </c>
      <c r="C391" t="s">
        <v>175</v>
      </c>
      <c r="D391" t="s">
        <v>723</v>
      </c>
    </row>
    <row r="392" spans="1:16" x14ac:dyDescent="0.3">
      <c r="A392" t="str">
        <f>Table_Demand___Community_frontsheet[[#This Row],[Name]]&amp;B392</f>
        <v>HertfordshireReablement &amp; Rehabilitation in a bedded setting</v>
      </c>
      <c r="B392" t="str">
        <f>VLOOKUP(Table_Demand___Community_frontsheet[[#This Row],[Service Type]],PathwayLookup!E:F,2,0)</f>
        <v>Reablement &amp; Rehabilitation in a bedded setting</v>
      </c>
      <c r="C392" t="s">
        <v>175</v>
      </c>
      <c r="D392" t="s">
        <v>725</v>
      </c>
    </row>
    <row r="393" spans="1:16" x14ac:dyDescent="0.3">
      <c r="A393" t="str">
        <f>Table_Demand___Community_frontsheet[[#This Row],[Name]]&amp;B393</f>
        <v>HertfordshireOther short-term social care</v>
      </c>
      <c r="B393" t="str">
        <f>VLOOKUP(Table_Demand___Community_frontsheet[[#This Row],[Service Type]],PathwayLookup!E:F,2,0)</f>
        <v>Other short-term social care</v>
      </c>
      <c r="C393" t="s">
        <v>175</v>
      </c>
      <c r="D393" t="s">
        <v>708</v>
      </c>
    </row>
    <row r="394" spans="1:16" x14ac:dyDescent="0.3">
      <c r="A394" t="str">
        <f>Table_Demand___Community_frontsheet[[#This Row],[Name]]&amp;B394</f>
        <v>HillingdonSocial support (including VCS)</v>
      </c>
      <c r="B394" t="str">
        <f>VLOOKUP(Table_Demand___Community_frontsheet[[#This Row],[Service Type]],PathwayLookup!E:F,2,0)</f>
        <v>Social support (including VCS)</v>
      </c>
      <c r="C394" t="s">
        <v>177</v>
      </c>
      <c r="D394" t="s">
        <v>704</v>
      </c>
      <c r="E394">
        <v>22</v>
      </c>
      <c r="F394">
        <v>22</v>
      </c>
      <c r="G394">
        <v>22</v>
      </c>
      <c r="H394">
        <v>8</v>
      </c>
      <c r="I394">
        <v>8</v>
      </c>
      <c r="J394">
        <v>8</v>
      </c>
      <c r="K394">
        <v>18</v>
      </c>
      <c r="L394">
        <v>18</v>
      </c>
      <c r="M394">
        <v>18</v>
      </c>
      <c r="N394">
        <v>24</v>
      </c>
      <c r="O394">
        <v>24</v>
      </c>
      <c r="P394">
        <v>24</v>
      </c>
    </row>
    <row r="395" spans="1:16" x14ac:dyDescent="0.3">
      <c r="A395" t="str">
        <f>Table_Demand___Community_frontsheet[[#This Row],[Name]]&amp;B395</f>
        <v>HillingdonUrgent Community Response</v>
      </c>
      <c r="B395" t="str">
        <f>VLOOKUP(Table_Demand___Community_frontsheet[[#This Row],[Service Type]],PathwayLookup!E:F,2,0)</f>
        <v>Urgent Community Response</v>
      </c>
      <c r="C395" t="s">
        <v>177</v>
      </c>
      <c r="D395" t="s">
        <v>705</v>
      </c>
      <c r="E395">
        <v>184</v>
      </c>
      <c r="F395">
        <v>186</v>
      </c>
      <c r="G395">
        <v>163</v>
      </c>
      <c r="H395">
        <v>228</v>
      </c>
      <c r="I395">
        <v>218</v>
      </c>
      <c r="J395">
        <v>230</v>
      </c>
      <c r="K395">
        <v>222</v>
      </c>
      <c r="L395">
        <v>229</v>
      </c>
      <c r="M395">
        <v>210</v>
      </c>
      <c r="N395">
        <v>240</v>
      </c>
      <c r="O395">
        <v>246</v>
      </c>
      <c r="P395">
        <v>277</v>
      </c>
    </row>
    <row r="396" spans="1:16" x14ac:dyDescent="0.3">
      <c r="A396" t="str">
        <f>Table_Demand___Community_frontsheet[[#This Row],[Name]]&amp;B396</f>
        <v>HillingdonReablement &amp; Rehabilitation at home</v>
      </c>
      <c r="B396" t="str">
        <f>VLOOKUP(Table_Demand___Community_frontsheet[[#This Row],[Service Type]],PathwayLookup!E:F,2,0)</f>
        <v>Reablement &amp; Rehabilitation at home</v>
      </c>
      <c r="C396" t="s">
        <v>177</v>
      </c>
      <c r="D396" t="s">
        <v>720</v>
      </c>
      <c r="E396">
        <v>16</v>
      </c>
      <c r="F396">
        <v>33</v>
      </c>
      <c r="G396">
        <v>30</v>
      </c>
      <c r="H396">
        <v>33</v>
      </c>
      <c r="I396">
        <v>29</v>
      </c>
      <c r="J396">
        <v>31</v>
      </c>
      <c r="K396">
        <v>20</v>
      </c>
      <c r="L396">
        <v>23</v>
      </c>
      <c r="M396">
        <v>16</v>
      </c>
      <c r="N396">
        <v>24</v>
      </c>
      <c r="O396">
        <v>22</v>
      </c>
      <c r="P396">
        <v>20</v>
      </c>
    </row>
    <row r="397" spans="1:16" x14ac:dyDescent="0.3">
      <c r="A397" t="str">
        <f>Table_Demand___Community_frontsheet[[#This Row],[Name]]&amp;B397</f>
        <v>HillingdonReablement &amp; Rehabilitation at home</v>
      </c>
      <c r="B397" t="str">
        <f>VLOOKUP(Table_Demand___Community_frontsheet[[#This Row],[Service Type]],PathwayLookup!E:F,2,0)</f>
        <v>Reablement &amp; Rehabilitation at home</v>
      </c>
      <c r="C397" t="s">
        <v>177</v>
      </c>
      <c r="D397" t="s">
        <v>721</v>
      </c>
      <c r="E397">
        <v>1160</v>
      </c>
      <c r="F397">
        <v>1240</v>
      </c>
      <c r="G397">
        <v>1163</v>
      </c>
      <c r="H397">
        <v>1247</v>
      </c>
      <c r="I397">
        <v>1254</v>
      </c>
      <c r="J397">
        <v>1193</v>
      </c>
      <c r="K397">
        <v>1190</v>
      </c>
      <c r="L397">
        <v>1232</v>
      </c>
      <c r="M397">
        <v>1189</v>
      </c>
      <c r="N397">
        <v>1342</v>
      </c>
      <c r="O397">
        <v>1174</v>
      </c>
      <c r="P397">
        <v>1234</v>
      </c>
    </row>
    <row r="398" spans="1:16" x14ac:dyDescent="0.3">
      <c r="A398" t="str">
        <f>Table_Demand___Community_frontsheet[[#This Row],[Name]]&amp;B398</f>
        <v>HillingdonReablement &amp; Rehabilitation in a bedded setting</v>
      </c>
      <c r="B398" t="str">
        <f>VLOOKUP(Table_Demand___Community_frontsheet[[#This Row],[Service Type]],PathwayLookup!E:F,2,0)</f>
        <v>Reablement &amp; Rehabilitation in a bedded setting</v>
      </c>
      <c r="C398" t="s">
        <v>177</v>
      </c>
      <c r="D398" t="s">
        <v>723</v>
      </c>
      <c r="E398">
        <v>10</v>
      </c>
      <c r="F398">
        <v>4</v>
      </c>
      <c r="G398">
        <v>7</v>
      </c>
      <c r="H398">
        <v>6</v>
      </c>
      <c r="I398">
        <v>12</v>
      </c>
      <c r="J398">
        <v>13</v>
      </c>
      <c r="K398">
        <v>11</v>
      </c>
      <c r="L398">
        <v>8</v>
      </c>
      <c r="M398">
        <v>6</v>
      </c>
      <c r="N398">
        <v>2</v>
      </c>
      <c r="O398">
        <v>6</v>
      </c>
      <c r="P398">
        <v>0</v>
      </c>
    </row>
    <row r="399" spans="1:16" x14ac:dyDescent="0.3">
      <c r="A399" t="str">
        <f>Table_Demand___Community_frontsheet[[#This Row],[Name]]&amp;B399</f>
        <v>HillingdonReablement &amp; Rehabilitation in a bedded setting</v>
      </c>
      <c r="B399" t="str">
        <f>VLOOKUP(Table_Demand___Community_frontsheet[[#This Row],[Service Type]],PathwayLookup!E:F,2,0)</f>
        <v>Reablement &amp; Rehabilitation in a bedded setting</v>
      </c>
      <c r="C399" t="s">
        <v>177</v>
      </c>
      <c r="D399" t="s">
        <v>725</v>
      </c>
      <c r="E399">
        <v>0</v>
      </c>
      <c r="F399">
        <v>0</v>
      </c>
      <c r="G399">
        <v>0</v>
      </c>
      <c r="H399">
        <v>0</v>
      </c>
      <c r="I399">
        <v>0</v>
      </c>
      <c r="J399">
        <v>0</v>
      </c>
      <c r="K399">
        <v>0</v>
      </c>
      <c r="L399">
        <v>0</v>
      </c>
      <c r="M399">
        <v>0</v>
      </c>
      <c r="N399">
        <v>0</v>
      </c>
      <c r="O399">
        <v>0</v>
      </c>
      <c r="P399">
        <v>0</v>
      </c>
    </row>
    <row r="400" spans="1:16" x14ac:dyDescent="0.3">
      <c r="A400" t="str">
        <f>Table_Demand___Community_frontsheet[[#This Row],[Name]]&amp;B400</f>
        <v>HillingdonOther short-term social care</v>
      </c>
      <c r="B400" t="str">
        <f>VLOOKUP(Table_Demand___Community_frontsheet[[#This Row],[Service Type]],PathwayLookup!E:F,2,0)</f>
        <v>Other short-term social care</v>
      </c>
      <c r="C400" t="s">
        <v>177</v>
      </c>
      <c r="D400" t="s">
        <v>708</v>
      </c>
      <c r="E400">
        <v>0</v>
      </c>
      <c r="F400">
        <v>0</v>
      </c>
      <c r="G400">
        <v>0</v>
      </c>
      <c r="H400">
        <v>0</v>
      </c>
      <c r="I400">
        <v>0</v>
      </c>
      <c r="J400">
        <v>0</v>
      </c>
      <c r="K400">
        <v>0</v>
      </c>
      <c r="L400">
        <v>0</v>
      </c>
      <c r="M400">
        <v>0</v>
      </c>
      <c r="N400">
        <v>0</v>
      </c>
      <c r="O400">
        <v>0</v>
      </c>
      <c r="P400">
        <v>0</v>
      </c>
    </row>
    <row r="401" spans="1:16" x14ac:dyDescent="0.3">
      <c r="A401" t="str">
        <f>Table_Demand___Community_frontsheet[[#This Row],[Name]]&amp;B401</f>
        <v>HounslowSocial support (including VCS)</v>
      </c>
      <c r="B401" t="str">
        <f>VLOOKUP(Table_Demand___Community_frontsheet[[#This Row],[Service Type]],PathwayLookup!E:F,2,0)</f>
        <v>Social support (including VCS)</v>
      </c>
      <c r="C401" t="s">
        <v>179</v>
      </c>
      <c r="D401" t="s">
        <v>704</v>
      </c>
      <c r="E401">
        <v>0</v>
      </c>
      <c r="F401">
        <v>0</v>
      </c>
      <c r="G401">
        <v>0</v>
      </c>
      <c r="H401">
        <v>0</v>
      </c>
      <c r="I401">
        <v>0</v>
      </c>
      <c r="J401">
        <v>0</v>
      </c>
      <c r="K401">
        <v>0</v>
      </c>
      <c r="L401">
        <v>0</v>
      </c>
      <c r="M401">
        <v>0</v>
      </c>
      <c r="N401">
        <v>0</v>
      </c>
      <c r="O401">
        <v>0</v>
      </c>
      <c r="P401">
        <v>0</v>
      </c>
    </row>
    <row r="402" spans="1:16" x14ac:dyDescent="0.3">
      <c r="A402" t="str">
        <f>Table_Demand___Community_frontsheet[[#This Row],[Name]]&amp;B402</f>
        <v>HounslowUrgent Community Response</v>
      </c>
      <c r="B402" t="str">
        <f>VLOOKUP(Table_Demand___Community_frontsheet[[#This Row],[Service Type]],PathwayLookup!E:F,2,0)</f>
        <v>Urgent Community Response</v>
      </c>
      <c r="C402" t="s">
        <v>179</v>
      </c>
      <c r="D402" t="s">
        <v>705</v>
      </c>
      <c r="E402">
        <v>149</v>
      </c>
      <c r="F402">
        <v>178</v>
      </c>
      <c r="G402">
        <v>179</v>
      </c>
      <c r="H402">
        <v>178</v>
      </c>
      <c r="I402">
        <v>171</v>
      </c>
      <c r="J402">
        <v>161</v>
      </c>
      <c r="K402">
        <v>173</v>
      </c>
      <c r="L402">
        <v>166</v>
      </c>
      <c r="M402">
        <v>179</v>
      </c>
      <c r="N402">
        <v>200</v>
      </c>
      <c r="O402">
        <v>167</v>
      </c>
      <c r="P402">
        <v>169</v>
      </c>
    </row>
    <row r="403" spans="1:16" x14ac:dyDescent="0.3">
      <c r="A403" t="str">
        <f>Table_Demand___Community_frontsheet[[#This Row],[Name]]&amp;B403</f>
        <v>HounslowReablement &amp; Rehabilitation at home</v>
      </c>
      <c r="B403" t="str">
        <f>VLOOKUP(Table_Demand___Community_frontsheet[[#This Row],[Service Type]],PathwayLookup!E:F,2,0)</f>
        <v>Reablement &amp; Rehabilitation at home</v>
      </c>
      <c r="C403" t="s">
        <v>179</v>
      </c>
      <c r="D403" t="s">
        <v>720</v>
      </c>
      <c r="E403">
        <v>18</v>
      </c>
      <c r="F403">
        <v>16.2</v>
      </c>
      <c r="G403">
        <v>11.4</v>
      </c>
      <c r="H403">
        <v>16.600000000000001</v>
      </c>
      <c r="I403">
        <v>13.2</v>
      </c>
      <c r="J403">
        <v>16</v>
      </c>
      <c r="K403">
        <v>20.2</v>
      </c>
      <c r="L403">
        <v>16.600000000000001</v>
      </c>
      <c r="M403">
        <v>23</v>
      </c>
      <c r="N403">
        <v>21.6</v>
      </c>
      <c r="O403">
        <v>13</v>
      </c>
      <c r="P403">
        <v>12.8</v>
      </c>
    </row>
    <row r="404" spans="1:16" x14ac:dyDescent="0.3">
      <c r="A404" t="str">
        <f>Table_Demand___Community_frontsheet[[#This Row],[Name]]&amp;B404</f>
        <v>HounslowReablement &amp; Rehabilitation at home</v>
      </c>
      <c r="B404" t="str">
        <f>VLOOKUP(Table_Demand___Community_frontsheet[[#This Row],[Service Type]],PathwayLookup!E:F,2,0)</f>
        <v>Reablement &amp; Rehabilitation at home</v>
      </c>
      <c r="C404" t="s">
        <v>179</v>
      </c>
      <c r="D404" t="s">
        <v>721</v>
      </c>
      <c r="E404">
        <v>312</v>
      </c>
      <c r="F404">
        <v>379.6</v>
      </c>
      <c r="G404">
        <v>320.32</v>
      </c>
      <c r="H404">
        <v>359.32</v>
      </c>
      <c r="I404">
        <v>337.48</v>
      </c>
      <c r="J404">
        <v>304.2</v>
      </c>
      <c r="K404">
        <v>310.44</v>
      </c>
      <c r="L404">
        <v>320.32</v>
      </c>
      <c r="M404">
        <v>310.44</v>
      </c>
      <c r="N404">
        <v>369.72</v>
      </c>
      <c r="O404">
        <v>301.08</v>
      </c>
      <c r="P404">
        <v>233.48</v>
      </c>
    </row>
    <row r="405" spans="1:16" x14ac:dyDescent="0.3">
      <c r="A405" t="str">
        <f>Table_Demand___Community_frontsheet[[#This Row],[Name]]&amp;B405</f>
        <v>HounslowReablement &amp; Rehabilitation in a bedded setting</v>
      </c>
      <c r="B405" t="str">
        <f>VLOOKUP(Table_Demand___Community_frontsheet[[#This Row],[Service Type]],PathwayLookup!E:F,2,0)</f>
        <v>Reablement &amp; Rehabilitation in a bedded setting</v>
      </c>
      <c r="C405" t="s">
        <v>179</v>
      </c>
      <c r="D405" t="s">
        <v>723</v>
      </c>
      <c r="E405">
        <v>0</v>
      </c>
      <c r="F405">
        <v>0</v>
      </c>
      <c r="G405">
        <v>0</v>
      </c>
      <c r="H405">
        <v>0</v>
      </c>
      <c r="I405">
        <v>0</v>
      </c>
      <c r="J405">
        <v>0</v>
      </c>
      <c r="K405">
        <v>0</v>
      </c>
      <c r="L405">
        <v>0</v>
      </c>
      <c r="M405">
        <v>0</v>
      </c>
      <c r="N405">
        <v>0</v>
      </c>
      <c r="O405">
        <v>0</v>
      </c>
      <c r="P405">
        <v>0</v>
      </c>
    </row>
    <row r="406" spans="1:16" x14ac:dyDescent="0.3">
      <c r="A406" t="str">
        <f>Table_Demand___Community_frontsheet[[#This Row],[Name]]&amp;B406</f>
        <v>HounslowReablement &amp; Rehabilitation in a bedded setting</v>
      </c>
      <c r="B406" t="str">
        <f>VLOOKUP(Table_Demand___Community_frontsheet[[#This Row],[Service Type]],PathwayLookup!E:F,2,0)</f>
        <v>Reablement &amp; Rehabilitation in a bedded setting</v>
      </c>
      <c r="C406" t="s">
        <v>179</v>
      </c>
      <c r="D406" t="s">
        <v>725</v>
      </c>
      <c r="E406">
        <v>0</v>
      </c>
      <c r="F406">
        <v>0</v>
      </c>
      <c r="G406">
        <v>0</v>
      </c>
      <c r="H406">
        <v>0</v>
      </c>
      <c r="I406">
        <v>0</v>
      </c>
      <c r="J406">
        <v>0</v>
      </c>
      <c r="K406">
        <v>0</v>
      </c>
      <c r="L406">
        <v>0</v>
      </c>
      <c r="M406">
        <v>0</v>
      </c>
      <c r="N406">
        <v>0</v>
      </c>
      <c r="O406">
        <v>0</v>
      </c>
      <c r="P406">
        <v>0</v>
      </c>
    </row>
    <row r="407" spans="1:16" x14ac:dyDescent="0.3">
      <c r="A407" t="str">
        <f>Table_Demand___Community_frontsheet[[#This Row],[Name]]&amp;B407</f>
        <v>HounslowOther short-term social care</v>
      </c>
      <c r="B407" t="str">
        <f>VLOOKUP(Table_Demand___Community_frontsheet[[#This Row],[Service Type]],PathwayLookup!E:F,2,0)</f>
        <v>Other short-term social care</v>
      </c>
      <c r="C407" t="s">
        <v>179</v>
      </c>
      <c r="D407" t="s">
        <v>708</v>
      </c>
      <c r="E407">
        <v>0</v>
      </c>
      <c r="F407">
        <v>0</v>
      </c>
      <c r="G407">
        <v>0</v>
      </c>
      <c r="H407">
        <v>0</v>
      </c>
      <c r="I407">
        <v>0</v>
      </c>
      <c r="J407">
        <v>0</v>
      </c>
      <c r="K407">
        <v>0</v>
      </c>
      <c r="L407">
        <v>0</v>
      </c>
      <c r="M407">
        <v>0</v>
      </c>
      <c r="N407">
        <v>0</v>
      </c>
      <c r="O407">
        <v>0</v>
      </c>
      <c r="P407">
        <v>0</v>
      </c>
    </row>
    <row r="408" spans="1:16" x14ac:dyDescent="0.3">
      <c r="A408" t="str">
        <f>Table_Demand___Community_frontsheet[[#This Row],[Name]]&amp;B408</f>
        <v>Isle of WightSocial support (including VCS)</v>
      </c>
      <c r="B408" t="str">
        <f>VLOOKUP(Table_Demand___Community_frontsheet[[#This Row],[Service Type]],PathwayLookup!E:F,2,0)</f>
        <v>Social support (including VCS)</v>
      </c>
      <c r="C408" t="s">
        <v>181</v>
      </c>
      <c r="D408" t="s">
        <v>704</v>
      </c>
      <c r="E408">
        <v>115</v>
      </c>
      <c r="F408">
        <v>120</v>
      </c>
      <c r="G408">
        <v>115</v>
      </c>
      <c r="H408">
        <v>115</v>
      </c>
      <c r="I408">
        <v>120</v>
      </c>
      <c r="J408">
        <v>115</v>
      </c>
      <c r="K408">
        <v>120</v>
      </c>
      <c r="L408">
        <v>115</v>
      </c>
      <c r="M408">
        <v>115</v>
      </c>
      <c r="N408">
        <v>120</v>
      </c>
      <c r="O408">
        <v>115</v>
      </c>
      <c r="P408">
        <v>120</v>
      </c>
    </row>
    <row r="409" spans="1:16" x14ac:dyDescent="0.3">
      <c r="A409" t="str">
        <f>Table_Demand___Community_frontsheet[[#This Row],[Name]]&amp;B409</f>
        <v>Isle of WightUrgent Community Response</v>
      </c>
      <c r="B409" t="str">
        <f>VLOOKUP(Table_Demand___Community_frontsheet[[#This Row],[Service Type]],PathwayLookup!E:F,2,0)</f>
        <v>Urgent Community Response</v>
      </c>
      <c r="C409" t="s">
        <v>181</v>
      </c>
      <c r="D409" t="s">
        <v>705</v>
      </c>
      <c r="E409">
        <v>315</v>
      </c>
      <c r="F409">
        <v>315</v>
      </c>
      <c r="G409">
        <v>315</v>
      </c>
      <c r="H409">
        <v>315</v>
      </c>
      <c r="I409">
        <v>320</v>
      </c>
      <c r="J409">
        <v>320</v>
      </c>
      <c r="K409">
        <v>320</v>
      </c>
      <c r="L409">
        <v>320</v>
      </c>
      <c r="M409">
        <v>325</v>
      </c>
      <c r="N409">
        <v>325</v>
      </c>
      <c r="O409">
        <v>325</v>
      </c>
      <c r="P409">
        <v>325</v>
      </c>
    </row>
    <row r="410" spans="1:16" x14ac:dyDescent="0.3">
      <c r="A410" t="str">
        <f>Table_Demand___Community_frontsheet[[#This Row],[Name]]&amp;B410</f>
        <v>Isle of WightReablement &amp; Rehabilitation at home</v>
      </c>
      <c r="B410" t="str">
        <f>VLOOKUP(Table_Demand___Community_frontsheet[[#This Row],[Service Type]],PathwayLookup!E:F,2,0)</f>
        <v>Reablement &amp; Rehabilitation at home</v>
      </c>
      <c r="C410" t="s">
        <v>181</v>
      </c>
      <c r="D410" t="s">
        <v>720</v>
      </c>
      <c r="E410">
        <v>435</v>
      </c>
      <c r="F410">
        <v>435</v>
      </c>
      <c r="G410">
        <v>435</v>
      </c>
      <c r="H410">
        <v>435</v>
      </c>
      <c r="I410">
        <v>440</v>
      </c>
      <c r="J410">
        <v>440</v>
      </c>
      <c r="K410">
        <v>440</v>
      </c>
      <c r="L410">
        <v>460</v>
      </c>
      <c r="M410">
        <v>465</v>
      </c>
      <c r="N410">
        <v>465</v>
      </c>
      <c r="O410">
        <v>445</v>
      </c>
      <c r="P410">
        <v>445</v>
      </c>
    </row>
    <row r="411" spans="1:16" x14ac:dyDescent="0.3">
      <c r="A411" t="str">
        <f>Table_Demand___Community_frontsheet[[#This Row],[Name]]&amp;B411</f>
        <v>Isle of WightReablement &amp; Rehabilitation at home</v>
      </c>
      <c r="B411" t="str">
        <f>VLOOKUP(Table_Demand___Community_frontsheet[[#This Row],[Service Type]],PathwayLookup!E:F,2,0)</f>
        <v>Reablement &amp; Rehabilitation at home</v>
      </c>
      <c r="C411" t="s">
        <v>181</v>
      </c>
      <c r="D411" t="s">
        <v>721</v>
      </c>
    </row>
    <row r="412" spans="1:16" x14ac:dyDescent="0.3">
      <c r="A412" t="str">
        <f>Table_Demand___Community_frontsheet[[#This Row],[Name]]&amp;B412</f>
        <v>Isle of WightReablement &amp; Rehabilitation in a bedded setting</v>
      </c>
      <c r="B412" t="str">
        <f>VLOOKUP(Table_Demand___Community_frontsheet[[#This Row],[Service Type]],PathwayLookup!E:F,2,0)</f>
        <v>Reablement &amp; Rehabilitation in a bedded setting</v>
      </c>
      <c r="C412" t="s">
        <v>181</v>
      </c>
      <c r="D412" t="s">
        <v>723</v>
      </c>
      <c r="E412">
        <v>9</v>
      </c>
      <c r="F412">
        <v>9</v>
      </c>
      <c r="G412">
        <v>9</v>
      </c>
      <c r="H412">
        <v>9</v>
      </c>
      <c r="I412">
        <v>9</v>
      </c>
      <c r="J412">
        <v>18</v>
      </c>
      <c r="K412">
        <v>18</v>
      </c>
      <c r="L412">
        <v>18</v>
      </c>
      <c r="M412">
        <v>18</v>
      </c>
      <c r="N412">
        <v>18</v>
      </c>
      <c r="O412">
        <v>18</v>
      </c>
      <c r="P412">
        <v>18</v>
      </c>
    </row>
    <row r="413" spans="1:16" x14ac:dyDescent="0.3">
      <c r="A413" t="str">
        <f>Table_Demand___Community_frontsheet[[#This Row],[Name]]&amp;B413</f>
        <v>Isle of WightReablement &amp; Rehabilitation in a bedded setting</v>
      </c>
      <c r="B413" t="str">
        <f>VLOOKUP(Table_Demand___Community_frontsheet[[#This Row],[Service Type]],PathwayLookup!E:F,2,0)</f>
        <v>Reablement &amp; Rehabilitation in a bedded setting</v>
      </c>
      <c r="C413" t="s">
        <v>181</v>
      </c>
      <c r="D413" t="s">
        <v>725</v>
      </c>
      <c r="E413">
        <v>27</v>
      </c>
      <c r="F413">
        <v>28</v>
      </c>
      <c r="G413">
        <v>27</v>
      </c>
      <c r="H413">
        <v>27</v>
      </c>
      <c r="I413">
        <v>28</v>
      </c>
      <c r="J413">
        <v>27</v>
      </c>
      <c r="K413">
        <v>28</v>
      </c>
      <c r="L413">
        <v>27</v>
      </c>
      <c r="M413">
        <v>27</v>
      </c>
      <c r="N413">
        <v>28</v>
      </c>
      <c r="O413">
        <v>27</v>
      </c>
      <c r="P413">
        <v>28</v>
      </c>
    </row>
    <row r="414" spans="1:16" x14ac:dyDescent="0.3">
      <c r="A414" t="str">
        <f>Table_Demand___Community_frontsheet[[#This Row],[Name]]&amp;B414</f>
        <v>Isle of WightOther short-term social care</v>
      </c>
      <c r="B414" t="str">
        <f>VLOOKUP(Table_Demand___Community_frontsheet[[#This Row],[Service Type]],PathwayLookup!E:F,2,0)</f>
        <v>Other short-term social care</v>
      </c>
      <c r="C414" t="s">
        <v>181</v>
      </c>
      <c r="D414" t="s">
        <v>708</v>
      </c>
    </row>
    <row r="415" spans="1:16" x14ac:dyDescent="0.3">
      <c r="A415" t="str">
        <f>Table_Demand___Community_frontsheet[[#This Row],[Name]]&amp;B415</f>
        <v>IslingtonSocial support (including VCS)</v>
      </c>
      <c r="B415" t="str">
        <f>VLOOKUP(Table_Demand___Community_frontsheet[[#This Row],[Service Type]],PathwayLookup!E:F,2,0)</f>
        <v>Social support (including VCS)</v>
      </c>
      <c r="C415" t="s">
        <v>183</v>
      </c>
      <c r="D415" t="s">
        <v>704</v>
      </c>
      <c r="E415">
        <v>209</v>
      </c>
      <c r="F415">
        <v>216</v>
      </c>
      <c r="G415">
        <v>209</v>
      </c>
      <c r="H415">
        <v>216</v>
      </c>
      <c r="I415">
        <v>216</v>
      </c>
      <c r="J415">
        <v>209</v>
      </c>
      <c r="K415">
        <v>216</v>
      </c>
      <c r="L415">
        <v>209</v>
      </c>
      <c r="M415">
        <v>216</v>
      </c>
      <c r="N415">
        <v>216</v>
      </c>
      <c r="O415">
        <v>195</v>
      </c>
      <c r="P415">
        <v>216</v>
      </c>
    </row>
    <row r="416" spans="1:16" x14ac:dyDescent="0.3">
      <c r="A416" t="str">
        <f>Table_Demand___Community_frontsheet[[#This Row],[Name]]&amp;B416</f>
        <v>IslingtonUrgent Community Response</v>
      </c>
      <c r="B416" t="str">
        <f>VLOOKUP(Table_Demand___Community_frontsheet[[#This Row],[Service Type]],PathwayLookup!E:F,2,0)</f>
        <v>Urgent Community Response</v>
      </c>
      <c r="C416" t="s">
        <v>183</v>
      </c>
      <c r="D416" t="s">
        <v>705</v>
      </c>
      <c r="E416">
        <v>182</v>
      </c>
      <c r="F416">
        <v>182</v>
      </c>
      <c r="G416">
        <v>182</v>
      </c>
      <c r="H416">
        <v>205</v>
      </c>
      <c r="I416">
        <v>205</v>
      </c>
      <c r="J416">
        <v>205</v>
      </c>
      <c r="K416">
        <v>207</v>
      </c>
      <c r="L416">
        <v>207</v>
      </c>
      <c r="M416">
        <v>207</v>
      </c>
      <c r="N416">
        <v>194</v>
      </c>
      <c r="O416">
        <v>194</v>
      </c>
      <c r="P416">
        <v>194</v>
      </c>
    </row>
    <row r="417" spans="1:16" x14ac:dyDescent="0.3">
      <c r="A417" t="str">
        <f>Table_Demand___Community_frontsheet[[#This Row],[Name]]&amp;B417</f>
        <v>IslingtonReablement &amp; Rehabilitation at home</v>
      </c>
      <c r="B417" t="str">
        <f>VLOOKUP(Table_Demand___Community_frontsheet[[#This Row],[Service Type]],PathwayLookup!E:F,2,0)</f>
        <v>Reablement &amp; Rehabilitation at home</v>
      </c>
      <c r="C417" t="s">
        <v>183</v>
      </c>
      <c r="D417" t="s">
        <v>720</v>
      </c>
      <c r="E417">
        <v>20</v>
      </c>
      <c r="F417">
        <v>20</v>
      </c>
      <c r="G417">
        <v>20</v>
      </c>
      <c r="H417">
        <v>20</v>
      </c>
      <c r="I417">
        <v>20</v>
      </c>
      <c r="J417">
        <v>20</v>
      </c>
      <c r="K417">
        <v>20</v>
      </c>
      <c r="L417">
        <v>20</v>
      </c>
      <c r="M417">
        <v>20</v>
      </c>
      <c r="N417">
        <v>20</v>
      </c>
      <c r="O417">
        <v>20</v>
      </c>
      <c r="P417">
        <v>20</v>
      </c>
    </row>
    <row r="418" spans="1:16" x14ac:dyDescent="0.3">
      <c r="A418" t="str">
        <f>Table_Demand___Community_frontsheet[[#This Row],[Name]]&amp;B418</f>
        <v>IslingtonReablement &amp; Rehabilitation at home</v>
      </c>
      <c r="B418" t="str">
        <f>VLOOKUP(Table_Demand___Community_frontsheet[[#This Row],[Service Type]],PathwayLookup!E:F,2,0)</f>
        <v>Reablement &amp; Rehabilitation at home</v>
      </c>
      <c r="C418" t="s">
        <v>183</v>
      </c>
      <c r="D418" t="s">
        <v>721</v>
      </c>
      <c r="E418">
        <v>182</v>
      </c>
      <c r="F418">
        <v>182</v>
      </c>
      <c r="G418">
        <v>182</v>
      </c>
      <c r="H418">
        <v>205</v>
      </c>
      <c r="I418">
        <v>205</v>
      </c>
      <c r="J418">
        <v>205</v>
      </c>
      <c r="K418">
        <v>207</v>
      </c>
      <c r="L418">
        <v>207</v>
      </c>
      <c r="M418">
        <v>207</v>
      </c>
      <c r="N418">
        <v>194</v>
      </c>
      <c r="O418">
        <v>194</v>
      </c>
      <c r="P418">
        <v>194</v>
      </c>
    </row>
    <row r="419" spans="1:16" x14ac:dyDescent="0.3">
      <c r="A419" t="str">
        <f>Table_Demand___Community_frontsheet[[#This Row],[Name]]&amp;B419</f>
        <v>IslingtonReablement &amp; Rehabilitation in a bedded setting</v>
      </c>
      <c r="B419" t="str">
        <f>VLOOKUP(Table_Demand___Community_frontsheet[[#This Row],[Service Type]],PathwayLookup!E:F,2,0)</f>
        <v>Reablement &amp; Rehabilitation in a bedded setting</v>
      </c>
      <c r="C419" t="s">
        <v>183</v>
      </c>
      <c r="D419" t="s">
        <v>723</v>
      </c>
      <c r="E419">
        <v>0</v>
      </c>
      <c r="F419">
        <v>0</v>
      </c>
      <c r="G419">
        <v>0</v>
      </c>
      <c r="H419">
        <v>0</v>
      </c>
      <c r="I419">
        <v>0</v>
      </c>
      <c r="J419">
        <v>0</v>
      </c>
      <c r="K419">
        <v>0</v>
      </c>
      <c r="L419">
        <v>0</v>
      </c>
      <c r="M419">
        <v>0</v>
      </c>
      <c r="N419">
        <v>0</v>
      </c>
      <c r="O419">
        <v>0</v>
      </c>
      <c r="P419">
        <v>0</v>
      </c>
    </row>
    <row r="420" spans="1:16" x14ac:dyDescent="0.3">
      <c r="A420" t="str">
        <f>Table_Demand___Community_frontsheet[[#This Row],[Name]]&amp;B420</f>
        <v>IslingtonReablement &amp; Rehabilitation in a bedded setting</v>
      </c>
      <c r="B420" t="str">
        <f>VLOOKUP(Table_Demand___Community_frontsheet[[#This Row],[Service Type]],PathwayLookup!E:F,2,0)</f>
        <v>Reablement &amp; Rehabilitation in a bedded setting</v>
      </c>
      <c r="C420" t="s">
        <v>183</v>
      </c>
      <c r="D420" t="s">
        <v>725</v>
      </c>
      <c r="E420">
        <v>1</v>
      </c>
      <c r="F420">
        <v>1</v>
      </c>
      <c r="G420">
        <v>1</v>
      </c>
      <c r="H420">
        <v>1</v>
      </c>
      <c r="I420">
        <v>1</v>
      </c>
      <c r="J420">
        <v>1</v>
      </c>
      <c r="K420">
        <v>1</v>
      </c>
      <c r="L420">
        <v>1</v>
      </c>
      <c r="M420">
        <v>1</v>
      </c>
      <c r="N420">
        <v>1</v>
      </c>
      <c r="O420">
        <v>1</v>
      </c>
      <c r="P420">
        <v>1</v>
      </c>
    </row>
    <row r="421" spans="1:16" x14ac:dyDescent="0.3">
      <c r="A421" t="str">
        <f>Table_Demand___Community_frontsheet[[#This Row],[Name]]&amp;B421</f>
        <v>IslingtonOther short-term social care</v>
      </c>
      <c r="B421" t="str">
        <f>VLOOKUP(Table_Demand___Community_frontsheet[[#This Row],[Service Type]],PathwayLookup!E:F,2,0)</f>
        <v>Other short-term social care</v>
      </c>
      <c r="C421" t="s">
        <v>183</v>
      </c>
      <c r="D421" t="s">
        <v>708</v>
      </c>
      <c r="E421">
        <v>0</v>
      </c>
      <c r="F421">
        <v>0</v>
      </c>
      <c r="G421">
        <v>0</v>
      </c>
      <c r="H421">
        <v>0</v>
      </c>
      <c r="I421">
        <v>0</v>
      </c>
      <c r="J421">
        <v>0</v>
      </c>
      <c r="K421">
        <v>0</v>
      </c>
      <c r="L421">
        <v>0</v>
      </c>
      <c r="M421">
        <v>0</v>
      </c>
      <c r="N421">
        <v>0</v>
      </c>
      <c r="O421">
        <v>0</v>
      </c>
      <c r="P421">
        <v>0</v>
      </c>
    </row>
    <row r="422" spans="1:16" x14ac:dyDescent="0.3">
      <c r="A422" t="str">
        <f>Table_Demand___Community_frontsheet[[#This Row],[Name]]&amp;B422</f>
        <v>Kensington and ChelseaSocial support (including VCS)</v>
      </c>
      <c r="B422" t="str">
        <f>VLOOKUP(Table_Demand___Community_frontsheet[[#This Row],[Service Type]],PathwayLookup!E:F,2,0)</f>
        <v>Social support (including VCS)</v>
      </c>
      <c r="C422" t="s">
        <v>185</v>
      </c>
      <c r="D422" t="s">
        <v>704</v>
      </c>
      <c r="E422">
        <v>29</v>
      </c>
      <c r="F422">
        <v>29</v>
      </c>
      <c r="G422">
        <v>29</v>
      </c>
      <c r="H422">
        <v>29</v>
      </c>
      <c r="I422">
        <v>29</v>
      </c>
      <c r="J422">
        <v>29</v>
      </c>
      <c r="K422">
        <v>29</v>
      </c>
      <c r="L422">
        <v>29</v>
      </c>
      <c r="M422">
        <v>29</v>
      </c>
      <c r="N422">
        <v>29</v>
      </c>
      <c r="O422">
        <v>29</v>
      </c>
      <c r="P422">
        <v>29</v>
      </c>
    </row>
    <row r="423" spans="1:16" x14ac:dyDescent="0.3">
      <c r="A423" t="str">
        <f>Table_Demand___Community_frontsheet[[#This Row],[Name]]&amp;B423</f>
        <v>Kensington and ChelseaUrgent Community Response</v>
      </c>
      <c r="B423" t="str">
        <f>VLOOKUP(Table_Demand___Community_frontsheet[[#This Row],[Service Type]],PathwayLookup!E:F,2,0)</f>
        <v>Urgent Community Response</v>
      </c>
      <c r="C423" t="s">
        <v>185</v>
      </c>
      <c r="D423" t="s">
        <v>705</v>
      </c>
      <c r="E423">
        <v>112</v>
      </c>
      <c r="F423">
        <v>125</v>
      </c>
      <c r="G423">
        <v>119</v>
      </c>
      <c r="H423">
        <v>109</v>
      </c>
      <c r="I423">
        <v>103</v>
      </c>
      <c r="J423">
        <v>153</v>
      </c>
      <c r="K423">
        <v>120</v>
      </c>
      <c r="L423">
        <v>131</v>
      </c>
      <c r="M423">
        <v>152</v>
      </c>
      <c r="N423">
        <v>132</v>
      </c>
      <c r="O423">
        <v>127</v>
      </c>
      <c r="P423">
        <v>148</v>
      </c>
    </row>
    <row r="424" spans="1:16" x14ac:dyDescent="0.3">
      <c r="A424" t="str">
        <f>Table_Demand___Community_frontsheet[[#This Row],[Name]]&amp;B424</f>
        <v>Kensington and ChelseaReablement &amp; Rehabilitation at home</v>
      </c>
      <c r="B424" t="str">
        <f>VLOOKUP(Table_Demand___Community_frontsheet[[#This Row],[Service Type]],PathwayLookup!E:F,2,0)</f>
        <v>Reablement &amp; Rehabilitation at home</v>
      </c>
      <c r="C424" t="s">
        <v>185</v>
      </c>
      <c r="D424" t="s">
        <v>720</v>
      </c>
      <c r="E424">
        <v>45</v>
      </c>
      <c r="F424">
        <v>42</v>
      </c>
      <c r="G424">
        <v>41</v>
      </c>
      <c r="H424">
        <v>62</v>
      </c>
      <c r="I424">
        <v>54</v>
      </c>
      <c r="J424">
        <v>37</v>
      </c>
      <c r="K424">
        <v>47</v>
      </c>
      <c r="L424">
        <v>41</v>
      </c>
      <c r="M424">
        <v>43</v>
      </c>
      <c r="N424">
        <v>27</v>
      </c>
      <c r="O424">
        <v>53</v>
      </c>
      <c r="P424">
        <v>56</v>
      </c>
    </row>
    <row r="425" spans="1:16" x14ac:dyDescent="0.3">
      <c r="A425" t="str">
        <f>Table_Demand___Community_frontsheet[[#This Row],[Name]]&amp;B425</f>
        <v>Kensington and ChelseaReablement &amp; Rehabilitation at home</v>
      </c>
      <c r="B425" t="str">
        <f>VLOOKUP(Table_Demand___Community_frontsheet[[#This Row],[Service Type]],PathwayLookup!E:F,2,0)</f>
        <v>Reablement &amp; Rehabilitation at home</v>
      </c>
      <c r="C425" t="s">
        <v>185</v>
      </c>
      <c r="D425" t="s">
        <v>721</v>
      </c>
      <c r="E425">
        <v>0</v>
      </c>
      <c r="F425">
        <v>0</v>
      </c>
      <c r="G425">
        <v>0</v>
      </c>
      <c r="H425">
        <v>0</v>
      </c>
      <c r="I425">
        <v>0</v>
      </c>
      <c r="J425">
        <v>0</v>
      </c>
      <c r="K425">
        <v>0</v>
      </c>
      <c r="L425">
        <v>0</v>
      </c>
      <c r="M425">
        <v>0</v>
      </c>
      <c r="N425">
        <v>0</v>
      </c>
      <c r="O425">
        <v>0</v>
      </c>
      <c r="P425">
        <v>0</v>
      </c>
    </row>
    <row r="426" spans="1:16" x14ac:dyDescent="0.3">
      <c r="A426" t="str">
        <f>Table_Demand___Community_frontsheet[[#This Row],[Name]]&amp;B426</f>
        <v>Kensington and ChelseaReablement &amp; Rehabilitation in a bedded setting</v>
      </c>
      <c r="B426" t="str">
        <f>VLOOKUP(Table_Demand___Community_frontsheet[[#This Row],[Service Type]],PathwayLookup!E:F,2,0)</f>
        <v>Reablement &amp; Rehabilitation in a bedded setting</v>
      </c>
      <c r="C426" t="s">
        <v>185</v>
      </c>
      <c r="D426" t="s">
        <v>723</v>
      </c>
      <c r="E426">
        <v>3</v>
      </c>
      <c r="F426">
        <v>3</v>
      </c>
      <c r="G426">
        <v>3</v>
      </c>
      <c r="H426">
        <v>3</v>
      </c>
      <c r="I426">
        <v>3</v>
      </c>
      <c r="J426">
        <v>3</v>
      </c>
      <c r="K426">
        <v>3</v>
      </c>
      <c r="L426">
        <v>3</v>
      </c>
      <c r="M426">
        <v>3</v>
      </c>
      <c r="N426">
        <v>3</v>
      </c>
      <c r="O426">
        <v>3</v>
      </c>
      <c r="P426">
        <v>3</v>
      </c>
    </row>
    <row r="427" spans="1:16" x14ac:dyDescent="0.3">
      <c r="A427" t="str">
        <f>Table_Demand___Community_frontsheet[[#This Row],[Name]]&amp;B427</f>
        <v>Kensington and ChelseaReablement &amp; Rehabilitation in a bedded setting</v>
      </c>
      <c r="B427" t="str">
        <f>VLOOKUP(Table_Demand___Community_frontsheet[[#This Row],[Service Type]],PathwayLookup!E:F,2,0)</f>
        <v>Reablement &amp; Rehabilitation in a bedded setting</v>
      </c>
      <c r="C427" t="s">
        <v>185</v>
      </c>
      <c r="D427" t="s">
        <v>725</v>
      </c>
      <c r="E427">
        <v>330</v>
      </c>
      <c r="F427">
        <v>341</v>
      </c>
      <c r="G427">
        <v>330</v>
      </c>
      <c r="H427">
        <v>341</v>
      </c>
      <c r="I427">
        <v>341</v>
      </c>
      <c r="J427">
        <v>330</v>
      </c>
      <c r="K427">
        <v>341</v>
      </c>
      <c r="L427">
        <v>330</v>
      </c>
      <c r="M427">
        <v>341</v>
      </c>
      <c r="N427">
        <v>341</v>
      </c>
      <c r="O427">
        <v>308</v>
      </c>
      <c r="P427">
        <v>341</v>
      </c>
    </row>
    <row r="428" spans="1:16" x14ac:dyDescent="0.3">
      <c r="A428" t="str">
        <f>Table_Demand___Community_frontsheet[[#This Row],[Name]]&amp;B428</f>
        <v>Kensington and ChelseaOther short-term social care</v>
      </c>
      <c r="B428" t="str">
        <f>VLOOKUP(Table_Demand___Community_frontsheet[[#This Row],[Service Type]],PathwayLookup!E:F,2,0)</f>
        <v>Other short-term social care</v>
      </c>
      <c r="C428" t="s">
        <v>185</v>
      </c>
      <c r="D428" t="s">
        <v>708</v>
      </c>
      <c r="E428">
        <v>0</v>
      </c>
      <c r="F428">
        <v>0</v>
      </c>
      <c r="G428">
        <v>0</v>
      </c>
      <c r="H428">
        <v>0</v>
      </c>
      <c r="I428">
        <v>0</v>
      </c>
      <c r="J428">
        <v>0</v>
      </c>
      <c r="K428">
        <v>0</v>
      </c>
      <c r="L428">
        <v>0</v>
      </c>
      <c r="M428">
        <v>0</v>
      </c>
      <c r="N428">
        <v>0</v>
      </c>
      <c r="O428">
        <v>0</v>
      </c>
      <c r="P428">
        <v>0</v>
      </c>
    </row>
    <row r="429" spans="1:16" x14ac:dyDescent="0.3">
      <c r="A429" t="str">
        <f>Table_Demand___Community_frontsheet[[#This Row],[Name]]&amp;B429</f>
        <v>KentSocial support (including VCS)</v>
      </c>
      <c r="B429" t="str">
        <f>VLOOKUP(Table_Demand___Community_frontsheet[[#This Row],[Service Type]],PathwayLookup!E:F,2,0)</f>
        <v>Social support (including VCS)</v>
      </c>
      <c r="C429" t="s">
        <v>187</v>
      </c>
      <c r="D429" t="s">
        <v>704</v>
      </c>
    </row>
    <row r="430" spans="1:16" x14ac:dyDescent="0.3">
      <c r="A430" t="str">
        <f>Table_Demand___Community_frontsheet[[#This Row],[Name]]&amp;B430</f>
        <v>KentUrgent Community Response</v>
      </c>
      <c r="B430" t="str">
        <f>VLOOKUP(Table_Demand___Community_frontsheet[[#This Row],[Service Type]],PathwayLookup!E:F,2,0)</f>
        <v>Urgent Community Response</v>
      </c>
      <c r="C430" t="s">
        <v>187</v>
      </c>
      <c r="D430" t="s">
        <v>705</v>
      </c>
      <c r="E430">
        <v>815</v>
      </c>
      <c r="F430">
        <v>880</v>
      </c>
      <c r="G430">
        <v>850</v>
      </c>
      <c r="H430">
        <v>850</v>
      </c>
      <c r="I430">
        <v>850</v>
      </c>
      <c r="J430">
        <v>850</v>
      </c>
      <c r="K430">
        <v>850</v>
      </c>
      <c r="L430">
        <v>850</v>
      </c>
      <c r="M430">
        <v>850</v>
      </c>
      <c r="N430">
        <v>850</v>
      </c>
      <c r="O430">
        <v>850</v>
      </c>
      <c r="P430">
        <v>850</v>
      </c>
    </row>
    <row r="431" spans="1:16" x14ac:dyDescent="0.3">
      <c r="A431" t="str">
        <f>Table_Demand___Community_frontsheet[[#This Row],[Name]]&amp;B431</f>
        <v>KentReablement &amp; Rehabilitation at home</v>
      </c>
      <c r="B431" t="str">
        <f>VLOOKUP(Table_Demand___Community_frontsheet[[#This Row],[Service Type]],PathwayLookup!E:F,2,0)</f>
        <v>Reablement &amp; Rehabilitation at home</v>
      </c>
      <c r="C431" t="s">
        <v>187</v>
      </c>
      <c r="D431" t="s">
        <v>720</v>
      </c>
      <c r="E431">
        <v>226</v>
      </c>
      <c r="F431">
        <v>256</v>
      </c>
      <c r="G431">
        <v>328</v>
      </c>
      <c r="H431">
        <v>342</v>
      </c>
      <c r="I431">
        <v>381</v>
      </c>
      <c r="J431">
        <v>369</v>
      </c>
      <c r="K431">
        <v>337</v>
      </c>
      <c r="L431">
        <v>308</v>
      </c>
      <c r="M431">
        <v>311</v>
      </c>
      <c r="N431">
        <v>369</v>
      </c>
      <c r="O431">
        <v>362</v>
      </c>
      <c r="P431">
        <v>361</v>
      </c>
    </row>
    <row r="432" spans="1:16" x14ac:dyDescent="0.3">
      <c r="A432" t="str">
        <f>Table_Demand___Community_frontsheet[[#This Row],[Name]]&amp;B432</f>
        <v>KentReablement &amp; Rehabilitation at home</v>
      </c>
      <c r="B432" t="str">
        <f>VLOOKUP(Table_Demand___Community_frontsheet[[#This Row],[Service Type]],PathwayLookup!E:F,2,0)</f>
        <v>Reablement &amp; Rehabilitation at home</v>
      </c>
      <c r="C432" t="s">
        <v>187</v>
      </c>
      <c r="D432" t="s">
        <v>721</v>
      </c>
      <c r="E432">
        <v>1641</v>
      </c>
      <c r="F432">
        <v>1750</v>
      </c>
      <c r="G432">
        <v>1775</v>
      </c>
      <c r="H432">
        <v>1722</v>
      </c>
      <c r="I432">
        <v>1722</v>
      </c>
      <c r="J432">
        <v>1722</v>
      </c>
      <c r="K432">
        <v>1722</v>
      </c>
      <c r="L432">
        <v>1722</v>
      </c>
      <c r="M432">
        <v>1722</v>
      </c>
      <c r="N432">
        <v>1722</v>
      </c>
      <c r="O432">
        <v>1722</v>
      </c>
      <c r="P432">
        <v>1722</v>
      </c>
    </row>
    <row r="433" spans="1:16" x14ac:dyDescent="0.3">
      <c r="A433" t="str">
        <f>Table_Demand___Community_frontsheet[[#This Row],[Name]]&amp;B433</f>
        <v>KentReablement &amp; Rehabilitation in a bedded setting</v>
      </c>
      <c r="B433" t="str">
        <f>VLOOKUP(Table_Demand___Community_frontsheet[[#This Row],[Service Type]],PathwayLookup!E:F,2,0)</f>
        <v>Reablement &amp; Rehabilitation in a bedded setting</v>
      </c>
      <c r="C433" t="s">
        <v>187</v>
      </c>
      <c r="D433" t="s">
        <v>723</v>
      </c>
    </row>
    <row r="434" spans="1:16" x14ac:dyDescent="0.3">
      <c r="A434" t="str">
        <f>Table_Demand___Community_frontsheet[[#This Row],[Name]]&amp;B434</f>
        <v>KentReablement &amp; Rehabilitation in a bedded setting</v>
      </c>
      <c r="B434" t="str">
        <f>VLOOKUP(Table_Demand___Community_frontsheet[[#This Row],[Service Type]],PathwayLookup!E:F,2,0)</f>
        <v>Reablement &amp; Rehabilitation in a bedded setting</v>
      </c>
      <c r="C434" t="s">
        <v>187</v>
      </c>
      <c r="D434" t="s">
        <v>725</v>
      </c>
      <c r="E434">
        <v>18</v>
      </c>
      <c r="F434">
        <v>18</v>
      </c>
      <c r="G434">
        <v>19</v>
      </c>
      <c r="H434">
        <v>19</v>
      </c>
      <c r="I434">
        <v>19</v>
      </c>
      <c r="J434">
        <v>19</v>
      </c>
      <c r="K434">
        <v>18</v>
      </c>
      <c r="L434">
        <v>18</v>
      </c>
      <c r="M434">
        <v>18</v>
      </c>
      <c r="N434">
        <v>20</v>
      </c>
      <c r="O434">
        <v>20</v>
      </c>
      <c r="P434">
        <v>18</v>
      </c>
    </row>
    <row r="435" spans="1:16" x14ac:dyDescent="0.3">
      <c r="A435" t="str">
        <f>Table_Demand___Community_frontsheet[[#This Row],[Name]]&amp;B435</f>
        <v>KentOther short-term social care</v>
      </c>
      <c r="B435" t="str">
        <f>VLOOKUP(Table_Demand___Community_frontsheet[[#This Row],[Service Type]],PathwayLookup!E:F,2,0)</f>
        <v>Other short-term social care</v>
      </c>
      <c r="C435" t="s">
        <v>187</v>
      </c>
      <c r="D435" t="s">
        <v>708</v>
      </c>
    </row>
    <row r="436" spans="1:16" x14ac:dyDescent="0.3">
      <c r="A436" t="str">
        <f>Table_Demand___Community_frontsheet[[#This Row],[Name]]&amp;B436</f>
        <v>Kingston upon Hull, City ofSocial support (including VCS)</v>
      </c>
      <c r="B436" t="str">
        <f>VLOOKUP(Table_Demand___Community_frontsheet[[#This Row],[Service Type]],PathwayLookup!E:F,2,0)</f>
        <v>Social support (including VCS)</v>
      </c>
      <c r="C436" t="s">
        <v>189</v>
      </c>
      <c r="D436" t="s">
        <v>704</v>
      </c>
      <c r="E436">
        <v>651</v>
      </c>
      <c r="F436">
        <v>673</v>
      </c>
      <c r="G436">
        <v>651</v>
      </c>
      <c r="H436">
        <v>673</v>
      </c>
      <c r="I436">
        <v>673</v>
      </c>
      <c r="J436">
        <v>651</v>
      </c>
      <c r="K436">
        <v>673</v>
      </c>
      <c r="L436">
        <v>651</v>
      </c>
      <c r="M436">
        <v>673</v>
      </c>
      <c r="N436">
        <v>673</v>
      </c>
      <c r="O436">
        <v>608</v>
      </c>
      <c r="P436">
        <v>673</v>
      </c>
    </row>
    <row r="437" spans="1:16" x14ac:dyDescent="0.3">
      <c r="A437" t="str">
        <f>Table_Demand___Community_frontsheet[[#This Row],[Name]]&amp;B437</f>
        <v>Kingston upon Hull, City ofUrgent Community Response</v>
      </c>
      <c r="B437" t="str">
        <f>VLOOKUP(Table_Demand___Community_frontsheet[[#This Row],[Service Type]],PathwayLookup!E:F,2,0)</f>
        <v>Urgent Community Response</v>
      </c>
      <c r="C437" t="s">
        <v>189</v>
      </c>
      <c r="D437" t="s">
        <v>705</v>
      </c>
      <c r="E437">
        <v>134</v>
      </c>
      <c r="F437">
        <v>134</v>
      </c>
      <c r="G437">
        <v>134</v>
      </c>
      <c r="H437">
        <v>134</v>
      </c>
      <c r="I437">
        <v>134</v>
      </c>
      <c r="J437">
        <v>134</v>
      </c>
      <c r="K437">
        <v>134</v>
      </c>
      <c r="L437">
        <v>134</v>
      </c>
      <c r="M437">
        <v>134</v>
      </c>
      <c r="N437">
        <v>134</v>
      </c>
      <c r="O437">
        <v>134</v>
      </c>
      <c r="P437">
        <v>134</v>
      </c>
    </row>
    <row r="438" spans="1:16" x14ac:dyDescent="0.3">
      <c r="A438" t="str">
        <f>Table_Demand___Community_frontsheet[[#This Row],[Name]]&amp;B438</f>
        <v>Kingston upon Hull, City ofReablement &amp; Rehabilitation at home</v>
      </c>
      <c r="B438" t="str">
        <f>VLOOKUP(Table_Demand___Community_frontsheet[[#This Row],[Service Type]],PathwayLookup!E:F,2,0)</f>
        <v>Reablement &amp; Rehabilitation at home</v>
      </c>
      <c r="C438" t="s">
        <v>189</v>
      </c>
      <c r="D438" t="s">
        <v>720</v>
      </c>
    </row>
    <row r="439" spans="1:16" x14ac:dyDescent="0.3">
      <c r="A439" t="str">
        <f>Table_Demand___Community_frontsheet[[#This Row],[Name]]&amp;B439</f>
        <v>Kingston upon Hull, City ofReablement &amp; Rehabilitation at home</v>
      </c>
      <c r="B439" t="str">
        <f>VLOOKUP(Table_Demand___Community_frontsheet[[#This Row],[Service Type]],PathwayLookup!E:F,2,0)</f>
        <v>Reablement &amp; Rehabilitation at home</v>
      </c>
      <c r="C439" t="s">
        <v>189</v>
      </c>
      <c r="D439" t="s">
        <v>721</v>
      </c>
      <c r="E439">
        <v>233</v>
      </c>
      <c r="F439">
        <v>233</v>
      </c>
      <c r="G439">
        <v>233</v>
      </c>
      <c r="H439">
        <v>233</v>
      </c>
      <c r="I439">
        <v>233</v>
      </c>
      <c r="J439">
        <v>233</v>
      </c>
      <c r="K439">
        <v>233</v>
      </c>
      <c r="L439">
        <v>233</v>
      </c>
      <c r="M439">
        <v>233</v>
      </c>
      <c r="N439">
        <v>233</v>
      </c>
      <c r="O439">
        <v>233</v>
      </c>
      <c r="P439">
        <v>233</v>
      </c>
    </row>
    <row r="440" spans="1:16" x14ac:dyDescent="0.3">
      <c r="A440" t="str">
        <f>Table_Demand___Community_frontsheet[[#This Row],[Name]]&amp;B440</f>
        <v>Kingston upon Hull, City ofReablement &amp; Rehabilitation in a bedded setting</v>
      </c>
      <c r="B440" t="str">
        <f>VLOOKUP(Table_Demand___Community_frontsheet[[#This Row],[Service Type]],PathwayLookup!E:F,2,0)</f>
        <v>Reablement &amp; Rehabilitation in a bedded setting</v>
      </c>
      <c r="C440" t="s">
        <v>189</v>
      </c>
      <c r="D440" t="s">
        <v>723</v>
      </c>
    </row>
    <row r="441" spans="1:16" x14ac:dyDescent="0.3">
      <c r="A441" t="str">
        <f>Table_Demand___Community_frontsheet[[#This Row],[Name]]&amp;B441</f>
        <v>Kingston upon Hull, City ofReablement &amp; Rehabilitation in a bedded setting</v>
      </c>
      <c r="B441" t="str">
        <f>VLOOKUP(Table_Demand___Community_frontsheet[[#This Row],[Service Type]],PathwayLookup!E:F,2,0)</f>
        <v>Reablement &amp; Rehabilitation in a bedded setting</v>
      </c>
      <c r="C441" t="s">
        <v>189</v>
      </c>
      <c r="D441" t="s">
        <v>725</v>
      </c>
      <c r="E441">
        <v>94</v>
      </c>
      <c r="F441">
        <v>94</v>
      </c>
      <c r="G441">
        <v>94</v>
      </c>
      <c r="H441">
        <v>94</v>
      </c>
      <c r="I441">
        <v>94</v>
      </c>
      <c r="J441">
        <v>94</v>
      </c>
      <c r="K441">
        <v>94</v>
      </c>
      <c r="L441">
        <v>94</v>
      </c>
      <c r="M441">
        <v>94</v>
      </c>
      <c r="N441">
        <v>94</v>
      </c>
      <c r="O441">
        <v>94</v>
      </c>
      <c r="P441">
        <v>94</v>
      </c>
    </row>
    <row r="442" spans="1:16" x14ac:dyDescent="0.3">
      <c r="A442" t="str">
        <f>Table_Demand___Community_frontsheet[[#This Row],[Name]]&amp;B442</f>
        <v>Kingston upon Hull, City ofOther short-term social care</v>
      </c>
      <c r="B442" t="str">
        <f>VLOOKUP(Table_Demand___Community_frontsheet[[#This Row],[Service Type]],PathwayLookup!E:F,2,0)</f>
        <v>Other short-term social care</v>
      </c>
      <c r="C442" t="s">
        <v>189</v>
      </c>
      <c r="D442" t="s">
        <v>708</v>
      </c>
    </row>
    <row r="443" spans="1:16" x14ac:dyDescent="0.3">
      <c r="A443" t="str">
        <f>Table_Demand___Community_frontsheet[[#This Row],[Name]]&amp;B443</f>
        <v>Kingston upon ThamesSocial support (including VCS)</v>
      </c>
      <c r="B443" t="str">
        <f>VLOOKUP(Table_Demand___Community_frontsheet[[#This Row],[Service Type]],PathwayLookup!E:F,2,0)</f>
        <v>Social support (including VCS)</v>
      </c>
      <c r="C443" t="s">
        <v>191</v>
      </c>
      <c r="D443" t="s">
        <v>704</v>
      </c>
      <c r="E443">
        <v>111</v>
      </c>
      <c r="F443">
        <v>111</v>
      </c>
      <c r="G443">
        <v>111</v>
      </c>
      <c r="H443">
        <v>111</v>
      </c>
      <c r="I443">
        <v>111</v>
      </c>
      <c r="J443">
        <v>111</v>
      </c>
      <c r="K443">
        <v>111</v>
      </c>
      <c r="L443">
        <v>111</v>
      </c>
      <c r="M443">
        <v>111</v>
      </c>
      <c r="N443">
        <v>111</v>
      </c>
      <c r="O443">
        <v>111</v>
      </c>
      <c r="P443">
        <v>111</v>
      </c>
    </row>
    <row r="444" spans="1:16" x14ac:dyDescent="0.3">
      <c r="A444" t="str">
        <f>Table_Demand___Community_frontsheet[[#This Row],[Name]]&amp;B444</f>
        <v>Kingston upon ThamesUrgent Community Response</v>
      </c>
      <c r="B444" t="str">
        <f>VLOOKUP(Table_Demand___Community_frontsheet[[#This Row],[Service Type]],PathwayLookup!E:F,2,0)</f>
        <v>Urgent Community Response</v>
      </c>
      <c r="C444" t="s">
        <v>191</v>
      </c>
      <c r="D444" t="s">
        <v>705</v>
      </c>
      <c r="E444">
        <v>360</v>
      </c>
      <c r="F444">
        <v>360</v>
      </c>
      <c r="G444">
        <v>360</v>
      </c>
      <c r="H444">
        <v>360</v>
      </c>
      <c r="I444">
        <v>360</v>
      </c>
      <c r="J444">
        <v>360</v>
      </c>
      <c r="K444">
        <v>360</v>
      </c>
      <c r="L444">
        <v>360</v>
      </c>
      <c r="M444">
        <v>360</v>
      </c>
      <c r="N444">
        <v>360</v>
      </c>
      <c r="O444">
        <v>360</v>
      </c>
      <c r="P444">
        <v>360</v>
      </c>
    </row>
    <row r="445" spans="1:16" x14ac:dyDescent="0.3">
      <c r="A445" t="str">
        <f>Table_Demand___Community_frontsheet[[#This Row],[Name]]&amp;B445</f>
        <v>Kingston upon ThamesReablement &amp; Rehabilitation at home</v>
      </c>
      <c r="B445" t="str">
        <f>VLOOKUP(Table_Demand___Community_frontsheet[[#This Row],[Service Type]],PathwayLookup!E:F,2,0)</f>
        <v>Reablement &amp; Rehabilitation at home</v>
      </c>
      <c r="C445" t="s">
        <v>191</v>
      </c>
      <c r="D445" t="s">
        <v>720</v>
      </c>
      <c r="E445">
        <v>11</v>
      </c>
      <c r="F445">
        <v>11</v>
      </c>
      <c r="G445">
        <v>11</v>
      </c>
      <c r="H445">
        <v>11</v>
      </c>
      <c r="I445">
        <v>11</v>
      </c>
      <c r="J445">
        <v>11</v>
      </c>
      <c r="K445">
        <v>11</v>
      </c>
      <c r="L445">
        <v>11</v>
      </c>
      <c r="M445">
        <v>11</v>
      </c>
      <c r="N445">
        <v>11</v>
      </c>
      <c r="O445">
        <v>11</v>
      </c>
      <c r="P445">
        <v>11</v>
      </c>
    </row>
    <row r="446" spans="1:16" x14ac:dyDescent="0.3">
      <c r="A446" t="str">
        <f>Table_Demand___Community_frontsheet[[#This Row],[Name]]&amp;B446</f>
        <v>Kingston upon ThamesReablement &amp; Rehabilitation at home</v>
      </c>
      <c r="B446" t="str">
        <f>VLOOKUP(Table_Demand___Community_frontsheet[[#This Row],[Service Type]],PathwayLookup!E:F,2,0)</f>
        <v>Reablement &amp; Rehabilitation at home</v>
      </c>
      <c r="C446" t="s">
        <v>191</v>
      </c>
      <c r="D446" t="s">
        <v>721</v>
      </c>
      <c r="E446">
        <v>3</v>
      </c>
      <c r="F446">
        <v>3</v>
      </c>
      <c r="G446">
        <v>3</v>
      </c>
      <c r="H446">
        <v>3</v>
      </c>
      <c r="I446">
        <v>3</v>
      </c>
      <c r="J446">
        <v>3</v>
      </c>
      <c r="K446">
        <v>3</v>
      </c>
      <c r="L446">
        <v>3</v>
      </c>
      <c r="M446">
        <v>3</v>
      </c>
      <c r="N446">
        <v>3</v>
      </c>
      <c r="O446">
        <v>3</v>
      </c>
      <c r="P446">
        <v>3</v>
      </c>
    </row>
    <row r="447" spans="1:16" x14ac:dyDescent="0.3">
      <c r="A447" t="str">
        <f>Table_Demand___Community_frontsheet[[#This Row],[Name]]&amp;B447</f>
        <v>Kingston upon ThamesReablement &amp; Rehabilitation in a bedded setting</v>
      </c>
      <c r="B447" t="str">
        <f>VLOOKUP(Table_Demand___Community_frontsheet[[#This Row],[Service Type]],PathwayLookup!E:F,2,0)</f>
        <v>Reablement &amp; Rehabilitation in a bedded setting</v>
      </c>
      <c r="C447" t="s">
        <v>191</v>
      </c>
      <c r="D447" t="s">
        <v>723</v>
      </c>
      <c r="E447">
        <v>0</v>
      </c>
      <c r="F447">
        <v>0</v>
      </c>
      <c r="G447">
        <v>0</v>
      </c>
      <c r="H447">
        <v>0</v>
      </c>
      <c r="I447">
        <v>0</v>
      </c>
      <c r="J447">
        <v>0</v>
      </c>
      <c r="K447">
        <v>0</v>
      </c>
      <c r="L447">
        <v>0</v>
      </c>
      <c r="M447">
        <v>0</v>
      </c>
      <c r="N447">
        <v>0</v>
      </c>
      <c r="O447">
        <v>0</v>
      </c>
      <c r="P447">
        <v>0</v>
      </c>
    </row>
    <row r="448" spans="1:16" x14ac:dyDescent="0.3">
      <c r="A448" t="str">
        <f>Table_Demand___Community_frontsheet[[#This Row],[Name]]&amp;B448</f>
        <v>Kingston upon ThamesReablement &amp; Rehabilitation in a bedded setting</v>
      </c>
      <c r="B448" t="str">
        <f>VLOOKUP(Table_Demand___Community_frontsheet[[#This Row],[Service Type]],PathwayLookup!E:F,2,0)</f>
        <v>Reablement &amp; Rehabilitation in a bedded setting</v>
      </c>
      <c r="C448" t="s">
        <v>191</v>
      </c>
      <c r="D448" t="s">
        <v>725</v>
      </c>
      <c r="E448">
        <v>8</v>
      </c>
      <c r="F448">
        <v>8</v>
      </c>
      <c r="G448">
        <v>8</v>
      </c>
      <c r="H448">
        <v>8</v>
      </c>
      <c r="I448">
        <v>8</v>
      </c>
      <c r="J448">
        <v>8</v>
      </c>
      <c r="K448">
        <v>8</v>
      </c>
      <c r="L448">
        <v>8</v>
      </c>
      <c r="M448">
        <v>8</v>
      </c>
      <c r="N448">
        <v>8</v>
      </c>
      <c r="O448">
        <v>8</v>
      </c>
      <c r="P448">
        <v>8</v>
      </c>
    </row>
    <row r="449" spans="1:16" x14ac:dyDescent="0.3">
      <c r="A449" t="str">
        <f>Table_Demand___Community_frontsheet[[#This Row],[Name]]&amp;B449</f>
        <v>Kingston upon ThamesOther short-term social care</v>
      </c>
      <c r="B449" t="str">
        <f>VLOOKUP(Table_Demand___Community_frontsheet[[#This Row],[Service Type]],PathwayLookup!E:F,2,0)</f>
        <v>Other short-term social care</v>
      </c>
      <c r="C449" t="s">
        <v>191</v>
      </c>
      <c r="D449" t="s">
        <v>708</v>
      </c>
      <c r="E449">
        <v>0</v>
      </c>
      <c r="F449">
        <v>0</v>
      </c>
      <c r="G449">
        <v>0</v>
      </c>
      <c r="H449">
        <v>0</v>
      </c>
      <c r="I449">
        <v>0</v>
      </c>
      <c r="J449">
        <v>0</v>
      </c>
      <c r="K449">
        <v>0</v>
      </c>
      <c r="L449">
        <v>0</v>
      </c>
      <c r="M449">
        <v>0</v>
      </c>
      <c r="N449">
        <v>0</v>
      </c>
      <c r="O449">
        <v>0</v>
      </c>
      <c r="P449">
        <v>0</v>
      </c>
    </row>
    <row r="450" spans="1:16" x14ac:dyDescent="0.3">
      <c r="A450" t="str">
        <f>Table_Demand___Community_frontsheet[[#This Row],[Name]]&amp;B450</f>
        <v>KirkleesSocial support (including VCS)</v>
      </c>
      <c r="B450" t="str">
        <f>VLOOKUP(Table_Demand___Community_frontsheet[[#This Row],[Service Type]],PathwayLookup!E:F,2,0)</f>
        <v>Social support (including VCS)</v>
      </c>
      <c r="C450" t="s">
        <v>193</v>
      </c>
      <c r="D450" t="s">
        <v>704</v>
      </c>
      <c r="E450">
        <v>64</v>
      </c>
      <c r="F450">
        <v>69</v>
      </c>
      <c r="G450">
        <v>63</v>
      </c>
      <c r="H450">
        <v>72</v>
      </c>
      <c r="I450">
        <v>70</v>
      </c>
      <c r="J450">
        <v>62</v>
      </c>
      <c r="K450">
        <v>65</v>
      </c>
      <c r="L450">
        <v>69</v>
      </c>
      <c r="M450">
        <v>72</v>
      </c>
      <c r="N450">
        <v>77</v>
      </c>
      <c r="O450">
        <v>70</v>
      </c>
      <c r="P450">
        <v>81</v>
      </c>
    </row>
    <row r="451" spans="1:16" x14ac:dyDescent="0.3">
      <c r="A451" t="str">
        <f>Table_Demand___Community_frontsheet[[#This Row],[Name]]&amp;B451</f>
        <v>KirkleesUrgent Community Response</v>
      </c>
      <c r="B451" t="str">
        <f>VLOOKUP(Table_Demand___Community_frontsheet[[#This Row],[Service Type]],PathwayLookup!E:F,2,0)</f>
        <v>Urgent Community Response</v>
      </c>
      <c r="C451" t="s">
        <v>193</v>
      </c>
      <c r="D451" t="s">
        <v>705</v>
      </c>
      <c r="E451">
        <v>72</v>
      </c>
      <c r="F451">
        <v>77</v>
      </c>
      <c r="G451">
        <v>71</v>
      </c>
      <c r="H451">
        <v>81</v>
      </c>
      <c r="I451">
        <v>79</v>
      </c>
      <c r="J451">
        <v>70</v>
      </c>
      <c r="K451">
        <v>73</v>
      </c>
      <c r="L451">
        <v>78</v>
      </c>
      <c r="M451">
        <v>81</v>
      </c>
      <c r="N451">
        <v>86</v>
      </c>
      <c r="O451">
        <v>79</v>
      </c>
      <c r="P451">
        <v>91</v>
      </c>
    </row>
    <row r="452" spans="1:16" x14ac:dyDescent="0.3">
      <c r="A452" t="str">
        <f>Table_Demand___Community_frontsheet[[#This Row],[Name]]&amp;B452</f>
        <v>KirkleesReablement &amp; Rehabilitation at home</v>
      </c>
      <c r="B452" t="str">
        <f>VLOOKUP(Table_Demand___Community_frontsheet[[#This Row],[Service Type]],PathwayLookup!E:F,2,0)</f>
        <v>Reablement &amp; Rehabilitation at home</v>
      </c>
      <c r="C452" t="s">
        <v>193</v>
      </c>
      <c r="D452" t="s">
        <v>720</v>
      </c>
      <c r="E452">
        <v>60</v>
      </c>
      <c r="F452">
        <v>64</v>
      </c>
      <c r="G452">
        <v>59</v>
      </c>
      <c r="H452">
        <v>67</v>
      </c>
      <c r="I452">
        <v>66</v>
      </c>
      <c r="J452">
        <v>58</v>
      </c>
      <c r="K452">
        <v>61</v>
      </c>
      <c r="L452">
        <v>65</v>
      </c>
      <c r="M452">
        <v>67</v>
      </c>
      <c r="N452">
        <v>72</v>
      </c>
      <c r="O452">
        <v>66</v>
      </c>
      <c r="P452">
        <v>76</v>
      </c>
    </row>
    <row r="453" spans="1:16" x14ac:dyDescent="0.3">
      <c r="A453" t="str">
        <f>Table_Demand___Community_frontsheet[[#This Row],[Name]]&amp;B453</f>
        <v>KirkleesReablement &amp; Rehabilitation at home</v>
      </c>
      <c r="B453" t="str">
        <f>VLOOKUP(Table_Demand___Community_frontsheet[[#This Row],[Service Type]],PathwayLookup!E:F,2,0)</f>
        <v>Reablement &amp; Rehabilitation at home</v>
      </c>
      <c r="C453" t="s">
        <v>193</v>
      </c>
      <c r="D453" t="s">
        <v>721</v>
      </c>
      <c r="E453">
        <v>8</v>
      </c>
      <c r="F453">
        <v>9</v>
      </c>
      <c r="G453">
        <v>8</v>
      </c>
      <c r="H453">
        <v>9</v>
      </c>
      <c r="I453">
        <v>9</v>
      </c>
      <c r="J453">
        <v>8</v>
      </c>
      <c r="K453">
        <v>8</v>
      </c>
      <c r="L453">
        <v>9</v>
      </c>
      <c r="M453">
        <v>9</v>
      </c>
      <c r="N453">
        <v>10</v>
      </c>
      <c r="O453">
        <v>9</v>
      </c>
      <c r="P453">
        <v>10</v>
      </c>
    </row>
    <row r="454" spans="1:16" x14ac:dyDescent="0.3">
      <c r="A454" t="str">
        <f>Table_Demand___Community_frontsheet[[#This Row],[Name]]&amp;B454</f>
        <v>KirkleesReablement &amp; Rehabilitation in a bedded setting</v>
      </c>
      <c r="B454" t="str">
        <f>VLOOKUP(Table_Demand___Community_frontsheet[[#This Row],[Service Type]],PathwayLookup!E:F,2,0)</f>
        <v>Reablement &amp; Rehabilitation in a bedded setting</v>
      </c>
      <c r="C454" t="s">
        <v>193</v>
      </c>
      <c r="D454" t="s">
        <v>723</v>
      </c>
      <c r="E454">
        <v>0</v>
      </c>
      <c r="F454">
        <v>0</v>
      </c>
      <c r="G454">
        <v>0</v>
      </c>
      <c r="H454">
        <v>0</v>
      </c>
      <c r="I454">
        <v>0</v>
      </c>
      <c r="J454">
        <v>0</v>
      </c>
      <c r="K454">
        <v>0</v>
      </c>
      <c r="L454">
        <v>0</v>
      </c>
      <c r="M454">
        <v>0</v>
      </c>
      <c r="N454">
        <v>0</v>
      </c>
      <c r="O454">
        <v>0</v>
      </c>
      <c r="P454">
        <v>0</v>
      </c>
    </row>
    <row r="455" spans="1:16" x14ac:dyDescent="0.3">
      <c r="A455" t="str">
        <f>Table_Demand___Community_frontsheet[[#This Row],[Name]]&amp;B455</f>
        <v>KirkleesReablement &amp; Rehabilitation in a bedded setting</v>
      </c>
      <c r="B455" t="str">
        <f>VLOOKUP(Table_Demand___Community_frontsheet[[#This Row],[Service Type]],PathwayLookup!E:F,2,0)</f>
        <v>Reablement &amp; Rehabilitation in a bedded setting</v>
      </c>
      <c r="C455" t="s">
        <v>193</v>
      </c>
      <c r="D455" t="s">
        <v>725</v>
      </c>
      <c r="E455">
        <v>31</v>
      </c>
      <c r="F455">
        <v>33</v>
      </c>
      <c r="G455">
        <v>31</v>
      </c>
      <c r="H455">
        <v>35</v>
      </c>
      <c r="I455">
        <v>34</v>
      </c>
      <c r="J455">
        <v>30</v>
      </c>
      <c r="K455">
        <v>31</v>
      </c>
      <c r="L455">
        <v>34</v>
      </c>
      <c r="M455">
        <v>35</v>
      </c>
      <c r="N455">
        <v>37</v>
      </c>
      <c r="O455">
        <v>34</v>
      </c>
      <c r="P455">
        <v>39</v>
      </c>
    </row>
    <row r="456" spans="1:16" x14ac:dyDescent="0.3">
      <c r="A456" t="str">
        <f>Table_Demand___Community_frontsheet[[#This Row],[Name]]&amp;B456</f>
        <v>KirkleesOther short-term social care</v>
      </c>
      <c r="B456" t="str">
        <f>VLOOKUP(Table_Demand___Community_frontsheet[[#This Row],[Service Type]],PathwayLookup!E:F,2,0)</f>
        <v>Other short-term social care</v>
      </c>
      <c r="C456" t="s">
        <v>193</v>
      </c>
      <c r="D456" t="s">
        <v>708</v>
      </c>
      <c r="E456">
        <v>0</v>
      </c>
      <c r="F456">
        <v>0</v>
      </c>
      <c r="G456">
        <v>0</v>
      </c>
      <c r="H456">
        <v>0</v>
      </c>
      <c r="I456">
        <v>0</v>
      </c>
      <c r="J456">
        <v>0</v>
      </c>
      <c r="K456">
        <v>0</v>
      </c>
      <c r="L456">
        <v>0</v>
      </c>
      <c r="M456">
        <v>0</v>
      </c>
      <c r="N456">
        <v>0</v>
      </c>
      <c r="O456">
        <v>0</v>
      </c>
      <c r="P456">
        <v>0</v>
      </c>
    </row>
    <row r="457" spans="1:16" x14ac:dyDescent="0.3">
      <c r="A457" t="str">
        <f>Table_Demand___Community_frontsheet[[#This Row],[Name]]&amp;B457</f>
        <v>KnowsleySocial support (including VCS)</v>
      </c>
      <c r="B457" t="str">
        <f>VLOOKUP(Table_Demand___Community_frontsheet[[#This Row],[Service Type]],PathwayLookup!E:F,2,0)</f>
        <v>Social support (including VCS)</v>
      </c>
      <c r="C457" t="s">
        <v>195</v>
      </c>
      <c r="D457" t="s">
        <v>704</v>
      </c>
      <c r="E457">
        <v>0</v>
      </c>
      <c r="F457">
        <v>0</v>
      </c>
      <c r="G457">
        <v>0</v>
      </c>
      <c r="H457">
        <v>0</v>
      </c>
      <c r="I457">
        <v>0</v>
      </c>
      <c r="J457">
        <v>0</v>
      </c>
      <c r="K457">
        <v>0</v>
      </c>
      <c r="L457">
        <v>0</v>
      </c>
      <c r="M457">
        <v>0</v>
      </c>
      <c r="N457">
        <v>0</v>
      </c>
      <c r="O457">
        <v>0</v>
      </c>
      <c r="P457">
        <v>0</v>
      </c>
    </row>
    <row r="458" spans="1:16" x14ac:dyDescent="0.3">
      <c r="A458" t="str">
        <f>Table_Demand___Community_frontsheet[[#This Row],[Name]]&amp;B458</f>
        <v>KnowsleyUrgent Community Response</v>
      </c>
      <c r="B458" t="str">
        <f>VLOOKUP(Table_Demand___Community_frontsheet[[#This Row],[Service Type]],PathwayLookup!E:F,2,0)</f>
        <v>Urgent Community Response</v>
      </c>
      <c r="C458" t="s">
        <v>195</v>
      </c>
      <c r="D458" t="s">
        <v>705</v>
      </c>
      <c r="E458">
        <v>58</v>
      </c>
      <c r="F458">
        <v>58</v>
      </c>
      <c r="G458">
        <v>58</v>
      </c>
      <c r="H458">
        <v>58</v>
      </c>
      <c r="I458">
        <v>58</v>
      </c>
      <c r="J458">
        <v>58</v>
      </c>
      <c r="K458">
        <v>58</v>
      </c>
      <c r="L458">
        <v>58</v>
      </c>
      <c r="M458">
        <v>58</v>
      </c>
      <c r="N458">
        <v>58</v>
      </c>
      <c r="O458">
        <v>58</v>
      </c>
      <c r="P458">
        <v>58</v>
      </c>
    </row>
    <row r="459" spans="1:16" x14ac:dyDescent="0.3">
      <c r="A459" t="str">
        <f>Table_Demand___Community_frontsheet[[#This Row],[Name]]&amp;B459</f>
        <v>KnowsleyReablement &amp; Rehabilitation at home</v>
      </c>
      <c r="B459" t="str">
        <f>VLOOKUP(Table_Demand___Community_frontsheet[[#This Row],[Service Type]],PathwayLookup!E:F,2,0)</f>
        <v>Reablement &amp; Rehabilitation at home</v>
      </c>
      <c r="C459" t="s">
        <v>195</v>
      </c>
      <c r="D459" t="s">
        <v>720</v>
      </c>
      <c r="E459">
        <v>0</v>
      </c>
      <c r="F459">
        <v>0</v>
      </c>
      <c r="G459">
        <v>0</v>
      </c>
      <c r="H459">
        <v>0</v>
      </c>
      <c r="I459">
        <v>0</v>
      </c>
      <c r="J459">
        <v>0</v>
      </c>
      <c r="K459">
        <v>0</v>
      </c>
      <c r="L459">
        <v>0</v>
      </c>
      <c r="M459">
        <v>0</v>
      </c>
      <c r="N459">
        <v>0</v>
      </c>
      <c r="O459">
        <v>0</v>
      </c>
      <c r="P459">
        <v>0</v>
      </c>
    </row>
    <row r="460" spans="1:16" x14ac:dyDescent="0.3">
      <c r="A460" t="str">
        <f>Table_Demand___Community_frontsheet[[#This Row],[Name]]&amp;B460</f>
        <v>KnowsleyReablement &amp; Rehabilitation at home</v>
      </c>
      <c r="B460" t="str">
        <f>VLOOKUP(Table_Demand___Community_frontsheet[[#This Row],[Service Type]],PathwayLookup!E:F,2,0)</f>
        <v>Reablement &amp; Rehabilitation at home</v>
      </c>
      <c r="C460" t="s">
        <v>195</v>
      </c>
      <c r="D460" t="s">
        <v>721</v>
      </c>
      <c r="E460">
        <v>0</v>
      </c>
      <c r="F460">
        <v>0</v>
      </c>
      <c r="G460">
        <v>0</v>
      </c>
      <c r="H460">
        <v>0</v>
      </c>
      <c r="I460">
        <v>0</v>
      </c>
      <c r="J460">
        <v>0</v>
      </c>
      <c r="K460">
        <v>0</v>
      </c>
      <c r="L460">
        <v>0</v>
      </c>
      <c r="M460">
        <v>0</v>
      </c>
      <c r="N460">
        <v>0</v>
      </c>
      <c r="O460">
        <v>0</v>
      </c>
      <c r="P460">
        <v>0</v>
      </c>
    </row>
    <row r="461" spans="1:16" x14ac:dyDescent="0.3">
      <c r="A461" t="str">
        <f>Table_Demand___Community_frontsheet[[#This Row],[Name]]&amp;B461</f>
        <v>KnowsleyReablement &amp; Rehabilitation in a bedded setting</v>
      </c>
      <c r="B461" t="str">
        <f>VLOOKUP(Table_Demand___Community_frontsheet[[#This Row],[Service Type]],PathwayLookup!E:F,2,0)</f>
        <v>Reablement &amp; Rehabilitation in a bedded setting</v>
      </c>
      <c r="C461" t="s">
        <v>195</v>
      </c>
      <c r="D461" t="s">
        <v>723</v>
      </c>
      <c r="E461">
        <v>0</v>
      </c>
      <c r="F461">
        <v>0</v>
      </c>
      <c r="G461">
        <v>0</v>
      </c>
      <c r="H461">
        <v>0</v>
      </c>
      <c r="I461">
        <v>0</v>
      </c>
      <c r="J461">
        <v>0</v>
      </c>
      <c r="K461">
        <v>0</v>
      </c>
      <c r="L461">
        <v>0</v>
      </c>
      <c r="M461">
        <v>0</v>
      </c>
      <c r="N461">
        <v>0</v>
      </c>
      <c r="O461">
        <v>0</v>
      </c>
      <c r="P461">
        <v>0</v>
      </c>
    </row>
    <row r="462" spans="1:16" x14ac:dyDescent="0.3">
      <c r="A462" t="str">
        <f>Table_Demand___Community_frontsheet[[#This Row],[Name]]&amp;B462</f>
        <v>KnowsleyReablement &amp; Rehabilitation in a bedded setting</v>
      </c>
      <c r="B462" t="str">
        <f>VLOOKUP(Table_Demand___Community_frontsheet[[#This Row],[Service Type]],PathwayLookup!E:F,2,0)</f>
        <v>Reablement &amp; Rehabilitation in a bedded setting</v>
      </c>
      <c r="C462" t="s">
        <v>195</v>
      </c>
      <c r="D462" t="s">
        <v>725</v>
      </c>
      <c r="E462">
        <v>0</v>
      </c>
      <c r="F462">
        <v>0</v>
      </c>
      <c r="G462">
        <v>0</v>
      </c>
      <c r="H462">
        <v>0</v>
      </c>
      <c r="I462">
        <v>0</v>
      </c>
      <c r="J462">
        <v>0</v>
      </c>
      <c r="K462">
        <v>0</v>
      </c>
      <c r="L462">
        <v>0</v>
      </c>
      <c r="M462">
        <v>0</v>
      </c>
      <c r="N462">
        <v>0</v>
      </c>
      <c r="O462">
        <v>0</v>
      </c>
      <c r="P462">
        <v>0</v>
      </c>
    </row>
    <row r="463" spans="1:16" x14ac:dyDescent="0.3">
      <c r="A463" t="str">
        <f>Table_Demand___Community_frontsheet[[#This Row],[Name]]&amp;B463</f>
        <v>KnowsleyOther short-term social care</v>
      </c>
      <c r="B463" t="str">
        <f>VLOOKUP(Table_Demand___Community_frontsheet[[#This Row],[Service Type]],PathwayLookup!E:F,2,0)</f>
        <v>Other short-term social care</v>
      </c>
      <c r="C463" t="s">
        <v>195</v>
      </c>
      <c r="D463" t="s">
        <v>708</v>
      </c>
      <c r="E463">
        <v>29</v>
      </c>
      <c r="F463">
        <v>29</v>
      </c>
      <c r="G463">
        <v>29</v>
      </c>
      <c r="H463">
        <v>29</v>
      </c>
      <c r="I463">
        <v>29</v>
      </c>
      <c r="J463">
        <v>29</v>
      </c>
      <c r="K463">
        <v>29</v>
      </c>
      <c r="L463">
        <v>29</v>
      </c>
      <c r="M463">
        <v>29</v>
      </c>
      <c r="N463">
        <v>29</v>
      </c>
      <c r="O463">
        <v>29</v>
      </c>
      <c r="P463">
        <v>29</v>
      </c>
    </row>
    <row r="464" spans="1:16" x14ac:dyDescent="0.3">
      <c r="A464" t="str">
        <f>Table_Demand___Community_frontsheet[[#This Row],[Name]]&amp;B464</f>
        <v>LambethSocial support (including VCS)</v>
      </c>
      <c r="B464" t="str">
        <f>VLOOKUP(Table_Demand___Community_frontsheet[[#This Row],[Service Type]],PathwayLookup!E:F,2,0)</f>
        <v>Social support (including VCS)</v>
      </c>
      <c r="C464" t="s">
        <v>197</v>
      </c>
      <c r="D464" t="s">
        <v>704</v>
      </c>
      <c r="E464">
        <v>0</v>
      </c>
      <c r="F464">
        <v>0</v>
      </c>
      <c r="G464">
        <v>0</v>
      </c>
      <c r="H464">
        <v>0</v>
      </c>
      <c r="I464">
        <v>0</v>
      </c>
      <c r="J464">
        <v>0</v>
      </c>
      <c r="K464">
        <v>0</v>
      </c>
      <c r="L464">
        <v>0</v>
      </c>
      <c r="M464">
        <v>0</v>
      </c>
      <c r="N464">
        <v>0</v>
      </c>
      <c r="O464">
        <v>0</v>
      </c>
      <c r="P464">
        <v>0</v>
      </c>
    </row>
    <row r="465" spans="1:16" x14ac:dyDescent="0.3">
      <c r="A465" t="str">
        <f>Table_Demand___Community_frontsheet[[#This Row],[Name]]&amp;B465</f>
        <v>LambethUrgent Community Response</v>
      </c>
      <c r="B465" t="str">
        <f>VLOOKUP(Table_Demand___Community_frontsheet[[#This Row],[Service Type]],PathwayLookup!E:F,2,0)</f>
        <v>Urgent Community Response</v>
      </c>
      <c r="C465" t="s">
        <v>197</v>
      </c>
      <c r="D465" t="s">
        <v>705</v>
      </c>
      <c r="E465">
        <v>3</v>
      </c>
      <c r="F465">
        <v>5</v>
      </c>
      <c r="G465">
        <v>1</v>
      </c>
      <c r="H465">
        <v>5</v>
      </c>
      <c r="I465">
        <v>2</v>
      </c>
      <c r="J465">
        <v>6</v>
      </c>
      <c r="K465">
        <v>3</v>
      </c>
      <c r="L465">
        <v>6</v>
      </c>
      <c r="M465">
        <v>10</v>
      </c>
      <c r="N465">
        <v>4</v>
      </c>
      <c r="O465">
        <v>5</v>
      </c>
      <c r="P465">
        <v>4</v>
      </c>
    </row>
    <row r="466" spans="1:16" x14ac:dyDescent="0.3">
      <c r="A466" t="str">
        <f>Table_Demand___Community_frontsheet[[#This Row],[Name]]&amp;B466</f>
        <v>LambethReablement &amp; Rehabilitation at home</v>
      </c>
      <c r="B466" t="str">
        <f>VLOOKUP(Table_Demand___Community_frontsheet[[#This Row],[Service Type]],PathwayLookup!E:F,2,0)</f>
        <v>Reablement &amp; Rehabilitation at home</v>
      </c>
      <c r="C466" t="s">
        <v>197</v>
      </c>
      <c r="D466" t="s">
        <v>720</v>
      </c>
      <c r="E466">
        <v>0</v>
      </c>
      <c r="F466">
        <v>1</v>
      </c>
      <c r="G466">
        <v>1</v>
      </c>
      <c r="H466">
        <v>1</v>
      </c>
      <c r="I466">
        <v>0</v>
      </c>
      <c r="J466">
        <v>2</v>
      </c>
      <c r="K466">
        <v>1</v>
      </c>
      <c r="L466">
        <v>2</v>
      </c>
      <c r="M466">
        <v>1</v>
      </c>
      <c r="N466">
        <v>1</v>
      </c>
      <c r="O466">
        <v>3</v>
      </c>
      <c r="P466">
        <v>2</v>
      </c>
    </row>
    <row r="467" spans="1:16" x14ac:dyDescent="0.3">
      <c r="A467" t="str">
        <f>Table_Demand___Community_frontsheet[[#This Row],[Name]]&amp;B467</f>
        <v>LambethReablement &amp; Rehabilitation at home</v>
      </c>
      <c r="B467" t="str">
        <f>VLOOKUP(Table_Demand___Community_frontsheet[[#This Row],[Service Type]],PathwayLookup!E:F,2,0)</f>
        <v>Reablement &amp; Rehabilitation at home</v>
      </c>
      <c r="C467" t="s">
        <v>197</v>
      </c>
      <c r="D467" t="s">
        <v>721</v>
      </c>
      <c r="E467">
        <v>0</v>
      </c>
      <c r="F467">
        <v>0</v>
      </c>
      <c r="G467">
        <v>0</v>
      </c>
      <c r="H467">
        <v>0</v>
      </c>
      <c r="I467">
        <v>0</v>
      </c>
      <c r="J467">
        <v>0</v>
      </c>
      <c r="K467">
        <v>0</v>
      </c>
      <c r="L467">
        <v>0</v>
      </c>
      <c r="M467">
        <v>0</v>
      </c>
      <c r="N467">
        <v>0</v>
      </c>
      <c r="O467">
        <v>0</v>
      </c>
      <c r="P467">
        <v>0</v>
      </c>
    </row>
    <row r="468" spans="1:16" x14ac:dyDescent="0.3">
      <c r="A468" t="str">
        <f>Table_Demand___Community_frontsheet[[#This Row],[Name]]&amp;B468</f>
        <v>LambethReablement &amp; Rehabilitation in a bedded setting</v>
      </c>
      <c r="B468" t="str">
        <f>VLOOKUP(Table_Demand___Community_frontsheet[[#This Row],[Service Type]],PathwayLookup!E:F,2,0)</f>
        <v>Reablement &amp; Rehabilitation in a bedded setting</v>
      </c>
      <c r="C468" t="s">
        <v>197</v>
      </c>
      <c r="D468" t="s">
        <v>723</v>
      </c>
      <c r="E468">
        <v>0</v>
      </c>
      <c r="F468">
        <v>0</v>
      </c>
      <c r="G468">
        <v>0</v>
      </c>
      <c r="H468">
        <v>0</v>
      </c>
      <c r="I468">
        <v>0</v>
      </c>
      <c r="J468">
        <v>0</v>
      </c>
      <c r="K468">
        <v>0</v>
      </c>
      <c r="L468">
        <v>0</v>
      </c>
      <c r="M468">
        <v>0</v>
      </c>
      <c r="N468">
        <v>0</v>
      </c>
      <c r="O468">
        <v>0</v>
      </c>
      <c r="P468">
        <v>0</v>
      </c>
    </row>
    <row r="469" spans="1:16" x14ac:dyDescent="0.3">
      <c r="A469" t="str">
        <f>Table_Demand___Community_frontsheet[[#This Row],[Name]]&amp;B469</f>
        <v>LambethReablement &amp; Rehabilitation in a bedded setting</v>
      </c>
      <c r="B469" t="str">
        <f>VLOOKUP(Table_Demand___Community_frontsheet[[#This Row],[Service Type]],PathwayLookup!E:F,2,0)</f>
        <v>Reablement &amp; Rehabilitation in a bedded setting</v>
      </c>
      <c r="C469" t="s">
        <v>197</v>
      </c>
      <c r="D469" t="s">
        <v>725</v>
      </c>
      <c r="E469">
        <v>0</v>
      </c>
      <c r="F469">
        <v>0</v>
      </c>
      <c r="G469">
        <v>0</v>
      </c>
      <c r="H469">
        <v>0</v>
      </c>
      <c r="I469">
        <v>0</v>
      </c>
      <c r="J469">
        <v>0</v>
      </c>
      <c r="K469">
        <v>0</v>
      </c>
      <c r="L469">
        <v>0</v>
      </c>
      <c r="M469">
        <v>0</v>
      </c>
      <c r="N469">
        <v>0</v>
      </c>
      <c r="O469">
        <v>0</v>
      </c>
      <c r="P469">
        <v>0</v>
      </c>
    </row>
    <row r="470" spans="1:16" x14ac:dyDescent="0.3">
      <c r="A470" t="str">
        <f>Table_Demand___Community_frontsheet[[#This Row],[Name]]&amp;B470</f>
        <v>LambethOther short-term social care</v>
      </c>
      <c r="B470" t="str">
        <f>VLOOKUP(Table_Demand___Community_frontsheet[[#This Row],[Service Type]],PathwayLookup!E:F,2,0)</f>
        <v>Other short-term social care</v>
      </c>
      <c r="C470" t="s">
        <v>197</v>
      </c>
      <c r="D470" t="s">
        <v>708</v>
      </c>
      <c r="E470">
        <v>0</v>
      </c>
      <c r="F470">
        <v>0</v>
      </c>
      <c r="G470">
        <v>0</v>
      </c>
      <c r="H470">
        <v>0</v>
      </c>
      <c r="I470">
        <v>0</v>
      </c>
      <c r="J470">
        <v>0</v>
      </c>
      <c r="K470">
        <v>0</v>
      </c>
      <c r="L470">
        <v>0</v>
      </c>
      <c r="M470">
        <v>0</v>
      </c>
      <c r="N470">
        <v>0</v>
      </c>
      <c r="O470">
        <v>0</v>
      </c>
      <c r="P470">
        <v>0</v>
      </c>
    </row>
    <row r="471" spans="1:16" x14ac:dyDescent="0.3">
      <c r="A471" t="str">
        <f>Table_Demand___Community_frontsheet[[#This Row],[Name]]&amp;B471</f>
        <v>LancashireSocial support (including VCS)</v>
      </c>
      <c r="B471" t="str">
        <f>VLOOKUP(Table_Demand___Community_frontsheet[[#This Row],[Service Type]],PathwayLookup!E:F,2,0)</f>
        <v>Social support (including VCS)</v>
      </c>
      <c r="C471" t="s">
        <v>199</v>
      </c>
      <c r="D471" t="s">
        <v>704</v>
      </c>
    </row>
    <row r="472" spans="1:16" x14ac:dyDescent="0.3">
      <c r="A472" t="str">
        <f>Table_Demand___Community_frontsheet[[#This Row],[Name]]&amp;B472</f>
        <v>LancashireUrgent Community Response</v>
      </c>
      <c r="B472" t="str">
        <f>VLOOKUP(Table_Demand___Community_frontsheet[[#This Row],[Service Type]],PathwayLookup!E:F,2,0)</f>
        <v>Urgent Community Response</v>
      </c>
      <c r="C472" t="s">
        <v>199</v>
      </c>
      <c r="D472" t="s">
        <v>705</v>
      </c>
    </row>
    <row r="473" spans="1:16" x14ac:dyDescent="0.3">
      <c r="A473" t="str">
        <f>Table_Demand___Community_frontsheet[[#This Row],[Name]]&amp;B473</f>
        <v>LancashireReablement &amp; Rehabilitation at home</v>
      </c>
      <c r="B473" t="str">
        <f>VLOOKUP(Table_Demand___Community_frontsheet[[#This Row],[Service Type]],PathwayLookup!E:F,2,0)</f>
        <v>Reablement &amp; Rehabilitation at home</v>
      </c>
      <c r="C473" t="s">
        <v>199</v>
      </c>
      <c r="D473" t="s">
        <v>720</v>
      </c>
      <c r="E473">
        <v>527</v>
      </c>
      <c r="F473">
        <v>523</v>
      </c>
      <c r="G473">
        <v>499</v>
      </c>
      <c r="H473">
        <v>519</v>
      </c>
      <c r="I473">
        <v>531</v>
      </c>
      <c r="J473">
        <v>532</v>
      </c>
      <c r="K473">
        <v>520</v>
      </c>
      <c r="L473">
        <v>529</v>
      </c>
      <c r="M473">
        <v>532</v>
      </c>
      <c r="N473">
        <v>572</v>
      </c>
      <c r="O473">
        <v>503</v>
      </c>
      <c r="P473">
        <v>525</v>
      </c>
    </row>
    <row r="474" spans="1:16" x14ac:dyDescent="0.3">
      <c r="A474" t="str">
        <f>Table_Demand___Community_frontsheet[[#This Row],[Name]]&amp;B474</f>
        <v>LancashireReablement &amp; Rehabilitation at home</v>
      </c>
      <c r="B474" t="str">
        <f>VLOOKUP(Table_Demand___Community_frontsheet[[#This Row],[Service Type]],PathwayLookup!E:F,2,0)</f>
        <v>Reablement &amp; Rehabilitation at home</v>
      </c>
      <c r="C474" t="s">
        <v>199</v>
      </c>
      <c r="D474" t="s">
        <v>721</v>
      </c>
    </row>
    <row r="475" spans="1:16" x14ac:dyDescent="0.3">
      <c r="A475" t="str">
        <f>Table_Demand___Community_frontsheet[[#This Row],[Name]]&amp;B475</f>
        <v>LancashireReablement &amp; Rehabilitation in a bedded setting</v>
      </c>
      <c r="B475" t="str">
        <f>VLOOKUP(Table_Demand___Community_frontsheet[[#This Row],[Service Type]],PathwayLookup!E:F,2,0)</f>
        <v>Reablement &amp; Rehabilitation in a bedded setting</v>
      </c>
      <c r="C475" t="s">
        <v>199</v>
      </c>
      <c r="D475" t="s">
        <v>723</v>
      </c>
    </row>
    <row r="476" spans="1:16" x14ac:dyDescent="0.3">
      <c r="A476" t="str">
        <f>Table_Demand___Community_frontsheet[[#This Row],[Name]]&amp;B476</f>
        <v>LancashireReablement &amp; Rehabilitation in a bedded setting</v>
      </c>
      <c r="B476" t="str">
        <f>VLOOKUP(Table_Demand___Community_frontsheet[[#This Row],[Service Type]],PathwayLookup!E:F,2,0)</f>
        <v>Reablement &amp; Rehabilitation in a bedded setting</v>
      </c>
      <c r="C476" t="s">
        <v>199</v>
      </c>
      <c r="D476" t="s">
        <v>725</v>
      </c>
    </row>
    <row r="477" spans="1:16" x14ac:dyDescent="0.3">
      <c r="A477" t="str">
        <f>Table_Demand___Community_frontsheet[[#This Row],[Name]]&amp;B477</f>
        <v>LancashireOther short-term social care</v>
      </c>
      <c r="B477" t="str">
        <f>VLOOKUP(Table_Demand___Community_frontsheet[[#This Row],[Service Type]],PathwayLookup!E:F,2,0)</f>
        <v>Other short-term social care</v>
      </c>
      <c r="C477" t="s">
        <v>199</v>
      </c>
      <c r="D477" t="s">
        <v>708</v>
      </c>
    </row>
    <row r="478" spans="1:16" x14ac:dyDescent="0.3">
      <c r="A478" t="str">
        <f>Table_Demand___Community_frontsheet[[#This Row],[Name]]&amp;B478</f>
        <v>LeedsSocial support (including VCS)</v>
      </c>
      <c r="B478" t="str">
        <f>VLOOKUP(Table_Demand___Community_frontsheet[[#This Row],[Service Type]],PathwayLookup!E:F,2,0)</f>
        <v>Social support (including VCS)</v>
      </c>
      <c r="C478" t="s">
        <v>201</v>
      </c>
      <c r="D478" t="s">
        <v>704</v>
      </c>
      <c r="E478">
        <v>100</v>
      </c>
      <c r="F478">
        <v>100</v>
      </c>
      <c r="G478">
        <v>100</v>
      </c>
      <c r="H478">
        <v>105</v>
      </c>
      <c r="I478">
        <v>105</v>
      </c>
      <c r="J478">
        <v>105</v>
      </c>
      <c r="K478">
        <v>110</v>
      </c>
      <c r="L478">
        <v>110</v>
      </c>
      <c r="M478">
        <v>110</v>
      </c>
      <c r="N478">
        <v>115</v>
      </c>
      <c r="O478">
        <v>115</v>
      </c>
      <c r="P478">
        <v>115</v>
      </c>
    </row>
    <row r="479" spans="1:16" x14ac:dyDescent="0.3">
      <c r="A479" t="str">
        <f>Table_Demand___Community_frontsheet[[#This Row],[Name]]&amp;B479</f>
        <v>LeedsUrgent Community Response</v>
      </c>
      <c r="B479" t="str">
        <f>VLOOKUP(Table_Demand___Community_frontsheet[[#This Row],[Service Type]],PathwayLookup!E:F,2,0)</f>
        <v>Urgent Community Response</v>
      </c>
      <c r="C479" t="s">
        <v>201</v>
      </c>
      <c r="D479" t="s">
        <v>705</v>
      </c>
      <c r="E479">
        <v>442</v>
      </c>
      <c r="F479">
        <v>535</v>
      </c>
      <c r="G479">
        <v>516</v>
      </c>
      <c r="H479">
        <v>525</v>
      </c>
      <c r="I479">
        <v>526</v>
      </c>
      <c r="J479">
        <v>442</v>
      </c>
      <c r="K479">
        <v>503</v>
      </c>
      <c r="L479">
        <v>503</v>
      </c>
      <c r="M479">
        <v>508</v>
      </c>
      <c r="N479">
        <v>508</v>
      </c>
      <c r="O479">
        <v>454</v>
      </c>
      <c r="P479">
        <v>498</v>
      </c>
    </row>
    <row r="480" spans="1:16" x14ac:dyDescent="0.3">
      <c r="A480" t="str">
        <f>Table_Demand___Community_frontsheet[[#This Row],[Name]]&amp;B480</f>
        <v>LeedsReablement &amp; Rehabilitation at home</v>
      </c>
      <c r="B480" t="str">
        <f>VLOOKUP(Table_Demand___Community_frontsheet[[#This Row],[Service Type]],PathwayLookup!E:F,2,0)</f>
        <v>Reablement &amp; Rehabilitation at home</v>
      </c>
      <c r="C480" t="s">
        <v>201</v>
      </c>
      <c r="D480" t="s">
        <v>720</v>
      </c>
      <c r="E480">
        <v>32</v>
      </c>
      <c r="F480">
        <v>33</v>
      </c>
      <c r="G480">
        <v>32</v>
      </c>
      <c r="H480">
        <v>34</v>
      </c>
      <c r="I480">
        <v>34</v>
      </c>
      <c r="J480">
        <v>33</v>
      </c>
      <c r="K480">
        <v>35</v>
      </c>
      <c r="L480">
        <v>34</v>
      </c>
      <c r="M480">
        <v>36</v>
      </c>
      <c r="N480">
        <v>36</v>
      </c>
      <c r="O480">
        <v>35</v>
      </c>
      <c r="P480">
        <v>38</v>
      </c>
    </row>
    <row r="481" spans="1:16" x14ac:dyDescent="0.3">
      <c r="A481" t="str">
        <f>Table_Demand___Community_frontsheet[[#This Row],[Name]]&amp;B481</f>
        <v>LeedsReablement &amp; Rehabilitation at home</v>
      </c>
      <c r="B481" t="str">
        <f>VLOOKUP(Table_Demand___Community_frontsheet[[#This Row],[Service Type]],PathwayLookup!E:F,2,0)</f>
        <v>Reablement &amp; Rehabilitation at home</v>
      </c>
      <c r="C481" t="s">
        <v>201</v>
      </c>
      <c r="D481" t="s">
        <v>721</v>
      </c>
      <c r="E481">
        <v>996</v>
      </c>
      <c r="F481">
        <v>996</v>
      </c>
      <c r="G481">
        <v>996</v>
      </c>
      <c r="H481">
        <v>996</v>
      </c>
      <c r="I481">
        <v>996</v>
      </c>
      <c r="J481">
        <v>996</v>
      </c>
      <c r="K481">
        <v>996</v>
      </c>
      <c r="L481">
        <v>996</v>
      </c>
      <c r="M481">
        <v>996</v>
      </c>
      <c r="N481">
        <v>996</v>
      </c>
      <c r="O481">
        <v>996</v>
      </c>
      <c r="P481">
        <v>996</v>
      </c>
    </row>
    <row r="482" spans="1:16" x14ac:dyDescent="0.3">
      <c r="A482" t="str">
        <f>Table_Demand___Community_frontsheet[[#This Row],[Name]]&amp;B482</f>
        <v>LeedsReablement &amp; Rehabilitation in a bedded setting</v>
      </c>
      <c r="B482" t="str">
        <f>VLOOKUP(Table_Demand___Community_frontsheet[[#This Row],[Service Type]],PathwayLookup!E:F,2,0)</f>
        <v>Reablement &amp; Rehabilitation in a bedded setting</v>
      </c>
      <c r="C482" t="s">
        <v>201</v>
      </c>
      <c r="D482" t="s">
        <v>723</v>
      </c>
      <c r="E482">
        <v>0</v>
      </c>
      <c r="F482">
        <v>0</v>
      </c>
      <c r="H482">
        <v>0</v>
      </c>
      <c r="I482">
        <v>0</v>
      </c>
      <c r="J482">
        <v>0</v>
      </c>
      <c r="L482">
        <v>0</v>
      </c>
      <c r="M482">
        <v>0</v>
      </c>
      <c r="N482">
        <v>0</v>
      </c>
      <c r="O482">
        <v>0</v>
      </c>
      <c r="P482">
        <v>0</v>
      </c>
    </row>
    <row r="483" spans="1:16" x14ac:dyDescent="0.3">
      <c r="A483" t="str">
        <f>Table_Demand___Community_frontsheet[[#This Row],[Name]]&amp;B483</f>
        <v>LeedsReablement &amp; Rehabilitation in a bedded setting</v>
      </c>
      <c r="B483" t="str">
        <f>VLOOKUP(Table_Demand___Community_frontsheet[[#This Row],[Service Type]],PathwayLookup!E:F,2,0)</f>
        <v>Reablement &amp; Rehabilitation in a bedded setting</v>
      </c>
      <c r="C483" t="s">
        <v>201</v>
      </c>
      <c r="D483" t="s">
        <v>725</v>
      </c>
      <c r="E483">
        <v>7</v>
      </c>
      <c r="F483">
        <v>7</v>
      </c>
      <c r="G483">
        <v>7</v>
      </c>
      <c r="H483">
        <v>7</v>
      </c>
      <c r="I483">
        <v>7</v>
      </c>
      <c r="J483">
        <v>7</v>
      </c>
      <c r="K483">
        <v>7</v>
      </c>
      <c r="L483">
        <v>7</v>
      </c>
      <c r="M483">
        <v>7</v>
      </c>
      <c r="N483">
        <v>7</v>
      </c>
      <c r="O483">
        <v>6</v>
      </c>
      <c r="P483">
        <v>7</v>
      </c>
    </row>
    <row r="484" spans="1:16" x14ac:dyDescent="0.3">
      <c r="A484" t="str">
        <f>Table_Demand___Community_frontsheet[[#This Row],[Name]]&amp;B484</f>
        <v>LeedsOther short-term social care</v>
      </c>
      <c r="B484" t="str">
        <f>VLOOKUP(Table_Demand___Community_frontsheet[[#This Row],[Service Type]],PathwayLookup!E:F,2,0)</f>
        <v>Other short-term social care</v>
      </c>
      <c r="C484" t="s">
        <v>201</v>
      </c>
      <c r="D484" t="s">
        <v>708</v>
      </c>
      <c r="E484">
        <v>0</v>
      </c>
      <c r="F484">
        <v>0</v>
      </c>
      <c r="G484">
        <v>0</v>
      </c>
      <c r="H484">
        <v>0</v>
      </c>
      <c r="I484">
        <v>0</v>
      </c>
      <c r="J484">
        <v>0</v>
      </c>
      <c r="K484">
        <v>0</v>
      </c>
      <c r="L484">
        <v>0</v>
      </c>
      <c r="M484">
        <v>0</v>
      </c>
      <c r="N484">
        <v>0</v>
      </c>
      <c r="O484">
        <v>0</v>
      </c>
      <c r="P484">
        <v>0</v>
      </c>
    </row>
    <row r="485" spans="1:16" x14ac:dyDescent="0.3">
      <c r="A485" t="str">
        <f>Table_Demand___Community_frontsheet[[#This Row],[Name]]&amp;B485</f>
        <v>LeicesterSocial support (including VCS)</v>
      </c>
      <c r="B485" t="str">
        <f>VLOOKUP(Table_Demand___Community_frontsheet[[#This Row],[Service Type]],PathwayLookup!E:F,2,0)</f>
        <v>Social support (including VCS)</v>
      </c>
      <c r="C485" t="s">
        <v>203</v>
      </c>
      <c r="D485" t="s">
        <v>704</v>
      </c>
      <c r="E485">
        <v>0</v>
      </c>
      <c r="F485">
        <v>0</v>
      </c>
      <c r="G485">
        <v>0</v>
      </c>
      <c r="H485">
        <v>0</v>
      </c>
      <c r="I485">
        <v>0</v>
      </c>
      <c r="J485">
        <v>0</v>
      </c>
      <c r="K485">
        <v>0</v>
      </c>
      <c r="L485">
        <v>0</v>
      </c>
      <c r="M485">
        <v>0</v>
      </c>
      <c r="N485">
        <v>0</v>
      </c>
      <c r="O485">
        <v>0</v>
      </c>
      <c r="P485">
        <v>0</v>
      </c>
    </row>
    <row r="486" spans="1:16" x14ac:dyDescent="0.3">
      <c r="A486" t="str">
        <f>Table_Demand___Community_frontsheet[[#This Row],[Name]]&amp;B486</f>
        <v>LeicesterUrgent Community Response</v>
      </c>
      <c r="B486" t="str">
        <f>VLOOKUP(Table_Demand___Community_frontsheet[[#This Row],[Service Type]],PathwayLookup!E:F,2,0)</f>
        <v>Urgent Community Response</v>
      </c>
      <c r="C486" t="s">
        <v>203</v>
      </c>
      <c r="D486" t="s">
        <v>705</v>
      </c>
      <c r="E486">
        <v>442</v>
      </c>
      <c r="F486">
        <v>410</v>
      </c>
      <c r="G486">
        <v>450</v>
      </c>
      <c r="H486">
        <v>430</v>
      </c>
      <c r="I486">
        <v>430</v>
      </c>
      <c r="J486">
        <v>430</v>
      </c>
      <c r="K486">
        <v>450</v>
      </c>
      <c r="L486">
        <v>470</v>
      </c>
      <c r="M486">
        <v>470</v>
      </c>
      <c r="N486">
        <v>470</v>
      </c>
      <c r="O486">
        <v>470</v>
      </c>
      <c r="P486">
        <v>450</v>
      </c>
    </row>
    <row r="487" spans="1:16" x14ac:dyDescent="0.3">
      <c r="A487" t="str">
        <f>Table_Demand___Community_frontsheet[[#This Row],[Name]]&amp;B487</f>
        <v>LeicesterReablement &amp; Rehabilitation at home</v>
      </c>
      <c r="B487" t="str">
        <f>VLOOKUP(Table_Demand___Community_frontsheet[[#This Row],[Service Type]],PathwayLookup!E:F,2,0)</f>
        <v>Reablement &amp; Rehabilitation at home</v>
      </c>
      <c r="C487" t="s">
        <v>203</v>
      </c>
      <c r="D487" t="s">
        <v>720</v>
      </c>
      <c r="E487">
        <v>13</v>
      </c>
      <c r="F487">
        <v>27</v>
      </c>
      <c r="G487">
        <v>21</v>
      </c>
      <c r="H487">
        <v>15</v>
      </c>
      <c r="I487">
        <v>13</v>
      </c>
      <c r="J487">
        <v>10</v>
      </c>
      <c r="K487">
        <v>13</v>
      </c>
      <c r="L487">
        <v>18</v>
      </c>
      <c r="M487">
        <v>12</v>
      </c>
      <c r="N487">
        <v>25</v>
      </c>
      <c r="O487">
        <v>28</v>
      </c>
      <c r="P487">
        <v>20</v>
      </c>
    </row>
    <row r="488" spans="1:16" x14ac:dyDescent="0.3">
      <c r="A488" t="str">
        <f>Table_Demand___Community_frontsheet[[#This Row],[Name]]&amp;B488</f>
        <v>LeicesterReablement &amp; Rehabilitation at home</v>
      </c>
      <c r="B488" t="str">
        <f>VLOOKUP(Table_Demand___Community_frontsheet[[#This Row],[Service Type]],PathwayLookup!E:F,2,0)</f>
        <v>Reablement &amp; Rehabilitation at home</v>
      </c>
      <c r="C488" t="s">
        <v>203</v>
      </c>
      <c r="D488" t="s">
        <v>721</v>
      </c>
      <c r="E488">
        <v>424</v>
      </c>
      <c r="F488">
        <v>488</v>
      </c>
      <c r="G488">
        <v>497</v>
      </c>
      <c r="H488">
        <v>468</v>
      </c>
      <c r="I488">
        <v>456</v>
      </c>
      <c r="J488">
        <v>400</v>
      </c>
      <c r="K488">
        <v>381</v>
      </c>
      <c r="L488">
        <v>427</v>
      </c>
      <c r="M488">
        <v>420</v>
      </c>
      <c r="N488">
        <v>533</v>
      </c>
      <c r="O488">
        <v>421</v>
      </c>
      <c r="P488">
        <v>420</v>
      </c>
    </row>
    <row r="489" spans="1:16" x14ac:dyDescent="0.3">
      <c r="A489" t="str">
        <f>Table_Demand___Community_frontsheet[[#This Row],[Name]]&amp;B489</f>
        <v>LeicesterReablement &amp; Rehabilitation in a bedded setting</v>
      </c>
      <c r="B489" t="str">
        <f>VLOOKUP(Table_Demand___Community_frontsheet[[#This Row],[Service Type]],PathwayLookup!E:F,2,0)</f>
        <v>Reablement &amp; Rehabilitation in a bedded setting</v>
      </c>
      <c r="C489" t="s">
        <v>203</v>
      </c>
      <c r="D489" t="s">
        <v>723</v>
      </c>
      <c r="E489">
        <v>0</v>
      </c>
      <c r="F489">
        <v>0</v>
      </c>
      <c r="G489">
        <v>0</v>
      </c>
      <c r="H489">
        <v>0</v>
      </c>
      <c r="I489">
        <v>0</v>
      </c>
      <c r="J489">
        <v>0</v>
      </c>
      <c r="K489">
        <v>0</v>
      </c>
      <c r="L489">
        <v>0</v>
      </c>
      <c r="M489">
        <v>0</v>
      </c>
      <c r="N489">
        <v>0</v>
      </c>
      <c r="O489">
        <v>0</v>
      </c>
      <c r="P489">
        <v>0</v>
      </c>
    </row>
    <row r="490" spans="1:16" x14ac:dyDescent="0.3">
      <c r="A490" t="str">
        <f>Table_Demand___Community_frontsheet[[#This Row],[Name]]&amp;B490</f>
        <v>LeicesterReablement &amp; Rehabilitation in a bedded setting</v>
      </c>
      <c r="B490" t="str">
        <f>VLOOKUP(Table_Demand___Community_frontsheet[[#This Row],[Service Type]],PathwayLookup!E:F,2,0)</f>
        <v>Reablement &amp; Rehabilitation in a bedded setting</v>
      </c>
      <c r="C490" t="s">
        <v>203</v>
      </c>
      <c r="D490" t="s">
        <v>725</v>
      </c>
      <c r="E490">
        <v>0</v>
      </c>
      <c r="F490">
        <v>0</v>
      </c>
      <c r="G490">
        <v>0</v>
      </c>
      <c r="H490">
        <v>0</v>
      </c>
      <c r="I490">
        <v>0</v>
      </c>
      <c r="J490">
        <v>0</v>
      </c>
      <c r="K490">
        <v>0</v>
      </c>
      <c r="L490">
        <v>0</v>
      </c>
      <c r="M490">
        <v>0</v>
      </c>
      <c r="N490">
        <v>0</v>
      </c>
      <c r="O490">
        <v>0</v>
      </c>
      <c r="P490">
        <v>0</v>
      </c>
    </row>
    <row r="491" spans="1:16" x14ac:dyDescent="0.3">
      <c r="A491" t="str">
        <f>Table_Demand___Community_frontsheet[[#This Row],[Name]]&amp;B491</f>
        <v>LeicesterOther short-term social care</v>
      </c>
      <c r="B491" t="str">
        <f>VLOOKUP(Table_Demand___Community_frontsheet[[#This Row],[Service Type]],PathwayLookup!E:F,2,0)</f>
        <v>Other short-term social care</v>
      </c>
      <c r="C491" t="s">
        <v>203</v>
      </c>
      <c r="D491" t="s">
        <v>708</v>
      </c>
      <c r="E491">
        <v>9</v>
      </c>
      <c r="F491">
        <v>7</v>
      </c>
      <c r="G491">
        <v>6</v>
      </c>
      <c r="H491">
        <v>6</v>
      </c>
      <c r="I491">
        <v>5</v>
      </c>
      <c r="J491">
        <v>4</v>
      </c>
      <c r="K491">
        <v>9</v>
      </c>
      <c r="L491">
        <v>4</v>
      </c>
      <c r="M491">
        <v>5</v>
      </c>
      <c r="N491">
        <v>7</v>
      </c>
      <c r="O491">
        <v>4</v>
      </c>
      <c r="P491">
        <v>5</v>
      </c>
    </row>
    <row r="492" spans="1:16" x14ac:dyDescent="0.3">
      <c r="A492" t="str">
        <f>Table_Demand___Community_frontsheet[[#This Row],[Name]]&amp;B492</f>
        <v>LeicestershireSocial support (including VCS)</v>
      </c>
      <c r="B492" t="str">
        <f>VLOOKUP(Table_Demand___Community_frontsheet[[#This Row],[Service Type]],PathwayLookup!E:F,2,0)</f>
        <v>Social support (including VCS)</v>
      </c>
      <c r="C492" t="s">
        <v>205</v>
      </c>
      <c r="D492" t="s">
        <v>704</v>
      </c>
      <c r="E492">
        <v>389</v>
      </c>
      <c r="F492">
        <v>389</v>
      </c>
      <c r="G492">
        <v>389</v>
      </c>
      <c r="H492">
        <v>389</v>
      </c>
      <c r="I492">
        <v>389</v>
      </c>
      <c r="J492">
        <v>389</v>
      </c>
      <c r="K492">
        <v>389</v>
      </c>
      <c r="L492">
        <v>389</v>
      </c>
      <c r="M492">
        <v>389</v>
      </c>
      <c r="N492">
        <v>389</v>
      </c>
      <c r="O492">
        <v>389</v>
      </c>
      <c r="P492">
        <v>389</v>
      </c>
    </row>
    <row r="493" spans="1:16" x14ac:dyDescent="0.3">
      <c r="A493" t="str">
        <f>Table_Demand___Community_frontsheet[[#This Row],[Name]]&amp;B493</f>
        <v>LeicestershireUrgent Community Response</v>
      </c>
      <c r="B493" t="str">
        <f>VLOOKUP(Table_Demand___Community_frontsheet[[#This Row],[Service Type]],PathwayLookup!E:F,2,0)</f>
        <v>Urgent Community Response</v>
      </c>
      <c r="C493" t="s">
        <v>205</v>
      </c>
      <c r="D493" t="s">
        <v>705</v>
      </c>
      <c r="E493">
        <v>377</v>
      </c>
      <c r="F493">
        <v>377</v>
      </c>
      <c r="G493">
        <v>377</v>
      </c>
      <c r="H493">
        <v>377</v>
      </c>
      <c r="I493">
        <v>377</v>
      </c>
      <c r="J493">
        <v>377</v>
      </c>
      <c r="K493">
        <v>377</v>
      </c>
      <c r="L493">
        <v>377</v>
      </c>
      <c r="M493">
        <v>377</v>
      </c>
      <c r="N493">
        <v>377</v>
      </c>
      <c r="O493">
        <v>377</v>
      </c>
      <c r="P493">
        <v>377</v>
      </c>
    </row>
    <row r="494" spans="1:16" x14ac:dyDescent="0.3">
      <c r="A494" t="str">
        <f>Table_Demand___Community_frontsheet[[#This Row],[Name]]&amp;B494</f>
        <v>LeicestershireReablement &amp; Rehabilitation at home</v>
      </c>
      <c r="B494" t="str">
        <f>VLOOKUP(Table_Demand___Community_frontsheet[[#This Row],[Service Type]],PathwayLookup!E:F,2,0)</f>
        <v>Reablement &amp; Rehabilitation at home</v>
      </c>
      <c r="C494" t="s">
        <v>205</v>
      </c>
      <c r="D494" t="s">
        <v>720</v>
      </c>
      <c r="E494">
        <v>110</v>
      </c>
      <c r="F494">
        <v>106</v>
      </c>
      <c r="G494">
        <v>128</v>
      </c>
      <c r="H494">
        <v>132</v>
      </c>
      <c r="I494">
        <v>110</v>
      </c>
      <c r="J494">
        <v>98</v>
      </c>
      <c r="K494">
        <v>117</v>
      </c>
      <c r="L494">
        <v>135</v>
      </c>
      <c r="M494">
        <v>171</v>
      </c>
      <c r="N494">
        <v>159</v>
      </c>
      <c r="O494">
        <v>151</v>
      </c>
      <c r="P494">
        <v>132</v>
      </c>
    </row>
    <row r="495" spans="1:16" x14ac:dyDescent="0.3">
      <c r="A495" t="str">
        <f>Table_Demand___Community_frontsheet[[#This Row],[Name]]&amp;B495</f>
        <v>LeicestershireReablement &amp; Rehabilitation at home</v>
      </c>
      <c r="B495" t="str">
        <f>VLOOKUP(Table_Demand___Community_frontsheet[[#This Row],[Service Type]],PathwayLookup!E:F,2,0)</f>
        <v>Reablement &amp; Rehabilitation at home</v>
      </c>
      <c r="C495" t="s">
        <v>205</v>
      </c>
      <c r="D495" t="s">
        <v>721</v>
      </c>
      <c r="E495">
        <v>658.44</v>
      </c>
      <c r="F495">
        <v>758.15</v>
      </c>
      <c r="G495">
        <v>771.72</v>
      </c>
      <c r="H495">
        <v>726.88000000000011</v>
      </c>
      <c r="I495">
        <v>708.59</v>
      </c>
      <c r="J495">
        <v>621.27</v>
      </c>
      <c r="K495">
        <v>591.77</v>
      </c>
      <c r="L495">
        <v>662.57</v>
      </c>
      <c r="M495">
        <v>652.54</v>
      </c>
      <c r="N495">
        <v>827.18</v>
      </c>
      <c r="O495">
        <v>653.72</v>
      </c>
      <c r="P495">
        <v>651.36</v>
      </c>
    </row>
    <row r="496" spans="1:16" x14ac:dyDescent="0.3">
      <c r="A496" t="str">
        <f>Table_Demand___Community_frontsheet[[#This Row],[Name]]&amp;B496</f>
        <v>LeicestershireReablement &amp; Rehabilitation in a bedded setting</v>
      </c>
      <c r="B496" t="str">
        <f>VLOOKUP(Table_Demand___Community_frontsheet[[#This Row],[Service Type]],PathwayLookup!E:F,2,0)</f>
        <v>Reablement &amp; Rehabilitation in a bedded setting</v>
      </c>
      <c r="C496" t="s">
        <v>205</v>
      </c>
      <c r="D496" t="s">
        <v>723</v>
      </c>
      <c r="E496">
        <v>190</v>
      </c>
      <c r="F496">
        <v>158</v>
      </c>
      <c r="G496">
        <v>168</v>
      </c>
      <c r="H496">
        <v>178</v>
      </c>
      <c r="I496">
        <v>163</v>
      </c>
      <c r="J496">
        <v>163</v>
      </c>
      <c r="K496">
        <v>159</v>
      </c>
      <c r="L496">
        <v>144</v>
      </c>
      <c r="M496">
        <v>133</v>
      </c>
      <c r="N496">
        <v>127</v>
      </c>
      <c r="O496">
        <v>120</v>
      </c>
      <c r="P496">
        <v>113</v>
      </c>
    </row>
    <row r="497" spans="1:16" x14ac:dyDescent="0.3">
      <c r="A497" t="str">
        <f>Table_Demand___Community_frontsheet[[#This Row],[Name]]&amp;B497</f>
        <v>LeicestershireReablement &amp; Rehabilitation in a bedded setting</v>
      </c>
      <c r="B497" t="str">
        <f>VLOOKUP(Table_Demand___Community_frontsheet[[#This Row],[Service Type]],PathwayLookup!E:F,2,0)</f>
        <v>Reablement &amp; Rehabilitation in a bedded setting</v>
      </c>
      <c r="C497" t="s">
        <v>205</v>
      </c>
      <c r="D497" t="s">
        <v>725</v>
      </c>
      <c r="E497">
        <v>0</v>
      </c>
      <c r="F497">
        <v>0</v>
      </c>
      <c r="G497">
        <v>0</v>
      </c>
      <c r="H497">
        <v>0</v>
      </c>
      <c r="I497">
        <v>0</v>
      </c>
      <c r="J497">
        <v>0</v>
      </c>
      <c r="K497">
        <v>0</v>
      </c>
      <c r="L497">
        <v>0</v>
      </c>
      <c r="M497">
        <v>0</v>
      </c>
      <c r="N497">
        <v>0</v>
      </c>
      <c r="O497">
        <v>0</v>
      </c>
      <c r="P497">
        <v>0</v>
      </c>
    </row>
    <row r="498" spans="1:16" x14ac:dyDescent="0.3">
      <c r="A498" t="str">
        <f>Table_Demand___Community_frontsheet[[#This Row],[Name]]&amp;B498</f>
        <v>LeicestershireOther short-term social care</v>
      </c>
      <c r="B498" t="str">
        <f>VLOOKUP(Table_Demand___Community_frontsheet[[#This Row],[Service Type]],PathwayLookup!E:F,2,0)</f>
        <v>Other short-term social care</v>
      </c>
      <c r="C498" t="s">
        <v>205</v>
      </c>
      <c r="D498" t="s">
        <v>708</v>
      </c>
      <c r="E498">
        <v>9</v>
      </c>
      <c r="F498">
        <v>7</v>
      </c>
      <c r="G498">
        <v>6</v>
      </c>
      <c r="H498">
        <v>6</v>
      </c>
      <c r="I498">
        <v>5</v>
      </c>
      <c r="J498">
        <v>4</v>
      </c>
      <c r="K498">
        <v>9</v>
      </c>
      <c r="L498">
        <v>4</v>
      </c>
      <c r="M498">
        <v>5</v>
      </c>
      <c r="N498">
        <v>7</v>
      </c>
      <c r="O498">
        <v>4</v>
      </c>
      <c r="P498">
        <v>5</v>
      </c>
    </row>
    <row r="499" spans="1:16" x14ac:dyDescent="0.3">
      <c r="A499" t="str">
        <f>Table_Demand___Community_frontsheet[[#This Row],[Name]]&amp;B499</f>
        <v>LewishamSocial support (including VCS)</v>
      </c>
      <c r="B499" t="str">
        <f>VLOOKUP(Table_Demand___Community_frontsheet[[#This Row],[Service Type]],PathwayLookup!E:F,2,0)</f>
        <v>Social support (including VCS)</v>
      </c>
      <c r="C499" t="s">
        <v>207</v>
      </c>
      <c r="D499" t="s">
        <v>704</v>
      </c>
      <c r="E499">
        <v>0</v>
      </c>
      <c r="F499">
        <v>0</v>
      </c>
      <c r="G499">
        <v>0</v>
      </c>
      <c r="H499">
        <v>0</v>
      </c>
      <c r="I499">
        <v>0</v>
      </c>
      <c r="J499">
        <v>0</v>
      </c>
      <c r="K499">
        <v>0</v>
      </c>
      <c r="L499">
        <v>0</v>
      </c>
      <c r="M499">
        <v>0</v>
      </c>
      <c r="N499">
        <v>0</v>
      </c>
      <c r="O499">
        <v>0</v>
      </c>
      <c r="P499">
        <v>0</v>
      </c>
    </row>
    <row r="500" spans="1:16" x14ac:dyDescent="0.3">
      <c r="A500" t="str">
        <f>Table_Demand___Community_frontsheet[[#This Row],[Name]]&amp;B500</f>
        <v>LewishamUrgent Community Response</v>
      </c>
      <c r="B500" t="str">
        <f>VLOOKUP(Table_Demand___Community_frontsheet[[#This Row],[Service Type]],PathwayLookup!E:F,2,0)</f>
        <v>Urgent Community Response</v>
      </c>
      <c r="C500" t="s">
        <v>207</v>
      </c>
      <c r="D500" t="s">
        <v>705</v>
      </c>
      <c r="E500">
        <v>205</v>
      </c>
      <c r="F500">
        <v>205</v>
      </c>
      <c r="G500">
        <v>205</v>
      </c>
      <c r="H500">
        <v>205</v>
      </c>
      <c r="I500">
        <v>205</v>
      </c>
      <c r="J500">
        <v>205</v>
      </c>
      <c r="K500">
        <v>205</v>
      </c>
      <c r="L500">
        <v>205</v>
      </c>
      <c r="M500">
        <v>205</v>
      </c>
      <c r="N500">
        <v>205</v>
      </c>
      <c r="O500">
        <v>205</v>
      </c>
      <c r="P500">
        <v>205</v>
      </c>
    </row>
    <row r="501" spans="1:16" x14ac:dyDescent="0.3">
      <c r="A501" t="str">
        <f>Table_Demand___Community_frontsheet[[#This Row],[Name]]&amp;B501</f>
        <v>LewishamReablement &amp; Rehabilitation at home</v>
      </c>
      <c r="B501" t="str">
        <f>VLOOKUP(Table_Demand___Community_frontsheet[[#This Row],[Service Type]],PathwayLookup!E:F,2,0)</f>
        <v>Reablement &amp; Rehabilitation at home</v>
      </c>
      <c r="C501" t="s">
        <v>207</v>
      </c>
      <c r="D501" t="s">
        <v>720</v>
      </c>
      <c r="E501">
        <v>24</v>
      </c>
      <c r="F501">
        <v>38</v>
      </c>
      <c r="G501">
        <v>15</v>
      </c>
      <c r="H501">
        <v>26</v>
      </c>
      <c r="I501">
        <v>26</v>
      </c>
      <c r="J501">
        <v>26</v>
      </c>
      <c r="K501">
        <v>26</v>
      </c>
      <c r="L501">
        <v>26</v>
      </c>
      <c r="M501">
        <v>26</v>
      </c>
      <c r="N501">
        <v>26</v>
      </c>
      <c r="O501">
        <v>26</v>
      </c>
      <c r="P501">
        <v>26</v>
      </c>
    </row>
    <row r="502" spans="1:16" x14ac:dyDescent="0.3">
      <c r="A502" t="str">
        <f>Table_Demand___Community_frontsheet[[#This Row],[Name]]&amp;B502</f>
        <v>LewishamReablement &amp; Rehabilitation at home</v>
      </c>
      <c r="B502" t="str">
        <f>VLOOKUP(Table_Demand___Community_frontsheet[[#This Row],[Service Type]],PathwayLookup!E:F,2,0)</f>
        <v>Reablement &amp; Rehabilitation at home</v>
      </c>
      <c r="C502" t="s">
        <v>207</v>
      </c>
      <c r="D502" t="s">
        <v>721</v>
      </c>
    </row>
    <row r="503" spans="1:16" x14ac:dyDescent="0.3">
      <c r="A503" t="str">
        <f>Table_Demand___Community_frontsheet[[#This Row],[Name]]&amp;B503</f>
        <v>LewishamReablement &amp; Rehabilitation in a bedded setting</v>
      </c>
      <c r="B503" t="str">
        <f>VLOOKUP(Table_Demand___Community_frontsheet[[#This Row],[Service Type]],PathwayLookup!E:F,2,0)</f>
        <v>Reablement &amp; Rehabilitation in a bedded setting</v>
      </c>
      <c r="C503" t="s">
        <v>207</v>
      </c>
      <c r="D503" t="s">
        <v>723</v>
      </c>
      <c r="E503">
        <v>0</v>
      </c>
      <c r="F503">
        <v>0</v>
      </c>
      <c r="G503">
        <v>0</v>
      </c>
      <c r="H503">
        <v>0</v>
      </c>
      <c r="I503">
        <v>0</v>
      </c>
      <c r="J503">
        <v>0</v>
      </c>
      <c r="K503">
        <v>0</v>
      </c>
      <c r="L503">
        <v>0</v>
      </c>
      <c r="M503">
        <v>0</v>
      </c>
      <c r="N503">
        <v>0</v>
      </c>
      <c r="O503">
        <v>0</v>
      </c>
      <c r="P503">
        <v>0</v>
      </c>
    </row>
    <row r="504" spans="1:16" x14ac:dyDescent="0.3">
      <c r="A504" t="str">
        <f>Table_Demand___Community_frontsheet[[#This Row],[Name]]&amp;B504</f>
        <v>LewishamReablement &amp; Rehabilitation in a bedded setting</v>
      </c>
      <c r="B504" t="str">
        <f>VLOOKUP(Table_Demand___Community_frontsheet[[#This Row],[Service Type]],PathwayLookup!E:F,2,0)</f>
        <v>Reablement &amp; Rehabilitation in a bedded setting</v>
      </c>
      <c r="C504" t="s">
        <v>207</v>
      </c>
      <c r="D504" t="s">
        <v>725</v>
      </c>
      <c r="E504">
        <v>0</v>
      </c>
      <c r="F504">
        <v>0</v>
      </c>
      <c r="G504">
        <v>0</v>
      </c>
      <c r="H504">
        <v>0</v>
      </c>
      <c r="I504">
        <v>0</v>
      </c>
      <c r="J504">
        <v>0</v>
      </c>
      <c r="K504">
        <v>0</v>
      </c>
      <c r="L504">
        <v>0</v>
      </c>
      <c r="M504">
        <v>0</v>
      </c>
      <c r="N504">
        <v>0</v>
      </c>
      <c r="O504">
        <v>0</v>
      </c>
      <c r="P504">
        <v>0</v>
      </c>
    </row>
    <row r="505" spans="1:16" x14ac:dyDescent="0.3">
      <c r="A505" t="str">
        <f>Table_Demand___Community_frontsheet[[#This Row],[Name]]&amp;B505</f>
        <v>LewishamOther short-term social care</v>
      </c>
      <c r="B505" t="str">
        <f>VLOOKUP(Table_Demand___Community_frontsheet[[#This Row],[Service Type]],PathwayLookup!E:F,2,0)</f>
        <v>Other short-term social care</v>
      </c>
      <c r="C505" t="s">
        <v>207</v>
      </c>
      <c r="D505" t="s">
        <v>708</v>
      </c>
      <c r="E505">
        <v>20</v>
      </c>
      <c r="F505">
        <v>20</v>
      </c>
      <c r="G505">
        <v>20</v>
      </c>
      <c r="H505">
        <v>20</v>
      </c>
      <c r="I505">
        <v>20</v>
      </c>
      <c r="J505">
        <v>20</v>
      </c>
      <c r="K505">
        <v>20</v>
      </c>
      <c r="L505">
        <v>20</v>
      </c>
      <c r="M505">
        <v>20</v>
      </c>
      <c r="N505">
        <v>20</v>
      </c>
      <c r="O505">
        <v>20</v>
      </c>
      <c r="P505">
        <v>20</v>
      </c>
    </row>
    <row r="506" spans="1:16" x14ac:dyDescent="0.3">
      <c r="A506" t="str">
        <f>Table_Demand___Community_frontsheet[[#This Row],[Name]]&amp;B506</f>
        <v>LincolnshireSocial support (including VCS)</v>
      </c>
      <c r="B506" t="str">
        <f>VLOOKUP(Table_Demand___Community_frontsheet[[#This Row],[Service Type]],PathwayLookup!E:F,2,0)</f>
        <v>Social support (including VCS)</v>
      </c>
      <c r="C506" t="s">
        <v>209</v>
      </c>
      <c r="D506" t="s">
        <v>704</v>
      </c>
    </row>
    <row r="507" spans="1:16" x14ac:dyDescent="0.3">
      <c r="A507" t="str">
        <f>Table_Demand___Community_frontsheet[[#This Row],[Name]]&amp;B507</f>
        <v>LincolnshireUrgent Community Response</v>
      </c>
      <c r="B507" t="str">
        <f>VLOOKUP(Table_Demand___Community_frontsheet[[#This Row],[Service Type]],PathwayLookup!E:F,2,0)</f>
        <v>Urgent Community Response</v>
      </c>
      <c r="C507" t="s">
        <v>209</v>
      </c>
      <c r="D507" t="s">
        <v>705</v>
      </c>
      <c r="E507">
        <v>180</v>
      </c>
      <c r="F507">
        <v>186</v>
      </c>
      <c r="G507">
        <v>180</v>
      </c>
      <c r="H507">
        <v>217</v>
      </c>
      <c r="I507">
        <v>217</v>
      </c>
      <c r="J507">
        <v>210</v>
      </c>
      <c r="K507">
        <v>248</v>
      </c>
      <c r="L507">
        <v>240</v>
      </c>
      <c r="M507">
        <v>248</v>
      </c>
      <c r="N507">
        <v>279</v>
      </c>
      <c r="O507">
        <v>261</v>
      </c>
      <c r="P507">
        <v>279</v>
      </c>
    </row>
    <row r="508" spans="1:16" x14ac:dyDescent="0.3">
      <c r="A508" t="str">
        <f>Table_Demand___Community_frontsheet[[#This Row],[Name]]&amp;B508</f>
        <v>LincolnshireReablement &amp; Rehabilitation at home</v>
      </c>
      <c r="B508" t="str">
        <f>VLOOKUP(Table_Demand___Community_frontsheet[[#This Row],[Service Type]],PathwayLookup!E:F,2,0)</f>
        <v>Reablement &amp; Rehabilitation at home</v>
      </c>
      <c r="C508" t="s">
        <v>209</v>
      </c>
      <c r="D508" t="s">
        <v>720</v>
      </c>
      <c r="E508">
        <v>53</v>
      </c>
      <c r="F508">
        <v>54</v>
      </c>
      <c r="G508">
        <v>53</v>
      </c>
      <c r="H508">
        <v>62</v>
      </c>
      <c r="I508">
        <v>62</v>
      </c>
      <c r="J508">
        <v>60</v>
      </c>
      <c r="K508">
        <v>70</v>
      </c>
      <c r="L508">
        <v>68</v>
      </c>
      <c r="M508">
        <v>70</v>
      </c>
      <c r="N508">
        <v>78</v>
      </c>
      <c r="O508">
        <v>73</v>
      </c>
      <c r="P508">
        <v>78</v>
      </c>
    </row>
    <row r="509" spans="1:16" x14ac:dyDescent="0.3">
      <c r="A509" t="str">
        <f>Table_Demand___Community_frontsheet[[#This Row],[Name]]&amp;B509</f>
        <v>LincolnshireReablement &amp; Rehabilitation at home</v>
      </c>
      <c r="B509" t="str">
        <f>VLOOKUP(Table_Demand___Community_frontsheet[[#This Row],[Service Type]],PathwayLookup!E:F,2,0)</f>
        <v>Reablement &amp; Rehabilitation at home</v>
      </c>
      <c r="C509" t="s">
        <v>209</v>
      </c>
      <c r="D509" t="s">
        <v>721</v>
      </c>
    </row>
    <row r="510" spans="1:16" x14ac:dyDescent="0.3">
      <c r="A510" t="str">
        <f>Table_Demand___Community_frontsheet[[#This Row],[Name]]&amp;B510</f>
        <v>LincolnshireReablement &amp; Rehabilitation in a bedded setting</v>
      </c>
      <c r="B510" t="str">
        <f>VLOOKUP(Table_Demand___Community_frontsheet[[#This Row],[Service Type]],PathwayLookup!E:F,2,0)</f>
        <v>Reablement &amp; Rehabilitation in a bedded setting</v>
      </c>
      <c r="C510" t="s">
        <v>209</v>
      </c>
      <c r="D510" t="s">
        <v>723</v>
      </c>
      <c r="E510">
        <v>168</v>
      </c>
      <c r="F510">
        <v>180</v>
      </c>
      <c r="G510">
        <v>169</v>
      </c>
      <c r="H510">
        <v>182</v>
      </c>
      <c r="I510">
        <v>186</v>
      </c>
      <c r="J510">
        <v>173</v>
      </c>
      <c r="K510">
        <v>182</v>
      </c>
      <c r="L510">
        <v>176</v>
      </c>
      <c r="M510">
        <v>174</v>
      </c>
      <c r="N510">
        <v>182</v>
      </c>
      <c r="O510">
        <v>164</v>
      </c>
      <c r="P510">
        <v>168</v>
      </c>
    </row>
    <row r="511" spans="1:16" x14ac:dyDescent="0.3">
      <c r="A511" t="str">
        <f>Table_Demand___Community_frontsheet[[#This Row],[Name]]&amp;B511</f>
        <v>LincolnshireReablement &amp; Rehabilitation in a bedded setting</v>
      </c>
      <c r="B511" t="str">
        <f>VLOOKUP(Table_Demand___Community_frontsheet[[#This Row],[Service Type]],PathwayLookup!E:F,2,0)</f>
        <v>Reablement &amp; Rehabilitation in a bedded setting</v>
      </c>
      <c r="C511" t="s">
        <v>209</v>
      </c>
      <c r="D511" t="s">
        <v>725</v>
      </c>
      <c r="E511">
        <v>41</v>
      </c>
      <c r="F511">
        <v>44</v>
      </c>
      <c r="G511">
        <v>42</v>
      </c>
      <c r="H511">
        <v>44</v>
      </c>
      <c r="I511">
        <v>43</v>
      </c>
      <c r="J511">
        <v>46</v>
      </c>
      <c r="K511">
        <v>42</v>
      </c>
      <c r="L511">
        <v>40</v>
      </c>
      <c r="M511">
        <v>44</v>
      </c>
      <c r="N511">
        <v>48</v>
      </c>
      <c r="O511">
        <v>43</v>
      </c>
      <c r="P511">
        <v>46</v>
      </c>
    </row>
    <row r="512" spans="1:16" x14ac:dyDescent="0.3">
      <c r="A512" t="str">
        <f>Table_Demand___Community_frontsheet[[#This Row],[Name]]&amp;B512</f>
        <v>LincolnshireOther short-term social care</v>
      </c>
      <c r="B512" t="str">
        <f>VLOOKUP(Table_Demand___Community_frontsheet[[#This Row],[Service Type]],PathwayLookup!E:F,2,0)</f>
        <v>Other short-term social care</v>
      </c>
      <c r="C512" t="s">
        <v>209</v>
      </c>
      <c r="D512" t="s">
        <v>708</v>
      </c>
    </row>
    <row r="513" spans="1:16" x14ac:dyDescent="0.3">
      <c r="A513" t="str">
        <f>Table_Demand___Community_frontsheet[[#This Row],[Name]]&amp;B513</f>
        <v>LiverpoolSocial support (including VCS)</v>
      </c>
      <c r="B513" t="str">
        <f>VLOOKUP(Table_Demand___Community_frontsheet[[#This Row],[Service Type]],PathwayLookup!E:F,2,0)</f>
        <v>Social support (including VCS)</v>
      </c>
      <c r="C513" t="s">
        <v>211</v>
      </c>
      <c r="D513" t="s">
        <v>704</v>
      </c>
    </row>
    <row r="514" spans="1:16" x14ac:dyDescent="0.3">
      <c r="A514" t="str">
        <f>Table_Demand___Community_frontsheet[[#This Row],[Name]]&amp;B514</f>
        <v>LiverpoolUrgent Community Response</v>
      </c>
      <c r="B514" t="str">
        <f>VLOOKUP(Table_Demand___Community_frontsheet[[#This Row],[Service Type]],PathwayLookup!E:F,2,0)</f>
        <v>Urgent Community Response</v>
      </c>
      <c r="C514" t="s">
        <v>211</v>
      </c>
      <c r="D514" t="s">
        <v>705</v>
      </c>
      <c r="E514">
        <v>175</v>
      </c>
      <c r="F514">
        <v>185</v>
      </c>
      <c r="G514">
        <v>198</v>
      </c>
      <c r="H514">
        <v>198</v>
      </c>
      <c r="I514">
        <v>198</v>
      </c>
      <c r="J514">
        <v>193</v>
      </c>
      <c r="K514">
        <v>192</v>
      </c>
      <c r="L514">
        <v>190</v>
      </c>
      <c r="M514">
        <v>192</v>
      </c>
      <c r="N514">
        <v>191</v>
      </c>
      <c r="O514">
        <v>190</v>
      </c>
      <c r="P514">
        <v>187</v>
      </c>
    </row>
    <row r="515" spans="1:16" x14ac:dyDescent="0.3">
      <c r="A515" t="str">
        <f>Table_Demand___Community_frontsheet[[#This Row],[Name]]&amp;B515</f>
        <v>LiverpoolReablement &amp; Rehabilitation at home</v>
      </c>
      <c r="B515" t="str">
        <f>VLOOKUP(Table_Demand___Community_frontsheet[[#This Row],[Service Type]],PathwayLookup!E:F,2,0)</f>
        <v>Reablement &amp; Rehabilitation at home</v>
      </c>
      <c r="C515" t="s">
        <v>211</v>
      </c>
      <c r="D515" t="s">
        <v>720</v>
      </c>
      <c r="E515">
        <v>0</v>
      </c>
      <c r="F515">
        <v>0</v>
      </c>
      <c r="G515">
        <v>0</v>
      </c>
      <c r="H515">
        <v>0</v>
      </c>
      <c r="I515">
        <v>0</v>
      </c>
      <c r="J515">
        <v>0</v>
      </c>
      <c r="K515">
        <v>0</v>
      </c>
      <c r="L515">
        <v>0</v>
      </c>
      <c r="M515">
        <v>0</v>
      </c>
      <c r="N515">
        <v>0</v>
      </c>
      <c r="O515">
        <v>0</v>
      </c>
      <c r="P515">
        <v>0</v>
      </c>
    </row>
    <row r="516" spans="1:16" x14ac:dyDescent="0.3">
      <c r="A516" t="str">
        <f>Table_Demand___Community_frontsheet[[#This Row],[Name]]&amp;B516</f>
        <v>LiverpoolReablement &amp; Rehabilitation at home</v>
      </c>
      <c r="B516" t="str">
        <f>VLOOKUP(Table_Demand___Community_frontsheet[[#This Row],[Service Type]],PathwayLookup!E:F,2,0)</f>
        <v>Reablement &amp; Rehabilitation at home</v>
      </c>
      <c r="C516" t="s">
        <v>211</v>
      </c>
      <c r="D516" t="s">
        <v>721</v>
      </c>
      <c r="E516">
        <v>0</v>
      </c>
      <c r="F516">
        <v>0</v>
      </c>
      <c r="G516">
        <v>0</v>
      </c>
      <c r="H516">
        <v>0</v>
      </c>
      <c r="I516">
        <v>0</v>
      </c>
      <c r="J516">
        <v>0</v>
      </c>
      <c r="K516">
        <v>0</v>
      </c>
      <c r="L516">
        <v>0</v>
      </c>
      <c r="M516">
        <v>0</v>
      </c>
      <c r="N516">
        <v>0</v>
      </c>
      <c r="O516">
        <v>0</v>
      </c>
      <c r="P516">
        <v>0</v>
      </c>
    </row>
    <row r="517" spans="1:16" x14ac:dyDescent="0.3">
      <c r="A517" t="str">
        <f>Table_Demand___Community_frontsheet[[#This Row],[Name]]&amp;B517</f>
        <v>LiverpoolReablement &amp; Rehabilitation in a bedded setting</v>
      </c>
      <c r="B517" t="str">
        <f>VLOOKUP(Table_Demand___Community_frontsheet[[#This Row],[Service Type]],PathwayLookup!E:F,2,0)</f>
        <v>Reablement &amp; Rehabilitation in a bedded setting</v>
      </c>
      <c r="C517" t="s">
        <v>211</v>
      </c>
      <c r="D517" t="s">
        <v>723</v>
      </c>
      <c r="E517">
        <v>0</v>
      </c>
      <c r="F517">
        <v>0</v>
      </c>
      <c r="G517">
        <v>0</v>
      </c>
      <c r="H517">
        <v>0</v>
      </c>
      <c r="I517">
        <v>0</v>
      </c>
      <c r="J517">
        <v>0</v>
      </c>
      <c r="K517">
        <v>0</v>
      </c>
      <c r="L517">
        <v>0</v>
      </c>
      <c r="M517">
        <v>0</v>
      </c>
      <c r="N517">
        <v>0</v>
      </c>
      <c r="O517">
        <v>0</v>
      </c>
      <c r="P517">
        <v>0</v>
      </c>
    </row>
    <row r="518" spans="1:16" x14ac:dyDescent="0.3">
      <c r="A518" t="str">
        <f>Table_Demand___Community_frontsheet[[#This Row],[Name]]&amp;B518</f>
        <v>LiverpoolReablement &amp; Rehabilitation in a bedded setting</v>
      </c>
      <c r="B518" t="str">
        <f>VLOOKUP(Table_Demand___Community_frontsheet[[#This Row],[Service Type]],PathwayLookup!E:F,2,0)</f>
        <v>Reablement &amp; Rehabilitation in a bedded setting</v>
      </c>
      <c r="C518" t="s">
        <v>211</v>
      </c>
      <c r="D518" t="s">
        <v>725</v>
      </c>
      <c r="E518">
        <v>0</v>
      </c>
      <c r="F518">
        <v>0</v>
      </c>
      <c r="G518">
        <v>0</v>
      </c>
      <c r="H518">
        <v>0</v>
      </c>
      <c r="I518">
        <v>0</v>
      </c>
      <c r="J518">
        <v>0</v>
      </c>
      <c r="K518">
        <v>0</v>
      </c>
      <c r="L518">
        <v>0</v>
      </c>
      <c r="M518">
        <v>0</v>
      </c>
      <c r="N518">
        <v>0</v>
      </c>
      <c r="O518">
        <v>0</v>
      </c>
      <c r="P518">
        <v>0</v>
      </c>
    </row>
    <row r="519" spans="1:16" x14ac:dyDescent="0.3">
      <c r="A519" t="str">
        <f>Table_Demand___Community_frontsheet[[#This Row],[Name]]&amp;B519</f>
        <v>LiverpoolOther short-term social care</v>
      </c>
      <c r="B519" t="str">
        <f>VLOOKUP(Table_Demand___Community_frontsheet[[#This Row],[Service Type]],PathwayLookup!E:F,2,0)</f>
        <v>Other short-term social care</v>
      </c>
      <c r="C519" t="s">
        <v>211</v>
      </c>
      <c r="D519" t="s">
        <v>708</v>
      </c>
    </row>
    <row r="520" spans="1:16" x14ac:dyDescent="0.3">
      <c r="A520" t="str">
        <f>Table_Demand___Community_frontsheet[[#This Row],[Name]]&amp;B520</f>
        <v>LutonSocial support (including VCS)</v>
      </c>
      <c r="B520" t="str">
        <f>VLOOKUP(Table_Demand___Community_frontsheet[[#This Row],[Service Type]],PathwayLookup!E:F,2,0)</f>
        <v>Social support (including VCS)</v>
      </c>
      <c r="C520" t="s">
        <v>213</v>
      </c>
      <c r="D520" t="s">
        <v>704</v>
      </c>
    </row>
    <row r="521" spans="1:16" x14ac:dyDescent="0.3">
      <c r="A521" t="str">
        <f>Table_Demand___Community_frontsheet[[#This Row],[Name]]&amp;B521</f>
        <v>LutonUrgent Community Response</v>
      </c>
      <c r="B521" t="str">
        <f>VLOOKUP(Table_Demand___Community_frontsheet[[#This Row],[Service Type]],PathwayLookup!E:F,2,0)</f>
        <v>Urgent Community Response</v>
      </c>
      <c r="C521" t="s">
        <v>213</v>
      </c>
      <c r="D521" t="s">
        <v>705</v>
      </c>
      <c r="E521">
        <v>200</v>
      </c>
      <c r="F521">
        <v>200</v>
      </c>
      <c r="G521">
        <v>220</v>
      </c>
      <c r="H521">
        <v>220</v>
      </c>
      <c r="I521">
        <v>220</v>
      </c>
      <c r="J521">
        <v>220</v>
      </c>
      <c r="K521">
        <v>230</v>
      </c>
      <c r="L521">
        <v>240</v>
      </c>
      <c r="M521">
        <v>240</v>
      </c>
      <c r="N521">
        <v>260</v>
      </c>
      <c r="O521">
        <v>260</v>
      </c>
      <c r="P521">
        <v>280</v>
      </c>
    </row>
    <row r="522" spans="1:16" x14ac:dyDescent="0.3">
      <c r="A522" t="str">
        <f>Table_Demand___Community_frontsheet[[#This Row],[Name]]&amp;B522</f>
        <v>LutonReablement &amp; Rehabilitation at home</v>
      </c>
      <c r="B522" t="str">
        <f>VLOOKUP(Table_Demand___Community_frontsheet[[#This Row],[Service Type]],PathwayLookup!E:F,2,0)</f>
        <v>Reablement &amp; Rehabilitation at home</v>
      </c>
      <c r="C522" t="s">
        <v>213</v>
      </c>
      <c r="D522" t="s">
        <v>720</v>
      </c>
      <c r="E522">
        <v>17</v>
      </c>
      <c r="F522">
        <v>26</v>
      </c>
      <c r="G522">
        <v>15</v>
      </c>
      <c r="H522">
        <v>33</v>
      </c>
      <c r="I522">
        <v>15</v>
      </c>
      <c r="J522">
        <v>10</v>
      </c>
      <c r="K522">
        <v>18</v>
      </c>
      <c r="L522">
        <v>18</v>
      </c>
      <c r="M522">
        <v>16</v>
      </c>
      <c r="N522">
        <v>20</v>
      </c>
      <c r="O522">
        <v>20</v>
      </c>
      <c r="P522">
        <v>30</v>
      </c>
    </row>
    <row r="523" spans="1:16" x14ac:dyDescent="0.3">
      <c r="A523" t="str">
        <f>Table_Demand___Community_frontsheet[[#This Row],[Name]]&amp;B523</f>
        <v>LutonReablement &amp; Rehabilitation at home</v>
      </c>
      <c r="B523" t="str">
        <f>VLOOKUP(Table_Demand___Community_frontsheet[[#This Row],[Service Type]],PathwayLookup!E:F,2,0)</f>
        <v>Reablement &amp; Rehabilitation at home</v>
      </c>
      <c r="C523" t="s">
        <v>213</v>
      </c>
      <c r="D523" t="s">
        <v>721</v>
      </c>
      <c r="E523">
        <v>200</v>
      </c>
      <c r="F523">
        <v>240</v>
      </c>
      <c r="G523">
        <v>202</v>
      </c>
      <c r="H523">
        <v>228</v>
      </c>
      <c r="I523">
        <v>235</v>
      </c>
      <c r="J523">
        <v>226</v>
      </c>
      <c r="K523">
        <v>230</v>
      </c>
      <c r="L523">
        <v>208</v>
      </c>
      <c r="M523">
        <v>224</v>
      </c>
      <c r="N523">
        <v>249</v>
      </c>
      <c r="O523">
        <v>221</v>
      </c>
      <c r="P523">
        <v>260</v>
      </c>
    </row>
    <row r="524" spans="1:16" x14ac:dyDescent="0.3">
      <c r="A524" t="str">
        <f>Table_Demand___Community_frontsheet[[#This Row],[Name]]&amp;B524</f>
        <v>LutonReablement &amp; Rehabilitation in a bedded setting</v>
      </c>
      <c r="B524" t="str">
        <f>VLOOKUP(Table_Demand___Community_frontsheet[[#This Row],[Service Type]],PathwayLookup!E:F,2,0)</f>
        <v>Reablement &amp; Rehabilitation in a bedded setting</v>
      </c>
      <c r="C524" t="s">
        <v>213</v>
      </c>
      <c r="D524" t="s">
        <v>723</v>
      </c>
    </row>
    <row r="525" spans="1:16" x14ac:dyDescent="0.3">
      <c r="A525" t="str">
        <f>Table_Demand___Community_frontsheet[[#This Row],[Name]]&amp;B525</f>
        <v>LutonReablement &amp; Rehabilitation in a bedded setting</v>
      </c>
      <c r="B525" t="str">
        <f>VLOOKUP(Table_Demand___Community_frontsheet[[#This Row],[Service Type]],PathwayLookup!E:F,2,0)</f>
        <v>Reablement &amp; Rehabilitation in a bedded setting</v>
      </c>
      <c r="C525" t="s">
        <v>213</v>
      </c>
      <c r="D525" t="s">
        <v>725</v>
      </c>
    </row>
    <row r="526" spans="1:16" x14ac:dyDescent="0.3">
      <c r="A526" t="str">
        <f>Table_Demand___Community_frontsheet[[#This Row],[Name]]&amp;B526</f>
        <v>LutonOther short-term social care</v>
      </c>
      <c r="B526" t="str">
        <f>VLOOKUP(Table_Demand___Community_frontsheet[[#This Row],[Service Type]],PathwayLookup!E:F,2,0)</f>
        <v>Other short-term social care</v>
      </c>
      <c r="C526" t="s">
        <v>213</v>
      </c>
      <c r="D526" t="s">
        <v>708</v>
      </c>
    </row>
    <row r="527" spans="1:16" x14ac:dyDescent="0.3">
      <c r="A527" t="str">
        <f>Table_Demand___Community_frontsheet[[#This Row],[Name]]&amp;B527</f>
        <v>ManchesterSocial support (including VCS)</v>
      </c>
      <c r="B527" t="str">
        <f>VLOOKUP(Table_Demand___Community_frontsheet[[#This Row],[Service Type]],PathwayLookup!E:F,2,0)</f>
        <v>Social support (including VCS)</v>
      </c>
      <c r="C527" t="s">
        <v>215</v>
      </c>
      <c r="D527" t="s">
        <v>704</v>
      </c>
      <c r="E527">
        <v>0</v>
      </c>
      <c r="F527">
        <v>0</v>
      </c>
      <c r="G527">
        <v>0</v>
      </c>
      <c r="H527">
        <v>0</v>
      </c>
      <c r="I527">
        <v>0</v>
      </c>
      <c r="J527">
        <v>0</v>
      </c>
      <c r="K527">
        <v>0</v>
      </c>
      <c r="L527">
        <v>0</v>
      </c>
      <c r="M527">
        <v>0</v>
      </c>
      <c r="N527">
        <v>0</v>
      </c>
      <c r="O527">
        <v>0</v>
      </c>
      <c r="P527">
        <v>0</v>
      </c>
    </row>
    <row r="528" spans="1:16" x14ac:dyDescent="0.3">
      <c r="A528" t="str">
        <f>Table_Demand___Community_frontsheet[[#This Row],[Name]]&amp;B528</f>
        <v>ManchesterUrgent Community Response</v>
      </c>
      <c r="B528" t="str">
        <f>VLOOKUP(Table_Demand___Community_frontsheet[[#This Row],[Service Type]],PathwayLookup!E:F,2,0)</f>
        <v>Urgent Community Response</v>
      </c>
      <c r="C528" t="s">
        <v>215</v>
      </c>
      <c r="D528" t="s">
        <v>705</v>
      </c>
      <c r="E528">
        <v>466</v>
      </c>
      <c r="F528">
        <v>414</v>
      </c>
      <c r="G528">
        <v>439</v>
      </c>
      <c r="H528">
        <v>442</v>
      </c>
      <c r="I528">
        <v>447</v>
      </c>
      <c r="J528">
        <v>428</v>
      </c>
      <c r="K528">
        <v>475</v>
      </c>
      <c r="L528">
        <v>409</v>
      </c>
      <c r="M528">
        <v>511</v>
      </c>
      <c r="N528">
        <v>452</v>
      </c>
      <c r="O528">
        <v>355</v>
      </c>
      <c r="P528">
        <v>411</v>
      </c>
    </row>
    <row r="529" spans="1:16" x14ac:dyDescent="0.3">
      <c r="A529" t="str">
        <f>Table_Demand___Community_frontsheet[[#This Row],[Name]]&amp;B529</f>
        <v>ManchesterReablement &amp; Rehabilitation at home</v>
      </c>
      <c r="B529" t="str">
        <f>VLOOKUP(Table_Demand___Community_frontsheet[[#This Row],[Service Type]],PathwayLookup!E:F,2,0)</f>
        <v>Reablement &amp; Rehabilitation at home</v>
      </c>
      <c r="C529" t="s">
        <v>215</v>
      </c>
      <c r="D529" t="s">
        <v>720</v>
      </c>
      <c r="E529">
        <v>40</v>
      </c>
      <c r="F529">
        <v>40</v>
      </c>
      <c r="G529">
        <v>40</v>
      </c>
      <c r="H529">
        <v>40</v>
      </c>
      <c r="I529">
        <v>40</v>
      </c>
      <c r="J529">
        <v>40</v>
      </c>
      <c r="K529">
        <v>40</v>
      </c>
      <c r="L529">
        <v>40</v>
      </c>
      <c r="M529">
        <v>40</v>
      </c>
      <c r="N529">
        <v>40</v>
      </c>
      <c r="O529">
        <v>40</v>
      </c>
      <c r="P529">
        <v>40</v>
      </c>
    </row>
    <row r="530" spans="1:16" x14ac:dyDescent="0.3">
      <c r="A530" t="str">
        <f>Table_Demand___Community_frontsheet[[#This Row],[Name]]&amp;B530</f>
        <v>ManchesterReablement &amp; Rehabilitation at home</v>
      </c>
      <c r="B530" t="str">
        <f>VLOOKUP(Table_Demand___Community_frontsheet[[#This Row],[Service Type]],PathwayLookup!E:F,2,0)</f>
        <v>Reablement &amp; Rehabilitation at home</v>
      </c>
      <c r="C530" t="s">
        <v>215</v>
      </c>
      <c r="D530" t="s">
        <v>721</v>
      </c>
      <c r="E530">
        <v>134</v>
      </c>
      <c r="F530">
        <v>134</v>
      </c>
      <c r="G530">
        <v>134</v>
      </c>
      <c r="H530">
        <v>134</v>
      </c>
      <c r="I530">
        <v>134</v>
      </c>
      <c r="J530">
        <v>134</v>
      </c>
      <c r="K530">
        <v>134</v>
      </c>
      <c r="L530">
        <v>134</v>
      </c>
      <c r="M530">
        <v>134</v>
      </c>
      <c r="N530">
        <v>134</v>
      </c>
      <c r="O530">
        <v>134</v>
      </c>
      <c r="P530">
        <v>134</v>
      </c>
    </row>
    <row r="531" spans="1:16" x14ac:dyDescent="0.3">
      <c r="A531" t="str">
        <f>Table_Demand___Community_frontsheet[[#This Row],[Name]]&amp;B531</f>
        <v>ManchesterReablement &amp; Rehabilitation in a bedded setting</v>
      </c>
      <c r="B531" t="str">
        <f>VLOOKUP(Table_Demand___Community_frontsheet[[#This Row],[Service Type]],PathwayLookup!E:F,2,0)</f>
        <v>Reablement &amp; Rehabilitation in a bedded setting</v>
      </c>
      <c r="C531" t="s">
        <v>215</v>
      </c>
      <c r="D531" t="s">
        <v>723</v>
      </c>
      <c r="E531">
        <v>0</v>
      </c>
      <c r="F531">
        <v>0</v>
      </c>
      <c r="G531">
        <v>0</v>
      </c>
      <c r="H531">
        <v>0</v>
      </c>
      <c r="I531">
        <v>0</v>
      </c>
      <c r="J531">
        <v>0</v>
      </c>
      <c r="K531">
        <v>0</v>
      </c>
      <c r="L531">
        <v>0</v>
      </c>
      <c r="M531">
        <v>0</v>
      </c>
      <c r="N531">
        <v>0</v>
      </c>
      <c r="O531">
        <v>0</v>
      </c>
      <c r="P531">
        <v>0</v>
      </c>
    </row>
    <row r="532" spans="1:16" x14ac:dyDescent="0.3">
      <c r="A532" t="str">
        <f>Table_Demand___Community_frontsheet[[#This Row],[Name]]&amp;B532</f>
        <v>ManchesterReablement &amp; Rehabilitation in a bedded setting</v>
      </c>
      <c r="B532" t="str">
        <f>VLOOKUP(Table_Demand___Community_frontsheet[[#This Row],[Service Type]],PathwayLookup!E:F,2,0)</f>
        <v>Reablement &amp; Rehabilitation in a bedded setting</v>
      </c>
      <c r="C532" t="s">
        <v>215</v>
      </c>
      <c r="D532" t="s">
        <v>725</v>
      </c>
      <c r="E532">
        <v>5</v>
      </c>
      <c r="F532">
        <v>5</v>
      </c>
      <c r="G532">
        <v>5</v>
      </c>
      <c r="H532">
        <v>5</v>
      </c>
      <c r="I532">
        <v>5</v>
      </c>
      <c r="J532">
        <v>5</v>
      </c>
      <c r="K532">
        <v>5</v>
      </c>
      <c r="L532">
        <v>5</v>
      </c>
      <c r="M532">
        <v>5</v>
      </c>
      <c r="N532">
        <v>5</v>
      </c>
      <c r="O532">
        <v>5</v>
      </c>
      <c r="P532">
        <v>5</v>
      </c>
    </row>
    <row r="533" spans="1:16" x14ac:dyDescent="0.3">
      <c r="A533" t="str">
        <f>Table_Demand___Community_frontsheet[[#This Row],[Name]]&amp;B533</f>
        <v>ManchesterOther short-term social care</v>
      </c>
      <c r="B533" t="str">
        <f>VLOOKUP(Table_Demand___Community_frontsheet[[#This Row],[Service Type]],PathwayLookup!E:F,2,0)</f>
        <v>Other short-term social care</v>
      </c>
      <c r="C533" t="s">
        <v>215</v>
      </c>
      <c r="D533" t="s">
        <v>708</v>
      </c>
      <c r="E533">
        <v>1926</v>
      </c>
      <c r="F533">
        <v>1926</v>
      </c>
      <c r="G533">
        <v>1926</v>
      </c>
      <c r="H533">
        <v>1926</v>
      </c>
      <c r="I533">
        <v>1926</v>
      </c>
      <c r="J533">
        <v>1926</v>
      </c>
      <c r="K533">
        <v>1926</v>
      </c>
      <c r="L533">
        <v>1926</v>
      </c>
      <c r="M533">
        <v>1926</v>
      </c>
      <c r="N533">
        <v>1926</v>
      </c>
      <c r="O533">
        <v>1926</v>
      </c>
      <c r="P533">
        <v>1926</v>
      </c>
    </row>
    <row r="534" spans="1:16" x14ac:dyDescent="0.3">
      <c r="A534" t="str">
        <f>Table_Demand___Community_frontsheet[[#This Row],[Name]]&amp;B534</f>
        <v>MedwaySocial support (including VCS)</v>
      </c>
      <c r="B534" t="str">
        <f>VLOOKUP(Table_Demand___Community_frontsheet[[#This Row],[Service Type]],PathwayLookup!E:F,2,0)</f>
        <v>Social support (including VCS)</v>
      </c>
      <c r="C534" t="s">
        <v>217</v>
      </c>
      <c r="D534" t="s">
        <v>704</v>
      </c>
      <c r="E534">
        <v>341</v>
      </c>
      <c r="F534">
        <v>342</v>
      </c>
      <c r="G534">
        <v>341</v>
      </c>
      <c r="H534">
        <v>360</v>
      </c>
      <c r="I534">
        <v>360</v>
      </c>
      <c r="J534">
        <v>358</v>
      </c>
      <c r="K534">
        <v>360</v>
      </c>
      <c r="L534">
        <v>358</v>
      </c>
      <c r="M534">
        <v>360</v>
      </c>
      <c r="N534">
        <v>360</v>
      </c>
      <c r="O534">
        <v>341</v>
      </c>
      <c r="P534">
        <v>342</v>
      </c>
    </row>
    <row r="535" spans="1:16" x14ac:dyDescent="0.3">
      <c r="A535" t="str">
        <f>Table_Demand___Community_frontsheet[[#This Row],[Name]]&amp;B535</f>
        <v>MedwayUrgent Community Response</v>
      </c>
      <c r="B535" t="str">
        <f>VLOOKUP(Table_Demand___Community_frontsheet[[#This Row],[Service Type]],PathwayLookup!E:F,2,0)</f>
        <v>Urgent Community Response</v>
      </c>
      <c r="C535" t="s">
        <v>217</v>
      </c>
      <c r="D535" t="s">
        <v>705</v>
      </c>
      <c r="E535">
        <v>3000</v>
      </c>
      <c r="F535">
        <v>3100</v>
      </c>
      <c r="G535">
        <v>3000</v>
      </c>
      <c r="H535">
        <v>3100</v>
      </c>
      <c r="I535">
        <v>3100</v>
      </c>
      <c r="J535">
        <v>3000</v>
      </c>
      <c r="K535">
        <v>3100</v>
      </c>
      <c r="L535">
        <v>3000</v>
      </c>
      <c r="M535">
        <v>3100</v>
      </c>
      <c r="N535">
        <v>3100</v>
      </c>
      <c r="O535">
        <v>2900</v>
      </c>
      <c r="P535">
        <v>3100</v>
      </c>
    </row>
    <row r="536" spans="1:16" x14ac:dyDescent="0.3">
      <c r="A536" t="str">
        <f>Table_Demand___Community_frontsheet[[#This Row],[Name]]&amp;B536</f>
        <v>MedwayReablement &amp; Rehabilitation at home</v>
      </c>
      <c r="B536" t="str">
        <f>VLOOKUP(Table_Demand___Community_frontsheet[[#This Row],[Service Type]],PathwayLookup!E:F,2,0)</f>
        <v>Reablement &amp; Rehabilitation at home</v>
      </c>
      <c r="C536" t="s">
        <v>217</v>
      </c>
      <c r="D536" t="s">
        <v>720</v>
      </c>
      <c r="E536">
        <v>113</v>
      </c>
      <c r="F536">
        <v>117</v>
      </c>
      <c r="G536">
        <v>114</v>
      </c>
      <c r="H536">
        <v>118</v>
      </c>
      <c r="I536">
        <v>118</v>
      </c>
      <c r="J536">
        <v>113</v>
      </c>
      <c r="K536">
        <v>118</v>
      </c>
      <c r="L536">
        <v>113</v>
      </c>
      <c r="M536">
        <v>117</v>
      </c>
      <c r="N536">
        <v>117</v>
      </c>
      <c r="O536">
        <v>111</v>
      </c>
      <c r="P536">
        <v>118</v>
      </c>
    </row>
    <row r="537" spans="1:16" x14ac:dyDescent="0.3">
      <c r="A537" t="str">
        <f>Table_Demand___Community_frontsheet[[#This Row],[Name]]&amp;B537</f>
        <v>MedwayReablement &amp; Rehabilitation at home</v>
      </c>
      <c r="B537" t="str">
        <f>VLOOKUP(Table_Demand___Community_frontsheet[[#This Row],[Service Type]],PathwayLookup!E:F,2,0)</f>
        <v>Reablement &amp; Rehabilitation at home</v>
      </c>
      <c r="C537" t="s">
        <v>217</v>
      </c>
      <c r="D537" t="s">
        <v>721</v>
      </c>
      <c r="E537">
        <v>0</v>
      </c>
      <c r="F537">
        <v>0</v>
      </c>
      <c r="G537">
        <v>0</v>
      </c>
      <c r="H537">
        <v>0</v>
      </c>
      <c r="I537">
        <v>0</v>
      </c>
      <c r="J537">
        <v>0</v>
      </c>
      <c r="K537">
        <v>0</v>
      </c>
      <c r="L537">
        <v>0</v>
      </c>
      <c r="M537">
        <v>0</v>
      </c>
      <c r="N537">
        <v>0</v>
      </c>
      <c r="O537">
        <v>0</v>
      </c>
      <c r="P537">
        <v>0</v>
      </c>
    </row>
    <row r="538" spans="1:16" x14ac:dyDescent="0.3">
      <c r="A538" t="str">
        <f>Table_Demand___Community_frontsheet[[#This Row],[Name]]&amp;B538</f>
        <v>MedwayReablement &amp; Rehabilitation in a bedded setting</v>
      </c>
      <c r="B538" t="str">
        <f>VLOOKUP(Table_Demand___Community_frontsheet[[#This Row],[Service Type]],PathwayLookup!E:F,2,0)</f>
        <v>Reablement &amp; Rehabilitation in a bedded setting</v>
      </c>
      <c r="C538" t="s">
        <v>217</v>
      </c>
      <c r="D538" t="s">
        <v>723</v>
      </c>
      <c r="E538">
        <v>11</v>
      </c>
      <c r="F538">
        <v>12</v>
      </c>
      <c r="G538">
        <v>11</v>
      </c>
      <c r="H538">
        <v>12</v>
      </c>
      <c r="I538">
        <v>12</v>
      </c>
      <c r="J538">
        <v>11</v>
      </c>
      <c r="K538">
        <v>12</v>
      </c>
      <c r="L538">
        <v>11</v>
      </c>
      <c r="M538">
        <v>12</v>
      </c>
      <c r="N538">
        <v>12</v>
      </c>
      <c r="O538">
        <v>11</v>
      </c>
      <c r="P538">
        <v>12</v>
      </c>
    </row>
    <row r="539" spans="1:16" x14ac:dyDescent="0.3">
      <c r="A539" t="str">
        <f>Table_Demand___Community_frontsheet[[#This Row],[Name]]&amp;B539</f>
        <v>MedwayReablement &amp; Rehabilitation in a bedded setting</v>
      </c>
      <c r="B539" t="str">
        <f>VLOOKUP(Table_Demand___Community_frontsheet[[#This Row],[Service Type]],PathwayLookup!E:F,2,0)</f>
        <v>Reablement &amp; Rehabilitation in a bedded setting</v>
      </c>
      <c r="C539" t="s">
        <v>217</v>
      </c>
      <c r="D539" t="s">
        <v>725</v>
      </c>
      <c r="E539">
        <v>0</v>
      </c>
      <c r="F539">
        <v>0</v>
      </c>
      <c r="G539">
        <v>0</v>
      </c>
      <c r="H539">
        <v>0</v>
      </c>
      <c r="I539">
        <v>0</v>
      </c>
      <c r="J539">
        <v>0</v>
      </c>
      <c r="K539">
        <v>0</v>
      </c>
      <c r="L539">
        <v>0</v>
      </c>
      <c r="M539">
        <v>0</v>
      </c>
      <c r="N539">
        <v>0</v>
      </c>
      <c r="O539">
        <v>0</v>
      </c>
      <c r="P539">
        <v>0</v>
      </c>
    </row>
    <row r="540" spans="1:16" x14ac:dyDescent="0.3">
      <c r="A540" t="str">
        <f>Table_Demand___Community_frontsheet[[#This Row],[Name]]&amp;B540</f>
        <v>MedwayOther short-term social care</v>
      </c>
      <c r="B540" t="str">
        <f>VLOOKUP(Table_Demand___Community_frontsheet[[#This Row],[Service Type]],PathwayLookup!E:F,2,0)</f>
        <v>Other short-term social care</v>
      </c>
      <c r="C540" t="s">
        <v>217</v>
      </c>
      <c r="D540" t="s">
        <v>708</v>
      </c>
      <c r="E540">
        <v>9</v>
      </c>
      <c r="F540">
        <v>10</v>
      </c>
      <c r="G540">
        <v>18</v>
      </c>
      <c r="H540">
        <v>14</v>
      </c>
      <c r="I540">
        <v>21</v>
      </c>
      <c r="J540">
        <v>12</v>
      </c>
      <c r="K540">
        <v>13</v>
      </c>
      <c r="L540">
        <v>8</v>
      </c>
      <c r="M540">
        <v>17</v>
      </c>
      <c r="N540">
        <v>12</v>
      </c>
      <c r="O540">
        <v>12</v>
      </c>
      <c r="P540">
        <v>14</v>
      </c>
    </row>
    <row r="541" spans="1:16" x14ac:dyDescent="0.3">
      <c r="A541" t="str">
        <f>Table_Demand___Community_frontsheet[[#This Row],[Name]]&amp;B541</f>
        <v>MertonSocial support (including VCS)</v>
      </c>
      <c r="B541" t="str">
        <f>VLOOKUP(Table_Demand___Community_frontsheet[[#This Row],[Service Type]],PathwayLookup!E:F,2,0)</f>
        <v>Social support (including VCS)</v>
      </c>
      <c r="C541" t="s">
        <v>219</v>
      </c>
      <c r="D541" t="s">
        <v>704</v>
      </c>
      <c r="E541">
        <v>13</v>
      </c>
      <c r="F541">
        <v>13</v>
      </c>
      <c r="G541">
        <v>13</v>
      </c>
      <c r="H541">
        <v>13</v>
      </c>
      <c r="I541">
        <v>13</v>
      </c>
      <c r="J541">
        <v>13</v>
      </c>
      <c r="K541">
        <v>13</v>
      </c>
      <c r="L541">
        <v>13</v>
      </c>
      <c r="M541">
        <v>13</v>
      </c>
      <c r="N541">
        <v>13</v>
      </c>
      <c r="O541">
        <v>13</v>
      </c>
      <c r="P541">
        <v>13</v>
      </c>
    </row>
    <row r="542" spans="1:16" x14ac:dyDescent="0.3">
      <c r="A542" t="str">
        <f>Table_Demand___Community_frontsheet[[#This Row],[Name]]&amp;B542</f>
        <v>MertonUrgent Community Response</v>
      </c>
      <c r="B542" t="str">
        <f>VLOOKUP(Table_Demand___Community_frontsheet[[#This Row],[Service Type]],PathwayLookup!E:F,2,0)</f>
        <v>Urgent Community Response</v>
      </c>
      <c r="C542" t="s">
        <v>219</v>
      </c>
      <c r="D542" t="s">
        <v>705</v>
      </c>
      <c r="E542">
        <v>124</v>
      </c>
      <c r="F542">
        <v>137</v>
      </c>
      <c r="G542">
        <v>103</v>
      </c>
      <c r="H542">
        <v>123</v>
      </c>
      <c r="I542">
        <v>129</v>
      </c>
      <c r="J542">
        <v>92</v>
      </c>
      <c r="K542">
        <v>109</v>
      </c>
      <c r="L542">
        <v>142</v>
      </c>
      <c r="M542">
        <v>122</v>
      </c>
      <c r="N542">
        <v>150</v>
      </c>
      <c r="O542">
        <v>139</v>
      </c>
      <c r="P542">
        <v>147</v>
      </c>
    </row>
    <row r="543" spans="1:16" x14ac:dyDescent="0.3">
      <c r="A543" t="str">
        <f>Table_Demand___Community_frontsheet[[#This Row],[Name]]&amp;B543</f>
        <v>MertonReablement &amp; Rehabilitation at home</v>
      </c>
      <c r="B543" t="str">
        <f>VLOOKUP(Table_Demand___Community_frontsheet[[#This Row],[Service Type]],PathwayLookup!E:F,2,0)</f>
        <v>Reablement &amp; Rehabilitation at home</v>
      </c>
      <c r="C543" t="s">
        <v>219</v>
      </c>
      <c r="D543" t="s">
        <v>720</v>
      </c>
      <c r="E543">
        <v>2</v>
      </c>
      <c r="F543">
        <v>5</v>
      </c>
      <c r="G543">
        <v>0</v>
      </c>
      <c r="H543">
        <v>3</v>
      </c>
      <c r="I543">
        <v>5</v>
      </c>
      <c r="J543">
        <v>2</v>
      </c>
      <c r="K543">
        <v>5</v>
      </c>
      <c r="L543">
        <v>8</v>
      </c>
      <c r="M543">
        <v>3</v>
      </c>
      <c r="N543">
        <v>6</v>
      </c>
      <c r="O543">
        <v>3</v>
      </c>
      <c r="P543">
        <v>5</v>
      </c>
    </row>
    <row r="544" spans="1:16" x14ac:dyDescent="0.3">
      <c r="A544" t="str">
        <f>Table_Demand___Community_frontsheet[[#This Row],[Name]]&amp;B544</f>
        <v>MertonReablement &amp; Rehabilitation at home</v>
      </c>
      <c r="B544" t="str">
        <f>VLOOKUP(Table_Demand___Community_frontsheet[[#This Row],[Service Type]],PathwayLookup!E:F,2,0)</f>
        <v>Reablement &amp; Rehabilitation at home</v>
      </c>
      <c r="C544" t="s">
        <v>219</v>
      </c>
      <c r="D544" t="s">
        <v>721</v>
      </c>
      <c r="E544">
        <v>141</v>
      </c>
      <c r="F544">
        <v>177</v>
      </c>
      <c r="G544">
        <v>168</v>
      </c>
      <c r="H544">
        <v>194</v>
      </c>
      <c r="I544">
        <v>181</v>
      </c>
      <c r="J544">
        <v>159</v>
      </c>
      <c r="K544">
        <v>172</v>
      </c>
      <c r="L544">
        <v>167</v>
      </c>
      <c r="M544">
        <v>168</v>
      </c>
      <c r="N544">
        <v>186</v>
      </c>
      <c r="O544">
        <v>205</v>
      </c>
      <c r="P544">
        <v>226</v>
      </c>
    </row>
    <row r="545" spans="1:16" x14ac:dyDescent="0.3">
      <c r="A545" t="str">
        <f>Table_Demand___Community_frontsheet[[#This Row],[Name]]&amp;B545</f>
        <v>MertonReablement &amp; Rehabilitation in a bedded setting</v>
      </c>
      <c r="B545" t="str">
        <f>VLOOKUP(Table_Demand___Community_frontsheet[[#This Row],[Service Type]],PathwayLookup!E:F,2,0)</f>
        <v>Reablement &amp; Rehabilitation in a bedded setting</v>
      </c>
      <c r="C545" t="s">
        <v>219</v>
      </c>
      <c r="D545" t="s">
        <v>723</v>
      </c>
      <c r="E545">
        <v>0</v>
      </c>
      <c r="F545">
        <v>0</v>
      </c>
      <c r="G545">
        <v>0</v>
      </c>
      <c r="H545">
        <v>0</v>
      </c>
      <c r="I545">
        <v>0</v>
      </c>
      <c r="J545">
        <v>0</v>
      </c>
      <c r="K545">
        <v>0</v>
      </c>
      <c r="L545">
        <v>0</v>
      </c>
      <c r="M545">
        <v>0</v>
      </c>
      <c r="N545">
        <v>0</v>
      </c>
      <c r="O545">
        <v>0</v>
      </c>
      <c r="P545">
        <v>0</v>
      </c>
    </row>
    <row r="546" spans="1:16" x14ac:dyDescent="0.3">
      <c r="A546" t="str">
        <f>Table_Demand___Community_frontsheet[[#This Row],[Name]]&amp;B546</f>
        <v>MertonReablement &amp; Rehabilitation in a bedded setting</v>
      </c>
      <c r="B546" t="str">
        <f>VLOOKUP(Table_Demand___Community_frontsheet[[#This Row],[Service Type]],PathwayLookup!E:F,2,0)</f>
        <v>Reablement &amp; Rehabilitation in a bedded setting</v>
      </c>
      <c r="C546" t="s">
        <v>219</v>
      </c>
      <c r="D546" t="s">
        <v>725</v>
      </c>
      <c r="E546">
        <v>0</v>
      </c>
      <c r="F546">
        <v>0</v>
      </c>
      <c r="G546">
        <v>0</v>
      </c>
      <c r="H546">
        <v>0</v>
      </c>
      <c r="I546">
        <v>0</v>
      </c>
      <c r="J546">
        <v>1</v>
      </c>
      <c r="K546">
        <v>0</v>
      </c>
      <c r="L546">
        <v>0</v>
      </c>
      <c r="M546">
        <v>0</v>
      </c>
      <c r="N546">
        <v>0</v>
      </c>
      <c r="O546">
        <v>0</v>
      </c>
      <c r="P546">
        <v>0</v>
      </c>
    </row>
    <row r="547" spans="1:16" x14ac:dyDescent="0.3">
      <c r="A547" t="str">
        <f>Table_Demand___Community_frontsheet[[#This Row],[Name]]&amp;B547</f>
        <v>MertonOther short-term social care</v>
      </c>
      <c r="B547" t="str">
        <f>VLOOKUP(Table_Demand___Community_frontsheet[[#This Row],[Service Type]],PathwayLookup!E:F,2,0)</f>
        <v>Other short-term social care</v>
      </c>
      <c r="C547" t="s">
        <v>219</v>
      </c>
      <c r="D547" t="s">
        <v>708</v>
      </c>
      <c r="E547">
        <v>0</v>
      </c>
      <c r="F547">
        <v>0</v>
      </c>
      <c r="G547">
        <v>0</v>
      </c>
      <c r="H547">
        <v>0</v>
      </c>
      <c r="I547">
        <v>0</v>
      </c>
      <c r="J547">
        <v>0</v>
      </c>
      <c r="K547">
        <v>0</v>
      </c>
      <c r="L547">
        <v>0</v>
      </c>
      <c r="M547">
        <v>0</v>
      </c>
      <c r="N547">
        <v>0</v>
      </c>
      <c r="O547">
        <v>0</v>
      </c>
      <c r="P547">
        <v>0</v>
      </c>
    </row>
    <row r="548" spans="1:16" x14ac:dyDescent="0.3">
      <c r="A548" t="str">
        <f>Table_Demand___Community_frontsheet[[#This Row],[Name]]&amp;B548</f>
        <v>MiddlesbroughSocial support (including VCS)</v>
      </c>
      <c r="B548" t="str">
        <f>VLOOKUP(Table_Demand___Community_frontsheet[[#This Row],[Service Type]],PathwayLookup!E:F,2,0)</f>
        <v>Social support (including VCS)</v>
      </c>
      <c r="C548" t="s">
        <v>221</v>
      </c>
      <c r="D548" t="s">
        <v>704</v>
      </c>
      <c r="E548">
        <v>0</v>
      </c>
      <c r="F548">
        <v>0</v>
      </c>
      <c r="G548">
        <v>0</v>
      </c>
      <c r="H548">
        <v>0</v>
      </c>
      <c r="I548">
        <v>0</v>
      </c>
      <c r="J548">
        <v>0</v>
      </c>
      <c r="K548">
        <v>0</v>
      </c>
      <c r="L548">
        <v>0</v>
      </c>
      <c r="M548">
        <v>0</v>
      </c>
      <c r="N548">
        <v>0</v>
      </c>
      <c r="O548">
        <v>0</v>
      </c>
      <c r="P548">
        <v>0</v>
      </c>
    </row>
    <row r="549" spans="1:16" x14ac:dyDescent="0.3">
      <c r="A549" t="str">
        <f>Table_Demand___Community_frontsheet[[#This Row],[Name]]&amp;B549</f>
        <v>MiddlesbroughUrgent Community Response</v>
      </c>
      <c r="B549" t="str">
        <f>VLOOKUP(Table_Demand___Community_frontsheet[[#This Row],[Service Type]],PathwayLookup!E:F,2,0)</f>
        <v>Urgent Community Response</v>
      </c>
      <c r="C549" t="s">
        <v>221</v>
      </c>
      <c r="D549" t="s">
        <v>705</v>
      </c>
      <c r="E549">
        <v>254</v>
      </c>
      <c r="F549">
        <v>254</v>
      </c>
      <c r="G549">
        <v>254</v>
      </c>
      <c r="H549">
        <v>267</v>
      </c>
      <c r="I549">
        <v>267</v>
      </c>
      <c r="J549">
        <v>267</v>
      </c>
      <c r="K549">
        <v>280</v>
      </c>
      <c r="L549">
        <v>280</v>
      </c>
      <c r="M549">
        <v>280</v>
      </c>
      <c r="N549">
        <v>280</v>
      </c>
      <c r="O549">
        <v>280</v>
      </c>
      <c r="P549">
        <v>280</v>
      </c>
    </row>
    <row r="550" spans="1:16" x14ac:dyDescent="0.3">
      <c r="A550" t="str">
        <f>Table_Demand___Community_frontsheet[[#This Row],[Name]]&amp;B550</f>
        <v>MiddlesbroughReablement &amp; Rehabilitation at home</v>
      </c>
      <c r="B550" t="str">
        <f>VLOOKUP(Table_Demand___Community_frontsheet[[#This Row],[Service Type]],PathwayLookup!E:F,2,0)</f>
        <v>Reablement &amp; Rehabilitation at home</v>
      </c>
      <c r="C550" t="s">
        <v>221</v>
      </c>
      <c r="D550" t="s">
        <v>720</v>
      </c>
      <c r="E550">
        <v>14</v>
      </c>
      <c r="F550">
        <v>14</v>
      </c>
      <c r="G550">
        <v>14</v>
      </c>
      <c r="H550">
        <v>14</v>
      </c>
      <c r="I550">
        <v>14</v>
      </c>
      <c r="J550">
        <v>14</v>
      </c>
      <c r="K550">
        <v>14</v>
      </c>
      <c r="L550">
        <v>14</v>
      </c>
      <c r="M550">
        <v>14</v>
      </c>
      <c r="N550">
        <v>14</v>
      </c>
      <c r="O550">
        <v>13</v>
      </c>
      <c r="P550">
        <v>14</v>
      </c>
    </row>
    <row r="551" spans="1:16" x14ac:dyDescent="0.3">
      <c r="A551" t="str">
        <f>Table_Demand___Community_frontsheet[[#This Row],[Name]]&amp;B551</f>
        <v>MiddlesbroughReablement &amp; Rehabilitation at home</v>
      </c>
      <c r="B551" t="str">
        <f>VLOOKUP(Table_Demand___Community_frontsheet[[#This Row],[Service Type]],PathwayLookup!E:F,2,0)</f>
        <v>Reablement &amp; Rehabilitation at home</v>
      </c>
      <c r="C551" t="s">
        <v>221</v>
      </c>
      <c r="D551" t="s">
        <v>721</v>
      </c>
      <c r="E551">
        <v>2</v>
      </c>
      <c r="F551">
        <v>2</v>
      </c>
      <c r="G551">
        <v>2</v>
      </c>
      <c r="H551">
        <v>2</v>
      </c>
      <c r="I551">
        <v>2</v>
      </c>
      <c r="J551">
        <v>2</v>
      </c>
      <c r="K551">
        <v>2</v>
      </c>
      <c r="L551">
        <v>2</v>
      </c>
      <c r="M551">
        <v>2</v>
      </c>
      <c r="N551">
        <v>2</v>
      </c>
      <c r="O551">
        <v>2</v>
      </c>
      <c r="P551">
        <v>3</v>
      </c>
    </row>
    <row r="552" spans="1:16" x14ac:dyDescent="0.3">
      <c r="A552" t="str">
        <f>Table_Demand___Community_frontsheet[[#This Row],[Name]]&amp;B552</f>
        <v>MiddlesbroughReablement &amp; Rehabilitation in a bedded setting</v>
      </c>
      <c r="B552" t="str">
        <f>VLOOKUP(Table_Demand___Community_frontsheet[[#This Row],[Service Type]],PathwayLookup!E:F,2,0)</f>
        <v>Reablement &amp; Rehabilitation in a bedded setting</v>
      </c>
      <c r="C552" t="s">
        <v>221</v>
      </c>
      <c r="D552" t="s">
        <v>723</v>
      </c>
      <c r="E552">
        <v>12</v>
      </c>
      <c r="F552">
        <v>12</v>
      </c>
      <c r="G552">
        <v>12</v>
      </c>
      <c r="H552">
        <v>12</v>
      </c>
      <c r="I552">
        <v>12</v>
      </c>
      <c r="J552">
        <v>12</v>
      </c>
      <c r="K552">
        <v>12</v>
      </c>
      <c r="L552">
        <v>12</v>
      </c>
      <c r="M552">
        <v>12</v>
      </c>
      <c r="N552">
        <v>12</v>
      </c>
      <c r="O552">
        <v>11</v>
      </c>
      <c r="P552">
        <v>12</v>
      </c>
    </row>
    <row r="553" spans="1:16" x14ac:dyDescent="0.3">
      <c r="A553" t="str">
        <f>Table_Demand___Community_frontsheet[[#This Row],[Name]]&amp;B553</f>
        <v>MiddlesbroughReablement &amp; Rehabilitation in a bedded setting</v>
      </c>
      <c r="B553" t="str">
        <f>VLOOKUP(Table_Demand___Community_frontsheet[[#This Row],[Service Type]],PathwayLookup!E:F,2,0)</f>
        <v>Reablement &amp; Rehabilitation in a bedded setting</v>
      </c>
      <c r="C553" t="s">
        <v>221</v>
      </c>
      <c r="D553" t="s">
        <v>725</v>
      </c>
      <c r="E553">
        <v>0</v>
      </c>
      <c r="F553">
        <v>0</v>
      </c>
      <c r="G553">
        <v>0</v>
      </c>
      <c r="H553">
        <v>0</v>
      </c>
      <c r="I553">
        <v>0</v>
      </c>
      <c r="J553">
        <v>0</v>
      </c>
      <c r="K553">
        <v>0</v>
      </c>
      <c r="L553">
        <v>0</v>
      </c>
      <c r="M553">
        <v>0</v>
      </c>
      <c r="N553">
        <v>0</v>
      </c>
      <c r="O553">
        <v>0</v>
      </c>
      <c r="P553">
        <v>0</v>
      </c>
    </row>
    <row r="554" spans="1:16" x14ac:dyDescent="0.3">
      <c r="A554" t="str">
        <f>Table_Demand___Community_frontsheet[[#This Row],[Name]]&amp;B554</f>
        <v>MiddlesbroughOther short-term social care</v>
      </c>
      <c r="B554" t="str">
        <f>VLOOKUP(Table_Demand___Community_frontsheet[[#This Row],[Service Type]],PathwayLookup!E:F,2,0)</f>
        <v>Other short-term social care</v>
      </c>
      <c r="C554" t="s">
        <v>221</v>
      </c>
      <c r="D554" t="s">
        <v>708</v>
      </c>
      <c r="E554">
        <v>0</v>
      </c>
      <c r="F554">
        <v>0</v>
      </c>
      <c r="G554">
        <v>0</v>
      </c>
      <c r="H554">
        <v>0</v>
      </c>
      <c r="I554">
        <v>0</v>
      </c>
      <c r="J554">
        <v>0</v>
      </c>
      <c r="K554">
        <v>0</v>
      </c>
      <c r="L554">
        <v>0</v>
      </c>
      <c r="M554">
        <v>0</v>
      </c>
      <c r="N554">
        <v>0</v>
      </c>
      <c r="O554">
        <v>0</v>
      </c>
      <c r="P554">
        <v>0</v>
      </c>
    </row>
    <row r="555" spans="1:16" x14ac:dyDescent="0.3">
      <c r="A555" t="str">
        <f>Table_Demand___Community_frontsheet[[#This Row],[Name]]&amp;B555</f>
        <v>Milton KeynesSocial support (including VCS)</v>
      </c>
      <c r="B555" t="str">
        <f>VLOOKUP(Table_Demand___Community_frontsheet[[#This Row],[Service Type]],PathwayLookup!E:F,2,0)</f>
        <v>Social support (including VCS)</v>
      </c>
      <c r="C555" t="s">
        <v>223</v>
      </c>
      <c r="D555" t="s">
        <v>704</v>
      </c>
      <c r="E555">
        <v>0</v>
      </c>
      <c r="F555">
        <v>0</v>
      </c>
      <c r="G555">
        <v>0</v>
      </c>
      <c r="H555">
        <v>0</v>
      </c>
      <c r="I555">
        <v>0</v>
      </c>
      <c r="J555">
        <v>0</v>
      </c>
      <c r="K555">
        <v>0</v>
      </c>
      <c r="L555">
        <v>0</v>
      </c>
      <c r="M555">
        <v>0</v>
      </c>
      <c r="N555">
        <v>0</v>
      </c>
      <c r="O555">
        <v>0</v>
      </c>
      <c r="P555">
        <v>0</v>
      </c>
    </row>
    <row r="556" spans="1:16" x14ac:dyDescent="0.3">
      <c r="A556" t="str">
        <f>Table_Demand___Community_frontsheet[[#This Row],[Name]]&amp;B556</f>
        <v>Milton KeynesUrgent Community Response</v>
      </c>
      <c r="B556" t="str">
        <f>VLOOKUP(Table_Demand___Community_frontsheet[[#This Row],[Service Type]],PathwayLookup!E:F,2,0)</f>
        <v>Urgent Community Response</v>
      </c>
      <c r="C556" t="s">
        <v>223</v>
      </c>
      <c r="D556" t="s">
        <v>705</v>
      </c>
      <c r="E556">
        <v>272</v>
      </c>
      <c r="F556">
        <v>286</v>
      </c>
      <c r="G556">
        <v>288</v>
      </c>
      <c r="H556">
        <v>280</v>
      </c>
      <c r="I556">
        <v>302</v>
      </c>
      <c r="J556">
        <v>325</v>
      </c>
      <c r="K556">
        <v>402</v>
      </c>
      <c r="L556">
        <v>386</v>
      </c>
      <c r="M556">
        <v>400</v>
      </c>
      <c r="N556">
        <v>416</v>
      </c>
      <c r="O556">
        <v>358</v>
      </c>
      <c r="P556">
        <v>356</v>
      </c>
    </row>
    <row r="557" spans="1:16" x14ac:dyDescent="0.3">
      <c r="A557" t="str">
        <f>Table_Demand___Community_frontsheet[[#This Row],[Name]]&amp;B557</f>
        <v>Milton KeynesReablement &amp; Rehabilitation at home</v>
      </c>
      <c r="B557" t="str">
        <f>VLOOKUP(Table_Demand___Community_frontsheet[[#This Row],[Service Type]],PathwayLookup!E:F,2,0)</f>
        <v>Reablement &amp; Rehabilitation at home</v>
      </c>
      <c r="C557" t="s">
        <v>223</v>
      </c>
      <c r="D557" t="s">
        <v>720</v>
      </c>
      <c r="E557">
        <v>86</v>
      </c>
      <c r="F557">
        <v>85</v>
      </c>
      <c r="G557">
        <v>85</v>
      </c>
      <c r="H557">
        <v>85</v>
      </c>
      <c r="I557">
        <v>85</v>
      </c>
      <c r="J557">
        <v>85</v>
      </c>
      <c r="K557">
        <v>90</v>
      </c>
      <c r="L557">
        <v>112</v>
      </c>
      <c r="M557">
        <v>112</v>
      </c>
      <c r="N557">
        <v>112</v>
      </c>
      <c r="O557">
        <v>94</v>
      </c>
      <c r="P557">
        <v>84</v>
      </c>
    </row>
    <row r="558" spans="1:16" x14ac:dyDescent="0.3">
      <c r="A558" t="str">
        <f>Table_Demand___Community_frontsheet[[#This Row],[Name]]&amp;B558</f>
        <v>Milton KeynesReablement &amp; Rehabilitation at home</v>
      </c>
      <c r="B558" t="str">
        <f>VLOOKUP(Table_Demand___Community_frontsheet[[#This Row],[Service Type]],PathwayLookup!E:F,2,0)</f>
        <v>Reablement &amp; Rehabilitation at home</v>
      </c>
      <c r="C558" t="s">
        <v>223</v>
      </c>
      <c r="D558" t="s">
        <v>721</v>
      </c>
      <c r="E558">
        <v>0</v>
      </c>
      <c r="F558">
        <v>0</v>
      </c>
      <c r="G558">
        <v>0</v>
      </c>
      <c r="H558">
        <v>0</v>
      </c>
      <c r="I558">
        <v>0</v>
      </c>
      <c r="J558">
        <v>0</v>
      </c>
      <c r="K558">
        <v>0</v>
      </c>
      <c r="L558">
        <v>0</v>
      </c>
      <c r="M558">
        <v>0</v>
      </c>
      <c r="N558">
        <v>0</v>
      </c>
      <c r="O558">
        <v>0</v>
      </c>
      <c r="P558">
        <v>0</v>
      </c>
    </row>
    <row r="559" spans="1:16" x14ac:dyDescent="0.3">
      <c r="A559" t="str">
        <f>Table_Demand___Community_frontsheet[[#This Row],[Name]]&amp;B559</f>
        <v>Milton KeynesReablement &amp; Rehabilitation in a bedded setting</v>
      </c>
      <c r="B559" t="str">
        <f>VLOOKUP(Table_Demand___Community_frontsheet[[#This Row],[Service Type]],PathwayLookup!E:F,2,0)</f>
        <v>Reablement &amp; Rehabilitation in a bedded setting</v>
      </c>
      <c r="C559" t="s">
        <v>223</v>
      </c>
      <c r="D559" t="s">
        <v>723</v>
      </c>
      <c r="E559">
        <v>12</v>
      </c>
      <c r="F559">
        <v>16</v>
      </c>
      <c r="G559">
        <v>20</v>
      </c>
      <c r="H559">
        <v>13</v>
      </c>
      <c r="I559">
        <v>18</v>
      </c>
      <c r="J559">
        <v>18</v>
      </c>
      <c r="K559">
        <v>13</v>
      </c>
      <c r="L559">
        <v>15</v>
      </c>
      <c r="M559">
        <v>22</v>
      </c>
      <c r="N559">
        <v>12</v>
      </c>
      <c r="O559">
        <v>8</v>
      </c>
      <c r="P559">
        <v>18</v>
      </c>
    </row>
    <row r="560" spans="1:16" x14ac:dyDescent="0.3">
      <c r="A560" t="str">
        <f>Table_Demand___Community_frontsheet[[#This Row],[Name]]&amp;B560</f>
        <v>Milton KeynesReablement &amp; Rehabilitation in a bedded setting</v>
      </c>
      <c r="B560" t="str">
        <f>VLOOKUP(Table_Demand___Community_frontsheet[[#This Row],[Service Type]],PathwayLookup!E:F,2,0)</f>
        <v>Reablement &amp; Rehabilitation in a bedded setting</v>
      </c>
      <c r="C560" t="s">
        <v>223</v>
      </c>
      <c r="D560" t="s">
        <v>725</v>
      </c>
      <c r="E560">
        <v>6</v>
      </c>
      <c r="F560">
        <v>6</v>
      </c>
      <c r="G560">
        <v>6</v>
      </c>
      <c r="H560">
        <v>6</v>
      </c>
      <c r="I560">
        <v>6</v>
      </c>
      <c r="J560">
        <v>6</v>
      </c>
      <c r="K560">
        <v>6</v>
      </c>
      <c r="L560">
        <v>6</v>
      </c>
      <c r="M560">
        <v>6</v>
      </c>
      <c r="N560">
        <v>6</v>
      </c>
      <c r="O560">
        <v>6</v>
      </c>
      <c r="P560">
        <v>6</v>
      </c>
    </row>
    <row r="561" spans="1:16" x14ac:dyDescent="0.3">
      <c r="A561" t="str">
        <f>Table_Demand___Community_frontsheet[[#This Row],[Name]]&amp;B561</f>
        <v>Milton KeynesOther short-term social care</v>
      </c>
      <c r="B561" t="str">
        <f>VLOOKUP(Table_Demand___Community_frontsheet[[#This Row],[Service Type]],PathwayLookup!E:F,2,0)</f>
        <v>Other short-term social care</v>
      </c>
      <c r="C561" t="s">
        <v>223</v>
      </c>
      <c r="D561" t="s">
        <v>708</v>
      </c>
      <c r="E561">
        <v>6</v>
      </c>
      <c r="F561">
        <v>6</v>
      </c>
      <c r="G561">
        <v>6</v>
      </c>
      <c r="H561">
        <v>6</v>
      </c>
      <c r="I561">
        <v>6</v>
      </c>
      <c r="J561">
        <v>6</v>
      </c>
      <c r="K561">
        <v>6</v>
      </c>
      <c r="L561">
        <v>6</v>
      </c>
      <c r="M561">
        <v>6</v>
      </c>
      <c r="N561">
        <v>6</v>
      </c>
      <c r="O561">
        <v>6</v>
      </c>
      <c r="P561">
        <v>6</v>
      </c>
    </row>
    <row r="562" spans="1:16" x14ac:dyDescent="0.3">
      <c r="A562" t="str">
        <f>Table_Demand___Community_frontsheet[[#This Row],[Name]]&amp;B562</f>
        <v>Newcastle upon TyneSocial support (including VCS)</v>
      </c>
      <c r="B562" t="str">
        <f>VLOOKUP(Table_Demand___Community_frontsheet[[#This Row],[Service Type]],PathwayLookup!E:F,2,0)</f>
        <v>Social support (including VCS)</v>
      </c>
      <c r="C562" t="s">
        <v>225</v>
      </c>
      <c r="D562" t="s">
        <v>704</v>
      </c>
      <c r="E562">
        <v>2</v>
      </c>
      <c r="F562">
        <v>4</v>
      </c>
      <c r="G562">
        <v>6</v>
      </c>
      <c r="H562">
        <v>6</v>
      </c>
      <c r="I562">
        <v>8</v>
      </c>
      <c r="J562">
        <v>9</v>
      </c>
      <c r="K562">
        <v>10</v>
      </c>
      <c r="L562">
        <v>11</v>
      </c>
      <c r="M562">
        <v>12</v>
      </c>
      <c r="N562">
        <v>13</v>
      </c>
      <c r="O562">
        <v>14</v>
      </c>
      <c r="P562">
        <v>15</v>
      </c>
    </row>
    <row r="563" spans="1:16" x14ac:dyDescent="0.3">
      <c r="A563" t="str">
        <f>Table_Demand___Community_frontsheet[[#This Row],[Name]]&amp;B563</f>
        <v>Newcastle upon TyneUrgent Community Response</v>
      </c>
      <c r="B563" t="str">
        <f>VLOOKUP(Table_Demand___Community_frontsheet[[#This Row],[Service Type]],PathwayLookup!E:F,2,0)</f>
        <v>Urgent Community Response</v>
      </c>
      <c r="C563" t="s">
        <v>225</v>
      </c>
      <c r="D563" t="s">
        <v>705</v>
      </c>
      <c r="E563">
        <v>430</v>
      </c>
      <c r="F563">
        <v>579</v>
      </c>
      <c r="G563">
        <v>608</v>
      </c>
      <c r="H563">
        <v>638</v>
      </c>
      <c r="I563">
        <v>667</v>
      </c>
      <c r="J563">
        <v>697</v>
      </c>
      <c r="K563">
        <v>727</v>
      </c>
      <c r="L563">
        <v>756</v>
      </c>
      <c r="M563">
        <v>786</v>
      </c>
      <c r="N563">
        <v>816</v>
      </c>
      <c r="O563">
        <v>845</v>
      </c>
      <c r="P563">
        <v>875</v>
      </c>
    </row>
    <row r="564" spans="1:16" x14ac:dyDescent="0.3">
      <c r="A564" t="str">
        <f>Table_Demand___Community_frontsheet[[#This Row],[Name]]&amp;B564</f>
        <v>Newcastle upon TyneReablement &amp; Rehabilitation at home</v>
      </c>
      <c r="B564" t="str">
        <f>VLOOKUP(Table_Demand___Community_frontsheet[[#This Row],[Service Type]],PathwayLookup!E:F,2,0)</f>
        <v>Reablement &amp; Rehabilitation at home</v>
      </c>
      <c r="C564" t="s">
        <v>225</v>
      </c>
      <c r="D564" t="s">
        <v>720</v>
      </c>
      <c r="E564">
        <v>97</v>
      </c>
      <c r="F564">
        <v>113</v>
      </c>
      <c r="G564">
        <v>116</v>
      </c>
      <c r="H564">
        <v>262</v>
      </c>
      <c r="I564">
        <v>65</v>
      </c>
      <c r="J564">
        <v>96</v>
      </c>
      <c r="K564">
        <v>101</v>
      </c>
      <c r="L564">
        <v>320</v>
      </c>
      <c r="M564">
        <v>82</v>
      </c>
      <c r="N564">
        <v>106</v>
      </c>
      <c r="O564">
        <v>132</v>
      </c>
      <c r="P564">
        <v>356</v>
      </c>
    </row>
    <row r="565" spans="1:16" x14ac:dyDescent="0.3">
      <c r="A565" t="str">
        <f>Table_Demand___Community_frontsheet[[#This Row],[Name]]&amp;B565</f>
        <v>Newcastle upon TyneReablement &amp; Rehabilitation at home</v>
      </c>
      <c r="B565" t="str">
        <f>VLOOKUP(Table_Demand___Community_frontsheet[[#This Row],[Service Type]],PathwayLookup!E:F,2,0)</f>
        <v>Reablement &amp; Rehabilitation at home</v>
      </c>
      <c r="C565" t="s">
        <v>225</v>
      </c>
      <c r="D565" t="s">
        <v>721</v>
      </c>
      <c r="E565">
        <v>628</v>
      </c>
      <c r="F565">
        <v>630</v>
      </c>
      <c r="G565">
        <v>632</v>
      </c>
      <c r="H565">
        <v>634</v>
      </c>
      <c r="I565">
        <v>635</v>
      </c>
      <c r="J565">
        <v>637</v>
      </c>
      <c r="K565">
        <v>639</v>
      </c>
      <c r="L565">
        <v>641</v>
      </c>
      <c r="M565">
        <v>643</v>
      </c>
      <c r="N565">
        <v>645</v>
      </c>
      <c r="O565">
        <v>648</v>
      </c>
      <c r="P565">
        <v>649</v>
      </c>
    </row>
    <row r="566" spans="1:16" x14ac:dyDescent="0.3">
      <c r="A566" t="str">
        <f>Table_Demand___Community_frontsheet[[#This Row],[Name]]&amp;B566</f>
        <v>Newcastle upon TyneReablement &amp; Rehabilitation in a bedded setting</v>
      </c>
      <c r="B566" t="str">
        <f>VLOOKUP(Table_Demand___Community_frontsheet[[#This Row],[Service Type]],PathwayLookup!E:F,2,0)</f>
        <v>Reablement &amp; Rehabilitation in a bedded setting</v>
      </c>
      <c r="C566" t="s">
        <v>225</v>
      </c>
      <c r="D566" t="s">
        <v>723</v>
      </c>
      <c r="E566">
        <v>0</v>
      </c>
      <c r="F566">
        <v>0</v>
      </c>
      <c r="G566">
        <v>0</v>
      </c>
      <c r="H566">
        <v>0</v>
      </c>
      <c r="I566">
        <v>0</v>
      </c>
      <c r="J566">
        <v>0</v>
      </c>
      <c r="K566">
        <v>0</v>
      </c>
      <c r="L566">
        <v>0</v>
      </c>
      <c r="M566">
        <v>0</v>
      </c>
      <c r="N566">
        <v>0</v>
      </c>
      <c r="O566">
        <v>0</v>
      </c>
      <c r="P566">
        <v>0</v>
      </c>
    </row>
    <row r="567" spans="1:16" x14ac:dyDescent="0.3">
      <c r="A567" t="str">
        <f>Table_Demand___Community_frontsheet[[#This Row],[Name]]&amp;B567</f>
        <v>Newcastle upon TyneReablement &amp; Rehabilitation in a bedded setting</v>
      </c>
      <c r="B567" t="str">
        <f>VLOOKUP(Table_Demand___Community_frontsheet[[#This Row],[Service Type]],PathwayLookup!E:F,2,0)</f>
        <v>Reablement &amp; Rehabilitation in a bedded setting</v>
      </c>
      <c r="C567" t="s">
        <v>225</v>
      </c>
      <c r="D567" t="s">
        <v>725</v>
      </c>
      <c r="E567">
        <v>6</v>
      </c>
      <c r="F567">
        <v>8</v>
      </c>
      <c r="G567">
        <v>8</v>
      </c>
      <c r="H567">
        <v>8</v>
      </c>
      <c r="I567">
        <v>8</v>
      </c>
      <c r="J567">
        <v>9</v>
      </c>
      <c r="K567">
        <v>8</v>
      </c>
      <c r="L567">
        <v>9</v>
      </c>
      <c r="M567">
        <v>11</v>
      </c>
      <c r="N567">
        <v>7</v>
      </c>
      <c r="O567">
        <v>6</v>
      </c>
      <c r="P567">
        <v>7</v>
      </c>
    </row>
    <row r="568" spans="1:16" x14ac:dyDescent="0.3">
      <c r="A568" t="str">
        <f>Table_Demand___Community_frontsheet[[#This Row],[Name]]&amp;B568</f>
        <v>Newcastle upon TyneOther short-term social care</v>
      </c>
      <c r="B568" t="str">
        <f>VLOOKUP(Table_Demand___Community_frontsheet[[#This Row],[Service Type]],PathwayLookup!E:F,2,0)</f>
        <v>Other short-term social care</v>
      </c>
      <c r="C568" t="s">
        <v>225</v>
      </c>
      <c r="D568" t="s">
        <v>708</v>
      </c>
      <c r="E568">
        <v>0</v>
      </c>
      <c r="F568">
        <v>0</v>
      </c>
      <c r="G568">
        <v>0</v>
      </c>
      <c r="H568">
        <v>0</v>
      </c>
      <c r="I568">
        <v>0</v>
      </c>
      <c r="J568">
        <v>0</v>
      </c>
      <c r="K568">
        <v>0</v>
      </c>
      <c r="L568">
        <v>0</v>
      </c>
      <c r="N568">
        <v>0</v>
      </c>
      <c r="O568">
        <v>0</v>
      </c>
      <c r="P568">
        <v>0</v>
      </c>
    </row>
    <row r="569" spans="1:16" x14ac:dyDescent="0.3">
      <c r="A569" t="str">
        <f>Table_Demand___Community_frontsheet[[#This Row],[Name]]&amp;B569</f>
        <v>NewhamSocial support (including VCS)</v>
      </c>
      <c r="B569" t="str">
        <f>VLOOKUP(Table_Demand___Community_frontsheet[[#This Row],[Service Type]],PathwayLookup!E:F,2,0)</f>
        <v>Social support (including VCS)</v>
      </c>
      <c r="C569" t="s">
        <v>227</v>
      </c>
      <c r="D569" t="s">
        <v>704</v>
      </c>
      <c r="E569">
        <v>0</v>
      </c>
      <c r="F569">
        <v>0</v>
      </c>
      <c r="G569">
        <v>0</v>
      </c>
      <c r="H569">
        <v>0</v>
      </c>
      <c r="I569">
        <v>0</v>
      </c>
      <c r="J569">
        <v>0</v>
      </c>
      <c r="K569">
        <v>0</v>
      </c>
      <c r="L569">
        <v>0</v>
      </c>
      <c r="M569">
        <v>0</v>
      </c>
      <c r="N569">
        <v>0</v>
      </c>
      <c r="O569">
        <v>0</v>
      </c>
      <c r="P569">
        <v>0</v>
      </c>
    </row>
    <row r="570" spans="1:16" x14ac:dyDescent="0.3">
      <c r="A570" t="str">
        <f>Table_Demand___Community_frontsheet[[#This Row],[Name]]&amp;B570</f>
        <v>NewhamUrgent Community Response</v>
      </c>
      <c r="B570" t="str">
        <f>VLOOKUP(Table_Demand___Community_frontsheet[[#This Row],[Service Type]],PathwayLookup!E:F,2,0)</f>
        <v>Urgent Community Response</v>
      </c>
      <c r="C570" t="s">
        <v>227</v>
      </c>
      <c r="D570" t="s">
        <v>705</v>
      </c>
      <c r="E570">
        <v>103.68728627443036</v>
      </c>
      <c r="F570">
        <v>103.68728627443036</v>
      </c>
      <c r="G570">
        <v>103.68728627443036</v>
      </c>
      <c r="H570">
        <v>104.42879249331784</v>
      </c>
      <c r="I570">
        <v>104.42879249331784</v>
      </c>
      <c r="J570">
        <v>104.42879249331784</v>
      </c>
      <c r="K570">
        <v>100.7212613988805</v>
      </c>
      <c r="L570">
        <v>100.7212613988805</v>
      </c>
      <c r="M570">
        <v>100.7212613988805</v>
      </c>
      <c r="N570">
        <v>102.9457800555429</v>
      </c>
      <c r="O570">
        <v>102.9457800555429</v>
      </c>
      <c r="P570">
        <v>102.9457800555429</v>
      </c>
    </row>
    <row r="571" spans="1:16" x14ac:dyDescent="0.3">
      <c r="A571" t="str">
        <f>Table_Demand___Community_frontsheet[[#This Row],[Name]]&amp;B571</f>
        <v>NewhamReablement &amp; Rehabilitation at home</v>
      </c>
      <c r="B571" t="str">
        <f>VLOOKUP(Table_Demand___Community_frontsheet[[#This Row],[Service Type]],PathwayLookup!E:F,2,0)</f>
        <v>Reablement &amp; Rehabilitation at home</v>
      </c>
      <c r="C571" t="s">
        <v>227</v>
      </c>
      <c r="D571" t="s">
        <v>720</v>
      </c>
      <c r="E571">
        <v>7</v>
      </c>
      <c r="F571">
        <v>7</v>
      </c>
      <c r="G571">
        <v>7</v>
      </c>
      <c r="H571">
        <v>7</v>
      </c>
      <c r="I571">
        <v>7</v>
      </c>
      <c r="J571">
        <v>7</v>
      </c>
      <c r="K571">
        <v>7</v>
      </c>
      <c r="L571">
        <v>7</v>
      </c>
      <c r="M571">
        <v>7</v>
      </c>
      <c r="N571">
        <v>7</v>
      </c>
      <c r="O571">
        <v>7</v>
      </c>
      <c r="P571">
        <v>7</v>
      </c>
    </row>
    <row r="572" spans="1:16" x14ac:dyDescent="0.3">
      <c r="A572" t="str">
        <f>Table_Demand___Community_frontsheet[[#This Row],[Name]]&amp;B572</f>
        <v>NewhamReablement &amp; Rehabilitation at home</v>
      </c>
      <c r="B572" t="str">
        <f>VLOOKUP(Table_Demand___Community_frontsheet[[#This Row],[Service Type]],PathwayLookup!E:F,2,0)</f>
        <v>Reablement &amp; Rehabilitation at home</v>
      </c>
      <c r="C572" t="s">
        <v>227</v>
      </c>
      <c r="D572" t="s">
        <v>721</v>
      </c>
      <c r="E572">
        <v>7</v>
      </c>
      <c r="F572">
        <v>7</v>
      </c>
      <c r="G572">
        <v>7</v>
      </c>
      <c r="H572">
        <v>7</v>
      </c>
      <c r="I572">
        <v>7</v>
      </c>
      <c r="J572">
        <v>7</v>
      </c>
      <c r="K572">
        <v>7</v>
      </c>
      <c r="L572">
        <v>7</v>
      </c>
      <c r="M572">
        <v>7</v>
      </c>
      <c r="N572">
        <v>7</v>
      </c>
      <c r="O572">
        <v>7</v>
      </c>
      <c r="P572">
        <v>7</v>
      </c>
    </row>
    <row r="573" spans="1:16" x14ac:dyDescent="0.3">
      <c r="A573" t="str">
        <f>Table_Demand___Community_frontsheet[[#This Row],[Name]]&amp;B573</f>
        <v>NewhamReablement &amp; Rehabilitation in a bedded setting</v>
      </c>
      <c r="B573" t="str">
        <f>VLOOKUP(Table_Demand___Community_frontsheet[[#This Row],[Service Type]],PathwayLookup!E:F,2,0)</f>
        <v>Reablement &amp; Rehabilitation in a bedded setting</v>
      </c>
      <c r="C573" t="s">
        <v>227</v>
      </c>
      <c r="D573" t="s">
        <v>723</v>
      </c>
      <c r="E573">
        <v>0</v>
      </c>
      <c r="F573">
        <v>0</v>
      </c>
      <c r="G573">
        <v>0</v>
      </c>
      <c r="H573">
        <v>0</v>
      </c>
      <c r="I573">
        <v>0</v>
      </c>
      <c r="J573">
        <v>0</v>
      </c>
      <c r="K573">
        <v>0</v>
      </c>
      <c r="L573">
        <v>0</v>
      </c>
      <c r="M573">
        <v>0</v>
      </c>
      <c r="N573">
        <v>0</v>
      </c>
      <c r="O573">
        <v>0</v>
      </c>
      <c r="P573">
        <v>0</v>
      </c>
    </row>
    <row r="574" spans="1:16" x14ac:dyDescent="0.3">
      <c r="A574" t="str">
        <f>Table_Demand___Community_frontsheet[[#This Row],[Name]]&amp;B574</f>
        <v>NewhamReablement &amp; Rehabilitation in a bedded setting</v>
      </c>
      <c r="B574" t="str">
        <f>VLOOKUP(Table_Demand___Community_frontsheet[[#This Row],[Service Type]],PathwayLookup!E:F,2,0)</f>
        <v>Reablement &amp; Rehabilitation in a bedded setting</v>
      </c>
      <c r="C574" t="s">
        <v>227</v>
      </c>
      <c r="D574" t="s">
        <v>725</v>
      </c>
      <c r="E574">
        <v>14</v>
      </c>
      <c r="F574">
        <v>14</v>
      </c>
      <c r="G574">
        <v>14</v>
      </c>
      <c r="H574">
        <v>14</v>
      </c>
      <c r="I574">
        <v>14</v>
      </c>
      <c r="J574">
        <v>14</v>
      </c>
      <c r="K574">
        <v>14</v>
      </c>
      <c r="L574">
        <v>14</v>
      </c>
      <c r="M574">
        <v>14</v>
      </c>
      <c r="N574">
        <v>14</v>
      </c>
      <c r="O574">
        <v>14</v>
      </c>
      <c r="P574">
        <v>14</v>
      </c>
    </row>
    <row r="575" spans="1:16" x14ac:dyDescent="0.3">
      <c r="A575" t="str">
        <f>Table_Demand___Community_frontsheet[[#This Row],[Name]]&amp;B575</f>
        <v>NewhamOther short-term social care</v>
      </c>
      <c r="B575" t="str">
        <f>VLOOKUP(Table_Demand___Community_frontsheet[[#This Row],[Service Type]],PathwayLookup!E:F,2,0)</f>
        <v>Other short-term social care</v>
      </c>
      <c r="C575" t="s">
        <v>227</v>
      </c>
      <c r="D575" t="s">
        <v>708</v>
      </c>
      <c r="E575">
        <v>0</v>
      </c>
      <c r="F575">
        <v>0</v>
      </c>
      <c r="G575">
        <v>0</v>
      </c>
      <c r="H575">
        <v>0</v>
      </c>
      <c r="I575">
        <v>0</v>
      </c>
      <c r="J575">
        <v>0</v>
      </c>
      <c r="K575">
        <v>0</v>
      </c>
      <c r="L575">
        <v>0</v>
      </c>
      <c r="M575">
        <v>0</v>
      </c>
      <c r="N575">
        <v>0</v>
      </c>
      <c r="O575">
        <v>0</v>
      </c>
      <c r="P575">
        <v>0</v>
      </c>
    </row>
    <row r="576" spans="1:16" x14ac:dyDescent="0.3">
      <c r="A576" t="str">
        <f>Table_Demand___Community_frontsheet[[#This Row],[Name]]&amp;B576</f>
        <v>NorfolkSocial support (including VCS)</v>
      </c>
      <c r="B576" t="str">
        <f>VLOOKUP(Table_Demand___Community_frontsheet[[#This Row],[Service Type]],PathwayLookup!E:F,2,0)</f>
        <v>Social support (including VCS)</v>
      </c>
      <c r="C576" t="s">
        <v>229</v>
      </c>
      <c r="D576" t="s">
        <v>704</v>
      </c>
    </row>
    <row r="577" spans="1:16" x14ac:dyDescent="0.3">
      <c r="A577" t="str">
        <f>Table_Demand___Community_frontsheet[[#This Row],[Name]]&amp;B577</f>
        <v>NorfolkUrgent Community Response</v>
      </c>
      <c r="B577" t="str">
        <f>VLOOKUP(Table_Demand___Community_frontsheet[[#This Row],[Service Type]],PathwayLookup!E:F,2,0)</f>
        <v>Urgent Community Response</v>
      </c>
      <c r="C577" t="s">
        <v>229</v>
      </c>
      <c r="D577" t="s">
        <v>705</v>
      </c>
      <c r="E577">
        <v>1651</v>
      </c>
      <c r="F577">
        <v>1835</v>
      </c>
      <c r="G577">
        <v>1681</v>
      </c>
      <c r="H577">
        <v>1977</v>
      </c>
      <c r="I577">
        <v>2075</v>
      </c>
      <c r="J577">
        <v>1764</v>
      </c>
      <c r="K577">
        <v>2033</v>
      </c>
      <c r="L577">
        <v>1936</v>
      </c>
      <c r="M577">
        <v>1946</v>
      </c>
      <c r="N577">
        <v>1980</v>
      </c>
      <c r="O577">
        <v>1676</v>
      </c>
      <c r="P577">
        <v>2066</v>
      </c>
    </row>
    <row r="578" spans="1:16" x14ac:dyDescent="0.3">
      <c r="A578" t="str">
        <f>Table_Demand___Community_frontsheet[[#This Row],[Name]]&amp;B578</f>
        <v>NorfolkReablement &amp; Rehabilitation at home</v>
      </c>
      <c r="B578" t="str">
        <f>VLOOKUP(Table_Demand___Community_frontsheet[[#This Row],[Service Type]],PathwayLookup!E:F,2,0)</f>
        <v>Reablement &amp; Rehabilitation at home</v>
      </c>
      <c r="C578" t="s">
        <v>229</v>
      </c>
      <c r="D578" t="s">
        <v>720</v>
      </c>
      <c r="E578">
        <v>272</v>
      </c>
      <c r="F578">
        <v>333</v>
      </c>
      <c r="G578">
        <v>289</v>
      </c>
      <c r="H578">
        <v>274</v>
      </c>
      <c r="I578">
        <v>266</v>
      </c>
      <c r="J578">
        <v>163</v>
      </c>
      <c r="K578">
        <v>280</v>
      </c>
      <c r="L578">
        <v>293</v>
      </c>
      <c r="M578">
        <v>294</v>
      </c>
      <c r="N578">
        <v>92</v>
      </c>
      <c r="O578">
        <v>324</v>
      </c>
      <c r="P578">
        <v>316</v>
      </c>
    </row>
    <row r="579" spans="1:16" x14ac:dyDescent="0.3">
      <c r="A579" t="str">
        <f>Table_Demand___Community_frontsheet[[#This Row],[Name]]&amp;B579</f>
        <v>NorfolkReablement &amp; Rehabilitation at home</v>
      </c>
      <c r="B579" t="str">
        <f>VLOOKUP(Table_Demand___Community_frontsheet[[#This Row],[Service Type]],PathwayLookup!E:F,2,0)</f>
        <v>Reablement &amp; Rehabilitation at home</v>
      </c>
      <c r="C579" t="s">
        <v>229</v>
      </c>
      <c r="D579" t="s">
        <v>721</v>
      </c>
    </row>
    <row r="580" spans="1:16" x14ac:dyDescent="0.3">
      <c r="A580" t="str">
        <f>Table_Demand___Community_frontsheet[[#This Row],[Name]]&amp;B580</f>
        <v>NorfolkReablement &amp; Rehabilitation in a bedded setting</v>
      </c>
      <c r="B580" t="str">
        <f>VLOOKUP(Table_Demand___Community_frontsheet[[#This Row],[Service Type]],PathwayLookup!E:F,2,0)</f>
        <v>Reablement &amp; Rehabilitation in a bedded setting</v>
      </c>
      <c r="C580" t="s">
        <v>229</v>
      </c>
      <c r="D580" t="s">
        <v>723</v>
      </c>
      <c r="E580">
        <v>13</v>
      </c>
      <c r="F580">
        <v>11</v>
      </c>
      <c r="G580">
        <v>11</v>
      </c>
      <c r="H580">
        <v>15</v>
      </c>
      <c r="I580">
        <v>6</v>
      </c>
      <c r="J580">
        <v>15</v>
      </c>
      <c r="K580">
        <v>9</v>
      </c>
      <c r="L580">
        <v>14</v>
      </c>
      <c r="M580">
        <v>19</v>
      </c>
      <c r="N580">
        <v>14</v>
      </c>
      <c r="O580">
        <v>15</v>
      </c>
      <c r="P580">
        <v>13</v>
      </c>
    </row>
    <row r="581" spans="1:16" x14ac:dyDescent="0.3">
      <c r="A581" t="str">
        <f>Table_Demand___Community_frontsheet[[#This Row],[Name]]&amp;B581</f>
        <v>NorfolkReablement &amp; Rehabilitation in a bedded setting</v>
      </c>
      <c r="B581" t="str">
        <f>VLOOKUP(Table_Demand___Community_frontsheet[[#This Row],[Service Type]],PathwayLookup!E:F,2,0)</f>
        <v>Reablement &amp; Rehabilitation in a bedded setting</v>
      </c>
      <c r="C581" t="s">
        <v>229</v>
      </c>
      <c r="D581" t="s">
        <v>725</v>
      </c>
    </row>
    <row r="582" spans="1:16" x14ac:dyDescent="0.3">
      <c r="A582" t="str">
        <f>Table_Demand___Community_frontsheet[[#This Row],[Name]]&amp;B582</f>
        <v>NorfolkOther short-term social care</v>
      </c>
      <c r="B582" t="str">
        <f>VLOOKUP(Table_Demand___Community_frontsheet[[#This Row],[Service Type]],PathwayLookup!E:F,2,0)</f>
        <v>Other short-term social care</v>
      </c>
      <c r="C582" t="s">
        <v>229</v>
      </c>
      <c r="D582" t="s">
        <v>708</v>
      </c>
    </row>
    <row r="583" spans="1:16" x14ac:dyDescent="0.3">
      <c r="A583" t="str">
        <f>Table_Demand___Community_frontsheet[[#This Row],[Name]]&amp;B583</f>
        <v>North East LincolnshireSocial support (including VCS)</v>
      </c>
      <c r="B583" t="str">
        <f>VLOOKUP(Table_Demand___Community_frontsheet[[#This Row],[Service Type]],PathwayLookup!E:F,2,0)</f>
        <v>Social support (including VCS)</v>
      </c>
      <c r="C583" t="s">
        <v>231</v>
      </c>
      <c r="D583" t="s">
        <v>704</v>
      </c>
      <c r="E583">
        <v>55</v>
      </c>
      <c r="F583">
        <v>55</v>
      </c>
      <c r="G583">
        <v>55</v>
      </c>
      <c r="H583">
        <v>55</v>
      </c>
      <c r="I583">
        <v>55</v>
      </c>
      <c r="J583">
        <v>55</v>
      </c>
      <c r="K583">
        <v>55</v>
      </c>
      <c r="L583">
        <v>58</v>
      </c>
      <c r="M583">
        <v>58</v>
      </c>
      <c r="N583">
        <v>58</v>
      </c>
      <c r="O583">
        <v>58</v>
      </c>
      <c r="P583">
        <v>58</v>
      </c>
    </row>
    <row r="584" spans="1:16" x14ac:dyDescent="0.3">
      <c r="A584" t="str">
        <f>Table_Demand___Community_frontsheet[[#This Row],[Name]]&amp;B584</f>
        <v>North East LincolnshireUrgent Community Response</v>
      </c>
      <c r="B584" t="str">
        <f>VLOOKUP(Table_Demand___Community_frontsheet[[#This Row],[Service Type]],PathwayLookup!E:F,2,0)</f>
        <v>Urgent Community Response</v>
      </c>
      <c r="C584" t="s">
        <v>231</v>
      </c>
      <c r="D584" t="s">
        <v>705</v>
      </c>
      <c r="E584">
        <v>500</v>
      </c>
      <c r="F584">
        <v>500</v>
      </c>
      <c r="G584">
        <v>500</v>
      </c>
      <c r="H584">
        <v>500</v>
      </c>
      <c r="I584">
        <v>500</v>
      </c>
      <c r="J584">
        <v>500</v>
      </c>
      <c r="K584">
        <v>500</v>
      </c>
      <c r="L584">
        <v>508</v>
      </c>
      <c r="M584">
        <v>508</v>
      </c>
      <c r="N584">
        <v>508</v>
      </c>
      <c r="O584">
        <v>508</v>
      </c>
      <c r="P584">
        <v>508</v>
      </c>
    </row>
    <row r="585" spans="1:16" x14ac:dyDescent="0.3">
      <c r="A585" t="str">
        <f>Table_Demand___Community_frontsheet[[#This Row],[Name]]&amp;B585</f>
        <v>North East LincolnshireReablement &amp; Rehabilitation at home</v>
      </c>
      <c r="B585" t="str">
        <f>VLOOKUP(Table_Demand___Community_frontsheet[[#This Row],[Service Type]],PathwayLookup!E:F,2,0)</f>
        <v>Reablement &amp; Rehabilitation at home</v>
      </c>
      <c r="C585" t="s">
        <v>231</v>
      </c>
      <c r="D585" t="s">
        <v>720</v>
      </c>
      <c r="E585">
        <v>20</v>
      </c>
      <c r="F585">
        <v>20</v>
      </c>
      <c r="G585">
        <v>20</v>
      </c>
      <c r="H585">
        <v>20</v>
      </c>
      <c r="I585">
        <v>20</v>
      </c>
      <c r="J585">
        <v>20</v>
      </c>
      <c r="K585">
        <v>20</v>
      </c>
      <c r="L585">
        <v>21</v>
      </c>
      <c r="M585">
        <v>21</v>
      </c>
      <c r="N585">
        <v>21</v>
      </c>
      <c r="O585">
        <v>21</v>
      </c>
      <c r="P585">
        <v>21</v>
      </c>
    </row>
    <row r="586" spans="1:16" x14ac:dyDescent="0.3">
      <c r="A586" t="str">
        <f>Table_Demand___Community_frontsheet[[#This Row],[Name]]&amp;B586</f>
        <v>North East LincolnshireReablement &amp; Rehabilitation at home</v>
      </c>
      <c r="B586" t="str">
        <f>VLOOKUP(Table_Demand___Community_frontsheet[[#This Row],[Service Type]],PathwayLookup!E:F,2,0)</f>
        <v>Reablement &amp; Rehabilitation at home</v>
      </c>
      <c r="C586" t="s">
        <v>231</v>
      </c>
      <c r="D586" t="s">
        <v>721</v>
      </c>
      <c r="E586">
        <v>0</v>
      </c>
      <c r="F586">
        <v>0</v>
      </c>
      <c r="G586">
        <v>0</v>
      </c>
      <c r="H586">
        <v>0</v>
      </c>
      <c r="I586">
        <v>0</v>
      </c>
      <c r="J586">
        <v>0</v>
      </c>
      <c r="K586">
        <v>0</v>
      </c>
      <c r="L586">
        <v>0</v>
      </c>
      <c r="M586">
        <v>0</v>
      </c>
      <c r="N586">
        <v>0</v>
      </c>
      <c r="O586">
        <v>0</v>
      </c>
      <c r="P586">
        <v>0</v>
      </c>
    </row>
    <row r="587" spans="1:16" x14ac:dyDescent="0.3">
      <c r="A587" t="str">
        <f>Table_Demand___Community_frontsheet[[#This Row],[Name]]&amp;B587</f>
        <v>North East LincolnshireReablement &amp; Rehabilitation in a bedded setting</v>
      </c>
      <c r="B587" t="str">
        <f>VLOOKUP(Table_Demand___Community_frontsheet[[#This Row],[Service Type]],PathwayLookup!E:F,2,0)</f>
        <v>Reablement &amp; Rehabilitation in a bedded setting</v>
      </c>
      <c r="C587" t="s">
        <v>231</v>
      </c>
      <c r="D587" t="s">
        <v>723</v>
      </c>
      <c r="E587">
        <v>8</v>
      </c>
      <c r="F587">
        <v>8</v>
      </c>
      <c r="G587">
        <v>8</v>
      </c>
      <c r="H587">
        <v>8</v>
      </c>
      <c r="I587">
        <v>8</v>
      </c>
      <c r="J587">
        <v>8</v>
      </c>
      <c r="K587">
        <v>8</v>
      </c>
      <c r="L587">
        <v>8</v>
      </c>
      <c r="M587">
        <v>8</v>
      </c>
      <c r="N587">
        <v>8</v>
      </c>
      <c r="O587">
        <v>8</v>
      </c>
      <c r="P587">
        <v>8</v>
      </c>
    </row>
    <row r="588" spans="1:16" x14ac:dyDescent="0.3">
      <c r="A588" t="str">
        <f>Table_Demand___Community_frontsheet[[#This Row],[Name]]&amp;B588</f>
        <v>North East LincolnshireReablement &amp; Rehabilitation in a bedded setting</v>
      </c>
      <c r="B588" t="str">
        <f>VLOOKUP(Table_Demand___Community_frontsheet[[#This Row],[Service Type]],PathwayLookup!E:F,2,0)</f>
        <v>Reablement &amp; Rehabilitation in a bedded setting</v>
      </c>
      <c r="C588" t="s">
        <v>231</v>
      </c>
      <c r="D588" t="s">
        <v>725</v>
      </c>
      <c r="E588">
        <v>0</v>
      </c>
      <c r="F588">
        <v>0</v>
      </c>
      <c r="G588">
        <v>0</v>
      </c>
      <c r="H588">
        <v>0</v>
      </c>
      <c r="I588">
        <v>0</v>
      </c>
      <c r="J588">
        <v>0</v>
      </c>
      <c r="K588">
        <v>0</v>
      </c>
      <c r="L588">
        <v>0</v>
      </c>
      <c r="M588">
        <v>0</v>
      </c>
      <c r="N588">
        <v>0</v>
      </c>
      <c r="O588">
        <v>0</v>
      </c>
      <c r="P588">
        <v>0</v>
      </c>
    </row>
    <row r="589" spans="1:16" x14ac:dyDescent="0.3">
      <c r="A589" t="str">
        <f>Table_Demand___Community_frontsheet[[#This Row],[Name]]&amp;B589</f>
        <v>North East LincolnshireOther short-term social care</v>
      </c>
      <c r="B589" t="str">
        <f>VLOOKUP(Table_Demand___Community_frontsheet[[#This Row],[Service Type]],PathwayLookup!E:F,2,0)</f>
        <v>Other short-term social care</v>
      </c>
      <c r="C589" t="s">
        <v>231</v>
      </c>
      <c r="D589" t="s">
        <v>708</v>
      </c>
      <c r="E589">
        <v>0</v>
      </c>
      <c r="F589">
        <v>0</v>
      </c>
      <c r="G589">
        <v>0</v>
      </c>
      <c r="H589">
        <v>0</v>
      </c>
      <c r="I589">
        <v>0</v>
      </c>
      <c r="J589">
        <v>0</v>
      </c>
      <c r="K589">
        <v>0</v>
      </c>
      <c r="L589">
        <v>0</v>
      </c>
      <c r="M589">
        <v>0</v>
      </c>
      <c r="N589">
        <v>0</v>
      </c>
      <c r="O589">
        <v>0</v>
      </c>
      <c r="P589">
        <v>0</v>
      </c>
    </row>
    <row r="590" spans="1:16" x14ac:dyDescent="0.3">
      <c r="A590" t="str">
        <f>Table_Demand___Community_frontsheet[[#This Row],[Name]]&amp;B590</f>
        <v>North LincolnshireSocial support (including VCS)</v>
      </c>
      <c r="B590" t="str">
        <f>VLOOKUP(Table_Demand___Community_frontsheet[[#This Row],[Service Type]],PathwayLookup!E:F,2,0)</f>
        <v>Social support (including VCS)</v>
      </c>
      <c r="C590" t="s">
        <v>233</v>
      </c>
      <c r="D590" t="s">
        <v>704</v>
      </c>
      <c r="E590">
        <v>0</v>
      </c>
      <c r="F590">
        <v>0</v>
      </c>
      <c r="G590">
        <v>0</v>
      </c>
      <c r="H590">
        <v>0</v>
      </c>
      <c r="I590">
        <v>5</v>
      </c>
      <c r="J590">
        <v>10</v>
      </c>
      <c r="K590">
        <v>15</v>
      </c>
      <c r="L590">
        <v>20</v>
      </c>
      <c r="M590">
        <v>25</v>
      </c>
      <c r="N590">
        <v>25</v>
      </c>
      <c r="O590">
        <v>25</v>
      </c>
      <c r="P590">
        <v>25</v>
      </c>
    </row>
    <row r="591" spans="1:16" x14ac:dyDescent="0.3">
      <c r="A591" t="str">
        <f>Table_Demand___Community_frontsheet[[#This Row],[Name]]&amp;B591</f>
        <v>North LincolnshireUrgent Community Response</v>
      </c>
      <c r="B591" t="str">
        <f>VLOOKUP(Table_Demand___Community_frontsheet[[#This Row],[Service Type]],PathwayLookup!E:F,2,0)</f>
        <v>Urgent Community Response</v>
      </c>
      <c r="C591" t="s">
        <v>233</v>
      </c>
      <c r="D591" t="s">
        <v>705</v>
      </c>
      <c r="E591">
        <v>400</v>
      </c>
      <c r="F591">
        <v>400</v>
      </c>
      <c r="G591">
        <v>400</v>
      </c>
      <c r="H591">
        <v>400</v>
      </c>
      <c r="I591">
        <v>400</v>
      </c>
      <c r="J591">
        <v>400</v>
      </c>
      <c r="K591">
        <v>450</v>
      </c>
      <c r="L591">
        <v>450</v>
      </c>
      <c r="M591">
        <v>450</v>
      </c>
      <c r="N591">
        <v>450</v>
      </c>
      <c r="O591">
        <v>450</v>
      </c>
      <c r="P591">
        <v>450</v>
      </c>
    </row>
    <row r="592" spans="1:16" x14ac:dyDescent="0.3">
      <c r="A592" t="str">
        <f>Table_Demand___Community_frontsheet[[#This Row],[Name]]&amp;B592</f>
        <v>North LincolnshireReablement &amp; Rehabilitation at home</v>
      </c>
      <c r="B592" t="str">
        <f>VLOOKUP(Table_Demand___Community_frontsheet[[#This Row],[Service Type]],PathwayLookup!E:F,2,0)</f>
        <v>Reablement &amp; Rehabilitation at home</v>
      </c>
      <c r="C592" t="s">
        <v>233</v>
      </c>
      <c r="D592" t="s">
        <v>720</v>
      </c>
      <c r="E592">
        <v>32</v>
      </c>
      <c r="F592">
        <v>40</v>
      </c>
      <c r="G592">
        <v>41</v>
      </c>
      <c r="H592">
        <v>29</v>
      </c>
      <c r="I592">
        <v>47</v>
      </c>
      <c r="J592">
        <v>40</v>
      </c>
      <c r="K592">
        <v>63</v>
      </c>
      <c r="L592">
        <v>71</v>
      </c>
      <c r="M592">
        <v>77</v>
      </c>
      <c r="N592">
        <v>74</v>
      </c>
      <c r="O592">
        <v>53</v>
      </c>
      <c r="P592">
        <v>63</v>
      </c>
    </row>
    <row r="593" spans="1:16" x14ac:dyDescent="0.3">
      <c r="A593" t="str">
        <f>Table_Demand___Community_frontsheet[[#This Row],[Name]]&amp;B593</f>
        <v>North LincolnshireReablement &amp; Rehabilitation at home</v>
      </c>
      <c r="B593" t="str">
        <f>VLOOKUP(Table_Demand___Community_frontsheet[[#This Row],[Service Type]],PathwayLookup!E:F,2,0)</f>
        <v>Reablement &amp; Rehabilitation at home</v>
      </c>
      <c r="C593" t="s">
        <v>233</v>
      </c>
      <c r="D593" t="s">
        <v>721</v>
      </c>
    </row>
    <row r="594" spans="1:16" x14ac:dyDescent="0.3">
      <c r="A594" t="str">
        <f>Table_Demand___Community_frontsheet[[#This Row],[Name]]&amp;B594</f>
        <v>North LincolnshireReablement &amp; Rehabilitation in a bedded setting</v>
      </c>
      <c r="B594" t="str">
        <f>VLOOKUP(Table_Demand___Community_frontsheet[[#This Row],[Service Type]],PathwayLookup!E:F,2,0)</f>
        <v>Reablement &amp; Rehabilitation in a bedded setting</v>
      </c>
      <c r="C594" t="s">
        <v>233</v>
      </c>
      <c r="D594" t="s">
        <v>723</v>
      </c>
      <c r="E594">
        <v>1</v>
      </c>
      <c r="F594">
        <v>1</v>
      </c>
      <c r="G594">
        <v>1</v>
      </c>
      <c r="H594">
        <v>1</v>
      </c>
      <c r="I594">
        <v>1</v>
      </c>
      <c r="J594">
        <v>1</v>
      </c>
      <c r="K594">
        <v>1</v>
      </c>
      <c r="L594">
        <v>1</v>
      </c>
      <c r="M594">
        <v>1</v>
      </c>
      <c r="N594">
        <v>1</v>
      </c>
      <c r="O594">
        <v>1</v>
      </c>
      <c r="P594">
        <v>1</v>
      </c>
    </row>
    <row r="595" spans="1:16" x14ac:dyDescent="0.3">
      <c r="A595" t="str">
        <f>Table_Demand___Community_frontsheet[[#This Row],[Name]]&amp;B595</f>
        <v>North LincolnshireReablement &amp; Rehabilitation in a bedded setting</v>
      </c>
      <c r="B595" t="str">
        <f>VLOOKUP(Table_Demand___Community_frontsheet[[#This Row],[Service Type]],PathwayLookup!E:F,2,0)</f>
        <v>Reablement &amp; Rehabilitation in a bedded setting</v>
      </c>
      <c r="C595" t="s">
        <v>233</v>
      </c>
      <c r="D595" t="s">
        <v>725</v>
      </c>
    </row>
    <row r="596" spans="1:16" x14ac:dyDescent="0.3">
      <c r="A596" t="str">
        <f>Table_Demand___Community_frontsheet[[#This Row],[Name]]&amp;B596</f>
        <v>North LincolnshireOther short-term social care</v>
      </c>
      <c r="B596" t="str">
        <f>VLOOKUP(Table_Demand___Community_frontsheet[[#This Row],[Service Type]],PathwayLookup!E:F,2,0)</f>
        <v>Other short-term social care</v>
      </c>
      <c r="C596" t="s">
        <v>233</v>
      </c>
      <c r="D596" t="s">
        <v>708</v>
      </c>
    </row>
    <row r="597" spans="1:16" x14ac:dyDescent="0.3">
      <c r="A597" t="str">
        <f>Table_Demand___Community_frontsheet[[#This Row],[Name]]&amp;B597</f>
        <v>North NorthamptonshireSocial support (including VCS)</v>
      </c>
      <c r="B597" t="str">
        <f>VLOOKUP(Table_Demand___Community_frontsheet[[#This Row],[Service Type]],PathwayLookup!E:F,2,0)</f>
        <v>Social support (including VCS)</v>
      </c>
      <c r="C597" t="s">
        <v>235</v>
      </c>
      <c r="D597" t="s">
        <v>704</v>
      </c>
      <c r="E597">
        <v>25</v>
      </c>
      <c r="F597">
        <v>25</v>
      </c>
      <c r="G597">
        <v>25</v>
      </c>
      <c r="H597">
        <v>25</v>
      </c>
      <c r="I597">
        <v>25</v>
      </c>
      <c r="J597">
        <v>25</v>
      </c>
      <c r="K597">
        <v>25</v>
      </c>
      <c r="L597">
        <v>25</v>
      </c>
      <c r="M597">
        <v>25</v>
      </c>
      <c r="N597">
        <v>25</v>
      </c>
      <c r="O597">
        <v>25</v>
      </c>
      <c r="P597">
        <v>25</v>
      </c>
    </row>
    <row r="598" spans="1:16" x14ac:dyDescent="0.3">
      <c r="A598" t="str">
        <f>Table_Demand___Community_frontsheet[[#This Row],[Name]]&amp;B598</f>
        <v>North NorthamptonshireUrgent Community Response</v>
      </c>
      <c r="B598" t="str">
        <f>VLOOKUP(Table_Demand___Community_frontsheet[[#This Row],[Service Type]],PathwayLookup!E:F,2,0)</f>
        <v>Urgent Community Response</v>
      </c>
      <c r="C598" t="s">
        <v>235</v>
      </c>
      <c r="D598" t="s">
        <v>705</v>
      </c>
      <c r="E598">
        <v>476</v>
      </c>
      <c r="F598">
        <v>500</v>
      </c>
      <c r="G598">
        <v>484</v>
      </c>
      <c r="H598">
        <v>515</v>
      </c>
      <c r="I598">
        <v>515</v>
      </c>
      <c r="J598">
        <v>506</v>
      </c>
      <c r="K598">
        <v>523</v>
      </c>
      <c r="L598">
        <v>513</v>
      </c>
      <c r="M598">
        <v>530</v>
      </c>
      <c r="N598">
        <v>538</v>
      </c>
      <c r="O598">
        <v>486</v>
      </c>
      <c r="P598">
        <v>538</v>
      </c>
    </row>
    <row r="599" spans="1:16" x14ac:dyDescent="0.3">
      <c r="A599" t="str">
        <f>Table_Demand___Community_frontsheet[[#This Row],[Name]]&amp;B599</f>
        <v>North NorthamptonshireReablement &amp; Rehabilitation at home</v>
      </c>
      <c r="B599" t="str">
        <f>VLOOKUP(Table_Demand___Community_frontsheet[[#This Row],[Service Type]],PathwayLookup!E:F,2,0)</f>
        <v>Reablement &amp; Rehabilitation at home</v>
      </c>
      <c r="C599" t="s">
        <v>235</v>
      </c>
      <c r="D599" t="s">
        <v>720</v>
      </c>
      <c r="E599">
        <v>33</v>
      </c>
      <c r="F599">
        <v>36</v>
      </c>
      <c r="G599">
        <v>26</v>
      </c>
      <c r="H599">
        <v>25</v>
      </c>
      <c r="I599">
        <v>36</v>
      </c>
      <c r="J599">
        <v>35</v>
      </c>
      <c r="K599">
        <v>34</v>
      </c>
      <c r="L599">
        <v>27</v>
      </c>
      <c r="M599">
        <v>28</v>
      </c>
      <c r="N599">
        <v>48</v>
      </c>
      <c r="O599">
        <v>22</v>
      </c>
      <c r="P599">
        <v>29</v>
      </c>
    </row>
    <row r="600" spans="1:16" x14ac:dyDescent="0.3">
      <c r="A600" t="str">
        <f>Table_Demand___Community_frontsheet[[#This Row],[Name]]&amp;B600</f>
        <v>North NorthamptonshireReablement &amp; Rehabilitation at home</v>
      </c>
      <c r="B600" t="str">
        <f>VLOOKUP(Table_Demand___Community_frontsheet[[#This Row],[Service Type]],PathwayLookup!E:F,2,0)</f>
        <v>Reablement &amp; Rehabilitation at home</v>
      </c>
      <c r="C600" t="s">
        <v>235</v>
      </c>
      <c r="D600" t="s">
        <v>721</v>
      </c>
      <c r="E600">
        <v>97</v>
      </c>
      <c r="F600">
        <v>107</v>
      </c>
      <c r="G600">
        <v>105</v>
      </c>
      <c r="H600">
        <v>100</v>
      </c>
      <c r="I600">
        <v>109</v>
      </c>
      <c r="J600">
        <v>101</v>
      </c>
      <c r="K600">
        <v>103</v>
      </c>
      <c r="L600">
        <v>105</v>
      </c>
      <c r="M600">
        <v>102</v>
      </c>
      <c r="N600">
        <v>107</v>
      </c>
      <c r="O600">
        <v>100</v>
      </c>
      <c r="P600">
        <v>102</v>
      </c>
    </row>
    <row r="601" spans="1:16" x14ac:dyDescent="0.3">
      <c r="A601" t="str">
        <f>Table_Demand___Community_frontsheet[[#This Row],[Name]]&amp;B601</f>
        <v>North NorthamptonshireReablement &amp; Rehabilitation in a bedded setting</v>
      </c>
      <c r="B601" t="str">
        <f>VLOOKUP(Table_Demand___Community_frontsheet[[#This Row],[Service Type]],PathwayLookup!E:F,2,0)</f>
        <v>Reablement &amp; Rehabilitation in a bedded setting</v>
      </c>
      <c r="C601" t="s">
        <v>235</v>
      </c>
      <c r="D601" t="s">
        <v>723</v>
      </c>
      <c r="E601">
        <v>0</v>
      </c>
      <c r="F601">
        <v>1</v>
      </c>
      <c r="G601">
        <v>0</v>
      </c>
      <c r="H601">
        <v>0</v>
      </c>
      <c r="I601">
        <v>0</v>
      </c>
      <c r="J601">
        <v>0</v>
      </c>
      <c r="K601">
        <v>0</v>
      </c>
      <c r="L601">
        <v>0</v>
      </c>
      <c r="M601">
        <v>0</v>
      </c>
      <c r="N601">
        <v>3</v>
      </c>
      <c r="O601">
        <v>0</v>
      </c>
      <c r="P601">
        <v>0</v>
      </c>
    </row>
    <row r="602" spans="1:16" x14ac:dyDescent="0.3">
      <c r="A602" t="str">
        <f>Table_Demand___Community_frontsheet[[#This Row],[Name]]&amp;B602</f>
        <v>North NorthamptonshireReablement &amp; Rehabilitation in a bedded setting</v>
      </c>
      <c r="B602" t="str">
        <f>VLOOKUP(Table_Demand___Community_frontsheet[[#This Row],[Service Type]],PathwayLookup!E:F,2,0)</f>
        <v>Reablement &amp; Rehabilitation in a bedded setting</v>
      </c>
      <c r="C602" t="s">
        <v>235</v>
      </c>
      <c r="D602" t="s">
        <v>725</v>
      </c>
      <c r="E602">
        <v>22</v>
      </c>
      <c r="F602">
        <v>22</v>
      </c>
      <c r="G602">
        <v>22</v>
      </c>
      <c r="H602">
        <v>22</v>
      </c>
      <c r="I602">
        <v>22</v>
      </c>
      <c r="J602">
        <v>22</v>
      </c>
      <c r="K602">
        <v>22</v>
      </c>
      <c r="L602">
        <v>22</v>
      </c>
      <c r="M602">
        <v>22</v>
      </c>
      <c r="N602">
        <v>22</v>
      </c>
      <c r="O602">
        <v>21</v>
      </c>
      <c r="P602">
        <v>22</v>
      </c>
    </row>
    <row r="603" spans="1:16" x14ac:dyDescent="0.3">
      <c r="A603" t="str">
        <f>Table_Demand___Community_frontsheet[[#This Row],[Name]]&amp;B603</f>
        <v>North NorthamptonshireOther short-term social care</v>
      </c>
      <c r="B603" t="str">
        <f>VLOOKUP(Table_Demand___Community_frontsheet[[#This Row],[Service Type]],PathwayLookup!E:F,2,0)</f>
        <v>Other short-term social care</v>
      </c>
      <c r="C603" t="s">
        <v>235</v>
      </c>
      <c r="D603" t="s">
        <v>708</v>
      </c>
      <c r="E603">
        <v>0</v>
      </c>
      <c r="F603">
        <v>0</v>
      </c>
      <c r="G603">
        <v>0</v>
      </c>
      <c r="H603">
        <v>0</v>
      </c>
      <c r="I603">
        <v>0</v>
      </c>
      <c r="J603">
        <v>0</v>
      </c>
      <c r="K603">
        <v>0</v>
      </c>
      <c r="L603">
        <v>0</v>
      </c>
      <c r="M603">
        <v>0</v>
      </c>
      <c r="N603">
        <v>0</v>
      </c>
      <c r="O603">
        <v>0</v>
      </c>
      <c r="P603">
        <v>0</v>
      </c>
    </row>
    <row r="604" spans="1:16" x14ac:dyDescent="0.3">
      <c r="A604" t="str">
        <f>Table_Demand___Community_frontsheet[[#This Row],[Name]]&amp;B604</f>
        <v>North SomersetSocial support (including VCS)</v>
      </c>
      <c r="B604" t="str">
        <f>VLOOKUP(Table_Demand___Community_frontsheet[[#This Row],[Service Type]],PathwayLookup!E:F,2,0)</f>
        <v>Social support (including VCS)</v>
      </c>
      <c r="C604" t="s">
        <v>237</v>
      </c>
      <c r="D604" t="s">
        <v>704</v>
      </c>
      <c r="E604">
        <v>10</v>
      </c>
      <c r="F604">
        <v>10</v>
      </c>
      <c r="G604">
        <v>10</v>
      </c>
      <c r="H604">
        <v>10</v>
      </c>
      <c r="I604">
        <v>10</v>
      </c>
      <c r="J604">
        <v>10</v>
      </c>
      <c r="K604">
        <v>10</v>
      </c>
      <c r="L604">
        <v>10</v>
      </c>
      <c r="M604">
        <v>10</v>
      </c>
      <c r="N604">
        <v>10</v>
      </c>
      <c r="O604">
        <v>10</v>
      </c>
      <c r="P604">
        <v>10</v>
      </c>
    </row>
    <row r="605" spans="1:16" x14ac:dyDescent="0.3">
      <c r="A605" t="str">
        <f>Table_Demand___Community_frontsheet[[#This Row],[Name]]&amp;B605</f>
        <v>North SomersetUrgent Community Response</v>
      </c>
      <c r="B605" t="str">
        <f>VLOOKUP(Table_Demand___Community_frontsheet[[#This Row],[Service Type]],PathwayLookup!E:F,2,0)</f>
        <v>Urgent Community Response</v>
      </c>
      <c r="C605" t="s">
        <v>237</v>
      </c>
      <c r="D605" t="s">
        <v>705</v>
      </c>
      <c r="E605">
        <v>457</v>
      </c>
      <c r="F605">
        <v>465</v>
      </c>
      <c r="G605">
        <v>457</v>
      </c>
      <c r="H605">
        <v>465</v>
      </c>
      <c r="I605">
        <v>465</v>
      </c>
      <c r="J605">
        <v>457</v>
      </c>
      <c r="K605">
        <v>476</v>
      </c>
      <c r="L605">
        <v>467</v>
      </c>
      <c r="M605">
        <v>476</v>
      </c>
      <c r="N605">
        <v>487</v>
      </c>
      <c r="O605">
        <v>469</v>
      </c>
      <c r="P605">
        <v>487</v>
      </c>
    </row>
    <row r="606" spans="1:16" x14ac:dyDescent="0.3">
      <c r="A606" t="str">
        <f>Table_Demand___Community_frontsheet[[#This Row],[Name]]&amp;B606</f>
        <v>North SomersetReablement &amp; Rehabilitation at home</v>
      </c>
      <c r="B606" t="str">
        <f>VLOOKUP(Table_Demand___Community_frontsheet[[#This Row],[Service Type]],PathwayLookup!E:F,2,0)</f>
        <v>Reablement &amp; Rehabilitation at home</v>
      </c>
      <c r="C606" t="s">
        <v>237</v>
      </c>
      <c r="D606" t="s">
        <v>720</v>
      </c>
      <c r="E606">
        <v>17</v>
      </c>
      <c r="F606">
        <v>17</v>
      </c>
      <c r="G606">
        <v>17</v>
      </c>
      <c r="H606">
        <v>17</v>
      </c>
      <c r="I606">
        <v>69</v>
      </c>
      <c r="J606">
        <v>69</v>
      </c>
      <c r="K606">
        <v>69</v>
      </c>
      <c r="L606">
        <v>69</v>
      </c>
      <c r="M606">
        <v>69</v>
      </c>
      <c r="N606">
        <v>69</v>
      </c>
      <c r="O606">
        <v>69</v>
      </c>
      <c r="P606">
        <v>69</v>
      </c>
    </row>
    <row r="607" spans="1:16" x14ac:dyDescent="0.3">
      <c r="A607" t="str">
        <f>Table_Demand___Community_frontsheet[[#This Row],[Name]]&amp;B607</f>
        <v>North SomersetReablement &amp; Rehabilitation at home</v>
      </c>
      <c r="B607" t="str">
        <f>VLOOKUP(Table_Demand___Community_frontsheet[[#This Row],[Service Type]],PathwayLookup!E:F,2,0)</f>
        <v>Reablement &amp; Rehabilitation at home</v>
      </c>
      <c r="C607" t="s">
        <v>237</v>
      </c>
      <c r="D607" t="s">
        <v>721</v>
      </c>
    </row>
    <row r="608" spans="1:16" x14ac:dyDescent="0.3">
      <c r="A608" t="str">
        <f>Table_Demand___Community_frontsheet[[#This Row],[Name]]&amp;B608</f>
        <v>North SomersetReablement &amp; Rehabilitation in a bedded setting</v>
      </c>
      <c r="B608" t="str">
        <f>VLOOKUP(Table_Demand___Community_frontsheet[[#This Row],[Service Type]],PathwayLookup!E:F,2,0)</f>
        <v>Reablement &amp; Rehabilitation in a bedded setting</v>
      </c>
      <c r="C608" t="s">
        <v>237</v>
      </c>
      <c r="D608" t="s">
        <v>723</v>
      </c>
    </row>
    <row r="609" spans="1:16" x14ac:dyDescent="0.3">
      <c r="A609" t="str">
        <f>Table_Demand___Community_frontsheet[[#This Row],[Name]]&amp;B609</f>
        <v>North SomersetReablement &amp; Rehabilitation in a bedded setting</v>
      </c>
      <c r="B609" t="str">
        <f>VLOOKUP(Table_Demand___Community_frontsheet[[#This Row],[Service Type]],PathwayLookup!E:F,2,0)</f>
        <v>Reablement &amp; Rehabilitation in a bedded setting</v>
      </c>
      <c r="C609" t="s">
        <v>237</v>
      </c>
      <c r="D609" t="s">
        <v>725</v>
      </c>
    </row>
    <row r="610" spans="1:16" x14ac:dyDescent="0.3">
      <c r="A610" t="str">
        <f>Table_Demand___Community_frontsheet[[#This Row],[Name]]&amp;B610</f>
        <v>North SomersetOther short-term social care</v>
      </c>
      <c r="B610" t="str">
        <f>VLOOKUP(Table_Demand___Community_frontsheet[[#This Row],[Service Type]],PathwayLookup!E:F,2,0)</f>
        <v>Other short-term social care</v>
      </c>
      <c r="C610" t="s">
        <v>237</v>
      </c>
      <c r="D610" t="s">
        <v>708</v>
      </c>
      <c r="E610">
        <v>13</v>
      </c>
      <c r="F610">
        <v>14</v>
      </c>
      <c r="G610">
        <v>13</v>
      </c>
      <c r="H610">
        <v>14</v>
      </c>
      <c r="I610">
        <v>14</v>
      </c>
      <c r="J610">
        <v>13</v>
      </c>
      <c r="K610">
        <v>14</v>
      </c>
      <c r="L610">
        <v>13</v>
      </c>
      <c r="M610">
        <v>14</v>
      </c>
      <c r="N610">
        <v>14</v>
      </c>
      <c r="O610">
        <v>13</v>
      </c>
      <c r="P610">
        <v>14</v>
      </c>
    </row>
    <row r="611" spans="1:16" x14ac:dyDescent="0.3">
      <c r="A611" t="str">
        <f>Table_Demand___Community_frontsheet[[#This Row],[Name]]&amp;B611</f>
        <v>North TynesideSocial support (including VCS)</v>
      </c>
      <c r="B611" t="str">
        <f>VLOOKUP(Table_Demand___Community_frontsheet[[#This Row],[Service Type]],PathwayLookup!E:F,2,0)</f>
        <v>Social support (including VCS)</v>
      </c>
      <c r="C611" t="s">
        <v>239</v>
      </c>
      <c r="D611" t="s">
        <v>704</v>
      </c>
      <c r="E611">
        <v>140</v>
      </c>
      <c r="F611">
        <v>140</v>
      </c>
      <c r="G611">
        <v>140</v>
      </c>
      <c r="H611">
        <v>140</v>
      </c>
      <c r="I611">
        <v>140</v>
      </c>
      <c r="J611">
        <v>140</v>
      </c>
      <c r="K611">
        <v>140</v>
      </c>
      <c r="L611">
        <v>140</v>
      </c>
      <c r="M611">
        <v>140</v>
      </c>
      <c r="N611">
        <v>140</v>
      </c>
      <c r="O611">
        <v>140</v>
      </c>
      <c r="P611">
        <v>140</v>
      </c>
    </row>
    <row r="612" spans="1:16" x14ac:dyDescent="0.3">
      <c r="A612" t="str">
        <f>Table_Demand___Community_frontsheet[[#This Row],[Name]]&amp;B612</f>
        <v>North TynesideUrgent Community Response</v>
      </c>
      <c r="B612" t="str">
        <f>VLOOKUP(Table_Demand___Community_frontsheet[[#This Row],[Service Type]],PathwayLookup!E:F,2,0)</f>
        <v>Urgent Community Response</v>
      </c>
      <c r="C612" t="s">
        <v>239</v>
      </c>
      <c r="D612" t="s">
        <v>705</v>
      </c>
      <c r="E612">
        <v>0</v>
      </c>
      <c r="F612">
        <v>0</v>
      </c>
      <c r="G612">
        <v>0</v>
      </c>
      <c r="H612">
        <v>0</v>
      </c>
      <c r="I612">
        <v>0</v>
      </c>
      <c r="J612">
        <v>0</v>
      </c>
      <c r="K612">
        <v>0</v>
      </c>
      <c r="L612">
        <v>0</v>
      </c>
      <c r="M612">
        <v>0</v>
      </c>
      <c r="N612">
        <v>0</v>
      </c>
      <c r="O612">
        <v>0</v>
      </c>
      <c r="P612">
        <v>0</v>
      </c>
    </row>
    <row r="613" spans="1:16" x14ac:dyDescent="0.3">
      <c r="A613" t="str">
        <f>Table_Demand___Community_frontsheet[[#This Row],[Name]]&amp;B613</f>
        <v>North TynesideReablement &amp; Rehabilitation at home</v>
      </c>
      <c r="B613" t="str">
        <f>VLOOKUP(Table_Demand___Community_frontsheet[[#This Row],[Service Type]],PathwayLookup!E:F,2,0)</f>
        <v>Reablement &amp; Rehabilitation at home</v>
      </c>
      <c r="C613" t="s">
        <v>239</v>
      </c>
      <c r="D613" t="s">
        <v>720</v>
      </c>
      <c r="E613">
        <v>29</v>
      </c>
      <c r="F613">
        <v>29</v>
      </c>
      <c r="G613">
        <v>29</v>
      </c>
      <c r="H613">
        <v>29</v>
      </c>
      <c r="I613">
        <v>29</v>
      </c>
      <c r="J613">
        <v>29</v>
      </c>
      <c r="K613">
        <v>29</v>
      </c>
      <c r="L613">
        <v>29</v>
      </c>
      <c r="M613">
        <v>29</v>
      </c>
      <c r="N613">
        <v>29</v>
      </c>
      <c r="O613">
        <v>29</v>
      </c>
      <c r="P613">
        <v>29</v>
      </c>
    </row>
    <row r="614" spans="1:16" x14ac:dyDescent="0.3">
      <c r="A614" t="str">
        <f>Table_Demand___Community_frontsheet[[#This Row],[Name]]&amp;B614</f>
        <v>North TynesideReablement &amp; Rehabilitation at home</v>
      </c>
      <c r="B614" t="str">
        <f>VLOOKUP(Table_Demand___Community_frontsheet[[#This Row],[Service Type]],PathwayLookup!E:F,2,0)</f>
        <v>Reablement &amp; Rehabilitation at home</v>
      </c>
      <c r="C614" t="s">
        <v>239</v>
      </c>
      <c r="D614" t="s">
        <v>721</v>
      </c>
      <c r="E614">
        <v>14</v>
      </c>
      <c r="F614">
        <v>14</v>
      </c>
      <c r="G614">
        <v>14</v>
      </c>
      <c r="H614">
        <v>14</v>
      </c>
      <c r="I614">
        <v>14</v>
      </c>
      <c r="J614">
        <v>14</v>
      </c>
      <c r="K614">
        <v>14</v>
      </c>
      <c r="L614">
        <v>14</v>
      </c>
      <c r="M614">
        <v>14</v>
      </c>
      <c r="N614">
        <v>14</v>
      </c>
      <c r="O614">
        <v>14</v>
      </c>
      <c r="P614">
        <v>14</v>
      </c>
    </row>
    <row r="615" spans="1:16" x14ac:dyDescent="0.3">
      <c r="A615" t="str">
        <f>Table_Demand___Community_frontsheet[[#This Row],[Name]]&amp;B615</f>
        <v>North TynesideReablement &amp; Rehabilitation in a bedded setting</v>
      </c>
      <c r="B615" t="str">
        <f>VLOOKUP(Table_Demand___Community_frontsheet[[#This Row],[Service Type]],PathwayLookup!E:F,2,0)</f>
        <v>Reablement &amp; Rehabilitation in a bedded setting</v>
      </c>
      <c r="C615" t="s">
        <v>239</v>
      </c>
      <c r="D615" t="s">
        <v>723</v>
      </c>
      <c r="E615">
        <v>7</v>
      </c>
      <c r="F615">
        <v>7</v>
      </c>
      <c r="G615">
        <v>7</v>
      </c>
      <c r="H615">
        <v>7</v>
      </c>
      <c r="I615">
        <v>7</v>
      </c>
      <c r="J615">
        <v>7</v>
      </c>
      <c r="K615">
        <v>7</v>
      </c>
      <c r="L615">
        <v>7</v>
      </c>
      <c r="M615">
        <v>7</v>
      </c>
      <c r="N615">
        <v>7</v>
      </c>
      <c r="O615">
        <v>7</v>
      </c>
      <c r="P615">
        <v>7</v>
      </c>
    </row>
    <row r="616" spans="1:16" x14ac:dyDescent="0.3">
      <c r="A616" t="str">
        <f>Table_Demand___Community_frontsheet[[#This Row],[Name]]&amp;B616</f>
        <v>North TynesideReablement &amp; Rehabilitation in a bedded setting</v>
      </c>
      <c r="B616" t="str">
        <f>VLOOKUP(Table_Demand___Community_frontsheet[[#This Row],[Service Type]],PathwayLookup!E:F,2,0)</f>
        <v>Reablement &amp; Rehabilitation in a bedded setting</v>
      </c>
      <c r="C616" t="s">
        <v>239</v>
      </c>
      <c r="D616" t="s">
        <v>725</v>
      </c>
      <c r="E616">
        <v>6</v>
      </c>
      <c r="F616">
        <v>6</v>
      </c>
      <c r="G616">
        <v>6</v>
      </c>
      <c r="H616">
        <v>6</v>
      </c>
      <c r="I616">
        <v>6</v>
      </c>
      <c r="J616">
        <v>6</v>
      </c>
      <c r="K616">
        <v>6</v>
      </c>
      <c r="L616">
        <v>6</v>
      </c>
      <c r="M616">
        <v>6</v>
      </c>
      <c r="N616">
        <v>6</v>
      </c>
      <c r="O616">
        <v>6</v>
      </c>
      <c r="P616">
        <v>6</v>
      </c>
    </row>
    <row r="617" spans="1:16" x14ac:dyDescent="0.3">
      <c r="A617" t="str">
        <f>Table_Demand___Community_frontsheet[[#This Row],[Name]]&amp;B617</f>
        <v>North TynesideOther short-term social care</v>
      </c>
      <c r="B617" t="str">
        <f>VLOOKUP(Table_Demand___Community_frontsheet[[#This Row],[Service Type]],PathwayLookup!E:F,2,0)</f>
        <v>Other short-term social care</v>
      </c>
      <c r="C617" t="s">
        <v>239</v>
      </c>
      <c r="D617" t="s">
        <v>708</v>
      </c>
      <c r="E617">
        <v>0</v>
      </c>
      <c r="F617">
        <v>0</v>
      </c>
      <c r="G617">
        <v>0</v>
      </c>
      <c r="H617">
        <v>0</v>
      </c>
      <c r="I617">
        <v>0</v>
      </c>
      <c r="J617">
        <v>0</v>
      </c>
      <c r="K617">
        <v>0</v>
      </c>
      <c r="L617">
        <v>0</v>
      </c>
      <c r="M617">
        <v>0</v>
      </c>
      <c r="N617">
        <v>0</v>
      </c>
      <c r="O617">
        <v>0</v>
      </c>
      <c r="P617">
        <v>0</v>
      </c>
    </row>
    <row r="618" spans="1:16" x14ac:dyDescent="0.3">
      <c r="A618" t="str">
        <f>Table_Demand___Community_frontsheet[[#This Row],[Name]]&amp;B618</f>
        <v>North YorkshireSocial support (including VCS)</v>
      </c>
      <c r="B618" t="str">
        <f>VLOOKUP(Table_Demand___Community_frontsheet[[#This Row],[Service Type]],PathwayLookup!E:F,2,0)</f>
        <v>Social support (including VCS)</v>
      </c>
      <c r="C618" t="s">
        <v>241</v>
      </c>
      <c r="D618" t="s">
        <v>704</v>
      </c>
      <c r="E618">
        <v>0</v>
      </c>
      <c r="F618">
        <v>0</v>
      </c>
      <c r="G618">
        <v>0</v>
      </c>
      <c r="H618">
        <v>0</v>
      </c>
      <c r="I618">
        <v>0</v>
      </c>
      <c r="J618">
        <v>0</v>
      </c>
      <c r="K618">
        <v>0</v>
      </c>
      <c r="L618">
        <v>0</v>
      </c>
      <c r="M618">
        <v>0</v>
      </c>
      <c r="N618">
        <v>0</v>
      </c>
      <c r="O618">
        <v>0</v>
      </c>
      <c r="P618">
        <v>0</v>
      </c>
    </row>
    <row r="619" spans="1:16" x14ac:dyDescent="0.3">
      <c r="A619" t="str">
        <f>Table_Demand___Community_frontsheet[[#This Row],[Name]]&amp;B619</f>
        <v>North YorkshireUrgent Community Response</v>
      </c>
      <c r="B619" t="str">
        <f>VLOOKUP(Table_Demand___Community_frontsheet[[#This Row],[Service Type]],PathwayLookup!E:F,2,0)</f>
        <v>Urgent Community Response</v>
      </c>
      <c r="C619" t="s">
        <v>241</v>
      </c>
      <c r="D619" t="s">
        <v>705</v>
      </c>
      <c r="E619">
        <v>228</v>
      </c>
      <c r="F619">
        <v>228</v>
      </c>
      <c r="G619">
        <v>228</v>
      </c>
      <c r="H619">
        <v>228</v>
      </c>
      <c r="I619">
        <v>263</v>
      </c>
      <c r="J619">
        <v>263</v>
      </c>
      <c r="K619">
        <v>263</v>
      </c>
      <c r="L619">
        <v>263</v>
      </c>
      <c r="M619">
        <v>263</v>
      </c>
      <c r="N619">
        <v>263</v>
      </c>
      <c r="O619">
        <v>263</v>
      </c>
      <c r="P619">
        <v>263</v>
      </c>
    </row>
    <row r="620" spans="1:16" x14ac:dyDescent="0.3">
      <c r="A620" t="str">
        <f>Table_Demand___Community_frontsheet[[#This Row],[Name]]&amp;B620</f>
        <v>North YorkshireReablement &amp; Rehabilitation at home</v>
      </c>
      <c r="B620" t="str">
        <f>VLOOKUP(Table_Demand___Community_frontsheet[[#This Row],[Service Type]],PathwayLookup!E:F,2,0)</f>
        <v>Reablement &amp; Rehabilitation at home</v>
      </c>
      <c r="C620" t="s">
        <v>241</v>
      </c>
      <c r="D620" t="s">
        <v>720</v>
      </c>
      <c r="E620">
        <v>6</v>
      </c>
      <c r="F620">
        <v>6</v>
      </c>
      <c r="G620">
        <v>6</v>
      </c>
      <c r="H620">
        <v>6</v>
      </c>
      <c r="I620">
        <v>6</v>
      </c>
      <c r="J620">
        <v>6</v>
      </c>
      <c r="K620">
        <v>6</v>
      </c>
      <c r="L620">
        <v>6</v>
      </c>
      <c r="M620">
        <v>6</v>
      </c>
      <c r="N620">
        <v>6</v>
      </c>
      <c r="O620">
        <v>6</v>
      </c>
      <c r="P620">
        <v>6</v>
      </c>
    </row>
    <row r="621" spans="1:16" x14ac:dyDescent="0.3">
      <c r="A621" t="str">
        <f>Table_Demand___Community_frontsheet[[#This Row],[Name]]&amp;B621</f>
        <v>North YorkshireReablement &amp; Rehabilitation at home</v>
      </c>
      <c r="B621" t="str">
        <f>VLOOKUP(Table_Demand___Community_frontsheet[[#This Row],[Service Type]],PathwayLookup!E:F,2,0)</f>
        <v>Reablement &amp; Rehabilitation at home</v>
      </c>
      <c r="C621" t="s">
        <v>241</v>
      </c>
      <c r="D621" t="s">
        <v>721</v>
      </c>
      <c r="E621">
        <v>283</v>
      </c>
      <c r="F621">
        <v>283</v>
      </c>
      <c r="G621">
        <v>283</v>
      </c>
      <c r="H621">
        <v>283</v>
      </c>
      <c r="I621">
        <v>283</v>
      </c>
      <c r="J621">
        <v>283</v>
      </c>
      <c r="K621">
        <v>283</v>
      </c>
      <c r="L621">
        <v>283</v>
      </c>
      <c r="M621">
        <v>283</v>
      </c>
      <c r="N621">
        <v>283</v>
      </c>
      <c r="O621">
        <v>283</v>
      </c>
      <c r="P621">
        <v>283</v>
      </c>
    </row>
    <row r="622" spans="1:16" x14ac:dyDescent="0.3">
      <c r="A622" t="str">
        <f>Table_Demand___Community_frontsheet[[#This Row],[Name]]&amp;B622</f>
        <v>North YorkshireReablement &amp; Rehabilitation in a bedded setting</v>
      </c>
      <c r="B622" t="str">
        <f>VLOOKUP(Table_Demand___Community_frontsheet[[#This Row],[Service Type]],PathwayLookup!E:F,2,0)</f>
        <v>Reablement &amp; Rehabilitation in a bedded setting</v>
      </c>
      <c r="C622" t="s">
        <v>241</v>
      </c>
      <c r="D622" t="s">
        <v>723</v>
      </c>
      <c r="E622">
        <v>26</v>
      </c>
      <c r="F622">
        <v>26</v>
      </c>
      <c r="G622">
        <v>26</v>
      </c>
      <c r="H622">
        <v>26</v>
      </c>
      <c r="I622">
        <v>26</v>
      </c>
      <c r="J622">
        <v>26</v>
      </c>
      <c r="K622">
        <v>26</v>
      </c>
      <c r="L622">
        <v>26</v>
      </c>
      <c r="M622">
        <v>26</v>
      </c>
      <c r="N622">
        <v>26</v>
      </c>
      <c r="O622">
        <v>26</v>
      </c>
      <c r="P622">
        <v>26</v>
      </c>
    </row>
    <row r="623" spans="1:16" x14ac:dyDescent="0.3">
      <c r="A623" t="str">
        <f>Table_Demand___Community_frontsheet[[#This Row],[Name]]&amp;B623</f>
        <v>North YorkshireReablement &amp; Rehabilitation in a bedded setting</v>
      </c>
      <c r="B623" t="str">
        <f>VLOOKUP(Table_Demand___Community_frontsheet[[#This Row],[Service Type]],PathwayLookup!E:F,2,0)</f>
        <v>Reablement &amp; Rehabilitation in a bedded setting</v>
      </c>
      <c r="C623" t="s">
        <v>241</v>
      </c>
      <c r="D623" t="s">
        <v>725</v>
      </c>
      <c r="E623">
        <v>4</v>
      </c>
      <c r="F623">
        <v>4</v>
      </c>
      <c r="G623">
        <v>4</v>
      </c>
      <c r="H623">
        <v>4</v>
      </c>
      <c r="I623">
        <v>4</v>
      </c>
      <c r="J623">
        <v>4</v>
      </c>
      <c r="K623">
        <v>4</v>
      </c>
      <c r="L623">
        <v>4</v>
      </c>
      <c r="M623">
        <v>4</v>
      </c>
      <c r="N623">
        <v>4</v>
      </c>
      <c r="O623">
        <v>4</v>
      </c>
      <c r="P623">
        <v>4</v>
      </c>
    </row>
    <row r="624" spans="1:16" x14ac:dyDescent="0.3">
      <c r="A624" t="str">
        <f>Table_Demand___Community_frontsheet[[#This Row],[Name]]&amp;B624</f>
        <v>North YorkshireOther short-term social care</v>
      </c>
      <c r="B624" t="str">
        <f>VLOOKUP(Table_Demand___Community_frontsheet[[#This Row],[Service Type]],PathwayLookup!E:F,2,0)</f>
        <v>Other short-term social care</v>
      </c>
      <c r="C624" t="s">
        <v>241</v>
      </c>
      <c r="D624" t="s">
        <v>708</v>
      </c>
      <c r="E624">
        <v>7</v>
      </c>
      <c r="F624">
        <v>6</v>
      </c>
      <c r="G624">
        <v>6</v>
      </c>
      <c r="H624">
        <v>6</v>
      </c>
      <c r="I624">
        <v>6</v>
      </c>
      <c r="J624">
        <v>6</v>
      </c>
      <c r="K624">
        <v>6</v>
      </c>
      <c r="L624">
        <v>6</v>
      </c>
      <c r="M624">
        <v>6</v>
      </c>
      <c r="N624">
        <v>6</v>
      </c>
      <c r="O624">
        <v>6</v>
      </c>
      <c r="P624">
        <v>6</v>
      </c>
    </row>
    <row r="625" spans="1:16" x14ac:dyDescent="0.3">
      <c r="A625" t="str">
        <f>Table_Demand___Community_frontsheet[[#This Row],[Name]]&amp;B625</f>
        <v>NorthumberlandSocial support (including VCS)</v>
      </c>
      <c r="B625" t="str">
        <f>VLOOKUP(Table_Demand___Community_frontsheet[[#This Row],[Service Type]],PathwayLookup!E:F,2,0)</f>
        <v>Social support (including VCS)</v>
      </c>
      <c r="C625" t="s">
        <v>243</v>
      </c>
      <c r="D625" t="s">
        <v>704</v>
      </c>
      <c r="E625">
        <v>0</v>
      </c>
      <c r="F625">
        <v>0</v>
      </c>
      <c r="G625">
        <v>0</v>
      </c>
      <c r="H625">
        <v>0</v>
      </c>
      <c r="I625">
        <v>0</v>
      </c>
      <c r="J625">
        <v>0</v>
      </c>
      <c r="K625">
        <v>0</v>
      </c>
      <c r="L625">
        <v>0</v>
      </c>
      <c r="M625">
        <v>0</v>
      </c>
      <c r="N625">
        <v>0</v>
      </c>
      <c r="O625">
        <v>0</v>
      </c>
      <c r="P625">
        <v>0</v>
      </c>
    </row>
    <row r="626" spans="1:16" x14ac:dyDescent="0.3">
      <c r="A626" t="str">
        <f>Table_Demand___Community_frontsheet[[#This Row],[Name]]&amp;B626</f>
        <v>NorthumberlandUrgent Community Response</v>
      </c>
      <c r="B626" t="str">
        <f>VLOOKUP(Table_Demand___Community_frontsheet[[#This Row],[Service Type]],PathwayLookup!E:F,2,0)</f>
        <v>Urgent Community Response</v>
      </c>
      <c r="C626" t="s">
        <v>243</v>
      </c>
      <c r="D626" t="s">
        <v>705</v>
      </c>
      <c r="E626">
        <v>187</v>
      </c>
      <c r="F626">
        <v>187</v>
      </c>
      <c r="G626">
        <v>187</v>
      </c>
      <c r="H626">
        <v>197</v>
      </c>
      <c r="I626">
        <v>197</v>
      </c>
      <c r="J626">
        <v>197</v>
      </c>
      <c r="K626">
        <v>200</v>
      </c>
      <c r="L626">
        <v>200</v>
      </c>
      <c r="M626">
        <v>310</v>
      </c>
      <c r="N626">
        <v>320</v>
      </c>
      <c r="O626">
        <v>320</v>
      </c>
      <c r="P626">
        <v>320</v>
      </c>
    </row>
    <row r="627" spans="1:16" x14ac:dyDescent="0.3">
      <c r="A627" t="str">
        <f>Table_Demand___Community_frontsheet[[#This Row],[Name]]&amp;B627</f>
        <v>NorthumberlandReablement &amp; Rehabilitation at home</v>
      </c>
      <c r="B627" t="str">
        <f>VLOOKUP(Table_Demand___Community_frontsheet[[#This Row],[Service Type]],PathwayLookup!E:F,2,0)</f>
        <v>Reablement &amp; Rehabilitation at home</v>
      </c>
      <c r="C627" t="s">
        <v>243</v>
      </c>
      <c r="D627" t="s">
        <v>720</v>
      </c>
      <c r="E627">
        <v>59</v>
      </c>
      <c r="F627">
        <v>55</v>
      </c>
      <c r="G627">
        <v>57</v>
      </c>
      <c r="H627">
        <v>57</v>
      </c>
      <c r="I627">
        <v>57</v>
      </c>
      <c r="J627">
        <v>57</v>
      </c>
      <c r="K627">
        <v>57</v>
      </c>
      <c r="L627">
        <v>57</v>
      </c>
      <c r="M627">
        <v>57</v>
      </c>
      <c r="N627">
        <v>57</v>
      </c>
      <c r="O627">
        <v>57</v>
      </c>
      <c r="P627">
        <v>57</v>
      </c>
    </row>
    <row r="628" spans="1:16" x14ac:dyDescent="0.3">
      <c r="A628" t="str">
        <f>Table_Demand___Community_frontsheet[[#This Row],[Name]]&amp;B628</f>
        <v>NorthumberlandReablement &amp; Rehabilitation at home</v>
      </c>
      <c r="B628" t="str">
        <f>VLOOKUP(Table_Demand___Community_frontsheet[[#This Row],[Service Type]],PathwayLookup!E:F,2,0)</f>
        <v>Reablement &amp; Rehabilitation at home</v>
      </c>
      <c r="C628" t="s">
        <v>243</v>
      </c>
      <c r="D628" t="s">
        <v>721</v>
      </c>
      <c r="E628">
        <v>325</v>
      </c>
      <c r="F628">
        <v>363</v>
      </c>
      <c r="G628">
        <v>342</v>
      </c>
      <c r="H628">
        <v>342</v>
      </c>
      <c r="I628">
        <v>342</v>
      </c>
      <c r="J628">
        <v>342</v>
      </c>
      <c r="K628">
        <v>342</v>
      </c>
      <c r="L628">
        <v>342</v>
      </c>
      <c r="M628">
        <v>342</v>
      </c>
      <c r="N628">
        <v>342</v>
      </c>
      <c r="O628">
        <v>342</v>
      </c>
      <c r="P628">
        <v>342</v>
      </c>
    </row>
    <row r="629" spans="1:16" x14ac:dyDescent="0.3">
      <c r="A629" t="str">
        <f>Table_Demand___Community_frontsheet[[#This Row],[Name]]&amp;B629</f>
        <v>NorthumberlandReablement &amp; Rehabilitation in a bedded setting</v>
      </c>
      <c r="B629" t="str">
        <f>VLOOKUP(Table_Demand___Community_frontsheet[[#This Row],[Service Type]],PathwayLookup!E:F,2,0)</f>
        <v>Reablement &amp; Rehabilitation in a bedded setting</v>
      </c>
      <c r="C629" t="s">
        <v>243</v>
      </c>
      <c r="D629" t="s">
        <v>723</v>
      </c>
      <c r="E629">
        <v>0</v>
      </c>
      <c r="F629">
        <v>0</v>
      </c>
      <c r="G629">
        <v>0</v>
      </c>
      <c r="H629">
        <v>0</v>
      </c>
      <c r="I629">
        <v>0</v>
      </c>
      <c r="J629">
        <v>0</v>
      </c>
      <c r="K629">
        <v>0</v>
      </c>
      <c r="L629">
        <v>0</v>
      </c>
      <c r="M629">
        <v>0</v>
      </c>
      <c r="N629">
        <v>0</v>
      </c>
      <c r="O629">
        <v>0</v>
      </c>
      <c r="P629">
        <v>0</v>
      </c>
    </row>
    <row r="630" spans="1:16" x14ac:dyDescent="0.3">
      <c r="A630" t="str">
        <f>Table_Demand___Community_frontsheet[[#This Row],[Name]]&amp;B630</f>
        <v>NorthumberlandReablement &amp; Rehabilitation in a bedded setting</v>
      </c>
      <c r="B630" t="str">
        <f>VLOOKUP(Table_Demand___Community_frontsheet[[#This Row],[Service Type]],PathwayLookup!E:F,2,0)</f>
        <v>Reablement &amp; Rehabilitation in a bedded setting</v>
      </c>
      <c r="C630" t="s">
        <v>243</v>
      </c>
      <c r="D630" t="s">
        <v>725</v>
      </c>
      <c r="E630">
        <v>0</v>
      </c>
      <c r="F630">
        <v>0</v>
      </c>
      <c r="G630">
        <v>0</v>
      </c>
      <c r="H630">
        <v>0</v>
      </c>
      <c r="I630">
        <v>0</v>
      </c>
      <c r="J630">
        <v>0</v>
      </c>
      <c r="K630">
        <v>0</v>
      </c>
      <c r="L630">
        <v>0</v>
      </c>
      <c r="M630">
        <v>20</v>
      </c>
      <c r="N630">
        <v>20</v>
      </c>
      <c r="O630">
        <v>20</v>
      </c>
      <c r="P630">
        <v>20</v>
      </c>
    </row>
    <row r="631" spans="1:16" x14ac:dyDescent="0.3">
      <c r="A631" t="str">
        <f>Table_Demand___Community_frontsheet[[#This Row],[Name]]&amp;B631</f>
        <v>NorthumberlandOther short-term social care</v>
      </c>
      <c r="B631" t="str">
        <f>VLOOKUP(Table_Demand___Community_frontsheet[[#This Row],[Service Type]],PathwayLookup!E:F,2,0)</f>
        <v>Other short-term social care</v>
      </c>
      <c r="C631" t="s">
        <v>243</v>
      </c>
      <c r="D631" t="s">
        <v>708</v>
      </c>
      <c r="E631">
        <v>162</v>
      </c>
      <c r="F631">
        <v>162</v>
      </c>
      <c r="G631">
        <v>162</v>
      </c>
      <c r="H631">
        <v>162</v>
      </c>
      <c r="I631">
        <v>162</v>
      </c>
      <c r="J631">
        <v>162</v>
      </c>
      <c r="K631">
        <v>162</v>
      </c>
      <c r="L631">
        <v>162</v>
      </c>
      <c r="M631">
        <v>162</v>
      </c>
      <c r="N631">
        <v>162</v>
      </c>
      <c r="O631">
        <v>162</v>
      </c>
      <c r="P631">
        <v>162</v>
      </c>
    </row>
    <row r="632" spans="1:16" x14ac:dyDescent="0.3">
      <c r="A632" t="str">
        <f>Table_Demand___Community_frontsheet[[#This Row],[Name]]&amp;B632</f>
        <v>NottinghamSocial support (including VCS)</v>
      </c>
      <c r="B632" t="str">
        <f>VLOOKUP(Table_Demand___Community_frontsheet[[#This Row],[Service Type]],PathwayLookup!E:F,2,0)</f>
        <v>Social support (including VCS)</v>
      </c>
      <c r="C632" t="s">
        <v>245</v>
      </c>
      <c r="D632" t="s">
        <v>704</v>
      </c>
      <c r="E632">
        <v>59</v>
      </c>
      <c r="F632">
        <v>59</v>
      </c>
      <c r="G632">
        <v>59</v>
      </c>
      <c r="H632">
        <v>59</v>
      </c>
      <c r="I632">
        <v>59</v>
      </c>
      <c r="J632">
        <v>59</v>
      </c>
      <c r="K632">
        <v>59</v>
      </c>
      <c r="L632">
        <v>59</v>
      </c>
      <c r="M632">
        <v>59</v>
      </c>
      <c r="N632">
        <v>59</v>
      </c>
      <c r="O632">
        <v>59</v>
      </c>
      <c r="P632">
        <v>59</v>
      </c>
    </row>
    <row r="633" spans="1:16" x14ac:dyDescent="0.3">
      <c r="A633" t="str">
        <f>Table_Demand___Community_frontsheet[[#This Row],[Name]]&amp;B633</f>
        <v>NottinghamUrgent Community Response</v>
      </c>
      <c r="B633" t="str">
        <f>VLOOKUP(Table_Demand___Community_frontsheet[[#This Row],[Service Type]],PathwayLookup!E:F,2,0)</f>
        <v>Urgent Community Response</v>
      </c>
      <c r="C633" t="s">
        <v>245</v>
      </c>
      <c r="D633" t="s">
        <v>705</v>
      </c>
      <c r="E633">
        <v>0</v>
      </c>
      <c r="F633">
        <v>1</v>
      </c>
      <c r="G633">
        <v>2</v>
      </c>
      <c r="H633">
        <v>3</v>
      </c>
      <c r="I633">
        <v>4</v>
      </c>
      <c r="J633">
        <v>5</v>
      </c>
      <c r="K633">
        <v>6</v>
      </c>
      <c r="L633">
        <v>7</v>
      </c>
      <c r="M633">
        <v>8</v>
      </c>
      <c r="N633">
        <v>9</v>
      </c>
      <c r="O633">
        <v>10</v>
      </c>
      <c r="P633">
        <v>11</v>
      </c>
    </row>
    <row r="634" spans="1:16" x14ac:dyDescent="0.3">
      <c r="A634" t="str">
        <f>Table_Demand___Community_frontsheet[[#This Row],[Name]]&amp;B634</f>
        <v>NottinghamReablement &amp; Rehabilitation at home</v>
      </c>
      <c r="B634" t="str">
        <f>VLOOKUP(Table_Demand___Community_frontsheet[[#This Row],[Service Type]],PathwayLookup!E:F,2,0)</f>
        <v>Reablement &amp; Rehabilitation at home</v>
      </c>
      <c r="C634" t="s">
        <v>245</v>
      </c>
      <c r="D634" t="s">
        <v>720</v>
      </c>
      <c r="E634">
        <v>0</v>
      </c>
      <c r="F634">
        <v>0</v>
      </c>
      <c r="G634">
        <v>0</v>
      </c>
      <c r="H634">
        <v>0</v>
      </c>
      <c r="I634">
        <v>0</v>
      </c>
      <c r="J634">
        <v>0</v>
      </c>
      <c r="K634">
        <v>0</v>
      </c>
      <c r="L634">
        <v>0</v>
      </c>
      <c r="M634">
        <v>0</v>
      </c>
      <c r="N634">
        <v>0</v>
      </c>
      <c r="O634">
        <v>0</v>
      </c>
      <c r="P634">
        <v>0</v>
      </c>
    </row>
    <row r="635" spans="1:16" x14ac:dyDescent="0.3">
      <c r="A635" t="str">
        <f>Table_Demand___Community_frontsheet[[#This Row],[Name]]&amp;B635</f>
        <v>NottinghamReablement &amp; Rehabilitation at home</v>
      </c>
      <c r="B635" t="str">
        <f>VLOOKUP(Table_Demand___Community_frontsheet[[#This Row],[Service Type]],PathwayLookup!E:F,2,0)</f>
        <v>Reablement &amp; Rehabilitation at home</v>
      </c>
      <c r="C635" t="s">
        <v>245</v>
      </c>
      <c r="D635" t="s">
        <v>721</v>
      </c>
      <c r="E635">
        <v>91</v>
      </c>
      <c r="F635">
        <v>91</v>
      </c>
      <c r="G635">
        <v>91</v>
      </c>
      <c r="H635">
        <v>91</v>
      </c>
      <c r="I635">
        <v>91</v>
      </c>
      <c r="J635">
        <v>91</v>
      </c>
      <c r="K635">
        <v>91</v>
      </c>
      <c r="L635">
        <v>91</v>
      </c>
      <c r="M635">
        <v>91</v>
      </c>
      <c r="N635">
        <v>91</v>
      </c>
      <c r="O635">
        <v>91</v>
      </c>
      <c r="P635">
        <v>91</v>
      </c>
    </row>
    <row r="636" spans="1:16" x14ac:dyDescent="0.3">
      <c r="A636" t="str">
        <f>Table_Demand___Community_frontsheet[[#This Row],[Name]]&amp;B636</f>
        <v>NottinghamReablement &amp; Rehabilitation in a bedded setting</v>
      </c>
      <c r="B636" t="str">
        <f>VLOOKUP(Table_Demand___Community_frontsheet[[#This Row],[Service Type]],PathwayLookup!E:F,2,0)</f>
        <v>Reablement &amp; Rehabilitation in a bedded setting</v>
      </c>
      <c r="C636" t="s">
        <v>245</v>
      </c>
      <c r="D636" t="s">
        <v>723</v>
      </c>
      <c r="E636">
        <v>0</v>
      </c>
      <c r="F636">
        <v>0</v>
      </c>
      <c r="G636">
        <v>0</v>
      </c>
      <c r="H636">
        <v>0</v>
      </c>
      <c r="I636">
        <v>0</v>
      </c>
      <c r="J636">
        <v>0</v>
      </c>
      <c r="K636">
        <v>0</v>
      </c>
      <c r="L636">
        <v>0</v>
      </c>
      <c r="M636">
        <v>0</v>
      </c>
      <c r="N636">
        <v>0</v>
      </c>
      <c r="O636">
        <v>0</v>
      </c>
      <c r="P636">
        <v>0</v>
      </c>
    </row>
    <row r="637" spans="1:16" x14ac:dyDescent="0.3">
      <c r="A637" t="str">
        <f>Table_Demand___Community_frontsheet[[#This Row],[Name]]&amp;B637</f>
        <v>NottinghamReablement &amp; Rehabilitation in a bedded setting</v>
      </c>
      <c r="B637" t="str">
        <f>VLOOKUP(Table_Demand___Community_frontsheet[[#This Row],[Service Type]],PathwayLookup!E:F,2,0)</f>
        <v>Reablement &amp; Rehabilitation in a bedded setting</v>
      </c>
      <c r="C637" t="s">
        <v>245</v>
      </c>
      <c r="D637" t="s">
        <v>725</v>
      </c>
      <c r="E637">
        <v>25</v>
      </c>
      <c r="F637">
        <v>25</v>
      </c>
      <c r="G637">
        <v>25</v>
      </c>
      <c r="H637">
        <v>25</v>
      </c>
      <c r="I637">
        <v>25</v>
      </c>
      <c r="J637">
        <v>25</v>
      </c>
      <c r="K637">
        <v>25</v>
      </c>
      <c r="L637">
        <v>25</v>
      </c>
      <c r="M637">
        <v>25</v>
      </c>
      <c r="N637">
        <v>25</v>
      </c>
      <c r="O637">
        <v>25</v>
      </c>
      <c r="P637">
        <v>25</v>
      </c>
    </row>
    <row r="638" spans="1:16" x14ac:dyDescent="0.3">
      <c r="A638" t="str">
        <f>Table_Demand___Community_frontsheet[[#This Row],[Name]]&amp;B638</f>
        <v>NottinghamOther short-term social care</v>
      </c>
      <c r="B638" t="str">
        <f>VLOOKUP(Table_Demand___Community_frontsheet[[#This Row],[Service Type]],PathwayLookup!E:F,2,0)</f>
        <v>Other short-term social care</v>
      </c>
      <c r="C638" t="s">
        <v>245</v>
      </c>
      <c r="D638" t="s">
        <v>708</v>
      </c>
      <c r="E638">
        <v>9</v>
      </c>
      <c r="F638">
        <v>9</v>
      </c>
      <c r="G638">
        <v>9</v>
      </c>
      <c r="H638">
        <v>9</v>
      </c>
      <c r="I638">
        <v>9</v>
      </c>
      <c r="J638">
        <v>9</v>
      </c>
      <c r="K638">
        <v>9</v>
      </c>
      <c r="L638">
        <v>9</v>
      </c>
      <c r="M638">
        <v>9</v>
      </c>
      <c r="N638">
        <v>9</v>
      </c>
      <c r="O638">
        <v>9</v>
      </c>
      <c r="P638">
        <v>9</v>
      </c>
    </row>
    <row r="639" spans="1:16" x14ac:dyDescent="0.3">
      <c r="A639" t="str">
        <f>Table_Demand___Community_frontsheet[[#This Row],[Name]]&amp;B639</f>
        <v>NottinghamshireSocial support (including VCS)</v>
      </c>
      <c r="B639" t="str">
        <f>VLOOKUP(Table_Demand___Community_frontsheet[[#This Row],[Service Type]],PathwayLookup!E:F,2,0)</f>
        <v>Social support (including VCS)</v>
      </c>
      <c r="C639" t="s">
        <v>247</v>
      </c>
      <c r="D639" t="s">
        <v>704</v>
      </c>
      <c r="E639">
        <v>150</v>
      </c>
      <c r="F639">
        <v>150</v>
      </c>
      <c r="G639">
        <v>150</v>
      </c>
      <c r="H639">
        <v>150</v>
      </c>
      <c r="I639">
        <v>150</v>
      </c>
      <c r="J639">
        <v>150</v>
      </c>
      <c r="K639">
        <v>150</v>
      </c>
      <c r="L639">
        <v>150</v>
      </c>
      <c r="M639">
        <v>150</v>
      </c>
      <c r="N639">
        <v>150</v>
      </c>
      <c r="O639">
        <v>150</v>
      </c>
      <c r="P639">
        <v>150</v>
      </c>
    </row>
    <row r="640" spans="1:16" x14ac:dyDescent="0.3">
      <c r="A640" t="str">
        <f>Table_Demand___Community_frontsheet[[#This Row],[Name]]&amp;B640</f>
        <v>NottinghamshireUrgent Community Response</v>
      </c>
      <c r="B640" t="str">
        <f>VLOOKUP(Table_Demand___Community_frontsheet[[#This Row],[Service Type]],PathwayLookup!E:F,2,0)</f>
        <v>Urgent Community Response</v>
      </c>
      <c r="C640" t="s">
        <v>247</v>
      </c>
      <c r="D640" t="s">
        <v>705</v>
      </c>
      <c r="E640">
        <v>0</v>
      </c>
      <c r="F640">
        <v>0</v>
      </c>
      <c r="G640">
        <v>0</v>
      </c>
      <c r="H640">
        <v>0</v>
      </c>
      <c r="I640">
        <v>0</v>
      </c>
      <c r="J640">
        <v>0</v>
      </c>
      <c r="K640">
        <v>0</v>
      </c>
      <c r="L640">
        <v>0</v>
      </c>
      <c r="M640">
        <v>0</v>
      </c>
      <c r="N640">
        <v>0</v>
      </c>
      <c r="O640">
        <v>0</v>
      </c>
      <c r="P640">
        <v>0</v>
      </c>
    </row>
    <row r="641" spans="1:16" x14ac:dyDescent="0.3">
      <c r="A641" t="str">
        <f>Table_Demand___Community_frontsheet[[#This Row],[Name]]&amp;B641</f>
        <v>NottinghamshireReablement &amp; Rehabilitation at home</v>
      </c>
      <c r="B641" t="str">
        <f>VLOOKUP(Table_Demand___Community_frontsheet[[#This Row],[Service Type]],PathwayLookup!E:F,2,0)</f>
        <v>Reablement &amp; Rehabilitation at home</v>
      </c>
      <c r="C641" t="s">
        <v>247</v>
      </c>
      <c r="D641" t="s">
        <v>720</v>
      </c>
      <c r="E641">
        <v>0</v>
      </c>
      <c r="F641">
        <v>0</v>
      </c>
      <c r="G641">
        <v>0</v>
      </c>
      <c r="H641">
        <v>0</v>
      </c>
      <c r="I641">
        <v>0</v>
      </c>
      <c r="J641">
        <v>0</v>
      </c>
      <c r="K641">
        <v>0</v>
      </c>
      <c r="L641">
        <v>0</v>
      </c>
      <c r="M641">
        <v>0</v>
      </c>
      <c r="N641">
        <v>0</v>
      </c>
      <c r="O641">
        <v>0</v>
      </c>
      <c r="P641">
        <v>0</v>
      </c>
    </row>
    <row r="642" spans="1:16" x14ac:dyDescent="0.3">
      <c r="A642" t="str">
        <f>Table_Demand___Community_frontsheet[[#This Row],[Name]]&amp;B642</f>
        <v>NottinghamshireReablement &amp; Rehabilitation at home</v>
      </c>
      <c r="B642" t="str">
        <f>VLOOKUP(Table_Demand___Community_frontsheet[[#This Row],[Service Type]],PathwayLookup!E:F,2,0)</f>
        <v>Reablement &amp; Rehabilitation at home</v>
      </c>
      <c r="C642" t="s">
        <v>247</v>
      </c>
      <c r="D642" t="s">
        <v>721</v>
      </c>
      <c r="E642">
        <v>139</v>
      </c>
      <c r="F642">
        <v>139</v>
      </c>
      <c r="G642">
        <v>139</v>
      </c>
      <c r="H642">
        <v>139</v>
      </c>
      <c r="I642">
        <v>139</v>
      </c>
      <c r="J642">
        <v>139</v>
      </c>
      <c r="K642">
        <v>139</v>
      </c>
      <c r="L642">
        <v>139</v>
      </c>
      <c r="M642">
        <v>139</v>
      </c>
      <c r="N642">
        <v>139</v>
      </c>
      <c r="O642">
        <v>139</v>
      </c>
      <c r="P642">
        <v>139</v>
      </c>
    </row>
    <row r="643" spans="1:16" x14ac:dyDescent="0.3">
      <c r="A643" t="str">
        <f>Table_Demand___Community_frontsheet[[#This Row],[Name]]&amp;B643</f>
        <v>NottinghamshireReablement &amp; Rehabilitation in a bedded setting</v>
      </c>
      <c r="B643" t="str">
        <f>VLOOKUP(Table_Demand___Community_frontsheet[[#This Row],[Service Type]],PathwayLookup!E:F,2,0)</f>
        <v>Reablement &amp; Rehabilitation in a bedded setting</v>
      </c>
      <c r="C643" t="s">
        <v>247</v>
      </c>
      <c r="D643" t="s">
        <v>723</v>
      </c>
      <c r="E643">
        <v>0</v>
      </c>
      <c r="F643">
        <v>0</v>
      </c>
      <c r="G643">
        <v>0</v>
      </c>
      <c r="H643">
        <v>0</v>
      </c>
      <c r="I643">
        <v>0</v>
      </c>
      <c r="J643">
        <v>0</v>
      </c>
      <c r="K643">
        <v>0</v>
      </c>
      <c r="L643">
        <v>0</v>
      </c>
      <c r="M643">
        <v>0</v>
      </c>
      <c r="N643">
        <v>0</v>
      </c>
      <c r="O643">
        <v>0</v>
      </c>
      <c r="P643">
        <v>0</v>
      </c>
    </row>
    <row r="644" spans="1:16" x14ac:dyDescent="0.3">
      <c r="A644" t="str">
        <f>Table_Demand___Community_frontsheet[[#This Row],[Name]]&amp;B644</f>
        <v>NottinghamshireReablement &amp; Rehabilitation in a bedded setting</v>
      </c>
      <c r="B644" t="str">
        <f>VLOOKUP(Table_Demand___Community_frontsheet[[#This Row],[Service Type]],PathwayLookup!E:F,2,0)</f>
        <v>Reablement &amp; Rehabilitation in a bedded setting</v>
      </c>
      <c r="C644" t="s">
        <v>247</v>
      </c>
      <c r="D644" t="s">
        <v>725</v>
      </c>
      <c r="E644">
        <v>41</v>
      </c>
      <c r="F644">
        <v>41</v>
      </c>
      <c r="G644">
        <v>41</v>
      </c>
      <c r="H644">
        <v>41</v>
      </c>
      <c r="I644">
        <v>41</v>
      </c>
      <c r="J644">
        <v>41</v>
      </c>
      <c r="K644">
        <v>41</v>
      </c>
      <c r="L644">
        <v>41</v>
      </c>
      <c r="M644">
        <v>41</v>
      </c>
      <c r="N644">
        <v>41</v>
      </c>
      <c r="O644">
        <v>41</v>
      </c>
      <c r="P644">
        <v>41</v>
      </c>
    </row>
    <row r="645" spans="1:16" x14ac:dyDescent="0.3">
      <c r="A645" t="str">
        <f>Table_Demand___Community_frontsheet[[#This Row],[Name]]&amp;B645</f>
        <v>NottinghamshireOther short-term social care</v>
      </c>
      <c r="B645" t="str">
        <f>VLOOKUP(Table_Demand___Community_frontsheet[[#This Row],[Service Type]],PathwayLookup!E:F,2,0)</f>
        <v>Other short-term social care</v>
      </c>
      <c r="C645" t="s">
        <v>247</v>
      </c>
      <c r="D645" t="s">
        <v>708</v>
      </c>
      <c r="E645">
        <v>19</v>
      </c>
      <c r="F645">
        <v>19</v>
      </c>
      <c r="G645">
        <v>19</v>
      </c>
      <c r="H645">
        <v>19</v>
      </c>
      <c r="I645">
        <v>19</v>
      </c>
      <c r="J645">
        <v>19</v>
      </c>
      <c r="K645">
        <v>19</v>
      </c>
      <c r="L645">
        <v>19</v>
      </c>
      <c r="M645">
        <v>19</v>
      </c>
      <c r="N645">
        <v>19</v>
      </c>
      <c r="O645">
        <v>19</v>
      </c>
      <c r="P645">
        <v>19</v>
      </c>
    </row>
    <row r="646" spans="1:16" x14ac:dyDescent="0.3">
      <c r="A646" t="str">
        <f>Table_Demand___Community_frontsheet[[#This Row],[Name]]&amp;B646</f>
        <v>OldhamSocial support (including VCS)</v>
      </c>
      <c r="B646" t="str">
        <f>VLOOKUP(Table_Demand___Community_frontsheet[[#This Row],[Service Type]],PathwayLookup!E:F,2,0)</f>
        <v>Social support (including VCS)</v>
      </c>
      <c r="C646" t="s">
        <v>249</v>
      </c>
      <c r="D646" t="s">
        <v>704</v>
      </c>
      <c r="E646">
        <v>35</v>
      </c>
      <c r="F646">
        <v>35</v>
      </c>
      <c r="G646">
        <v>35</v>
      </c>
      <c r="H646">
        <v>35</v>
      </c>
      <c r="I646">
        <v>35</v>
      </c>
      <c r="J646">
        <v>35</v>
      </c>
      <c r="K646">
        <v>35</v>
      </c>
      <c r="L646">
        <v>35</v>
      </c>
      <c r="M646">
        <v>35</v>
      </c>
      <c r="N646">
        <v>35</v>
      </c>
      <c r="O646">
        <v>35</v>
      </c>
      <c r="P646">
        <v>35</v>
      </c>
    </row>
    <row r="647" spans="1:16" x14ac:dyDescent="0.3">
      <c r="A647" t="str">
        <f>Table_Demand___Community_frontsheet[[#This Row],[Name]]&amp;B647</f>
        <v>OldhamUrgent Community Response</v>
      </c>
      <c r="B647" t="str">
        <f>VLOOKUP(Table_Demand___Community_frontsheet[[#This Row],[Service Type]],PathwayLookup!E:F,2,0)</f>
        <v>Urgent Community Response</v>
      </c>
      <c r="C647" t="s">
        <v>249</v>
      </c>
      <c r="D647" t="s">
        <v>705</v>
      </c>
      <c r="E647">
        <v>235</v>
      </c>
      <c r="F647">
        <v>235</v>
      </c>
      <c r="G647">
        <v>235</v>
      </c>
      <c r="H647">
        <v>235</v>
      </c>
      <c r="I647">
        <v>235</v>
      </c>
      <c r="J647">
        <v>235</v>
      </c>
      <c r="K647">
        <v>235</v>
      </c>
      <c r="L647">
        <v>235</v>
      </c>
      <c r="M647">
        <v>235</v>
      </c>
      <c r="N647">
        <v>235</v>
      </c>
      <c r="O647">
        <v>235</v>
      </c>
      <c r="P647">
        <v>235</v>
      </c>
    </row>
    <row r="648" spans="1:16" x14ac:dyDescent="0.3">
      <c r="A648" t="str">
        <f>Table_Demand___Community_frontsheet[[#This Row],[Name]]&amp;B648</f>
        <v>OldhamReablement &amp; Rehabilitation at home</v>
      </c>
      <c r="B648" t="str">
        <f>VLOOKUP(Table_Demand___Community_frontsheet[[#This Row],[Service Type]],PathwayLookup!E:F,2,0)</f>
        <v>Reablement &amp; Rehabilitation at home</v>
      </c>
      <c r="C648" t="s">
        <v>249</v>
      </c>
      <c r="D648" t="s">
        <v>720</v>
      </c>
      <c r="E648">
        <v>8</v>
      </c>
      <c r="F648">
        <v>12</v>
      </c>
      <c r="G648">
        <v>25</v>
      </c>
      <c r="H648">
        <v>19</v>
      </c>
      <c r="I648">
        <v>15</v>
      </c>
      <c r="J648">
        <v>16</v>
      </c>
      <c r="K648">
        <v>14</v>
      </c>
      <c r="L648">
        <v>19</v>
      </c>
      <c r="M648">
        <v>38</v>
      </c>
      <c r="N648">
        <v>6</v>
      </c>
      <c r="O648">
        <v>8</v>
      </c>
      <c r="P648">
        <v>14</v>
      </c>
    </row>
    <row r="649" spans="1:16" x14ac:dyDescent="0.3">
      <c r="A649" t="str">
        <f>Table_Demand___Community_frontsheet[[#This Row],[Name]]&amp;B649</f>
        <v>OldhamReablement &amp; Rehabilitation at home</v>
      </c>
      <c r="B649" t="str">
        <f>VLOOKUP(Table_Demand___Community_frontsheet[[#This Row],[Service Type]],PathwayLookup!E:F,2,0)</f>
        <v>Reablement &amp; Rehabilitation at home</v>
      </c>
      <c r="C649" t="s">
        <v>249</v>
      </c>
      <c r="D649" t="s">
        <v>721</v>
      </c>
      <c r="E649">
        <v>0</v>
      </c>
      <c r="F649">
        <v>0</v>
      </c>
      <c r="G649">
        <v>0</v>
      </c>
      <c r="H649">
        <v>0</v>
      </c>
      <c r="I649">
        <v>0</v>
      </c>
      <c r="J649">
        <v>0</v>
      </c>
      <c r="K649">
        <v>0</v>
      </c>
      <c r="L649">
        <v>0</v>
      </c>
      <c r="M649">
        <v>0</v>
      </c>
      <c r="N649">
        <v>0</v>
      </c>
      <c r="O649">
        <v>0</v>
      </c>
      <c r="P649">
        <v>0</v>
      </c>
    </row>
    <row r="650" spans="1:16" x14ac:dyDescent="0.3">
      <c r="A650" t="str">
        <f>Table_Demand___Community_frontsheet[[#This Row],[Name]]&amp;B650</f>
        <v>OldhamReablement &amp; Rehabilitation in a bedded setting</v>
      </c>
      <c r="B650" t="str">
        <f>VLOOKUP(Table_Demand___Community_frontsheet[[#This Row],[Service Type]],PathwayLookup!E:F,2,0)</f>
        <v>Reablement &amp; Rehabilitation in a bedded setting</v>
      </c>
      <c r="C650" t="s">
        <v>249</v>
      </c>
      <c r="D650" t="s">
        <v>723</v>
      </c>
      <c r="E650">
        <v>26</v>
      </c>
      <c r="F650">
        <v>20</v>
      </c>
      <c r="G650">
        <v>18</v>
      </c>
      <c r="H650">
        <v>18</v>
      </c>
      <c r="I650">
        <v>18</v>
      </c>
      <c r="J650">
        <v>20</v>
      </c>
      <c r="K650">
        <v>24</v>
      </c>
      <c r="L650">
        <v>24</v>
      </c>
      <c r="M650">
        <v>25</v>
      </c>
      <c r="N650">
        <v>27</v>
      </c>
      <c r="O650">
        <v>28</v>
      </c>
      <c r="P650">
        <v>28</v>
      </c>
    </row>
    <row r="651" spans="1:16" x14ac:dyDescent="0.3">
      <c r="A651" t="str">
        <f>Table_Demand___Community_frontsheet[[#This Row],[Name]]&amp;B651</f>
        <v>OldhamReablement &amp; Rehabilitation in a bedded setting</v>
      </c>
      <c r="B651" t="str">
        <f>VLOOKUP(Table_Demand___Community_frontsheet[[#This Row],[Service Type]],PathwayLookup!E:F,2,0)</f>
        <v>Reablement &amp; Rehabilitation in a bedded setting</v>
      </c>
      <c r="C651" t="s">
        <v>249</v>
      </c>
      <c r="D651" t="s">
        <v>725</v>
      </c>
      <c r="E651">
        <v>40</v>
      </c>
      <c r="F651">
        <v>40</v>
      </c>
      <c r="G651">
        <v>40</v>
      </c>
      <c r="H651">
        <v>40</v>
      </c>
      <c r="I651">
        <v>40</v>
      </c>
      <c r="J651">
        <v>40</v>
      </c>
      <c r="K651">
        <v>40</v>
      </c>
      <c r="L651">
        <v>40</v>
      </c>
      <c r="M651">
        <v>40</v>
      </c>
      <c r="N651">
        <v>40</v>
      </c>
      <c r="O651">
        <v>40</v>
      </c>
      <c r="P651">
        <v>40</v>
      </c>
    </row>
    <row r="652" spans="1:16" x14ac:dyDescent="0.3">
      <c r="A652" t="str">
        <f>Table_Demand___Community_frontsheet[[#This Row],[Name]]&amp;B652</f>
        <v>OldhamOther short-term social care</v>
      </c>
      <c r="B652" t="str">
        <f>VLOOKUP(Table_Demand___Community_frontsheet[[#This Row],[Service Type]],PathwayLookup!E:F,2,0)</f>
        <v>Other short-term social care</v>
      </c>
      <c r="C652" t="s">
        <v>249</v>
      </c>
      <c r="D652" t="s">
        <v>708</v>
      </c>
      <c r="E652">
        <v>40</v>
      </c>
      <c r="F652">
        <v>36</v>
      </c>
      <c r="G652">
        <v>38</v>
      </c>
      <c r="H652">
        <v>39</v>
      </c>
      <c r="I652">
        <v>39</v>
      </c>
      <c r="J652">
        <v>38</v>
      </c>
      <c r="K652">
        <v>35</v>
      </c>
      <c r="L652">
        <v>52</v>
      </c>
      <c r="M652">
        <v>54</v>
      </c>
      <c r="N652">
        <v>54</v>
      </c>
      <c r="O652">
        <v>34</v>
      </c>
      <c r="P652">
        <v>30</v>
      </c>
    </row>
    <row r="653" spans="1:16" x14ac:dyDescent="0.3">
      <c r="A653" t="str">
        <f>Table_Demand___Community_frontsheet[[#This Row],[Name]]&amp;B653</f>
        <v>OxfordshireSocial support (including VCS)</v>
      </c>
      <c r="B653" t="str">
        <f>VLOOKUP(Table_Demand___Community_frontsheet[[#This Row],[Service Type]],PathwayLookup!E:F,2,0)</f>
        <v>Social support (including VCS)</v>
      </c>
      <c r="C653" t="s">
        <v>251</v>
      </c>
      <c r="D653" t="s">
        <v>704</v>
      </c>
      <c r="E653">
        <v>171</v>
      </c>
      <c r="F653">
        <v>176.7</v>
      </c>
      <c r="G653">
        <v>171</v>
      </c>
      <c r="H653">
        <v>176.7</v>
      </c>
      <c r="I653">
        <v>176.7</v>
      </c>
      <c r="J653">
        <v>171</v>
      </c>
      <c r="K653">
        <v>176.7</v>
      </c>
      <c r="L653">
        <v>171</v>
      </c>
      <c r="M653">
        <v>176.7</v>
      </c>
      <c r="N653">
        <v>176.7</v>
      </c>
      <c r="O653">
        <v>159.6</v>
      </c>
      <c r="P653">
        <v>176.7</v>
      </c>
    </row>
    <row r="654" spans="1:16" x14ac:dyDescent="0.3">
      <c r="A654" t="str">
        <f>Table_Demand___Community_frontsheet[[#This Row],[Name]]&amp;B654</f>
        <v>OxfordshireUrgent Community Response</v>
      </c>
      <c r="B654" t="str">
        <f>VLOOKUP(Table_Demand___Community_frontsheet[[#This Row],[Service Type]],PathwayLookup!E:F,2,0)</f>
        <v>Urgent Community Response</v>
      </c>
      <c r="C654" t="s">
        <v>251</v>
      </c>
      <c r="D654" t="s">
        <v>705</v>
      </c>
      <c r="E654">
        <v>417.9</v>
      </c>
      <c r="F654">
        <v>451.5</v>
      </c>
      <c r="G654">
        <v>467.25</v>
      </c>
      <c r="H654">
        <v>471.4500000000001</v>
      </c>
      <c r="I654">
        <v>486.15</v>
      </c>
      <c r="J654">
        <v>310.8</v>
      </c>
      <c r="K654">
        <v>349.65000000000003</v>
      </c>
      <c r="L654">
        <v>290.85000000000002</v>
      </c>
      <c r="M654">
        <v>480.9</v>
      </c>
      <c r="N654">
        <v>395.85</v>
      </c>
      <c r="O654">
        <v>345.45</v>
      </c>
      <c r="P654">
        <v>395.85</v>
      </c>
    </row>
    <row r="655" spans="1:16" x14ac:dyDescent="0.3">
      <c r="A655" t="str">
        <f>Table_Demand___Community_frontsheet[[#This Row],[Name]]&amp;B655</f>
        <v>OxfordshireReablement &amp; Rehabilitation at home</v>
      </c>
      <c r="B655" t="str">
        <f>VLOOKUP(Table_Demand___Community_frontsheet[[#This Row],[Service Type]],PathwayLookup!E:F,2,0)</f>
        <v>Reablement &amp; Rehabilitation at home</v>
      </c>
      <c r="C655" t="s">
        <v>251</v>
      </c>
      <c r="D655" t="s">
        <v>720</v>
      </c>
      <c r="E655">
        <v>51.45</v>
      </c>
      <c r="F655">
        <v>64.05</v>
      </c>
      <c r="G655">
        <v>68.25</v>
      </c>
      <c r="H655">
        <v>109.2</v>
      </c>
      <c r="I655">
        <v>92.4</v>
      </c>
      <c r="J655">
        <v>31.5</v>
      </c>
      <c r="K655">
        <v>25.200000000000003</v>
      </c>
      <c r="L655">
        <v>31.5</v>
      </c>
      <c r="M655">
        <v>44.1</v>
      </c>
      <c r="N655">
        <v>76.650000000000006</v>
      </c>
      <c r="O655">
        <v>55.650000000000006</v>
      </c>
      <c r="P655">
        <v>59.85</v>
      </c>
    </row>
    <row r="656" spans="1:16" x14ac:dyDescent="0.3">
      <c r="A656" t="str">
        <f>Table_Demand___Community_frontsheet[[#This Row],[Name]]&amp;B656</f>
        <v>OxfordshireReablement &amp; Rehabilitation at home</v>
      </c>
      <c r="B656" t="str">
        <f>VLOOKUP(Table_Demand___Community_frontsheet[[#This Row],[Service Type]],PathwayLookup!E:F,2,0)</f>
        <v>Reablement &amp; Rehabilitation at home</v>
      </c>
      <c r="C656" t="s">
        <v>251</v>
      </c>
      <c r="D656" t="s">
        <v>721</v>
      </c>
    </row>
    <row r="657" spans="1:16" x14ac:dyDescent="0.3">
      <c r="A657" t="str">
        <f>Table_Demand___Community_frontsheet[[#This Row],[Name]]&amp;B657</f>
        <v>OxfordshireReablement &amp; Rehabilitation in a bedded setting</v>
      </c>
      <c r="B657" t="str">
        <f>VLOOKUP(Table_Demand___Community_frontsheet[[#This Row],[Service Type]],PathwayLookup!E:F,2,0)</f>
        <v>Reablement &amp; Rehabilitation in a bedded setting</v>
      </c>
      <c r="C657" t="s">
        <v>251</v>
      </c>
      <c r="D657" t="s">
        <v>723</v>
      </c>
      <c r="E657">
        <v>0</v>
      </c>
      <c r="F657">
        <v>0</v>
      </c>
      <c r="G657">
        <v>0</v>
      </c>
      <c r="H657">
        <v>0</v>
      </c>
      <c r="I657">
        <v>0</v>
      </c>
      <c r="J657">
        <v>0</v>
      </c>
      <c r="K657">
        <v>0</v>
      </c>
      <c r="L657">
        <v>0</v>
      </c>
      <c r="M657">
        <v>0</v>
      </c>
      <c r="N657">
        <v>0</v>
      </c>
      <c r="O657">
        <v>0</v>
      </c>
      <c r="P657">
        <v>0</v>
      </c>
    </row>
    <row r="658" spans="1:16" x14ac:dyDescent="0.3">
      <c r="A658" t="str">
        <f>Table_Demand___Community_frontsheet[[#This Row],[Name]]&amp;B658</f>
        <v>OxfordshireReablement &amp; Rehabilitation in a bedded setting</v>
      </c>
      <c r="B658" t="str">
        <f>VLOOKUP(Table_Demand___Community_frontsheet[[#This Row],[Service Type]],PathwayLookup!E:F,2,0)</f>
        <v>Reablement &amp; Rehabilitation in a bedded setting</v>
      </c>
      <c r="C658" t="s">
        <v>251</v>
      </c>
      <c r="D658" t="s">
        <v>725</v>
      </c>
    </row>
    <row r="659" spans="1:16" x14ac:dyDescent="0.3">
      <c r="A659" t="str">
        <f>Table_Demand___Community_frontsheet[[#This Row],[Name]]&amp;B659</f>
        <v>OxfordshireOther short-term social care</v>
      </c>
      <c r="B659" t="str">
        <f>VLOOKUP(Table_Demand___Community_frontsheet[[#This Row],[Service Type]],PathwayLookup!E:F,2,0)</f>
        <v>Other short-term social care</v>
      </c>
      <c r="C659" t="s">
        <v>251</v>
      </c>
      <c r="D659" t="s">
        <v>708</v>
      </c>
      <c r="E659">
        <v>0</v>
      </c>
      <c r="F659">
        <v>0</v>
      </c>
      <c r="G659">
        <v>0</v>
      </c>
      <c r="H659">
        <v>0</v>
      </c>
      <c r="I659">
        <v>0</v>
      </c>
      <c r="J659">
        <v>0</v>
      </c>
      <c r="K659">
        <v>0</v>
      </c>
      <c r="L659">
        <v>0</v>
      </c>
      <c r="M659">
        <v>0</v>
      </c>
      <c r="N659">
        <v>0</v>
      </c>
      <c r="O659">
        <v>0</v>
      </c>
      <c r="P659">
        <v>0</v>
      </c>
    </row>
    <row r="660" spans="1:16" x14ac:dyDescent="0.3">
      <c r="A660" t="str">
        <f>Table_Demand___Community_frontsheet[[#This Row],[Name]]&amp;B660</f>
        <v>PeterboroughSocial support (including VCS)</v>
      </c>
      <c r="B660" t="str">
        <f>VLOOKUP(Table_Demand___Community_frontsheet[[#This Row],[Service Type]],PathwayLookup!E:F,2,0)</f>
        <v>Social support (including VCS)</v>
      </c>
      <c r="C660" t="s">
        <v>253</v>
      </c>
      <c r="D660" t="s">
        <v>704</v>
      </c>
      <c r="E660">
        <v>0</v>
      </c>
      <c r="F660">
        <v>0</v>
      </c>
      <c r="G660">
        <v>0</v>
      </c>
      <c r="H660">
        <v>0</v>
      </c>
      <c r="I660">
        <v>0</v>
      </c>
      <c r="J660">
        <v>0</v>
      </c>
      <c r="K660">
        <v>0</v>
      </c>
      <c r="L660">
        <v>0</v>
      </c>
      <c r="M660">
        <v>0</v>
      </c>
      <c r="N660">
        <v>0</v>
      </c>
      <c r="O660">
        <v>0</v>
      </c>
      <c r="P660">
        <v>0</v>
      </c>
    </row>
    <row r="661" spans="1:16" x14ac:dyDescent="0.3">
      <c r="A661" t="str">
        <f>Table_Demand___Community_frontsheet[[#This Row],[Name]]&amp;B661</f>
        <v>PeterboroughUrgent Community Response</v>
      </c>
      <c r="B661" t="str">
        <f>VLOOKUP(Table_Demand___Community_frontsheet[[#This Row],[Service Type]],PathwayLookup!E:F,2,0)</f>
        <v>Urgent Community Response</v>
      </c>
      <c r="C661" t="s">
        <v>253</v>
      </c>
      <c r="D661" t="s">
        <v>705</v>
      </c>
      <c r="E661">
        <v>268</v>
      </c>
      <c r="F661">
        <v>273</v>
      </c>
      <c r="G661">
        <v>273</v>
      </c>
      <c r="H661">
        <v>289</v>
      </c>
      <c r="I661">
        <v>291</v>
      </c>
      <c r="J661">
        <v>285</v>
      </c>
      <c r="K661">
        <v>366</v>
      </c>
      <c r="L661">
        <v>370</v>
      </c>
      <c r="M661">
        <v>374</v>
      </c>
      <c r="N661">
        <v>376</v>
      </c>
      <c r="O661">
        <v>315</v>
      </c>
      <c r="P661">
        <v>335</v>
      </c>
    </row>
    <row r="662" spans="1:16" x14ac:dyDescent="0.3">
      <c r="A662" t="str">
        <f>Table_Demand___Community_frontsheet[[#This Row],[Name]]&amp;B662</f>
        <v>PeterboroughReablement &amp; Rehabilitation at home</v>
      </c>
      <c r="B662" t="str">
        <f>VLOOKUP(Table_Demand___Community_frontsheet[[#This Row],[Service Type]],PathwayLookup!E:F,2,0)</f>
        <v>Reablement &amp; Rehabilitation at home</v>
      </c>
      <c r="C662" t="s">
        <v>253</v>
      </c>
      <c r="D662" t="s">
        <v>720</v>
      </c>
      <c r="E662">
        <v>31</v>
      </c>
      <c r="F662">
        <v>36</v>
      </c>
      <c r="G662">
        <v>34</v>
      </c>
      <c r="H662">
        <v>45</v>
      </c>
      <c r="I662">
        <v>39</v>
      </c>
      <c r="J662">
        <v>27</v>
      </c>
      <c r="K662">
        <v>32</v>
      </c>
      <c r="L662">
        <v>50</v>
      </c>
      <c r="M662">
        <v>33</v>
      </c>
      <c r="N662">
        <v>47</v>
      </c>
      <c r="O662">
        <v>52</v>
      </c>
      <c r="P662">
        <v>33</v>
      </c>
    </row>
    <row r="663" spans="1:16" x14ac:dyDescent="0.3">
      <c r="A663" t="str">
        <f>Table_Demand___Community_frontsheet[[#This Row],[Name]]&amp;B663</f>
        <v>PeterboroughReablement &amp; Rehabilitation at home</v>
      </c>
      <c r="B663" t="str">
        <f>VLOOKUP(Table_Demand___Community_frontsheet[[#This Row],[Service Type]],PathwayLookup!E:F,2,0)</f>
        <v>Reablement &amp; Rehabilitation at home</v>
      </c>
      <c r="C663" t="s">
        <v>253</v>
      </c>
      <c r="D663" t="s">
        <v>721</v>
      </c>
      <c r="E663">
        <v>239</v>
      </c>
      <c r="F663">
        <v>253</v>
      </c>
      <c r="G663">
        <v>255</v>
      </c>
      <c r="H663">
        <v>279</v>
      </c>
      <c r="I663">
        <v>269</v>
      </c>
      <c r="J663">
        <v>272</v>
      </c>
      <c r="K663">
        <v>295</v>
      </c>
      <c r="L663">
        <v>311</v>
      </c>
      <c r="M663">
        <v>329</v>
      </c>
      <c r="N663">
        <v>313</v>
      </c>
      <c r="O663">
        <v>296</v>
      </c>
      <c r="P663">
        <v>309</v>
      </c>
    </row>
    <row r="664" spans="1:16" x14ac:dyDescent="0.3">
      <c r="A664" t="str">
        <f>Table_Demand___Community_frontsheet[[#This Row],[Name]]&amp;B664</f>
        <v>PeterboroughReablement &amp; Rehabilitation in a bedded setting</v>
      </c>
      <c r="B664" t="str">
        <f>VLOOKUP(Table_Demand___Community_frontsheet[[#This Row],[Service Type]],PathwayLookup!E:F,2,0)</f>
        <v>Reablement &amp; Rehabilitation in a bedded setting</v>
      </c>
      <c r="C664" t="s">
        <v>253</v>
      </c>
      <c r="D664" t="s">
        <v>723</v>
      </c>
      <c r="E664">
        <v>0</v>
      </c>
      <c r="F664">
        <v>0</v>
      </c>
      <c r="G664">
        <v>0</v>
      </c>
      <c r="H664">
        <v>0</v>
      </c>
      <c r="I664">
        <v>0</v>
      </c>
      <c r="J664">
        <v>0</v>
      </c>
      <c r="K664">
        <v>0</v>
      </c>
      <c r="L664">
        <v>0</v>
      </c>
      <c r="M664">
        <v>0</v>
      </c>
      <c r="N664">
        <v>0</v>
      </c>
      <c r="O664">
        <v>0</v>
      </c>
      <c r="P664">
        <v>0</v>
      </c>
    </row>
    <row r="665" spans="1:16" x14ac:dyDescent="0.3">
      <c r="A665" t="str">
        <f>Table_Demand___Community_frontsheet[[#This Row],[Name]]&amp;B665</f>
        <v>PeterboroughReablement &amp; Rehabilitation in a bedded setting</v>
      </c>
      <c r="B665" t="str">
        <f>VLOOKUP(Table_Demand___Community_frontsheet[[#This Row],[Service Type]],PathwayLookup!E:F,2,0)</f>
        <v>Reablement &amp; Rehabilitation in a bedded setting</v>
      </c>
      <c r="C665" t="s">
        <v>253</v>
      </c>
      <c r="D665" t="s">
        <v>725</v>
      </c>
      <c r="E665">
        <v>4</v>
      </c>
      <c r="F665">
        <v>4</v>
      </c>
      <c r="G665">
        <v>2</v>
      </c>
      <c r="H665">
        <v>0</v>
      </c>
      <c r="I665">
        <v>2</v>
      </c>
      <c r="J665">
        <v>1</v>
      </c>
      <c r="K665">
        <v>1</v>
      </c>
      <c r="L665">
        <v>3</v>
      </c>
      <c r="M665">
        <v>2</v>
      </c>
      <c r="N665">
        <v>1</v>
      </c>
      <c r="O665">
        <v>0</v>
      </c>
      <c r="P665">
        <v>3</v>
      </c>
    </row>
    <row r="666" spans="1:16" x14ac:dyDescent="0.3">
      <c r="A666" t="str">
        <f>Table_Demand___Community_frontsheet[[#This Row],[Name]]&amp;B666</f>
        <v>PeterboroughOther short-term social care</v>
      </c>
      <c r="B666" t="str">
        <f>VLOOKUP(Table_Demand___Community_frontsheet[[#This Row],[Service Type]],PathwayLookup!E:F,2,0)</f>
        <v>Other short-term social care</v>
      </c>
      <c r="C666" t="s">
        <v>253</v>
      </c>
      <c r="D666" t="s">
        <v>708</v>
      </c>
      <c r="E666">
        <v>0</v>
      </c>
      <c r="F666">
        <v>0</v>
      </c>
      <c r="G666">
        <v>0</v>
      </c>
      <c r="H666">
        <v>0</v>
      </c>
      <c r="I666">
        <v>0</v>
      </c>
      <c r="J666">
        <v>0</v>
      </c>
      <c r="K666">
        <v>0</v>
      </c>
      <c r="L666">
        <v>0</v>
      </c>
      <c r="M666">
        <v>0</v>
      </c>
      <c r="N666">
        <v>0</v>
      </c>
      <c r="O666">
        <v>0</v>
      </c>
      <c r="P666">
        <v>0</v>
      </c>
    </row>
    <row r="667" spans="1:16" x14ac:dyDescent="0.3">
      <c r="A667" t="str">
        <f>Table_Demand___Community_frontsheet[[#This Row],[Name]]&amp;B667</f>
        <v>PlymouthSocial support (including VCS)</v>
      </c>
      <c r="B667" t="str">
        <f>VLOOKUP(Table_Demand___Community_frontsheet[[#This Row],[Service Type]],PathwayLookup!E:F,2,0)</f>
        <v>Social support (including VCS)</v>
      </c>
      <c r="C667" t="s">
        <v>255</v>
      </c>
      <c r="D667" t="s">
        <v>704</v>
      </c>
      <c r="E667">
        <v>49</v>
      </c>
      <c r="F667">
        <v>50</v>
      </c>
      <c r="G667">
        <v>49</v>
      </c>
      <c r="H667">
        <v>50</v>
      </c>
      <c r="I667">
        <v>50</v>
      </c>
      <c r="J667">
        <v>49</v>
      </c>
      <c r="K667">
        <v>50</v>
      </c>
      <c r="L667">
        <v>49</v>
      </c>
      <c r="M667">
        <v>50</v>
      </c>
      <c r="N667">
        <v>50</v>
      </c>
      <c r="O667">
        <v>45</v>
      </c>
      <c r="P667">
        <v>50</v>
      </c>
    </row>
    <row r="668" spans="1:16" x14ac:dyDescent="0.3">
      <c r="A668" t="str">
        <f>Table_Demand___Community_frontsheet[[#This Row],[Name]]&amp;B668</f>
        <v>PlymouthUrgent Community Response</v>
      </c>
      <c r="B668" t="str">
        <f>VLOOKUP(Table_Demand___Community_frontsheet[[#This Row],[Service Type]],PathwayLookup!E:F,2,0)</f>
        <v>Urgent Community Response</v>
      </c>
      <c r="C668" t="s">
        <v>255</v>
      </c>
      <c r="D668" t="s">
        <v>705</v>
      </c>
      <c r="E668">
        <v>116</v>
      </c>
      <c r="F668">
        <v>120</v>
      </c>
      <c r="G668">
        <v>116</v>
      </c>
      <c r="H668">
        <v>120</v>
      </c>
      <c r="I668">
        <v>120</v>
      </c>
      <c r="J668">
        <v>116</v>
      </c>
      <c r="K668">
        <v>120</v>
      </c>
      <c r="L668">
        <v>116</v>
      </c>
      <c r="M668">
        <v>120</v>
      </c>
      <c r="N668">
        <v>120</v>
      </c>
      <c r="O668">
        <v>108</v>
      </c>
      <c r="P668">
        <v>120</v>
      </c>
    </row>
    <row r="669" spans="1:16" x14ac:dyDescent="0.3">
      <c r="A669" t="str">
        <f>Table_Demand___Community_frontsheet[[#This Row],[Name]]&amp;B669</f>
        <v>PlymouthReablement &amp; Rehabilitation at home</v>
      </c>
      <c r="B669" t="str">
        <f>VLOOKUP(Table_Demand___Community_frontsheet[[#This Row],[Service Type]],PathwayLookup!E:F,2,0)</f>
        <v>Reablement &amp; Rehabilitation at home</v>
      </c>
      <c r="C669" t="s">
        <v>255</v>
      </c>
      <c r="D669" t="s">
        <v>720</v>
      </c>
      <c r="E669">
        <v>0</v>
      </c>
      <c r="F669">
        <v>0</v>
      </c>
      <c r="G669">
        <v>0</v>
      </c>
      <c r="H669">
        <v>0</v>
      </c>
      <c r="I669">
        <v>0</v>
      </c>
      <c r="J669">
        <v>0</v>
      </c>
      <c r="K669">
        <v>0</v>
      </c>
      <c r="L669">
        <v>0</v>
      </c>
      <c r="M669">
        <v>0</v>
      </c>
      <c r="N669">
        <v>0</v>
      </c>
      <c r="O669">
        <v>0</v>
      </c>
      <c r="P669">
        <v>0</v>
      </c>
    </row>
    <row r="670" spans="1:16" x14ac:dyDescent="0.3">
      <c r="A670" t="str">
        <f>Table_Demand___Community_frontsheet[[#This Row],[Name]]&amp;B670</f>
        <v>PlymouthReablement &amp; Rehabilitation at home</v>
      </c>
      <c r="B670" t="str">
        <f>VLOOKUP(Table_Demand___Community_frontsheet[[#This Row],[Service Type]],PathwayLookup!E:F,2,0)</f>
        <v>Reablement &amp; Rehabilitation at home</v>
      </c>
      <c r="C670" t="s">
        <v>255</v>
      </c>
      <c r="D670" t="s">
        <v>721</v>
      </c>
      <c r="E670">
        <v>44</v>
      </c>
      <c r="F670">
        <v>46</v>
      </c>
      <c r="G670">
        <v>44</v>
      </c>
      <c r="H670">
        <v>46</v>
      </c>
      <c r="I670">
        <v>46</v>
      </c>
      <c r="J670">
        <v>44</v>
      </c>
      <c r="K670">
        <v>46</v>
      </c>
      <c r="L670">
        <v>44</v>
      </c>
      <c r="M670">
        <v>46</v>
      </c>
      <c r="N670">
        <v>46</v>
      </c>
      <c r="O670">
        <v>41</v>
      </c>
      <c r="P670">
        <v>46</v>
      </c>
    </row>
    <row r="671" spans="1:16" x14ac:dyDescent="0.3">
      <c r="A671" t="str">
        <f>Table_Demand___Community_frontsheet[[#This Row],[Name]]&amp;B671</f>
        <v>PlymouthReablement &amp; Rehabilitation in a bedded setting</v>
      </c>
      <c r="B671" t="str">
        <f>VLOOKUP(Table_Demand___Community_frontsheet[[#This Row],[Service Type]],PathwayLookup!E:F,2,0)</f>
        <v>Reablement &amp; Rehabilitation in a bedded setting</v>
      </c>
      <c r="C671" t="s">
        <v>255</v>
      </c>
      <c r="D671" t="s">
        <v>723</v>
      </c>
      <c r="E671">
        <v>23</v>
      </c>
      <c r="F671">
        <v>24</v>
      </c>
      <c r="G671">
        <v>23</v>
      </c>
      <c r="H671">
        <v>24</v>
      </c>
      <c r="I671">
        <v>24</v>
      </c>
      <c r="J671">
        <v>23</v>
      </c>
      <c r="K671">
        <v>24</v>
      </c>
      <c r="L671">
        <v>23</v>
      </c>
      <c r="M671">
        <v>24</v>
      </c>
      <c r="N671">
        <v>24</v>
      </c>
      <c r="O671">
        <v>22</v>
      </c>
      <c r="P671">
        <v>24</v>
      </c>
    </row>
    <row r="672" spans="1:16" x14ac:dyDescent="0.3">
      <c r="A672" t="str">
        <f>Table_Demand___Community_frontsheet[[#This Row],[Name]]&amp;B672</f>
        <v>PlymouthReablement &amp; Rehabilitation in a bedded setting</v>
      </c>
      <c r="B672" t="str">
        <f>VLOOKUP(Table_Demand___Community_frontsheet[[#This Row],[Service Type]],PathwayLookup!E:F,2,0)</f>
        <v>Reablement &amp; Rehabilitation in a bedded setting</v>
      </c>
      <c r="C672" t="s">
        <v>255</v>
      </c>
      <c r="D672" t="s">
        <v>725</v>
      </c>
      <c r="E672">
        <v>0</v>
      </c>
      <c r="F672">
        <v>0</v>
      </c>
      <c r="G672">
        <v>0</v>
      </c>
      <c r="H672">
        <v>0</v>
      </c>
      <c r="I672">
        <v>0</v>
      </c>
      <c r="J672">
        <v>0</v>
      </c>
      <c r="K672">
        <v>0</v>
      </c>
      <c r="L672">
        <v>0</v>
      </c>
      <c r="M672">
        <v>0</v>
      </c>
      <c r="N672">
        <v>0</v>
      </c>
      <c r="O672">
        <v>0</v>
      </c>
      <c r="P672">
        <v>0</v>
      </c>
    </row>
    <row r="673" spans="1:16" x14ac:dyDescent="0.3">
      <c r="A673" t="str">
        <f>Table_Demand___Community_frontsheet[[#This Row],[Name]]&amp;B673</f>
        <v>PlymouthOther short-term social care</v>
      </c>
      <c r="B673" t="str">
        <f>VLOOKUP(Table_Demand___Community_frontsheet[[#This Row],[Service Type]],PathwayLookup!E:F,2,0)</f>
        <v>Other short-term social care</v>
      </c>
      <c r="C673" t="s">
        <v>255</v>
      </c>
      <c r="D673" t="s">
        <v>708</v>
      </c>
      <c r="E673">
        <v>0</v>
      </c>
      <c r="F673">
        <v>0</v>
      </c>
      <c r="G673">
        <v>0</v>
      </c>
      <c r="H673">
        <v>0</v>
      </c>
      <c r="I673">
        <v>0</v>
      </c>
      <c r="J673">
        <v>0</v>
      </c>
      <c r="K673">
        <v>0</v>
      </c>
      <c r="L673">
        <v>0</v>
      </c>
      <c r="M673">
        <v>0</v>
      </c>
      <c r="N673">
        <v>0</v>
      </c>
      <c r="O673">
        <v>0</v>
      </c>
      <c r="P673">
        <v>0</v>
      </c>
    </row>
    <row r="674" spans="1:16" x14ac:dyDescent="0.3">
      <c r="A674" t="str">
        <f>Table_Demand___Community_frontsheet[[#This Row],[Name]]&amp;B674</f>
        <v>PortsmouthSocial support (including VCS)</v>
      </c>
      <c r="B674" t="str">
        <f>VLOOKUP(Table_Demand___Community_frontsheet[[#This Row],[Service Type]],PathwayLookup!E:F,2,0)</f>
        <v>Social support (including VCS)</v>
      </c>
      <c r="C674" t="s">
        <v>257</v>
      </c>
      <c r="D674" t="s">
        <v>704</v>
      </c>
      <c r="E674">
        <v>30</v>
      </c>
      <c r="F674">
        <v>29</v>
      </c>
      <c r="G674">
        <v>29</v>
      </c>
      <c r="H674">
        <v>29</v>
      </c>
      <c r="I674">
        <v>29</v>
      </c>
      <c r="J674">
        <v>29</v>
      </c>
      <c r="K674">
        <v>29</v>
      </c>
      <c r="L674">
        <v>31</v>
      </c>
      <c r="M674">
        <v>33</v>
      </c>
      <c r="N674">
        <v>33</v>
      </c>
      <c r="O674">
        <v>30</v>
      </c>
      <c r="P674">
        <v>29</v>
      </c>
    </row>
    <row r="675" spans="1:16" x14ac:dyDescent="0.3">
      <c r="A675" t="str">
        <f>Table_Demand___Community_frontsheet[[#This Row],[Name]]&amp;B675</f>
        <v>PortsmouthUrgent Community Response</v>
      </c>
      <c r="B675" t="str">
        <f>VLOOKUP(Table_Demand___Community_frontsheet[[#This Row],[Service Type]],PathwayLookup!E:F,2,0)</f>
        <v>Urgent Community Response</v>
      </c>
      <c r="C675" t="s">
        <v>257</v>
      </c>
      <c r="D675" t="s">
        <v>705</v>
      </c>
      <c r="E675">
        <v>401</v>
      </c>
      <c r="F675">
        <v>415</v>
      </c>
      <c r="G675">
        <v>391</v>
      </c>
      <c r="H675">
        <v>405</v>
      </c>
      <c r="I675">
        <v>405</v>
      </c>
      <c r="J675">
        <v>411</v>
      </c>
      <c r="K675">
        <v>435</v>
      </c>
      <c r="L675">
        <v>431</v>
      </c>
      <c r="M675">
        <v>445</v>
      </c>
      <c r="N675">
        <v>445</v>
      </c>
      <c r="O675">
        <v>407</v>
      </c>
      <c r="P675">
        <v>425</v>
      </c>
    </row>
    <row r="676" spans="1:16" x14ac:dyDescent="0.3">
      <c r="A676" t="str">
        <f>Table_Demand___Community_frontsheet[[#This Row],[Name]]&amp;B676</f>
        <v>PortsmouthReablement &amp; Rehabilitation at home</v>
      </c>
      <c r="B676" t="str">
        <f>VLOOKUP(Table_Demand___Community_frontsheet[[#This Row],[Service Type]],PathwayLookup!E:F,2,0)</f>
        <v>Reablement &amp; Rehabilitation at home</v>
      </c>
      <c r="C676" t="s">
        <v>257</v>
      </c>
      <c r="D676" t="s">
        <v>720</v>
      </c>
      <c r="E676">
        <v>21</v>
      </c>
      <c r="F676">
        <v>22</v>
      </c>
      <c r="G676">
        <v>21</v>
      </c>
      <c r="H676">
        <v>22</v>
      </c>
      <c r="I676">
        <v>22</v>
      </c>
      <c r="J676">
        <v>21</v>
      </c>
      <c r="K676">
        <v>22</v>
      </c>
      <c r="L676">
        <v>23</v>
      </c>
      <c r="M676">
        <v>26</v>
      </c>
      <c r="N676">
        <v>26</v>
      </c>
      <c r="O676">
        <v>22</v>
      </c>
      <c r="P676">
        <v>22</v>
      </c>
    </row>
    <row r="677" spans="1:16" x14ac:dyDescent="0.3">
      <c r="A677" t="str">
        <f>Table_Demand___Community_frontsheet[[#This Row],[Name]]&amp;B677</f>
        <v>PortsmouthReablement &amp; Rehabilitation at home</v>
      </c>
      <c r="B677" t="str">
        <f>VLOOKUP(Table_Demand___Community_frontsheet[[#This Row],[Service Type]],PathwayLookup!E:F,2,0)</f>
        <v>Reablement &amp; Rehabilitation at home</v>
      </c>
      <c r="C677" t="s">
        <v>257</v>
      </c>
      <c r="D677" t="s">
        <v>721</v>
      </c>
      <c r="E677">
        <v>21</v>
      </c>
      <c r="F677">
        <v>22</v>
      </c>
      <c r="G677">
        <v>21</v>
      </c>
      <c r="H677">
        <v>22</v>
      </c>
      <c r="I677">
        <v>22</v>
      </c>
      <c r="J677">
        <v>21</v>
      </c>
      <c r="K677">
        <v>22</v>
      </c>
      <c r="L677">
        <v>23</v>
      </c>
      <c r="M677">
        <v>26</v>
      </c>
      <c r="N677">
        <v>26</v>
      </c>
      <c r="O677">
        <v>22</v>
      </c>
      <c r="P677">
        <v>22</v>
      </c>
    </row>
    <row r="678" spans="1:16" x14ac:dyDescent="0.3">
      <c r="A678" t="str">
        <f>Table_Demand___Community_frontsheet[[#This Row],[Name]]&amp;B678</f>
        <v>PortsmouthReablement &amp; Rehabilitation in a bedded setting</v>
      </c>
      <c r="B678" t="str">
        <f>VLOOKUP(Table_Demand___Community_frontsheet[[#This Row],[Service Type]],PathwayLookup!E:F,2,0)</f>
        <v>Reablement &amp; Rehabilitation in a bedded setting</v>
      </c>
      <c r="C678" t="s">
        <v>257</v>
      </c>
      <c r="D678" t="s">
        <v>723</v>
      </c>
      <c r="E678">
        <v>0</v>
      </c>
      <c r="F678">
        <v>0</v>
      </c>
      <c r="G678">
        <v>0</v>
      </c>
      <c r="H678">
        <v>0</v>
      </c>
      <c r="I678">
        <v>0</v>
      </c>
      <c r="J678">
        <v>0</v>
      </c>
      <c r="K678">
        <v>0</v>
      </c>
      <c r="L678">
        <v>0</v>
      </c>
      <c r="M678">
        <v>0</v>
      </c>
      <c r="N678">
        <v>0</v>
      </c>
      <c r="O678">
        <v>0</v>
      </c>
      <c r="P678">
        <v>0</v>
      </c>
    </row>
    <row r="679" spans="1:16" x14ac:dyDescent="0.3">
      <c r="A679" t="str">
        <f>Table_Demand___Community_frontsheet[[#This Row],[Name]]&amp;B679</f>
        <v>PortsmouthReablement &amp; Rehabilitation in a bedded setting</v>
      </c>
      <c r="B679" t="str">
        <f>VLOOKUP(Table_Demand___Community_frontsheet[[#This Row],[Service Type]],PathwayLookup!E:F,2,0)</f>
        <v>Reablement &amp; Rehabilitation in a bedded setting</v>
      </c>
      <c r="C679" t="s">
        <v>257</v>
      </c>
      <c r="D679" t="s">
        <v>725</v>
      </c>
      <c r="E679">
        <v>0</v>
      </c>
      <c r="F679">
        <v>0</v>
      </c>
      <c r="G679">
        <v>0</v>
      </c>
      <c r="H679">
        <v>0</v>
      </c>
      <c r="I679">
        <v>0</v>
      </c>
      <c r="J679">
        <v>0</v>
      </c>
      <c r="K679">
        <v>0</v>
      </c>
      <c r="L679">
        <v>0</v>
      </c>
      <c r="M679">
        <v>0</v>
      </c>
      <c r="N679">
        <v>0</v>
      </c>
      <c r="O679">
        <v>0</v>
      </c>
      <c r="P679">
        <v>0</v>
      </c>
    </row>
    <row r="680" spans="1:16" x14ac:dyDescent="0.3">
      <c r="A680" t="str">
        <f>Table_Demand___Community_frontsheet[[#This Row],[Name]]&amp;B680</f>
        <v>PortsmouthOther short-term social care</v>
      </c>
      <c r="B680" t="str">
        <f>VLOOKUP(Table_Demand___Community_frontsheet[[#This Row],[Service Type]],PathwayLookup!E:F,2,0)</f>
        <v>Other short-term social care</v>
      </c>
      <c r="C680" t="s">
        <v>257</v>
      </c>
      <c r="D680" t="s">
        <v>708</v>
      </c>
    </row>
    <row r="681" spans="1:16" x14ac:dyDescent="0.3">
      <c r="A681" t="str">
        <f>Table_Demand___Community_frontsheet[[#This Row],[Name]]&amp;B681</f>
        <v>ReadingSocial support (including VCS)</v>
      </c>
      <c r="B681" t="str">
        <f>VLOOKUP(Table_Demand___Community_frontsheet[[#This Row],[Service Type]],PathwayLookup!E:F,2,0)</f>
        <v>Social support (including VCS)</v>
      </c>
      <c r="C681" t="s">
        <v>259</v>
      </c>
      <c r="D681" t="s">
        <v>704</v>
      </c>
      <c r="E681">
        <v>69</v>
      </c>
      <c r="F681">
        <v>69</v>
      </c>
      <c r="G681">
        <v>69</v>
      </c>
      <c r="H681">
        <v>69</v>
      </c>
      <c r="I681">
        <v>69</v>
      </c>
      <c r="J681">
        <v>69</v>
      </c>
      <c r="K681">
        <v>69</v>
      </c>
      <c r="L681">
        <v>69</v>
      </c>
      <c r="M681">
        <v>69</v>
      </c>
      <c r="N681">
        <v>69</v>
      </c>
      <c r="O681">
        <v>69</v>
      </c>
      <c r="P681">
        <v>69</v>
      </c>
    </row>
    <row r="682" spans="1:16" x14ac:dyDescent="0.3">
      <c r="A682" t="str">
        <f>Table_Demand___Community_frontsheet[[#This Row],[Name]]&amp;B682</f>
        <v>ReadingUrgent Community Response</v>
      </c>
      <c r="B682" t="str">
        <f>VLOOKUP(Table_Demand___Community_frontsheet[[#This Row],[Service Type]],PathwayLookup!E:F,2,0)</f>
        <v>Urgent Community Response</v>
      </c>
      <c r="C682" t="s">
        <v>259</v>
      </c>
      <c r="D682" t="s">
        <v>705</v>
      </c>
      <c r="E682">
        <v>138</v>
      </c>
      <c r="F682">
        <v>138</v>
      </c>
      <c r="G682">
        <v>138</v>
      </c>
      <c r="H682">
        <v>138</v>
      </c>
      <c r="I682">
        <v>138</v>
      </c>
      <c r="J682">
        <v>138</v>
      </c>
      <c r="K682">
        <v>138</v>
      </c>
      <c r="L682">
        <v>138</v>
      </c>
      <c r="M682">
        <v>138</v>
      </c>
      <c r="N682">
        <v>138</v>
      </c>
      <c r="O682">
        <v>138</v>
      </c>
      <c r="P682">
        <v>138</v>
      </c>
    </row>
    <row r="683" spans="1:16" x14ac:dyDescent="0.3">
      <c r="A683" t="str">
        <f>Table_Demand___Community_frontsheet[[#This Row],[Name]]&amp;B683</f>
        <v>ReadingReablement &amp; Rehabilitation at home</v>
      </c>
      <c r="B683" t="str">
        <f>VLOOKUP(Table_Demand___Community_frontsheet[[#This Row],[Service Type]],PathwayLookup!E:F,2,0)</f>
        <v>Reablement &amp; Rehabilitation at home</v>
      </c>
      <c r="C683" t="s">
        <v>259</v>
      </c>
      <c r="D683" t="s">
        <v>720</v>
      </c>
      <c r="E683">
        <v>80</v>
      </c>
      <c r="F683">
        <v>74</v>
      </c>
      <c r="G683">
        <v>66</v>
      </c>
      <c r="H683">
        <v>64</v>
      </c>
      <c r="I683">
        <v>52</v>
      </c>
      <c r="J683">
        <v>49</v>
      </c>
      <c r="K683">
        <v>80</v>
      </c>
      <c r="L683">
        <v>61</v>
      </c>
      <c r="M683">
        <v>64</v>
      </c>
      <c r="N683">
        <v>63</v>
      </c>
      <c r="O683">
        <v>65</v>
      </c>
      <c r="P683">
        <v>66</v>
      </c>
    </row>
    <row r="684" spans="1:16" x14ac:dyDescent="0.3">
      <c r="A684" t="str">
        <f>Table_Demand___Community_frontsheet[[#This Row],[Name]]&amp;B684</f>
        <v>ReadingReablement &amp; Rehabilitation at home</v>
      </c>
      <c r="B684" t="str">
        <f>VLOOKUP(Table_Demand___Community_frontsheet[[#This Row],[Service Type]],PathwayLookup!E:F,2,0)</f>
        <v>Reablement &amp; Rehabilitation at home</v>
      </c>
      <c r="C684" t="s">
        <v>259</v>
      </c>
      <c r="D684" t="s">
        <v>721</v>
      </c>
      <c r="E684">
        <v>146</v>
      </c>
      <c r="F684">
        <v>176</v>
      </c>
      <c r="G684">
        <v>141</v>
      </c>
      <c r="H684">
        <v>124</v>
      </c>
      <c r="I684">
        <v>155</v>
      </c>
      <c r="J684">
        <v>126</v>
      </c>
      <c r="K684">
        <v>145</v>
      </c>
      <c r="L684">
        <v>149</v>
      </c>
      <c r="M684">
        <v>125</v>
      </c>
      <c r="N684">
        <v>161</v>
      </c>
      <c r="O684">
        <v>140</v>
      </c>
      <c r="P684">
        <v>124</v>
      </c>
    </row>
    <row r="685" spans="1:16" x14ac:dyDescent="0.3">
      <c r="A685" t="str">
        <f>Table_Demand___Community_frontsheet[[#This Row],[Name]]&amp;B685</f>
        <v>ReadingReablement &amp; Rehabilitation in a bedded setting</v>
      </c>
      <c r="B685" t="str">
        <f>VLOOKUP(Table_Demand___Community_frontsheet[[#This Row],[Service Type]],PathwayLookup!E:F,2,0)</f>
        <v>Reablement &amp; Rehabilitation in a bedded setting</v>
      </c>
      <c r="C685" t="s">
        <v>259</v>
      </c>
      <c r="D685" t="s">
        <v>723</v>
      </c>
    </row>
    <row r="686" spans="1:16" x14ac:dyDescent="0.3">
      <c r="A686" t="str">
        <f>Table_Demand___Community_frontsheet[[#This Row],[Name]]&amp;B686</f>
        <v>ReadingReablement &amp; Rehabilitation in a bedded setting</v>
      </c>
      <c r="B686" t="str">
        <f>VLOOKUP(Table_Demand___Community_frontsheet[[#This Row],[Service Type]],PathwayLookup!E:F,2,0)</f>
        <v>Reablement &amp; Rehabilitation in a bedded setting</v>
      </c>
      <c r="C686" t="s">
        <v>259</v>
      </c>
      <c r="D686" t="s">
        <v>725</v>
      </c>
      <c r="E686">
        <v>1</v>
      </c>
      <c r="F686">
        <v>2</v>
      </c>
      <c r="G686">
        <v>1</v>
      </c>
      <c r="H686">
        <v>2</v>
      </c>
      <c r="I686">
        <v>1</v>
      </c>
      <c r="J686">
        <v>2</v>
      </c>
      <c r="K686">
        <v>1</v>
      </c>
      <c r="L686">
        <v>3</v>
      </c>
      <c r="M686">
        <v>2</v>
      </c>
      <c r="N686">
        <v>3</v>
      </c>
      <c r="O686">
        <v>2</v>
      </c>
      <c r="P686">
        <v>3</v>
      </c>
    </row>
    <row r="687" spans="1:16" x14ac:dyDescent="0.3">
      <c r="A687" t="str">
        <f>Table_Demand___Community_frontsheet[[#This Row],[Name]]&amp;B687</f>
        <v>ReadingOther short-term social care</v>
      </c>
      <c r="B687" t="str">
        <f>VLOOKUP(Table_Demand___Community_frontsheet[[#This Row],[Service Type]],PathwayLookup!E:F,2,0)</f>
        <v>Other short-term social care</v>
      </c>
      <c r="C687" t="s">
        <v>259</v>
      </c>
      <c r="D687" t="s">
        <v>708</v>
      </c>
    </row>
    <row r="688" spans="1:16" x14ac:dyDescent="0.3">
      <c r="A688" t="str">
        <f>Table_Demand___Community_frontsheet[[#This Row],[Name]]&amp;B688</f>
        <v>RedbridgeSocial support (including VCS)</v>
      </c>
      <c r="B688" t="str">
        <f>VLOOKUP(Table_Demand___Community_frontsheet[[#This Row],[Service Type]],PathwayLookup!E:F,2,0)</f>
        <v>Social support (including VCS)</v>
      </c>
      <c r="C688" t="s">
        <v>261</v>
      </c>
      <c r="D688" t="s">
        <v>704</v>
      </c>
      <c r="E688">
        <v>6</v>
      </c>
      <c r="F688">
        <v>6</v>
      </c>
      <c r="G688">
        <v>6</v>
      </c>
      <c r="H688">
        <v>6</v>
      </c>
      <c r="I688">
        <v>6</v>
      </c>
      <c r="J688">
        <v>6</v>
      </c>
      <c r="K688">
        <v>6</v>
      </c>
      <c r="L688">
        <v>6</v>
      </c>
      <c r="M688">
        <v>6</v>
      </c>
      <c r="N688">
        <v>6</v>
      </c>
      <c r="O688">
        <v>6</v>
      </c>
      <c r="P688">
        <v>6</v>
      </c>
    </row>
    <row r="689" spans="1:16" x14ac:dyDescent="0.3">
      <c r="A689" t="str">
        <f>Table_Demand___Community_frontsheet[[#This Row],[Name]]&amp;B689</f>
        <v>RedbridgeUrgent Community Response</v>
      </c>
      <c r="B689" t="str">
        <f>VLOOKUP(Table_Demand___Community_frontsheet[[#This Row],[Service Type]],PathwayLookup!E:F,2,0)</f>
        <v>Urgent Community Response</v>
      </c>
      <c r="C689" t="s">
        <v>261</v>
      </c>
      <c r="D689" t="s">
        <v>705</v>
      </c>
      <c r="E689">
        <v>137</v>
      </c>
      <c r="F689">
        <v>137</v>
      </c>
      <c r="G689">
        <v>137</v>
      </c>
      <c r="H689">
        <v>138</v>
      </c>
      <c r="I689">
        <v>138</v>
      </c>
      <c r="J689">
        <v>138</v>
      </c>
      <c r="K689">
        <v>134</v>
      </c>
      <c r="L689">
        <v>134</v>
      </c>
      <c r="M689">
        <v>134</v>
      </c>
      <c r="N689">
        <v>136</v>
      </c>
      <c r="O689">
        <v>136</v>
      </c>
      <c r="P689">
        <v>136</v>
      </c>
    </row>
    <row r="690" spans="1:16" x14ac:dyDescent="0.3">
      <c r="A690" t="str">
        <f>Table_Demand___Community_frontsheet[[#This Row],[Name]]&amp;B690</f>
        <v>RedbridgeReablement &amp; Rehabilitation at home</v>
      </c>
      <c r="B690" t="str">
        <f>VLOOKUP(Table_Demand___Community_frontsheet[[#This Row],[Service Type]],PathwayLookup!E:F,2,0)</f>
        <v>Reablement &amp; Rehabilitation at home</v>
      </c>
      <c r="C690" t="s">
        <v>261</v>
      </c>
      <c r="D690" t="s">
        <v>720</v>
      </c>
      <c r="E690">
        <v>4</v>
      </c>
      <c r="F690">
        <v>4</v>
      </c>
      <c r="G690">
        <v>4</v>
      </c>
      <c r="H690">
        <v>4</v>
      </c>
      <c r="I690">
        <v>4</v>
      </c>
      <c r="J690">
        <v>4</v>
      </c>
      <c r="K690">
        <v>4</v>
      </c>
      <c r="L690">
        <v>4</v>
      </c>
      <c r="M690">
        <v>4</v>
      </c>
      <c r="N690">
        <v>4</v>
      </c>
      <c r="O690">
        <v>4</v>
      </c>
      <c r="P690">
        <v>4</v>
      </c>
    </row>
    <row r="691" spans="1:16" x14ac:dyDescent="0.3">
      <c r="A691" t="str">
        <f>Table_Demand___Community_frontsheet[[#This Row],[Name]]&amp;B691</f>
        <v>RedbridgeReablement &amp; Rehabilitation at home</v>
      </c>
      <c r="B691" t="str">
        <f>VLOOKUP(Table_Demand___Community_frontsheet[[#This Row],[Service Type]],PathwayLookup!E:F,2,0)</f>
        <v>Reablement &amp; Rehabilitation at home</v>
      </c>
      <c r="C691" t="s">
        <v>261</v>
      </c>
      <c r="D691" t="s">
        <v>721</v>
      </c>
      <c r="E691">
        <v>29</v>
      </c>
      <c r="F691">
        <v>21</v>
      </c>
      <c r="G691">
        <v>25</v>
      </c>
      <c r="H691">
        <v>21</v>
      </c>
      <c r="I691">
        <v>39</v>
      </c>
      <c r="J691">
        <v>12</v>
      </c>
      <c r="K691">
        <v>20</v>
      </c>
      <c r="L691">
        <v>20</v>
      </c>
      <c r="M691">
        <v>15</v>
      </c>
      <c r="N691">
        <v>23</v>
      </c>
      <c r="O691">
        <v>18</v>
      </c>
      <c r="P691">
        <v>18</v>
      </c>
    </row>
    <row r="692" spans="1:16" x14ac:dyDescent="0.3">
      <c r="A692" t="str">
        <f>Table_Demand___Community_frontsheet[[#This Row],[Name]]&amp;B692</f>
        <v>RedbridgeReablement &amp; Rehabilitation in a bedded setting</v>
      </c>
      <c r="B692" t="str">
        <f>VLOOKUP(Table_Demand___Community_frontsheet[[#This Row],[Service Type]],PathwayLookup!E:F,2,0)</f>
        <v>Reablement &amp; Rehabilitation in a bedded setting</v>
      </c>
      <c r="C692" t="s">
        <v>261</v>
      </c>
      <c r="D692" t="s">
        <v>723</v>
      </c>
      <c r="E692">
        <v>0</v>
      </c>
      <c r="F692">
        <v>0</v>
      </c>
      <c r="G692">
        <v>0</v>
      </c>
      <c r="H692">
        <v>0</v>
      </c>
      <c r="I692">
        <v>0</v>
      </c>
      <c r="J692">
        <v>0</v>
      </c>
      <c r="K692">
        <v>0</v>
      </c>
      <c r="L692">
        <v>0</v>
      </c>
      <c r="M692">
        <v>0</v>
      </c>
      <c r="N692">
        <v>0</v>
      </c>
      <c r="O692">
        <v>0</v>
      </c>
      <c r="P692">
        <v>0</v>
      </c>
    </row>
    <row r="693" spans="1:16" x14ac:dyDescent="0.3">
      <c r="A693" t="str">
        <f>Table_Demand___Community_frontsheet[[#This Row],[Name]]&amp;B693</f>
        <v>RedbridgeReablement &amp; Rehabilitation in a bedded setting</v>
      </c>
      <c r="B693" t="str">
        <f>VLOOKUP(Table_Demand___Community_frontsheet[[#This Row],[Service Type]],PathwayLookup!E:F,2,0)</f>
        <v>Reablement &amp; Rehabilitation in a bedded setting</v>
      </c>
      <c r="C693" t="s">
        <v>261</v>
      </c>
      <c r="D693" t="s">
        <v>725</v>
      </c>
      <c r="E693">
        <v>0</v>
      </c>
      <c r="F693">
        <v>0</v>
      </c>
      <c r="G693">
        <v>0</v>
      </c>
      <c r="H693">
        <v>0</v>
      </c>
      <c r="I693">
        <v>0</v>
      </c>
      <c r="J693">
        <v>0</v>
      </c>
      <c r="K693">
        <v>0</v>
      </c>
      <c r="L693">
        <v>0</v>
      </c>
      <c r="M693">
        <v>0</v>
      </c>
      <c r="N693">
        <v>0</v>
      </c>
      <c r="O693">
        <v>0</v>
      </c>
      <c r="P693">
        <v>0</v>
      </c>
    </row>
    <row r="694" spans="1:16" x14ac:dyDescent="0.3">
      <c r="A694" t="str">
        <f>Table_Demand___Community_frontsheet[[#This Row],[Name]]&amp;B694</f>
        <v>RedbridgeOther short-term social care</v>
      </c>
      <c r="B694" t="str">
        <f>VLOOKUP(Table_Demand___Community_frontsheet[[#This Row],[Service Type]],PathwayLookup!E:F,2,0)</f>
        <v>Other short-term social care</v>
      </c>
      <c r="C694" t="s">
        <v>261</v>
      </c>
      <c r="D694" t="s">
        <v>708</v>
      </c>
      <c r="E694">
        <v>0</v>
      </c>
      <c r="F694">
        <v>0</v>
      </c>
      <c r="G694">
        <v>0</v>
      </c>
      <c r="H694">
        <v>0</v>
      </c>
      <c r="I694">
        <v>0</v>
      </c>
      <c r="J694">
        <v>0</v>
      </c>
      <c r="K694">
        <v>0</v>
      </c>
      <c r="L694">
        <v>0</v>
      </c>
      <c r="M694">
        <v>0</v>
      </c>
      <c r="N694">
        <v>0</v>
      </c>
      <c r="O694">
        <v>0</v>
      </c>
      <c r="P694">
        <v>0</v>
      </c>
    </row>
    <row r="695" spans="1:16" x14ac:dyDescent="0.3">
      <c r="A695" t="str">
        <f>Table_Demand___Community_frontsheet[[#This Row],[Name]]&amp;B695</f>
        <v>Redcar and ClevelandSocial support (including VCS)</v>
      </c>
      <c r="B695" t="str">
        <f>VLOOKUP(Table_Demand___Community_frontsheet[[#This Row],[Service Type]],PathwayLookup!E:F,2,0)</f>
        <v>Social support (including VCS)</v>
      </c>
      <c r="C695" t="s">
        <v>263</v>
      </c>
      <c r="D695" t="s">
        <v>704</v>
      </c>
      <c r="E695">
        <v>0</v>
      </c>
      <c r="F695">
        <v>0</v>
      </c>
      <c r="G695">
        <v>0</v>
      </c>
      <c r="H695">
        <v>0</v>
      </c>
      <c r="I695">
        <v>0</v>
      </c>
      <c r="J695">
        <v>0</v>
      </c>
      <c r="K695">
        <v>0</v>
      </c>
      <c r="L695">
        <v>0</v>
      </c>
      <c r="M695">
        <v>0</v>
      </c>
      <c r="N695">
        <v>0</v>
      </c>
      <c r="O695">
        <v>0</v>
      </c>
      <c r="P695">
        <v>0</v>
      </c>
    </row>
    <row r="696" spans="1:16" x14ac:dyDescent="0.3">
      <c r="A696" t="str">
        <f>Table_Demand___Community_frontsheet[[#This Row],[Name]]&amp;B696</f>
        <v>Redcar and ClevelandUrgent Community Response</v>
      </c>
      <c r="B696" t="str">
        <f>VLOOKUP(Table_Demand___Community_frontsheet[[#This Row],[Service Type]],PathwayLookup!E:F,2,0)</f>
        <v>Urgent Community Response</v>
      </c>
      <c r="C696" t="s">
        <v>263</v>
      </c>
      <c r="D696" t="s">
        <v>705</v>
      </c>
      <c r="E696">
        <v>254</v>
      </c>
      <c r="F696">
        <v>254</v>
      </c>
      <c r="G696">
        <v>254</v>
      </c>
      <c r="H696">
        <v>267</v>
      </c>
      <c r="I696">
        <v>267</v>
      </c>
      <c r="J696">
        <v>267</v>
      </c>
      <c r="K696">
        <v>280</v>
      </c>
      <c r="L696">
        <v>280</v>
      </c>
      <c r="M696">
        <v>280</v>
      </c>
      <c r="N696">
        <v>280</v>
      </c>
      <c r="O696">
        <v>280</v>
      </c>
      <c r="P696">
        <v>280</v>
      </c>
    </row>
    <row r="697" spans="1:16" x14ac:dyDescent="0.3">
      <c r="A697" t="str">
        <f>Table_Demand___Community_frontsheet[[#This Row],[Name]]&amp;B697</f>
        <v>Redcar and ClevelandReablement &amp; Rehabilitation at home</v>
      </c>
      <c r="B697" t="str">
        <f>VLOOKUP(Table_Demand___Community_frontsheet[[#This Row],[Service Type]],PathwayLookup!E:F,2,0)</f>
        <v>Reablement &amp; Rehabilitation at home</v>
      </c>
      <c r="C697" t="s">
        <v>263</v>
      </c>
      <c r="D697" t="s">
        <v>720</v>
      </c>
      <c r="E697">
        <v>5</v>
      </c>
      <c r="F697">
        <v>5</v>
      </c>
      <c r="G697">
        <v>5</v>
      </c>
      <c r="H697">
        <v>5</v>
      </c>
      <c r="I697">
        <v>5</v>
      </c>
      <c r="J697">
        <v>5</v>
      </c>
      <c r="K697">
        <v>5</v>
      </c>
      <c r="L697">
        <v>5</v>
      </c>
      <c r="M697">
        <v>5</v>
      </c>
      <c r="N697">
        <v>5</v>
      </c>
      <c r="O697">
        <v>5</v>
      </c>
      <c r="P697">
        <v>5</v>
      </c>
    </row>
    <row r="698" spans="1:16" x14ac:dyDescent="0.3">
      <c r="A698" t="str">
        <f>Table_Demand___Community_frontsheet[[#This Row],[Name]]&amp;B698</f>
        <v>Redcar and ClevelandReablement &amp; Rehabilitation at home</v>
      </c>
      <c r="B698" t="str">
        <f>VLOOKUP(Table_Demand___Community_frontsheet[[#This Row],[Service Type]],PathwayLookup!E:F,2,0)</f>
        <v>Reablement &amp; Rehabilitation at home</v>
      </c>
      <c r="C698" t="s">
        <v>263</v>
      </c>
      <c r="D698" t="s">
        <v>721</v>
      </c>
      <c r="E698">
        <v>2</v>
      </c>
      <c r="F698">
        <v>2</v>
      </c>
      <c r="G698">
        <v>2</v>
      </c>
      <c r="H698">
        <v>2</v>
      </c>
      <c r="I698">
        <v>2</v>
      </c>
      <c r="J698">
        <v>2</v>
      </c>
      <c r="K698">
        <v>2</v>
      </c>
      <c r="L698">
        <v>2</v>
      </c>
      <c r="M698">
        <v>2</v>
      </c>
      <c r="N698">
        <v>2</v>
      </c>
      <c r="O698">
        <v>2</v>
      </c>
      <c r="P698">
        <v>3</v>
      </c>
    </row>
    <row r="699" spans="1:16" x14ac:dyDescent="0.3">
      <c r="A699" t="str">
        <f>Table_Demand___Community_frontsheet[[#This Row],[Name]]&amp;B699</f>
        <v>Redcar and ClevelandReablement &amp; Rehabilitation in a bedded setting</v>
      </c>
      <c r="B699" t="str">
        <f>VLOOKUP(Table_Demand___Community_frontsheet[[#This Row],[Service Type]],PathwayLookup!E:F,2,0)</f>
        <v>Reablement &amp; Rehabilitation in a bedded setting</v>
      </c>
      <c r="C699" t="s">
        <v>263</v>
      </c>
      <c r="D699" t="s">
        <v>723</v>
      </c>
      <c r="E699">
        <v>10</v>
      </c>
      <c r="F699">
        <v>10</v>
      </c>
      <c r="G699">
        <v>10</v>
      </c>
      <c r="H699">
        <v>10</v>
      </c>
      <c r="I699">
        <v>10</v>
      </c>
      <c r="J699">
        <v>10</v>
      </c>
      <c r="K699">
        <v>10</v>
      </c>
      <c r="L699">
        <v>10</v>
      </c>
      <c r="M699">
        <v>10</v>
      </c>
      <c r="N699">
        <v>10</v>
      </c>
      <c r="O699">
        <v>10</v>
      </c>
      <c r="P699">
        <v>10</v>
      </c>
    </row>
    <row r="700" spans="1:16" x14ac:dyDescent="0.3">
      <c r="A700" t="str">
        <f>Table_Demand___Community_frontsheet[[#This Row],[Name]]&amp;B700</f>
        <v>Redcar and ClevelandReablement &amp; Rehabilitation in a bedded setting</v>
      </c>
      <c r="B700" t="str">
        <f>VLOOKUP(Table_Demand___Community_frontsheet[[#This Row],[Service Type]],PathwayLookup!E:F,2,0)</f>
        <v>Reablement &amp; Rehabilitation in a bedded setting</v>
      </c>
      <c r="C700" t="s">
        <v>263</v>
      </c>
      <c r="D700" t="s">
        <v>725</v>
      </c>
      <c r="E700">
        <v>0</v>
      </c>
      <c r="F700">
        <v>0</v>
      </c>
      <c r="G700">
        <v>0</v>
      </c>
      <c r="H700">
        <v>0</v>
      </c>
      <c r="I700">
        <v>0</v>
      </c>
      <c r="J700">
        <v>0</v>
      </c>
      <c r="K700">
        <v>0</v>
      </c>
      <c r="L700">
        <v>0</v>
      </c>
      <c r="M700">
        <v>0</v>
      </c>
      <c r="N700">
        <v>0</v>
      </c>
      <c r="O700">
        <v>0</v>
      </c>
      <c r="P700">
        <v>0</v>
      </c>
    </row>
    <row r="701" spans="1:16" x14ac:dyDescent="0.3">
      <c r="A701" t="str">
        <f>Table_Demand___Community_frontsheet[[#This Row],[Name]]&amp;B701</f>
        <v>Redcar and ClevelandOther short-term social care</v>
      </c>
      <c r="B701" t="str">
        <f>VLOOKUP(Table_Demand___Community_frontsheet[[#This Row],[Service Type]],PathwayLookup!E:F,2,0)</f>
        <v>Other short-term social care</v>
      </c>
      <c r="C701" t="s">
        <v>263</v>
      </c>
      <c r="D701" t="s">
        <v>708</v>
      </c>
      <c r="E701">
        <v>120</v>
      </c>
      <c r="F701">
        <v>120</v>
      </c>
      <c r="G701">
        <v>120</v>
      </c>
      <c r="H701">
        <v>120</v>
      </c>
      <c r="I701">
        <v>120</v>
      </c>
      <c r="J701">
        <v>120</v>
      </c>
      <c r="K701">
        <v>120</v>
      </c>
      <c r="L701">
        <v>120</v>
      </c>
      <c r="M701">
        <v>120</v>
      </c>
      <c r="N701">
        <v>120</v>
      </c>
      <c r="O701">
        <v>120</v>
      </c>
      <c r="P701">
        <v>120</v>
      </c>
    </row>
    <row r="702" spans="1:16" x14ac:dyDescent="0.3">
      <c r="A702" t="str">
        <f>Table_Demand___Community_frontsheet[[#This Row],[Name]]&amp;B702</f>
        <v>Richmond upon ThamesSocial support (including VCS)</v>
      </c>
      <c r="B702" t="str">
        <f>VLOOKUP(Table_Demand___Community_frontsheet[[#This Row],[Service Type]],PathwayLookup!E:F,2,0)</f>
        <v>Social support (including VCS)</v>
      </c>
      <c r="C702" t="s">
        <v>265</v>
      </c>
      <c r="D702" t="s">
        <v>704</v>
      </c>
      <c r="E702">
        <v>31</v>
      </c>
      <c r="F702">
        <v>33</v>
      </c>
      <c r="G702">
        <v>33</v>
      </c>
      <c r="H702">
        <v>36</v>
      </c>
      <c r="I702">
        <v>34</v>
      </c>
      <c r="J702">
        <v>35</v>
      </c>
      <c r="K702">
        <v>38</v>
      </c>
      <c r="L702">
        <v>35</v>
      </c>
      <c r="M702">
        <v>35</v>
      </c>
      <c r="N702">
        <v>34</v>
      </c>
      <c r="O702">
        <v>32</v>
      </c>
      <c r="P702">
        <v>34</v>
      </c>
    </row>
    <row r="703" spans="1:16" x14ac:dyDescent="0.3">
      <c r="A703" t="str">
        <f>Table_Demand___Community_frontsheet[[#This Row],[Name]]&amp;B703</f>
        <v>Richmond upon ThamesUrgent Community Response</v>
      </c>
      <c r="B703" t="str">
        <f>VLOOKUP(Table_Demand___Community_frontsheet[[#This Row],[Service Type]],PathwayLookup!E:F,2,0)</f>
        <v>Urgent Community Response</v>
      </c>
      <c r="C703" t="s">
        <v>265</v>
      </c>
      <c r="D703" t="s">
        <v>705</v>
      </c>
      <c r="E703">
        <v>48</v>
      </c>
      <c r="F703">
        <v>51</v>
      </c>
      <c r="G703">
        <v>52</v>
      </c>
      <c r="H703">
        <v>55</v>
      </c>
      <c r="I703">
        <v>53</v>
      </c>
      <c r="J703">
        <v>56</v>
      </c>
      <c r="K703">
        <v>59</v>
      </c>
      <c r="L703">
        <v>54</v>
      </c>
      <c r="M703">
        <v>54</v>
      </c>
      <c r="N703">
        <v>53</v>
      </c>
      <c r="O703">
        <v>50</v>
      </c>
      <c r="P703">
        <v>53</v>
      </c>
    </row>
    <row r="704" spans="1:16" x14ac:dyDescent="0.3">
      <c r="A704" t="str">
        <f>Table_Demand___Community_frontsheet[[#This Row],[Name]]&amp;B704</f>
        <v>Richmond upon ThamesReablement &amp; Rehabilitation at home</v>
      </c>
      <c r="B704" t="str">
        <f>VLOOKUP(Table_Demand___Community_frontsheet[[#This Row],[Service Type]],PathwayLookup!E:F,2,0)</f>
        <v>Reablement &amp; Rehabilitation at home</v>
      </c>
      <c r="C704" t="s">
        <v>265</v>
      </c>
      <c r="D704" t="s">
        <v>720</v>
      </c>
      <c r="E704">
        <v>16</v>
      </c>
      <c r="F704">
        <v>17</v>
      </c>
      <c r="G704">
        <v>18</v>
      </c>
      <c r="H704">
        <v>19</v>
      </c>
      <c r="I704">
        <v>18</v>
      </c>
      <c r="J704">
        <v>19</v>
      </c>
      <c r="K704">
        <v>20</v>
      </c>
      <c r="L704">
        <v>19</v>
      </c>
      <c r="M704">
        <v>19</v>
      </c>
      <c r="N704">
        <v>18</v>
      </c>
      <c r="O704">
        <v>17</v>
      </c>
      <c r="P704">
        <v>18</v>
      </c>
    </row>
    <row r="705" spans="1:16" x14ac:dyDescent="0.3">
      <c r="A705" t="str">
        <f>Table_Demand___Community_frontsheet[[#This Row],[Name]]&amp;B705</f>
        <v>Richmond upon ThamesReablement &amp; Rehabilitation at home</v>
      </c>
      <c r="B705" t="str">
        <f>VLOOKUP(Table_Demand___Community_frontsheet[[#This Row],[Service Type]],PathwayLookup!E:F,2,0)</f>
        <v>Reablement &amp; Rehabilitation at home</v>
      </c>
      <c r="C705" t="s">
        <v>265</v>
      </c>
      <c r="D705" t="s">
        <v>721</v>
      </c>
      <c r="E705">
        <v>172</v>
      </c>
      <c r="F705">
        <v>184</v>
      </c>
      <c r="G705">
        <v>187</v>
      </c>
      <c r="H705">
        <v>199</v>
      </c>
      <c r="I705">
        <v>191</v>
      </c>
      <c r="J705">
        <v>200</v>
      </c>
      <c r="K705">
        <v>197</v>
      </c>
      <c r="L705">
        <v>195</v>
      </c>
      <c r="M705">
        <v>195</v>
      </c>
      <c r="N705">
        <v>189</v>
      </c>
      <c r="O705">
        <v>181</v>
      </c>
      <c r="P705">
        <v>191</v>
      </c>
    </row>
    <row r="706" spans="1:16" x14ac:dyDescent="0.3">
      <c r="A706" t="str">
        <f>Table_Demand___Community_frontsheet[[#This Row],[Name]]&amp;B706</f>
        <v>Richmond upon ThamesReablement &amp; Rehabilitation in a bedded setting</v>
      </c>
      <c r="B706" t="str">
        <f>VLOOKUP(Table_Demand___Community_frontsheet[[#This Row],[Service Type]],PathwayLookup!E:F,2,0)</f>
        <v>Reablement &amp; Rehabilitation in a bedded setting</v>
      </c>
      <c r="C706" t="s">
        <v>265</v>
      </c>
      <c r="D706" t="s">
        <v>723</v>
      </c>
      <c r="E706">
        <v>0</v>
      </c>
      <c r="F706">
        <v>0</v>
      </c>
      <c r="G706">
        <v>0</v>
      </c>
      <c r="H706">
        <v>0</v>
      </c>
      <c r="I706">
        <v>0</v>
      </c>
      <c r="J706">
        <v>0</v>
      </c>
      <c r="K706">
        <v>0</v>
      </c>
      <c r="L706">
        <v>0</v>
      </c>
      <c r="M706">
        <v>0</v>
      </c>
      <c r="N706">
        <v>0</v>
      </c>
      <c r="O706">
        <v>0</v>
      </c>
      <c r="P706">
        <v>0</v>
      </c>
    </row>
    <row r="707" spans="1:16" x14ac:dyDescent="0.3">
      <c r="A707" t="str">
        <f>Table_Demand___Community_frontsheet[[#This Row],[Name]]&amp;B707</f>
        <v>Richmond upon ThamesReablement &amp; Rehabilitation in a bedded setting</v>
      </c>
      <c r="B707" t="str">
        <f>VLOOKUP(Table_Demand___Community_frontsheet[[#This Row],[Service Type]],PathwayLookup!E:F,2,0)</f>
        <v>Reablement &amp; Rehabilitation in a bedded setting</v>
      </c>
      <c r="C707" t="s">
        <v>265</v>
      </c>
      <c r="D707" t="s">
        <v>725</v>
      </c>
      <c r="E707">
        <v>1</v>
      </c>
      <c r="F707">
        <v>1</v>
      </c>
      <c r="G707">
        <v>1</v>
      </c>
      <c r="H707">
        <v>1</v>
      </c>
      <c r="I707">
        <v>1</v>
      </c>
      <c r="J707">
        <v>1</v>
      </c>
      <c r="K707">
        <v>1</v>
      </c>
      <c r="L707">
        <v>1</v>
      </c>
      <c r="M707">
        <v>1</v>
      </c>
      <c r="N707">
        <v>1</v>
      </c>
      <c r="O707">
        <v>1</v>
      </c>
      <c r="P707">
        <v>1</v>
      </c>
    </row>
    <row r="708" spans="1:16" x14ac:dyDescent="0.3">
      <c r="A708" t="str">
        <f>Table_Demand___Community_frontsheet[[#This Row],[Name]]&amp;B708</f>
        <v>Richmond upon ThamesOther short-term social care</v>
      </c>
      <c r="B708" t="str">
        <f>VLOOKUP(Table_Demand___Community_frontsheet[[#This Row],[Service Type]],PathwayLookup!E:F,2,0)</f>
        <v>Other short-term social care</v>
      </c>
      <c r="C708" t="s">
        <v>265</v>
      </c>
      <c r="D708" t="s">
        <v>708</v>
      </c>
      <c r="E708">
        <v>4</v>
      </c>
      <c r="F708">
        <v>4</v>
      </c>
      <c r="G708">
        <v>4</v>
      </c>
      <c r="H708">
        <v>5</v>
      </c>
      <c r="I708">
        <v>4</v>
      </c>
      <c r="J708">
        <v>5</v>
      </c>
      <c r="K708">
        <v>5</v>
      </c>
      <c r="L708">
        <v>5</v>
      </c>
      <c r="M708">
        <v>5</v>
      </c>
      <c r="N708">
        <v>4</v>
      </c>
      <c r="O708">
        <v>4</v>
      </c>
      <c r="P708">
        <v>4</v>
      </c>
    </row>
    <row r="709" spans="1:16" x14ac:dyDescent="0.3">
      <c r="A709" t="str">
        <f>Table_Demand___Community_frontsheet[[#This Row],[Name]]&amp;B709</f>
        <v>RochdaleSocial support (including VCS)</v>
      </c>
      <c r="B709" t="str">
        <f>VLOOKUP(Table_Demand___Community_frontsheet[[#This Row],[Service Type]],PathwayLookup!E:F,2,0)</f>
        <v>Social support (including VCS)</v>
      </c>
      <c r="C709" t="s">
        <v>267</v>
      </c>
      <c r="D709" t="s">
        <v>704</v>
      </c>
      <c r="E709">
        <v>25</v>
      </c>
      <c r="F709">
        <v>25</v>
      </c>
      <c r="G709">
        <v>25</v>
      </c>
      <c r="H709">
        <v>25</v>
      </c>
      <c r="I709">
        <v>25</v>
      </c>
      <c r="J709">
        <v>25</v>
      </c>
      <c r="K709">
        <v>25</v>
      </c>
      <c r="L709">
        <v>25</v>
      </c>
      <c r="M709">
        <v>25</v>
      </c>
      <c r="N709">
        <v>25</v>
      </c>
      <c r="O709">
        <v>25</v>
      </c>
      <c r="P709">
        <v>25</v>
      </c>
    </row>
    <row r="710" spans="1:16" x14ac:dyDescent="0.3">
      <c r="A710" t="str">
        <f>Table_Demand___Community_frontsheet[[#This Row],[Name]]&amp;B710</f>
        <v>RochdaleUrgent Community Response</v>
      </c>
      <c r="B710" t="str">
        <f>VLOOKUP(Table_Demand___Community_frontsheet[[#This Row],[Service Type]],PathwayLookup!E:F,2,0)</f>
        <v>Urgent Community Response</v>
      </c>
      <c r="C710" t="s">
        <v>267</v>
      </c>
      <c r="D710" t="s">
        <v>705</v>
      </c>
      <c r="E710">
        <v>255</v>
      </c>
      <c r="F710">
        <v>255</v>
      </c>
      <c r="G710">
        <v>255</v>
      </c>
      <c r="H710">
        <v>255</v>
      </c>
      <c r="I710">
        <v>255</v>
      </c>
      <c r="J710">
        <v>255</v>
      </c>
      <c r="K710">
        <v>255</v>
      </c>
      <c r="L710">
        <v>260</v>
      </c>
      <c r="M710">
        <v>260</v>
      </c>
      <c r="N710">
        <v>260</v>
      </c>
      <c r="O710">
        <v>260</v>
      </c>
      <c r="P710">
        <v>260</v>
      </c>
    </row>
    <row r="711" spans="1:16" x14ac:dyDescent="0.3">
      <c r="A711" t="str">
        <f>Table_Demand___Community_frontsheet[[#This Row],[Name]]&amp;B711</f>
        <v>RochdaleReablement &amp; Rehabilitation at home</v>
      </c>
      <c r="B711" t="str">
        <f>VLOOKUP(Table_Demand___Community_frontsheet[[#This Row],[Service Type]],PathwayLookup!E:F,2,0)</f>
        <v>Reablement &amp; Rehabilitation at home</v>
      </c>
      <c r="C711" t="s">
        <v>267</v>
      </c>
      <c r="D711" t="s">
        <v>720</v>
      </c>
      <c r="E711">
        <v>55</v>
      </c>
      <c r="F711">
        <v>33</v>
      </c>
      <c r="G711">
        <v>44</v>
      </c>
      <c r="H711">
        <v>44</v>
      </c>
      <c r="I711">
        <v>44</v>
      </c>
      <c r="J711">
        <v>44</v>
      </c>
      <c r="K711">
        <v>44</v>
      </c>
      <c r="L711">
        <v>44</v>
      </c>
      <c r="M711">
        <v>44</v>
      </c>
      <c r="N711">
        <v>44</v>
      </c>
      <c r="O711">
        <v>44</v>
      </c>
      <c r="P711">
        <v>44</v>
      </c>
    </row>
    <row r="712" spans="1:16" x14ac:dyDescent="0.3">
      <c r="A712" t="str">
        <f>Table_Demand___Community_frontsheet[[#This Row],[Name]]&amp;B712</f>
        <v>RochdaleReablement &amp; Rehabilitation at home</v>
      </c>
      <c r="B712" t="str">
        <f>VLOOKUP(Table_Demand___Community_frontsheet[[#This Row],[Service Type]],PathwayLookup!E:F,2,0)</f>
        <v>Reablement &amp; Rehabilitation at home</v>
      </c>
      <c r="C712" t="s">
        <v>267</v>
      </c>
      <c r="D712" t="s">
        <v>721</v>
      </c>
      <c r="E712">
        <v>0</v>
      </c>
      <c r="F712">
        <v>0</v>
      </c>
      <c r="G712">
        <v>0</v>
      </c>
      <c r="H712">
        <v>0</v>
      </c>
      <c r="I712">
        <v>0</v>
      </c>
      <c r="J712">
        <v>0</v>
      </c>
      <c r="K712">
        <v>0</v>
      </c>
      <c r="L712">
        <v>0</v>
      </c>
      <c r="M712">
        <v>0</v>
      </c>
      <c r="N712">
        <v>0</v>
      </c>
      <c r="O712">
        <v>0</v>
      </c>
      <c r="P712">
        <v>0</v>
      </c>
    </row>
    <row r="713" spans="1:16" x14ac:dyDescent="0.3">
      <c r="A713" t="str">
        <f>Table_Demand___Community_frontsheet[[#This Row],[Name]]&amp;B713</f>
        <v>RochdaleReablement &amp; Rehabilitation in a bedded setting</v>
      </c>
      <c r="B713" t="str">
        <f>VLOOKUP(Table_Demand___Community_frontsheet[[#This Row],[Service Type]],PathwayLookup!E:F,2,0)</f>
        <v>Reablement &amp; Rehabilitation in a bedded setting</v>
      </c>
      <c r="C713" t="s">
        <v>267</v>
      </c>
      <c r="D713" t="s">
        <v>723</v>
      </c>
      <c r="E713">
        <v>19</v>
      </c>
      <c r="F713">
        <v>24</v>
      </c>
      <c r="G713">
        <v>20</v>
      </c>
      <c r="H713">
        <v>20</v>
      </c>
      <c r="I713">
        <v>20</v>
      </c>
      <c r="J713">
        <v>20</v>
      </c>
      <c r="K713">
        <v>20</v>
      </c>
      <c r="L713">
        <v>20</v>
      </c>
      <c r="M713">
        <v>20</v>
      </c>
      <c r="N713">
        <v>20</v>
      </c>
      <c r="O713">
        <v>20</v>
      </c>
      <c r="P713">
        <v>20</v>
      </c>
    </row>
    <row r="714" spans="1:16" x14ac:dyDescent="0.3">
      <c r="A714" t="str">
        <f>Table_Demand___Community_frontsheet[[#This Row],[Name]]&amp;B714</f>
        <v>RochdaleReablement &amp; Rehabilitation in a bedded setting</v>
      </c>
      <c r="B714" t="str">
        <f>VLOOKUP(Table_Demand___Community_frontsheet[[#This Row],[Service Type]],PathwayLookup!E:F,2,0)</f>
        <v>Reablement &amp; Rehabilitation in a bedded setting</v>
      </c>
      <c r="C714" t="s">
        <v>267</v>
      </c>
      <c r="D714" t="s">
        <v>725</v>
      </c>
      <c r="E714">
        <v>0</v>
      </c>
      <c r="F714">
        <v>0</v>
      </c>
      <c r="G714">
        <v>0</v>
      </c>
      <c r="H714">
        <v>0</v>
      </c>
      <c r="I714">
        <v>0</v>
      </c>
      <c r="J714">
        <v>0</v>
      </c>
      <c r="K714">
        <v>0</v>
      </c>
      <c r="L714">
        <v>0</v>
      </c>
      <c r="M714">
        <v>0</v>
      </c>
      <c r="N714">
        <v>0</v>
      </c>
      <c r="O714">
        <v>0</v>
      </c>
      <c r="P714">
        <v>0</v>
      </c>
    </row>
    <row r="715" spans="1:16" x14ac:dyDescent="0.3">
      <c r="A715" t="str">
        <f>Table_Demand___Community_frontsheet[[#This Row],[Name]]&amp;B715</f>
        <v>RochdaleOther short-term social care</v>
      </c>
      <c r="B715" t="str">
        <f>VLOOKUP(Table_Demand___Community_frontsheet[[#This Row],[Service Type]],PathwayLookup!E:F,2,0)</f>
        <v>Other short-term social care</v>
      </c>
      <c r="C715" t="s">
        <v>267</v>
      </c>
      <c r="D715" t="s">
        <v>708</v>
      </c>
      <c r="E715">
        <v>48</v>
      </c>
      <c r="F715">
        <v>39</v>
      </c>
      <c r="G715">
        <v>43</v>
      </c>
      <c r="H715">
        <v>43</v>
      </c>
      <c r="I715">
        <v>43</v>
      </c>
      <c r="J715">
        <v>43</v>
      </c>
      <c r="K715">
        <v>43</v>
      </c>
      <c r="L715">
        <v>43</v>
      </c>
      <c r="M715">
        <v>43</v>
      </c>
      <c r="N715">
        <v>43</v>
      </c>
      <c r="O715">
        <v>43</v>
      </c>
      <c r="P715">
        <v>43</v>
      </c>
    </row>
    <row r="716" spans="1:16" x14ac:dyDescent="0.3">
      <c r="A716" t="str">
        <f>Table_Demand___Community_frontsheet[[#This Row],[Name]]&amp;B716</f>
        <v>RotherhamSocial support (including VCS)</v>
      </c>
      <c r="B716" t="str">
        <f>VLOOKUP(Table_Demand___Community_frontsheet[[#This Row],[Service Type]],PathwayLookup!E:F,2,0)</f>
        <v>Social support (including VCS)</v>
      </c>
      <c r="C716" t="s">
        <v>269</v>
      </c>
      <c r="D716" t="s">
        <v>704</v>
      </c>
      <c r="E716">
        <v>0</v>
      </c>
      <c r="F716">
        <v>0</v>
      </c>
      <c r="G716">
        <v>0</v>
      </c>
      <c r="H716">
        <v>0</v>
      </c>
      <c r="I716">
        <v>1</v>
      </c>
      <c r="J716">
        <v>3</v>
      </c>
      <c r="K716">
        <v>1</v>
      </c>
      <c r="L716">
        <v>0</v>
      </c>
      <c r="M716">
        <v>0</v>
      </c>
      <c r="N716">
        <v>0</v>
      </c>
      <c r="O716">
        <v>1</v>
      </c>
      <c r="P716">
        <v>1</v>
      </c>
    </row>
    <row r="717" spans="1:16" x14ac:dyDescent="0.3">
      <c r="A717" t="str">
        <f>Table_Demand___Community_frontsheet[[#This Row],[Name]]&amp;B717</f>
        <v>RotherhamUrgent Community Response</v>
      </c>
      <c r="B717" t="str">
        <f>VLOOKUP(Table_Demand___Community_frontsheet[[#This Row],[Service Type]],PathwayLookup!E:F,2,0)</f>
        <v>Urgent Community Response</v>
      </c>
      <c r="C717" t="s">
        <v>269</v>
      </c>
      <c r="D717" t="s">
        <v>705</v>
      </c>
      <c r="E717">
        <v>514</v>
      </c>
      <c r="F717">
        <v>514</v>
      </c>
      <c r="G717">
        <v>497</v>
      </c>
      <c r="H717">
        <v>514</v>
      </c>
      <c r="I717">
        <v>514</v>
      </c>
      <c r="J717">
        <v>497</v>
      </c>
      <c r="K717">
        <v>514</v>
      </c>
      <c r="L717">
        <v>497</v>
      </c>
      <c r="M717">
        <v>514</v>
      </c>
      <c r="N717">
        <v>514</v>
      </c>
      <c r="O717">
        <v>464</v>
      </c>
      <c r="P717">
        <v>514</v>
      </c>
    </row>
    <row r="718" spans="1:16" x14ac:dyDescent="0.3">
      <c r="A718" t="str">
        <f>Table_Demand___Community_frontsheet[[#This Row],[Name]]&amp;B718</f>
        <v>RotherhamReablement &amp; Rehabilitation at home</v>
      </c>
      <c r="B718" t="str">
        <f>VLOOKUP(Table_Demand___Community_frontsheet[[#This Row],[Service Type]],PathwayLookup!E:F,2,0)</f>
        <v>Reablement &amp; Rehabilitation at home</v>
      </c>
      <c r="C718" t="s">
        <v>269</v>
      </c>
      <c r="D718" t="s">
        <v>720</v>
      </c>
      <c r="E718">
        <v>19</v>
      </c>
      <c r="F718">
        <v>22</v>
      </c>
      <c r="G718">
        <v>19</v>
      </c>
      <c r="H718">
        <v>20</v>
      </c>
      <c r="I718">
        <v>14</v>
      </c>
      <c r="J718">
        <v>20</v>
      </c>
      <c r="K718">
        <v>12</v>
      </c>
      <c r="L718">
        <v>17</v>
      </c>
      <c r="M718">
        <v>19</v>
      </c>
      <c r="N718">
        <v>20</v>
      </c>
      <c r="O718">
        <v>40</v>
      </c>
      <c r="P718">
        <v>36</v>
      </c>
    </row>
    <row r="719" spans="1:16" x14ac:dyDescent="0.3">
      <c r="A719" t="str">
        <f>Table_Demand___Community_frontsheet[[#This Row],[Name]]&amp;B719</f>
        <v>RotherhamReablement &amp; Rehabilitation at home</v>
      </c>
      <c r="B719" t="str">
        <f>VLOOKUP(Table_Demand___Community_frontsheet[[#This Row],[Service Type]],PathwayLookup!E:F,2,0)</f>
        <v>Reablement &amp; Rehabilitation at home</v>
      </c>
      <c r="C719" t="s">
        <v>269</v>
      </c>
      <c r="D719" t="s">
        <v>721</v>
      </c>
      <c r="E719">
        <v>582</v>
      </c>
      <c r="F719">
        <v>582</v>
      </c>
      <c r="G719">
        <v>564</v>
      </c>
      <c r="H719">
        <v>582</v>
      </c>
      <c r="I719">
        <v>582</v>
      </c>
      <c r="J719">
        <v>564</v>
      </c>
      <c r="K719">
        <v>582</v>
      </c>
      <c r="L719">
        <v>564</v>
      </c>
      <c r="M719">
        <v>582</v>
      </c>
      <c r="N719">
        <v>582</v>
      </c>
      <c r="O719">
        <v>526</v>
      </c>
      <c r="P719">
        <v>582</v>
      </c>
    </row>
    <row r="720" spans="1:16" x14ac:dyDescent="0.3">
      <c r="A720" t="str">
        <f>Table_Demand___Community_frontsheet[[#This Row],[Name]]&amp;B720</f>
        <v>RotherhamReablement &amp; Rehabilitation in a bedded setting</v>
      </c>
      <c r="B720" t="str">
        <f>VLOOKUP(Table_Demand___Community_frontsheet[[#This Row],[Service Type]],PathwayLookup!E:F,2,0)</f>
        <v>Reablement &amp; Rehabilitation in a bedded setting</v>
      </c>
      <c r="C720" t="s">
        <v>269</v>
      </c>
      <c r="D720" t="s">
        <v>723</v>
      </c>
      <c r="E720">
        <v>3</v>
      </c>
      <c r="F720">
        <v>8</v>
      </c>
      <c r="G720">
        <v>4</v>
      </c>
      <c r="H720">
        <v>5</v>
      </c>
      <c r="I720">
        <v>8</v>
      </c>
      <c r="J720">
        <v>11</v>
      </c>
      <c r="K720">
        <v>14</v>
      </c>
      <c r="L720">
        <v>9</v>
      </c>
      <c r="M720">
        <v>4</v>
      </c>
      <c r="N720">
        <v>10</v>
      </c>
      <c r="O720">
        <v>14</v>
      </c>
      <c r="P720">
        <v>11</v>
      </c>
    </row>
    <row r="721" spans="1:16" x14ac:dyDescent="0.3">
      <c r="A721" t="str">
        <f>Table_Demand___Community_frontsheet[[#This Row],[Name]]&amp;B721</f>
        <v>RotherhamReablement &amp; Rehabilitation in a bedded setting</v>
      </c>
      <c r="B721" t="str">
        <f>VLOOKUP(Table_Demand___Community_frontsheet[[#This Row],[Service Type]],PathwayLookup!E:F,2,0)</f>
        <v>Reablement &amp; Rehabilitation in a bedded setting</v>
      </c>
      <c r="C721" t="s">
        <v>269</v>
      </c>
      <c r="D721" t="s">
        <v>725</v>
      </c>
      <c r="E721">
        <v>0</v>
      </c>
      <c r="F721">
        <v>0</v>
      </c>
      <c r="G721">
        <v>0</v>
      </c>
      <c r="H721">
        <v>0</v>
      </c>
      <c r="I721">
        <v>0</v>
      </c>
      <c r="J721">
        <v>0</v>
      </c>
      <c r="K721">
        <v>0</v>
      </c>
      <c r="L721">
        <v>0</v>
      </c>
      <c r="M721">
        <v>0</v>
      </c>
      <c r="N721">
        <v>0</v>
      </c>
      <c r="O721">
        <v>0</v>
      </c>
      <c r="P721">
        <v>0</v>
      </c>
    </row>
    <row r="722" spans="1:16" x14ac:dyDescent="0.3">
      <c r="A722" t="str">
        <f>Table_Demand___Community_frontsheet[[#This Row],[Name]]&amp;B722</f>
        <v>RotherhamOther short-term social care</v>
      </c>
      <c r="B722" t="str">
        <f>VLOOKUP(Table_Demand___Community_frontsheet[[#This Row],[Service Type]],PathwayLookup!E:F,2,0)</f>
        <v>Other short-term social care</v>
      </c>
      <c r="C722" t="s">
        <v>269</v>
      </c>
      <c r="D722" t="s">
        <v>708</v>
      </c>
      <c r="E722">
        <v>0</v>
      </c>
      <c r="F722">
        <v>0</v>
      </c>
      <c r="G722">
        <v>0</v>
      </c>
      <c r="H722">
        <v>0</v>
      </c>
      <c r="I722">
        <v>0</v>
      </c>
      <c r="J722">
        <v>0</v>
      </c>
      <c r="K722">
        <v>0</v>
      </c>
      <c r="L722">
        <v>0</v>
      </c>
      <c r="M722">
        <v>0</v>
      </c>
      <c r="N722">
        <v>0</v>
      </c>
      <c r="O722">
        <v>0</v>
      </c>
      <c r="P722">
        <v>0</v>
      </c>
    </row>
    <row r="723" spans="1:16" x14ac:dyDescent="0.3">
      <c r="A723" t="str">
        <f>Table_Demand___Community_frontsheet[[#This Row],[Name]]&amp;B723</f>
        <v>RutlandSocial support (including VCS)</v>
      </c>
      <c r="B723" t="str">
        <f>VLOOKUP(Table_Demand___Community_frontsheet[[#This Row],[Service Type]],PathwayLookup!E:F,2,0)</f>
        <v>Social support (including VCS)</v>
      </c>
      <c r="C723" t="s">
        <v>271</v>
      </c>
      <c r="D723" t="s">
        <v>704</v>
      </c>
      <c r="E723">
        <v>0</v>
      </c>
      <c r="F723">
        <v>0</v>
      </c>
      <c r="G723">
        <v>0</v>
      </c>
      <c r="H723">
        <v>0</v>
      </c>
      <c r="I723">
        <v>0</v>
      </c>
      <c r="J723">
        <v>0</v>
      </c>
      <c r="K723">
        <v>0</v>
      </c>
      <c r="L723">
        <v>0</v>
      </c>
      <c r="M723">
        <v>0</v>
      </c>
      <c r="N723">
        <v>0</v>
      </c>
      <c r="O723">
        <v>0</v>
      </c>
      <c r="P723">
        <v>0</v>
      </c>
    </row>
    <row r="724" spans="1:16" x14ac:dyDescent="0.3">
      <c r="A724" t="str">
        <f>Table_Demand___Community_frontsheet[[#This Row],[Name]]&amp;B724</f>
        <v>RutlandUrgent Community Response</v>
      </c>
      <c r="B724" t="str">
        <f>VLOOKUP(Table_Demand___Community_frontsheet[[#This Row],[Service Type]],PathwayLookup!E:F,2,0)</f>
        <v>Urgent Community Response</v>
      </c>
      <c r="C724" t="s">
        <v>271</v>
      </c>
      <c r="D724" t="s">
        <v>705</v>
      </c>
      <c r="E724">
        <v>26</v>
      </c>
      <c r="F724">
        <v>26</v>
      </c>
      <c r="G724">
        <v>26</v>
      </c>
      <c r="H724">
        <v>26</v>
      </c>
      <c r="I724">
        <v>26</v>
      </c>
      <c r="J724">
        <v>26</v>
      </c>
      <c r="K724">
        <v>26</v>
      </c>
      <c r="L724">
        <v>26</v>
      </c>
      <c r="M724">
        <v>26</v>
      </c>
      <c r="N724">
        <v>26</v>
      </c>
      <c r="O724">
        <v>26</v>
      </c>
      <c r="P724">
        <v>26</v>
      </c>
    </row>
    <row r="725" spans="1:16" x14ac:dyDescent="0.3">
      <c r="A725" t="str">
        <f>Table_Demand___Community_frontsheet[[#This Row],[Name]]&amp;B725</f>
        <v>RutlandReablement &amp; Rehabilitation at home</v>
      </c>
      <c r="B725" t="str">
        <f>VLOOKUP(Table_Demand___Community_frontsheet[[#This Row],[Service Type]],PathwayLookup!E:F,2,0)</f>
        <v>Reablement &amp; Rehabilitation at home</v>
      </c>
      <c r="C725" t="s">
        <v>271</v>
      </c>
      <c r="D725" t="s">
        <v>720</v>
      </c>
      <c r="E725">
        <v>2</v>
      </c>
      <c r="F725">
        <v>1</v>
      </c>
      <c r="G725">
        <v>0</v>
      </c>
      <c r="H725">
        <v>1</v>
      </c>
      <c r="I725">
        <v>2</v>
      </c>
      <c r="J725">
        <v>2</v>
      </c>
      <c r="K725">
        <v>1</v>
      </c>
      <c r="L725">
        <v>0</v>
      </c>
      <c r="M725">
        <v>1</v>
      </c>
      <c r="N725">
        <v>2</v>
      </c>
      <c r="O725">
        <v>0</v>
      </c>
      <c r="P725">
        <v>3</v>
      </c>
    </row>
    <row r="726" spans="1:16" x14ac:dyDescent="0.3">
      <c r="A726" t="str">
        <f>Table_Demand___Community_frontsheet[[#This Row],[Name]]&amp;B726</f>
        <v>RutlandReablement &amp; Rehabilitation at home</v>
      </c>
      <c r="B726" t="str">
        <f>VLOOKUP(Table_Demand___Community_frontsheet[[#This Row],[Service Type]],PathwayLookup!E:F,2,0)</f>
        <v>Reablement &amp; Rehabilitation at home</v>
      </c>
      <c r="C726" t="s">
        <v>271</v>
      </c>
      <c r="D726" t="s">
        <v>721</v>
      </c>
      <c r="E726">
        <v>40</v>
      </c>
      <c r="F726">
        <v>51</v>
      </c>
      <c r="G726">
        <v>47</v>
      </c>
      <c r="H726">
        <v>44</v>
      </c>
      <c r="I726">
        <v>44</v>
      </c>
      <c r="J726">
        <v>38</v>
      </c>
      <c r="K726">
        <v>37</v>
      </c>
      <c r="L726">
        <v>40</v>
      </c>
      <c r="M726">
        <v>41</v>
      </c>
      <c r="N726">
        <v>41</v>
      </c>
      <c r="O726">
        <v>39</v>
      </c>
      <c r="P726">
        <v>40</v>
      </c>
    </row>
    <row r="727" spans="1:16" x14ac:dyDescent="0.3">
      <c r="A727" t="str">
        <f>Table_Demand___Community_frontsheet[[#This Row],[Name]]&amp;B727</f>
        <v>RutlandReablement &amp; Rehabilitation in a bedded setting</v>
      </c>
      <c r="B727" t="str">
        <f>VLOOKUP(Table_Demand___Community_frontsheet[[#This Row],[Service Type]],PathwayLookup!E:F,2,0)</f>
        <v>Reablement &amp; Rehabilitation in a bedded setting</v>
      </c>
      <c r="C727" t="s">
        <v>271</v>
      </c>
      <c r="D727" t="s">
        <v>723</v>
      </c>
      <c r="E727">
        <v>0</v>
      </c>
      <c r="F727">
        <v>0</v>
      </c>
      <c r="G727">
        <v>0</v>
      </c>
      <c r="H727">
        <v>0</v>
      </c>
      <c r="I727">
        <v>0</v>
      </c>
      <c r="J727">
        <v>0</v>
      </c>
      <c r="K727">
        <v>0</v>
      </c>
      <c r="L727">
        <v>0</v>
      </c>
      <c r="M727">
        <v>0</v>
      </c>
      <c r="N727">
        <v>0</v>
      </c>
      <c r="O727">
        <v>0</v>
      </c>
      <c r="P727">
        <v>0</v>
      </c>
    </row>
    <row r="728" spans="1:16" x14ac:dyDescent="0.3">
      <c r="A728" t="str">
        <f>Table_Demand___Community_frontsheet[[#This Row],[Name]]&amp;B728</f>
        <v>RutlandReablement &amp; Rehabilitation in a bedded setting</v>
      </c>
      <c r="B728" t="str">
        <f>VLOOKUP(Table_Demand___Community_frontsheet[[#This Row],[Service Type]],PathwayLookup!E:F,2,0)</f>
        <v>Reablement &amp; Rehabilitation in a bedded setting</v>
      </c>
      <c r="C728" t="s">
        <v>271</v>
      </c>
      <c r="D728" t="s">
        <v>725</v>
      </c>
      <c r="E728">
        <v>0</v>
      </c>
      <c r="F728">
        <v>0</v>
      </c>
      <c r="G728">
        <v>0</v>
      </c>
      <c r="H728">
        <v>0</v>
      </c>
      <c r="I728">
        <v>0</v>
      </c>
      <c r="J728">
        <v>0</v>
      </c>
      <c r="K728">
        <v>0</v>
      </c>
      <c r="L728">
        <v>0</v>
      </c>
      <c r="M728">
        <v>0</v>
      </c>
      <c r="N728">
        <v>0</v>
      </c>
      <c r="O728">
        <v>0</v>
      </c>
      <c r="P728">
        <v>0</v>
      </c>
    </row>
    <row r="729" spans="1:16" x14ac:dyDescent="0.3">
      <c r="A729" t="str">
        <f>Table_Demand___Community_frontsheet[[#This Row],[Name]]&amp;B729</f>
        <v>RutlandOther short-term social care</v>
      </c>
      <c r="B729" t="str">
        <f>VLOOKUP(Table_Demand___Community_frontsheet[[#This Row],[Service Type]],PathwayLookup!E:F,2,0)</f>
        <v>Other short-term social care</v>
      </c>
      <c r="C729" t="s">
        <v>271</v>
      </c>
      <c r="D729" t="s">
        <v>708</v>
      </c>
      <c r="E729">
        <v>0</v>
      </c>
      <c r="F729">
        <v>0</v>
      </c>
      <c r="G729">
        <v>0</v>
      </c>
      <c r="H729">
        <v>0</v>
      </c>
      <c r="I729">
        <v>0</v>
      </c>
      <c r="J729">
        <v>0</v>
      </c>
      <c r="K729">
        <v>0</v>
      </c>
      <c r="L729">
        <v>0</v>
      </c>
      <c r="M729">
        <v>0</v>
      </c>
      <c r="N729">
        <v>0</v>
      </c>
      <c r="O729">
        <v>0</v>
      </c>
      <c r="P729">
        <v>0</v>
      </c>
    </row>
    <row r="730" spans="1:16" x14ac:dyDescent="0.3">
      <c r="A730" t="str">
        <f>Table_Demand___Community_frontsheet[[#This Row],[Name]]&amp;B730</f>
        <v>SalfordSocial support (including VCS)</v>
      </c>
      <c r="B730" t="str">
        <f>VLOOKUP(Table_Demand___Community_frontsheet[[#This Row],[Service Type]],PathwayLookup!E:F,2,0)</f>
        <v>Social support (including VCS)</v>
      </c>
      <c r="C730" t="s">
        <v>273</v>
      </c>
      <c r="D730" t="s">
        <v>704</v>
      </c>
      <c r="E730">
        <v>0</v>
      </c>
      <c r="F730">
        <v>0</v>
      </c>
      <c r="G730">
        <v>0</v>
      </c>
      <c r="H730">
        <v>0</v>
      </c>
      <c r="I730">
        <v>0</v>
      </c>
      <c r="J730">
        <v>0</v>
      </c>
      <c r="K730">
        <v>0</v>
      </c>
      <c r="L730">
        <v>0</v>
      </c>
      <c r="M730">
        <v>0</v>
      </c>
      <c r="N730">
        <v>0</v>
      </c>
      <c r="O730">
        <v>0</v>
      </c>
      <c r="P730">
        <v>0</v>
      </c>
    </row>
    <row r="731" spans="1:16" x14ac:dyDescent="0.3">
      <c r="A731" t="str">
        <f>Table_Demand___Community_frontsheet[[#This Row],[Name]]&amp;B731</f>
        <v>SalfordUrgent Community Response</v>
      </c>
      <c r="B731" t="str">
        <f>VLOOKUP(Table_Demand___Community_frontsheet[[#This Row],[Service Type]],PathwayLookup!E:F,2,0)</f>
        <v>Urgent Community Response</v>
      </c>
      <c r="C731" t="s">
        <v>273</v>
      </c>
      <c r="D731" t="s">
        <v>705</v>
      </c>
      <c r="E731">
        <v>227</v>
      </c>
      <c r="F731">
        <v>229</v>
      </c>
      <c r="G731">
        <v>232</v>
      </c>
      <c r="H731">
        <v>213</v>
      </c>
      <c r="I731">
        <v>220</v>
      </c>
      <c r="J731">
        <v>195</v>
      </c>
      <c r="K731">
        <v>217</v>
      </c>
      <c r="L731">
        <v>218</v>
      </c>
      <c r="M731">
        <v>217</v>
      </c>
      <c r="N731">
        <v>204</v>
      </c>
      <c r="O731">
        <v>207</v>
      </c>
      <c r="P731">
        <v>200</v>
      </c>
    </row>
    <row r="732" spans="1:16" x14ac:dyDescent="0.3">
      <c r="A732" t="str">
        <f>Table_Demand___Community_frontsheet[[#This Row],[Name]]&amp;B732</f>
        <v>SalfordReablement &amp; Rehabilitation at home</v>
      </c>
      <c r="B732" t="str">
        <f>VLOOKUP(Table_Demand___Community_frontsheet[[#This Row],[Service Type]],PathwayLookup!E:F,2,0)</f>
        <v>Reablement &amp; Rehabilitation at home</v>
      </c>
      <c r="C732" t="s">
        <v>273</v>
      </c>
      <c r="D732" t="s">
        <v>720</v>
      </c>
      <c r="E732">
        <v>79</v>
      </c>
      <c r="F732">
        <v>80</v>
      </c>
      <c r="G732">
        <v>81</v>
      </c>
      <c r="H732">
        <v>74</v>
      </c>
      <c r="I732">
        <v>77</v>
      </c>
      <c r="J732">
        <v>68</v>
      </c>
      <c r="K732">
        <v>76</v>
      </c>
      <c r="L732">
        <v>76</v>
      </c>
      <c r="M732">
        <v>76</v>
      </c>
      <c r="N732">
        <v>71</v>
      </c>
      <c r="O732">
        <v>72</v>
      </c>
      <c r="P732">
        <v>70</v>
      </c>
    </row>
    <row r="733" spans="1:16" x14ac:dyDescent="0.3">
      <c r="A733" t="str">
        <f>Table_Demand___Community_frontsheet[[#This Row],[Name]]&amp;B733</f>
        <v>SalfordReablement &amp; Rehabilitation at home</v>
      </c>
      <c r="B733" t="str">
        <f>VLOOKUP(Table_Demand___Community_frontsheet[[#This Row],[Service Type]],PathwayLookup!E:F,2,0)</f>
        <v>Reablement &amp; Rehabilitation at home</v>
      </c>
      <c r="C733" t="s">
        <v>273</v>
      </c>
      <c r="D733" t="s">
        <v>721</v>
      </c>
      <c r="E733">
        <v>222</v>
      </c>
      <c r="F733">
        <v>223</v>
      </c>
      <c r="G733">
        <v>227</v>
      </c>
      <c r="H733">
        <v>209</v>
      </c>
      <c r="I733">
        <v>215</v>
      </c>
      <c r="J733">
        <v>191</v>
      </c>
      <c r="K733">
        <v>212</v>
      </c>
      <c r="L733">
        <v>213</v>
      </c>
      <c r="M733">
        <v>212</v>
      </c>
      <c r="N733">
        <v>199</v>
      </c>
      <c r="O733">
        <v>202</v>
      </c>
      <c r="P733">
        <v>196</v>
      </c>
    </row>
    <row r="734" spans="1:16" x14ac:dyDescent="0.3">
      <c r="A734" t="str">
        <f>Table_Demand___Community_frontsheet[[#This Row],[Name]]&amp;B734</f>
        <v>SalfordReablement &amp; Rehabilitation in a bedded setting</v>
      </c>
      <c r="B734" t="str">
        <f>VLOOKUP(Table_Demand___Community_frontsheet[[#This Row],[Service Type]],PathwayLookup!E:F,2,0)</f>
        <v>Reablement &amp; Rehabilitation in a bedded setting</v>
      </c>
      <c r="C734" t="s">
        <v>273</v>
      </c>
      <c r="D734" t="s">
        <v>723</v>
      </c>
      <c r="E734">
        <v>0</v>
      </c>
      <c r="F734">
        <v>0</v>
      </c>
      <c r="G734">
        <v>0</v>
      </c>
      <c r="H734">
        <v>0</v>
      </c>
      <c r="I734">
        <v>0</v>
      </c>
      <c r="J734">
        <v>0</v>
      </c>
      <c r="K734">
        <v>0</v>
      </c>
      <c r="L734">
        <v>0</v>
      </c>
      <c r="M734">
        <v>0</v>
      </c>
      <c r="N734">
        <v>0</v>
      </c>
      <c r="O734">
        <v>0</v>
      </c>
      <c r="P734">
        <v>0</v>
      </c>
    </row>
    <row r="735" spans="1:16" x14ac:dyDescent="0.3">
      <c r="A735" t="str">
        <f>Table_Demand___Community_frontsheet[[#This Row],[Name]]&amp;B735</f>
        <v>SalfordReablement &amp; Rehabilitation in a bedded setting</v>
      </c>
      <c r="B735" t="str">
        <f>VLOOKUP(Table_Demand___Community_frontsheet[[#This Row],[Service Type]],PathwayLookup!E:F,2,0)</f>
        <v>Reablement &amp; Rehabilitation in a bedded setting</v>
      </c>
      <c r="C735" t="s">
        <v>273</v>
      </c>
      <c r="D735" t="s">
        <v>725</v>
      </c>
      <c r="E735">
        <v>63</v>
      </c>
      <c r="F735">
        <v>64</v>
      </c>
      <c r="G735">
        <v>65</v>
      </c>
      <c r="H735">
        <v>60</v>
      </c>
      <c r="I735">
        <v>62</v>
      </c>
      <c r="J735">
        <v>54</v>
      </c>
      <c r="K735">
        <v>61</v>
      </c>
      <c r="L735">
        <v>61</v>
      </c>
      <c r="M735">
        <v>61</v>
      </c>
      <c r="N735">
        <v>57</v>
      </c>
      <c r="O735">
        <v>58</v>
      </c>
      <c r="P735">
        <v>56</v>
      </c>
    </row>
    <row r="736" spans="1:16" x14ac:dyDescent="0.3">
      <c r="A736" t="str">
        <f>Table_Demand___Community_frontsheet[[#This Row],[Name]]&amp;B736</f>
        <v>SalfordOther short-term social care</v>
      </c>
      <c r="B736" t="str">
        <f>VLOOKUP(Table_Demand___Community_frontsheet[[#This Row],[Service Type]],PathwayLookup!E:F,2,0)</f>
        <v>Other short-term social care</v>
      </c>
      <c r="C736" t="s">
        <v>273</v>
      </c>
      <c r="D736" t="s">
        <v>708</v>
      </c>
      <c r="E736">
        <v>0</v>
      </c>
      <c r="F736">
        <v>0</v>
      </c>
      <c r="G736">
        <v>0</v>
      </c>
      <c r="H736">
        <v>0</v>
      </c>
      <c r="I736">
        <v>0</v>
      </c>
      <c r="J736">
        <v>0</v>
      </c>
      <c r="K736">
        <v>0</v>
      </c>
      <c r="L736">
        <v>0</v>
      </c>
      <c r="M736">
        <v>0</v>
      </c>
      <c r="N736">
        <v>0</v>
      </c>
      <c r="O736">
        <v>0</v>
      </c>
      <c r="P736">
        <v>0</v>
      </c>
    </row>
    <row r="737" spans="1:16" x14ac:dyDescent="0.3">
      <c r="A737" t="str">
        <f>Table_Demand___Community_frontsheet[[#This Row],[Name]]&amp;B737</f>
        <v>SandwellSocial support (including VCS)</v>
      </c>
      <c r="B737" t="str">
        <f>VLOOKUP(Table_Demand___Community_frontsheet[[#This Row],[Service Type]],PathwayLookup!E:F,2,0)</f>
        <v>Social support (including VCS)</v>
      </c>
      <c r="C737" t="s">
        <v>275</v>
      </c>
      <c r="D737" t="s">
        <v>704</v>
      </c>
    </row>
    <row r="738" spans="1:16" x14ac:dyDescent="0.3">
      <c r="A738" t="str">
        <f>Table_Demand___Community_frontsheet[[#This Row],[Name]]&amp;B738</f>
        <v>SandwellUrgent Community Response</v>
      </c>
      <c r="B738" t="str">
        <f>VLOOKUP(Table_Demand___Community_frontsheet[[#This Row],[Service Type]],PathwayLookup!E:F,2,0)</f>
        <v>Urgent Community Response</v>
      </c>
      <c r="C738" t="s">
        <v>275</v>
      </c>
      <c r="D738" t="s">
        <v>705</v>
      </c>
      <c r="E738">
        <v>1027</v>
      </c>
      <c r="F738">
        <v>1048</v>
      </c>
      <c r="G738">
        <v>1052</v>
      </c>
      <c r="H738">
        <v>1056</v>
      </c>
      <c r="I738">
        <v>1187</v>
      </c>
      <c r="J738">
        <v>1187</v>
      </c>
      <c r="K738">
        <v>1440</v>
      </c>
      <c r="L738">
        <v>1440</v>
      </c>
      <c r="M738">
        <v>1440</v>
      </c>
      <c r="N738">
        <v>1440</v>
      </c>
      <c r="O738">
        <v>1300</v>
      </c>
      <c r="P738">
        <v>1440</v>
      </c>
    </row>
    <row r="739" spans="1:16" x14ac:dyDescent="0.3">
      <c r="A739" t="str">
        <f>Table_Demand___Community_frontsheet[[#This Row],[Name]]&amp;B739</f>
        <v>SandwellReablement &amp; Rehabilitation at home</v>
      </c>
      <c r="B739" t="str">
        <f>VLOOKUP(Table_Demand___Community_frontsheet[[#This Row],[Service Type]],PathwayLookup!E:F,2,0)</f>
        <v>Reablement &amp; Rehabilitation at home</v>
      </c>
      <c r="C739" t="s">
        <v>275</v>
      </c>
      <c r="D739" t="s">
        <v>720</v>
      </c>
      <c r="E739">
        <v>6</v>
      </c>
      <c r="F739">
        <v>6</v>
      </c>
      <c r="G739">
        <v>6</v>
      </c>
      <c r="H739">
        <v>6</v>
      </c>
      <c r="I739">
        <v>6</v>
      </c>
      <c r="J739">
        <v>6</v>
      </c>
      <c r="K739">
        <v>6</v>
      </c>
      <c r="L739">
        <v>6</v>
      </c>
      <c r="M739">
        <v>6</v>
      </c>
      <c r="N739">
        <v>6</v>
      </c>
      <c r="O739">
        <v>6</v>
      </c>
      <c r="P739">
        <v>6</v>
      </c>
    </row>
    <row r="740" spans="1:16" x14ac:dyDescent="0.3">
      <c r="A740" t="str">
        <f>Table_Demand___Community_frontsheet[[#This Row],[Name]]&amp;B740</f>
        <v>SandwellReablement &amp; Rehabilitation at home</v>
      </c>
      <c r="B740" t="str">
        <f>VLOOKUP(Table_Demand___Community_frontsheet[[#This Row],[Service Type]],PathwayLookup!E:F,2,0)</f>
        <v>Reablement &amp; Rehabilitation at home</v>
      </c>
      <c r="C740" t="s">
        <v>275</v>
      </c>
      <c r="D740" t="s">
        <v>721</v>
      </c>
      <c r="E740">
        <v>31</v>
      </c>
      <c r="F740">
        <v>37</v>
      </c>
      <c r="G740">
        <v>39</v>
      </c>
      <c r="H740">
        <v>34</v>
      </c>
      <c r="I740">
        <v>33</v>
      </c>
      <c r="J740">
        <v>36</v>
      </c>
      <c r="K740">
        <v>42</v>
      </c>
      <c r="L740">
        <v>44</v>
      </c>
      <c r="M740">
        <v>45</v>
      </c>
      <c r="N740">
        <v>48</v>
      </c>
      <c r="O740">
        <v>45</v>
      </c>
      <c r="P740">
        <v>42</v>
      </c>
    </row>
    <row r="741" spans="1:16" x14ac:dyDescent="0.3">
      <c r="A741" t="str">
        <f>Table_Demand___Community_frontsheet[[#This Row],[Name]]&amp;B741</f>
        <v>SandwellReablement &amp; Rehabilitation in a bedded setting</v>
      </c>
      <c r="B741" t="str">
        <f>VLOOKUP(Table_Demand___Community_frontsheet[[#This Row],[Service Type]],PathwayLookup!E:F,2,0)</f>
        <v>Reablement &amp; Rehabilitation in a bedded setting</v>
      </c>
      <c r="C741" t="s">
        <v>275</v>
      </c>
      <c r="D741" t="s">
        <v>723</v>
      </c>
      <c r="E741">
        <v>20</v>
      </c>
      <c r="F741">
        <v>25</v>
      </c>
      <c r="G741">
        <v>22</v>
      </c>
      <c r="H741">
        <v>27</v>
      </c>
      <c r="I741">
        <v>24</v>
      </c>
      <c r="J741">
        <v>29</v>
      </c>
      <c r="K741">
        <v>25</v>
      </c>
      <c r="L741">
        <v>31</v>
      </c>
      <c r="M741">
        <v>27</v>
      </c>
      <c r="N741">
        <v>33</v>
      </c>
      <c r="O741">
        <v>29</v>
      </c>
      <c r="P741">
        <v>35</v>
      </c>
    </row>
    <row r="742" spans="1:16" x14ac:dyDescent="0.3">
      <c r="A742" t="str">
        <f>Table_Demand___Community_frontsheet[[#This Row],[Name]]&amp;B742</f>
        <v>SandwellReablement &amp; Rehabilitation in a bedded setting</v>
      </c>
      <c r="B742" t="str">
        <f>VLOOKUP(Table_Demand___Community_frontsheet[[#This Row],[Service Type]],PathwayLookup!E:F,2,0)</f>
        <v>Reablement &amp; Rehabilitation in a bedded setting</v>
      </c>
      <c r="C742" t="s">
        <v>275</v>
      </c>
      <c r="D742" t="s">
        <v>725</v>
      </c>
      <c r="E742">
        <v>12</v>
      </c>
      <c r="F742">
        <v>20</v>
      </c>
      <c r="G742">
        <v>20</v>
      </c>
      <c r="H742">
        <v>10</v>
      </c>
      <c r="I742">
        <v>15</v>
      </c>
      <c r="J742">
        <v>15</v>
      </c>
      <c r="K742">
        <v>20</v>
      </c>
      <c r="L742">
        <v>22</v>
      </c>
      <c r="M742">
        <v>13</v>
      </c>
      <c r="N742">
        <v>16</v>
      </c>
      <c r="O742">
        <v>21</v>
      </c>
      <c r="P742">
        <v>27</v>
      </c>
    </row>
    <row r="743" spans="1:16" x14ac:dyDescent="0.3">
      <c r="A743" t="str">
        <f>Table_Demand___Community_frontsheet[[#This Row],[Name]]&amp;B743</f>
        <v>SandwellOther short-term social care</v>
      </c>
      <c r="B743" t="str">
        <f>VLOOKUP(Table_Demand___Community_frontsheet[[#This Row],[Service Type]],PathwayLookup!E:F,2,0)</f>
        <v>Other short-term social care</v>
      </c>
      <c r="C743" t="s">
        <v>275</v>
      </c>
      <c r="D743" t="s">
        <v>708</v>
      </c>
    </row>
    <row r="744" spans="1:16" x14ac:dyDescent="0.3">
      <c r="A744" t="str">
        <f>Table_Demand___Community_frontsheet[[#This Row],[Name]]&amp;B744</f>
        <v>SeftonSocial support (including VCS)</v>
      </c>
      <c r="B744" t="str">
        <f>VLOOKUP(Table_Demand___Community_frontsheet[[#This Row],[Service Type]],PathwayLookup!E:F,2,0)</f>
        <v>Social support (including VCS)</v>
      </c>
      <c r="C744" t="s">
        <v>277</v>
      </c>
      <c r="D744" t="s">
        <v>704</v>
      </c>
      <c r="E744">
        <v>407</v>
      </c>
      <c r="F744">
        <v>421</v>
      </c>
      <c r="G744">
        <v>407</v>
      </c>
      <c r="H744">
        <v>421</v>
      </c>
      <c r="I744">
        <v>421</v>
      </c>
      <c r="J744">
        <v>407</v>
      </c>
      <c r="K744">
        <v>421</v>
      </c>
      <c r="L744">
        <v>407</v>
      </c>
      <c r="M744">
        <v>421</v>
      </c>
      <c r="N744">
        <v>421</v>
      </c>
      <c r="O744">
        <v>380</v>
      </c>
      <c r="P744">
        <v>421</v>
      </c>
    </row>
    <row r="745" spans="1:16" x14ac:dyDescent="0.3">
      <c r="A745" t="str">
        <f>Table_Demand___Community_frontsheet[[#This Row],[Name]]&amp;B745</f>
        <v>SeftonUrgent Community Response</v>
      </c>
      <c r="B745" t="str">
        <f>VLOOKUP(Table_Demand___Community_frontsheet[[#This Row],[Service Type]],PathwayLookup!E:F,2,0)</f>
        <v>Urgent Community Response</v>
      </c>
      <c r="C745" t="s">
        <v>277</v>
      </c>
      <c r="D745" t="s">
        <v>705</v>
      </c>
      <c r="E745">
        <v>340</v>
      </c>
      <c r="F745">
        <v>316</v>
      </c>
      <c r="G745">
        <v>350</v>
      </c>
      <c r="H745">
        <v>251</v>
      </c>
      <c r="I745">
        <v>255</v>
      </c>
      <c r="J745">
        <v>261</v>
      </c>
      <c r="K745">
        <v>312</v>
      </c>
      <c r="L745">
        <v>285</v>
      </c>
      <c r="M745">
        <v>340</v>
      </c>
      <c r="N745">
        <v>350</v>
      </c>
      <c r="O745">
        <v>190</v>
      </c>
      <c r="P745">
        <v>231</v>
      </c>
    </row>
    <row r="746" spans="1:16" x14ac:dyDescent="0.3">
      <c r="A746" t="str">
        <f>Table_Demand___Community_frontsheet[[#This Row],[Name]]&amp;B746</f>
        <v>SeftonReablement &amp; Rehabilitation at home</v>
      </c>
      <c r="B746" t="str">
        <f>VLOOKUP(Table_Demand___Community_frontsheet[[#This Row],[Service Type]],PathwayLookup!E:F,2,0)</f>
        <v>Reablement &amp; Rehabilitation at home</v>
      </c>
      <c r="C746" t="s">
        <v>277</v>
      </c>
      <c r="D746" t="s">
        <v>720</v>
      </c>
      <c r="E746">
        <v>61</v>
      </c>
      <c r="F746">
        <v>60</v>
      </c>
      <c r="G746">
        <v>60</v>
      </c>
      <c r="H746">
        <v>75</v>
      </c>
      <c r="I746">
        <v>58</v>
      </c>
      <c r="J746">
        <v>72</v>
      </c>
      <c r="K746">
        <v>67</v>
      </c>
      <c r="L746">
        <v>66</v>
      </c>
      <c r="M746">
        <v>50</v>
      </c>
      <c r="N746">
        <v>77</v>
      </c>
      <c r="O746">
        <v>75</v>
      </c>
      <c r="P746">
        <v>87</v>
      </c>
    </row>
    <row r="747" spans="1:16" x14ac:dyDescent="0.3">
      <c r="A747" t="str">
        <f>Table_Demand___Community_frontsheet[[#This Row],[Name]]&amp;B747</f>
        <v>SeftonReablement &amp; Rehabilitation at home</v>
      </c>
      <c r="B747" t="str">
        <f>VLOOKUP(Table_Demand___Community_frontsheet[[#This Row],[Service Type]],PathwayLookup!E:F,2,0)</f>
        <v>Reablement &amp; Rehabilitation at home</v>
      </c>
      <c r="C747" t="s">
        <v>277</v>
      </c>
      <c r="D747" t="s">
        <v>721</v>
      </c>
      <c r="E747">
        <v>122</v>
      </c>
      <c r="F747">
        <v>142</v>
      </c>
      <c r="G747">
        <v>174</v>
      </c>
      <c r="H747">
        <v>142</v>
      </c>
      <c r="I747">
        <v>123</v>
      </c>
      <c r="J747">
        <v>128</v>
      </c>
      <c r="K747">
        <v>137</v>
      </c>
      <c r="L747">
        <v>155</v>
      </c>
      <c r="M747">
        <v>168</v>
      </c>
      <c r="N747">
        <v>204</v>
      </c>
      <c r="O747">
        <v>181</v>
      </c>
      <c r="P747">
        <v>233</v>
      </c>
    </row>
    <row r="748" spans="1:16" x14ac:dyDescent="0.3">
      <c r="A748" t="str">
        <f>Table_Demand___Community_frontsheet[[#This Row],[Name]]&amp;B748</f>
        <v>SeftonReablement &amp; Rehabilitation in a bedded setting</v>
      </c>
      <c r="B748" t="str">
        <f>VLOOKUP(Table_Demand___Community_frontsheet[[#This Row],[Service Type]],PathwayLookup!E:F,2,0)</f>
        <v>Reablement &amp; Rehabilitation in a bedded setting</v>
      </c>
      <c r="C748" t="s">
        <v>277</v>
      </c>
      <c r="D748" t="s">
        <v>723</v>
      </c>
      <c r="E748">
        <v>71</v>
      </c>
      <c r="F748">
        <v>64</v>
      </c>
      <c r="G748">
        <v>69</v>
      </c>
      <c r="H748">
        <v>73</v>
      </c>
      <c r="I748">
        <v>64</v>
      </c>
      <c r="J748">
        <v>74</v>
      </c>
      <c r="K748">
        <v>65</v>
      </c>
      <c r="L748">
        <v>71</v>
      </c>
      <c r="M748">
        <v>46</v>
      </c>
      <c r="N748">
        <v>72</v>
      </c>
      <c r="O748">
        <v>69</v>
      </c>
      <c r="P748">
        <v>80</v>
      </c>
    </row>
    <row r="749" spans="1:16" x14ac:dyDescent="0.3">
      <c r="A749" t="str">
        <f>Table_Demand___Community_frontsheet[[#This Row],[Name]]&amp;B749</f>
        <v>SeftonReablement &amp; Rehabilitation in a bedded setting</v>
      </c>
      <c r="B749" t="str">
        <f>VLOOKUP(Table_Demand___Community_frontsheet[[#This Row],[Service Type]],PathwayLookup!E:F,2,0)</f>
        <v>Reablement &amp; Rehabilitation in a bedded setting</v>
      </c>
      <c r="C749" t="s">
        <v>277</v>
      </c>
      <c r="D749" t="s">
        <v>725</v>
      </c>
      <c r="E749">
        <v>9</v>
      </c>
      <c r="F749">
        <v>11</v>
      </c>
      <c r="G749">
        <v>8</v>
      </c>
      <c r="H749">
        <v>10</v>
      </c>
      <c r="I749">
        <v>5</v>
      </c>
      <c r="J749">
        <v>7</v>
      </c>
      <c r="K749">
        <v>7</v>
      </c>
      <c r="L749">
        <v>7</v>
      </c>
      <c r="M749">
        <v>8</v>
      </c>
      <c r="N749">
        <v>11</v>
      </c>
      <c r="O749">
        <v>11</v>
      </c>
      <c r="P749">
        <v>9</v>
      </c>
    </row>
    <row r="750" spans="1:16" x14ac:dyDescent="0.3">
      <c r="A750" t="str">
        <f>Table_Demand___Community_frontsheet[[#This Row],[Name]]&amp;B750</f>
        <v>SeftonOther short-term social care</v>
      </c>
      <c r="B750" t="str">
        <f>VLOOKUP(Table_Demand___Community_frontsheet[[#This Row],[Service Type]],PathwayLookup!E:F,2,0)</f>
        <v>Other short-term social care</v>
      </c>
      <c r="C750" t="s">
        <v>277</v>
      </c>
      <c r="D750" t="s">
        <v>708</v>
      </c>
      <c r="E750">
        <v>23</v>
      </c>
      <c r="F750">
        <v>19</v>
      </c>
      <c r="G750">
        <v>30</v>
      </c>
      <c r="H750">
        <v>29</v>
      </c>
      <c r="I750">
        <v>30</v>
      </c>
      <c r="J750">
        <v>26</v>
      </c>
      <c r="K750">
        <v>29</v>
      </c>
      <c r="L750">
        <v>34</v>
      </c>
      <c r="M750">
        <v>31</v>
      </c>
      <c r="N750">
        <v>20</v>
      </c>
      <c r="O750">
        <v>29</v>
      </c>
      <c r="P750">
        <v>27</v>
      </c>
    </row>
    <row r="751" spans="1:16" x14ac:dyDescent="0.3">
      <c r="A751" t="str">
        <f>Table_Demand___Community_frontsheet[[#This Row],[Name]]&amp;B751</f>
        <v>SheffieldSocial support (including VCS)</v>
      </c>
      <c r="B751" t="str">
        <f>VLOOKUP(Table_Demand___Community_frontsheet[[#This Row],[Service Type]],PathwayLookup!E:F,2,0)</f>
        <v>Social support (including VCS)</v>
      </c>
      <c r="C751" t="s">
        <v>279</v>
      </c>
      <c r="D751" t="s">
        <v>704</v>
      </c>
      <c r="E751">
        <v>55</v>
      </c>
      <c r="F751">
        <v>55</v>
      </c>
      <c r="G751">
        <v>55</v>
      </c>
      <c r="H751">
        <v>55</v>
      </c>
      <c r="I751">
        <v>55</v>
      </c>
      <c r="J751">
        <v>55</v>
      </c>
      <c r="K751">
        <v>55</v>
      </c>
      <c r="L751">
        <v>55</v>
      </c>
      <c r="M751">
        <v>55</v>
      </c>
      <c r="N751">
        <v>55</v>
      </c>
      <c r="O751">
        <v>55</v>
      </c>
      <c r="P751">
        <v>55</v>
      </c>
    </row>
    <row r="752" spans="1:16" x14ac:dyDescent="0.3">
      <c r="A752" t="str">
        <f>Table_Demand___Community_frontsheet[[#This Row],[Name]]&amp;B752</f>
        <v>SheffieldUrgent Community Response</v>
      </c>
      <c r="B752" t="str">
        <f>VLOOKUP(Table_Demand___Community_frontsheet[[#This Row],[Service Type]],PathwayLookup!E:F,2,0)</f>
        <v>Urgent Community Response</v>
      </c>
      <c r="C752" t="s">
        <v>279</v>
      </c>
      <c r="D752" t="s">
        <v>705</v>
      </c>
      <c r="E752">
        <v>57</v>
      </c>
      <c r="F752">
        <v>57</v>
      </c>
      <c r="G752">
        <v>57</v>
      </c>
      <c r="H752">
        <v>57</v>
      </c>
      <c r="I752">
        <v>57</v>
      </c>
      <c r="J752">
        <v>57</v>
      </c>
      <c r="K752">
        <v>57</v>
      </c>
      <c r="L752">
        <v>57</v>
      </c>
      <c r="M752">
        <v>57</v>
      </c>
      <c r="N752">
        <v>57</v>
      </c>
      <c r="O752">
        <v>57</v>
      </c>
      <c r="P752">
        <v>57</v>
      </c>
    </row>
    <row r="753" spans="1:16" x14ac:dyDescent="0.3">
      <c r="A753" t="str">
        <f>Table_Demand___Community_frontsheet[[#This Row],[Name]]&amp;B753</f>
        <v>SheffieldReablement &amp; Rehabilitation at home</v>
      </c>
      <c r="B753" t="str">
        <f>VLOOKUP(Table_Demand___Community_frontsheet[[#This Row],[Service Type]],PathwayLookup!E:F,2,0)</f>
        <v>Reablement &amp; Rehabilitation at home</v>
      </c>
      <c r="C753" t="s">
        <v>279</v>
      </c>
      <c r="D753" t="s">
        <v>720</v>
      </c>
      <c r="E753">
        <v>0</v>
      </c>
      <c r="F753">
        <v>0</v>
      </c>
      <c r="G753">
        <v>0</v>
      </c>
      <c r="H753">
        <v>0</v>
      </c>
      <c r="I753">
        <v>0</v>
      </c>
      <c r="J753">
        <v>0</v>
      </c>
      <c r="K753">
        <v>0</v>
      </c>
      <c r="L753">
        <v>0</v>
      </c>
      <c r="M753">
        <v>0</v>
      </c>
      <c r="N753">
        <v>0</v>
      </c>
      <c r="O753">
        <v>0</v>
      </c>
      <c r="P753">
        <v>0</v>
      </c>
    </row>
    <row r="754" spans="1:16" x14ac:dyDescent="0.3">
      <c r="A754" t="str">
        <f>Table_Demand___Community_frontsheet[[#This Row],[Name]]&amp;B754</f>
        <v>SheffieldReablement &amp; Rehabilitation at home</v>
      </c>
      <c r="B754" t="str">
        <f>VLOOKUP(Table_Demand___Community_frontsheet[[#This Row],[Service Type]],PathwayLookup!E:F,2,0)</f>
        <v>Reablement &amp; Rehabilitation at home</v>
      </c>
      <c r="C754" t="s">
        <v>279</v>
      </c>
      <c r="D754" t="s">
        <v>721</v>
      </c>
      <c r="E754">
        <v>0</v>
      </c>
      <c r="F754">
        <v>0</v>
      </c>
      <c r="G754">
        <v>0</v>
      </c>
      <c r="H754">
        <v>0</v>
      </c>
      <c r="I754">
        <v>0</v>
      </c>
      <c r="J754">
        <v>0</v>
      </c>
      <c r="K754">
        <v>0</v>
      </c>
      <c r="L754">
        <v>0</v>
      </c>
      <c r="M754">
        <v>0</v>
      </c>
      <c r="N754">
        <v>0</v>
      </c>
      <c r="O754">
        <v>0</v>
      </c>
      <c r="P754">
        <v>0</v>
      </c>
    </row>
    <row r="755" spans="1:16" x14ac:dyDescent="0.3">
      <c r="A755" t="str">
        <f>Table_Demand___Community_frontsheet[[#This Row],[Name]]&amp;B755</f>
        <v>SheffieldReablement &amp; Rehabilitation in a bedded setting</v>
      </c>
      <c r="B755" t="str">
        <f>VLOOKUP(Table_Demand___Community_frontsheet[[#This Row],[Service Type]],PathwayLookup!E:F,2,0)</f>
        <v>Reablement &amp; Rehabilitation in a bedded setting</v>
      </c>
      <c r="C755" t="s">
        <v>279</v>
      </c>
      <c r="D755" t="s">
        <v>723</v>
      </c>
      <c r="E755">
        <v>38</v>
      </c>
      <c r="F755">
        <v>38</v>
      </c>
      <c r="G755">
        <v>38</v>
      </c>
      <c r="H755">
        <v>38</v>
      </c>
      <c r="I755">
        <v>38</v>
      </c>
      <c r="J755">
        <v>38</v>
      </c>
      <c r="K755">
        <v>38</v>
      </c>
      <c r="L755">
        <v>38</v>
      </c>
      <c r="M755">
        <v>38</v>
      </c>
      <c r="N755">
        <v>38</v>
      </c>
      <c r="O755">
        <v>38</v>
      </c>
      <c r="P755">
        <v>38</v>
      </c>
    </row>
    <row r="756" spans="1:16" x14ac:dyDescent="0.3">
      <c r="A756" t="str">
        <f>Table_Demand___Community_frontsheet[[#This Row],[Name]]&amp;B756</f>
        <v>SheffieldReablement &amp; Rehabilitation in a bedded setting</v>
      </c>
      <c r="B756" t="str">
        <f>VLOOKUP(Table_Demand___Community_frontsheet[[#This Row],[Service Type]],PathwayLookup!E:F,2,0)</f>
        <v>Reablement &amp; Rehabilitation in a bedded setting</v>
      </c>
      <c r="C756" t="s">
        <v>279</v>
      </c>
      <c r="D756" t="s">
        <v>725</v>
      </c>
      <c r="E756">
        <v>0</v>
      </c>
      <c r="F756">
        <v>0</v>
      </c>
      <c r="G756">
        <v>0</v>
      </c>
      <c r="H756">
        <v>0</v>
      </c>
      <c r="I756">
        <v>0</v>
      </c>
      <c r="J756">
        <v>0</v>
      </c>
      <c r="K756">
        <v>0</v>
      </c>
      <c r="L756">
        <v>0</v>
      </c>
      <c r="M756">
        <v>0</v>
      </c>
      <c r="N756">
        <v>0</v>
      </c>
      <c r="O756">
        <v>0</v>
      </c>
      <c r="P756">
        <v>0</v>
      </c>
    </row>
    <row r="757" spans="1:16" x14ac:dyDescent="0.3">
      <c r="A757" t="str">
        <f>Table_Demand___Community_frontsheet[[#This Row],[Name]]&amp;B757</f>
        <v>SheffieldOther short-term social care</v>
      </c>
      <c r="B757" t="str">
        <f>VLOOKUP(Table_Demand___Community_frontsheet[[#This Row],[Service Type]],PathwayLookup!E:F,2,0)</f>
        <v>Other short-term social care</v>
      </c>
      <c r="C757" t="s">
        <v>279</v>
      </c>
      <c r="D757" t="s">
        <v>708</v>
      </c>
      <c r="E757">
        <v>0</v>
      </c>
      <c r="F757">
        <v>0</v>
      </c>
      <c r="G757">
        <v>0</v>
      </c>
      <c r="H757">
        <v>0</v>
      </c>
      <c r="I757">
        <v>0</v>
      </c>
      <c r="J757">
        <v>0</v>
      </c>
      <c r="K757">
        <v>0</v>
      </c>
      <c r="L757">
        <v>0</v>
      </c>
      <c r="M757">
        <v>0</v>
      </c>
      <c r="N757">
        <v>0</v>
      </c>
      <c r="O757">
        <v>0</v>
      </c>
      <c r="P757">
        <v>0</v>
      </c>
    </row>
    <row r="758" spans="1:16" x14ac:dyDescent="0.3">
      <c r="A758" t="str">
        <f>Table_Demand___Community_frontsheet[[#This Row],[Name]]&amp;B758</f>
        <v>ShropshireSocial support (including VCS)</v>
      </c>
      <c r="B758" t="str">
        <f>VLOOKUP(Table_Demand___Community_frontsheet[[#This Row],[Service Type]],PathwayLookup!E:F,2,0)</f>
        <v>Social support (including VCS)</v>
      </c>
      <c r="C758" t="s">
        <v>281</v>
      </c>
      <c r="D758" t="s">
        <v>704</v>
      </c>
      <c r="E758">
        <v>100</v>
      </c>
      <c r="F758">
        <v>100</v>
      </c>
      <c r="G758">
        <v>100</v>
      </c>
      <c r="H758">
        <v>100</v>
      </c>
      <c r="I758">
        <v>100</v>
      </c>
      <c r="J758">
        <v>100</v>
      </c>
      <c r="K758">
        <v>100</v>
      </c>
      <c r="L758">
        <v>100</v>
      </c>
      <c r="M758">
        <v>130</v>
      </c>
      <c r="N758">
        <v>130</v>
      </c>
      <c r="O758">
        <v>130</v>
      </c>
      <c r="P758">
        <v>130</v>
      </c>
    </row>
    <row r="759" spans="1:16" x14ac:dyDescent="0.3">
      <c r="A759" t="str">
        <f>Table_Demand___Community_frontsheet[[#This Row],[Name]]&amp;B759</f>
        <v>ShropshireUrgent Community Response</v>
      </c>
      <c r="B759" t="str">
        <f>VLOOKUP(Table_Demand___Community_frontsheet[[#This Row],[Service Type]],PathwayLookup!E:F,2,0)</f>
        <v>Urgent Community Response</v>
      </c>
      <c r="C759" t="s">
        <v>281</v>
      </c>
      <c r="D759" t="s">
        <v>705</v>
      </c>
      <c r="E759">
        <v>31</v>
      </c>
      <c r="F759">
        <v>31</v>
      </c>
      <c r="G759">
        <v>31</v>
      </c>
      <c r="H759">
        <v>31</v>
      </c>
      <c r="I759">
        <v>31</v>
      </c>
      <c r="J759">
        <v>31</v>
      </c>
      <c r="K759">
        <v>31</v>
      </c>
      <c r="L759">
        <v>40</v>
      </c>
      <c r="M759">
        <v>40</v>
      </c>
      <c r="N759">
        <v>45</v>
      </c>
      <c r="O759">
        <v>45</v>
      </c>
      <c r="P759">
        <v>40</v>
      </c>
    </row>
    <row r="760" spans="1:16" x14ac:dyDescent="0.3">
      <c r="A760" t="str">
        <f>Table_Demand___Community_frontsheet[[#This Row],[Name]]&amp;B760</f>
        <v>ShropshireReablement &amp; Rehabilitation at home</v>
      </c>
      <c r="B760" t="str">
        <f>VLOOKUP(Table_Demand___Community_frontsheet[[#This Row],[Service Type]],PathwayLookup!E:F,2,0)</f>
        <v>Reablement &amp; Rehabilitation at home</v>
      </c>
      <c r="C760" t="s">
        <v>281</v>
      </c>
      <c r="D760" t="s">
        <v>720</v>
      </c>
      <c r="E760">
        <v>126</v>
      </c>
      <c r="F760">
        <v>140</v>
      </c>
      <c r="G760">
        <v>137</v>
      </c>
      <c r="H760">
        <v>132</v>
      </c>
      <c r="I760">
        <v>141</v>
      </c>
      <c r="J760">
        <v>147</v>
      </c>
      <c r="K760">
        <v>143</v>
      </c>
      <c r="L760">
        <v>148</v>
      </c>
      <c r="M760">
        <v>150</v>
      </c>
      <c r="N760">
        <v>148</v>
      </c>
      <c r="O760">
        <v>122</v>
      </c>
      <c r="P760">
        <v>152</v>
      </c>
    </row>
    <row r="761" spans="1:16" x14ac:dyDescent="0.3">
      <c r="A761" t="str">
        <f>Table_Demand___Community_frontsheet[[#This Row],[Name]]&amp;B761</f>
        <v>ShropshireReablement &amp; Rehabilitation at home</v>
      </c>
      <c r="B761" t="str">
        <f>VLOOKUP(Table_Demand___Community_frontsheet[[#This Row],[Service Type]],PathwayLookup!E:F,2,0)</f>
        <v>Reablement &amp; Rehabilitation at home</v>
      </c>
      <c r="C761" t="s">
        <v>281</v>
      </c>
      <c r="D761" t="s">
        <v>721</v>
      </c>
      <c r="E761">
        <v>0</v>
      </c>
      <c r="F761">
        <v>0</v>
      </c>
      <c r="G761">
        <v>0</v>
      </c>
      <c r="H761">
        <v>0</v>
      </c>
      <c r="I761">
        <v>0</v>
      </c>
      <c r="J761">
        <v>0</v>
      </c>
      <c r="K761">
        <v>0</v>
      </c>
      <c r="L761">
        <v>0</v>
      </c>
      <c r="M761">
        <v>0</v>
      </c>
      <c r="N761">
        <v>0</v>
      </c>
      <c r="O761">
        <v>0</v>
      </c>
      <c r="P761">
        <v>0</v>
      </c>
    </row>
    <row r="762" spans="1:16" x14ac:dyDescent="0.3">
      <c r="A762" t="str">
        <f>Table_Demand___Community_frontsheet[[#This Row],[Name]]&amp;B762</f>
        <v>ShropshireReablement &amp; Rehabilitation in a bedded setting</v>
      </c>
      <c r="B762" t="str">
        <f>VLOOKUP(Table_Demand___Community_frontsheet[[#This Row],[Service Type]],PathwayLookup!E:F,2,0)</f>
        <v>Reablement &amp; Rehabilitation in a bedded setting</v>
      </c>
      <c r="C762" t="s">
        <v>281</v>
      </c>
      <c r="D762" t="s">
        <v>723</v>
      </c>
      <c r="E762">
        <v>0</v>
      </c>
      <c r="F762">
        <v>0</v>
      </c>
      <c r="G762">
        <v>0</v>
      </c>
      <c r="H762">
        <v>0</v>
      </c>
      <c r="I762">
        <v>0</v>
      </c>
      <c r="J762">
        <v>0</v>
      </c>
      <c r="K762">
        <v>0</v>
      </c>
      <c r="L762">
        <v>0</v>
      </c>
      <c r="M762">
        <v>0</v>
      </c>
      <c r="N762">
        <v>0</v>
      </c>
      <c r="O762">
        <v>0</v>
      </c>
      <c r="P762">
        <v>0</v>
      </c>
    </row>
    <row r="763" spans="1:16" x14ac:dyDescent="0.3">
      <c r="A763" t="str">
        <f>Table_Demand___Community_frontsheet[[#This Row],[Name]]&amp;B763</f>
        <v>ShropshireReablement &amp; Rehabilitation in a bedded setting</v>
      </c>
      <c r="B763" t="str">
        <f>VLOOKUP(Table_Demand___Community_frontsheet[[#This Row],[Service Type]],PathwayLookup!E:F,2,0)</f>
        <v>Reablement &amp; Rehabilitation in a bedded setting</v>
      </c>
      <c r="C763" t="s">
        <v>281</v>
      </c>
      <c r="D763" t="s">
        <v>725</v>
      </c>
      <c r="E763">
        <v>0</v>
      </c>
      <c r="F763">
        <v>0</v>
      </c>
      <c r="G763">
        <v>0</v>
      </c>
      <c r="H763">
        <v>0</v>
      </c>
      <c r="I763">
        <v>0</v>
      </c>
      <c r="J763">
        <v>0</v>
      </c>
      <c r="K763">
        <v>0</v>
      </c>
      <c r="L763">
        <v>0</v>
      </c>
      <c r="M763">
        <v>0</v>
      </c>
      <c r="N763">
        <v>0</v>
      </c>
      <c r="O763">
        <v>0</v>
      </c>
      <c r="P763">
        <v>0</v>
      </c>
    </row>
    <row r="764" spans="1:16" x14ac:dyDescent="0.3">
      <c r="A764" t="str">
        <f>Table_Demand___Community_frontsheet[[#This Row],[Name]]&amp;B764</f>
        <v>ShropshireOther short-term social care</v>
      </c>
      <c r="B764" t="str">
        <f>VLOOKUP(Table_Demand___Community_frontsheet[[#This Row],[Service Type]],PathwayLookup!E:F,2,0)</f>
        <v>Other short-term social care</v>
      </c>
      <c r="C764" t="s">
        <v>281</v>
      </c>
      <c r="D764" t="s">
        <v>708</v>
      </c>
      <c r="E764">
        <v>37</v>
      </c>
      <c r="F764">
        <v>37</v>
      </c>
      <c r="G764">
        <v>37</v>
      </c>
      <c r="H764">
        <v>37</v>
      </c>
      <c r="I764">
        <v>37</v>
      </c>
      <c r="J764">
        <v>37</v>
      </c>
      <c r="K764">
        <v>37</v>
      </c>
      <c r="L764">
        <v>52</v>
      </c>
      <c r="M764">
        <v>52</v>
      </c>
      <c r="N764">
        <v>52</v>
      </c>
      <c r="O764">
        <v>52</v>
      </c>
      <c r="P764">
        <v>52</v>
      </c>
    </row>
    <row r="765" spans="1:16" x14ac:dyDescent="0.3">
      <c r="A765" t="str">
        <f>Table_Demand___Community_frontsheet[[#This Row],[Name]]&amp;B765</f>
        <v>SloughSocial support (including VCS)</v>
      </c>
      <c r="B765" t="str">
        <f>VLOOKUP(Table_Demand___Community_frontsheet[[#This Row],[Service Type]],PathwayLookup!E:F,2,0)</f>
        <v>Social support (including VCS)</v>
      </c>
      <c r="C765" t="s">
        <v>283</v>
      </c>
      <c r="D765" t="s">
        <v>704</v>
      </c>
      <c r="E765">
        <v>0</v>
      </c>
      <c r="F765">
        <v>0</v>
      </c>
      <c r="G765">
        <v>0</v>
      </c>
      <c r="H765">
        <v>0</v>
      </c>
      <c r="I765">
        <v>0</v>
      </c>
      <c r="J765">
        <v>0</v>
      </c>
      <c r="K765">
        <v>0</v>
      </c>
      <c r="L765">
        <v>0</v>
      </c>
      <c r="M765">
        <v>0</v>
      </c>
      <c r="N765">
        <v>0</v>
      </c>
      <c r="O765">
        <v>0</v>
      </c>
      <c r="P765">
        <v>0</v>
      </c>
    </row>
    <row r="766" spans="1:16" x14ac:dyDescent="0.3">
      <c r="A766" t="str">
        <f>Table_Demand___Community_frontsheet[[#This Row],[Name]]&amp;B766</f>
        <v>SloughUrgent Community Response</v>
      </c>
      <c r="B766" t="str">
        <f>VLOOKUP(Table_Demand___Community_frontsheet[[#This Row],[Service Type]],PathwayLookup!E:F,2,0)</f>
        <v>Urgent Community Response</v>
      </c>
      <c r="C766" t="s">
        <v>283</v>
      </c>
      <c r="D766" t="s">
        <v>705</v>
      </c>
      <c r="E766">
        <v>21</v>
      </c>
      <c r="F766">
        <v>23</v>
      </c>
      <c r="G766">
        <v>23</v>
      </c>
      <c r="H766">
        <v>22</v>
      </c>
      <c r="I766">
        <v>24</v>
      </c>
      <c r="J766">
        <v>21</v>
      </c>
      <c r="K766">
        <v>19</v>
      </c>
      <c r="L766">
        <v>24</v>
      </c>
      <c r="M766">
        <v>22</v>
      </c>
      <c r="N766">
        <v>23</v>
      </c>
      <c r="O766">
        <v>21</v>
      </c>
      <c r="P766">
        <v>20</v>
      </c>
    </row>
    <row r="767" spans="1:16" x14ac:dyDescent="0.3">
      <c r="A767" t="str">
        <f>Table_Demand___Community_frontsheet[[#This Row],[Name]]&amp;B767</f>
        <v>SloughReablement &amp; Rehabilitation at home</v>
      </c>
      <c r="B767" t="str">
        <f>VLOOKUP(Table_Demand___Community_frontsheet[[#This Row],[Service Type]],PathwayLookup!E:F,2,0)</f>
        <v>Reablement &amp; Rehabilitation at home</v>
      </c>
      <c r="C767" t="s">
        <v>283</v>
      </c>
      <c r="D767" t="s">
        <v>720</v>
      </c>
      <c r="E767">
        <v>21</v>
      </c>
      <c r="F767">
        <v>19</v>
      </c>
      <c r="G767">
        <v>16</v>
      </c>
      <c r="H767">
        <v>20</v>
      </c>
      <c r="I767">
        <v>17</v>
      </c>
      <c r="J767">
        <v>16</v>
      </c>
      <c r="K767">
        <v>18</v>
      </c>
      <c r="L767">
        <v>20</v>
      </c>
      <c r="M767">
        <v>21</v>
      </c>
      <c r="N767">
        <v>23</v>
      </c>
      <c r="O767">
        <v>20</v>
      </c>
      <c r="P767">
        <v>17</v>
      </c>
    </row>
    <row r="768" spans="1:16" x14ac:dyDescent="0.3">
      <c r="A768" t="str">
        <f>Table_Demand___Community_frontsheet[[#This Row],[Name]]&amp;B768</f>
        <v>SloughReablement &amp; Rehabilitation at home</v>
      </c>
      <c r="B768" t="str">
        <f>VLOOKUP(Table_Demand___Community_frontsheet[[#This Row],[Service Type]],PathwayLookup!E:F,2,0)</f>
        <v>Reablement &amp; Rehabilitation at home</v>
      </c>
      <c r="C768" t="s">
        <v>283</v>
      </c>
      <c r="D768" t="s">
        <v>721</v>
      </c>
    </row>
    <row r="769" spans="1:16" x14ac:dyDescent="0.3">
      <c r="A769" t="str">
        <f>Table_Demand___Community_frontsheet[[#This Row],[Name]]&amp;B769</f>
        <v>SloughReablement &amp; Rehabilitation in a bedded setting</v>
      </c>
      <c r="B769" t="str">
        <f>VLOOKUP(Table_Demand___Community_frontsheet[[#This Row],[Service Type]],PathwayLookup!E:F,2,0)</f>
        <v>Reablement &amp; Rehabilitation in a bedded setting</v>
      </c>
      <c r="C769" t="s">
        <v>283</v>
      </c>
      <c r="D769" t="s">
        <v>723</v>
      </c>
      <c r="E769">
        <v>10</v>
      </c>
      <c r="F769">
        <v>11</v>
      </c>
      <c r="G769">
        <v>11</v>
      </c>
      <c r="H769">
        <v>9</v>
      </c>
      <c r="I769">
        <v>12</v>
      </c>
      <c r="J769">
        <v>15</v>
      </c>
      <c r="K769">
        <v>12</v>
      </c>
      <c r="L769">
        <v>13</v>
      </c>
      <c r="M769">
        <v>9</v>
      </c>
      <c r="N769">
        <v>12</v>
      </c>
      <c r="O769">
        <v>9</v>
      </c>
      <c r="P769">
        <v>11</v>
      </c>
    </row>
    <row r="770" spans="1:16" x14ac:dyDescent="0.3">
      <c r="A770" t="str">
        <f>Table_Demand___Community_frontsheet[[#This Row],[Name]]&amp;B770</f>
        <v>SloughReablement &amp; Rehabilitation in a bedded setting</v>
      </c>
      <c r="B770" t="str">
        <f>VLOOKUP(Table_Demand___Community_frontsheet[[#This Row],[Service Type]],PathwayLookup!E:F,2,0)</f>
        <v>Reablement &amp; Rehabilitation in a bedded setting</v>
      </c>
      <c r="C770" t="s">
        <v>283</v>
      </c>
      <c r="D770" t="s">
        <v>725</v>
      </c>
      <c r="E770">
        <v>2</v>
      </c>
      <c r="F770">
        <v>2</v>
      </c>
      <c r="G770">
        <v>2</v>
      </c>
      <c r="H770">
        <v>2</v>
      </c>
      <c r="I770">
        <v>2</v>
      </c>
      <c r="J770">
        <v>2</v>
      </c>
      <c r="K770">
        <v>2</v>
      </c>
      <c r="L770">
        <v>2</v>
      </c>
      <c r="M770">
        <v>2</v>
      </c>
      <c r="N770">
        <v>2</v>
      </c>
      <c r="O770">
        <v>2</v>
      </c>
      <c r="P770">
        <v>2</v>
      </c>
    </row>
    <row r="771" spans="1:16" x14ac:dyDescent="0.3">
      <c r="A771" t="str">
        <f>Table_Demand___Community_frontsheet[[#This Row],[Name]]&amp;B771</f>
        <v>SloughOther short-term social care</v>
      </c>
      <c r="B771" t="str">
        <f>VLOOKUP(Table_Demand___Community_frontsheet[[#This Row],[Service Type]],PathwayLookup!E:F,2,0)</f>
        <v>Other short-term social care</v>
      </c>
      <c r="C771" t="s">
        <v>283</v>
      </c>
      <c r="D771" t="s">
        <v>708</v>
      </c>
      <c r="E771">
        <v>0</v>
      </c>
      <c r="F771">
        <v>0</v>
      </c>
      <c r="G771">
        <v>0</v>
      </c>
      <c r="H771">
        <v>0</v>
      </c>
      <c r="I771">
        <v>0</v>
      </c>
      <c r="J771">
        <v>0</v>
      </c>
      <c r="K771">
        <v>0</v>
      </c>
      <c r="L771">
        <v>0</v>
      </c>
      <c r="M771">
        <v>0</v>
      </c>
      <c r="N771">
        <v>0</v>
      </c>
      <c r="O771">
        <v>0</v>
      </c>
      <c r="P771">
        <v>0</v>
      </c>
    </row>
    <row r="772" spans="1:16" x14ac:dyDescent="0.3">
      <c r="A772" t="str">
        <f>Table_Demand___Community_frontsheet[[#This Row],[Name]]&amp;B772</f>
        <v>SolihullSocial support (including VCS)</v>
      </c>
      <c r="B772" t="str">
        <f>VLOOKUP(Table_Demand___Community_frontsheet[[#This Row],[Service Type]],PathwayLookup!E:F,2,0)</f>
        <v>Social support (including VCS)</v>
      </c>
      <c r="C772" t="s">
        <v>285</v>
      </c>
      <c r="D772" t="s">
        <v>704</v>
      </c>
      <c r="E772">
        <v>168</v>
      </c>
      <c r="F772">
        <v>168</v>
      </c>
      <c r="G772">
        <v>168</v>
      </c>
      <c r="H772">
        <v>168</v>
      </c>
      <c r="I772">
        <v>168</v>
      </c>
      <c r="J772">
        <v>168</v>
      </c>
      <c r="K772">
        <v>168</v>
      </c>
      <c r="L772">
        <v>168</v>
      </c>
      <c r="M772">
        <v>168</v>
      </c>
      <c r="N772">
        <v>168</v>
      </c>
      <c r="O772">
        <v>168</v>
      </c>
      <c r="P772">
        <v>168</v>
      </c>
    </row>
    <row r="773" spans="1:16" x14ac:dyDescent="0.3">
      <c r="A773" t="str">
        <f>Table_Demand___Community_frontsheet[[#This Row],[Name]]&amp;B773</f>
        <v>SolihullUrgent Community Response</v>
      </c>
      <c r="B773" t="str">
        <f>VLOOKUP(Table_Demand___Community_frontsheet[[#This Row],[Service Type]],PathwayLookup!E:F,2,0)</f>
        <v>Urgent Community Response</v>
      </c>
      <c r="C773" t="s">
        <v>285</v>
      </c>
      <c r="D773" t="s">
        <v>705</v>
      </c>
      <c r="E773">
        <v>464</v>
      </c>
      <c r="F773">
        <v>464</v>
      </c>
      <c r="G773">
        <v>464</v>
      </c>
      <c r="H773">
        <v>480</v>
      </c>
      <c r="I773">
        <v>480</v>
      </c>
      <c r="J773">
        <v>480</v>
      </c>
      <c r="K773">
        <v>520</v>
      </c>
      <c r="L773">
        <v>520</v>
      </c>
      <c r="M773">
        <v>520</v>
      </c>
      <c r="N773">
        <v>580</v>
      </c>
      <c r="O773">
        <v>580</v>
      </c>
      <c r="P773">
        <v>580</v>
      </c>
    </row>
    <row r="774" spans="1:16" x14ac:dyDescent="0.3">
      <c r="A774" t="str">
        <f>Table_Demand___Community_frontsheet[[#This Row],[Name]]&amp;B774</f>
        <v>SolihullReablement &amp; Rehabilitation at home</v>
      </c>
      <c r="B774" t="str">
        <f>VLOOKUP(Table_Demand___Community_frontsheet[[#This Row],[Service Type]],PathwayLookup!E:F,2,0)</f>
        <v>Reablement &amp; Rehabilitation at home</v>
      </c>
      <c r="C774" t="s">
        <v>285</v>
      </c>
      <c r="D774" t="s">
        <v>720</v>
      </c>
      <c r="E774">
        <v>30</v>
      </c>
      <c r="F774">
        <v>30</v>
      </c>
      <c r="G774">
        <v>30</v>
      </c>
      <c r="H774">
        <v>30</v>
      </c>
      <c r="I774">
        <v>30</v>
      </c>
      <c r="J774">
        <v>30</v>
      </c>
      <c r="K774">
        <v>30</v>
      </c>
      <c r="L774">
        <v>30</v>
      </c>
      <c r="M774">
        <v>30</v>
      </c>
      <c r="N774">
        <v>30</v>
      </c>
      <c r="O774">
        <v>30</v>
      </c>
      <c r="P774">
        <v>30</v>
      </c>
    </row>
    <row r="775" spans="1:16" x14ac:dyDescent="0.3">
      <c r="A775" t="str">
        <f>Table_Demand___Community_frontsheet[[#This Row],[Name]]&amp;B775</f>
        <v>SolihullReablement &amp; Rehabilitation at home</v>
      </c>
      <c r="B775" t="str">
        <f>VLOOKUP(Table_Demand___Community_frontsheet[[#This Row],[Service Type]],PathwayLookup!E:F,2,0)</f>
        <v>Reablement &amp; Rehabilitation at home</v>
      </c>
      <c r="C775" t="s">
        <v>285</v>
      </c>
      <c r="D775" t="s">
        <v>721</v>
      </c>
      <c r="E775">
        <v>141</v>
      </c>
      <c r="F775">
        <v>141</v>
      </c>
      <c r="G775">
        <v>141</v>
      </c>
      <c r="H775">
        <v>141</v>
      </c>
      <c r="I775">
        <v>141</v>
      </c>
      <c r="J775">
        <v>141</v>
      </c>
      <c r="K775">
        <v>141</v>
      </c>
      <c r="L775">
        <v>141</v>
      </c>
      <c r="M775">
        <v>141</v>
      </c>
      <c r="N775">
        <v>141</v>
      </c>
      <c r="O775">
        <v>133</v>
      </c>
      <c r="P775">
        <v>141</v>
      </c>
    </row>
    <row r="776" spans="1:16" x14ac:dyDescent="0.3">
      <c r="A776" t="str">
        <f>Table_Demand___Community_frontsheet[[#This Row],[Name]]&amp;B776</f>
        <v>SolihullReablement &amp; Rehabilitation in a bedded setting</v>
      </c>
      <c r="B776" t="str">
        <f>VLOOKUP(Table_Demand___Community_frontsheet[[#This Row],[Service Type]],PathwayLookup!E:F,2,0)</f>
        <v>Reablement &amp; Rehabilitation in a bedded setting</v>
      </c>
      <c r="C776" t="s">
        <v>285</v>
      </c>
      <c r="D776" t="s">
        <v>723</v>
      </c>
      <c r="E776">
        <v>8</v>
      </c>
      <c r="F776">
        <v>8</v>
      </c>
      <c r="G776">
        <v>8</v>
      </c>
      <c r="H776">
        <v>8</v>
      </c>
      <c r="I776">
        <v>8</v>
      </c>
      <c r="J776">
        <v>8</v>
      </c>
      <c r="K776">
        <v>8</v>
      </c>
      <c r="L776">
        <v>8</v>
      </c>
      <c r="M776">
        <v>8</v>
      </c>
      <c r="N776">
        <v>8</v>
      </c>
      <c r="O776">
        <v>8</v>
      </c>
      <c r="P776">
        <v>8</v>
      </c>
    </row>
    <row r="777" spans="1:16" x14ac:dyDescent="0.3">
      <c r="A777" t="str">
        <f>Table_Demand___Community_frontsheet[[#This Row],[Name]]&amp;B777</f>
        <v>SolihullReablement &amp; Rehabilitation in a bedded setting</v>
      </c>
      <c r="B777" t="str">
        <f>VLOOKUP(Table_Demand___Community_frontsheet[[#This Row],[Service Type]],PathwayLookup!E:F,2,0)</f>
        <v>Reablement &amp; Rehabilitation in a bedded setting</v>
      </c>
      <c r="C777" t="s">
        <v>285</v>
      </c>
      <c r="D777" t="s">
        <v>725</v>
      </c>
    </row>
    <row r="778" spans="1:16" x14ac:dyDescent="0.3">
      <c r="A778" t="str">
        <f>Table_Demand___Community_frontsheet[[#This Row],[Name]]&amp;B778</f>
        <v>SolihullOther short-term social care</v>
      </c>
      <c r="B778" t="str">
        <f>VLOOKUP(Table_Demand___Community_frontsheet[[#This Row],[Service Type]],PathwayLookup!E:F,2,0)</f>
        <v>Other short-term social care</v>
      </c>
      <c r="C778" t="s">
        <v>285</v>
      </c>
      <c r="D778" t="s">
        <v>708</v>
      </c>
    </row>
    <row r="779" spans="1:16" x14ac:dyDescent="0.3">
      <c r="A779" t="str">
        <f>Table_Demand___Community_frontsheet[[#This Row],[Name]]&amp;B779</f>
        <v>SomersetSocial support (including VCS)</v>
      </c>
      <c r="B779" t="str">
        <f>VLOOKUP(Table_Demand___Community_frontsheet[[#This Row],[Service Type]],PathwayLookup!E:F,2,0)</f>
        <v>Social support (including VCS)</v>
      </c>
      <c r="C779" t="s">
        <v>287</v>
      </c>
      <c r="D779" t="s">
        <v>704</v>
      </c>
      <c r="E779">
        <v>3</v>
      </c>
      <c r="F779">
        <v>4</v>
      </c>
      <c r="G779">
        <v>4</v>
      </c>
      <c r="H779">
        <v>4</v>
      </c>
      <c r="I779">
        <v>4</v>
      </c>
      <c r="J779">
        <v>4</v>
      </c>
      <c r="K779">
        <v>4</v>
      </c>
      <c r="L779">
        <v>4</v>
      </c>
      <c r="M779">
        <v>3</v>
      </c>
      <c r="N779">
        <v>4</v>
      </c>
      <c r="O779">
        <v>4</v>
      </c>
      <c r="P779">
        <v>4</v>
      </c>
    </row>
    <row r="780" spans="1:16" x14ac:dyDescent="0.3">
      <c r="A780" t="str">
        <f>Table_Demand___Community_frontsheet[[#This Row],[Name]]&amp;B780</f>
        <v>SomersetUrgent Community Response</v>
      </c>
      <c r="B780" t="str">
        <f>VLOOKUP(Table_Demand___Community_frontsheet[[#This Row],[Service Type]],PathwayLookup!E:F,2,0)</f>
        <v>Urgent Community Response</v>
      </c>
      <c r="C780" t="s">
        <v>287</v>
      </c>
      <c r="D780" t="s">
        <v>705</v>
      </c>
      <c r="E780">
        <v>580</v>
      </c>
      <c r="F780">
        <v>595</v>
      </c>
      <c r="G780">
        <v>580</v>
      </c>
      <c r="H780">
        <v>595</v>
      </c>
      <c r="I780">
        <v>595</v>
      </c>
      <c r="J780">
        <v>580</v>
      </c>
      <c r="K780">
        <v>595</v>
      </c>
      <c r="L780">
        <v>580</v>
      </c>
      <c r="M780">
        <v>595</v>
      </c>
      <c r="N780">
        <v>595</v>
      </c>
      <c r="O780">
        <v>565</v>
      </c>
      <c r="P780">
        <v>595</v>
      </c>
    </row>
    <row r="781" spans="1:16" x14ac:dyDescent="0.3">
      <c r="A781" t="str">
        <f>Table_Demand___Community_frontsheet[[#This Row],[Name]]&amp;B781</f>
        <v>SomersetReablement &amp; Rehabilitation at home</v>
      </c>
      <c r="B781" t="str">
        <f>VLOOKUP(Table_Demand___Community_frontsheet[[#This Row],[Service Type]],PathwayLookup!E:F,2,0)</f>
        <v>Reablement &amp; Rehabilitation at home</v>
      </c>
      <c r="C781" t="s">
        <v>287</v>
      </c>
      <c r="D781" t="s">
        <v>720</v>
      </c>
      <c r="E781">
        <v>0</v>
      </c>
      <c r="F781">
        <v>0</v>
      </c>
      <c r="G781">
        <v>0</v>
      </c>
      <c r="H781">
        <v>0</v>
      </c>
      <c r="I781">
        <v>0</v>
      </c>
      <c r="J781">
        <v>0</v>
      </c>
      <c r="K781">
        <v>0</v>
      </c>
      <c r="L781">
        <v>0</v>
      </c>
      <c r="M781">
        <v>0</v>
      </c>
      <c r="N781">
        <v>0</v>
      </c>
      <c r="O781">
        <v>0</v>
      </c>
      <c r="P781">
        <v>0</v>
      </c>
    </row>
    <row r="782" spans="1:16" x14ac:dyDescent="0.3">
      <c r="A782" t="str">
        <f>Table_Demand___Community_frontsheet[[#This Row],[Name]]&amp;B782</f>
        <v>SomersetReablement &amp; Rehabilitation at home</v>
      </c>
      <c r="B782" t="str">
        <f>VLOOKUP(Table_Demand___Community_frontsheet[[#This Row],[Service Type]],PathwayLookup!E:F,2,0)</f>
        <v>Reablement &amp; Rehabilitation at home</v>
      </c>
      <c r="C782" t="s">
        <v>287</v>
      </c>
      <c r="D782" t="s">
        <v>721</v>
      </c>
      <c r="E782">
        <v>0</v>
      </c>
      <c r="F782">
        <v>0</v>
      </c>
      <c r="G782">
        <v>0</v>
      </c>
      <c r="H782">
        <v>0</v>
      </c>
      <c r="I782">
        <v>0</v>
      </c>
      <c r="J782">
        <v>0</v>
      </c>
      <c r="K782">
        <v>0</v>
      </c>
      <c r="L782">
        <v>0</v>
      </c>
      <c r="M782">
        <v>0</v>
      </c>
      <c r="N782">
        <v>0</v>
      </c>
      <c r="O782">
        <v>0</v>
      </c>
      <c r="P782">
        <v>0</v>
      </c>
    </row>
    <row r="783" spans="1:16" x14ac:dyDescent="0.3">
      <c r="A783" t="str">
        <f>Table_Demand___Community_frontsheet[[#This Row],[Name]]&amp;B783</f>
        <v>SomersetReablement &amp; Rehabilitation in a bedded setting</v>
      </c>
      <c r="B783" t="str">
        <f>VLOOKUP(Table_Demand___Community_frontsheet[[#This Row],[Service Type]],PathwayLookup!E:F,2,0)</f>
        <v>Reablement &amp; Rehabilitation in a bedded setting</v>
      </c>
      <c r="C783" t="s">
        <v>287</v>
      </c>
      <c r="D783" t="s">
        <v>723</v>
      </c>
      <c r="E783">
        <v>0</v>
      </c>
      <c r="F783">
        <v>0</v>
      </c>
      <c r="G783">
        <v>0</v>
      </c>
      <c r="H783">
        <v>0</v>
      </c>
      <c r="I783">
        <v>0</v>
      </c>
      <c r="J783">
        <v>0</v>
      </c>
      <c r="K783">
        <v>0</v>
      </c>
      <c r="L783">
        <v>0</v>
      </c>
      <c r="M783">
        <v>0</v>
      </c>
      <c r="N783">
        <v>0</v>
      </c>
      <c r="O783">
        <v>0</v>
      </c>
      <c r="P783">
        <v>0</v>
      </c>
    </row>
    <row r="784" spans="1:16" x14ac:dyDescent="0.3">
      <c r="A784" t="str">
        <f>Table_Demand___Community_frontsheet[[#This Row],[Name]]&amp;B784</f>
        <v>SomersetReablement &amp; Rehabilitation in a bedded setting</v>
      </c>
      <c r="B784" t="str">
        <f>VLOOKUP(Table_Demand___Community_frontsheet[[#This Row],[Service Type]],PathwayLookup!E:F,2,0)</f>
        <v>Reablement &amp; Rehabilitation in a bedded setting</v>
      </c>
      <c r="C784" t="s">
        <v>287</v>
      </c>
      <c r="D784" t="s">
        <v>725</v>
      </c>
      <c r="E784">
        <v>0</v>
      </c>
      <c r="F784">
        <v>0</v>
      </c>
      <c r="G784">
        <v>0</v>
      </c>
      <c r="H784">
        <v>0</v>
      </c>
      <c r="I784">
        <v>0</v>
      </c>
      <c r="J784">
        <v>0</v>
      </c>
      <c r="K784">
        <v>0</v>
      </c>
      <c r="L784">
        <v>0</v>
      </c>
      <c r="M784">
        <v>0</v>
      </c>
      <c r="N784">
        <v>0</v>
      </c>
      <c r="O784">
        <v>0</v>
      </c>
      <c r="P784">
        <v>0</v>
      </c>
    </row>
    <row r="785" spans="1:16" x14ac:dyDescent="0.3">
      <c r="A785" t="str">
        <f>Table_Demand___Community_frontsheet[[#This Row],[Name]]&amp;B785</f>
        <v>SomersetOther short-term social care</v>
      </c>
      <c r="B785" t="str">
        <f>VLOOKUP(Table_Demand___Community_frontsheet[[#This Row],[Service Type]],PathwayLookup!E:F,2,0)</f>
        <v>Other short-term social care</v>
      </c>
      <c r="C785" t="s">
        <v>287</v>
      </c>
      <c r="D785" t="s">
        <v>708</v>
      </c>
      <c r="E785">
        <v>0</v>
      </c>
      <c r="F785">
        <v>0</v>
      </c>
      <c r="G785">
        <v>0</v>
      </c>
      <c r="H785">
        <v>0</v>
      </c>
      <c r="I785">
        <v>0</v>
      </c>
      <c r="J785">
        <v>0</v>
      </c>
      <c r="K785">
        <v>0</v>
      </c>
      <c r="L785">
        <v>0</v>
      </c>
      <c r="M785">
        <v>0</v>
      </c>
      <c r="N785">
        <v>0</v>
      </c>
      <c r="O785">
        <v>0</v>
      </c>
      <c r="P785">
        <v>0</v>
      </c>
    </row>
    <row r="786" spans="1:16" x14ac:dyDescent="0.3">
      <c r="A786" t="str">
        <f>Table_Demand___Community_frontsheet[[#This Row],[Name]]&amp;B786</f>
        <v>South GloucestershireSocial support (including VCS)</v>
      </c>
      <c r="B786" t="str">
        <f>VLOOKUP(Table_Demand___Community_frontsheet[[#This Row],[Service Type]],PathwayLookup!E:F,2,0)</f>
        <v>Social support (including VCS)</v>
      </c>
      <c r="C786" t="s">
        <v>289</v>
      </c>
      <c r="D786" t="s">
        <v>704</v>
      </c>
      <c r="E786">
        <v>4</v>
      </c>
      <c r="F786">
        <v>4</v>
      </c>
      <c r="G786">
        <v>4</v>
      </c>
      <c r="H786">
        <v>4</v>
      </c>
      <c r="I786">
        <v>4</v>
      </c>
      <c r="J786">
        <v>124</v>
      </c>
      <c r="K786">
        <v>244</v>
      </c>
      <c r="L786">
        <v>384</v>
      </c>
      <c r="M786">
        <v>384</v>
      </c>
      <c r="N786">
        <v>424</v>
      </c>
      <c r="O786">
        <v>444</v>
      </c>
      <c r="P786">
        <v>464</v>
      </c>
    </row>
    <row r="787" spans="1:16" x14ac:dyDescent="0.3">
      <c r="A787" t="str">
        <f>Table_Demand___Community_frontsheet[[#This Row],[Name]]&amp;B787</f>
        <v>South GloucestershireUrgent Community Response</v>
      </c>
      <c r="B787" t="str">
        <f>VLOOKUP(Table_Demand___Community_frontsheet[[#This Row],[Service Type]],PathwayLookup!E:F,2,0)</f>
        <v>Urgent Community Response</v>
      </c>
      <c r="C787" t="s">
        <v>289</v>
      </c>
      <c r="D787" t="s">
        <v>705</v>
      </c>
      <c r="E787">
        <v>530</v>
      </c>
      <c r="F787">
        <v>539</v>
      </c>
      <c r="G787">
        <v>530</v>
      </c>
      <c r="H787">
        <v>539</v>
      </c>
      <c r="I787">
        <v>539</v>
      </c>
      <c r="J787">
        <v>530</v>
      </c>
      <c r="K787">
        <v>550</v>
      </c>
      <c r="L787">
        <v>541</v>
      </c>
      <c r="M787">
        <v>550</v>
      </c>
      <c r="N787">
        <v>561</v>
      </c>
      <c r="O787">
        <v>543</v>
      </c>
      <c r="P787">
        <v>561</v>
      </c>
    </row>
    <row r="788" spans="1:16" x14ac:dyDescent="0.3">
      <c r="A788" t="str">
        <f>Table_Demand___Community_frontsheet[[#This Row],[Name]]&amp;B788</f>
        <v>South GloucestershireReablement &amp; Rehabilitation at home</v>
      </c>
      <c r="B788" t="str">
        <f>VLOOKUP(Table_Demand___Community_frontsheet[[#This Row],[Service Type]],PathwayLookup!E:F,2,0)</f>
        <v>Reablement &amp; Rehabilitation at home</v>
      </c>
      <c r="C788" t="s">
        <v>289</v>
      </c>
      <c r="D788" t="s">
        <v>720</v>
      </c>
      <c r="E788">
        <v>64</v>
      </c>
      <c r="F788">
        <v>79</v>
      </c>
      <c r="G788">
        <v>79</v>
      </c>
      <c r="H788">
        <v>79</v>
      </c>
      <c r="I788">
        <v>79</v>
      </c>
      <c r="J788">
        <v>80</v>
      </c>
      <c r="K788">
        <v>90</v>
      </c>
      <c r="L788">
        <v>91</v>
      </c>
      <c r="M788">
        <v>93</v>
      </c>
      <c r="N788">
        <v>93</v>
      </c>
      <c r="O788">
        <v>93</v>
      </c>
      <c r="P788">
        <v>93</v>
      </c>
    </row>
    <row r="789" spans="1:16" x14ac:dyDescent="0.3">
      <c r="A789" t="str">
        <f>Table_Demand___Community_frontsheet[[#This Row],[Name]]&amp;B789</f>
        <v>South GloucestershireReablement &amp; Rehabilitation at home</v>
      </c>
      <c r="B789" t="str">
        <f>VLOOKUP(Table_Demand___Community_frontsheet[[#This Row],[Service Type]],PathwayLookup!E:F,2,0)</f>
        <v>Reablement &amp; Rehabilitation at home</v>
      </c>
      <c r="C789" t="s">
        <v>289</v>
      </c>
      <c r="D789" t="s">
        <v>721</v>
      </c>
    </row>
    <row r="790" spans="1:16" x14ac:dyDescent="0.3">
      <c r="A790" t="str">
        <f>Table_Demand___Community_frontsheet[[#This Row],[Name]]&amp;B790</f>
        <v>South GloucestershireReablement &amp; Rehabilitation in a bedded setting</v>
      </c>
      <c r="B790" t="str">
        <f>VLOOKUP(Table_Demand___Community_frontsheet[[#This Row],[Service Type]],PathwayLookup!E:F,2,0)</f>
        <v>Reablement &amp; Rehabilitation in a bedded setting</v>
      </c>
      <c r="C790" t="s">
        <v>289</v>
      </c>
      <c r="D790" t="s">
        <v>723</v>
      </c>
      <c r="E790">
        <v>0</v>
      </c>
      <c r="F790">
        <v>0</v>
      </c>
      <c r="G790">
        <v>0</v>
      </c>
      <c r="H790">
        <v>0</v>
      </c>
      <c r="I790">
        <v>0</v>
      </c>
      <c r="J790">
        <v>0</v>
      </c>
      <c r="K790">
        <v>0</v>
      </c>
      <c r="L790">
        <v>0</v>
      </c>
      <c r="M790">
        <v>0</v>
      </c>
      <c r="N790">
        <v>0</v>
      </c>
      <c r="O790">
        <v>0</v>
      </c>
      <c r="P790">
        <v>0</v>
      </c>
    </row>
    <row r="791" spans="1:16" x14ac:dyDescent="0.3">
      <c r="A791" t="str">
        <f>Table_Demand___Community_frontsheet[[#This Row],[Name]]&amp;B791</f>
        <v>South GloucestershireReablement &amp; Rehabilitation in a bedded setting</v>
      </c>
      <c r="B791" t="str">
        <f>VLOOKUP(Table_Demand___Community_frontsheet[[#This Row],[Service Type]],PathwayLookup!E:F,2,0)</f>
        <v>Reablement &amp; Rehabilitation in a bedded setting</v>
      </c>
      <c r="C791" t="s">
        <v>289</v>
      </c>
      <c r="D791" t="s">
        <v>725</v>
      </c>
      <c r="E791">
        <v>0</v>
      </c>
      <c r="F791">
        <v>0</v>
      </c>
      <c r="G791">
        <v>0</v>
      </c>
      <c r="H791">
        <v>0</v>
      </c>
      <c r="I791">
        <v>0</v>
      </c>
      <c r="J791">
        <v>0</v>
      </c>
      <c r="K791">
        <v>0</v>
      </c>
      <c r="L791">
        <v>0</v>
      </c>
      <c r="M791">
        <v>0</v>
      </c>
      <c r="N791">
        <v>0</v>
      </c>
      <c r="O791">
        <v>0</v>
      </c>
      <c r="P791">
        <v>0</v>
      </c>
    </row>
    <row r="792" spans="1:16" x14ac:dyDescent="0.3">
      <c r="A792" t="str">
        <f>Table_Demand___Community_frontsheet[[#This Row],[Name]]&amp;B792</f>
        <v>South GloucestershireOther short-term social care</v>
      </c>
      <c r="B792" t="str">
        <f>VLOOKUP(Table_Demand___Community_frontsheet[[#This Row],[Service Type]],PathwayLookup!E:F,2,0)</f>
        <v>Other short-term social care</v>
      </c>
      <c r="C792" t="s">
        <v>289</v>
      </c>
      <c r="D792" t="s">
        <v>708</v>
      </c>
    </row>
    <row r="793" spans="1:16" x14ac:dyDescent="0.3">
      <c r="A793" t="str">
        <f>Table_Demand___Community_frontsheet[[#This Row],[Name]]&amp;B793</f>
        <v>South TynesideSocial support (including VCS)</v>
      </c>
      <c r="B793" t="str">
        <f>VLOOKUP(Table_Demand___Community_frontsheet[[#This Row],[Service Type]],PathwayLookup!E:F,2,0)</f>
        <v>Social support (including VCS)</v>
      </c>
      <c r="C793" t="s">
        <v>291</v>
      </c>
      <c r="D793" t="s">
        <v>704</v>
      </c>
      <c r="E793">
        <v>0</v>
      </c>
      <c r="F793">
        <v>0</v>
      </c>
      <c r="G793">
        <v>0</v>
      </c>
      <c r="H793">
        <v>50</v>
      </c>
      <c r="I793">
        <v>75</v>
      </c>
      <c r="J793">
        <v>150</v>
      </c>
      <c r="K793">
        <v>150</v>
      </c>
      <c r="L793">
        <v>150</v>
      </c>
      <c r="M793">
        <v>150</v>
      </c>
      <c r="N793">
        <v>150</v>
      </c>
      <c r="O793">
        <v>150</v>
      </c>
      <c r="P793">
        <v>150</v>
      </c>
    </row>
    <row r="794" spans="1:16" x14ac:dyDescent="0.3">
      <c r="A794" t="str">
        <f>Table_Demand___Community_frontsheet[[#This Row],[Name]]&amp;B794</f>
        <v>South TynesideUrgent Community Response</v>
      </c>
      <c r="B794" t="str">
        <f>VLOOKUP(Table_Demand___Community_frontsheet[[#This Row],[Service Type]],PathwayLookup!E:F,2,0)</f>
        <v>Urgent Community Response</v>
      </c>
      <c r="C794" t="s">
        <v>291</v>
      </c>
      <c r="D794" t="s">
        <v>705</v>
      </c>
      <c r="E794">
        <v>21</v>
      </c>
      <c r="F794">
        <v>7</v>
      </c>
      <c r="G794">
        <v>24</v>
      </c>
      <c r="H794">
        <v>24</v>
      </c>
      <c r="I794">
        <v>24</v>
      </c>
      <c r="J794">
        <v>24</v>
      </c>
      <c r="K794">
        <v>25</v>
      </c>
      <c r="L794">
        <v>25</v>
      </c>
      <c r="M794">
        <v>25</v>
      </c>
      <c r="N794">
        <v>26</v>
      </c>
      <c r="O794">
        <v>26</v>
      </c>
      <c r="P794">
        <v>26</v>
      </c>
    </row>
    <row r="795" spans="1:16" x14ac:dyDescent="0.3">
      <c r="A795" t="str">
        <f>Table_Demand___Community_frontsheet[[#This Row],[Name]]&amp;B795</f>
        <v>South TynesideReablement &amp; Rehabilitation at home</v>
      </c>
      <c r="B795" t="str">
        <f>VLOOKUP(Table_Demand___Community_frontsheet[[#This Row],[Service Type]],PathwayLookup!E:F,2,0)</f>
        <v>Reablement &amp; Rehabilitation at home</v>
      </c>
      <c r="C795" t="s">
        <v>291</v>
      </c>
      <c r="D795" t="s">
        <v>720</v>
      </c>
      <c r="E795">
        <v>110</v>
      </c>
      <c r="F795">
        <v>110</v>
      </c>
      <c r="G795">
        <v>121</v>
      </c>
      <c r="H795">
        <v>123</v>
      </c>
      <c r="I795">
        <v>124</v>
      </c>
      <c r="J795">
        <v>126</v>
      </c>
      <c r="K795">
        <v>129</v>
      </c>
      <c r="L795">
        <v>129</v>
      </c>
      <c r="M795">
        <v>131</v>
      </c>
      <c r="N795">
        <v>133</v>
      </c>
      <c r="O795">
        <v>134</v>
      </c>
      <c r="P795">
        <v>136</v>
      </c>
    </row>
    <row r="796" spans="1:16" x14ac:dyDescent="0.3">
      <c r="A796" t="str">
        <f>Table_Demand___Community_frontsheet[[#This Row],[Name]]&amp;B796</f>
        <v>South TynesideReablement &amp; Rehabilitation at home</v>
      </c>
      <c r="B796" t="str">
        <f>VLOOKUP(Table_Demand___Community_frontsheet[[#This Row],[Service Type]],PathwayLookup!E:F,2,0)</f>
        <v>Reablement &amp; Rehabilitation at home</v>
      </c>
      <c r="C796" t="s">
        <v>291</v>
      </c>
      <c r="D796" t="s">
        <v>721</v>
      </c>
      <c r="E796">
        <v>0</v>
      </c>
      <c r="F796">
        <v>0</v>
      </c>
      <c r="G796">
        <v>0</v>
      </c>
      <c r="H796">
        <v>0</v>
      </c>
      <c r="I796">
        <v>0</v>
      </c>
      <c r="J796">
        <v>0</v>
      </c>
      <c r="K796">
        <v>0</v>
      </c>
      <c r="L796">
        <v>0</v>
      </c>
      <c r="M796">
        <v>0</v>
      </c>
      <c r="N796">
        <v>0</v>
      </c>
      <c r="O796">
        <v>0</v>
      </c>
      <c r="P796">
        <v>0</v>
      </c>
    </row>
    <row r="797" spans="1:16" x14ac:dyDescent="0.3">
      <c r="A797" t="str">
        <f>Table_Demand___Community_frontsheet[[#This Row],[Name]]&amp;B797</f>
        <v>South TynesideReablement &amp; Rehabilitation in a bedded setting</v>
      </c>
      <c r="B797" t="str">
        <f>VLOOKUP(Table_Demand___Community_frontsheet[[#This Row],[Service Type]],PathwayLookup!E:F,2,0)</f>
        <v>Reablement &amp; Rehabilitation in a bedded setting</v>
      </c>
      <c r="C797" t="s">
        <v>291</v>
      </c>
      <c r="D797" t="s">
        <v>723</v>
      </c>
      <c r="E797">
        <v>4</v>
      </c>
      <c r="F797">
        <v>4</v>
      </c>
      <c r="G797">
        <v>4</v>
      </c>
      <c r="H797">
        <v>4</v>
      </c>
      <c r="I797">
        <v>4</v>
      </c>
      <c r="J797">
        <v>4</v>
      </c>
      <c r="K797">
        <v>7</v>
      </c>
      <c r="L797">
        <v>7</v>
      </c>
      <c r="M797">
        <v>7</v>
      </c>
      <c r="N797">
        <v>7</v>
      </c>
      <c r="O797">
        <v>7</v>
      </c>
      <c r="P797">
        <v>7</v>
      </c>
    </row>
    <row r="798" spans="1:16" x14ac:dyDescent="0.3">
      <c r="A798" t="str">
        <f>Table_Demand___Community_frontsheet[[#This Row],[Name]]&amp;B798</f>
        <v>South TynesideReablement &amp; Rehabilitation in a bedded setting</v>
      </c>
      <c r="B798" t="str">
        <f>VLOOKUP(Table_Demand___Community_frontsheet[[#This Row],[Service Type]],PathwayLookup!E:F,2,0)</f>
        <v>Reablement &amp; Rehabilitation in a bedded setting</v>
      </c>
      <c r="C798" t="s">
        <v>291</v>
      </c>
      <c r="D798" t="s">
        <v>725</v>
      </c>
      <c r="E798">
        <v>0</v>
      </c>
      <c r="F798">
        <v>0</v>
      </c>
      <c r="G798">
        <v>0</v>
      </c>
      <c r="H798">
        <v>0</v>
      </c>
      <c r="I798">
        <v>0</v>
      </c>
      <c r="J798">
        <v>0</v>
      </c>
      <c r="K798">
        <v>0</v>
      </c>
      <c r="L798">
        <v>0</v>
      </c>
      <c r="M798">
        <v>0</v>
      </c>
      <c r="N798">
        <v>0</v>
      </c>
      <c r="O798">
        <v>0</v>
      </c>
      <c r="P798">
        <v>0</v>
      </c>
    </row>
    <row r="799" spans="1:16" x14ac:dyDescent="0.3">
      <c r="A799" t="str">
        <f>Table_Demand___Community_frontsheet[[#This Row],[Name]]&amp;B799</f>
        <v>South TynesideOther short-term social care</v>
      </c>
      <c r="B799" t="str">
        <f>VLOOKUP(Table_Demand___Community_frontsheet[[#This Row],[Service Type]],PathwayLookup!E:F,2,0)</f>
        <v>Other short-term social care</v>
      </c>
      <c r="C799" t="s">
        <v>291</v>
      </c>
      <c r="D799" t="s">
        <v>708</v>
      </c>
      <c r="E799">
        <v>5</v>
      </c>
      <c r="F799">
        <v>8</v>
      </c>
      <c r="G799">
        <v>13</v>
      </c>
      <c r="H799">
        <v>13</v>
      </c>
      <c r="I799">
        <v>13</v>
      </c>
      <c r="J799">
        <v>13</v>
      </c>
      <c r="K799">
        <v>13</v>
      </c>
      <c r="L799">
        <v>13</v>
      </c>
      <c r="M799">
        <v>12</v>
      </c>
      <c r="N799">
        <v>12</v>
      </c>
      <c r="O799">
        <v>12</v>
      </c>
      <c r="P799">
        <v>12</v>
      </c>
    </row>
    <row r="800" spans="1:16" x14ac:dyDescent="0.3">
      <c r="A800" t="str">
        <f>Table_Demand___Community_frontsheet[[#This Row],[Name]]&amp;B800</f>
        <v>SouthamptonSocial support (including VCS)</v>
      </c>
      <c r="B800" t="str">
        <f>VLOOKUP(Table_Demand___Community_frontsheet[[#This Row],[Service Type]],PathwayLookup!E:F,2,0)</f>
        <v>Social support (including VCS)</v>
      </c>
      <c r="C800" t="s">
        <v>293</v>
      </c>
      <c r="D800" t="s">
        <v>704</v>
      </c>
      <c r="E800">
        <v>206</v>
      </c>
      <c r="F800">
        <v>201</v>
      </c>
      <c r="G800">
        <v>200</v>
      </c>
      <c r="H800">
        <v>200</v>
      </c>
      <c r="I800">
        <v>200</v>
      </c>
      <c r="J800">
        <v>200</v>
      </c>
      <c r="K800">
        <v>221</v>
      </c>
      <c r="L800">
        <v>225</v>
      </c>
      <c r="M800">
        <v>188</v>
      </c>
      <c r="N800">
        <v>206</v>
      </c>
      <c r="O800">
        <v>207</v>
      </c>
      <c r="P800">
        <v>197</v>
      </c>
    </row>
    <row r="801" spans="1:16" x14ac:dyDescent="0.3">
      <c r="A801" t="str">
        <f>Table_Demand___Community_frontsheet[[#This Row],[Name]]&amp;B801</f>
        <v>SouthamptonUrgent Community Response</v>
      </c>
      <c r="B801" t="str">
        <f>VLOOKUP(Table_Demand___Community_frontsheet[[#This Row],[Service Type]],PathwayLookup!E:F,2,0)</f>
        <v>Urgent Community Response</v>
      </c>
      <c r="C801" t="s">
        <v>293</v>
      </c>
      <c r="D801" t="s">
        <v>705</v>
      </c>
      <c r="E801">
        <v>343</v>
      </c>
      <c r="F801">
        <v>383</v>
      </c>
      <c r="G801">
        <v>341</v>
      </c>
      <c r="H801">
        <v>401</v>
      </c>
      <c r="I801">
        <v>370</v>
      </c>
      <c r="J801">
        <v>344</v>
      </c>
      <c r="K801">
        <v>368</v>
      </c>
      <c r="L801">
        <v>353</v>
      </c>
      <c r="M801">
        <v>406</v>
      </c>
      <c r="N801">
        <v>341</v>
      </c>
      <c r="O801">
        <v>332</v>
      </c>
      <c r="P801">
        <v>345</v>
      </c>
    </row>
    <row r="802" spans="1:16" x14ac:dyDescent="0.3">
      <c r="A802" t="str">
        <f>Table_Demand___Community_frontsheet[[#This Row],[Name]]&amp;B802</f>
        <v>SouthamptonReablement &amp; Rehabilitation at home</v>
      </c>
      <c r="B802" t="str">
        <f>VLOOKUP(Table_Demand___Community_frontsheet[[#This Row],[Service Type]],PathwayLookup!E:F,2,0)</f>
        <v>Reablement &amp; Rehabilitation at home</v>
      </c>
      <c r="C802" t="s">
        <v>293</v>
      </c>
      <c r="D802" t="s">
        <v>720</v>
      </c>
      <c r="E802">
        <v>53</v>
      </c>
      <c r="F802">
        <v>56</v>
      </c>
      <c r="G802">
        <v>36</v>
      </c>
      <c r="H802">
        <v>43</v>
      </c>
      <c r="I802">
        <v>55</v>
      </c>
      <c r="J802">
        <v>41</v>
      </c>
      <c r="K802">
        <v>37</v>
      </c>
      <c r="L802">
        <v>47</v>
      </c>
      <c r="M802">
        <v>44</v>
      </c>
      <c r="N802">
        <v>44</v>
      </c>
      <c r="O802">
        <v>45</v>
      </c>
      <c r="P802">
        <v>47</v>
      </c>
    </row>
    <row r="803" spans="1:16" x14ac:dyDescent="0.3">
      <c r="A803" t="str">
        <f>Table_Demand___Community_frontsheet[[#This Row],[Name]]&amp;B803</f>
        <v>SouthamptonReablement &amp; Rehabilitation at home</v>
      </c>
      <c r="B803" t="str">
        <f>VLOOKUP(Table_Demand___Community_frontsheet[[#This Row],[Service Type]],PathwayLookup!E:F,2,0)</f>
        <v>Reablement &amp; Rehabilitation at home</v>
      </c>
      <c r="C803" t="s">
        <v>293</v>
      </c>
      <c r="D803" t="s">
        <v>721</v>
      </c>
      <c r="E803">
        <v>396</v>
      </c>
      <c r="F803">
        <v>463</v>
      </c>
      <c r="G803">
        <v>434</v>
      </c>
      <c r="H803">
        <v>480</v>
      </c>
      <c r="I803">
        <v>484</v>
      </c>
      <c r="J803">
        <v>448</v>
      </c>
      <c r="K803">
        <v>497</v>
      </c>
      <c r="L803">
        <v>480</v>
      </c>
      <c r="M803">
        <v>398</v>
      </c>
      <c r="N803">
        <v>458</v>
      </c>
      <c r="O803">
        <v>320</v>
      </c>
      <c r="P803">
        <v>487</v>
      </c>
    </row>
    <row r="804" spans="1:16" x14ac:dyDescent="0.3">
      <c r="A804" t="str">
        <f>Table_Demand___Community_frontsheet[[#This Row],[Name]]&amp;B804</f>
        <v>SouthamptonReablement &amp; Rehabilitation in a bedded setting</v>
      </c>
      <c r="B804" t="str">
        <f>VLOOKUP(Table_Demand___Community_frontsheet[[#This Row],[Service Type]],PathwayLookup!E:F,2,0)</f>
        <v>Reablement &amp; Rehabilitation in a bedded setting</v>
      </c>
      <c r="C804" t="s">
        <v>293</v>
      </c>
      <c r="D804" t="s">
        <v>723</v>
      </c>
      <c r="E804">
        <v>1</v>
      </c>
      <c r="F804">
        <v>1</v>
      </c>
      <c r="G804">
        <v>1</v>
      </c>
      <c r="H804">
        <v>1</v>
      </c>
      <c r="I804">
        <v>1</v>
      </c>
      <c r="J804">
        <v>1</v>
      </c>
      <c r="K804">
        <v>1</v>
      </c>
      <c r="L804">
        <v>1</v>
      </c>
      <c r="M804">
        <v>1</v>
      </c>
      <c r="N804">
        <v>1</v>
      </c>
      <c r="O804">
        <v>1</v>
      </c>
      <c r="P804">
        <v>1</v>
      </c>
    </row>
    <row r="805" spans="1:16" x14ac:dyDescent="0.3">
      <c r="A805" t="str">
        <f>Table_Demand___Community_frontsheet[[#This Row],[Name]]&amp;B805</f>
        <v>SouthamptonReablement &amp; Rehabilitation in a bedded setting</v>
      </c>
      <c r="B805" t="str">
        <f>VLOOKUP(Table_Demand___Community_frontsheet[[#This Row],[Service Type]],PathwayLookup!E:F,2,0)</f>
        <v>Reablement &amp; Rehabilitation in a bedded setting</v>
      </c>
      <c r="C805" t="s">
        <v>293</v>
      </c>
      <c r="D805" t="s">
        <v>725</v>
      </c>
      <c r="E805">
        <v>3</v>
      </c>
      <c r="F805">
        <v>1</v>
      </c>
      <c r="G805">
        <v>3</v>
      </c>
      <c r="H805">
        <v>4</v>
      </c>
      <c r="I805">
        <v>2</v>
      </c>
      <c r="J805">
        <v>4</v>
      </c>
      <c r="K805">
        <v>4</v>
      </c>
      <c r="L805">
        <v>3</v>
      </c>
      <c r="M805">
        <v>2</v>
      </c>
      <c r="N805">
        <v>8</v>
      </c>
      <c r="O805">
        <v>2</v>
      </c>
      <c r="P805">
        <v>9</v>
      </c>
    </row>
    <row r="806" spans="1:16" x14ac:dyDescent="0.3">
      <c r="A806" t="str">
        <f>Table_Demand___Community_frontsheet[[#This Row],[Name]]&amp;B806</f>
        <v>SouthamptonOther short-term social care</v>
      </c>
      <c r="B806" t="str">
        <f>VLOOKUP(Table_Demand___Community_frontsheet[[#This Row],[Service Type]],PathwayLookup!E:F,2,0)</f>
        <v>Other short-term social care</v>
      </c>
      <c r="C806" t="s">
        <v>293</v>
      </c>
      <c r="D806" t="s">
        <v>708</v>
      </c>
      <c r="E806">
        <v>59</v>
      </c>
      <c r="F806">
        <v>54</v>
      </c>
      <c r="G806">
        <v>54</v>
      </c>
      <c r="H806">
        <v>54</v>
      </c>
      <c r="I806">
        <v>54</v>
      </c>
      <c r="J806">
        <v>54</v>
      </c>
      <c r="K806">
        <v>54</v>
      </c>
      <c r="L806">
        <v>35</v>
      </c>
      <c r="M806">
        <v>45</v>
      </c>
      <c r="N806">
        <v>58</v>
      </c>
      <c r="O806">
        <v>54</v>
      </c>
      <c r="P806">
        <v>71</v>
      </c>
    </row>
    <row r="807" spans="1:16" x14ac:dyDescent="0.3">
      <c r="A807" t="str">
        <f>Table_Demand___Community_frontsheet[[#This Row],[Name]]&amp;B807</f>
        <v>Southend-on-SeaSocial support (including VCS)</v>
      </c>
      <c r="B807" t="str">
        <f>VLOOKUP(Table_Demand___Community_frontsheet[[#This Row],[Service Type]],PathwayLookup!E:F,2,0)</f>
        <v>Social support (including VCS)</v>
      </c>
      <c r="C807" t="s">
        <v>295</v>
      </c>
      <c r="D807" t="s">
        <v>704</v>
      </c>
      <c r="E807">
        <v>0</v>
      </c>
      <c r="F807">
        <v>0</v>
      </c>
      <c r="G807">
        <v>0</v>
      </c>
      <c r="H807">
        <v>0</v>
      </c>
      <c r="I807">
        <v>0</v>
      </c>
      <c r="J807">
        <v>0</v>
      </c>
      <c r="K807">
        <v>0</v>
      </c>
      <c r="L807">
        <v>0</v>
      </c>
      <c r="M807">
        <v>0</v>
      </c>
      <c r="N807">
        <v>0</v>
      </c>
      <c r="O807">
        <v>0</v>
      </c>
      <c r="P807">
        <v>0</v>
      </c>
    </row>
    <row r="808" spans="1:16" x14ac:dyDescent="0.3">
      <c r="A808" t="str">
        <f>Table_Demand___Community_frontsheet[[#This Row],[Name]]&amp;B808</f>
        <v>Southend-on-SeaUrgent Community Response</v>
      </c>
      <c r="B808" t="str">
        <f>VLOOKUP(Table_Demand___Community_frontsheet[[#This Row],[Service Type]],PathwayLookup!E:F,2,0)</f>
        <v>Urgent Community Response</v>
      </c>
      <c r="C808" t="s">
        <v>295</v>
      </c>
      <c r="D808" t="s">
        <v>705</v>
      </c>
      <c r="E808">
        <v>379</v>
      </c>
      <c r="F808">
        <v>379</v>
      </c>
      <c r="G808">
        <v>379</v>
      </c>
      <c r="H808">
        <v>379</v>
      </c>
      <c r="I808">
        <v>379</v>
      </c>
      <c r="J808">
        <v>379</v>
      </c>
      <c r="K808">
        <v>379</v>
      </c>
      <c r="L808">
        <v>379</v>
      </c>
      <c r="M808">
        <v>379</v>
      </c>
      <c r="N808">
        <v>379</v>
      </c>
      <c r="O808">
        <v>379</v>
      </c>
      <c r="P808">
        <v>379</v>
      </c>
    </row>
    <row r="809" spans="1:16" x14ac:dyDescent="0.3">
      <c r="A809" t="str">
        <f>Table_Demand___Community_frontsheet[[#This Row],[Name]]&amp;B809</f>
        <v>Southend-on-SeaReablement &amp; Rehabilitation at home</v>
      </c>
      <c r="B809" t="str">
        <f>VLOOKUP(Table_Demand___Community_frontsheet[[#This Row],[Service Type]],PathwayLookup!E:F,2,0)</f>
        <v>Reablement &amp; Rehabilitation at home</v>
      </c>
      <c r="C809" t="s">
        <v>295</v>
      </c>
      <c r="D809" t="s">
        <v>720</v>
      </c>
      <c r="E809">
        <v>12</v>
      </c>
      <c r="F809">
        <v>15</v>
      </c>
      <c r="G809">
        <v>15</v>
      </c>
      <c r="H809">
        <v>15</v>
      </c>
      <c r="I809">
        <v>15</v>
      </c>
      <c r="J809">
        <v>15</v>
      </c>
      <c r="K809">
        <v>15</v>
      </c>
      <c r="L809">
        <v>15</v>
      </c>
      <c r="M809">
        <v>15</v>
      </c>
      <c r="N809">
        <v>15</v>
      </c>
      <c r="O809">
        <v>15</v>
      </c>
      <c r="P809">
        <v>15</v>
      </c>
    </row>
    <row r="810" spans="1:16" x14ac:dyDescent="0.3">
      <c r="A810" t="str">
        <f>Table_Demand___Community_frontsheet[[#This Row],[Name]]&amp;B810</f>
        <v>Southend-on-SeaReablement &amp; Rehabilitation at home</v>
      </c>
      <c r="B810" t="str">
        <f>VLOOKUP(Table_Demand___Community_frontsheet[[#This Row],[Service Type]],PathwayLookup!E:F,2,0)</f>
        <v>Reablement &amp; Rehabilitation at home</v>
      </c>
      <c r="C810" t="s">
        <v>295</v>
      </c>
      <c r="D810" t="s">
        <v>721</v>
      </c>
      <c r="E810">
        <v>0</v>
      </c>
      <c r="F810">
        <v>0</v>
      </c>
      <c r="G810">
        <v>0</v>
      </c>
      <c r="H810">
        <v>0</v>
      </c>
      <c r="I810">
        <v>0</v>
      </c>
      <c r="J810">
        <v>0</v>
      </c>
      <c r="K810">
        <v>0</v>
      </c>
      <c r="L810">
        <v>0</v>
      </c>
      <c r="M810">
        <v>0</v>
      </c>
      <c r="N810">
        <v>0</v>
      </c>
      <c r="O810">
        <v>0</v>
      </c>
      <c r="P810">
        <v>0</v>
      </c>
    </row>
    <row r="811" spans="1:16" x14ac:dyDescent="0.3">
      <c r="A811" t="str">
        <f>Table_Demand___Community_frontsheet[[#This Row],[Name]]&amp;B811</f>
        <v>Southend-on-SeaReablement &amp; Rehabilitation in a bedded setting</v>
      </c>
      <c r="B811" t="str">
        <f>VLOOKUP(Table_Demand___Community_frontsheet[[#This Row],[Service Type]],PathwayLookup!E:F,2,0)</f>
        <v>Reablement &amp; Rehabilitation in a bedded setting</v>
      </c>
      <c r="C811" t="s">
        <v>295</v>
      </c>
      <c r="D811" t="s">
        <v>723</v>
      </c>
      <c r="E811">
        <v>1</v>
      </c>
      <c r="F811">
        <v>1</v>
      </c>
      <c r="G811">
        <v>1</v>
      </c>
      <c r="H811">
        <v>1</v>
      </c>
      <c r="I811">
        <v>1</v>
      </c>
      <c r="J811">
        <v>1</v>
      </c>
      <c r="K811">
        <v>1</v>
      </c>
      <c r="L811">
        <v>1</v>
      </c>
      <c r="M811">
        <v>1</v>
      </c>
      <c r="N811">
        <v>1</v>
      </c>
      <c r="O811">
        <v>1</v>
      </c>
      <c r="P811">
        <v>1</v>
      </c>
    </row>
    <row r="812" spans="1:16" x14ac:dyDescent="0.3">
      <c r="A812" t="str">
        <f>Table_Demand___Community_frontsheet[[#This Row],[Name]]&amp;B812</f>
        <v>Southend-on-SeaReablement &amp; Rehabilitation in a bedded setting</v>
      </c>
      <c r="B812" t="str">
        <f>VLOOKUP(Table_Demand___Community_frontsheet[[#This Row],[Service Type]],PathwayLookup!E:F,2,0)</f>
        <v>Reablement &amp; Rehabilitation in a bedded setting</v>
      </c>
      <c r="C812" t="s">
        <v>295</v>
      </c>
      <c r="D812" t="s">
        <v>725</v>
      </c>
      <c r="E812">
        <v>0</v>
      </c>
      <c r="F812">
        <v>0</v>
      </c>
      <c r="G812">
        <v>0</v>
      </c>
      <c r="H812">
        <v>0</v>
      </c>
      <c r="I812">
        <v>0</v>
      </c>
      <c r="J812">
        <v>0</v>
      </c>
      <c r="K812">
        <v>0</v>
      </c>
      <c r="L812">
        <v>0</v>
      </c>
      <c r="M812">
        <v>0</v>
      </c>
      <c r="N812">
        <v>0</v>
      </c>
      <c r="O812">
        <v>0</v>
      </c>
      <c r="P812">
        <v>0</v>
      </c>
    </row>
    <row r="813" spans="1:16" x14ac:dyDescent="0.3">
      <c r="A813" t="str">
        <f>Table_Demand___Community_frontsheet[[#This Row],[Name]]&amp;B813</f>
        <v>Southend-on-SeaOther short-term social care</v>
      </c>
      <c r="B813" t="str">
        <f>VLOOKUP(Table_Demand___Community_frontsheet[[#This Row],[Service Type]],PathwayLookup!E:F,2,0)</f>
        <v>Other short-term social care</v>
      </c>
      <c r="C813" t="s">
        <v>295</v>
      </c>
      <c r="D813" t="s">
        <v>708</v>
      </c>
      <c r="E813">
        <v>0</v>
      </c>
      <c r="F813">
        <v>0</v>
      </c>
      <c r="G813">
        <v>0</v>
      </c>
      <c r="H813">
        <v>0</v>
      </c>
      <c r="I813">
        <v>0</v>
      </c>
      <c r="J813">
        <v>0</v>
      </c>
      <c r="K813">
        <v>0</v>
      </c>
      <c r="L813">
        <v>0</v>
      </c>
      <c r="M813">
        <v>0</v>
      </c>
      <c r="N813">
        <v>0</v>
      </c>
      <c r="O813">
        <v>0</v>
      </c>
      <c r="P813">
        <v>0</v>
      </c>
    </row>
    <row r="814" spans="1:16" x14ac:dyDescent="0.3">
      <c r="A814" t="str">
        <f>Table_Demand___Community_frontsheet[[#This Row],[Name]]&amp;B814</f>
        <v>SouthwarkSocial support (including VCS)</v>
      </c>
      <c r="B814" t="str">
        <f>VLOOKUP(Table_Demand___Community_frontsheet[[#This Row],[Service Type]],PathwayLookup!E:F,2,0)</f>
        <v>Social support (including VCS)</v>
      </c>
      <c r="C814" t="s">
        <v>297</v>
      </c>
      <c r="D814" t="s">
        <v>704</v>
      </c>
      <c r="E814">
        <v>0</v>
      </c>
      <c r="F814">
        <v>0</v>
      </c>
      <c r="G814">
        <v>0</v>
      </c>
      <c r="H814">
        <v>0</v>
      </c>
      <c r="I814">
        <v>0</v>
      </c>
      <c r="J814">
        <v>0</v>
      </c>
      <c r="K814">
        <v>0</v>
      </c>
      <c r="L814">
        <v>0</v>
      </c>
      <c r="M814">
        <v>0</v>
      </c>
      <c r="N814">
        <v>0</v>
      </c>
      <c r="O814">
        <v>0</v>
      </c>
      <c r="P814">
        <v>0</v>
      </c>
    </row>
    <row r="815" spans="1:16" x14ac:dyDescent="0.3">
      <c r="A815" t="str">
        <f>Table_Demand___Community_frontsheet[[#This Row],[Name]]&amp;B815</f>
        <v>SouthwarkUrgent Community Response</v>
      </c>
      <c r="B815" t="str">
        <f>VLOOKUP(Table_Demand___Community_frontsheet[[#This Row],[Service Type]],PathwayLookup!E:F,2,0)</f>
        <v>Urgent Community Response</v>
      </c>
      <c r="C815" t="s">
        <v>297</v>
      </c>
      <c r="D815" t="s">
        <v>705</v>
      </c>
      <c r="E815">
        <v>120</v>
      </c>
      <c r="F815">
        <v>120</v>
      </c>
      <c r="G815">
        <v>120</v>
      </c>
      <c r="H815">
        <v>120</v>
      </c>
      <c r="I815">
        <v>120</v>
      </c>
      <c r="J815">
        <v>120</v>
      </c>
      <c r="K815">
        <v>120</v>
      </c>
      <c r="L815">
        <v>120</v>
      </c>
      <c r="M815">
        <v>120</v>
      </c>
      <c r="N815">
        <v>120</v>
      </c>
      <c r="O815">
        <v>120</v>
      </c>
      <c r="P815">
        <v>120</v>
      </c>
    </row>
    <row r="816" spans="1:16" x14ac:dyDescent="0.3">
      <c r="A816" t="str">
        <f>Table_Demand___Community_frontsheet[[#This Row],[Name]]&amp;B816</f>
        <v>SouthwarkReablement &amp; Rehabilitation at home</v>
      </c>
      <c r="B816" t="str">
        <f>VLOOKUP(Table_Demand___Community_frontsheet[[#This Row],[Service Type]],PathwayLookup!E:F,2,0)</f>
        <v>Reablement &amp; Rehabilitation at home</v>
      </c>
      <c r="C816" t="s">
        <v>297</v>
      </c>
      <c r="D816" t="s">
        <v>720</v>
      </c>
      <c r="E816">
        <v>39</v>
      </c>
      <c r="F816">
        <v>56</v>
      </c>
      <c r="G816">
        <v>56</v>
      </c>
      <c r="H816">
        <v>35</v>
      </c>
      <c r="I816">
        <v>21</v>
      </c>
      <c r="J816">
        <v>17</v>
      </c>
      <c r="K816">
        <v>23</v>
      </c>
      <c r="L816">
        <v>29</v>
      </c>
      <c r="M816">
        <v>22</v>
      </c>
      <c r="N816">
        <v>22</v>
      </c>
      <c r="O816">
        <v>22</v>
      </c>
      <c r="P816">
        <v>12</v>
      </c>
    </row>
    <row r="817" spans="1:16" x14ac:dyDescent="0.3">
      <c r="A817" t="str">
        <f>Table_Demand___Community_frontsheet[[#This Row],[Name]]&amp;B817</f>
        <v>SouthwarkReablement &amp; Rehabilitation at home</v>
      </c>
      <c r="B817" t="str">
        <f>VLOOKUP(Table_Demand___Community_frontsheet[[#This Row],[Service Type]],PathwayLookup!E:F,2,0)</f>
        <v>Reablement &amp; Rehabilitation at home</v>
      </c>
      <c r="C817" t="s">
        <v>297</v>
      </c>
      <c r="D817" t="s">
        <v>721</v>
      </c>
      <c r="E817">
        <v>54</v>
      </c>
      <c r="F817">
        <v>54</v>
      </c>
      <c r="G817">
        <v>54</v>
      </c>
      <c r="H817">
        <v>54</v>
      </c>
      <c r="I817">
        <v>54</v>
      </c>
      <c r="J817">
        <v>54</v>
      </c>
      <c r="K817">
        <v>54</v>
      </c>
      <c r="L817">
        <v>54</v>
      </c>
      <c r="M817">
        <v>54</v>
      </c>
      <c r="N817">
        <v>54</v>
      </c>
      <c r="O817">
        <v>54</v>
      </c>
      <c r="P817">
        <v>54</v>
      </c>
    </row>
    <row r="818" spans="1:16" x14ac:dyDescent="0.3">
      <c r="A818" t="str">
        <f>Table_Demand___Community_frontsheet[[#This Row],[Name]]&amp;B818</f>
        <v>SouthwarkReablement &amp; Rehabilitation in a bedded setting</v>
      </c>
      <c r="B818" t="str">
        <f>VLOOKUP(Table_Demand___Community_frontsheet[[#This Row],[Service Type]],PathwayLookup!E:F,2,0)</f>
        <v>Reablement &amp; Rehabilitation in a bedded setting</v>
      </c>
      <c r="C818" t="s">
        <v>297</v>
      </c>
      <c r="D818" t="s">
        <v>723</v>
      </c>
      <c r="E818">
        <v>0</v>
      </c>
      <c r="F818">
        <v>0</v>
      </c>
      <c r="G818">
        <v>0</v>
      </c>
      <c r="H818">
        <v>0</v>
      </c>
      <c r="I818">
        <v>0</v>
      </c>
      <c r="J818">
        <v>0</v>
      </c>
      <c r="K818">
        <v>0</v>
      </c>
      <c r="L818">
        <v>0</v>
      </c>
      <c r="M818">
        <v>0</v>
      </c>
      <c r="N818">
        <v>0</v>
      </c>
      <c r="O818">
        <v>0</v>
      </c>
      <c r="P818">
        <v>0</v>
      </c>
    </row>
    <row r="819" spans="1:16" x14ac:dyDescent="0.3">
      <c r="A819" t="str">
        <f>Table_Demand___Community_frontsheet[[#This Row],[Name]]&amp;B819</f>
        <v>SouthwarkReablement &amp; Rehabilitation in a bedded setting</v>
      </c>
      <c r="B819" t="str">
        <f>VLOOKUP(Table_Demand___Community_frontsheet[[#This Row],[Service Type]],PathwayLookup!E:F,2,0)</f>
        <v>Reablement &amp; Rehabilitation in a bedded setting</v>
      </c>
      <c r="C819" t="s">
        <v>297</v>
      </c>
      <c r="D819" t="s">
        <v>725</v>
      </c>
      <c r="E819">
        <v>0</v>
      </c>
      <c r="F819">
        <v>0</v>
      </c>
      <c r="G819">
        <v>0</v>
      </c>
      <c r="H819">
        <v>0</v>
      </c>
      <c r="I819">
        <v>0</v>
      </c>
      <c r="J819">
        <v>0</v>
      </c>
      <c r="K819">
        <v>0</v>
      </c>
      <c r="L819">
        <v>0</v>
      </c>
      <c r="M819">
        <v>0</v>
      </c>
      <c r="N819">
        <v>0</v>
      </c>
      <c r="O819">
        <v>0</v>
      </c>
      <c r="P819">
        <v>0</v>
      </c>
    </row>
    <row r="820" spans="1:16" x14ac:dyDescent="0.3">
      <c r="A820" t="str">
        <f>Table_Demand___Community_frontsheet[[#This Row],[Name]]&amp;B820</f>
        <v>SouthwarkOther short-term social care</v>
      </c>
      <c r="B820" t="str">
        <f>VLOOKUP(Table_Demand___Community_frontsheet[[#This Row],[Service Type]],PathwayLookup!E:F,2,0)</f>
        <v>Other short-term social care</v>
      </c>
      <c r="C820" t="s">
        <v>297</v>
      </c>
      <c r="D820" t="s">
        <v>708</v>
      </c>
      <c r="E820">
        <v>0</v>
      </c>
      <c r="F820">
        <v>0</v>
      </c>
      <c r="G820">
        <v>0</v>
      </c>
      <c r="H820">
        <v>0</v>
      </c>
      <c r="I820">
        <v>0</v>
      </c>
      <c r="J820">
        <v>0</v>
      </c>
      <c r="K820">
        <v>0</v>
      </c>
      <c r="L820">
        <v>0</v>
      </c>
      <c r="M820">
        <v>0</v>
      </c>
      <c r="N820">
        <v>0</v>
      </c>
      <c r="O820">
        <v>0</v>
      </c>
      <c r="P820">
        <v>0</v>
      </c>
    </row>
    <row r="821" spans="1:16" x14ac:dyDescent="0.3">
      <c r="A821" t="str">
        <f>Table_Demand___Community_frontsheet[[#This Row],[Name]]&amp;B821</f>
        <v>St. HelensSocial support (including VCS)</v>
      </c>
      <c r="B821" t="str">
        <f>VLOOKUP(Table_Demand___Community_frontsheet[[#This Row],[Service Type]],PathwayLookup!E:F,2,0)</f>
        <v>Social support (including VCS)</v>
      </c>
      <c r="C821" t="s">
        <v>299</v>
      </c>
      <c r="D821" t="s">
        <v>704</v>
      </c>
      <c r="E821">
        <v>500</v>
      </c>
      <c r="F821">
        <v>500</v>
      </c>
      <c r="G821">
        <v>500</v>
      </c>
      <c r="H821">
        <v>500</v>
      </c>
      <c r="I821">
        <v>500</v>
      </c>
      <c r="J821">
        <v>500</v>
      </c>
      <c r="K821">
        <v>500</v>
      </c>
      <c r="L821">
        <v>500</v>
      </c>
      <c r="M821">
        <v>500</v>
      </c>
      <c r="N821">
        <v>500</v>
      </c>
      <c r="O821">
        <v>500</v>
      </c>
      <c r="P821">
        <v>500</v>
      </c>
    </row>
    <row r="822" spans="1:16" x14ac:dyDescent="0.3">
      <c r="A822" t="str">
        <f>Table_Demand___Community_frontsheet[[#This Row],[Name]]&amp;B822</f>
        <v>St. HelensUrgent Community Response</v>
      </c>
      <c r="B822" t="str">
        <f>VLOOKUP(Table_Demand___Community_frontsheet[[#This Row],[Service Type]],PathwayLookup!E:F,2,0)</f>
        <v>Urgent Community Response</v>
      </c>
      <c r="C822" t="s">
        <v>299</v>
      </c>
      <c r="D822" t="s">
        <v>705</v>
      </c>
      <c r="E822">
        <v>286</v>
      </c>
      <c r="F822">
        <v>252</v>
      </c>
      <c r="G822">
        <v>300</v>
      </c>
      <c r="H822">
        <v>310</v>
      </c>
      <c r="I822">
        <v>310</v>
      </c>
      <c r="J822">
        <v>300</v>
      </c>
      <c r="K822">
        <v>310</v>
      </c>
      <c r="L822">
        <v>300</v>
      </c>
      <c r="M822">
        <v>310</v>
      </c>
      <c r="N822">
        <v>310</v>
      </c>
      <c r="O822">
        <v>280</v>
      </c>
      <c r="P822">
        <v>310</v>
      </c>
    </row>
    <row r="823" spans="1:16" x14ac:dyDescent="0.3">
      <c r="A823" t="str">
        <f>Table_Demand___Community_frontsheet[[#This Row],[Name]]&amp;B823</f>
        <v>St. HelensReablement &amp; Rehabilitation at home</v>
      </c>
      <c r="B823" t="str">
        <f>VLOOKUP(Table_Demand___Community_frontsheet[[#This Row],[Service Type]],PathwayLookup!E:F,2,0)</f>
        <v>Reablement &amp; Rehabilitation at home</v>
      </c>
      <c r="C823" t="s">
        <v>299</v>
      </c>
      <c r="D823" t="s">
        <v>720</v>
      </c>
      <c r="E823">
        <v>48</v>
      </c>
      <c r="F823">
        <v>54</v>
      </c>
      <c r="G823">
        <v>49</v>
      </c>
      <c r="H823">
        <v>49</v>
      </c>
      <c r="I823">
        <v>49</v>
      </c>
      <c r="J823">
        <v>49</v>
      </c>
      <c r="K823">
        <v>49</v>
      </c>
      <c r="L823">
        <v>49</v>
      </c>
      <c r="M823">
        <v>49</v>
      </c>
      <c r="N823">
        <v>49</v>
      </c>
      <c r="O823">
        <v>49</v>
      </c>
      <c r="P823">
        <v>49</v>
      </c>
    </row>
    <row r="824" spans="1:16" x14ac:dyDescent="0.3">
      <c r="A824" t="str">
        <f>Table_Demand___Community_frontsheet[[#This Row],[Name]]&amp;B824</f>
        <v>St. HelensReablement &amp; Rehabilitation at home</v>
      </c>
      <c r="B824" t="str">
        <f>VLOOKUP(Table_Demand___Community_frontsheet[[#This Row],[Service Type]],PathwayLookup!E:F,2,0)</f>
        <v>Reablement &amp; Rehabilitation at home</v>
      </c>
      <c r="C824" t="s">
        <v>299</v>
      </c>
      <c r="D824" t="s">
        <v>721</v>
      </c>
      <c r="E824">
        <v>0</v>
      </c>
      <c r="F824">
        <v>0</v>
      </c>
      <c r="G824">
        <v>0</v>
      </c>
      <c r="H824">
        <v>0</v>
      </c>
      <c r="I824">
        <v>0</v>
      </c>
      <c r="J824">
        <v>0</v>
      </c>
      <c r="K824">
        <v>0</v>
      </c>
      <c r="L824">
        <v>0</v>
      </c>
      <c r="M824">
        <v>0</v>
      </c>
      <c r="N824">
        <v>0</v>
      </c>
      <c r="O824">
        <v>0</v>
      </c>
      <c r="P824">
        <v>0</v>
      </c>
    </row>
    <row r="825" spans="1:16" x14ac:dyDescent="0.3">
      <c r="A825" t="str">
        <f>Table_Demand___Community_frontsheet[[#This Row],[Name]]&amp;B825</f>
        <v>St. HelensReablement &amp; Rehabilitation in a bedded setting</v>
      </c>
      <c r="B825" t="str">
        <f>VLOOKUP(Table_Demand___Community_frontsheet[[#This Row],[Service Type]],PathwayLookup!E:F,2,0)</f>
        <v>Reablement &amp; Rehabilitation in a bedded setting</v>
      </c>
      <c r="C825" t="s">
        <v>299</v>
      </c>
      <c r="D825" t="s">
        <v>723</v>
      </c>
      <c r="E825">
        <v>10</v>
      </c>
      <c r="F825">
        <v>10</v>
      </c>
      <c r="G825">
        <v>10</v>
      </c>
      <c r="H825">
        <v>10</v>
      </c>
      <c r="I825">
        <v>10</v>
      </c>
      <c r="J825">
        <v>10</v>
      </c>
      <c r="K825">
        <v>10</v>
      </c>
      <c r="L825">
        <v>10</v>
      </c>
      <c r="M825">
        <v>10</v>
      </c>
      <c r="N825">
        <v>10</v>
      </c>
      <c r="O825">
        <v>10</v>
      </c>
      <c r="P825">
        <v>10</v>
      </c>
    </row>
    <row r="826" spans="1:16" x14ac:dyDescent="0.3">
      <c r="A826" t="str">
        <f>Table_Demand___Community_frontsheet[[#This Row],[Name]]&amp;B826</f>
        <v>St. HelensReablement &amp; Rehabilitation in a bedded setting</v>
      </c>
      <c r="B826" t="str">
        <f>VLOOKUP(Table_Demand___Community_frontsheet[[#This Row],[Service Type]],PathwayLookup!E:F,2,0)</f>
        <v>Reablement &amp; Rehabilitation in a bedded setting</v>
      </c>
      <c r="C826" t="s">
        <v>299</v>
      </c>
      <c r="D826" t="s">
        <v>725</v>
      </c>
      <c r="E826">
        <v>2</v>
      </c>
      <c r="F826">
        <v>2</v>
      </c>
      <c r="G826">
        <v>2</v>
      </c>
      <c r="H826">
        <v>2</v>
      </c>
      <c r="I826">
        <v>2</v>
      </c>
      <c r="J826">
        <v>2</v>
      </c>
      <c r="K826">
        <v>2</v>
      </c>
      <c r="L826">
        <v>2</v>
      </c>
      <c r="M826">
        <v>2</v>
      </c>
      <c r="N826">
        <v>2</v>
      </c>
      <c r="O826">
        <v>2</v>
      </c>
      <c r="P826">
        <v>2</v>
      </c>
    </row>
    <row r="827" spans="1:16" x14ac:dyDescent="0.3">
      <c r="A827" t="str">
        <f>Table_Demand___Community_frontsheet[[#This Row],[Name]]&amp;B827</f>
        <v>St. HelensOther short-term social care</v>
      </c>
      <c r="B827" t="str">
        <f>VLOOKUP(Table_Demand___Community_frontsheet[[#This Row],[Service Type]],PathwayLookup!E:F,2,0)</f>
        <v>Other short-term social care</v>
      </c>
      <c r="C827" t="s">
        <v>299</v>
      </c>
      <c r="D827" t="s">
        <v>708</v>
      </c>
      <c r="E827">
        <v>0</v>
      </c>
      <c r="F827">
        <v>0</v>
      </c>
      <c r="G827">
        <v>0</v>
      </c>
      <c r="H827">
        <v>0</v>
      </c>
      <c r="I827">
        <v>0</v>
      </c>
      <c r="J827">
        <v>0</v>
      </c>
      <c r="K827">
        <v>0</v>
      </c>
      <c r="L827">
        <v>0</v>
      </c>
      <c r="M827">
        <v>0</v>
      </c>
      <c r="N827">
        <v>0</v>
      </c>
      <c r="O827">
        <v>0</v>
      </c>
      <c r="P827">
        <v>0</v>
      </c>
    </row>
    <row r="828" spans="1:16" x14ac:dyDescent="0.3">
      <c r="A828" t="str">
        <f>Table_Demand___Community_frontsheet[[#This Row],[Name]]&amp;B828</f>
        <v>StaffordshireSocial support (including VCS)</v>
      </c>
      <c r="B828" t="str">
        <f>VLOOKUP(Table_Demand___Community_frontsheet[[#This Row],[Service Type]],PathwayLookup!E:F,2,0)</f>
        <v>Social support (including VCS)</v>
      </c>
      <c r="C828" t="s">
        <v>301</v>
      </c>
      <c r="D828" t="s">
        <v>704</v>
      </c>
      <c r="E828">
        <v>5008</v>
      </c>
      <c r="F828">
        <v>4999</v>
      </c>
      <c r="G828">
        <v>5087</v>
      </c>
      <c r="H828">
        <v>5100</v>
      </c>
      <c r="I828">
        <v>5112</v>
      </c>
      <c r="J828">
        <v>5125</v>
      </c>
      <c r="K828">
        <v>5137</v>
      </c>
      <c r="L828">
        <v>5150</v>
      </c>
      <c r="M828">
        <v>5162</v>
      </c>
      <c r="N828">
        <v>5175</v>
      </c>
      <c r="O828">
        <v>5187</v>
      </c>
      <c r="P828">
        <v>5200</v>
      </c>
    </row>
    <row r="829" spans="1:16" x14ac:dyDescent="0.3">
      <c r="A829" t="str">
        <f>Table_Demand___Community_frontsheet[[#This Row],[Name]]&amp;B829</f>
        <v>StaffordshireUrgent Community Response</v>
      </c>
      <c r="B829" t="str">
        <f>VLOOKUP(Table_Demand___Community_frontsheet[[#This Row],[Service Type]],PathwayLookup!E:F,2,0)</f>
        <v>Urgent Community Response</v>
      </c>
      <c r="C829" t="s">
        <v>301</v>
      </c>
      <c r="D829" t="s">
        <v>705</v>
      </c>
      <c r="E829">
        <v>554</v>
      </c>
      <c r="F829">
        <v>587</v>
      </c>
      <c r="G829">
        <v>625</v>
      </c>
      <c r="H829">
        <v>753</v>
      </c>
      <c r="I829">
        <v>676</v>
      </c>
      <c r="J829">
        <v>558</v>
      </c>
      <c r="K829">
        <v>648</v>
      </c>
      <c r="L829">
        <v>638</v>
      </c>
      <c r="M829">
        <v>823</v>
      </c>
      <c r="N829">
        <v>668</v>
      </c>
      <c r="O829">
        <v>495</v>
      </c>
      <c r="P829">
        <v>594</v>
      </c>
    </row>
    <row r="830" spans="1:16" x14ac:dyDescent="0.3">
      <c r="A830" t="str">
        <f>Table_Demand___Community_frontsheet[[#This Row],[Name]]&amp;B830</f>
        <v>StaffordshireReablement &amp; Rehabilitation at home</v>
      </c>
      <c r="B830" t="str">
        <f>VLOOKUP(Table_Demand___Community_frontsheet[[#This Row],[Service Type]],PathwayLookup!E:F,2,0)</f>
        <v>Reablement &amp; Rehabilitation at home</v>
      </c>
      <c r="C830" t="s">
        <v>301</v>
      </c>
      <c r="D830" t="s">
        <v>720</v>
      </c>
      <c r="E830">
        <v>41</v>
      </c>
      <c r="F830">
        <v>56</v>
      </c>
      <c r="G830">
        <v>54</v>
      </c>
      <c r="H830">
        <v>63</v>
      </c>
      <c r="I830">
        <v>77</v>
      </c>
      <c r="J830">
        <v>72</v>
      </c>
      <c r="K830">
        <v>76</v>
      </c>
      <c r="L830">
        <v>57</v>
      </c>
      <c r="M830">
        <v>69</v>
      </c>
      <c r="N830">
        <v>68</v>
      </c>
      <c r="O830">
        <v>45</v>
      </c>
      <c r="P830">
        <v>76</v>
      </c>
    </row>
    <row r="831" spans="1:16" x14ac:dyDescent="0.3">
      <c r="A831" t="str">
        <f>Table_Demand___Community_frontsheet[[#This Row],[Name]]&amp;B831</f>
        <v>StaffordshireReablement &amp; Rehabilitation at home</v>
      </c>
      <c r="B831" t="str">
        <f>VLOOKUP(Table_Demand___Community_frontsheet[[#This Row],[Service Type]],PathwayLookup!E:F,2,0)</f>
        <v>Reablement &amp; Rehabilitation at home</v>
      </c>
      <c r="C831" t="s">
        <v>301</v>
      </c>
      <c r="D831" t="s">
        <v>721</v>
      </c>
    </row>
    <row r="832" spans="1:16" x14ac:dyDescent="0.3">
      <c r="A832" t="str">
        <f>Table_Demand___Community_frontsheet[[#This Row],[Name]]&amp;B832</f>
        <v>StaffordshireReablement &amp; Rehabilitation in a bedded setting</v>
      </c>
      <c r="B832" t="str">
        <f>VLOOKUP(Table_Demand___Community_frontsheet[[#This Row],[Service Type]],PathwayLookup!E:F,2,0)</f>
        <v>Reablement &amp; Rehabilitation in a bedded setting</v>
      </c>
      <c r="C832" t="s">
        <v>301</v>
      </c>
      <c r="D832" t="s">
        <v>723</v>
      </c>
    </row>
    <row r="833" spans="1:16" x14ac:dyDescent="0.3">
      <c r="A833" t="str">
        <f>Table_Demand___Community_frontsheet[[#This Row],[Name]]&amp;B833</f>
        <v>StaffordshireReablement &amp; Rehabilitation in a bedded setting</v>
      </c>
      <c r="B833" t="str">
        <f>VLOOKUP(Table_Demand___Community_frontsheet[[#This Row],[Service Type]],PathwayLookup!E:F,2,0)</f>
        <v>Reablement &amp; Rehabilitation in a bedded setting</v>
      </c>
      <c r="C833" t="s">
        <v>301</v>
      </c>
      <c r="D833" t="s">
        <v>725</v>
      </c>
    </row>
    <row r="834" spans="1:16" x14ac:dyDescent="0.3">
      <c r="A834" t="str">
        <f>Table_Demand___Community_frontsheet[[#This Row],[Name]]&amp;B834</f>
        <v>StaffordshireOther short-term social care</v>
      </c>
      <c r="B834" t="str">
        <f>VLOOKUP(Table_Demand___Community_frontsheet[[#This Row],[Service Type]],PathwayLookup!E:F,2,0)</f>
        <v>Other short-term social care</v>
      </c>
      <c r="C834" t="s">
        <v>301</v>
      </c>
      <c r="D834" t="s">
        <v>708</v>
      </c>
      <c r="E834">
        <v>2188</v>
      </c>
      <c r="F834">
        <v>2202</v>
      </c>
      <c r="G834">
        <v>2380</v>
      </c>
      <c r="H834">
        <v>2388</v>
      </c>
      <c r="I834">
        <v>2396</v>
      </c>
      <c r="J834">
        <v>2403</v>
      </c>
      <c r="K834">
        <v>2411</v>
      </c>
      <c r="L834">
        <v>2419</v>
      </c>
      <c r="M834">
        <v>2427</v>
      </c>
      <c r="N834">
        <v>2434</v>
      </c>
      <c r="O834">
        <v>2442</v>
      </c>
      <c r="P834">
        <v>2450</v>
      </c>
    </row>
    <row r="835" spans="1:16" x14ac:dyDescent="0.3">
      <c r="A835" t="str">
        <f>Table_Demand___Community_frontsheet[[#This Row],[Name]]&amp;B835</f>
        <v>StockportSocial support (including VCS)</v>
      </c>
      <c r="B835" t="str">
        <f>VLOOKUP(Table_Demand___Community_frontsheet[[#This Row],[Service Type]],PathwayLookup!E:F,2,0)</f>
        <v>Social support (including VCS)</v>
      </c>
      <c r="C835" t="s">
        <v>303</v>
      </c>
      <c r="D835" t="s">
        <v>704</v>
      </c>
      <c r="E835">
        <v>599</v>
      </c>
      <c r="F835">
        <v>550</v>
      </c>
      <c r="G835">
        <v>557</v>
      </c>
      <c r="H835">
        <v>485</v>
      </c>
      <c r="I835">
        <v>450</v>
      </c>
      <c r="J835">
        <v>501</v>
      </c>
      <c r="K835">
        <v>546</v>
      </c>
      <c r="L835">
        <v>544</v>
      </c>
      <c r="M835">
        <v>356</v>
      </c>
      <c r="N835">
        <v>482</v>
      </c>
      <c r="O835">
        <v>575</v>
      </c>
      <c r="P835">
        <v>699</v>
      </c>
    </row>
    <row r="836" spans="1:16" x14ac:dyDescent="0.3">
      <c r="A836" t="str">
        <f>Table_Demand___Community_frontsheet[[#This Row],[Name]]&amp;B836</f>
        <v>StockportUrgent Community Response</v>
      </c>
      <c r="B836" t="str">
        <f>VLOOKUP(Table_Demand___Community_frontsheet[[#This Row],[Service Type]],PathwayLookup!E:F,2,0)</f>
        <v>Urgent Community Response</v>
      </c>
      <c r="C836" t="s">
        <v>303</v>
      </c>
      <c r="D836" t="s">
        <v>705</v>
      </c>
      <c r="E836">
        <v>16</v>
      </c>
      <c r="F836">
        <v>16</v>
      </c>
      <c r="G836">
        <v>12</v>
      </c>
      <c r="H836">
        <v>21</v>
      </c>
      <c r="I836">
        <v>14</v>
      </c>
      <c r="J836">
        <v>14</v>
      </c>
      <c r="K836">
        <v>16</v>
      </c>
      <c r="L836">
        <v>26</v>
      </c>
      <c r="M836">
        <v>29</v>
      </c>
      <c r="N836">
        <v>15</v>
      </c>
      <c r="O836">
        <v>11</v>
      </c>
      <c r="P836">
        <v>18</v>
      </c>
    </row>
    <row r="837" spans="1:16" x14ac:dyDescent="0.3">
      <c r="A837" t="str">
        <f>Table_Demand___Community_frontsheet[[#This Row],[Name]]&amp;B837</f>
        <v>StockportReablement &amp; Rehabilitation at home</v>
      </c>
      <c r="B837" t="str">
        <f>VLOOKUP(Table_Demand___Community_frontsheet[[#This Row],[Service Type]],PathwayLookup!E:F,2,0)</f>
        <v>Reablement &amp; Rehabilitation at home</v>
      </c>
      <c r="C837" t="s">
        <v>303</v>
      </c>
      <c r="D837" t="s">
        <v>720</v>
      </c>
      <c r="E837">
        <v>23</v>
      </c>
      <c r="F837">
        <v>13</v>
      </c>
      <c r="G837">
        <v>13</v>
      </c>
      <c r="H837">
        <v>22</v>
      </c>
      <c r="I837">
        <v>15</v>
      </c>
      <c r="J837">
        <v>15</v>
      </c>
      <c r="K837">
        <v>19</v>
      </c>
      <c r="L837">
        <v>26</v>
      </c>
      <c r="M837">
        <v>24</v>
      </c>
      <c r="N837">
        <v>15</v>
      </c>
      <c r="O837">
        <v>15</v>
      </c>
      <c r="P837">
        <v>13</v>
      </c>
    </row>
    <row r="838" spans="1:16" x14ac:dyDescent="0.3">
      <c r="A838" t="str">
        <f>Table_Demand___Community_frontsheet[[#This Row],[Name]]&amp;B838</f>
        <v>StockportReablement &amp; Rehabilitation at home</v>
      </c>
      <c r="B838" t="str">
        <f>VLOOKUP(Table_Demand___Community_frontsheet[[#This Row],[Service Type]],PathwayLookup!E:F,2,0)</f>
        <v>Reablement &amp; Rehabilitation at home</v>
      </c>
      <c r="C838" t="s">
        <v>303</v>
      </c>
      <c r="D838" t="s">
        <v>721</v>
      </c>
      <c r="E838">
        <v>3</v>
      </c>
      <c r="F838">
        <v>3</v>
      </c>
      <c r="G838">
        <v>2</v>
      </c>
      <c r="H838">
        <v>3</v>
      </c>
      <c r="I838">
        <v>2</v>
      </c>
      <c r="J838">
        <v>2</v>
      </c>
      <c r="K838">
        <v>7</v>
      </c>
      <c r="L838">
        <v>6</v>
      </c>
      <c r="M838">
        <v>1</v>
      </c>
      <c r="N838">
        <v>2</v>
      </c>
      <c r="O838">
        <v>1</v>
      </c>
      <c r="P838">
        <v>1</v>
      </c>
    </row>
    <row r="839" spans="1:16" x14ac:dyDescent="0.3">
      <c r="A839" t="str">
        <f>Table_Demand___Community_frontsheet[[#This Row],[Name]]&amp;B839</f>
        <v>StockportReablement &amp; Rehabilitation in a bedded setting</v>
      </c>
      <c r="B839" t="str">
        <f>VLOOKUP(Table_Demand___Community_frontsheet[[#This Row],[Service Type]],PathwayLookup!E:F,2,0)</f>
        <v>Reablement &amp; Rehabilitation in a bedded setting</v>
      </c>
      <c r="C839" t="s">
        <v>303</v>
      </c>
      <c r="D839" t="s">
        <v>723</v>
      </c>
      <c r="E839">
        <v>0</v>
      </c>
      <c r="F839">
        <v>0</v>
      </c>
      <c r="G839">
        <v>0</v>
      </c>
      <c r="H839">
        <v>0</v>
      </c>
      <c r="I839">
        <v>0</v>
      </c>
      <c r="J839">
        <v>0</v>
      </c>
      <c r="K839">
        <v>0</v>
      </c>
      <c r="L839">
        <v>0</v>
      </c>
      <c r="M839">
        <v>0</v>
      </c>
      <c r="N839">
        <v>0</v>
      </c>
      <c r="O839">
        <v>0</v>
      </c>
      <c r="P839">
        <v>0</v>
      </c>
    </row>
    <row r="840" spans="1:16" x14ac:dyDescent="0.3">
      <c r="A840" t="str">
        <f>Table_Demand___Community_frontsheet[[#This Row],[Name]]&amp;B840</f>
        <v>StockportReablement &amp; Rehabilitation in a bedded setting</v>
      </c>
      <c r="B840" t="str">
        <f>VLOOKUP(Table_Demand___Community_frontsheet[[#This Row],[Service Type]],PathwayLookup!E:F,2,0)</f>
        <v>Reablement &amp; Rehabilitation in a bedded setting</v>
      </c>
      <c r="C840" t="s">
        <v>303</v>
      </c>
      <c r="D840" t="s">
        <v>725</v>
      </c>
      <c r="E840">
        <v>3</v>
      </c>
      <c r="F840">
        <v>4</v>
      </c>
      <c r="G840">
        <v>3</v>
      </c>
      <c r="H840">
        <v>4</v>
      </c>
      <c r="I840">
        <v>3</v>
      </c>
      <c r="J840">
        <v>3</v>
      </c>
      <c r="K840">
        <v>4</v>
      </c>
      <c r="L840">
        <v>3</v>
      </c>
      <c r="M840">
        <v>4</v>
      </c>
      <c r="N840">
        <v>4</v>
      </c>
      <c r="O840">
        <v>4</v>
      </c>
      <c r="P840">
        <v>4</v>
      </c>
    </row>
    <row r="841" spans="1:16" x14ac:dyDescent="0.3">
      <c r="A841" t="str">
        <f>Table_Demand___Community_frontsheet[[#This Row],[Name]]&amp;B841</f>
        <v>StockportOther short-term social care</v>
      </c>
      <c r="B841" t="str">
        <f>VLOOKUP(Table_Demand___Community_frontsheet[[#This Row],[Service Type]],PathwayLookup!E:F,2,0)</f>
        <v>Other short-term social care</v>
      </c>
      <c r="C841" t="s">
        <v>303</v>
      </c>
      <c r="D841" t="s">
        <v>708</v>
      </c>
      <c r="E841">
        <v>0</v>
      </c>
      <c r="F841">
        <v>0</v>
      </c>
      <c r="G841">
        <v>0</v>
      </c>
      <c r="H841">
        <v>0</v>
      </c>
      <c r="I841">
        <v>0</v>
      </c>
      <c r="J841">
        <v>0</v>
      </c>
      <c r="K841">
        <v>0</v>
      </c>
      <c r="L841">
        <v>0</v>
      </c>
      <c r="M841">
        <v>0</v>
      </c>
      <c r="N841">
        <v>0</v>
      </c>
      <c r="O841">
        <v>0</v>
      </c>
      <c r="P841">
        <v>0</v>
      </c>
    </row>
    <row r="842" spans="1:16" x14ac:dyDescent="0.3">
      <c r="A842" t="str">
        <f>Table_Demand___Community_frontsheet[[#This Row],[Name]]&amp;B842</f>
        <v>Stockton-on-TeesSocial support (including VCS)</v>
      </c>
      <c r="B842" t="str">
        <f>VLOOKUP(Table_Demand___Community_frontsheet[[#This Row],[Service Type]],PathwayLookup!E:F,2,0)</f>
        <v>Social support (including VCS)</v>
      </c>
      <c r="C842" t="s">
        <v>305</v>
      </c>
      <c r="D842" t="s">
        <v>704</v>
      </c>
      <c r="E842">
        <v>0</v>
      </c>
      <c r="F842">
        <v>0</v>
      </c>
      <c r="G842">
        <v>0</v>
      </c>
      <c r="H842">
        <v>0</v>
      </c>
      <c r="I842">
        <v>0</v>
      </c>
      <c r="J842">
        <v>0</v>
      </c>
      <c r="K842">
        <v>0</v>
      </c>
      <c r="L842">
        <v>0</v>
      </c>
      <c r="M842">
        <v>0</v>
      </c>
      <c r="N842">
        <v>0</v>
      </c>
      <c r="O842">
        <v>0</v>
      </c>
      <c r="P842">
        <v>0</v>
      </c>
    </row>
    <row r="843" spans="1:16" x14ac:dyDescent="0.3">
      <c r="A843" t="str">
        <f>Table_Demand___Community_frontsheet[[#This Row],[Name]]&amp;B843</f>
        <v>Stockton-on-TeesUrgent Community Response</v>
      </c>
      <c r="B843" t="str">
        <f>VLOOKUP(Table_Demand___Community_frontsheet[[#This Row],[Service Type]],PathwayLookup!E:F,2,0)</f>
        <v>Urgent Community Response</v>
      </c>
      <c r="C843" t="s">
        <v>305</v>
      </c>
      <c r="D843" t="s">
        <v>705</v>
      </c>
      <c r="E843">
        <v>110</v>
      </c>
      <c r="F843">
        <v>90</v>
      </c>
      <c r="G843">
        <v>94</v>
      </c>
      <c r="H843">
        <v>105</v>
      </c>
      <c r="I843">
        <v>76</v>
      </c>
      <c r="J843">
        <v>60</v>
      </c>
      <c r="K843">
        <v>72</v>
      </c>
      <c r="L843">
        <v>78</v>
      </c>
      <c r="M843">
        <v>99</v>
      </c>
      <c r="N843">
        <v>56</v>
      </c>
      <c r="O843">
        <v>36</v>
      </c>
      <c r="P843">
        <v>34</v>
      </c>
    </row>
    <row r="844" spans="1:16" x14ac:dyDescent="0.3">
      <c r="A844" t="str">
        <f>Table_Demand___Community_frontsheet[[#This Row],[Name]]&amp;B844</f>
        <v>Stockton-on-TeesReablement &amp; Rehabilitation at home</v>
      </c>
      <c r="B844" t="str">
        <f>VLOOKUP(Table_Demand___Community_frontsheet[[#This Row],[Service Type]],PathwayLookup!E:F,2,0)</f>
        <v>Reablement &amp; Rehabilitation at home</v>
      </c>
      <c r="C844" t="s">
        <v>305</v>
      </c>
      <c r="D844" t="s">
        <v>720</v>
      </c>
      <c r="E844">
        <v>12</v>
      </c>
      <c r="F844">
        <v>12</v>
      </c>
      <c r="G844">
        <v>12</v>
      </c>
      <c r="H844">
        <v>12</v>
      </c>
      <c r="I844">
        <v>12</v>
      </c>
      <c r="J844">
        <v>12</v>
      </c>
      <c r="K844">
        <v>12</v>
      </c>
      <c r="L844">
        <v>12</v>
      </c>
      <c r="M844">
        <v>12</v>
      </c>
      <c r="N844">
        <v>12</v>
      </c>
      <c r="O844">
        <v>12</v>
      </c>
      <c r="P844">
        <v>12</v>
      </c>
    </row>
    <row r="845" spans="1:16" x14ac:dyDescent="0.3">
      <c r="A845" t="str">
        <f>Table_Demand___Community_frontsheet[[#This Row],[Name]]&amp;B845</f>
        <v>Stockton-on-TeesReablement &amp; Rehabilitation at home</v>
      </c>
      <c r="B845" t="str">
        <f>VLOOKUP(Table_Demand___Community_frontsheet[[#This Row],[Service Type]],PathwayLookup!E:F,2,0)</f>
        <v>Reablement &amp; Rehabilitation at home</v>
      </c>
      <c r="C845" t="s">
        <v>305</v>
      </c>
      <c r="D845" t="s">
        <v>721</v>
      </c>
      <c r="E845">
        <v>0</v>
      </c>
      <c r="F845">
        <v>0</v>
      </c>
      <c r="G845">
        <v>6</v>
      </c>
      <c r="H845">
        <v>0</v>
      </c>
      <c r="I845">
        <v>3</v>
      </c>
      <c r="J845">
        <v>3</v>
      </c>
      <c r="K845">
        <v>3</v>
      </c>
      <c r="L845">
        <v>0</v>
      </c>
      <c r="M845">
        <v>0</v>
      </c>
      <c r="N845">
        <v>1</v>
      </c>
      <c r="O845">
        <v>0</v>
      </c>
      <c r="P845">
        <v>0</v>
      </c>
    </row>
    <row r="846" spans="1:16" x14ac:dyDescent="0.3">
      <c r="A846" t="str">
        <f>Table_Demand___Community_frontsheet[[#This Row],[Name]]&amp;B846</f>
        <v>Stockton-on-TeesReablement &amp; Rehabilitation in a bedded setting</v>
      </c>
      <c r="B846" t="str">
        <f>VLOOKUP(Table_Demand___Community_frontsheet[[#This Row],[Service Type]],PathwayLookup!E:F,2,0)</f>
        <v>Reablement &amp; Rehabilitation in a bedded setting</v>
      </c>
      <c r="C846" t="s">
        <v>305</v>
      </c>
      <c r="D846" t="s">
        <v>723</v>
      </c>
      <c r="E846">
        <v>10</v>
      </c>
      <c r="F846">
        <v>10</v>
      </c>
      <c r="G846">
        <v>10</v>
      </c>
      <c r="H846">
        <v>10</v>
      </c>
      <c r="I846">
        <v>10</v>
      </c>
      <c r="J846">
        <v>10</v>
      </c>
      <c r="K846">
        <v>10</v>
      </c>
      <c r="L846">
        <v>10</v>
      </c>
      <c r="M846">
        <v>10</v>
      </c>
      <c r="N846">
        <v>10</v>
      </c>
      <c r="O846">
        <v>10</v>
      </c>
      <c r="P846">
        <v>10</v>
      </c>
    </row>
    <row r="847" spans="1:16" x14ac:dyDescent="0.3">
      <c r="A847" t="str">
        <f>Table_Demand___Community_frontsheet[[#This Row],[Name]]&amp;B847</f>
        <v>Stockton-on-TeesReablement &amp; Rehabilitation in a bedded setting</v>
      </c>
      <c r="B847" t="str">
        <f>VLOOKUP(Table_Demand___Community_frontsheet[[#This Row],[Service Type]],PathwayLookup!E:F,2,0)</f>
        <v>Reablement &amp; Rehabilitation in a bedded setting</v>
      </c>
      <c r="C847" t="s">
        <v>305</v>
      </c>
      <c r="D847" t="s">
        <v>725</v>
      </c>
      <c r="E847">
        <v>0</v>
      </c>
      <c r="F847">
        <v>0</v>
      </c>
      <c r="G847">
        <v>0</v>
      </c>
      <c r="H847">
        <v>0</v>
      </c>
      <c r="I847">
        <v>0</v>
      </c>
      <c r="J847">
        <v>0</v>
      </c>
      <c r="K847">
        <v>0</v>
      </c>
      <c r="L847">
        <v>0</v>
      </c>
      <c r="M847">
        <v>0</v>
      </c>
      <c r="N847">
        <v>0</v>
      </c>
      <c r="O847">
        <v>0</v>
      </c>
      <c r="P847">
        <v>0</v>
      </c>
    </row>
    <row r="848" spans="1:16" x14ac:dyDescent="0.3">
      <c r="A848" t="str">
        <f>Table_Demand___Community_frontsheet[[#This Row],[Name]]&amp;B848</f>
        <v>Stockton-on-TeesOther short-term social care</v>
      </c>
      <c r="B848" t="str">
        <f>VLOOKUP(Table_Demand___Community_frontsheet[[#This Row],[Service Type]],PathwayLookup!E:F,2,0)</f>
        <v>Other short-term social care</v>
      </c>
      <c r="C848" t="s">
        <v>305</v>
      </c>
      <c r="D848" t="s">
        <v>708</v>
      </c>
      <c r="E848">
        <v>0</v>
      </c>
      <c r="F848">
        <v>0</v>
      </c>
      <c r="G848">
        <v>0</v>
      </c>
      <c r="H848">
        <v>0</v>
      </c>
      <c r="I848">
        <v>0</v>
      </c>
      <c r="J848">
        <v>0</v>
      </c>
      <c r="K848">
        <v>0</v>
      </c>
      <c r="L848">
        <v>0</v>
      </c>
      <c r="M848">
        <v>0</v>
      </c>
      <c r="N848">
        <v>0</v>
      </c>
      <c r="O848">
        <v>0</v>
      </c>
      <c r="P848">
        <v>0</v>
      </c>
    </row>
    <row r="849" spans="1:16" x14ac:dyDescent="0.3">
      <c r="A849" t="str">
        <f>Table_Demand___Community_frontsheet[[#This Row],[Name]]&amp;B849</f>
        <v>Stoke-on-TrentSocial support (including VCS)</v>
      </c>
      <c r="B849" t="str">
        <f>VLOOKUP(Table_Demand___Community_frontsheet[[#This Row],[Service Type]],PathwayLookup!E:F,2,0)</f>
        <v>Social support (including VCS)</v>
      </c>
      <c r="C849" t="s">
        <v>307</v>
      </c>
      <c r="D849" t="s">
        <v>704</v>
      </c>
    </row>
    <row r="850" spans="1:16" x14ac:dyDescent="0.3">
      <c r="A850" t="str">
        <f>Table_Demand___Community_frontsheet[[#This Row],[Name]]&amp;B850</f>
        <v>Stoke-on-TrentUrgent Community Response</v>
      </c>
      <c r="B850" t="str">
        <f>VLOOKUP(Table_Demand___Community_frontsheet[[#This Row],[Service Type]],PathwayLookup!E:F,2,0)</f>
        <v>Urgent Community Response</v>
      </c>
      <c r="C850" t="s">
        <v>307</v>
      </c>
      <c r="D850" t="s">
        <v>705</v>
      </c>
      <c r="E850">
        <v>554</v>
      </c>
      <c r="F850">
        <v>587</v>
      </c>
      <c r="G850">
        <v>625</v>
      </c>
      <c r="H850">
        <v>753</v>
      </c>
      <c r="I850">
        <v>676</v>
      </c>
      <c r="J850">
        <v>558</v>
      </c>
      <c r="K850">
        <v>648</v>
      </c>
      <c r="L850">
        <v>638</v>
      </c>
      <c r="M850">
        <v>823</v>
      </c>
      <c r="N850">
        <v>668</v>
      </c>
      <c r="O850">
        <v>495</v>
      </c>
      <c r="P850">
        <v>594</v>
      </c>
    </row>
    <row r="851" spans="1:16" x14ac:dyDescent="0.3">
      <c r="A851" t="str">
        <f>Table_Demand___Community_frontsheet[[#This Row],[Name]]&amp;B851</f>
        <v>Stoke-on-TrentReablement &amp; Rehabilitation at home</v>
      </c>
      <c r="B851" t="str">
        <f>VLOOKUP(Table_Demand___Community_frontsheet[[#This Row],[Service Type]],PathwayLookup!E:F,2,0)</f>
        <v>Reablement &amp; Rehabilitation at home</v>
      </c>
      <c r="C851" t="s">
        <v>307</v>
      </c>
      <c r="D851" t="s">
        <v>720</v>
      </c>
      <c r="E851">
        <v>2</v>
      </c>
      <c r="F851">
        <v>3</v>
      </c>
      <c r="G851">
        <v>3</v>
      </c>
      <c r="H851">
        <v>9</v>
      </c>
      <c r="I851">
        <v>8</v>
      </c>
      <c r="J851">
        <v>5</v>
      </c>
      <c r="K851">
        <v>6</v>
      </c>
      <c r="L851">
        <v>5</v>
      </c>
      <c r="M851">
        <v>7</v>
      </c>
      <c r="N851">
        <v>9</v>
      </c>
      <c r="O851">
        <v>2</v>
      </c>
      <c r="P851">
        <v>5</v>
      </c>
    </row>
    <row r="852" spans="1:16" x14ac:dyDescent="0.3">
      <c r="A852" t="str">
        <f>Table_Demand___Community_frontsheet[[#This Row],[Name]]&amp;B852</f>
        <v>Stoke-on-TrentReablement &amp; Rehabilitation at home</v>
      </c>
      <c r="B852" t="str">
        <f>VLOOKUP(Table_Demand___Community_frontsheet[[#This Row],[Service Type]],PathwayLookup!E:F,2,0)</f>
        <v>Reablement &amp; Rehabilitation at home</v>
      </c>
      <c r="C852" t="s">
        <v>307</v>
      </c>
      <c r="D852" t="s">
        <v>721</v>
      </c>
    </row>
    <row r="853" spans="1:16" x14ac:dyDescent="0.3">
      <c r="A853" t="str">
        <f>Table_Demand___Community_frontsheet[[#This Row],[Name]]&amp;B853</f>
        <v>Stoke-on-TrentReablement &amp; Rehabilitation in a bedded setting</v>
      </c>
      <c r="B853" t="str">
        <f>VLOOKUP(Table_Demand___Community_frontsheet[[#This Row],[Service Type]],PathwayLookup!E:F,2,0)</f>
        <v>Reablement &amp; Rehabilitation in a bedded setting</v>
      </c>
      <c r="C853" t="s">
        <v>307</v>
      </c>
      <c r="D853" t="s">
        <v>723</v>
      </c>
      <c r="E853">
        <v>15</v>
      </c>
      <c r="F853">
        <v>15</v>
      </c>
      <c r="G853">
        <v>15</v>
      </c>
      <c r="H853">
        <v>15</v>
      </c>
      <c r="I853">
        <v>15</v>
      </c>
      <c r="J853">
        <v>15</v>
      </c>
      <c r="K853">
        <v>15</v>
      </c>
      <c r="L853">
        <v>15</v>
      </c>
      <c r="M853">
        <v>15</v>
      </c>
      <c r="N853">
        <v>15</v>
      </c>
      <c r="O853">
        <v>15</v>
      </c>
      <c r="P853">
        <v>15</v>
      </c>
    </row>
    <row r="854" spans="1:16" x14ac:dyDescent="0.3">
      <c r="A854" t="str">
        <f>Table_Demand___Community_frontsheet[[#This Row],[Name]]&amp;B854</f>
        <v>Stoke-on-TrentReablement &amp; Rehabilitation in a bedded setting</v>
      </c>
      <c r="B854" t="str">
        <f>VLOOKUP(Table_Demand___Community_frontsheet[[#This Row],[Service Type]],PathwayLookup!E:F,2,0)</f>
        <v>Reablement &amp; Rehabilitation in a bedded setting</v>
      </c>
      <c r="C854" t="s">
        <v>307</v>
      </c>
      <c r="D854" t="s">
        <v>725</v>
      </c>
    </row>
    <row r="855" spans="1:16" x14ac:dyDescent="0.3">
      <c r="A855" t="str">
        <f>Table_Demand___Community_frontsheet[[#This Row],[Name]]&amp;B855</f>
        <v>Stoke-on-TrentOther short-term social care</v>
      </c>
      <c r="B855" t="str">
        <f>VLOOKUP(Table_Demand___Community_frontsheet[[#This Row],[Service Type]],PathwayLookup!E:F,2,0)</f>
        <v>Other short-term social care</v>
      </c>
      <c r="C855" t="s">
        <v>307</v>
      </c>
      <c r="D855" t="s">
        <v>708</v>
      </c>
    </row>
    <row r="856" spans="1:16" x14ac:dyDescent="0.3">
      <c r="A856" t="str">
        <f>Table_Demand___Community_frontsheet[[#This Row],[Name]]&amp;B856</f>
        <v>SuffolkSocial support (including VCS)</v>
      </c>
      <c r="B856" t="str">
        <f>VLOOKUP(Table_Demand___Community_frontsheet[[#This Row],[Service Type]],PathwayLookup!E:F,2,0)</f>
        <v>Social support (including VCS)</v>
      </c>
      <c r="C856" t="s">
        <v>309</v>
      </c>
      <c r="D856" t="s">
        <v>704</v>
      </c>
    </row>
    <row r="857" spans="1:16" x14ac:dyDescent="0.3">
      <c r="A857" t="str">
        <f>Table_Demand___Community_frontsheet[[#This Row],[Name]]&amp;B857</f>
        <v>SuffolkUrgent Community Response</v>
      </c>
      <c r="B857" t="str">
        <f>VLOOKUP(Table_Demand___Community_frontsheet[[#This Row],[Service Type]],PathwayLookup!E:F,2,0)</f>
        <v>Urgent Community Response</v>
      </c>
      <c r="C857" t="s">
        <v>309</v>
      </c>
      <c r="D857" t="s">
        <v>705</v>
      </c>
      <c r="E857">
        <v>601</v>
      </c>
      <c r="F857">
        <v>658</v>
      </c>
      <c r="G857">
        <v>740</v>
      </c>
      <c r="H857">
        <v>703</v>
      </c>
      <c r="I857">
        <v>704</v>
      </c>
      <c r="J857">
        <v>662</v>
      </c>
      <c r="K857">
        <v>842</v>
      </c>
      <c r="L857">
        <v>816</v>
      </c>
      <c r="M857">
        <v>918</v>
      </c>
      <c r="N857">
        <v>837</v>
      </c>
      <c r="O857">
        <v>820</v>
      </c>
      <c r="P857">
        <v>906</v>
      </c>
    </row>
    <row r="858" spans="1:16" x14ac:dyDescent="0.3">
      <c r="A858" t="str">
        <f>Table_Demand___Community_frontsheet[[#This Row],[Name]]&amp;B858</f>
        <v>SuffolkReablement &amp; Rehabilitation at home</v>
      </c>
      <c r="B858" t="str">
        <f>VLOOKUP(Table_Demand___Community_frontsheet[[#This Row],[Service Type]],PathwayLookup!E:F,2,0)</f>
        <v>Reablement &amp; Rehabilitation at home</v>
      </c>
      <c r="C858" t="s">
        <v>309</v>
      </c>
      <c r="D858" t="s">
        <v>720</v>
      </c>
      <c r="E858">
        <v>169</v>
      </c>
      <c r="F858">
        <v>158</v>
      </c>
      <c r="G858">
        <v>175</v>
      </c>
      <c r="H858">
        <v>179</v>
      </c>
      <c r="I858">
        <v>152</v>
      </c>
      <c r="J858">
        <v>166</v>
      </c>
      <c r="K858">
        <v>151</v>
      </c>
      <c r="L858">
        <v>173</v>
      </c>
      <c r="M858">
        <v>207</v>
      </c>
      <c r="N858">
        <v>176</v>
      </c>
      <c r="O858">
        <v>177</v>
      </c>
      <c r="P858">
        <v>183</v>
      </c>
    </row>
    <row r="859" spans="1:16" x14ac:dyDescent="0.3">
      <c r="A859" t="str">
        <f>Table_Demand___Community_frontsheet[[#This Row],[Name]]&amp;B859</f>
        <v>SuffolkReablement &amp; Rehabilitation at home</v>
      </c>
      <c r="B859" t="str">
        <f>VLOOKUP(Table_Demand___Community_frontsheet[[#This Row],[Service Type]],PathwayLookup!E:F,2,0)</f>
        <v>Reablement &amp; Rehabilitation at home</v>
      </c>
      <c r="C859" t="s">
        <v>309</v>
      </c>
      <c r="D859" t="s">
        <v>721</v>
      </c>
      <c r="E859">
        <v>3294</v>
      </c>
      <c r="F859">
        <v>3598</v>
      </c>
      <c r="G859">
        <v>3461</v>
      </c>
      <c r="H859">
        <v>3427</v>
      </c>
      <c r="I859">
        <v>3631</v>
      </c>
      <c r="J859">
        <v>3561</v>
      </c>
      <c r="K859">
        <v>3573</v>
      </c>
      <c r="L859">
        <v>3716</v>
      </c>
      <c r="M859">
        <v>3138</v>
      </c>
      <c r="N859">
        <v>3711</v>
      </c>
      <c r="O859">
        <v>3448</v>
      </c>
      <c r="P859">
        <v>3789</v>
      </c>
    </row>
    <row r="860" spans="1:16" x14ac:dyDescent="0.3">
      <c r="A860" t="str">
        <f>Table_Demand___Community_frontsheet[[#This Row],[Name]]&amp;B860</f>
        <v>SuffolkReablement &amp; Rehabilitation in a bedded setting</v>
      </c>
      <c r="B860" t="str">
        <f>VLOOKUP(Table_Demand___Community_frontsheet[[#This Row],[Service Type]],PathwayLookup!E:F,2,0)</f>
        <v>Reablement &amp; Rehabilitation in a bedded setting</v>
      </c>
      <c r="C860" t="s">
        <v>309</v>
      </c>
      <c r="D860" t="s">
        <v>723</v>
      </c>
      <c r="E860">
        <v>123</v>
      </c>
      <c r="F860">
        <v>121</v>
      </c>
      <c r="G860">
        <v>122</v>
      </c>
      <c r="H860">
        <v>127</v>
      </c>
      <c r="I860">
        <v>122</v>
      </c>
      <c r="J860">
        <v>124</v>
      </c>
      <c r="K860">
        <v>122</v>
      </c>
      <c r="L860">
        <v>121</v>
      </c>
      <c r="M860">
        <v>124</v>
      </c>
      <c r="N860">
        <v>125</v>
      </c>
      <c r="O860">
        <v>125</v>
      </c>
      <c r="P860">
        <v>121</v>
      </c>
    </row>
    <row r="861" spans="1:16" x14ac:dyDescent="0.3">
      <c r="A861" t="str">
        <f>Table_Demand___Community_frontsheet[[#This Row],[Name]]&amp;B861</f>
        <v>SuffolkReablement &amp; Rehabilitation in a bedded setting</v>
      </c>
      <c r="B861" t="str">
        <f>VLOOKUP(Table_Demand___Community_frontsheet[[#This Row],[Service Type]],PathwayLookup!E:F,2,0)</f>
        <v>Reablement &amp; Rehabilitation in a bedded setting</v>
      </c>
      <c r="C861" t="s">
        <v>309</v>
      </c>
      <c r="D861" t="s">
        <v>725</v>
      </c>
    </row>
    <row r="862" spans="1:16" x14ac:dyDescent="0.3">
      <c r="A862" t="str">
        <f>Table_Demand___Community_frontsheet[[#This Row],[Name]]&amp;B862</f>
        <v>SuffolkOther short-term social care</v>
      </c>
      <c r="B862" t="str">
        <f>VLOOKUP(Table_Demand___Community_frontsheet[[#This Row],[Service Type]],PathwayLookup!E:F,2,0)</f>
        <v>Other short-term social care</v>
      </c>
      <c r="C862" t="s">
        <v>309</v>
      </c>
      <c r="D862" t="s">
        <v>708</v>
      </c>
      <c r="E862">
        <v>14</v>
      </c>
      <c r="F862">
        <v>13</v>
      </c>
      <c r="G862">
        <v>6</v>
      </c>
      <c r="H862">
        <v>7</v>
      </c>
      <c r="I862">
        <v>6</v>
      </c>
      <c r="J862">
        <v>11</v>
      </c>
      <c r="K862">
        <v>15</v>
      </c>
      <c r="L862">
        <v>10</v>
      </c>
      <c r="M862">
        <v>6</v>
      </c>
      <c r="N862">
        <v>20</v>
      </c>
      <c r="O862">
        <v>11</v>
      </c>
      <c r="P862">
        <v>9</v>
      </c>
    </row>
    <row r="863" spans="1:16" x14ac:dyDescent="0.3">
      <c r="A863" t="str">
        <f>Table_Demand___Community_frontsheet[[#This Row],[Name]]&amp;B863</f>
        <v>SunderlandSocial support (including VCS)</v>
      </c>
      <c r="B863" t="str">
        <f>VLOOKUP(Table_Demand___Community_frontsheet[[#This Row],[Service Type]],PathwayLookup!E:F,2,0)</f>
        <v>Social support (including VCS)</v>
      </c>
      <c r="C863" t="s">
        <v>311</v>
      </c>
      <c r="D863" t="s">
        <v>704</v>
      </c>
      <c r="E863">
        <v>172</v>
      </c>
      <c r="F863">
        <v>204</v>
      </c>
      <c r="G863">
        <v>228</v>
      </c>
      <c r="H863">
        <v>204</v>
      </c>
      <c r="I863">
        <v>205</v>
      </c>
      <c r="J863">
        <v>185</v>
      </c>
      <c r="K863">
        <v>187</v>
      </c>
      <c r="L863">
        <v>196</v>
      </c>
      <c r="M863">
        <v>145</v>
      </c>
      <c r="N863">
        <v>238</v>
      </c>
      <c r="O863">
        <v>188</v>
      </c>
      <c r="P863">
        <v>189</v>
      </c>
    </row>
    <row r="864" spans="1:16" x14ac:dyDescent="0.3">
      <c r="A864" t="str">
        <f>Table_Demand___Community_frontsheet[[#This Row],[Name]]&amp;B864</f>
        <v>SunderlandUrgent Community Response</v>
      </c>
      <c r="B864" t="str">
        <f>VLOOKUP(Table_Demand___Community_frontsheet[[#This Row],[Service Type]],PathwayLookup!E:F,2,0)</f>
        <v>Urgent Community Response</v>
      </c>
      <c r="C864" t="s">
        <v>311</v>
      </c>
      <c r="D864" t="s">
        <v>705</v>
      </c>
      <c r="E864">
        <v>495</v>
      </c>
      <c r="F864">
        <v>493</v>
      </c>
      <c r="G864">
        <v>447</v>
      </c>
      <c r="H864">
        <v>428</v>
      </c>
      <c r="I864">
        <v>362</v>
      </c>
      <c r="J864">
        <v>406</v>
      </c>
      <c r="K864">
        <v>475</v>
      </c>
      <c r="L864">
        <v>526</v>
      </c>
      <c r="M864">
        <v>673</v>
      </c>
      <c r="N864">
        <v>620</v>
      </c>
      <c r="O864">
        <v>540</v>
      </c>
      <c r="P864">
        <v>507</v>
      </c>
    </row>
    <row r="865" spans="1:16" x14ac:dyDescent="0.3">
      <c r="A865" t="str">
        <f>Table_Demand___Community_frontsheet[[#This Row],[Name]]&amp;B865</f>
        <v>SunderlandReablement &amp; Rehabilitation at home</v>
      </c>
      <c r="B865" t="str">
        <f>VLOOKUP(Table_Demand___Community_frontsheet[[#This Row],[Service Type]],PathwayLookup!E:F,2,0)</f>
        <v>Reablement &amp; Rehabilitation at home</v>
      </c>
      <c r="C865" t="s">
        <v>311</v>
      </c>
      <c r="D865" t="s">
        <v>720</v>
      </c>
      <c r="E865">
        <v>19</v>
      </c>
      <c r="F865">
        <v>21</v>
      </c>
      <c r="G865">
        <v>20</v>
      </c>
      <c r="H865">
        <v>19</v>
      </c>
      <c r="I865">
        <v>19</v>
      </c>
      <c r="J865">
        <v>20</v>
      </c>
      <c r="K865">
        <v>21</v>
      </c>
      <c r="L865">
        <v>24</v>
      </c>
      <c r="M865">
        <v>26</v>
      </c>
      <c r="N865">
        <v>25</v>
      </c>
      <c r="O865">
        <v>22</v>
      </c>
      <c r="P865">
        <v>24</v>
      </c>
    </row>
    <row r="866" spans="1:16" x14ac:dyDescent="0.3">
      <c r="A866" t="str">
        <f>Table_Demand___Community_frontsheet[[#This Row],[Name]]&amp;B866</f>
        <v>SunderlandReablement &amp; Rehabilitation at home</v>
      </c>
      <c r="B866" t="str">
        <f>VLOOKUP(Table_Demand___Community_frontsheet[[#This Row],[Service Type]],PathwayLookup!E:F,2,0)</f>
        <v>Reablement &amp; Rehabilitation at home</v>
      </c>
      <c r="C866" t="s">
        <v>311</v>
      </c>
      <c r="D866" t="s">
        <v>721</v>
      </c>
    </row>
    <row r="867" spans="1:16" x14ac:dyDescent="0.3">
      <c r="A867" t="str">
        <f>Table_Demand___Community_frontsheet[[#This Row],[Name]]&amp;B867</f>
        <v>SunderlandReablement &amp; Rehabilitation in a bedded setting</v>
      </c>
      <c r="B867" t="str">
        <f>VLOOKUP(Table_Demand___Community_frontsheet[[#This Row],[Service Type]],PathwayLookup!E:F,2,0)</f>
        <v>Reablement &amp; Rehabilitation in a bedded setting</v>
      </c>
      <c r="C867" t="s">
        <v>311</v>
      </c>
      <c r="D867" t="s">
        <v>723</v>
      </c>
      <c r="E867">
        <v>7</v>
      </c>
      <c r="F867">
        <v>9</v>
      </c>
      <c r="G867">
        <v>9</v>
      </c>
      <c r="H867">
        <v>7</v>
      </c>
      <c r="I867">
        <v>7</v>
      </c>
      <c r="J867">
        <v>6</v>
      </c>
      <c r="K867">
        <v>9</v>
      </c>
      <c r="L867">
        <v>9</v>
      </c>
      <c r="M867">
        <v>9</v>
      </c>
      <c r="N867">
        <v>10</v>
      </c>
      <c r="O867">
        <v>6</v>
      </c>
      <c r="P867">
        <v>5</v>
      </c>
    </row>
    <row r="868" spans="1:16" x14ac:dyDescent="0.3">
      <c r="A868" t="str">
        <f>Table_Demand___Community_frontsheet[[#This Row],[Name]]&amp;B868</f>
        <v>SunderlandReablement &amp; Rehabilitation in a bedded setting</v>
      </c>
      <c r="B868" t="str">
        <f>VLOOKUP(Table_Demand___Community_frontsheet[[#This Row],[Service Type]],PathwayLookup!E:F,2,0)</f>
        <v>Reablement &amp; Rehabilitation in a bedded setting</v>
      </c>
      <c r="C868" t="s">
        <v>311</v>
      </c>
      <c r="D868" t="s">
        <v>725</v>
      </c>
    </row>
    <row r="869" spans="1:16" x14ac:dyDescent="0.3">
      <c r="A869" t="str">
        <f>Table_Demand___Community_frontsheet[[#This Row],[Name]]&amp;B869</f>
        <v>SunderlandOther short-term social care</v>
      </c>
      <c r="B869" t="str">
        <f>VLOOKUP(Table_Demand___Community_frontsheet[[#This Row],[Service Type]],PathwayLookup!E:F,2,0)</f>
        <v>Other short-term social care</v>
      </c>
      <c r="C869" t="s">
        <v>311</v>
      </c>
      <c r="D869" t="s">
        <v>708</v>
      </c>
    </row>
    <row r="870" spans="1:16" x14ac:dyDescent="0.3">
      <c r="A870" t="str">
        <f>Table_Demand___Community_frontsheet[[#This Row],[Name]]&amp;B870</f>
        <v>SurreySocial support (including VCS)</v>
      </c>
      <c r="B870" t="str">
        <f>VLOOKUP(Table_Demand___Community_frontsheet[[#This Row],[Service Type]],PathwayLookup!E:F,2,0)</f>
        <v>Social support (including VCS)</v>
      </c>
      <c r="C870" t="s">
        <v>313</v>
      </c>
      <c r="D870" t="s">
        <v>704</v>
      </c>
      <c r="E870">
        <v>11</v>
      </c>
      <c r="F870">
        <v>16</v>
      </c>
      <c r="G870">
        <v>18</v>
      </c>
      <c r="H870">
        <v>20</v>
      </c>
      <c r="I870">
        <v>20</v>
      </c>
      <c r="J870">
        <v>26</v>
      </c>
      <c r="K870">
        <v>29</v>
      </c>
      <c r="L870">
        <v>25</v>
      </c>
      <c r="M870">
        <v>27</v>
      </c>
      <c r="N870">
        <v>24</v>
      </c>
      <c r="O870">
        <v>15</v>
      </c>
      <c r="P870">
        <v>17</v>
      </c>
    </row>
    <row r="871" spans="1:16" x14ac:dyDescent="0.3">
      <c r="A871" t="str">
        <f>Table_Demand___Community_frontsheet[[#This Row],[Name]]&amp;B871</f>
        <v>SurreyUrgent Community Response</v>
      </c>
      <c r="B871" t="str">
        <f>VLOOKUP(Table_Demand___Community_frontsheet[[#This Row],[Service Type]],PathwayLookup!E:F,2,0)</f>
        <v>Urgent Community Response</v>
      </c>
      <c r="C871" t="s">
        <v>313</v>
      </c>
      <c r="D871" t="s">
        <v>705</v>
      </c>
      <c r="E871">
        <v>136</v>
      </c>
      <c r="F871">
        <v>308</v>
      </c>
      <c r="G871">
        <v>367</v>
      </c>
      <c r="H871">
        <v>448</v>
      </c>
      <c r="I871">
        <v>407</v>
      </c>
      <c r="J871">
        <v>581</v>
      </c>
      <c r="K871">
        <v>614</v>
      </c>
      <c r="L871">
        <v>519</v>
      </c>
      <c r="M871">
        <v>617</v>
      </c>
      <c r="N871">
        <v>431</v>
      </c>
      <c r="O871">
        <v>247</v>
      </c>
      <c r="P871">
        <v>345</v>
      </c>
    </row>
    <row r="872" spans="1:16" x14ac:dyDescent="0.3">
      <c r="A872" t="str">
        <f>Table_Demand___Community_frontsheet[[#This Row],[Name]]&amp;B872</f>
        <v>SurreyReablement &amp; Rehabilitation at home</v>
      </c>
      <c r="B872" t="str">
        <f>VLOOKUP(Table_Demand___Community_frontsheet[[#This Row],[Service Type]],PathwayLookup!E:F,2,0)</f>
        <v>Reablement &amp; Rehabilitation at home</v>
      </c>
      <c r="C872" t="s">
        <v>313</v>
      </c>
      <c r="D872" t="s">
        <v>720</v>
      </c>
      <c r="E872">
        <v>43</v>
      </c>
      <c r="F872">
        <v>61</v>
      </c>
      <c r="G872">
        <v>71</v>
      </c>
      <c r="H872">
        <v>81</v>
      </c>
      <c r="I872">
        <v>136</v>
      </c>
      <c r="J872">
        <v>163</v>
      </c>
      <c r="K872">
        <v>205</v>
      </c>
      <c r="L872">
        <v>169</v>
      </c>
      <c r="M872">
        <v>202</v>
      </c>
      <c r="N872">
        <v>208</v>
      </c>
      <c r="O872">
        <v>178</v>
      </c>
      <c r="P872">
        <v>139</v>
      </c>
    </row>
    <row r="873" spans="1:16" x14ac:dyDescent="0.3">
      <c r="A873" t="str">
        <f>Table_Demand___Community_frontsheet[[#This Row],[Name]]&amp;B873</f>
        <v>SurreyReablement &amp; Rehabilitation at home</v>
      </c>
      <c r="B873" t="str">
        <f>VLOOKUP(Table_Demand___Community_frontsheet[[#This Row],[Service Type]],PathwayLookup!E:F,2,0)</f>
        <v>Reablement &amp; Rehabilitation at home</v>
      </c>
      <c r="C873" t="s">
        <v>313</v>
      </c>
      <c r="D873" t="s">
        <v>721</v>
      </c>
      <c r="E873">
        <v>0</v>
      </c>
      <c r="F873">
        <v>0</v>
      </c>
      <c r="G873">
        <v>0</v>
      </c>
      <c r="H873">
        <v>0</v>
      </c>
      <c r="I873">
        <v>0</v>
      </c>
      <c r="J873">
        <v>0</v>
      </c>
      <c r="K873">
        <v>0</v>
      </c>
      <c r="L873">
        <v>0</v>
      </c>
      <c r="M873">
        <v>0</v>
      </c>
      <c r="N873">
        <v>0</v>
      </c>
      <c r="O873">
        <v>0</v>
      </c>
      <c r="P873">
        <v>0</v>
      </c>
    </row>
    <row r="874" spans="1:16" x14ac:dyDescent="0.3">
      <c r="A874" t="str">
        <f>Table_Demand___Community_frontsheet[[#This Row],[Name]]&amp;B874</f>
        <v>SurreyReablement &amp; Rehabilitation in a bedded setting</v>
      </c>
      <c r="B874" t="str">
        <f>VLOOKUP(Table_Demand___Community_frontsheet[[#This Row],[Service Type]],PathwayLookup!E:F,2,0)</f>
        <v>Reablement &amp; Rehabilitation in a bedded setting</v>
      </c>
      <c r="C874" t="s">
        <v>313</v>
      </c>
      <c r="D874" t="s">
        <v>723</v>
      </c>
      <c r="E874">
        <v>0</v>
      </c>
      <c r="F874">
        <v>0</v>
      </c>
      <c r="G874">
        <v>0</v>
      </c>
      <c r="H874">
        <v>0</v>
      </c>
      <c r="I874">
        <v>0</v>
      </c>
      <c r="J874">
        <v>0</v>
      </c>
      <c r="K874">
        <v>0</v>
      </c>
      <c r="L874">
        <v>0</v>
      </c>
      <c r="M874">
        <v>0</v>
      </c>
      <c r="N874">
        <v>0</v>
      </c>
      <c r="O874">
        <v>0</v>
      </c>
      <c r="P874">
        <v>0</v>
      </c>
    </row>
    <row r="875" spans="1:16" x14ac:dyDescent="0.3">
      <c r="A875" t="str">
        <f>Table_Demand___Community_frontsheet[[#This Row],[Name]]&amp;B875</f>
        <v>SurreyReablement &amp; Rehabilitation in a bedded setting</v>
      </c>
      <c r="B875" t="str">
        <f>VLOOKUP(Table_Demand___Community_frontsheet[[#This Row],[Service Type]],PathwayLookup!E:F,2,0)</f>
        <v>Reablement &amp; Rehabilitation in a bedded setting</v>
      </c>
      <c r="C875" t="s">
        <v>313</v>
      </c>
      <c r="D875" t="s">
        <v>725</v>
      </c>
      <c r="E875">
        <v>2</v>
      </c>
      <c r="F875">
        <v>3</v>
      </c>
      <c r="G875">
        <v>5</v>
      </c>
      <c r="H875">
        <v>7</v>
      </c>
      <c r="I875">
        <v>1</v>
      </c>
      <c r="J875">
        <v>5</v>
      </c>
      <c r="K875">
        <v>5</v>
      </c>
      <c r="L875">
        <v>0</v>
      </c>
      <c r="M875">
        <v>4</v>
      </c>
      <c r="N875">
        <v>6</v>
      </c>
      <c r="O875">
        <v>3</v>
      </c>
      <c r="P875">
        <v>2</v>
      </c>
    </row>
    <row r="876" spans="1:16" x14ac:dyDescent="0.3">
      <c r="A876" t="str">
        <f>Table_Demand___Community_frontsheet[[#This Row],[Name]]&amp;B876</f>
        <v>SurreyOther short-term social care</v>
      </c>
      <c r="B876" t="str">
        <f>VLOOKUP(Table_Demand___Community_frontsheet[[#This Row],[Service Type]],PathwayLookup!E:F,2,0)</f>
        <v>Other short-term social care</v>
      </c>
      <c r="C876" t="s">
        <v>313</v>
      </c>
      <c r="D876" t="s">
        <v>708</v>
      </c>
      <c r="E876">
        <v>156</v>
      </c>
      <c r="F876">
        <v>150</v>
      </c>
      <c r="G876">
        <v>132</v>
      </c>
      <c r="H876">
        <v>122</v>
      </c>
      <c r="I876">
        <v>112</v>
      </c>
      <c r="J876">
        <v>113</v>
      </c>
      <c r="K876">
        <v>111</v>
      </c>
      <c r="L876">
        <v>125</v>
      </c>
      <c r="M876">
        <v>76</v>
      </c>
      <c r="N876">
        <v>140</v>
      </c>
      <c r="O876">
        <v>68</v>
      </c>
      <c r="P876">
        <v>60</v>
      </c>
    </row>
    <row r="877" spans="1:16" x14ac:dyDescent="0.3">
      <c r="A877" t="str">
        <f>Table_Demand___Community_frontsheet[[#This Row],[Name]]&amp;B877</f>
        <v>SuttonSocial support (including VCS)</v>
      </c>
      <c r="B877" t="str">
        <f>VLOOKUP(Table_Demand___Community_frontsheet[[#This Row],[Service Type]],PathwayLookup!E:F,2,0)</f>
        <v>Social support (including VCS)</v>
      </c>
      <c r="C877" t="s">
        <v>315</v>
      </c>
      <c r="D877" t="s">
        <v>704</v>
      </c>
      <c r="E877">
        <v>0</v>
      </c>
      <c r="F877">
        <v>0</v>
      </c>
      <c r="G877">
        <v>0</v>
      </c>
      <c r="H877">
        <v>0</v>
      </c>
      <c r="I877">
        <v>0</v>
      </c>
      <c r="J877">
        <v>0</v>
      </c>
      <c r="K877">
        <v>0</v>
      </c>
      <c r="L877">
        <v>0</v>
      </c>
      <c r="M877">
        <v>0</v>
      </c>
      <c r="N877">
        <v>0</v>
      </c>
      <c r="O877">
        <v>0</v>
      </c>
      <c r="P877">
        <v>0</v>
      </c>
    </row>
    <row r="878" spans="1:16" x14ac:dyDescent="0.3">
      <c r="A878" t="str">
        <f>Table_Demand___Community_frontsheet[[#This Row],[Name]]&amp;B878</f>
        <v>SuttonUrgent Community Response</v>
      </c>
      <c r="B878" t="str">
        <f>VLOOKUP(Table_Demand___Community_frontsheet[[#This Row],[Service Type]],PathwayLookup!E:F,2,0)</f>
        <v>Urgent Community Response</v>
      </c>
      <c r="C878" t="s">
        <v>315</v>
      </c>
      <c r="D878" t="s">
        <v>705</v>
      </c>
      <c r="E878">
        <v>250</v>
      </c>
      <c r="F878">
        <v>280</v>
      </c>
      <c r="G878">
        <v>300</v>
      </c>
      <c r="H878">
        <v>315</v>
      </c>
      <c r="I878">
        <v>330</v>
      </c>
      <c r="J878">
        <v>360</v>
      </c>
      <c r="K878">
        <v>380</v>
      </c>
      <c r="L878">
        <v>400</v>
      </c>
      <c r="M878">
        <v>420</v>
      </c>
      <c r="N878">
        <v>430</v>
      </c>
      <c r="O878">
        <v>450</v>
      </c>
      <c r="P878">
        <v>450</v>
      </c>
    </row>
    <row r="879" spans="1:16" x14ac:dyDescent="0.3">
      <c r="A879" t="str">
        <f>Table_Demand___Community_frontsheet[[#This Row],[Name]]&amp;B879</f>
        <v>SuttonReablement &amp; Rehabilitation at home</v>
      </c>
      <c r="B879" t="str">
        <f>VLOOKUP(Table_Demand___Community_frontsheet[[#This Row],[Service Type]],PathwayLookup!E:F,2,0)</f>
        <v>Reablement &amp; Rehabilitation at home</v>
      </c>
      <c r="C879" t="s">
        <v>315</v>
      </c>
      <c r="D879" t="s">
        <v>720</v>
      </c>
      <c r="E879">
        <v>45</v>
      </c>
      <c r="F879">
        <v>53</v>
      </c>
      <c r="G879">
        <v>52</v>
      </c>
      <c r="H879">
        <v>51</v>
      </c>
      <c r="I879">
        <v>45</v>
      </c>
      <c r="J879">
        <v>43</v>
      </c>
      <c r="K879">
        <v>46</v>
      </c>
      <c r="L879">
        <v>46</v>
      </c>
      <c r="M879">
        <v>48</v>
      </c>
      <c r="N879">
        <v>36</v>
      </c>
      <c r="O879">
        <v>47</v>
      </c>
      <c r="P879">
        <v>39</v>
      </c>
    </row>
    <row r="880" spans="1:16" x14ac:dyDescent="0.3">
      <c r="A880" t="str">
        <f>Table_Demand___Community_frontsheet[[#This Row],[Name]]&amp;B880</f>
        <v>SuttonReablement &amp; Rehabilitation at home</v>
      </c>
      <c r="B880" t="str">
        <f>VLOOKUP(Table_Demand___Community_frontsheet[[#This Row],[Service Type]],PathwayLookup!E:F,2,0)</f>
        <v>Reablement &amp; Rehabilitation at home</v>
      </c>
      <c r="C880" t="s">
        <v>315</v>
      </c>
      <c r="D880" t="s">
        <v>721</v>
      </c>
      <c r="E880">
        <v>0</v>
      </c>
      <c r="F880">
        <v>0</v>
      </c>
      <c r="G880">
        <v>0</v>
      </c>
      <c r="H880">
        <v>0</v>
      </c>
      <c r="I880">
        <v>0</v>
      </c>
      <c r="J880">
        <v>0</v>
      </c>
      <c r="K880">
        <v>0</v>
      </c>
      <c r="L880">
        <v>0</v>
      </c>
      <c r="M880">
        <v>0</v>
      </c>
      <c r="N880">
        <v>0</v>
      </c>
      <c r="O880">
        <v>0</v>
      </c>
      <c r="P880">
        <v>0</v>
      </c>
    </row>
    <row r="881" spans="1:16" x14ac:dyDescent="0.3">
      <c r="A881" t="str">
        <f>Table_Demand___Community_frontsheet[[#This Row],[Name]]&amp;B881</f>
        <v>SuttonReablement &amp; Rehabilitation in a bedded setting</v>
      </c>
      <c r="B881" t="str">
        <f>VLOOKUP(Table_Demand___Community_frontsheet[[#This Row],[Service Type]],PathwayLookup!E:F,2,0)</f>
        <v>Reablement &amp; Rehabilitation in a bedded setting</v>
      </c>
      <c r="C881" t="s">
        <v>315</v>
      </c>
      <c r="D881" t="s">
        <v>723</v>
      </c>
      <c r="E881">
        <v>0</v>
      </c>
      <c r="F881">
        <v>0</v>
      </c>
      <c r="G881">
        <v>0</v>
      </c>
      <c r="H881">
        <v>0</v>
      </c>
      <c r="I881">
        <v>0</v>
      </c>
      <c r="J881">
        <v>0</v>
      </c>
      <c r="K881">
        <v>0</v>
      </c>
      <c r="L881">
        <v>0</v>
      </c>
      <c r="M881">
        <v>0</v>
      </c>
      <c r="N881">
        <v>0</v>
      </c>
      <c r="O881">
        <v>0</v>
      </c>
      <c r="P881">
        <v>0</v>
      </c>
    </row>
    <row r="882" spans="1:16" x14ac:dyDescent="0.3">
      <c r="A882" t="str">
        <f>Table_Demand___Community_frontsheet[[#This Row],[Name]]&amp;B882</f>
        <v>SuttonReablement &amp; Rehabilitation in a bedded setting</v>
      </c>
      <c r="B882" t="str">
        <f>VLOOKUP(Table_Demand___Community_frontsheet[[#This Row],[Service Type]],PathwayLookup!E:F,2,0)</f>
        <v>Reablement &amp; Rehabilitation in a bedded setting</v>
      </c>
      <c r="C882" t="s">
        <v>315</v>
      </c>
      <c r="D882" t="s">
        <v>725</v>
      </c>
      <c r="E882">
        <v>2</v>
      </c>
      <c r="F882">
        <v>2</v>
      </c>
      <c r="G882">
        <v>2</v>
      </c>
      <c r="H882">
        <v>2</v>
      </c>
      <c r="I882">
        <v>2</v>
      </c>
      <c r="J882">
        <v>2</v>
      </c>
      <c r="K882">
        <v>4</v>
      </c>
      <c r="L882">
        <v>4</v>
      </c>
      <c r="M882">
        <v>4</v>
      </c>
      <c r="N882">
        <v>4</v>
      </c>
      <c r="O882">
        <v>4</v>
      </c>
      <c r="P882">
        <v>4</v>
      </c>
    </row>
    <row r="883" spans="1:16" x14ac:dyDescent="0.3">
      <c r="A883" t="str">
        <f>Table_Demand___Community_frontsheet[[#This Row],[Name]]&amp;B883</f>
        <v>SuttonOther short-term social care</v>
      </c>
      <c r="B883" t="str">
        <f>VLOOKUP(Table_Demand___Community_frontsheet[[#This Row],[Service Type]],PathwayLookup!E:F,2,0)</f>
        <v>Other short-term social care</v>
      </c>
      <c r="C883" t="s">
        <v>315</v>
      </c>
      <c r="D883" t="s">
        <v>708</v>
      </c>
      <c r="E883">
        <v>12.6</v>
      </c>
      <c r="F883">
        <v>12.6</v>
      </c>
      <c r="G883">
        <v>12.6</v>
      </c>
      <c r="H883">
        <v>12.6</v>
      </c>
      <c r="I883">
        <v>12.6</v>
      </c>
      <c r="J883">
        <v>12.6</v>
      </c>
      <c r="K883">
        <v>12.6</v>
      </c>
      <c r="L883">
        <v>12.6</v>
      </c>
      <c r="M883">
        <v>12.6</v>
      </c>
      <c r="N883">
        <v>12.6</v>
      </c>
      <c r="O883">
        <v>12.6</v>
      </c>
      <c r="P883">
        <v>12.6</v>
      </c>
    </row>
    <row r="884" spans="1:16" x14ac:dyDescent="0.3">
      <c r="A884" t="str">
        <f>Table_Demand___Community_frontsheet[[#This Row],[Name]]&amp;B884</f>
        <v>SwindonSocial support (including VCS)</v>
      </c>
      <c r="B884" t="str">
        <f>VLOOKUP(Table_Demand___Community_frontsheet[[#This Row],[Service Type]],PathwayLookup!E:F,2,0)</f>
        <v>Social support (including VCS)</v>
      </c>
      <c r="C884" t="s">
        <v>317</v>
      </c>
      <c r="D884" t="s">
        <v>704</v>
      </c>
      <c r="E884">
        <v>0</v>
      </c>
      <c r="F884">
        <v>0</v>
      </c>
      <c r="G884">
        <v>0</v>
      </c>
      <c r="H884">
        <v>0</v>
      </c>
      <c r="I884">
        <v>0</v>
      </c>
      <c r="J884">
        <v>0</v>
      </c>
      <c r="K884">
        <v>0</v>
      </c>
      <c r="L884">
        <v>0</v>
      </c>
      <c r="M884">
        <v>0</v>
      </c>
      <c r="N884">
        <v>0</v>
      </c>
      <c r="O884">
        <v>0</v>
      </c>
      <c r="P884">
        <v>0</v>
      </c>
    </row>
    <row r="885" spans="1:16" x14ac:dyDescent="0.3">
      <c r="A885" t="str">
        <f>Table_Demand___Community_frontsheet[[#This Row],[Name]]&amp;B885</f>
        <v>SwindonUrgent Community Response</v>
      </c>
      <c r="B885" t="str">
        <f>VLOOKUP(Table_Demand___Community_frontsheet[[#This Row],[Service Type]],PathwayLookup!E:F,2,0)</f>
        <v>Urgent Community Response</v>
      </c>
      <c r="C885" t="s">
        <v>317</v>
      </c>
      <c r="D885" t="s">
        <v>705</v>
      </c>
      <c r="E885">
        <v>639</v>
      </c>
      <c r="F885">
        <v>751</v>
      </c>
      <c r="G885">
        <v>703</v>
      </c>
      <c r="H885">
        <v>781</v>
      </c>
      <c r="I885">
        <v>988</v>
      </c>
      <c r="J885">
        <v>804</v>
      </c>
      <c r="K885">
        <v>941</v>
      </c>
      <c r="L885">
        <v>969</v>
      </c>
      <c r="M885">
        <v>1100</v>
      </c>
      <c r="N885">
        <v>1117</v>
      </c>
      <c r="O885">
        <v>934</v>
      </c>
      <c r="P885">
        <v>974</v>
      </c>
    </row>
    <row r="886" spans="1:16" x14ac:dyDescent="0.3">
      <c r="A886" t="str">
        <f>Table_Demand___Community_frontsheet[[#This Row],[Name]]&amp;B886</f>
        <v>SwindonReablement &amp; Rehabilitation at home</v>
      </c>
      <c r="B886" t="str">
        <f>VLOOKUP(Table_Demand___Community_frontsheet[[#This Row],[Service Type]],PathwayLookup!E:F,2,0)</f>
        <v>Reablement &amp; Rehabilitation at home</v>
      </c>
      <c r="C886" t="s">
        <v>317</v>
      </c>
      <c r="D886" t="s">
        <v>720</v>
      </c>
      <c r="E886">
        <v>16</v>
      </c>
      <c r="F886">
        <v>16</v>
      </c>
      <c r="G886">
        <v>20</v>
      </c>
      <c r="H886">
        <v>22</v>
      </c>
      <c r="I886">
        <v>23</v>
      </c>
      <c r="J886">
        <v>23</v>
      </c>
      <c r="K886">
        <v>23</v>
      </c>
      <c r="L886">
        <v>23</v>
      </c>
      <c r="M886">
        <v>23</v>
      </c>
      <c r="N886">
        <v>23</v>
      </c>
      <c r="O886">
        <v>23</v>
      </c>
      <c r="P886">
        <v>23</v>
      </c>
    </row>
    <row r="887" spans="1:16" x14ac:dyDescent="0.3">
      <c r="A887" t="str">
        <f>Table_Demand___Community_frontsheet[[#This Row],[Name]]&amp;B887</f>
        <v>SwindonReablement &amp; Rehabilitation at home</v>
      </c>
      <c r="B887" t="str">
        <f>VLOOKUP(Table_Demand___Community_frontsheet[[#This Row],[Service Type]],PathwayLookup!E:F,2,0)</f>
        <v>Reablement &amp; Rehabilitation at home</v>
      </c>
      <c r="C887" t="s">
        <v>317</v>
      </c>
      <c r="D887" t="s">
        <v>721</v>
      </c>
      <c r="E887">
        <v>195</v>
      </c>
      <c r="F887">
        <v>223</v>
      </c>
      <c r="G887">
        <v>212</v>
      </c>
      <c r="H887">
        <v>229</v>
      </c>
      <c r="I887">
        <v>251</v>
      </c>
      <c r="J887">
        <v>276</v>
      </c>
      <c r="K887">
        <v>211</v>
      </c>
      <c r="L887">
        <v>236</v>
      </c>
      <c r="M887">
        <v>211</v>
      </c>
      <c r="N887">
        <v>241</v>
      </c>
      <c r="O887">
        <v>222</v>
      </c>
      <c r="P887">
        <v>270</v>
      </c>
    </row>
    <row r="888" spans="1:16" x14ac:dyDescent="0.3">
      <c r="A888" t="str">
        <f>Table_Demand___Community_frontsheet[[#This Row],[Name]]&amp;B888</f>
        <v>SwindonReablement &amp; Rehabilitation in a bedded setting</v>
      </c>
      <c r="B888" t="str">
        <f>VLOOKUP(Table_Demand___Community_frontsheet[[#This Row],[Service Type]],PathwayLookup!E:F,2,0)</f>
        <v>Reablement &amp; Rehabilitation in a bedded setting</v>
      </c>
      <c r="C888" t="s">
        <v>317</v>
      </c>
      <c r="D888" t="s">
        <v>723</v>
      </c>
      <c r="E888">
        <v>1</v>
      </c>
      <c r="F888">
        <v>1</v>
      </c>
      <c r="G888">
        <v>1</v>
      </c>
      <c r="H888">
        <v>1</v>
      </c>
      <c r="I888">
        <v>1</v>
      </c>
      <c r="J888">
        <v>1</v>
      </c>
      <c r="K888">
        <v>1</v>
      </c>
      <c r="L888">
        <v>1</v>
      </c>
      <c r="M888">
        <v>1</v>
      </c>
      <c r="N888">
        <v>1</v>
      </c>
      <c r="O888">
        <v>1</v>
      </c>
      <c r="P888">
        <v>1</v>
      </c>
    </row>
    <row r="889" spans="1:16" x14ac:dyDescent="0.3">
      <c r="A889" t="str">
        <f>Table_Demand___Community_frontsheet[[#This Row],[Name]]&amp;B889</f>
        <v>SwindonReablement &amp; Rehabilitation in a bedded setting</v>
      </c>
      <c r="B889" t="str">
        <f>VLOOKUP(Table_Demand___Community_frontsheet[[#This Row],[Service Type]],PathwayLookup!E:F,2,0)</f>
        <v>Reablement &amp; Rehabilitation in a bedded setting</v>
      </c>
      <c r="C889" t="s">
        <v>317</v>
      </c>
      <c r="D889" t="s">
        <v>725</v>
      </c>
      <c r="E889">
        <v>0</v>
      </c>
      <c r="F889">
        <v>0</v>
      </c>
      <c r="G889">
        <v>0</v>
      </c>
      <c r="H889">
        <v>0</v>
      </c>
      <c r="I889">
        <v>0</v>
      </c>
      <c r="J889">
        <v>0</v>
      </c>
      <c r="K889">
        <v>0</v>
      </c>
      <c r="L889">
        <v>0</v>
      </c>
      <c r="M889">
        <v>0</v>
      </c>
      <c r="N889">
        <v>0</v>
      </c>
      <c r="O889">
        <v>0</v>
      </c>
      <c r="P889">
        <v>0</v>
      </c>
    </row>
    <row r="890" spans="1:16" x14ac:dyDescent="0.3">
      <c r="A890" t="str">
        <f>Table_Demand___Community_frontsheet[[#This Row],[Name]]&amp;B890</f>
        <v>SwindonOther short-term social care</v>
      </c>
      <c r="B890" t="str">
        <f>VLOOKUP(Table_Demand___Community_frontsheet[[#This Row],[Service Type]],PathwayLookup!E:F,2,0)</f>
        <v>Other short-term social care</v>
      </c>
      <c r="C890" t="s">
        <v>317</v>
      </c>
      <c r="D890" t="s">
        <v>708</v>
      </c>
      <c r="E890">
        <v>40</v>
      </c>
      <c r="F890">
        <v>40</v>
      </c>
      <c r="G890">
        <v>40</v>
      </c>
      <c r="H890">
        <v>40</v>
      </c>
      <c r="I890">
        <v>40</v>
      </c>
      <c r="J890">
        <v>40</v>
      </c>
      <c r="K890">
        <v>40</v>
      </c>
      <c r="L890">
        <v>40</v>
      </c>
      <c r="M890">
        <v>40</v>
      </c>
      <c r="N890">
        <v>40</v>
      </c>
      <c r="O890">
        <v>40</v>
      </c>
      <c r="P890">
        <v>40</v>
      </c>
    </row>
    <row r="891" spans="1:16" x14ac:dyDescent="0.3">
      <c r="A891" t="str">
        <f>Table_Demand___Community_frontsheet[[#This Row],[Name]]&amp;B891</f>
        <v>TamesideSocial support (including VCS)</v>
      </c>
      <c r="B891" t="str">
        <f>VLOOKUP(Table_Demand___Community_frontsheet[[#This Row],[Service Type]],PathwayLookup!E:F,2,0)</f>
        <v>Social support (including VCS)</v>
      </c>
      <c r="C891" t="s">
        <v>319</v>
      </c>
      <c r="D891" t="s">
        <v>704</v>
      </c>
      <c r="E891">
        <v>33</v>
      </c>
      <c r="F891">
        <v>33</v>
      </c>
      <c r="G891">
        <v>33</v>
      </c>
      <c r="H891">
        <v>33</v>
      </c>
      <c r="I891">
        <v>33</v>
      </c>
      <c r="J891">
        <v>33</v>
      </c>
      <c r="K891">
        <v>33</v>
      </c>
      <c r="L891">
        <v>33</v>
      </c>
      <c r="M891">
        <v>33</v>
      </c>
      <c r="N891">
        <v>33</v>
      </c>
      <c r="O891">
        <v>33</v>
      </c>
      <c r="P891">
        <v>33</v>
      </c>
    </row>
    <row r="892" spans="1:16" x14ac:dyDescent="0.3">
      <c r="A892" t="str">
        <f>Table_Demand___Community_frontsheet[[#This Row],[Name]]&amp;B892</f>
        <v>TamesideUrgent Community Response</v>
      </c>
      <c r="B892" t="str">
        <f>VLOOKUP(Table_Demand___Community_frontsheet[[#This Row],[Service Type]],PathwayLookup!E:F,2,0)</f>
        <v>Urgent Community Response</v>
      </c>
      <c r="C892" t="s">
        <v>319</v>
      </c>
      <c r="D892" t="s">
        <v>705</v>
      </c>
      <c r="E892">
        <v>149</v>
      </c>
      <c r="F892">
        <v>150</v>
      </c>
      <c r="G892">
        <v>153</v>
      </c>
      <c r="H892">
        <v>165</v>
      </c>
      <c r="I892">
        <v>155</v>
      </c>
      <c r="J892">
        <v>160</v>
      </c>
      <c r="K892">
        <v>164</v>
      </c>
      <c r="L892">
        <v>170</v>
      </c>
      <c r="M892">
        <v>176</v>
      </c>
      <c r="N892">
        <v>181</v>
      </c>
      <c r="O892">
        <v>164</v>
      </c>
      <c r="P892">
        <v>171</v>
      </c>
    </row>
    <row r="893" spans="1:16" x14ac:dyDescent="0.3">
      <c r="A893" t="str">
        <f>Table_Demand___Community_frontsheet[[#This Row],[Name]]&amp;B893</f>
        <v>TamesideReablement &amp; Rehabilitation at home</v>
      </c>
      <c r="B893" t="str">
        <f>VLOOKUP(Table_Demand___Community_frontsheet[[#This Row],[Service Type]],PathwayLookup!E:F,2,0)</f>
        <v>Reablement &amp; Rehabilitation at home</v>
      </c>
      <c r="C893" t="s">
        <v>319</v>
      </c>
      <c r="D893" t="s">
        <v>720</v>
      </c>
      <c r="E893">
        <v>0</v>
      </c>
      <c r="F893">
        <v>0</v>
      </c>
      <c r="G893">
        <v>0</v>
      </c>
      <c r="H893">
        <v>0</v>
      </c>
      <c r="I893">
        <v>0</v>
      </c>
      <c r="J893">
        <v>0</v>
      </c>
      <c r="K893">
        <v>0</v>
      </c>
      <c r="L893">
        <v>0</v>
      </c>
      <c r="M893">
        <v>0</v>
      </c>
      <c r="N893">
        <v>0</v>
      </c>
      <c r="O893">
        <v>0</v>
      </c>
      <c r="P893">
        <v>0</v>
      </c>
    </row>
    <row r="894" spans="1:16" x14ac:dyDescent="0.3">
      <c r="A894" t="str">
        <f>Table_Demand___Community_frontsheet[[#This Row],[Name]]&amp;B894</f>
        <v>TamesideReablement &amp; Rehabilitation at home</v>
      </c>
      <c r="B894" t="str">
        <f>VLOOKUP(Table_Demand___Community_frontsheet[[#This Row],[Service Type]],PathwayLookup!E:F,2,0)</f>
        <v>Reablement &amp; Rehabilitation at home</v>
      </c>
      <c r="C894" t="s">
        <v>319</v>
      </c>
      <c r="D894" t="s">
        <v>721</v>
      </c>
      <c r="E894">
        <v>34</v>
      </c>
      <c r="F894">
        <v>20</v>
      </c>
      <c r="G894">
        <v>17</v>
      </c>
      <c r="H894">
        <v>45</v>
      </c>
      <c r="I894">
        <v>49</v>
      </c>
      <c r="J894">
        <v>27</v>
      </c>
      <c r="K894">
        <v>21</v>
      </c>
      <c r="L894">
        <v>21</v>
      </c>
      <c r="M894">
        <v>19</v>
      </c>
      <c r="N894">
        <v>34</v>
      </c>
      <c r="O894">
        <v>33</v>
      </c>
      <c r="P894">
        <v>36</v>
      </c>
    </row>
    <row r="895" spans="1:16" x14ac:dyDescent="0.3">
      <c r="A895" t="str">
        <f>Table_Demand___Community_frontsheet[[#This Row],[Name]]&amp;B895</f>
        <v>TamesideReablement &amp; Rehabilitation in a bedded setting</v>
      </c>
      <c r="B895" t="str">
        <f>VLOOKUP(Table_Demand___Community_frontsheet[[#This Row],[Service Type]],PathwayLookup!E:F,2,0)</f>
        <v>Reablement &amp; Rehabilitation in a bedded setting</v>
      </c>
      <c r="C895" t="s">
        <v>319</v>
      </c>
      <c r="D895" t="s">
        <v>723</v>
      </c>
      <c r="E895">
        <v>0</v>
      </c>
      <c r="F895">
        <v>0</v>
      </c>
      <c r="G895">
        <v>0</v>
      </c>
      <c r="H895">
        <v>0</v>
      </c>
      <c r="I895">
        <v>0</v>
      </c>
      <c r="J895">
        <v>0</v>
      </c>
      <c r="K895">
        <v>0</v>
      </c>
      <c r="L895">
        <v>0</v>
      </c>
      <c r="M895">
        <v>0</v>
      </c>
      <c r="N895">
        <v>0</v>
      </c>
      <c r="O895">
        <v>0</v>
      </c>
      <c r="P895">
        <v>0</v>
      </c>
    </row>
    <row r="896" spans="1:16" x14ac:dyDescent="0.3">
      <c r="A896" t="str">
        <f>Table_Demand___Community_frontsheet[[#This Row],[Name]]&amp;B896</f>
        <v>TamesideReablement &amp; Rehabilitation in a bedded setting</v>
      </c>
      <c r="B896" t="str">
        <f>VLOOKUP(Table_Demand___Community_frontsheet[[#This Row],[Service Type]],PathwayLookup!E:F,2,0)</f>
        <v>Reablement &amp; Rehabilitation in a bedded setting</v>
      </c>
      <c r="C896" t="s">
        <v>319</v>
      </c>
      <c r="D896" t="s">
        <v>725</v>
      </c>
      <c r="E896">
        <v>0</v>
      </c>
      <c r="F896">
        <v>0</v>
      </c>
      <c r="G896">
        <v>0</v>
      </c>
      <c r="H896">
        <v>0</v>
      </c>
      <c r="I896">
        <v>0</v>
      </c>
      <c r="J896">
        <v>0</v>
      </c>
      <c r="K896">
        <v>0</v>
      </c>
      <c r="L896">
        <v>0</v>
      </c>
      <c r="M896">
        <v>0</v>
      </c>
      <c r="N896">
        <v>0</v>
      </c>
      <c r="O896">
        <v>0</v>
      </c>
      <c r="P896">
        <v>0</v>
      </c>
    </row>
    <row r="897" spans="1:16" x14ac:dyDescent="0.3">
      <c r="A897" t="str">
        <f>Table_Demand___Community_frontsheet[[#This Row],[Name]]&amp;B897</f>
        <v>TamesideOther short-term social care</v>
      </c>
      <c r="B897" t="str">
        <f>VLOOKUP(Table_Demand___Community_frontsheet[[#This Row],[Service Type]],PathwayLookup!E:F,2,0)</f>
        <v>Other short-term social care</v>
      </c>
      <c r="C897" t="s">
        <v>319</v>
      </c>
      <c r="D897" t="s">
        <v>708</v>
      </c>
      <c r="E897">
        <v>12</v>
      </c>
      <c r="F897">
        <v>12</v>
      </c>
      <c r="G897">
        <v>13</v>
      </c>
      <c r="H897">
        <v>13</v>
      </c>
      <c r="I897">
        <v>13</v>
      </c>
      <c r="J897">
        <v>13</v>
      </c>
      <c r="K897">
        <v>13</v>
      </c>
      <c r="L897">
        <v>13</v>
      </c>
      <c r="M897">
        <v>13</v>
      </c>
      <c r="N897">
        <v>13</v>
      </c>
      <c r="O897">
        <v>13</v>
      </c>
      <c r="P897">
        <v>13</v>
      </c>
    </row>
    <row r="898" spans="1:16" x14ac:dyDescent="0.3">
      <c r="A898" t="str">
        <f>Table_Demand___Community_frontsheet[[#This Row],[Name]]&amp;B898</f>
        <v>Telford and WrekinSocial support (including VCS)</v>
      </c>
      <c r="B898" t="str">
        <f>VLOOKUP(Table_Demand___Community_frontsheet[[#This Row],[Service Type]],PathwayLookup!E:F,2,0)</f>
        <v>Social support (including VCS)</v>
      </c>
      <c r="C898" t="s">
        <v>321</v>
      </c>
      <c r="D898" t="s">
        <v>704</v>
      </c>
    </row>
    <row r="899" spans="1:16" x14ac:dyDescent="0.3">
      <c r="A899" t="str">
        <f>Table_Demand___Community_frontsheet[[#This Row],[Name]]&amp;B899</f>
        <v>Telford and WrekinUrgent Community Response</v>
      </c>
      <c r="B899" t="str">
        <f>VLOOKUP(Table_Demand___Community_frontsheet[[#This Row],[Service Type]],PathwayLookup!E:F,2,0)</f>
        <v>Urgent Community Response</v>
      </c>
      <c r="C899" t="s">
        <v>321</v>
      </c>
      <c r="D899" t="s">
        <v>705</v>
      </c>
      <c r="E899">
        <v>50</v>
      </c>
      <c r="F899">
        <v>50</v>
      </c>
      <c r="G899">
        <v>50</v>
      </c>
      <c r="H899">
        <v>50</v>
      </c>
      <c r="I899">
        <v>50</v>
      </c>
      <c r="J899">
        <v>50</v>
      </c>
      <c r="K899">
        <v>50</v>
      </c>
      <c r="L899">
        <v>50</v>
      </c>
      <c r="M899">
        <v>50</v>
      </c>
      <c r="N899">
        <v>50</v>
      </c>
      <c r="O899">
        <v>50</v>
      </c>
      <c r="P899">
        <v>50</v>
      </c>
    </row>
    <row r="900" spans="1:16" x14ac:dyDescent="0.3">
      <c r="A900" t="str">
        <f>Table_Demand___Community_frontsheet[[#This Row],[Name]]&amp;B900</f>
        <v>Telford and WrekinReablement &amp; Rehabilitation at home</v>
      </c>
      <c r="B900" t="str">
        <f>VLOOKUP(Table_Demand___Community_frontsheet[[#This Row],[Service Type]],PathwayLookup!E:F,2,0)</f>
        <v>Reablement &amp; Rehabilitation at home</v>
      </c>
      <c r="C900" t="s">
        <v>321</v>
      </c>
      <c r="D900" t="s">
        <v>720</v>
      </c>
      <c r="E900">
        <v>8</v>
      </c>
      <c r="F900">
        <v>8</v>
      </c>
      <c r="G900">
        <v>8</v>
      </c>
      <c r="H900">
        <v>8</v>
      </c>
      <c r="I900">
        <v>8</v>
      </c>
      <c r="J900">
        <v>8</v>
      </c>
      <c r="K900">
        <v>8</v>
      </c>
      <c r="L900">
        <v>8</v>
      </c>
      <c r="M900">
        <v>8</v>
      </c>
      <c r="N900">
        <v>8</v>
      </c>
      <c r="O900">
        <v>8</v>
      </c>
      <c r="P900">
        <v>8</v>
      </c>
    </row>
    <row r="901" spans="1:16" x14ac:dyDescent="0.3">
      <c r="A901" t="str">
        <f>Table_Demand___Community_frontsheet[[#This Row],[Name]]&amp;B901</f>
        <v>Telford and WrekinReablement &amp; Rehabilitation at home</v>
      </c>
      <c r="B901" t="str">
        <f>VLOOKUP(Table_Demand___Community_frontsheet[[#This Row],[Service Type]],PathwayLookup!E:F,2,0)</f>
        <v>Reablement &amp; Rehabilitation at home</v>
      </c>
      <c r="C901" t="s">
        <v>321</v>
      </c>
      <c r="D901" t="s">
        <v>721</v>
      </c>
    </row>
    <row r="902" spans="1:16" x14ac:dyDescent="0.3">
      <c r="A902" t="str">
        <f>Table_Demand___Community_frontsheet[[#This Row],[Name]]&amp;B902</f>
        <v>Telford and WrekinReablement &amp; Rehabilitation in a bedded setting</v>
      </c>
      <c r="B902" t="str">
        <f>VLOOKUP(Table_Demand___Community_frontsheet[[#This Row],[Service Type]],PathwayLookup!E:F,2,0)</f>
        <v>Reablement &amp; Rehabilitation in a bedded setting</v>
      </c>
      <c r="C902" t="s">
        <v>321</v>
      </c>
      <c r="D902" t="s">
        <v>723</v>
      </c>
      <c r="E902">
        <v>8</v>
      </c>
      <c r="F902">
        <v>8</v>
      </c>
      <c r="G902">
        <v>8</v>
      </c>
      <c r="H902">
        <v>8</v>
      </c>
      <c r="I902">
        <v>8</v>
      </c>
      <c r="J902">
        <v>8</v>
      </c>
      <c r="K902">
        <v>8</v>
      </c>
      <c r="L902">
        <v>8</v>
      </c>
      <c r="M902">
        <v>8</v>
      </c>
      <c r="N902">
        <v>8</v>
      </c>
      <c r="O902">
        <v>8</v>
      </c>
      <c r="P902">
        <v>8</v>
      </c>
    </row>
    <row r="903" spans="1:16" x14ac:dyDescent="0.3">
      <c r="A903" t="str">
        <f>Table_Demand___Community_frontsheet[[#This Row],[Name]]&amp;B903</f>
        <v>Telford and WrekinReablement &amp; Rehabilitation in a bedded setting</v>
      </c>
      <c r="B903" t="str">
        <f>VLOOKUP(Table_Demand___Community_frontsheet[[#This Row],[Service Type]],PathwayLookup!E:F,2,0)</f>
        <v>Reablement &amp; Rehabilitation in a bedded setting</v>
      </c>
      <c r="C903" t="s">
        <v>321</v>
      </c>
      <c r="D903" t="s">
        <v>725</v>
      </c>
    </row>
    <row r="904" spans="1:16" x14ac:dyDescent="0.3">
      <c r="A904" t="str">
        <f>Table_Demand___Community_frontsheet[[#This Row],[Name]]&amp;B904</f>
        <v>Telford and WrekinOther short-term social care</v>
      </c>
      <c r="B904" t="str">
        <f>VLOOKUP(Table_Demand___Community_frontsheet[[#This Row],[Service Type]],PathwayLookup!E:F,2,0)</f>
        <v>Other short-term social care</v>
      </c>
      <c r="C904" t="s">
        <v>321</v>
      </c>
      <c r="D904" t="s">
        <v>708</v>
      </c>
    </row>
    <row r="905" spans="1:16" x14ac:dyDescent="0.3">
      <c r="A905" t="str">
        <f>Table_Demand___Community_frontsheet[[#This Row],[Name]]&amp;B905</f>
        <v>ThurrockSocial support (including VCS)</v>
      </c>
      <c r="B905" t="str">
        <f>VLOOKUP(Table_Demand___Community_frontsheet[[#This Row],[Service Type]],PathwayLookup!E:F,2,0)</f>
        <v>Social support (including VCS)</v>
      </c>
      <c r="C905" t="s">
        <v>323</v>
      </c>
      <c r="D905" t="s">
        <v>704</v>
      </c>
      <c r="E905">
        <v>5</v>
      </c>
      <c r="F905">
        <v>5</v>
      </c>
      <c r="G905">
        <v>5</v>
      </c>
      <c r="H905">
        <v>4</v>
      </c>
      <c r="I905">
        <v>4</v>
      </c>
      <c r="J905">
        <v>4</v>
      </c>
      <c r="K905">
        <v>4</v>
      </c>
      <c r="L905">
        <v>4</v>
      </c>
      <c r="M905">
        <v>4</v>
      </c>
      <c r="N905">
        <v>5</v>
      </c>
      <c r="O905">
        <v>5</v>
      </c>
      <c r="P905">
        <v>5</v>
      </c>
    </row>
    <row r="906" spans="1:16" x14ac:dyDescent="0.3">
      <c r="A906" t="str">
        <f>Table_Demand___Community_frontsheet[[#This Row],[Name]]&amp;B906</f>
        <v>ThurrockUrgent Community Response</v>
      </c>
      <c r="B906" t="str">
        <f>VLOOKUP(Table_Demand___Community_frontsheet[[#This Row],[Service Type]],PathwayLookup!E:F,2,0)</f>
        <v>Urgent Community Response</v>
      </c>
      <c r="C906" t="s">
        <v>323</v>
      </c>
      <c r="D906" t="s">
        <v>705</v>
      </c>
      <c r="E906">
        <v>91</v>
      </c>
      <c r="F906">
        <v>84</v>
      </c>
      <c r="G906">
        <v>95</v>
      </c>
      <c r="H906">
        <v>103</v>
      </c>
      <c r="I906">
        <v>83</v>
      </c>
      <c r="J906">
        <v>90</v>
      </c>
      <c r="K906">
        <v>82</v>
      </c>
      <c r="L906">
        <v>85</v>
      </c>
      <c r="M906">
        <v>78</v>
      </c>
      <c r="N906">
        <v>91</v>
      </c>
      <c r="O906">
        <v>83</v>
      </c>
      <c r="P906">
        <v>91</v>
      </c>
    </row>
    <row r="907" spans="1:16" x14ac:dyDescent="0.3">
      <c r="A907" t="str">
        <f>Table_Demand___Community_frontsheet[[#This Row],[Name]]&amp;B907</f>
        <v>ThurrockReablement &amp; Rehabilitation at home</v>
      </c>
      <c r="B907" t="str">
        <f>VLOOKUP(Table_Demand___Community_frontsheet[[#This Row],[Service Type]],PathwayLookup!E:F,2,0)</f>
        <v>Reablement &amp; Rehabilitation at home</v>
      </c>
      <c r="C907" t="s">
        <v>323</v>
      </c>
      <c r="D907" t="s">
        <v>720</v>
      </c>
      <c r="E907">
        <v>5</v>
      </c>
      <c r="F907">
        <v>6</v>
      </c>
      <c r="G907">
        <v>6</v>
      </c>
      <c r="H907">
        <v>8</v>
      </c>
      <c r="I907">
        <v>4</v>
      </c>
      <c r="J907">
        <v>4</v>
      </c>
      <c r="K907">
        <v>3</v>
      </c>
      <c r="L907">
        <v>6</v>
      </c>
      <c r="M907">
        <v>5</v>
      </c>
      <c r="N907">
        <v>3</v>
      </c>
      <c r="O907">
        <v>3</v>
      </c>
      <c r="P907">
        <v>8</v>
      </c>
    </row>
    <row r="908" spans="1:16" x14ac:dyDescent="0.3">
      <c r="A908" t="str">
        <f>Table_Demand___Community_frontsheet[[#This Row],[Name]]&amp;B908</f>
        <v>ThurrockReablement &amp; Rehabilitation at home</v>
      </c>
      <c r="B908" t="str">
        <f>VLOOKUP(Table_Demand___Community_frontsheet[[#This Row],[Service Type]],PathwayLookup!E:F,2,0)</f>
        <v>Reablement &amp; Rehabilitation at home</v>
      </c>
      <c r="C908" t="s">
        <v>323</v>
      </c>
      <c r="D908" t="s">
        <v>721</v>
      </c>
    </row>
    <row r="909" spans="1:16" x14ac:dyDescent="0.3">
      <c r="A909" t="str">
        <f>Table_Demand___Community_frontsheet[[#This Row],[Name]]&amp;B909</f>
        <v>ThurrockReablement &amp; Rehabilitation in a bedded setting</v>
      </c>
      <c r="B909" t="str">
        <f>VLOOKUP(Table_Demand___Community_frontsheet[[#This Row],[Service Type]],PathwayLookup!E:F,2,0)</f>
        <v>Reablement &amp; Rehabilitation in a bedded setting</v>
      </c>
      <c r="C909" t="s">
        <v>323</v>
      </c>
      <c r="D909" t="s">
        <v>723</v>
      </c>
      <c r="E909">
        <v>0</v>
      </c>
      <c r="F909">
        <v>0</v>
      </c>
      <c r="G909">
        <v>0</v>
      </c>
      <c r="H909">
        <v>1</v>
      </c>
      <c r="I909">
        <v>0</v>
      </c>
      <c r="J909">
        <v>1</v>
      </c>
      <c r="K909">
        <v>2</v>
      </c>
      <c r="L909">
        <v>1</v>
      </c>
      <c r="M909">
        <v>1</v>
      </c>
      <c r="N909">
        <v>1</v>
      </c>
      <c r="O909">
        <v>1</v>
      </c>
      <c r="P909">
        <v>1</v>
      </c>
    </row>
    <row r="910" spans="1:16" x14ac:dyDescent="0.3">
      <c r="A910" t="str">
        <f>Table_Demand___Community_frontsheet[[#This Row],[Name]]&amp;B910</f>
        <v>ThurrockReablement &amp; Rehabilitation in a bedded setting</v>
      </c>
      <c r="B910" t="str">
        <f>VLOOKUP(Table_Demand___Community_frontsheet[[#This Row],[Service Type]],PathwayLookup!E:F,2,0)</f>
        <v>Reablement &amp; Rehabilitation in a bedded setting</v>
      </c>
      <c r="C910" t="s">
        <v>323</v>
      </c>
      <c r="D910" t="s">
        <v>725</v>
      </c>
    </row>
    <row r="911" spans="1:16" x14ac:dyDescent="0.3">
      <c r="A911" t="str">
        <f>Table_Demand___Community_frontsheet[[#This Row],[Name]]&amp;B911</f>
        <v>ThurrockOther short-term social care</v>
      </c>
      <c r="B911" t="str">
        <f>VLOOKUP(Table_Demand___Community_frontsheet[[#This Row],[Service Type]],PathwayLookup!E:F,2,0)</f>
        <v>Other short-term social care</v>
      </c>
      <c r="C911" t="s">
        <v>323</v>
      </c>
      <c r="D911" t="s">
        <v>708</v>
      </c>
    </row>
    <row r="912" spans="1:16" x14ac:dyDescent="0.3">
      <c r="A912" t="str">
        <f>Table_Demand___Community_frontsheet[[#This Row],[Name]]&amp;B912</f>
        <v>TorbaySocial support (including VCS)</v>
      </c>
      <c r="B912" t="str">
        <f>VLOOKUP(Table_Demand___Community_frontsheet[[#This Row],[Service Type]],PathwayLookup!E:F,2,0)</f>
        <v>Social support (including VCS)</v>
      </c>
      <c r="C912" t="s">
        <v>325</v>
      </c>
      <c r="D912" t="s">
        <v>704</v>
      </c>
      <c r="E912">
        <v>58</v>
      </c>
      <c r="F912">
        <v>58</v>
      </c>
      <c r="G912">
        <v>58</v>
      </c>
      <c r="H912">
        <v>58</v>
      </c>
      <c r="I912">
        <v>58</v>
      </c>
      <c r="J912">
        <v>58</v>
      </c>
      <c r="K912">
        <v>58</v>
      </c>
      <c r="L912">
        <v>58</v>
      </c>
      <c r="M912">
        <v>58</v>
      </c>
      <c r="N912">
        <v>58</v>
      </c>
      <c r="O912">
        <v>58</v>
      </c>
      <c r="P912">
        <v>58</v>
      </c>
    </row>
    <row r="913" spans="1:16" x14ac:dyDescent="0.3">
      <c r="A913" t="str">
        <f>Table_Demand___Community_frontsheet[[#This Row],[Name]]&amp;B913</f>
        <v>TorbayUrgent Community Response</v>
      </c>
      <c r="B913" t="str">
        <f>VLOOKUP(Table_Demand___Community_frontsheet[[#This Row],[Service Type]],PathwayLookup!E:F,2,0)</f>
        <v>Urgent Community Response</v>
      </c>
      <c r="C913" t="s">
        <v>325</v>
      </c>
      <c r="D913" t="s">
        <v>705</v>
      </c>
      <c r="E913">
        <v>37</v>
      </c>
      <c r="F913">
        <v>37</v>
      </c>
      <c r="G913">
        <v>37</v>
      </c>
      <c r="H913">
        <v>37</v>
      </c>
      <c r="I913">
        <v>37</v>
      </c>
      <c r="J913">
        <v>37</v>
      </c>
      <c r="K913">
        <v>37</v>
      </c>
      <c r="L913">
        <v>37</v>
      </c>
      <c r="M913">
        <v>37</v>
      </c>
      <c r="N913">
        <v>37</v>
      </c>
      <c r="O913">
        <v>37</v>
      </c>
      <c r="P913">
        <v>37</v>
      </c>
    </row>
    <row r="914" spans="1:16" x14ac:dyDescent="0.3">
      <c r="A914" t="str">
        <f>Table_Demand___Community_frontsheet[[#This Row],[Name]]&amp;B914</f>
        <v>TorbayReablement &amp; Rehabilitation at home</v>
      </c>
      <c r="B914" t="str">
        <f>VLOOKUP(Table_Demand___Community_frontsheet[[#This Row],[Service Type]],PathwayLookup!E:F,2,0)</f>
        <v>Reablement &amp; Rehabilitation at home</v>
      </c>
      <c r="C914" t="s">
        <v>325</v>
      </c>
      <c r="D914" t="s">
        <v>720</v>
      </c>
      <c r="E914">
        <v>58</v>
      </c>
      <c r="F914">
        <v>58</v>
      </c>
      <c r="G914">
        <v>58</v>
      </c>
      <c r="H914">
        <v>58</v>
      </c>
      <c r="I914">
        <v>58</v>
      </c>
      <c r="J914">
        <v>58</v>
      </c>
      <c r="K914">
        <v>58</v>
      </c>
      <c r="L914">
        <v>58</v>
      </c>
      <c r="M914">
        <v>58</v>
      </c>
      <c r="N914">
        <v>58</v>
      </c>
      <c r="O914">
        <v>58</v>
      </c>
      <c r="P914">
        <v>58</v>
      </c>
    </row>
    <row r="915" spans="1:16" x14ac:dyDescent="0.3">
      <c r="A915" t="str">
        <f>Table_Demand___Community_frontsheet[[#This Row],[Name]]&amp;B915</f>
        <v>TorbayReablement &amp; Rehabilitation at home</v>
      </c>
      <c r="B915" t="str">
        <f>VLOOKUP(Table_Demand___Community_frontsheet[[#This Row],[Service Type]],PathwayLookup!E:F,2,0)</f>
        <v>Reablement &amp; Rehabilitation at home</v>
      </c>
      <c r="C915" t="s">
        <v>325</v>
      </c>
      <c r="D915" t="s">
        <v>721</v>
      </c>
    </row>
    <row r="916" spans="1:16" x14ac:dyDescent="0.3">
      <c r="A916" t="str">
        <f>Table_Demand___Community_frontsheet[[#This Row],[Name]]&amp;B916</f>
        <v>TorbayReablement &amp; Rehabilitation in a bedded setting</v>
      </c>
      <c r="B916" t="str">
        <f>VLOOKUP(Table_Demand___Community_frontsheet[[#This Row],[Service Type]],PathwayLookup!E:F,2,0)</f>
        <v>Reablement &amp; Rehabilitation in a bedded setting</v>
      </c>
      <c r="C916" t="s">
        <v>325</v>
      </c>
      <c r="D916" t="s">
        <v>723</v>
      </c>
      <c r="E916">
        <v>11</v>
      </c>
      <c r="F916">
        <v>11</v>
      </c>
      <c r="G916">
        <v>11</v>
      </c>
      <c r="H916">
        <v>11</v>
      </c>
      <c r="I916">
        <v>11</v>
      </c>
      <c r="J916">
        <v>11</v>
      </c>
      <c r="K916">
        <v>11</v>
      </c>
      <c r="L916">
        <v>11</v>
      </c>
      <c r="M916">
        <v>11</v>
      </c>
      <c r="N916">
        <v>11</v>
      </c>
      <c r="O916">
        <v>11</v>
      </c>
      <c r="P916">
        <v>11</v>
      </c>
    </row>
    <row r="917" spans="1:16" x14ac:dyDescent="0.3">
      <c r="A917" t="str">
        <f>Table_Demand___Community_frontsheet[[#This Row],[Name]]&amp;B917</f>
        <v>TorbayReablement &amp; Rehabilitation in a bedded setting</v>
      </c>
      <c r="B917" t="str">
        <f>VLOOKUP(Table_Demand___Community_frontsheet[[#This Row],[Service Type]],PathwayLookup!E:F,2,0)</f>
        <v>Reablement &amp; Rehabilitation in a bedded setting</v>
      </c>
      <c r="C917" t="s">
        <v>325</v>
      </c>
      <c r="D917" t="s">
        <v>725</v>
      </c>
    </row>
    <row r="918" spans="1:16" x14ac:dyDescent="0.3">
      <c r="A918" t="str">
        <f>Table_Demand___Community_frontsheet[[#This Row],[Name]]&amp;B918</f>
        <v>TorbayOther short-term social care</v>
      </c>
      <c r="B918" t="str">
        <f>VLOOKUP(Table_Demand___Community_frontsheet[[#This Row],[Service Type]],PathwayLookup!E:F,2,0)</f>
        <v>Other short-term social care</v>
      </c>
      <c r="C918" t="s">
        <v>325</v>
      </c>
      <c r="D918" t="s">
        <v>708</v>
      </c>
    </row>
    <row r="919" spans="1:16" x14ac:dyDescent="0.3">
      <c r="A919" t="str">
        <f>Table_Demand___Community_frontsheet[[#This Row],[Name]]&amp;B919</f>
        <v>Tower HamletsSocial support (including VCS)</v>
      </c>
      <c r="B919" t="str">
        <f>VLOOKUP(Table_Demand___Community_frontsheet[[#This Row],[Service Type]],PathwayLookup!E:F,2,0)</f>
        <v>Social support (including VCS)</v>
      </c>
      <c r="C919" t="s">
        <v>327</v>
      </c>
      <c r="D919" t="s">
        <v>704</v>
      </c>
      <c r="E919">
        <v>0</v>
      </c>
      <c r="F919">
        <v>0</v>
      </c>
      <c r="G919">
        <v>0</v>
      </c>
      <c r="H919">
        <v>0</v>
      </c>
      <c r="I919">
        <v>0</v>
      </c>
      <c r="J919">
        <v>0</v>
      </c>
      <c r="K919">
        <v>0</v>
      </c>
      <c r="L919">
        <v>0</v>
      </c>
      <c r="M919">
        <v>0</v>
      </c>
      <c r="N919">
        <v>0</v>
      </c>
      <c r="O919">
        <v>0</v>
      </c>
      <c r="P919">
        <v>0</v>
      </c>
    </row>
    <row r="920" spans="1:16" x14ac:dyDescent="0.3">
      <c r="A920" t="str">
        <f>Table_Demand___Community_frontsheet[[#This Row],[Name]]&amp;B920</f>
        <v>Tower HamletsUrgent Community Response</v>
      </c>
      <c r="B920" t="str">
        <f>VLOOKUP(Table_Demand___Community_frontsheet[[#This Row],[Service Type]],PathwayLookup!E:F,2,0)</f>
        <v>Urgent Community Response</v>
      </c>
      <c r="C920" t="s">
        <v>327</v>
      </c>
      <c r="D920" t="s">
        <v>705</v>
      </c>
      <c r="E920">
        <v>81.284264013778554</v>
      </c>
      <c r="F920">
        <v>81.284264013778554</v>
      </c>
      <c r="G920">
        <v>81.284264013778554</v>
      </c>
      <c r="H920">
        <v>81.865557916141682</v>
      </c>
      <c r="I920">
        <v>81.865557916141682</v>
      </c>
      <c r="J920">
        <v>81.865557916141682</v>
      </c>
      <c r="K920">
        <v>78.95908840432601</v>
      </c>
      <c r="L920">
        <v>78.95908840432601</v>
      </c>
      <c r="M920">
        <v>78.95908840432601</v>
      </c>
      <c r="N920">
        <v>80.702970111415411</v>
      </c>
      <c r="O920">
        <v>80.702970111415411</v>
      </c>
      <c r="P920">
        <v>80.702970111415411</v>
      </c>
    </row>
    <row r="921" spans="1:16" x14ac:dyDescent="0.3">
      <c r="A921" t="str">
        <f>Table_Demand___Community_frontsheet[[#This Row],[Name]]&amp;B921</f>
        <v>Tower HamletsReablement &amp; Rehabilitation at home</v>
      </c>
      <c r="B921" t="str">
        <f>VLOOKUP(Table_Demand___Community_frontsheet[[#This Row],[Service Type]],PathwayLookup!E:F,2,0)</f>
        <v>Reablement &amp; Rehabilitation at home</v>
      </c>
      <c r="C921" t="s">
        <v>327</v>
      </c>
      <c r="D921" t="s">
        <v>720</v>
      </c>
      <c r="E921">
        <v>58</v>
      </c>
      <c r="F921">
        <v>84</v>
      </c>
      <c r="G921">
        <v>65</v>
      </c>
      <c r="H921">
        <v>61</v>
      </c>
      <c r="I921">
        <v>66</v>
      </c>
      <c r="J921">
        <v>56</v>
      </c>
      <c r="K921">
        <v>95</v>
      </c>
      <c r="L921">
        <v>68</v>
      </c>
      <c r="M921">
        <v>47</v>
      </c>
      <c r="N921">
        <v>84</v>
      </c>
      <c r="O921">
        <v>62</v>
      </c>
      <c r="P921">
        <v>92</v>
      </c>
    </row>
    <row r="922" spans="1:16" x14ac:dyDescent="0.3">
      <c r="A922" t="str">
        <f>Table_Demand___Community_frontsheet[[#This Row],[Name]]&amp;B922</f>
        <v>Tower HamletsReablement &amp; Rehabilitation at home</v>
      </c>
      <c r="B922" t="str">
        <f>VLOOKUP(Table_Demand___Community_frontsheet[[#This Row],[Service Type]],PathwayLookup!E:F,2,0)</f>
        <v>Reablement &amp; Rehabilitation at home</v>
      </c>
      <c r="C922" t="s">
        <v>327</v>
      </c>
      <c r="D922" t="s">
        <v>721</v>
      </c>
      <c r="E922">
        <v>97</v>
      </c>
      <c r="F922">
        <v>97</v>
      </c>
      <c r="G922">
        <v>97</v>
      </c>
      <c r="H922">
        <v>97</v>
      </c>
      <c r="I922">
        <v>97</v>
      </c>
      <c r="J922">
        <v>97</v>
      </c>
      <c r="K922">
        <v>97</v>
      </c>
      <c r="L922">
        <v>97</v>
      </c>
      <c r="M922">
        <v>97</v>
      </c>
      <c r="N922">
        <v>97</v>
      </c>
      <c r="O922">
        <v>97</v>
      </c>
      <c r="P922">
        <v>97</v>
      </c>
    </row>
    <row r="923" spans="1:16" x14ac:dyDescent="0.3">
      <c r="A923" t="str">
        <f>Table_Demand___Community_frontsheet[[#This Row],[Name]]&amp;B923</f>
        <v>Tower HamletsReablement &amp; Rehabilitation in a bedded setting</v>
      </c>
      <c r="B923" t="str">
        <f>VLOOKUP(Table_Demand___Community_frontsheet[[#This Row],[Service Type]],PathwayLookup!E:F,2,0)</f>
        <v>Reablement &amp; Rehabilitation in a bedded setting</v>
      </c>
      <c r="C923" t="s">
        <v>327</v>
      </c>
      <c r="D923" t="s">
        <v>723</v>
      </c>
      <c r="E923">
        <v>0</v>
      </c>
      <c r="F923">
        <v>0</v>
      </c>
      <c r="G923">
        <v>0</v>
      </c>
      <c r="H923">
        <v>0</v>
      </c>
      <c r="I923">
        <v>0</v>
      </c>
      <c r="J923">
        <v>0</v>
      </c>
      <c r="K923">
        <v>0</v>
      </c>
      <c r="L923">
        <v>0</v>
      </c>
      <c r="M923">
        <v>0</v>
      </c>
      <c r="N923">
        <v>0</v>
      </c>
      <c r="O923">
        <v>0</v>
      </c>
      <c r="P923">
        <v>0</v>
      </c>
    </row>
    <row r="924" spans="1:16" x14ac:dyDescent="0.3">
      <c r="A924" t="str">
        <f>Table_Demand___Community_frontsheet[[#This Row],[Name]]&amp;B924</f>
        <v>Tower HamletsReablement &amp; Rehabilitation in a bedded setting</v>
      </c>
      <c r="B924" t="str">
        <f>VLOOKUP(Table_Demand___Community_frontsheet[[#This Row],[Service Type]],PathwayLookup!E:F,2,0)</f>
        <v>Reablement &amp; Rehabilitation in a bedded setting</v>
      </c>
      <c r="C924" t="s">
        <v>327</v>
      </c>
      <c r="D924" t="s">
        <v>725</v>
      </c>
      <c r="E924">
        <v>0</v>
      </c>
      <c r="F924">
        <v>0</v>
      </c>
      <c r="G924">
        <v>0</v>
      </c>
      <c r="H924">
        <v>0</v>
      </c>
      <c r="I924">
        <v>0</v>
      </c>
      <c r="J924">
        <v>0</v>
      </c>
      <c r="K924">
        <v>0</v>
      </c>
      <c r="L924">
        <v>0</v>
      </c>
      <c r="M924">
        <v>0</v>
      </c>
      <c r="N924">
        <v>0</v>
      </c>
      <c r="O924">
        <v>0</v>
      </c>
      <c r="P924">
        <v>0</v>
      </c>
    </row>
    <row r="925" spans="1:16" x14ac:dyDescent="0.3">
      <c r="A925" t="str">
        <f>Table_Demand___Community_frontsheet[[#This Row],[Name]]&amp;B925</f>
        <v>Tower HamletsOther short-term social care</v>
      </c>
      <c r="B925" t="str">
        <f>VLOOKUP(Table_Demand___Community_frontsheet[[#This Row],[Service Type]],PathwayLookup!E:F,2,0)</f>
        <v>Other short-term social care</v>
      </c>
      <c r="C925" t="s">
        <v>327</v>
      </c>
      <c r="D925" t="s">
        <v>708</v>
      </c>
      <c r="E925">
        <v>58</v>
      </c>
      <c r="F925">
        <v>78</v>
      </c>
      <c r="G925">
        <v>62</v>
      </c>
      <c r="H925">
        <v>94</v>
      </c>
      <c r="I925">
        <v>135</v>
      </c>
      <c r="J925">
        <v>133</v>
      </c>
      <c r="K925">
        <v>114</v>
      </c>
      <c r="L925">
        <v>140</v>
      </c>
      <c r="M925">
        <v>116</v>
      </c>
      <c r="N925">
        <v>113</v>
      </c>
      <c r="O925">
        <v>95</v>
      </c>
      <c r="P925">
        <v>136</v>
      </c>
    </row>
    <row r="926" spans="1:16" x14ac:dyDescent="0.3">
      <c r="A926" t="str">
        <f>Table_Demand___Community_frontsheet[[#This Row],[Name]]&amp;B926</f>
        <v>TraffordSocial support (including VCS)</v>
      </c>
      <c r="B926" t="str">
        <f>VLOOKUP(Table_Demand___Community_frontsheet[[#This Row],[Service Type]],PathwayLookup!E:F,2,0)</f>
        <v>Social support (including VCS)</v>
      </c>
      <c r="C926" t="s">
        <v>329</v>
      </c>
      <c r="D926" t="s">
        <v>704</v>
      </c>
      <c r="E926">
        <v>18</v>
      </c>
      <c r="F926">
        <v>18</v>
      </c>
      <c r="G926">
        <v>18</v>
      </c>
      <c r="H926">
        <v>18</v>
      </c>
      <c r="I926">
        <v>18</v>
      </c>
      <c r="J926">
        <v>18</v>
      </c>
      <c r="K926">
        <v>18</v>
      </c>
      <c r="L926">
        <v>18</v>
      </c>
      <c r="M926">
        <v>18</v>
      </c>
      <c r="N926">
        <v>18</v>
      </c>
      <c r="O926">
        <v>18</v>
      </c>
      <c r="P926">
        <v>18</v>
      </c>
    </row>
    <row r="927" spans="1:16" x14ac:dyDescent="0.3">
      <c r="A927" t="str">
        <f>Table_Demand___Community_frontsheet[[#This Row],[Name]]&amp;B927</f>
        <v>TraffordUrgent Community Response</v>
      </c>
      <c r="B927" t="str">
        <f>VLOOKUP(Table_Demand___Community_frontsheet[[#This Row],[Service Type]],PathwayLookup!E:F,2,0)</f>
        <v>Urgent Community Response</v>
      </c>
      <c r="C927" t="s">
        <v>329</v>
      </c>
      <c r="D927" t="s">
        <v>705</v>
      </c>
      <c r="E927">
        <v>54</v>
      </c>
      <c r="F927">
        <v>75</v>
      </c>
      <c r="G927">
        <v>74</v>
      </c>
      <c r="H927">
        <v>87</v>
      </c>
      <c r="I927">
        <v>69</v>
      </c>
      <c r="J927">
        <v>106</v>
      </c>
      <c r="K927">
        <v>129</v>
      </c>
      <c r="L927">
        <v>114</v>
      </c>
      <c r="M927">
        <v>147</v>
      </c>
      <c r="N927">
        <v>123</v>
      </c>
      <c r="O927">
        <v>99</v>
      </c>
      <c r="P927">
        <v>107</v>
      </c>
    </row>
    <row r="928" spans="1:16" x14ac:dyDescent="0.3">
      <c r="A928" t="str">
        <f>Table_Demand___Community_frontsheet[[#This Row],[Name]]&amp;B928</f>
        <v>TraffordReablement &amp; Rehabilitation at home</v>
      </c>
      <c r="B928" t="str">
        <f>VLOOKUP(Table_Demand___Community_frontsheet[[#This Row],[Service Type]],PathwayLookup!E:F,2,0)</f>
        <v>Reablement &amp; Rehabilitation at home</v>
      </c>
      <c r="C928" t="s">
        <v>329</v>
      </c>
      <c r="D928" t="s">
        <v>720</v>
      </c>
      <c r="E928">
        <v>6</v>
      </c>
      <c r="F928">
        <v>6</v>
      </c>
      <c r="G928">
        <v>6</v>
      </c>
      <c r="H928">
        <v>6</v>
      </c>
      <c r="I928">
        <v>6</v>
      </c>
      <c r="J928">
        <v>6</v>
      </c>
      <c r="K928">
        <v>6</v>
      </c>
      <c r="L928">
        <v>6</v>
      </c>
      <c r="M928">
        <v>6</v>
      </c>
      <c r="N928">
        <v>6</v>
      </c>
      <c r="O928">
        <v>6</v>
      </c>
      <c r="P928">
        <v>6</v>
      </c>
    </row>
    <row r="929" spans="1:16" x14ac:dyDescent="0.3">
      <c r="A929" t="str">
        <f>Table_Demand___Community_frontsheet[[#This Row],[Name]]&amp;B929</f>
        <v>TraffordReablement &amp; Rehabilitation at home</v>
      </c>
      <c r="B929" t="str">
        <f>VLOOKUP(Table_Demand___Community_frontsheet[[#This Row],[Service Type]],PathwayLookup!E:F,2,0)</f>
        <v>Reablement &amp; Rehabilitation at home</v>
      </c>
      <c r="C929" t="s">
        <v>329</v>
      </c>
      <c r="D929" t="s">
        <v>721</v>
      </c>
    </row>
    <row r="930" spans="1:16" x14ac:dyDescent="0.3">
      <c r="A930" t="str">
        <f>Table_Demand___Community_frontsheet[[#This Row],[Name]]&amp;B930</f>
        <v>TraffordReablement &amp; Rehabilitation in a bedded setting</v>
      </c>
      <c r="B930" t="str">
        <f>VLOOKUP(Table_Demand___Community_frontsheet[[#This Row],[Service Type]],PathwayLookup!E:F,2,0)</f>
        <v>Reablement &amp; Rehabilitation in a bedded setting</v>
      </c>
      <c r="C930" t="s">
        <v>329</v>
      </c>
      <c r="D930" t="s">
        <v>723</v>
      </c>
      <c r="E930">
        <v>4</v>
      </c>
      <c r="F930">
        <v>4</v>
      </c>
      <c r="G930">
        <v>4</v>
      </c>
      <c r="H930">
        <v>4</v>
      </c>
      <c r="I930">
        <v>4</v>
      </c>
      <c r="J930">
        <v>4</v>
      </c>
      <c r="K930">
        <v>4</v>
      </c>
      <c r="L930">
        <v>4</v>
      </c>
      <c r="M930">
        <v>4</v>
      </c>
      <c r="N930">
        <v>4</v>
      </c>
      <c r="O930">
        <v>4</v>
      </c>
      <c r="P930">
        <v>4</v>
      </c>
    </row>
    <row r="931" spans="1:16" x14ac:dyDescent="0.3">
      <c r="A931" t="str">
        <f>Table_Demand___Community_frontsheet[[#This Row],[Name]]&amp;B931</f>
        <v>TraffordReablement &amp; Rehabilitation in a bedded setting</v>
      </c>
      <c r="B931" t="str">
        <f>VLOOKUP(Table_Demand___Community_frontsheet[[#This Row],[Service Type]],PathwayLookup!E:F,2,0)</f>
        <v>Reablement &amp; Rehabilitation in a bedded setting</v>
      </c>
      <c r="C931" t="s">
        <v>329</v>
      </c>
      <c r="D931" t="s">
        <v>725</v>
      </c>
    </row>
    <row r="932" spans="1:16" x14ac:dyDescent="0.3">
      <c r="A932" t="str">
        <f>Table_Demand___Community_frontsheet[[#This Row],[Name]]&amp;B932</f>
        <v>TraffordOther short-term social care</v>
      </c>
      <c r="B932" t="str">
        <f>VLOOKUP(Table_Demand___Community_frontsheet[[#This Row],[Service Type]],PathwayLookup!E:F,2,0)</f>
        <v>Other short-term social care</v>
      </c>
      <c r="C932" t="s">
        <v>329</v>
      </c>
      <c r="D932" t="s">
        <v>708</v>
      </c>
    </row>
    <row r="933" spans="1:16" x14ac:dyDescent="0.3">
      <c r="A933" t="str">
        <f>Table_Demand___Community_frontsheet[[#This Row],[Name]]&amp;B933</f>
        <v>WakefieldSocial support (including VCS)</v>
      </c>
      <c r="B933" t="str">
        <f>VLOOKUP(Table_Demand___Community_frontsheet[[#This Row],[Service Type]],PathwayLookup!E:F,2,0)</f>
        <v>Social support (including VCS)</v>
      </c>
      <c r="C933" t="s">
        <v>331</v>
      </c>
      <c r="D933" t="s">
        <v>704</v>
      </c>
      <c r="E933">
        <v>28</v>
      </c>
      <c r="F933">
        <v>26</v>
      </c>
      <c r="G933">
        <v>26</v>
      </c>
      <c r="H933">
        <v>33</v>
      </c>
      <c r="I933">
        <v>28</v>
      </c>
      <c r="J933">
        <v>34</v>
      </c>
      <c r="K933">
        <v>27</v>
      </c>
      <c r="L933">
        <v>48</v>
      </c>
      <c r="M933">
        <v>28</v>
      </c>
      <c r="N933">
        <v>33</v>
      </c>
      <c r="O933">
        <v>28</v>
      </c>
      <c r="P933">
        <v>27</v>
      </c>
    </row>
    <row r="934" spans="1:16" x14ac:dyDescent="0.3">
      <c r="A934" t="str">
        <f>Table_Demand___Community_frontsheet[[#This Row],[Name]]&amp;B934</f>
        <v>WakefieldUrgent Community Response</v>
      </c>
      <c r="B934" t="str">
        <f>VLOOKUP(Table_Demand___Community_frontsheet[[#This Row],[Service Type]],PathwayLookup!E:F,2,0)</f>
        <v>Urgent Community Response</v>
      </c>
      <c r="C934" t="s">
        <v>331</v>
      </c>
      <c r="D934" t="s">
        <v>705</v>
      </c>
      <c r="E934">
        <v>2267</v>
      </c>
      <c r="F934">
        <v>2267</v>
      </c>
      <c r="G934">
        <v>2267</v>
      </c>
      <c r="H934">
        <v>2327</v>
      </c>
      <c r="I934">
        <v>2327</v>
      </c>
      <c r="J934">
        <v>2327</v>
      </c>
      <c r="K934">
        <v>2222</v>
      </c>
      <c r="L934">
        <v>2222</v>
      </c>
      <c r="M934">
        <v>2222</v>
      </c>
      <c r="N934">
        <v>2393</v>
      </c>
      <c r="O934">
        <v>2393</v>
      </c>
      <c r="P934">
        <v>2393</v>
      </c>
    </row>
    <row r="935" spans="1:16" x14ac:dyDescent="0.3">
      <c r="A935" t="str">
        <f>Table_Demand___Community_frontsheet[[#This Row],[Name]]&amp;B935</f>
        <v>WakefieldReablement &amp; Rehabilitation at home</v>
      </c>
      <c r="B935" t="str">
        <f>VLOOKUP(Table_Demand___Community_frontsheet[[#This Row],[Service Type]],PathwayLookup!E:F,2,0)</f>
        <v>Reablement &amp; Rehabilitation at home</v>
      </c>
      <c r="C935" t="s">
        <v>331</v>
      </c>
      <c r="D935" t="s">
        <v>720</v>
      </c>
      <c r="E935">
        <v>16</v>
      </c>
      <c r="F935">
        <v>13</v>
      </c>
      <c r="G935">
        <v>13</v>
      </c>
      <c r="H935">
        <v>17</v>
      </c>
      <c r="I935">
        <v>20</v>
      </c>
      <c r="J935">
        <v>13</v>
      </c>
      <c r="K935">
        <v>13</v>
      </c>
      <c r="L935">
        <v>15</v>
      </c>
      <c r="M935">
        <v>23</v>
      </c>
      <c r="N935">
        <v>21</v>
      </c>
      <c r="O935">
        <v>19</v>
      </c>
      <c r="P935">
        <v>20</v>
      </c>
    </row>
    <row r="936" spans="1:16" x14ac:dyDescent="0.3">
      <c r="A936" t="str">
        <f>Table_Demand___Community_frontsheet[[#This Row],[Name]]&amp;B936</f>
        <v>WakefieldReablement &amp; Rehabilitation at home</v>
      </c>
      <c r="B936" t="str">
        <f>VLOOKUP(Table_Demand___Community_frontsheet[[#This Row],[Service Type]],PathwayLookup!E:F,2,0)</f>
        <v>Reablement &amp; Rehabilitation at home</v>
      </c>
      <c r="C936" t="s">
        <v>331</v>
      </c>
      <c r="D936" t="s">
        <v>721</v>
      </c>
      <c r="E936">
        <v>207</v>
      </c>
      <c r="F936">
        <v>235</v>
      </c>
      <c r="G936">
        <v>235</v>
      </c>
      <c r="H936">
        <v>235</v>
      </c>
      <c r="I936">
        <v>235</v>
      </c>
      <c r="J936">
        <v>235</v>
      </c>
      <c r="K936">
        <v>235</v>
      </c>
      <c r="L936">
        <v>235</v>
      </c>
      <c r="M936">
        <v>235</v>
      </c>
      <c r="N936">
        <v>235</v>
      </c>
      <c r="O936">
        <v>235</v>
      </c>
      <c r="P936">
        <v>235</v>
      </c>
    </row>
    <row r="937" spans="1:16" x14ac:dyDescent="0.3">
      <c r="A937" t="str">
        <f>Table_Demand___Community_frontsheet[[#This Row],[Name]]&amp;B937</f>
        <v>WakefieldReablement &amp; Rehabilitation in a bedded setting</v>
      </c>
      <c r="B937" t="str">
        <f>VLOOKUP(Table_Demand___Community_frontsheet[[#This Row],[Service Type]],PathwayLookup!E:F,2,0)</f>
        <v>Reablement &amp; Rehabilitation in a bedded setting</v>
      </c>
      <c r="C937" t="s">
        <v>331</v>
      </c>
      <c r="D937" t="s">
        <v>723</v>
      </c>
      <c r="E937">
        <v>0</v>
      </c>
      <c r="F937">
        <v>0</v>
      </c>
      <c r="G937">
        <v>0</v>
      </c>
      <c r="H937">
        <v>0</v>
      </c>
      <c r="I937">
        <v>1</v>
      </c>
      <c r="J937">
        <v>1</v>
      </c>
      <c r="K937">
        <v>1</v>
      </c>
      <c r="L937">
        <v>1</v>
      </c>
      <c r="M937">
        <v>1</v>
      </c>
      <c r="N937">
        <v>1</v>
      </c>
      <c r="O937">
        <v>1</v>
      </c>
      <c r="P937">
        <v>1</v>
      </c>
    </row>
    <row r="938" spans="1:16" x14ac:dyDescent="0.3">
      <c r="A938" t="str">
        <f>Table_Demand___Community_frontsheet[[#This Row],[Name]]&amp;B938</f>
        <v>WakefieldReablement &amp; Rehabilitation in a bedded setting</v>
      </c>
      <c r="B938" t="str">
        <f>VLOOKUP(Table_Demand___Community_frontsheet[[#This Row],[Service Type]],PathwayLookup!E:F,2,0)</f>
        <v>Reablement &amp; Rehabilitation in a bedded setting</v>
      </c>
      <c r="C938" t="s">
        <v>331</v>
      </c>
      <c r="D938" t="s">
        <v>725</v>
      </c>
      <c r="E938">
        <v>53</v>
      </c>
      <c r="F938">
        <v>53</v>
      </c>
      <c r="G938">
        <v>53</v>
      </c>
      <c r="H938">
        <v>53</v>
      </c>
      <c r="I938">
        <v>53</v>
      </c>
      <c r="J938">
        <v>53</v>
      </c>
      <c r="K938">
        <v>53</v>
      </c>
      <c r="L938">
        <v>53</v>
      </c>
      <c r="M938">
        <v>53</v>
      </c>
      <c r="N938">
        <v>53</v>
      </c>
      <c r="O938">
        <v>53</v>
      </c>
      <c r="P938">
        <v>53</v>
      </c>
    </row>
    <row r="939" spans="1:16" x14ac:dyDescent="0.3">
      <c r="A939" t="str">
        <f>Table_Demand___Community_frontsheet[[#This Row],[Name]]&amp;B939</f>
        <v>WakefieldOther short-term social care</v>
      </c>
      <c r="B939" t="str">
        <f>VLOOKUP(Table_Demand___Community_frontsheet[[#This Row],[Service Type]],PathwayLookup!E:F,2,0)</f>
        <v>Other short-term social care</v>
      </c>
      <c r="C939" t="s">
        <v>331</v>
      </c>
      <c r="D939" t="s">
        <v>708</v>
      </c>
      <c r="E939">
        <v>30</v>
      </c>
      <c r="F939">
        <v>30</v>
      </c>
      <c r="G939">
        <v>30</v>
      </c>
      <c r="H939">
        <v>30</v>
      </c>
      <c r="I939">
        <v>30</v>
      </c>
      <c r="J939">
        <v>30</v>
      </c>
      <c r="K939">
        <v>30</v>
      </c>
      <c r="L939">
        <v>30</v>
      </c>
      <c r="M939">
        <v>30</v>
      </c>
      <c r="N939">
        <v>30</v>
      </c>
      <c r="O939">
        <v>30</v>
      </c>
      <c r="P939">
        <v>30</v>
      </c>
    </row>
    <row r="940" spans="1:16" x14ac:dyDescent="0.3">
      <c r="A940" t="str">
        <f>Table_Demand___Community_frontsheet[[#This Row],[Name]]&amp;B940</f>
        <v>WalsallSocial support (including VCS)</v>
      </c>
      <c r="B940" t="str">
        <f>VLOOKUP(Table_Demand___Community_frontsheet[[#This Row],[Service Type]],PathwayLookup!E:F,2,0)</f>
        <v>Social support (including VCS)</v>
      </c>
      <c r="C940" t="s">
        <v>333</v>
      </c>
      <c r="D940" t="s">
        <v>704</v>
      </c>
    </row>
    <row r="941" spans="1:16" x14ac:dyDescent="0.3">
      <c r="A941" t="str">
        <f>Table_Demand___Community_frontsheet[[#This Row],[Name]]&amp;B941</f>
        <v>WalsallUrgent Community Response</v>
      </c>
      <c r="B941" t="str">
        <f>VLOOKUP(Table_Demand___Community_frontsheet[[#This Row],[Service Type]],PathwayLookup!E:F,2,0)</f>
        <v>Urgent Community Response</v>
      </c>
      <c r="C941" t="s">
        <v>333</v>
      </c>
      <c r="D941" t="s">
        <v>705</v>
      </c>
    </row>
    <row r="942" spans="1:16" x14ac:dyDescent="0.3">
      <c r="A942" t="str">
        <f>Table_Demand___Community_frontsheet[[#This Row],[Name]]&amp;B942</f>
        <v>WalsallReablement &amp; Rehabilitation at home</v>
      </c>
      <c r="B942" t="str">
        <f>VLOOKUP(Table_Demand___Community_frontsheet[[#This Row],[Service Type]],PathwayLookup!E:F,2,0)</f>
        <v>Reablement &amp; Rehabilitation at home</v>
      </c>
      <c r="C942" t="s">
        <v>333</v>
      </c>
      <c r="D942" t="s">
        <v>720</v>
      </c>
      <c r="E942">
        <v>10</v>
      </c>
      <c r="F942">
        <v>12</v>
      </c>
      <c r="G942">
        <v>5</v>
      </c>
      <c r="H942">
        <v>5</v>
      </c>
      <c r="I942">
        <v>8</v>
      </c>
      <c r="J942">
        <v>10</v>
      </c>
      <c r="K942">
        <v>12</v>
      </c>
      <c r="L942">
        <v>8</v>
      </c>
      <c r="M942">
        <v>10</v>
      </c>
      <c r="N942">
        <v>12</v>
      </c>
      <c r="O942">
        <v>5</v>
      </c>
      <c r="P942">
        <v>8</v>
      </c>
    </row>
    <row r="943" spans="1:16" x14ac:dyDescent="0.3">
      <c r="A943" t="str">
        <f>Table_Demand___Community_frontsheet[[#This Row],[Name]]&amp;B943</f>
        <v>WalsallReablement &amp; Rehabilitation at home</v>
      </c>
      <c r="B943" t="str">
        <f>VLOOKUP(Table_Demand___Community_frontsheet[[#This Row],[Service Type]],PathwayLookup!E:F,2,0)</f>
        <v>Reablement &amp; Rehabilitation at home</v>
      </c>
      <c r="C943" t="s">
        <v>333</v>
      </c>
      <c r="D943" t="s">
        <v>721</v>
      </c>
      <c r="E943">
        <v>31</v>
      </c>
      <c r="F943">
        <v>35</v>
      </c>
      <c r="G943">
        <v>20</v>
      </c>
      <c r="H943">
        <v>20</v>
      </c>
      <c r="I943">
        <v>28</v>
      </c>
      <c r="J943">
        <v>32</v>
      </c>
      <c r="K943">
        <v>35</v>
      </c>
      <c r="L943">
        <v>26</v>
      </c>
      <c r="M943">
        <v>31</v>
      </c>
      <c r="N943">
        <v>35</v>
      </c>
      <c r="O943">
        <v>20</v>
      </c>
      <c r="P943">
        <v>28</v>
      </c>
    </row>
    <row r="944" spans="1:16" x14ac:dyDescent="0.3">
      <c r="A944" t="str">
        <f>Table_Demand___Community_frontsheet[[#This Row],[Name]]&amp;B944</f>
        <v>WalsallReablement &amp; Rehabilitation in a bedded setting</v>
      </c>
      <c r="B944" t="str">
        <f>VLOOKUP(Table_Demand___Community_frontsheet[[#This Row],[Service Type]],PathwayLookup!E:F,2,0)</f>
        <v>Reablement &amp; Rehabilitation in a bedded setting</v>
      </c>
      <c r="C944" t="s">
        <v>333</v>
      </c>
      <c r="D944" t="s">
        <v>723</v>
      </c>
    </row>
    <row r="945" spans="1:16" x14ac:dyDescent="0.3">
      <c r="A945" t="str">
        <f>Table_Demand___Community_frontsheet[[#This Row],[Name]]&amp;B945</f>
        <v>WalsallReablement &amp; Rehabilitation in a bedded setting</v>
      </c>
      <c r="B945" t="str">
        <f>VLOOKUP(Table_Demand___Community_frontsheet[[#This Row],[Service Type]],PathwayLookup!E:F,2,0)</f>
        <v>Reablement &amp; Rehabilitation in a bedded setting</v>
      </c>
      <c r="C945" t="s">
        <v>333</v>
      </c>
      <c r="D945" t="s">
        <v>725</v>
      </c>
      <c r="E945">
        <v>1</v>
      </c>
      <c r="F945">
        <v>1</v>
      </c>
      <c r="G945">
        <v>1</v>
      </c>
      <c r="H945">
        <v>1</v>
      </c>
      <c r="I945">
        <v>1</v>
      </c>
      <c r="J945">
        <v>1</v>
      </c>
      <c r="K945">
        <v>1</v>
      </c>
      <c r="L945">
        <v>1</v>
      </c>
      <c r="M945">
        <v>1</v>
      </c>
      <c r="N945">
        <v>1</v>
      </c>
      <c r="O945">
        <v>1</v>
      </c>
      <c r="P945">
        <v>1</v>
      </c>
    </row>
    <row r="946" spans="1:16" x14ac:dyDescent="0.3">
      <c r="A946" t="str">
        <f>Table_Demand___Community_frontsheet[[#This Row],[Name]]&amp;B946</f>
        <v>WalsallOther short-term social care</v>
      </c>
      <c r="B946" t="str">
        <f>VLOOKUP(Table_Demand___Community_frontsheet[[#This Row],[Service Type]],PathwayLookup!E:F,2,0)</f>
        <v>Other short-term social care</v>
      </c>
      <c r="C946" t="s">
        <v>333</v>
      </c>
      <c r="D946" t="s">
        <v>708</v>
      </c>
      <c r="E946">
        <v>1</v>
      </c>
      <c r="F946">
        <v>1</v>
      </c>
      <c r="G946">
        <v>1</v>
      </c>
      <c r="H946">
        <v>1</v>
      </c>
      <c r="I946">
        <v>1</v>
      </c>
      <c r="J946">
        <v>1</v>
      </c>
      <c r="K946">
        <v>1</v>
      </c>
      <c r="L946">
        <v>1</v>
      </c>
      <c r="M946">
        <v>1</v>
      </c>
      <c r="N946">
        <v>1</v>
      </c>
      <c r="O946">
        <v>1</v>
      </c>
      <c r="P946">
        <v>1</v>
      </c>
    </row>
    <row r="947" spans="1:16" x14ac:dyDescent="0.3">
      <c r="A947" t="str">
        <f>Table_Demand___Community_frontsheet[[#This Row],[Name]]&amp;B947</f>
        <v>Waltham ForestSocial support (including VCS)</v>
      </c>
      <c r="B947" t="str">
        <f>VLOOKUP(Table_Demand___Community_frontsheet[[#This Row],[Service Type]],PathwayLookup!E:F,2,0)</f>
        <v>Social support (including VCS)</v>
      </c>
      <c r="C947" t="s">
        <v>335</v>
      </c>
      <c r="D947" t="s">
        <v>704</v>
      </c>
      <c r="E947">
        <v>100</v>
      </c>
      <c r="F947">
        <v>100</v>
      </c>
      <c r="G947">
        <v>100</v>
      </c>
      <c r="H947">
        <v>100</v>
      </c>
      <c r="I947">
        <v>100</v>
      </c>
      <c r="J947">
        <v>100</v>
      </c>
      <c r="K947">
        <v>100</v>
      </c>
      <c r="L947">
        <v>100</v>
      </c>
      <c r="M947">
        <v>100</v>
      </c>
      <c r="N947">
        <v>100</v>
      </c>
      <c r="O947">
        <v>100</v>
      </c>
      <c r="P947">
        <v>100</v>
      </c>
    </row>
    <row r="948" spans="1:16" x14ac:dyDescent="0.3">
      <c r="A948" t="str">
        <f>Table_Demand___Community_frontsheet[[#This Row],[Name]]&amp;B948</f>
        <v>Waltham ForestUrgent Community Response</v>
      </c>
      <c r="B948" t="str">
        <f>VLOOKUP(Table_Demand___Community_frontsheet[[#This Row],[Service Type]],PathwayLookup!E:F,2,0)</f>
        <v>Urgent Community Response</v>
      </c>
      <c r="C948" t="s">
        <v>335</v>
      </c>
      <c r="D948" t="s">
        <v>705</v>
      </c>
      <c r="E948">
        <v>112.95440945845716</v>
      </c>
      <c r="F948">
        <v>112.95440945845716</v>
      </c>
      <c r="G948">
        <v>112.95440945845716</v>
      </c>
      <c r="H948">
        <v>113.76218831036506</v>
      </c>
      <c r="I948">
        <v>113.76218831036506</v>
      </c>
      <c r="J948">
        <v>113.76218831036506</v>
      </c>
      <c r="K948">
        <v>109.72329405082549</v>
      </c>
      <c r="L948">
        <v>109.72329405082549</v>
      </c>
      <c r="M948">
        <v>109.72329405082549</v>
      </c>
      <c r="N948">
        <v>112.14663060654922</v>
      </c>
      <c r="O948">
        <v>112.14663060654922</v>
      </c>
      <c r="P948">
        <v>112.14663060654922</v>
      </c>
    </row>
    <row r="949" spans="1:16" x14ac:dyDescent="0.3">
      <c r="A949" t="str">
        <f>Table_Demand___Community_frontsheet[[#This Row],[Name]]&amp;B949</f>
        <v>Waltham ForestReablement &amp; Rehabilitation at home</v>
      </c>
      <c r="B949" t="str">
        <f>VLOOKUP(Table_Demand___Community_frontsheet[[#This Row],[Service Type]],PathwayLookup!E:F,2,0)</f>
        <v>Reablement &amp; Rehabilitation at home</v>
      </c>
      <c r="C949" t="s">
        <v>335</v>
      </c>
      <c r="D949" t="s">
        <v>720</v>
      </c>
      <c r="E949">
        <v>120</v>
      </c>
      <c r="F949">
        <v>115</v>
      </c>
      <c r="G949">
        <v>120</v>
      </c>
      <c r="H949">
        <v>125</v>
      </c>
      <c r="I949">
        <v>110</v>
      </c>
      <c r="J949">
        <v>120</v>
      </c>
      <c r="K949">
        <v>125</v>
      </c>
      <c r="L949">
        <v>120</v>
      </c>
      <c r="M949">
        <v>90</v>
      </c>
      <c r="N949">
        <v>110</v>
      </c>
      <c r="O949">
        <v>105</v>
      </c>
      <c r="P949">
        <v>85</v>
      </c>
    </row>
    <row r="950" spans="1:16" x14ac:dyDescent="0.3">
      <c r="A950" t="str">
        <f>Table_Demand___Community_frontsheet[[#This Row],[Name]]&amp;B950</f>
        <v>Waltham ForestReablement &amp; Rehabilitation at home</v>
      </c>
      <c r="B950" t="str">
        <f>VLOOKUP(Table_Demand___Community_frontsheet[[#This Row],[Service Type]],PathwayLookup!E:F,2,0)</f>
        <v>Reablement &amp; Rehabilitation at home</v>
      </c>
      <c r="C950" t="s">
        <v>335</v>
      </c>
      <c r="D950" t="s">
        <v>721</v>
      </c>
      <c r="E950">
        <v>110</v>
      </c>
      <c r="F950">
        <v>110</v>
      </c>
      <c r="G950">
        <v>110</v>
      </c>
      <c r="H950">
        <v>110</v>
      </c>
      <c r="I950">
        <v>110</v>
      </c>
      <c r="J950">
        <v>110</v>
      </c>
      <c r="K950">
        <v>110</v>
      </c>
      <c r="L950">
        <v>110</v>
      </c>
      <c r="M950">
        <v>110</v>
      </c>
      <c r="N950">
        <v>110</v>
      </c>
      <c r="O950">
        <v>110</v>
      </c>
      <c r="P950">
        <v>110</v>
      </c>
    </row>
    <row r="951" spans="1:16" x14ac:dyDescent="0.3">
      <c r="A951" t="str">
        <f>Table_Demand___Community_frontsheet[[#This Row],[Name]]&amp;B951</f>
        <v>Waltham ForestReablement &amp; Rehabilitation in a bedded setting</v>
      </c>
      <c r="B951" t="str">
        <f>VLOOKUP(Table_Demand___Community_frontsheet[[#This Row],[Service Type]],PathwayLookup!E:F,2,0)</f>
        <v>Reablement &amp; Rehabilitation in a bedded setting</v>
      </c>
      <c r="C951" t="s">
        <v>335</v>
      </c>
      <c r="D951" t="s">
        <v>723</v>
      </c>
      <c r="E951">
        <v>6</v>
      </c>
      <c r="F951">
        <v>5</v>
      </c>
      <c r="G951">
        <v>5</v>
      </c>
      <c r="H951">
        <v>5</v>
      </c>
      <c r="I951">
        <v>5</v>
      </c>
      <c r="J951">
        <v>6</v>
      </c>
      <c r="K951">
        <v>6</v>
      </c>
      <c r="L951">
        <v>7</v>
      </c>
      <c r="M951">
        <v>7</v>
      </c>
      <c r="N951">
        <v>8</v>
      </c>
      <c r="O951">
        <v>8</v>
      </c>
      <c r="P951">
        <v>7</v>
      </c>
    </row>
    <row r="952" spans="1:16" x14ac:dyDescent="0.3">
      <c r="A952" t="str">
        <f>Table_Demand___Community_frontsheet[[#This Row],[Name]]&amp;B952</f>
        <v>Waltham ForestReablement &amp; Rehabilitation in a bedded setting</v>
      </c>
      <c r="B952" t="str">
        <f>VLOOKUP(Table_Demand___Community_frontsheet[[#This Row],[Service Type]],PathwayLookup!E:F,2,0)</f>
        <v>Reablement &amp; Rehabilitation in a bedded setting</v>
      </c>
      <c r="C952" t="s">
        <v>335</v>
      </c>
      <c r="D952" t="s">
        <v>725</v>
      </c>
      <c r="E952">
        <v>28</v>
      </c>
      <c r="F952">
        <v>28</v>
      </c>
      <c r="G952">
        <v>28</v>
      </c>
      <c r="H952">
        <v>28</v>
      </c>
      <c r="I952">
        <v>28</v>
      </c>
      <c r="J952">
        <v>32</v>
      </c>
      <c r="K952">
        <v>32</v>
      </c>
      <c r="L952">
        <v>32</v>
      </c>
      <c r="M952">
        <v>32</v>
      </c>
      <c r="N952">
        <v>32</v>
      </c>
      <c r="O952">
        <v>32</v>
      </c>
      <c r="P952">
        <v>32</v>
      </c>
    </row>
    <row r="953" spans="1:16" x14ac:dyDescent="0.3">
      <c r="A953" t="str">
        <f>Table_Demand___Community_frontsheet[[#This Row],[Name]]&amp;B953</f>
        <v>Waltham ForestOther short-term social care</v>
      </c>
      <c r="B953" t="str">
        <f>VLOOKUP(Table_Demand___Community_frontsheet[[#This Row],[Service Type]],PathwayLookup!E:F,2,0)</f>
        <v>Other short-term social care</v>
      </c>
      <c r="C953" t="s">
        <v>335</v>
      </c>
      <c r="D953" t="s">
        <v>708</v>
      </c>
      <c r="E953">
        <v>85</v>
      </c>
      <c r="F953">
        <v>90</v>
      </c>
      <c r="G953">
        <v>95</v>
      </c>
      <c r="H953">
        <v>90</v>
      </c>
      <c r="I953">
        <v>85</v>
      </c>
      <c r="J953">
        <v>80</v>
      </c>
      <c r="K953">
        <v>75</v>
      </c>
      <c r="L953">
        <v>75</v>
      </c>
      <c r="M953">
        <v>75</v>
      </c>
      <c r="N953">
        <v>80</v>
      </c>
      <c r="O953">
        <v>80</v>
      </c>
      <c r="P953">
        <v>80</v>
      </c>
    </row>
    <row r="954" spans="1:16" x14ac:dyDescent="0.3">
      <c r="A954" t="str">
        <f>Table_Demand___Community_frontsheet[[#This Row],[Name]]&amp;B954</f>
        <v>WandsworthSocial support (including VCS)</v>
      </c>
      <c r="B954" t="str">
        <f>VLOOKUP(Table_Demand___Community_frontsheet[[#This Row],[Service Type]],PathwayLookup!E:F,2,0)</f>
        <v>Social support (including VCS)</v>
      </c>
      <c r="C954" t="s">
        <v>337</v>
      </c>
      <c r="D954" t="s">
        <v>704</v>
      </c>
      <c r="E954">
        <v>34</v>
      </c>
      <c r="F954">
        <v>36</v>
      </c>
      <c r="G954">
        <v>37</v>
      </c>
      <c r="H954">
        <v>39</v>
      </c>
      <c r="I954">
        <v>38</v>
      </c>
      <c r="J954">
        <v>39</v>
      </c>
      <c r="K954">
        <v>42</v>
      </c>
      <c r="L954">
        <v>38</v>
      </c>
      <c r="M954">
        <v>39</v>
      </c>
      <c r="N954">
        <v>37</v>
      </c>
      <c r="O954">
        <v>36</v>
      </c>
      <c r="P954">
        <v>38</v>
      </c>
    </row>
    <row r="955" spans="1:16" x14ac:dyDescent="0.3">
      <c r="A955" t="str">
        <f>Table_Demand___Community_frontsheet[[#This Row],[Name]]&amp;B955</f>
        <v>WandsworthUrgent Community Response</v>
      </c>
      <c r="B955" t="str">
        <f>VLOOKUP(Table_Demand___Community_frontsheet[[#This Row],[Service Type]],PathwayLookup!E:F,2,0)</f>
        <v>Urgent Community Response</v>
      </c>
      <c r="C955" t="s">
        <v>337</v>
      </c>
      <c r="D955" t="s">
        <v>705</v>
      </c>
      <c r="E955">
        <v>94</v>
      </c>
      <c r="F955">
        <v>101</v>
      </c>
      <c r="G955">
        <v>103</v>
      </c>
      <c r="H955">
        <v>109</v>
      </c>
      <c r="I955">
        <v>105</v>
      </c>
      <c r="J955">
        <v>110</v>
      </c>
      <c r="K955">
        <v>116</v>
      </c>
      <c r="L955">
        <v>107</v>
      </c>
      <c r="M955">
        <v>107</v>
      </c>
      <c r="N955">
        <v>104</v>
      </c>
      <c r="O955">
        <v>100</v>
      </c>
      <c r="P955">
        <v>105</v>
      </c>
    </row>
    <row r="956" spans="1:16" x14ac:dyDescent="0.3">
      <c r="A956" t="str">
        <f>Table_Demand___Community_frontsheet[[#This Row],[Name]]&amp;B956</f>
        <v>WandsworthReablement &amp; Rehabilitation at home</v>
      </c>
      <c r="B956" t="str">
        <f>VLOOKUP(Table_Demand___Community_frontsheet[[#This Row],[Service Type]],PathwayLookup!E:F,2,0)</f>
        <v>Reablement &amp; Rehabilitation at home</v>
      </c>
      <c r="C956" t="s">
        <v>337</v>
      </c>
      <c r="D956" t="s">
        <v>720</v>
      </c>
      <c r="E956">
        <v>36</v>
      </c>
      <c r="F956">
        <v>38</v>
      </c>
      <c r="G956">
        <v>39</v>
      </c>
      <c r="H956">
        <v>41</v>
      </c>
      <c r="I956">
        <v>39</v>
      </c>
      <c r="J956">
        <v>41</v>
      </c>
      <c r="K956">
        <v>44</v>
      </c>
      <c r="L956">
        <v>40</v>
      </c>
      <c r="M956">
        <v>39</v>
      </c>
      <c r="N956">
        <v>39</v>
      </c>
      <c r="O956">
        <v>38</v>
      </c>
      <c r="P956">
        <v>40</v>
      </c>
    </row>
    <row r="957" spans="1:16" x14ac:dyDescent="0.3">
      <c r="A957" t="str">
        <f>Table_Demand___Community_frontsheet[[#This Row],[Name]]&amp;B957</f>
        <v>WandsworthReablement &amp; Rehabilitation at home</v>
      </c>
      <c r="B957" t="str">
        <f>VLOOKUP(Table_Demand___Community_frontsheet[[#This Row],[Service Type]],PathwayLookup!E:F,2,0)</f>
        <v>Reablement &amp; Rehabilitation at home</v>
      </c>
      <c r="C957" t="s">
        <v>337</v>
      </c>
      <c r="D957" t="s">
        <v>721</v>
      </c>
      <c r="E957">
        <v>204</v>
      </c>
      <c r="F957">
        <v>218</v>
      </c>
      <c r="G957">
        <v>222</v>
      </c>
      <c r="H957">
        <v>236</v>
      </c>
      <c r="I957">
        <v>227</v>
      </c>
      <c r="J957">
        <v>237</v>
      </c>
      <c r="K957">
        <v>251</v>
      </c>
      <c r="L957">
        <v>231</v>
      </c>
      <c r="M957">
        <v>232</v>
      </c>
      <c r="N957">
        <v>224</v>
      </c>
      <c r="O957">
        <v>215</v>
      </c>
      <c r="P957">
        <v>226</v>
      </c>
    </row>
    <row r="958" spans="1:16" x14ac:dyDescent="0.3">
      <c r="A958" t="str">
        <f>Table_Demand___Community_frontsheet[[#This Row],[Name]]&amp;B958</f>
        <v>WandsworthReablement &amp; Rehabilitation in a bedded setting</v>
      </c>
      <c r="B958" t="str">
        <f>VLOOKUP(Table_Demand___Community_frontsheet[[#This Row],[Service Type]],PathwayLookup!E:F,2,0)</f>
        <v>Reablement &amp; Rehabilitation in a bedded setting</v>
      </c>
      <c r="C958" t="s">
        <v>337</v>
      </c>
      <c r="D958" t="s">
        <v>723</v>
      </c>
      <c r="E958">
        <v>0</v>
      </c>
      <c r="F958">
        <v>0</v>
      </c>
      <c r="G958">
        <v>0</v>
      </c>
      <c r="H958">
        <v>0</v>
      </c>
      <c r="I958">
        <v>0</v>
      </c>
      <c r="J958">
        <v>0</v>
      </c>
      <c r="K958">
        <v>0</v>
      </c>
      <c r="L958">
        <v>0</v>
      </c>
      <c r="M958">
        <v>0</v>
      </c>
      <c r="N958">
        <v>0</v>
      </c>
      <c r="O958">
        <v>0</v>
      </c>
      <c r="P958">
        <v>0</v>
      </c>
    </row>
    <row r="959" spans="1:16" x14ac:dyDescent="0.3">
      <c r="A959" t="str">
        <f>Table_Demand___Community_frontsheet[[#This Row],[Name]]&amp;B959</f>
        <v>WandsworthReablement &amp; Rehabilitation in a bedded setting</v>
      </c>
      <c r="B959" t="str">
        <f>VLOOKUP(Table_Demand___Community_frontsheet[[#This Row],[Service Type]],PathwayLookup!E:F,2,0)</f>
        <v>Reablement &amp; Rehabilitation in a bedded setting</v>
      </c>
      <c r="C959" t="s">
        <v>337</v>
      </c>
      <c r="D959" t="s">
        <v>725</v>
      </c>
      <c r="E959">
        <v>0</v>
      </c>
      <c r="F959">
        <v>0</v>
      </c>
      <c r="G959">
        <v>0</v>
      </c>
      <c r="H959">
        <v>0</v>
      </c>
      <c r="I959">
        <v>0</v>
      </c>
      <c r="J959">
        <v>0</v>
      </c>
      <c r="K959">
        <v>0</v>
      </c>
      <c r="L959">
        <v>0</v>
      </c>
      <c r="M959">
        <v>0</v>
      </c>
      <c r="N959">
        <v>0</v>
      </c>
      <c r="O959">
        <v>0</v>
      </c>
      <c r="P959">
        <v>0</v>
      </c>
    </row>
    <row r="960" spans="1:16" x14ac:dyDescent="0.3">
      <c r="A960" t="str">
        <f>Table_Demand___Community_frontsheet[[#This Row],[Name]]&amp;B960</f>
        <v>WandsworthOther short-term social care</v>
      </c>
      <c r="B960" t="str">
        <f>VLOOKUP(Table_Demand___Community_frontsheet[[#This Row],[Service Type]],PathwayLookup!E:F,2,0)</f>
        <v>Other short-term social care</v>
      </c>
      <c r="C960" t="s">
        <v>337</v>
      </c>
      <c r="D960" t="s">
        <v>708</v>
      </c>
      <c r="E960">
        <v>9</v>
      </c>
      <c r="F960">
        <v>10</v>
      </c>
      <c r="G960">
        <v>10</v>
      </c>
      <c r="H960">
        <v>11</v>
      </c>
      <c r="I960">
        <v>10</v>
      </c>
      <c r="J960">
        <v>10</v>
      </c>
      <c r="K960">
        <v>11</v>
      </c>
      <c r="L960">
        <v>10</v>
      </c>
      <c r="M960">
        <v>10</v>
      </c>
      <c r="N960">
        <v>10</v>
      </c>
      <c r="O960">
        <v>10</v>
      </c>
      <c r="P960">
        <v>10</v>
      </c>
    </row>
    <row r="961" spans="1:16" x14ac:dyDescent="0.3">
      <c r="A961" t="str">
        <f>Table_Demand___Community_frontsheet[[#This Row],[Name]]&amp;B961</f>
        <v>WarringtonSocial support (including VCS)</v>
      </c>
      <c r="B961" t="str">
        <f>VLOOKUP(Table_Demand___Community_frontsheet[[#This Row],[Service Type]],PathwayLookup!E:F,2,0)</f>
        <v>Social support (including VCS)</v>
      </c>
      <c r="C961" t="s">
        <v>339</v>
      </c>
      <c r="D961" t="s">
        <v>704</v>
      </c>
      <c r="E961">
        <v>281</v>
      </c>
      <c r="F961">
        <v>281</v>
      </c>
      <c r="G961">
        <v>281</v>
      </c>
      <c r="H961">
        <v>281</v>
      </c>
      <c r="I961">
        <v>281</v>
      </c>
      <c r="J961">
        <v>281</v>
      </c>
      <c r="K961">
        <v>281</v>
      </c>
      <c r="L961">
        <v>281</v>
      </c>
      <c r="M961">
        <v>301</v>
      </c>
      <c r="N961">
        <v>301</v>
      </c>
      <c r="O961">
        <v>301</v>
      </c>
      <c r="P961">
        <v>301</v>
      </c>
    </row>
    <row r="962" spans="1:16" x14ac:dyDescent="0.3">
      <c r="A962" t="str">
        <f>Table_Demand___Community_frontsheet[[#This Row],[Name]]&amp;B962</f>
        <v>WarringtonUrgent Community Response</v>
      </c>
      <c r="B962" t="str">
        <f>VLOOKUP(Table_Demand___Community_frontsheet[[#This Row],[Service Type]],PathwayLookup!E:F,2,0)</f>
        <v>Urgent Community Response</v>
      </c>
      <c r="C962" t="s">
        <v>339</v>
      </c>
      <c r="D962" t="s">
        <v>705</v>
      </c>
      <c r="E962">
        <v>234</v>
      </c>
      <c r="F962">
        <v>234</v>
      </c>
      <c r="G962">
        <v>234</v>
      </c>
      <c r="H962">
        <v>260</v>
      </c>
      <c r="I962">
        <v>260</v>
      </c>
      <c r="J962">
        <v>260</v>
      </c>
      <c r="K962">
        <v>270</v>
      </c>
      <c r="L962">
        <v>270</v>
      </c>
      <c r="M962">
        <v>270</v>
      </c>
      <c r="N962">
        <v>280</v>
      </c>
      <c r="O962">
        <v>280</v>
      </c>
      <c r="P962">
        <v>280</v>
      </c>
    </row>
    <row r="963" spans="1:16" x14ac:dyDescent="0.3">
      <c r="A963" t="str">
        <f>Table_Demand___Community_frontsheet[[#This Row],[Name]]&amp;B963</f>
        <v>WarringtonReablement &amp; Rehabilitation at home</v>
      </c>
      <c r="B963" t="str">
        <f>VLOOKUP(Table_Demand___Community_frontsheet[[#This Row],[Service Type]],PathwayLookup!E:F,2,0)</f>
        <v>Reablement &amp; Rehabilitation at home</v>
      </c>
      <c r="C963" t="s">
        <v>339</v>
      </c>
      <c r="D963" t="s">
        <v>720</v>
      </c>
      <c r="E963">
        <v>27</v>
      </c>
      <c r="F963">
        <v>29</v>
      </c>
      <c r="G963">
        <v>35</v>
      </c>
      <c r="H963">
        <v>36</v>
      </c>
      <c r="I963">
        <v>33</v>
      </c>
      <c r="J963">
        <v>48</v>
      </c>
      <c r="K963">
        <v>55</v>
      </c>
      <c r="L963">
        <v>65</v>
      </c>
      <c r="M963">
        <v>74</v>
      </c>
      <c r="N963">
        <v>75</v>
      </c>
      <c r="O963">
        <v>88</v>
      </c>
      <c r="P963">
        <v>71</v>
      </c>
    </row>
    <row r="964" spans="1:16" x14ac:dyDescent="0.3">
      <c r="A964" t="str">
        <f>Table_Demand___Community_frontsheet[[#This Row],[Name]]&amp;B964</f>
        <v>WarringtonReablement &amp; Rehabilitation at home</v>
      </c>
      <c r="B964" t="str">
        <f>VLOOKUP(Table_Demand___Community_frontsheet[[#This Row],[Service Type]],PathwayLookup!E:F,2,0)</f>
        <v>Reablement &amp; Rehabilitation at home</v>
      </c>
      <c r="C964" t="s">
        <v>339</v>
      </c>
      <c r="D964" t="s">
        <v>721</v>
      </c>
      <c r="E964">
        <v>0</v>
      </c>
      <c r="F964">
        <v>0</v>
      </c>
      <c r="G964">
        <v>0</v>
      </c>
      <c r="H964">
        <v>0</v>
      </c>
      <c r="I964">
        <v>0</v>
      </c>
      <c r="J964">
        <v>0</v>
      </c>
      <c r="K964">
        <v>0</v>
      </c>
      <c r="L964">
        <v>0</v>
      </c>
      <c r="M964">
        <v>0</v>
      </c>
      <c r="N964">
        <v>0</v>
      </c>
      <c r="O964">
        <v>0</v>
      </c>
      <c r="P964">
        <v>0</v>
      </c>
    </row>
    <row r="965" spans="1:16" x14ac:dyDescent="0.3">
      <c r="A965" t="str">
        <f>Table_Demand___Community_frontsheet[[#This Row],[Name]]&amp;B965</f>
        <v>WarringtonReablement &amp; Rehabilitation in a bedded setting</v>
      </c>
      <c r="B965" t="str">
        <f>VLOOKUP(Table_Demand___Community_frontsheet[[#This Row],[Service Type]],PathwayLookup!E:F,2,0)</f>
        <v>Reablement &amp; Rehabilitation in a bedded setting</v>
      </c>
      <c r="C965" t="s">
        <v>339</v>
      </c>
      <c r="D965" t="s">
        <v>723</v>
      </c>
      <c r="E965">
        <v>3</v>
      </c>
      <c r="F965">
        <v>3</v>
      </c>
      <c r="G965">
        <v>3</v>
      </c>
      <c r="H965">
        <v>3</v>
      </c>
      <c r="I965">
        <v>3</v>
      </c>
      <c r="J965">
        <v>3</v>
      </c>
      <c r="K965">
        <v>3</v>
      </c>
      <c r="L965">
        <v>3</v>
      </c>
      <c r="M965">
        <v>3</v>
      </c>
      <c r="N965">
        <v>3</v>
      </c>
      <c r="O965">
        <v>3</v>
      </c>
      <c r="P965">
        <v>3</v>
      </c>
    </row>
    <row r="966" spans="1:16" x14ac:dyDescent="0.3">
      <c r="A966" t="str">
        <f>Table_Demand___Community_frontsheet[[#This Row],[Name]]&amp;B966</f>
        <v>WarringtonReablement &amp; Rehabilitation in a bedded setting</v>
      </c>
      <c r="B966" t="str">
        <f>VLOOKUP(Table_Demand___Community_frontsheet[[#This Row],[Service Type]],PathwayLookup!E:F,2,0)</f>
        <v>Reablement &amp; Rehabilitation in a bedded setting</v>
      </c>
      <c r="C966" t="s">
        <v>339</v>
      </c>
      <c r="D966" t="s">
        <v>725</v>
      </c>
      <c r="E966">
        <v>1</v>
      </c>
      <c r="F966">
        <v>3</v>
      </c>
      <c r="G966">
        <v>2</v>
      </c>
      <c r="H966">
        <v>3</v>
      </c>
      <c r="I966">
        <v>3</v>
      </c>
      <c r="J966">
        <v>3</v>
      </c>
      <c r="K966">
        <v>3</v>
      </c>
      <c r="L966">
        <v>3</v>
      </c>
      <c r="M966">
        <v>3</v>
      </c>
      <c r="N966">
        <v>3</v>
      </c>
      <c r="O966">
        <v>3</v>
      </c>
      <c r="P966">
        <v>3</v>
      </c>
    </row>
    <row r="967" spans="1:16" x14ac:dyDescent="0.3">
      <c r="A967" t="str">
        <f>Table_Demand___Community_frontsheet[[#This Row],[Name]]&amp;B967</f>
        <v>WarringtonOther short-term social care</v>
      </c>
      <c r="B967" t="str">
        <f>VLOOKUP(Table_Demand___Community_frontsheet[[#This Row],[Service Type]],PathwayLookup!E:F,2,0)</f>
        <v>Other short-term social care</v>
      </c>
      <c r="C967" t="s">
        <v>339</v>
      </c>
      <c r="D967" t="s">
        <v>708</v>
      </c>
      <c r="E967">
        <v>20</v>
      </c>
      <c r="F967">
        <v>20</v>
      </c>
      <c r="G967">
        <v>20</v>
      </c>
      <c r="H967">
        <v>20</v>
      </c>
      <c r="I967">
        <v>20</v>
      </c>
      <c r="J967">
        <v>20</v>
      </c>
      <c r="K967">
        <v>20</v>
      </c>
      <c r="L967">
        <v>20</v>
      </c>
      <c r="M967">
        <v>20</v>
      </c>
      <c r="N967">
        <v>20</v>
      </c>
      <c r="O967">
        <v>20</v>
      </c>
      <c r="P967">
        <v>20</v>
      </c>
    </row>
    <row r="968" spans="1:16" x14ac:dyDescent="0.3">
      <c r="A968" t="str">
        <f>Table_Demand___Community_frontsheet[[#This Row],[Name]]&amp;B968</f>
        <v>WarwickshireSocial support (including VCS)</v>
      </c>
      <c r="B968" t="str">
        <f>VLOOKUP(Table_Demand___Community_frontsheet[[#This Row],[Service Type]],PathwayLookup!E:F,2,0)</f>
        <v>Social support (including VCS)</v>
      </c>
      <c r="C968" t="s">
        <v>341</v>
      </c>
      <c r="D968" t="s">
        <v>704</v>
      </c>
      <c r="E968">
        <v>0</v>
      </c>
      <c r="F968">
        <v>0</v>
      </c>
      <c r="G968">
        <v>0</v>
      </c>
      <c r="H968">
        <v>0</v>
      </c>
      <c r="I968">
        <v>0</v>
      </c>
      <c r="J968">
        <v>0</v>
      </c>
      <c r="K968">
        <v>0</v>
      </c>
      <c r="L968">
        <v>0</v>
      </c>
      <c r="M968">
        <v>0</v>
      </c>
      <c r="N968">
        <v>0</v>
      </c>
      <c r="O968">
        <v>0</v>
      </c>
      <c r="P968">
        <v>0</v>
      </c>
    </row>
    <row r="969" spans="1:16" x14ac:dyDescent="0.3">
      <c r="A969" t="str">
        <f>Table_Demand___Community_frontsheet[[#This Row],[Name]]&amp;B969</f>
        <v>WarwickshireUrgent Community Response</v>
      </c>
      <c r="B969" t="str">
        <f>VLOOKUP(Table_Demand___Community_frontsheet[[#This Row],[Service Type]],PathwayLookup!E:F,2,0)</f>
        <v>Urgent Community Response</v>
      </c>
      <c r="C969" t="s">
        <v>341</v>
      </c>
      <c r="D969" t="s">
        <v>705</v>
      </c>
      <c r="E969">
        <v>1095</v>
      </c>
      <c r="F969">
        <v>1131</v>
      </c>
      <c r="G969">
        <v>1095</v>
      </c>
      <c r="H969">
        <v>1129</v>
      </c>
      <c r="I969">
        <v>1129</v>
      </c>
      <c r="J969">
        <v>1092</v>
      </c>
      <c r="K969">
        <v>1137</v>
      </c>
      <c r="L969">
        <v>1101</v>
      </c>
      <c r="M969">
        <v>1137</v>
      </c>
      <c r="N969">
        <v>1163</v>
      </c>
      <c r="O969">
        <v>1050</v>
      </c>
      <c r="P969">
        <v>1163</v>
      </c>
    </row>
    <row r="970" spans="1:16" x14ac:dyDescent="0.3">
      <c r="A970" t="str">
        <f>Table_Demand___Community_frontsheet[[#This Row],[Name]]&amp;B970</f>
        <v>WarwickshireReablement &amp; Rehabilitation at home</v>
      </c>
      <c r="B970" t="str">
        <f>VLOOKUP(Table_Demand___Community_frontsheet[[#This Row],[Service Type]],PathwayLookup!E:F,2,0)</f>
        <v>Reablement &amp; Rehabilitation at home</v>
      </c>
      <c r="C970" t="s">
        <v>341</v>
      </c>
      <c r="D970" t="s">
        <v>720</v>
      </c>
      <c r="E970">
        <v>24</v>
      </c>
      <c r="F970">
        <v>25</v>
      </c>
      <c r="G970">
        <v>24</v>
      </c>
      <c r="H970">
        <v>25</v>
      </c>
      <c r="I970">
        <v>25</v>
      </c>
      <c r="J970">
        <v>24</v>
      </c>
      <c r="K970">
        <v>25</v>
      </c>
      <c r="L970">
        <v>24</v>
      </c>
      <c r="M970">
        <v>25</v>
      </c>
      <c r="N970">
        <v>25</v>
      </c>
      <c r="O970">
        <v>22</v>
      </c>
      <c r="P970">
        <v>25</v>
      </c>
    </row>
    <row r="971" spans="1:16" x14ac:dyDescent="0.3">
      <c r="A971" t="str">
        <f>Table_Demand___Community_frontsheet[[#This Row],[Name]]&amp;B971</f>
        <v>WarwickshireReablement &amp; Rehabilitation at home</v>
      </c>
      <c r="B971" t="str">
        <f>VLOOKUP(Table_Demand___Community_frontsheet[[#This Row],[Service Type]],PathwayLookup!E:F,2,0)</f>
        <v>Reablement &amp; Rehabilitation at home</v>
      </c>
      <c r="C971" t="s">
        <v>341</v>
      </c>
      <c r="D971" t="s">
        <v>721</v>
      </c>
      <c r="E971">
        <v>0</v>
      </c>
      <c r="F971">
        <v>0</v>
      </c>
      <c r="G971">
        <v>0</v>
      </c>
      <c r="H971">
        <v>0</v>
      </c>
      <c r="I971">
        <v>0</v>
      </c>
      <c r="J971">
        <v>0</v>
      </c>
      <c r="K971">
        <v>0</v>
      </c>
      <c r="L971">
        <v>0</v>
      </c>
      <c r="M971">
        <v>0</v>
      </c>
      <c r="N971">
        <v>0</v>
      </c>
      <c r="O971">
        <v>0</v>
      </c>
      <c r="P971">
        <v>0</v>
      </c>
    </row>
    <row r="972" spans="1:16" x14ac:dyDescent="0.3">
      <c r="A972" t="str">
        <f>Table_Demand___Community_frontsheet[[#This Row],[Name]]&amp;B972</f>
        <v>WarwickshireReablement &amp; Rehabilitation in a bedded setting</v>
      </c>
      <c r="B972" t="str">
        <f>VLOOKUP(Table_Demand___Community_frontsheet[[#This Row],[Service Type]],PathwayLookup!E:F,2,0)</f>
        <v>Reablement &amp; Rehabilitation in a bedded setting</v>
      </c>
      <c r="C972" t="s">
        <v>341</v>
      </c>
      <c r="D972" t="s">
        <v>723</v>
      </c>
      <c r="E972">
        <v>0</v>
      </c>
      <c r="F972">
        <v>0</v>
      </c>
      <c r="G972">
        <v>0</v>
      </c>
      <c r="H972">
        <v>0</v>
      </c>
      <c r="I972">
        <v>0</v>
      </c>
      <c r="J972">
        <v>0</v>
      </c>
      <c r="K972">
        <v>0</v>
      </c>
      <c r="L972">
        <v>0</v>
      </c>
      <c r="M972">
        <v>0</v>
      </c>
      <c r="N972">
        <v>0</v>
      </c>
      <c r="O972">
        <v>0</v>
      </c>
      <c r="P972">
        <v>0</v>
      </c>
    </row>
    <row r="973" spans="1:16" x14ac:dyDescent="0.3">
      <c r="A973" t="str">
        <f>Table_Demand___Community_frontsheet[[#This Row],[Name]]&amp;B973</f>
        <v>WarwickshireReablement &amp; Rehabilitation in a bedded setting</v>
      </c>
      <c r="B973" t="str">
        <f>VLOOKUP(Table_Demand___Community_frontsheet[[#This Row],[Service Type]],PathwayLookup!E:F,2,0)</f>
        <v>Reablement &amp; Rehabilitation in a bedded setting</v>
      </c>
      <c r="C973" t="s">
        <v>341</v>
      </c>
      <c r="D973" t="s">
        <v>725</v>
      </c>
      <c r="E973">
        <v>0</v>
      </c>
      <c r="F973">
        <v>0</v>
      </c>
      <c r="G973">
        <v>0</v>
      </c>
      <c r="H973">
        <v>0</v>
      </c>
      <c r="I973">
        <v>0</v>
      </c>
      <c r="J973">
        <v>0</v>
      </c>
      <c r="K973">
        <v>0</v>
      </c>
      <c r="L973">
        <v>0</v>
      </c>
      <c r="M973">
        <v>0</v>
      </c>
      <c r="N973">
        <v>0</v>
      </c>
      <c r="O973">
        <v>0</v>
      </c>
      <c r="P973">
        <v>0</v>
      </c>
    </row>
    <row r="974" spans="1:16" x14ac:dyDescent="0.3">
      <c r="A974" t="str">
        <f>Table_Demand___Community_frontsheet[[#This Row],[Name]]&amp;B974</f>
        <v>WarwickshireOther short-term social care</v>
      </c>
      <c r="B974" t="str">
        <f>VLOOKUP(Table_Demand___Community_frontsheet[[#This Row],[Service Type]],PathwayLookup!E:F,2,0)</f>
        <v>Other short-term social care</v>
      </c>
      <c r="C974" t="s">
        <v>341</v>
      </c>
      <c r="D974" t="s">
        <v>708</v>
      </c>
      <c r="E974">
        <v>0</v>
      </c>
      <c r="F974">
        <v>0</v>
      </c>
      <c r="G974">
        <v>0</v>
      </c>
      <c r="H974">
        <v>0</v>
      </c>
      <c r="I974">
        <v>0</v>
      </c>
      <c r="J974">
        <v>0</v>
      </c>
      <c r="K974">
        <v>0</v>
      </c>
      <c r="L974">
        <v>0</v>
      </c>
      <c r="M974">
        <v>0</v>
      </c>
      <c r="N974">
        <v>0</v>
      </c>
      <c r="O974">
        <v>0</v>
      </c>
      <c r="P974">
        <v>0</v>
      </c>
    </row>
    <row r="975" spans="1:16" x14ac:dyDescent="0.3">
      <c r="A975" t="str">
        <f>Table_Demand___Community_frontsheet[[#This Row],[Name]]&amp;B975</f>
        <v>West BerkshireSocial support (including VCS)</v>
      </c>
      <c r="B975" t="str">
        <f>VLOOKUP(Table_Demand___Community_frontsheet[[#This Row],[Service Type]],PathwayLookup!E:F,2,0)</f>
        <v>Social support (including VCS)</v>
      </c>
      <c r="C975" t="s">
        <v>343</v>
      </c>
      <c r="D975" t="s">
        <v>704</v>
      </c>
      <c r="E975">
        <v>0</v>
      </c>
      <c r="F975">
        <v>0</v>
      </c>
      <c r="G975">
        <v>0</v>
      </c>
      <c r="H975">
        <v>0</v>
      </c>
      <c r="I975">
        <v>0</v>
      </c>
      <c r="J975">
        <v>0</v>
      </c>
      <c r="K975">
        <v>0</v>
      </c>
      <c r="L975">
        <v>0</v>
      </c>
      <c r="M975">
        <v>0</v>
      </c>
      <c r="N975">
        <v>0</v>
      </c>
      <c r="O975">
        <v>0</v>
      </c>
      <c r="P975">
        <v>0</v>
      </c>
    </row>
    <row r="976" spans="1:16" x14ac:dyDescent="0.3">
      <c r="A976" t="str">
        <f>Table_Demand___Community_frontsheet[[#This Row],[Name]]&amp;B976</f>
        <v>West BerkshireUrgent Community Response</v>
      </c>
      <c r="B976" t="str">
        <f>VLOOKUP(Table_Demand___Community_frontsheet[[#This Row],[Service Type]],PathwayLookup!E:F,2,0)</f>
        <v>Urgent Community Response</v>
      </c>
      <c r="C976" t="s">
        <v>343</v>
      </c>
      <c r="D976" t="s">
        <v>705</v>
      </c>
      <c r="E976">
        <v>138</v>
      </c>
      <c r="F976">
        <v>138</v>
      </c>
      <c r="G976">
        <v>138</v>
      </c>
      <c r="H976">
        <v>138</v>
      </c>
      <c r="I976">
        <v>138</v>
      </c>
      <c r="J976">
        <v>138</v>
      </c>
      <c r="K976">
        <v>138</v>
      </c>
      <c r="L976">
        <v>138</v>
      </c>
      <c r="M976">
        <v>138</v>
      </c>
      <c r="N976">
        <v>138</v>
      </c>
      <c r="O976">
        <v>138</v>
      </c>
      <c r="P976">
        <v>138</v>
      </c>
    </row>
    <row r="977" spans="1:16" x14ac:dyDescent="0.3">
      <c r="A977" t="str">
        <f>Table_Demand___Community_frontsheet[[#This Row],[Name]]&amp;B977</f>
        <v>West BerkshireReablement &amp; Rehabilitation at home</v>
      </c>
      <c r="B977" t="str">
        <f>VLOOKUP(Table_Demand___Community_frontsheet[[#This Row],[Service Type]],PathwayLookup!E:F,2,0)</f>
        <v>Reablement &amp; Rehabilitation at home</v>
      </c>
      <c r="C977" t="s">
        <v>343</v>
      </c>
      <c r="D977" t="s">
        <v>720</v>
      </c>
      <c r="E977">
        <v>0</v>
      </c>
      <c r="F977">
        <v>0</v>
      </c>
      <c r="G977">
        <v>0</v>
      </c>
      <c r="H977">
        <v>0</v>
      </c>
      <c r="I977">
        <v>0</v>
      </c>
      <c r="J977">
        <v>0</v>
      </c>
      <c r="K977">
        <v>0</v>
      </c>
      <c r="L977">
        <v>0</v>
      </c>
      <c r="M977">
        <v>0</v>
      </c>
      <c r="N977">
        <v>0</v>
      </c>
      <c r="O977">
        <v>0</v>
      </c>
      <c r="P977">
        <v>0</v>
      </c>
    </row>
    <row r="978" spans="1:16" x14ac:dyDescent="0.3">
      <c r="A978" t="str">
        <f>Table_Demand___Community_frontsheet[[#This Row],[Name]]&amp;B978</f>
        <v>West BerkshireReablement &amp; Rehabilitation at home</v>
      </c>
      <c r="B978" t="str">
        <f>VLOOKUP(Table_Demand___Community_frontsheet[[#This Row],[Service Type]],PathwayLookup!E:F,2,0)</f>
        <v>Reablement &amp; Rehabilitation at home</v>
      </c>
      <c r="C978" t="s">
        <v>343</v>
      </c>
      <c r="D978" t="s">
        <v>721</v>
      </c>
      <c r="E978">
        <v>101</v>
      </c>
      <c r="F978">
        <v>112</v>
      </c>
      <c r="G978">
        <v>116</v>
      </c>
      <c r="H978">
        <v>96</v>
      </c>
      <c r="I978">
        <v>99</v>
      </c>
      <c r="J978">
        <v>95</v>
      </c>
      <c r="K978">
        <v>96</v>
      </c>
      <c r="L978">
        <v>104</v>
      </c>
      <c r="M978">
        <v>86</v>
      </c>
      <c r="N978">
        <v>97</v>
      </c>
      <c r="O978">
        <v>92</v>
      </c>
      <c r="P978">
        <v>89</v>
      </c>
    </row>
    <row r="979" spans="1:16" x14ac:dyDescent="0.3">
      <c r="A979" t="str">
        <f>Table_Demand___Community_frontsheet[[#This Row],[Name]]&amp;B979</f>
        <v>West BerkshireReablement &amp; Rehabilitation in a bedded setting</v>
      </c>
      <c r="B979" t="str">
        <f>VLOOKUP(Table_Demand___Community_frontsheet[[#This Row],[Service Type]],PathwayLookup!E:F,2,0)</f>
        <v>Reablement &amp; Rehabilitation in a bedded setting</v>
      </c>
      <c r="C979" t="s">
        <v>343</v>
      </c>
      <c r="D979" t="s">
        <v>723</v>
      </c>
      <c r="E979">
        <v>0</v>
      </c>
      <c r="F979">
        <v>0</v>
      </c>
      <c r="G979">
        <v>0</v>
      </c>
      <c r="H979">
        <v>0</v>
      </c>
      <c r="I979">
        <v>0</v>
      </c>
      <c r="J979">
        <v>0</v>
      </c>
      <c r="K979">
        <v>0</v>
      </c>
      <c r="L979">
        <v>0</v>
      </c>
      <c r="M979">
        <v>0</v>
      </c>
      <c r="N979">
        <v>0</v>
      </c>
      <c r="O979">
        <v>0</v>
      </c>
      <c r="P979">
        <v>0</v>
      </c>
    </row>
    <row r="980" spans="1:16" x14ac:dyDescent="0.3">
      <c r="A980" t="str">
        <f>Table_Demand___Community_frontsheet[[#This Row],[Name]]&amp;B980</f>
        <v>West BerkshireReablement &amp; Rehabilitation in a bedded setting</v>
      </c>
      <c r="B980" t="str">
        <f>VLOOKUP(Table_Demand___Community_frontsheet[[#This Row],[Service Type]],PathwayLookup!E:F,2,0)</f>
        <v>Reablement &amp; Rehabilitation in a bedded setting</v>
      </c>
      <c r="C980" t="s">
        <v>343</v>
      </c>
      <c r="D980" t="s">
        <v>725</v>
      </c>
      <c r="E980">
        <v>0</v>
      </c>
      <c r="F980">
        <v>0</v>
      </c>
      <c r="G980">
        <v>0</v>
      </c>
      <c r="H980">
        <v>0</v>
      </c>
      <c r="I980">
        <v>0</v>
      </c>
      <c r="J980">
        <v>0</v>
      </c>
      <c r="K980">
        <v>0</v>
      </c>
      <c r="L980">
        <v>0</v>
      </c>
      <c r="M980">
        <v>0</v>
      </c>
      <c r="N980">
        <v>0</v>
      </c>
      <c r="O980">
        <v>0</v>
      </c>
      <c r="P980">
        <v>0</v>
      </c>
    </row>
    <row r="981" spans="1:16" x14ac:dyDescent="0.3">
      <c r="A981" t="str">
        <f>Table_Demand___Community_frontsheet[[#This Row],[Name]]&amp;B981</f>
        <v>West BerkshireOther short-term social care</v>
      </c>
      <c r="B981" t="str">
        <f>VLOOKUP(Table_Demand___Community_frontsheet[[#This Row],[Service Type]],PathwayLookup!E:F,2,0)</f>
        <v>Other short-term social care</v>
      </c>
      <c r="C981" t="s">
        <v>343</v>
      </c>
      <c r="D981" t="s">
        <v>708</v>
      </c>
      <c r="E981">
        <v>0</v>
      </c>
      <c r="F981">
        <v>0</v>
      </c>
      <c r="G981">
        <v>0</v>
      </c>
      <c r="H981">
        <v>0</v>
      </c>
      <c r="I981">
        <v>0</v>
      </c>
      <c r="J981">
        <v>0</v>
      </c>
      <c r="K981">
        <v>0</v>
      </c>
      <c r="L981">
        <v>0</v>
      </c>
      <c r="M981">
        <v>0</v>
      </c>
      <c r="N981">
        <v>0</v>
      </c>
      <c r="O981">
        <v>0</v>
      </c>
      <c r="P981">
        <v>0</v>
      </c>
    </row>
    <row r="982" spans="1:16" x14ac:dyDescent="0.3">
      <c r="A982" t="str">
        <f>Table_Demand___Community_frontsheet[[#This Row],[Name]]&amp;B982</f>
        <v>West NorthamptonshireSocial support (including VCS)</v>
      </c>
      <c r="B982" t="str">
        <f>VLOOKUP(Table_Demand___Community_frontsheet[[#This Row],[Service Type]],PathwayLookup!E:F,2,0)</f>
        <v>Social support (including VCS)</v>
      </c>
      <c r="C982" t="s">
        <v>345</v>
      </c>
      <c r="D982" t="s">
        <v>704</v>
      </c>
      <c r="E982">
        <v>25</v>
      </c>
      <c r="F982">
        <v>25</v>
      </c>
      <c r="G982">
        <v>25</v>
      </c>
      <c r="H982">
        <v>25</v>
      </c>
      <c r="I982">
        <v>25</v>
      </c>
      <c r="J982">
        <v>25</v>
      </c>
      <c r="K982">
        <v>25</v>
      </c>
      <c r="L982">
        <v>25</v>
      </c>
      <c r="M982">
        <v>25</v>
      </c>
      <c r="N982">
        <v>25</v>
      </c>
      <c r="O982">
        <v>25</v>
      </c>
      <c r="P982">
        <v>25</v>
      </c>
    </row>
    <row r="983" spans="1:16" x14ac:dyDescent="0.3">
      <c r="A983" t="str">
        <f>Table_Demand___Community_frontsheet[[#This Row],[Name]]&amp;B983</f>
        <v>West NorthamptonshireUrgent Community Response</v>
      </c>
      <c r="B983" t="str">
        <f>VLOOKUP(Table_Demand___Community_frontsheet[[#This Row],[Service Type]],PathwayLookup!E:F,2,0)</f>
        <v>Urgent Community Response</v>
      </c>
      <c r="C983" t="s">
        <v>345</v>
      </c>
      <c r="D983" t="s">
        <v>705</v>
      </c>
      <c r="E983">
        <v>496</v>
      </c>
      <c r="F983">
        <v>520</v>
      </c>
      <c r="G983">
        <v>503</v>
      </c>
      <c r="H983">
        <v>536</v>
      </c>
      <c r="I983">
        <v>536</v>
      </c>
      <c r="J983">
        <v>526</v>
      </c>
      <c r="K983">
        <v>544</v>
      </c>
      <c r="L983">
        <v>534</v>
      </c>
      <c r="M983">
        <v>552</v>
      </c>
      <c r="N983">
        <v>560</v>
      </c>
      <c r="O983">
        <v>506</v>
      </c>
      <c r="P983">
        <v>560</v>
      </c>
    </row>
    <row r="984" spans="1:16" x14ac:dyDescent="0.3">
      <c r="A984" t="str">
        <f>Table_Demand___Community_frontsheet[[#This Row],[Name]]&amp;B984</f>
        <v>West NorthamptonshireReablement &amp; Rehabilitation at home</v>
      </c>
      <c r="B984" t="str">
        <f>VLOOKUP(Table_Demand___Community_frontsheet[[#This Row],[Service Type]],PathwayLookup!E:F,2,0)</f>
        <v>Reablement &amp; Rehabilitation at home</v>
      </c>
      <c r="C984" t="s">
        <v>345</v>
      </c>
      <c r="D984" t="s">
        <v>720</v>
      </c>
      <c r="E984">
        <v>15</v>
      </c>
      <c r="F984">
        <v>15</v>
      </c>
      <c r="G984">
        <v>15</v>
      </c>
      <c r="H984">
        <v>15</v>
      </c>
      <c r="I984">
        <v>15</v>
      </c>
      <c r="J984">
        <v>15</v>
      </c>
      <c r="K984">
        <v>15</v>
      </c>
      <c r="L984">
        <v>15</v>
      </c>
      <c r="M984">
        <v>15</v>
      </c>
      <c r="N984">
        <v>15</v>
      </c>
      <c r="O984">
        <v>15</v>
      </c>
      <c r="P984">
        <v>15</v>
      </c>
    </row>
    <row r="985" spans="1:16" x14ac:dyDescent="0.3">
      <c r="A985" t="str">
        <f>Table_Demand___Community_frontsheet[[#This Row],[Name]]&amp;B985</f>
        <v>West NorthamptonshireReablement &amp; Rehabilitation at home</v>
      </c>
      <c r="B985" t="str">
        <f>VLOOKUP(Table_Demand___Community_frontsheet[[#This Row],[Service Type]],PathwayLookup!E:F,2,0)</f>
        <v>Reablement &amp; Rehabilitation at home</v>
      </c>
      <c r="C985" t="s">
        <v>345</v>
      </c>
      <c r="D985" t="s">
        <v>721</v>
      </c>
      <c r="E985">
        <v>0</v>
      </c>
      <c r="F985">
        <v>0</v>
      </c>
      <c r="G985">
        <v>0</v>
      </c>
      <c r="H985">
        <v>0</v>
      </c>
      <c r="I985">
        <v>0</v>
      </c>
      <c r="J985">
        <v>0</v>
      </c>
      <c r="K985">
        <v>0</v>
      </c>
      <c r="L985">
        <v>0</v>
      </c>
      <c r="M985">
        <v>0</v>
      </c>
      <c r="N985">
        <v>0</v>
      </c>
      <c r="O985">
        <v>0</v>
      </c>
      <c r="P985">
        <v>0</v>
      </c>
    </row>
    <row r="986" spans="1:16" x14ac:dyDescent="0.3">
      <c r="A986" t="str">
        <f>Table_Demand___Community_frontsheet[[#This Row],[Name]]&amp;B986</f>
        <v>West NorthamptonshireReablement &amp; Rehabilitation in a bedded setting</v>
      </c>
      <c r="B986" t="str">
        <f>VLOOKUP(Table_Demand___Community_frontsheet[[#This Row],[Service Type]],PathwayLookup!E:F,2,0)</f>
        <v>Reablement &amp; Rehabilitation in a bedded setting</v>
      </c>
      <c r="C986" t="s">
        <v>345</v>
      </c>
      <c r="D986" t="s">
        <v>723</v>
      </c>
    </row>
    <row r="987" spans="1:16" x14ac:dyDescent="0.3">
      <c r="A987" t="str">
        <f>Table_Demand___Community_frontsheet[[#This Row],[Name]]&amp;B987</f>
        <v>West NorthamptonshireReablement &amp; Rehabilitation in a bedded setting</v>
      </c>
      <c r="B987" t="str">
        <f>VLOOKUP(Table_Demand___Community_frontsheet[[#This Row],[Service Type]],PathwayLookup!E:F,2,0)</f>
        <v>Reablement &amp; Rehabilitation in a bedded setting</v>
      </c>
      <c r="C987" t="s">
        <v>345</v>
      </c>
      <c r="D987" t="s">
        <v>725</v>
      </c>
      <c r="E987">
        <v>3</v>
      </c>
      <c r="F987">
        <v>3</v>
      </c>
      <c r="G987">
        <v>3</v>
      </c>
      <c r="H987">
        <v>3</v>
      </c>
      <c r="I987">
        <v>3</v>
      </c>
      <c r="J987">
        <v>3</v>
      </c>
      <c r="K987">
        <v>3</v>
      </c>
      <c r="L987">
        <v>3</v>
      </c>
      <c r="M987">
        <v>3</v>
      </c>
      <c r="N987">
        <v>3</v>
      </c>
      <c r="O987">
        <v>3</v>
      </c>
      <c r="P987">
        <v>3</v>
      </c>
    </row>
    <row r="988" spans="1:16" x14ac:dyDescent="0.3">
      <c r="A988" t="str">
        <f>Table_Demand___Community_frontsheet[[#This Row],[Name]]&amp;B988</f>
        <v>West NorthamptonshireOther short-term social care</v>
      </c>
      <c r="B988" t="str">
        <f>VLOOKUP(Table_Demand___Community_frontsheet[[#This Row],[Service Type]],PathwayLookup!E:F,2,0)</f>
        <v>Other short-term social care</v>
      </c>
      <c r="C988" t="s">
        <v>345</v>
      </c>
      <c r="D988" t="s">
        <v>708</v>
      </c>
    </row>
    <row r="989" spans="1:16" x14ac:dyDescent="0.3">
      <c r="A989" t="str">
        <f>Table_Demand___Community_frontsheet[[#This Row],[Name]]&amp;B989</f>
        <v>West SussexSocial support (including VCS)</v>
      </c>
      <c r="B989" t="str">
        <f>VLOOKUP(Table_Demand___Community_frontsheet[[#This Row],[Service Type]],PathwayLookup!E:F,2,0)</f>
        <v>Social support (including VCS)</v>
      </c>
      <c r="C989" t="s">
        <v>347</v>
      </c>
      <c r="D989" t="s">
        <v>704</v>
      </c>
      <c r="E989">
        <v>0</v>
      </c>
      <c r="F989">
        <v>0</v>
      </c>
      <c r="G989">
        <v>0</v>
      </c>
      <c r="H989">
        <v>0</v>
      </c>
      <c r="I989">
        <v>0</v>
      </c>
      <c r="J989">
        <v>0</v>
      </c>
      <c r="K989">
        <v>0</v>
      </c>
      <c r="L989">
        <v>0</v>
      </c>
      <c r="M989">
        <v>0</v>
      </c>
      <c r="N989">
        <v>0</v>
      </c>
      <c r="O989">
        <v>0</v>
      </c>
      <c r="P989">
        <v>0</v>
      </c>
    </row>
    <row r="990" spans="1:16" x14ac:dyDescent="0.3">
      <c r="A990" t="str">
        <f>Table_Demand___Community_frontsheet[[#This Row],[Name]]&amp;B990</f>
        <v>West SussexUrgent Community Response</v>
      </c>
      <c r="B990" t="str">
        <f>VLOOKUP(Table_Demand___Community_frontsheet[[#This Row],[Service Type]],PathwayLookup!E:F,2,0)</f>
        <v>Urgent Community Response</v>
      </c>
      <c r="C990" t="s">
        <v>347</v>
      </c>
      <c r="D990" t="s">
        <v>705</v>
      </c>
      <c r="E990">
        <v>628</v>
      </c>
      <c r="F990">
        <v>649</v>
      </c>
      <c r="G990">
        <v>628</v>
      </c>
      <c r="H990">
        <v>649</v>
      </c>
      <c r="I990">
        <v>649</v>
      </c>
      <c r="J990">
        <v>628</v>
      </c>
      <c r="K990">
        <v>649</v>
      </c>
      <c r="L990">
        <v>628</v>
      </c>
      <c r="M990">
        <v>649</v>
      </c>
      <c r="N990">
        <v>649</v>
      </c>
      <c r="O990">
        <v>607</v>
      </c>
      <c r="P990">
        <v>649</v>
      </c>
    </row>
    <row r="991" spans="1:16" x14ac:dyDescent="0.3">
      <c r="A991" t="str">
        <f>Table_Demand___Community_frontsheet[[#This Row],[Name]]&amp;B991</f>
        <v>West SussexReablement &amp; Rehabilitation at home</v>
      </c>
      <c r="B991" t="str">
        <f>VLOOKUP(Table_Demand___Community_frontsheet[[#This Row],[Service Type]],PathwayLookup!E:F,2,0)</f>
        <v>Reablement &amp; Rehabilitation at home</v>
      </c>
      <c r="C991" t="s">
        <v>347</v>
      </c>
      <c r="D991" t="s">
        <v>720</v>
      </c>
      <c r="E991">
        <v>0</v>
      </c>
      <c r="F991">
        <v>0</v>
      </c>
      <c r="G991">
        <v>0</v>
      </c>
      <c r="H991">
        <v>0</v>
      </c>
      <c r="I991">
        <v>0</v>
      </c>
      <c r="J991">
        <v>0</v>
      </c>
      <c r="K991">
        <v>0</v>
      </c>
      <c r="L991">
        <v>0</v>
      </c>
      <c r="M991">
        <v>0</v>
      </c>
      <c r="N991">
        <v>0</v>
      </c>
      <c r="O991">
        <v>0</v>
      </c>
      <c r="P991">
        <v>0</v>
      </c>
    </row>
    <row r="992" spans="1:16" x14ac:dyDescent="0.3">
      <c r="A992" t="str">
        <f>Table_Demand___Community_frontsheet[[#This Row],[Name]]&amp;B992</f>
        <v>West SussexReablement &amp; Rehabilitation at home</v>
      </c>
      <c r="B992" t="str">
        <f>VLOOKUP(Table_Demand___Community_frontsheet[[#This Row],[Service Type]],PathwayLookup!E:F,2,0)</f>
        <v>Reablement &amp; Rehabilitation at home</v>
      </c>
      <c r="C992" t="s">
        <v>347</v>
      </c>
      <c r="D992" t="s">
        <v>721</v>
      </c>
      <c r="E992">
        <v>2070</v>
      </c>
      <c r="F992">
        <v>2139</v>
      </c>
      <c r="G992">
        <v>2070</v>
      </c>
      <c r="H992">
        <v>2139</v>
      </c>
      <c r="I992">
        <v>2139</v>
      </c>
      <c r="J992">
        <v>2070</v>
      </c>
      <c r="K992">
        <v>2139</v>
      </c>
      <c r="L992">
        <v>2070</v>
      </c>
      <c r="M992">
        <v>2139</v>
      </c>
      <c r="N992">
        <v>2139</v>
      </c>
      <c r="O992">
        <v>2001</v>
      </c>
      <c r="P992">
        <v>2139</v>
      </c>
    </row>
    <row r="993" spans="1:16" x14ac:dyDescent="0.3">
      <c r="A993" t="str">
        <f>Table_Demand___Community_frontsheet[[#This Row],[Name]]&amp;B993</f>
        <v>West SussexReablement &amp; Rehabilitation in a bedded setting</v>
      </c>
      <c r="B993" t="str">
        <f>VLOOKUP(Table_Demand___Community_frontsheet[[#This Row],[Service Type]],PathwayLookup!E:F,2,0)</f>
        <v>Reablement &amp; Rehabilitation in a bedded setting</v>
      </c>
      <c r="C993" t="s">
        <v>347</v>
      </c>
      <c r="D993" t="s">
        <v>723</v>
      </c>
      <c r="E993">
        <v>0</v>
      </c>
      <c r="F993">
        <v>0</v>
      </c>
      <c r="G993">
        <v>0</v>
      </c>
      <c r="H993">
        <v>0</v>
      </c>
      <c r="I993">
        <v>0</v>
      </c>
      <c r="J993">
        <v>0</v>
      </c>
      <c r="K993">
        <v>0</v>
      </c>
      <c r="L993">
        <v>0</v>
      </c>
      <c r="M993">
        <v>0</v>
      </c>
      <c r="N993">
        <v>0</v>
      </c>
      <c r="O993">
        <v>0</v>
      </c>
      <c r="P993">
        <v>0</v>
      </c>
    </row>
    <row r="994" spans="1:16" x14ac:dyDescent="0.3">
      <c r="A994" t="str">
        <f>Table_Demand___Community_frontsheet[[#This Row],[Name]]&amp;B994</f>
        <v>West SussexReablement &amp; Rehabilitation in a bedded setting</v>
      </c>
      <c r="B994" t="str">
        <f>VLOOKUP(Table_Demand___Community_frontsheet[[#This Row],[Service Type]],PathwayLookup!E:F,2,0)</f>
        <v>Reablement &amp; Rehabilitation in a bedded setting</v>
      </c>
      <c r="C994" t="s">
        <v>347</v>
      </c>
      <c r="D994" t="s">
        <v>725</v>
      </c>
      <c r="E994">
        <v>0</v>
      </c>
      <c r="F994">
        <v>0</v>
      </c>
      <c r="G994">
        <v>0</v>
      </c>
      <c r="H994">
        <v>0</v>
      </c>
      <c r="I994">
        <v>0</v>
      </c>
      <c r="J994">
        <v>0</v>
      </c>
      <c r="K994">
        <v>0</v>
      </c>
      <c r="L994">
        <v>0</v>
      </c>
      <c r="M994">
        <v>0</v>
      </c>
      <c r="N994">
        <v>0</v>
      </c>
      <c r="O994">
        <v>0</v>
      </c>
      <c r="P994">
        <v>0</v>
      </c>
    </row>
    <row r="995" spans="1:16" x14ac:dyDescent="0.3">
      <c r="A995" t="str">
        <f>Table_Demand___Community_frontsheet[[#This Row],[Name]]&amp;B995</f>
        <v>West SussexOther short-term social care</v>
      </c>
      <c r="B995" t="str">
        <f>VLOOKUP(Table_Demand___Community_frontsheet[[#This Row],[Service Type]],PathwayLookup!E:F,2,0)</f>
        <v>Other short-term social care</v>
      </c>
      <c r="C995" t="s">
        <v>347</v>
      </c>
      <c r="D995" t="s">
        <v>708</v>
      </c>
      <c r="E995">
        <v>0</v>
      </c>
      <c r="F995">
        <v>0</v>
      </c>
      <c r="G995">
        <v>0</v>
      </c>
      <c r="H995">
        <v>0</v>
      </c>
      <c r="I995">
        <v>0</v>
      </c>
      <c r="J995">
        <v>0</v>
      </c>
      <c r="K995">
        <v>0</v>
      </c>
      <c r="L995">
        <v>0</v>
      </c>
      <c r="M995">
        <v>0</v>
      </c>
      <c r="N995">
        <v>0</v>
      </c>
      <c r="O995">
        <v>0</v>
      </c>
      <c r="P995">
        <v>0</v>
      </c>
    </row>
    <row r="996" spans="1:16" x14ac:dyDescent="0.3">
      <c r="A996" t="str">
        <f>Table_Demand___Community_frontsheet[[#This Row],[Name]]&amp;B996</f>
        <v>WestminsterSocial support (including VCS)</v>
      </c>
      <c r="B996" t="str">
        <f>VLOOKUP(Table_Demand___Community_frontsheet[[#This Row],[Service Type]],PathwayLookup!E:F,2,0)</f>
        <v>Social support (including VCS)</v>
      </c>
      <c r="C996" t="s">
        <v>349</v>
      </c>
      <c r="D996" t="s">
        <v>704</v>
      </c>
      <c r="E996">
        <v>29</v>
      </c>
      <c r="F996">
        <v>29</v>
      </c>
      <c r="G996">
        <v>29</v>
      </c>
      <c r="H996">
        <v>29</v>
      </c>
      <c r="I996">
        <v>29</v>
      </c>
      <c r="J996">
        <v>29</v>
      </c>
      <c r="K996">
        <v>29</v>
      </c>
      <c r="L996">
        <v>29</v>
      </c>
      <c r="M996">
        <v>29</v>
      </c>
      <c r="N996">
        <v>29</v>
      </c>
      <c r="O996">
        <v>29</v>
      </c>
      <c r="P996">
        <v>29</v>
      </c>
    </row>
    <row r="997" spans="1:16" x14ac:dyDescent="0.3">
      <c r="A997" t="str">
        <f>Table_Demand___Community_frontsheet[[#This Row],[Name]]&amp;B997</f>
        <v>WestminsterUrgent Community Response</v>
      </c>
      <c r="B997" t="str">
        <f>VLOOKUP(Table_Demand___Community_frontsheet[[#This Row],[Service Type]],PathwayLookup!E:F,2,0)</f>
        <v>Urgent Community Response</v>
      </c>
      <c r="C997" t="s">
        <v>349</v>
      </c>
      <c r="D997" t="s">
        <v>705</v>
      </c>
      <c r="E997">
        <v>78</v>
      </c>
      <c r="F997">
        <v>71</v>
      </c>
      <c r="G997">
        <v>81</v>
      </c>
      <c r="H997">
        <v>94</v>
      </c>
      <c r="I997">
        <v>96</v>
      </c>
      <c r="J997">
        <v>106</v>
      </c>
      <c r="K997">
        <v>107</v>
      </c>
      <c r="L997">
        <v>94</v>
      </c>
      <c r="M997">
        <v>113</v>
      </c>
      <c r="N997">
        <v>97</v>
      </c>
      <c r="O997">
        <v>105</v>
      </c>
      <c r="P997">
        <v>119</v>
      </c>
    </row>
    <row r="998" spans="1:16" x14ac:dyDescent="0.3">
      <c r="A998" t="str">
        <f>Table_Demand___Community_frontsheet[[#This Row],[Name]]&amp;B998</f>
        <v>WestminsterReablement &amp; Rehabilitation at home</v>
      </c>
      <c r="B998" t="str">
        <f>VLOOKUP(Table_Demand___Community_frontsheet[[#This Row],[Service Type]],PathwayLookup!E:F,2,0)</f>
        <v>Reablement &amp; Rehabilitation at home</v>
      </c>
      <c r="C998" t="s">
        <v>349</v>
      </c>
      <c r="D998" t="s">
        <v>720</v>
      </c>
      <c r="E998">
        <v>91</v>
      </c>
      <c r="F998">
        <v>145</v>
      </c>
      <c r="G998">
        <v>99</v>
      </c>
      <c r="H998">
        <v>61</v>
      </c>
      <c r="I998">
        <v>71</v>
      </c>
      <c r="J998">
        <v>91</v>
      </c>
      <c r="K998">
        <v>93</v>
      </c>
      <c r="L998">
        <v>111</v>
      </c>
      <c r="M998">
        <v>56</v>
      </c>
      <c r="N998">
        <v>80</v>
      </c>
      <c r="O998">
        <v>66</v>
      </c>
      <c r="P998">
        <v>76</v>
      </c>
    </row>
    <row r="999" spans="1:16" x14ac:dyDescent="0.3">
      <c r="A999" t="str">
        <f>Table_Demand___Community_frontsheet[[#This Row],[Name]]&amp;B999</f>
        <v>WestminsterReablement &amp; Rehabilitation at home</v>
      </c>
      <c r="B999" t="str">
        <f>VLOOKUP(Table_Demand___Community_frontsheet[[#This Row],[Service Type]],PathwayLookup!E:F,2,0)</f>
        <v>Reablement &amp; Rehabilitation at home</v>
      </c>
      <c r="C999" t="s">
        <v>349</v>
      </c>
      <c r="D999" t="s">
        <v>721</v>
      </c>
      <c r="E999">
        <v>0</v>
      </c>
      <c r="F999">
        <v>0</v>
      </c>
      <c r="G999">
        <v>0</v>
      </c>
      <c r="H999">
        <v>0</v>
      </c>
      <c r="I999">
        <v>0</v>
      </c>
      <c r="J999">
        <v>0</v>
      </c>
      <c r="K999">
        <v>0</v>
      </c>
      <c r="L999">
        <v>0</v>
      </c>
      <c r="M999">
        <v>0</v>
      </c>
      <c r="N999">
        <v>0</v>
      </c>
      <c r="O999">
        <v>0</v>
      </c>
      <c r="P999">
        <v>0</v>
      </c>
    </row>
    <row r="1000" spans="1:16" x14ac:dyDescent="0.3">
      <c r="A1000" t="str">
        <f>Table_Demand___Community_frontsheet[[#This Row],[Name]]&amp;B1000</f>
        <v>WestminsterReablement &amp; Rehabilitation in a bedded setting</v>
      </c>
      <c r="B1000" t="str">
        <f>VLOOKUP(Table_Demand___Community_frontsheet[[#This Row],[Service Type]],PathwayLookup!E:F,2,0)</f>
        <v>Reablement &amp; Rehabilitation in a bedded setting</v>
      </c>
      <c r="C1000" t="s">
        <v>349</v>
      </c>
      <c r="D1000" t="s">
        <v>723</v>
      </c>
      <c r="E1000">
        <v>0</v>
      </c>
      <c r="F1000">
        <v>0</v>
      </c>
      <c r="G1000">
        <v>0</v>
      </c>
      <c r="H1000">
        <v>0</v>
      </c>
      <c r="I1000">
        <v>0</v>
      </c>
      <c r="J1000">
        <v>0</v>
      </c>
      <c r="K1000">
        <v>0</v>
      </c>
      <c r="L1000">
        <v>0</v>
      </c>
      <c r="M1000">
        <v>0</v>
      </c>
      <c r="N1000">
        <v>0</v>
      </c>
      <c r="O1000">
        <v>0</v>
      </c>
      <c r="P1000">
        <v>0</v>
      </c>
    </row>
    <row r="1001" spans="1:16" x14ac:dyDescent="0.3">
      <c r="A1001" t="str">
        <f>Table_Demand___Community_frontsheet[[#This Row],[Name]]&amp;B1001</f>
        <v>WestminsterReablement &amp; Rehabilitation in a bedded setting</v>
      </c>
      <c r="B1001" t="str">
        <f>VLOOKUP(Table_Demand___Community_frontsheet[[#This Row],[Service Type]],PathwayLookup!E:F,2,0)</f>
        <v>Reablement &amp; Rehabilitation in a bedded setting</v>
      </c>
      <c r="C1001" t="s">
        <v>349</v>
      </c>
      <c r="D1001" t="s">
        <v>725</v>
      </c>
      <c r="E1001">
        <v>330</v>
      </c>
      <c r="F1001">
        <v>341</v>
      </c>
      <c r="G1001">
        <v>330</v>
      </c>
      <c r="H1001">
        <v>341</v>
      </c>
      <c r="I1001">
        <v>341</v>
      </c>
      <c r="J1001">
        <v>330</v>
      </c>
      <c r="K1001">
        <v>341</v>
      </c>
      <c r="L1001">
        <v>330</v>
      </c>
      <c r="M1001">
        <v>341</v>
      </c>
      <c r="N1001">
        <v>341</v>
      </c>
      <c r="O1001">
        <v>308</v>
      </c>
      <c r="P1001">
        <v>341</v>
      </c>
    </row>
    <row r="1002" spans="1:16" x14ac:dyDescent="0.3">
      <c r="A1002" t="str">
        <f>Table_Demand___Community_frontsheet[[#This Row],[Name]]&amp;B1002</f>
        <v>WestminsterOther short-term social care</v>
      </c>
      <c r="B1002" t="str">
        <f>VLOOKUP(Table_Demand___Community_frontsheet[[#This Row],[Service Type]],PathwayLookup!E:F,2,0)</f>
        <v>Other short-term social care</v>
      </c>
      <c r="C1002" t="s">
        <v>349</v>
      </c>
      <c r="D1002" t="s">
        <v>708</v>
      </c>
      <c r="E1002">
        <v>0</v>
      </c>
      <c r="F1002">
        <v>0</v>
      </c>
      <c r="G1002">
        <v>0</v>
      </c>
      <c r="H1002">
        <v>0</v>
      </c>
      <c r="I1002">
        <v>0</v>
      </c>
      <c r="J1002">
        <v>0</v>
      </c>
      <c r="K1002">
        <v>0</v>
      </c>
      <c r="L1002">
        <v>0</v>
      </c>
      <c r="M1002">
        <v>0</v>
      </c>
      <c r="N1002">
        <v>0</v>
      </c>
      <c r="O1002">
        <v>0</v>
      </c>
      <c r="P1002">
        <v>0</v>
      </c>
    </row>
    <row r="1003" spans="1:16" x14ac:dyDescent="0.3">
      <c r="A1003" t="str">
        <f>Table_Demand___Community_frontsheet[[#This Row],[Name]]&amp;B1003</f>
        <v>Westmorland and FurnessSocial support (including VCS)</v>
      </c>
      <c r="B1003" t="str">
        <f>VLOOKUP(Table_Demand___Community_frontsheet[[#This Row],[Service Type]],PathwayLookup!E:F,2,0)</f>
        <v>Social support (including VCS)</v>
      </c>
      <c r="C1003" t="s">
        <v>351</v>
      </c>
      <c r="D1003" t="s">
        <v>704</v>
      </c>
    </row>
    <row r="1004" spans="1:16" x14ac:dyDescent="0.3">
      <c r="A1004" t="str">
        <f>Table_Demand___Community_frontsheet[[#This Row],[Name]]&amp;B1004</f>
        <v>Westmorland and FurnessUrgent Community Response</v>
      </c>
      <c r="B1004" t="str">
        <f>VLOOKUP(Table_Demand___Community_frontsheet[[#This Row],[Service Type]],PathwayLookup!E:F,2,0)</f>
        <v>Urgent Community Response</v>
      </c>
      <c r="C1004" t="s">
        <v>351</v>
      </c>
      <c r="D1004" t="s">
        <v>705</v>
      </c>
      <c r="E1004">
        <v>164</v>
      </c>
      <c r="F1004">
        <v>182</v>
      </c>
      <c r="G1004">
        <v>164</v>
      </c>
      <c r="H1004">
        <v>167</v>
      </c>
      <c r="I1004">
        <v>184</v>
      </c>
      <c r="J1004">
        <v>198</v>
      </c>
      <c r="K1004">
        <v>238</v>
      </c>
      <c r="L1004">
        <v>230</v>
      </c>
      <c r="M1004">
        <v>236</v>
      </c>
      <c r="N1004">
        <v>187</v>
      </c>
      <c r="O1004">
        <v>131</v>
      </c>
      <c r="P1004">
        <v>207</v>
      </c>
    </row>
    <row r="1005" spans="1:16" x14ac:dyDescent="0.3">
      <c r="A1005" t="str">
        <f>Table_Demand___Community_frontsheet[[#This Row],[Name]]&amp;B1005</f>
        <v>Westmorland and FurnessReablement &amp; Rehabilitation at home</v>
      </c>
      <c r="B1005" t="str">
        <f>VLOOKUP(Table_Demand___Community_frontsheet[[#This Row],[Service Type]],PathwayLookup!E:F,2,0)</f>
        <v>Reablement &amp; Rehabilitation at home</v>
      </c>
      <c r="C1005" t="s">
        <v>351</v>
      </c>
      <c r="D1005" t="s">
        <v>720</v>
      </c>
      <c r="E1005">
        <v>62</v>
      </c>
      <c r="F1005">
        <v>75</v>
      </c>
      <c r="G1005">
        <v>65</v>
      </c>
      <c r="H1005">
        <v>95</v>
      </c>
      <c r="I1005">
        <v>66</v>
      </c>
      <c r="J1005">
        <v>84</v>
      </c>
      <c r="K1005">
        <v>87</v>
      </c>
      <c r="L1005">
        <v>66</v>
      </c>
      <c r="M1005">
        <v>77</v>
      </c>
      <c r="N1005">
        <v>80</v>
      </c>
      <c r="O1005">
        <v>80</v>
      </c>
      <c r="P1005">
        <v>92</v>
      </c>
    </row>
    <row r="1006" spans="1:16" x14ac:dyDescent="0.3">
      <c r="A1006" t="str">
        <f>Table_Demand___Community_frontsheet[[#This Row],[Name]]&amp;B1006</f>
        <v>Westmorland and FurnessReablement &amp; Rehabilitation at home</v>
      </c>
      <c r="B1006" t="str">
        <f>VLOOKUP(Table_Demand___Community_frontsheet[[#This Row],[Service Type]],PathwayLookup!E:F,2,0)</f>
        <v>Reablement &amp; Rehabilitation at home</v>
      </c>
      <c r="C1006" t="s">
        <v>351</v>
      </c>
      <c r="D1006" t="s">
        <v>721</v>
      </c>
      <c r="E1006">
        <v>232</v>
      </c>
      <c r="F1006">
        <v>237</v>
      </c>
      <c r="G1006">
        <v>237</v>
      </c>
      <c r="H1006">
        <v>237</v>
      </c>
      <c r="I1006">
        <v>237</v>
      </c>
      <c r="J1006">
        <v>237</v>
      </c>
      <c r="K1006">
        <v>238</v>
      </c>
      <c r="L1006">
        <v>238</v>
      </c>
      <c r="M1006">
        <v>238</v>
      </c>
      <c r="N1006">
        <v>238</v>
      </c>
      <c r="O1006">
        <v>238</v>
      </c>
      <c r="P1006">
        <v>238</v>
      </c>
    </row>
    <row r="1007" spans="1:16" x14ac:dyDescent="0.3">
      <c r="A1007" t="str">
        <f>Table_Demand___Community_frontsheet[[#This Row],[Name]]&amp;B1007</f>
        <v>Westmorland and FurnessReablement &amp; Rehabilitation in a bedded setting</v>
      </c>
      <c r="B1007" t="str">
        <f>VLOOKUP(Table_Demand___Community_frontsheet[[#This Row],[Service Type]],PathwayLookup!E:F,2,0)</f>
        <v>Reablement &amp; Rehabilitation in a bedded setting</v>
      </c>
      <c r="C1007" t="s">
        <v>351</v>
      </c>
      <c r="D1007" t="s">
        <v>723</v>
      </c>
    </row>
    <row r="1008" spans="1:16" x14ac:dyDescent="0.3">
      <c r="A1008" t="str">
        <f>Table_Demand___Community_frontsheet[[#This Row],[Name]]&amp;B1008</f>
        <v>Westmorland and FurnessReablement &amp; Rehabilitation in a bedded setting</v>
      </c>
      <c r="B1008" t="str">
        <f>VLOOKUP(Table_Demand___Community_frontsheet[[#This Row],[Service Type]],PathwayLookup!E:F,2,0)</f>
        <v>Reablement &amp; Rehabilitation in a bedded setting</v>
      </c>
      <c r="C1008" t="s">
        <v>351</v>
      </c>
      <c r="D1008" t="s">
        <v>725</v>
      </c>
      <c r="E1008">
        <v>15</v>
      </c>
      <c r="F1008">
        <v>17</v>
      </c>
      <c r="G1008">
        <v>17</v>
      </c>
      <c r="H1008">
        <v>17</v>
      </c>
      <c r="I1008">
        <v>17</v>
      </c>
      <c r="J1008">
        <v>17</v>
      </c>
      <c r="K1008">
        <v>20</v>
      </c>
      <c r="L1008">
        <v>20</v>
      </c>
      <c r="M1008">
        <v>20</v>
      </c>
      <c r="N1008">
        <v>20</v>
      </c>
      <c r="O1008">
        <v>20</v>
      </c>
      <c r="P1008">
        <v>20</v>
      </c>
    </row>
    <row r="1009" spans="1:16" x14ac:dyDescent="0.3">
      <c r="A1009" t="str">
        <f>Table_Demand___Community_frontsheet[[#This Row],[Name]]&amp;B1009</f>
        <v>Westmorland and FurnessOther short-term social care</v>
      </c>
      <c r="B1009" t="str">
        <f>VLOOKUP(Table_Demand___Community_frontsheet[[#This Row],[Service Type]],PathwayLookup!E:F,2,0)</f>
        <v>Other short-term social care</v>
      </c>
      <c r="C1009" t="s">
        <v>351</v>
      </c>
      <c r="D1009" t="s">
        <v>708</v>
      </c>
      <c r="E1009">
        <v>30</v>
      </c>
      <c r="F1009">
        <v>30</v>
      </c>
      <c r="G1009">
        <v>30</v>
      </c>
      <c r="H1009">
        <v>30</v>
      </c>
      <c r="I1009">
        <v>30</v>
      </c>
      <c r="J1009">
        <v>30</v>
      </c>
      <c r="K1009">
        <v>30</v>
      </c>
      <c r="L1009">
        <v>30</v>
      </c>
      <c r="M1009">
        <v>30</v>
      </c>
      <c r="N1009">
        <v>30</v>
      </c>
      <c r="O1009">
        <v>30</v>
      </c>
      <c r="P1009">
        <v>30</v>
      </c>
    </row>
    <row r="1010" spans="1:16" x14ac:dyDescent="0.3">
      <c r="A1010" t="str">
        <f>Table_Demand___Community_frontsheet[[#This Row],[Name]]&amp;B1010</f>
        <v>WiganSocial support (including VCS)</v>
      </c>
      <c r="B1010" t="str">
        <f>VLOOKUP(Table_Demand___Community_frontsheet[[#This Row],[Service Type]],PathwayLookup!E:F,2,0)</f>
        <v>Social support (including VCS)</v>
      </c>
      <c r="C1010" t="s">
        <v>353</v>
      </c>
      <c r="D1010" t="s">
        <v>704</v>
      </c>
      <c r="E1010">
        <v>11</v>
      </c>
      <c r="F1010">
        <v>11</v>
      </c>
      <c r="G1010">
        <v>11</v>
      </c>
      <c r="H1010">
        <v>11</v>
      </c>
      <c r="I1010">
        <v>11</v>
      </c>
      <c r="J1010">
        <v>11</v>
      </c>
      <c r="K1010">
        <v>11</v>
      </c>
      <c r="L1010">
        <v>11</v>
      </c>
      <c r="M1010">
        <v>11</v>
      </c>
      <c r="N1010">
        <v>11</v>
      </c>
      <c r="O1010">
        <v>11</v>
      </c>
      <c r="P1010">
        <v>11</v>
      </c>
    </row>
    <row r="1011" spans="1:16" x14ac:dyDescent="0.3">
      <c r="A1011" t="str">
        <f>Table_Demand___Community_frontsheet[[#This Row],[Name]]&amp;B1011</f>
        <v>WiganUrgent Community Response</v>
      </c>
      <c r="B1011" t="str">
        <f>VLOOKUP(Table_Demand___Community_frontsheet[[#This Row],[Service Type]],PathwayLookup!E:F,2,0)</f>
        <v>Urgent Community Response</v>
      </c>
      <c r="C1011" t="s">
        <v>353</v>
      </c>
      <c r="D1011" t="s">
        <v>705</v>
      </c>
      <c r="E1011">
        <v>30</v>
      </c>
      <c r="F1011">
        <v>30</v>
      </c>
      <c r="G1011">
        <v>30</v>
      </c>
      <c r="H1011">
        <v>30</v>
      </c>
      <c r="I1011">
        <v>30</v>
      </c>
      <c r="J1011">
        <v>30</v>
      </c>
      <c r="K1011">
        <v>30</v>
      </c>
      <c r="L1011">
        <v>30</v>
      </c>
      <c r="M1011">
        <v>30</v>
      </c>
      <c r="N1011">
        <v>30</v>
      </c>
      <c r="O1011">
        <v>30</v>
      </c>
      <c r="P1011">
        <v>30</v>
      </c>
    </row>
    <row r="1012" spans="1:16" x14ac:dyDescent="0.3">
      <c r="A1012" t="str">
        <f>Table_Demand___Community_frontsheet[[#This Row],[Name]]&amp;B1012</f>
        <v>WiganReablement &amp; Rehabilitation at home</v>
      </c>
      <c r="B1012" t="str">
        <f>VLOOKUP(Table_Demand___Community_frontsheet[[#This Row],[Service Type]],PathwayLookup!E:F,2,0)</f>
        <v>Reablement &amp; Rehabilitation at home</v>
      </c>
      <c r="C1012" t="s">
        <v>353</v>
      </c>
      <c r="D1012" t="s">
        <v>720</v>
      </c>
      <c r="E1012">
        <v>50</v>
      </c>
      <c r="F1012">
        <v>50</v>
      </c>
      <c r="G1012">
        <v>50</v>
      </c>
      <c r="H1012">
        <v>50</v>
      </c>
      <c r="I1012">
        <v>50</v>
      </c>
      <c r="J1012">
        <v>50</v>
      </c>
      <c r="K1012">
        <v>50</v>
      </c>
      <c r="L1012">
        <v>50</v>
      </c>
      <c r="M1012">
        <v>50</v>
      </c>
      <c r="N1012">
        <v>50</v>
      </c>
      <c r="O1012">
        <v>50</v>
      </c>
      <c r="P1012">
        <v>50</v>
      </c>
    </row>
    <row r="1013" spans="1:16" x14ac:dyDescent="0.3">
      <c r="A1013" t="str">
        <f>Table_Demand___Community_frontsheet[[#This Row],[Name]]&amp;B1013</f>
        <v>WiganReablement &amp; Rehabilitation at home</v>
      </c>
      <c r="B1013" t="str">
        <f>VLOOKUP(Table_Demand___Community_frontsheet[[#This Row],[Service Type]],PathwayLookup!E:F,2,0)</f>
        <v>Reablement &amp; Rehabilitation at home</v>
      </c>
      <c r="C1013" t="s">
        <v>353</v>
      </c>
      <c r="D1013" t="s">
        <v>721</v>
      </c>
    </row>
    <row r="1014" spans="1:16" x14ac:dyDescent="0.3">
      <c r="A1014" t="str">
        <f>Table_Demand___Community_frontsheet[[#This Row],[Name]]&amp;B1014</f>
        <v>WiganReablement &amp; Rehabilitation in a bedded setting</v>
      </c>
      <c r="B1014" t="str">
        <f>VLOOKUP(Table_Demand___Community_frontsheet[[#This Row],[Service Type]],PathwayLookup!E:F,2,0)</f>
        <v>Reablement &amp; Rehabilitation in a bedded setting</v>
      </c>
      <c r="C1014" t="s">
        <v>353</v>
      </c>
      <c r="D1014" t="s">
        <v>723</v>
      </c>
      <c r="E1014">
        <v>3</v>
      </c>
      <c r="F1014">
        <v>3</v>
      </c>
      <c r="G1014">
        <v>3</v>
      </c>
      <c r="H1014">
        <v>3</v>
      </c>
      <c r="I1014">
        <v>3</v>
      </c>
      <c r="J1014">
        <v>3</v>
      </c>
      <c r="K1014">
        <v>3</v>
      </c>
      <c r="L1014">
        <v>3</v>
      </c>
      <c r="M1014">
        <v>3</v>
      </c>
      <c r="N1014">
        <v>3</v>
      </c>
      <c r="O1014">
        <v>3</v>
      </c>
      <c r="P1014">
        <v>3</v>
      </c>
    </row>
    <row r="1015" spans="1:16" x14ac:dyDescent="0.3">
      <c r="A1015" t="str">
        <f>Table_Demand___Community_frontsheet[[#This Row],[Name]]&amp;B1015</f>
        <v>WiganReablement &amp; Rehabilitation in a bedded setting</v>
      </c>
      <c r="B1015" t="str">
        <f>VLOOKUP(Table_Demand___Community_frontsheet[[#This Row],[Service Type]],PathwayLookup!E:F,2,0)</f>
        <v>Reablement &amp; Rehabilitation in a bedded setting</v>
      </c>
      <c r="C1015" t="s">
        <v>353</v>
      </c>
      <c r="D1015" t="s">
        <v>725</v>
      </c>
    </row>
    <row r="1016" spans="1:16" x14ac:dyDescent="0.3">
      <c r="A1016" t="str">
        <f>Table_Demand___Community_frontsheet[[#This Row],[Name]]&amp;B1016</f>
        <v>WiganOther short-term social care</v>
      </c>
      <c r="B1016" t="str">
        <f>VLOOKUP(Table_Demand___Community_frontsheet[[#This Row],[Service Type]],PathwayLookup!E:F,2,0)</f>
        <v>Other short-term social care</v>
      </c>
      <c r="C1016" t="s">
        <v>353</v>
      </c>
      <c r="D1016" t="s">
        <v>708</v>
      </c>
    </row>
    <row r="1017" spans="1:16" x14ac:dyDescent="0.3">
      <c r="A1017" t="str">
        <f>Table_Demand___Community_frontsheet[[#This Row],[Name]]&amp;B1017</f>
        <v>WiltshireSocial support (including VCS)</v>
      </c>
      <c r="B1017" t="str">
        <f>VLOOKUP(Table_Demand___Community_frontsheet[[#This Row],[Service Type]],PathwayLookup!E:F,2,0)</f>
        <v>Social support (including VCS)</v>
      </c>
      <c r="C1017" t="s">
        <v>355</v>
      </c>
      <c r="D1017" t="s">
        <v>704</v>
      </c>
      <c r="E1017">
        <v>20787</v>
      </c>
      <c r="F1017">
        <v>25883</v>
      </c>
      <c r="G1017">
        <v>25775</v>
      </c>
      <c r="H1017">
        <v>20594</v>
      </c>
      <c r="I1017">
        <v>20534</v>
      </c>
      <c r="J1017">
        <v>25775</v>
      </c>
      <c r="K1017">
        <v>25775</v>
      </c>
      <c r="L1017">
        <v>25775</v>
      </c>
      <c r="M1017">
        <v>25775</v>
      </c>
      <c r="N1017">
        <v>25775</v>
      </c>
      <c r="O1017">
        <v>25775</v>
      </c>
      <c r="P1017">
        <v>25775</v>
      </c>
    </row>
    <row r="1018" spans="1:16" x14ac:dyDescent="0.3">
      <c r="A1018" t="str">
        <f>Table_Demand___Community_frontsheet[[#This Row],[Name]]&amp;B1018</f>
        <v>WiltshireUrgent Community Response</v>
      </c>
      <c r="B1018" t="str">
        <f>VLOOKUP(Table_Demand___Community_frontsheet[[#This Row],[Service Type]],PathwayLookup!E:F,2,0)</f>
        <v>Urgent Community Response</v>
      </c>
      <c r="C1018" t="s">
        <v>355</v>
      </c>
      <c r="D1018" t="s">
        <v>705</v>
      </c>
      <c r="E1018">
        <v>32</v>
      </c>
      <c r="F1018">
        <v>34</v>
      </c>
      <c r="G1018">
        <v>30</v>
      </c>
      <c r="H1018">
        <v>25</v>
      </c>
      <c r="I1018">
        <v>28</v>
      </c>
      <c r="J1018">
        <v>30</v>
      </c>
      <c r="K1018">
        <v>23</v>
      </c>
      <c r="L1018">
        <v>31</v>
      </c>
      <c r="M1018">
        <v>20</v>
      </c>
      <c r="N1018">
        <v>25</v>
      </c>
      <c r="O1018">
        <v>28</v>
      </c>
      <c r="P1018">
        <v>22</v>
      </c>
    </row>
    <row r="1019" spans="1:16" x14ac:dyDescent="0.3">
      <c r="A1019" t="str">
        <f>Table_Demand___Community_frontsheet[[#This Row],[Name]]&amp;B1019</f>
        <v>WiltshireReablement &amp; Rehabilitation at home</v>
      </c>
      <c r="B1019" t="str">
        <f>VLOOKUP(Table_Demand___Community_frontsheet[[#This Row],[Service Type]],PathwayLookup!E:F,2,0)</f>
        <v>Reablement &amp; Rehabilitation at home</v>
      </c>
      <c r="C1019" t="s">
        <v>355</v>
      </c>
      <c r="D1019" t="s">
        <v>720</v>
      </c>
    </row>
    <row r="1020" spans="1:16" x14ac:dyDescent="0.3">
      <c r="A1020" t="str">
        <f>Table_Demand___Community_frontsheet[[#This Row],[Name]]&amp;B1020</f>
        <v>WiltshireReablement &amp; Rehabilitation at home</v>
      </c>
      <c r="B1020" t="str">
        <f>VLOOKUP(Table_Demand___Community_frontsheet[[#This Row],[Service Type]],PathwayLookup!E:F,2,0)</f>
        <v>Reablement &amp; Rehabilitation at home</v>
      </c>
      <c r="C1020" t="s">
        <v>355</v>
      </c>
      <c r="D1020" t="s">
        <v>721</v>
      </c>
    </row>
    <row r="1021" spans="1:16" x14ac:dyDescent="0.3">
      <c r="A1021" t="str">
        <f>Table_Demand___Community_frontsheet[[#This Row],[Name]]&amp;B1021</f>
        <v>WiltshireReablement &amp; Rehabilitation in a bedded setting</v>
      </c>
      <c r="B1021" t="str">
        <f>VLOOKUP(Table_Demand___Community_frontsheet[[#This Row],[Service Type]],PathwayLookup!E:F,2,0)</f>
        <v>Reablement &amp; Rehabilitation in a bedded setting</v>
      </c>
      <c r="C1021" t="s">
        <v>355</v>
      </c>
      <c r="D1021" t="s">
        <v>723</v>
      </c>
    </row>
    <row r="1022" spans="1:16" x14ac:dyDescent="0.3">
      <c r="A1022" t="str">
        <f>Table_Demand___Community_frontsheet[[#This Row],[Name]]&amp;B1022</f>
        <v>WiltshireReablement &amp; Rehabilitation in a bedded setting</v>
      </c>
      <c r="B1022" t="str">
        <f>VLOOKUP(Table_Demand___Community_frontsheet[[#This Row],[Service Type]],PathwayLookup!E:F,2,0)</f>
        <v>Reablement &amp; Rehabilitation in a bedded setting</v>
      </c>
      <c r="C1022" t="s">
        <v>355</v>
      </c>
      <c r="D1022" t="s">
        <v>725</v>
      </c>
      <c r="E1022">
        <v>154</v>
      </c>
      <c r="F1022">
        <v>161</v>
      </c>
      <c r="G1022">
        <v>151</v>
      </c>
      <c r="H1022">
        <v>125</v>
      </c>
      <c r="I1022">
        <v>139</v>
      </c>
      <c r="J1022">
        <v>144</v>
      </c>
      <c r="K1022">
        <v>124</v>
      </c>
      <c r="L1022">
        <v>157</v>
      </c>
      <c r="M1022">
        <v>113</v>
      </c>
      <c r="N1022">
        <v>129</v>
      </c>
      <c r="O1022">
        <v>130</v>
      </c>
      <c r="P1022">
        <v>114</v>
      </c>
    </row>
    <row r="1023" spans="1:16" x14ac:dyDescent="0.3">
      <c r="A1023" t="str">
        <f>Table_Demand___Community_frontsheet[[#This Row],[Name]]&amp;B1023</f>
        <v>WiltshireOther short-term social care</v>
      </c>
      <c r="B1023" t="str">
        <f>VLOOKUP(Table_Demand___Community_frontsheet[[#This Row],[Service Type]],PathwayLookup!E:F,2,0)</f>
        <v>Other short-term social care</v>
      </c>
      <c r="C1023" t="s">
        <v>355</v>
      </c>
      <c r="D1023" t="s">
        <v>708</v>
      </c>
      <c r="E1023">
        <v>50</v>
      </c>
      <c r="F1023">
        <v>50</v>
      </c>
      <c r="G1023">
        <v>50</v>
      </c>
      <c r="H1023">
        <v>50</v>
      </c>
      <c r="I1023">
        <v>50</v>
      </c>
      <c r="J1023">
        <v>50</v>
      </c>
      <c r="K1023">
        <v>50</v>
      </c>
      <c r="L1023">
        <v>50</v>
      </c>
      <c r="M1023">
        <v>50</v>
      </c>
      <c r="N1023">
        <v>50</v>
      </c>
      <c r="O1023">
        <v>50</v>
      </c>
      <c r="P1023">
        <v>50</v>
      </c>
    </row>
    <row r="1024" spans="1:16" x14ac:dyDescent="0.3">
      <c r="A1024" t="str">
        <f>Table_Demand___Community_frontsheet[[#This Row],[Name]]&amp;B1024</f>
        <v>Windsor and MaidenheadSocial support (including VCS)</v>
      </c>
      <c r="B1024" t="str">
        <f>VLOOKUP(Table_Demand___Community_frontsheet[[#This Row],[Service Type]],PathwayLookup!E:F,2,0)</f>
        <v>Social support (including VCS)</v>
      </c>
      <c r="C1024" t="s">
        <v>357</v>
      </c>
      <c r="D1024" t="s">
        <v>704</v>
      </c>
      <c r="E1024">
        <v>93</v>
      </c>
      <c r="F1024">
        <v>93</v>
      </c>
      <c r="G1024">
        <v>93</v>
      </c>
      <c r="H1024">
        <v>93</v>
      </c>
      <c r="I1024">
        <v>93</v>
      </c>
      <c r="J1024">
        <v>93</v>
      </c>
      <c r="K1024">
        <v>93</v>
      </c>
      <c r="L1024">
        <v>93</v>
      </c>
      <c r="M1024">
        <v>93</v>
      </c>
      <c r="N1024">
        <v>93</v>
      </c>
      <c r="O1024">
        <v>93</v>
      </c>
      <c r="P1024">
        <v>93</v>
      </c>
    </row>
    <row r="1025" spans="1:16" x14ac:dyDescent="0.3">
      <c r="A1025" t="str">
        <f>Table_Demand___Community_frontsheet[[#This Row],[Name]]&amp;B1025</f>
        <v>Windsor and MaidenheadUrgent Community Response</v>
      </c>
      <c r="B1025" t="str">
        <f>VLOOKUP(Table_Demand___Community_frontsheet[[#This Row],[Service Type]],PathwayLookup!E:F,2,0)</f>
        <v>Urgent Community Response</v>
      </c>
      <c r="C1025" t="s">
        <v>357</v>
      </c>
      <c r="D1025" t="s">
        <v>705</v>
      </c>
      <c r="E1025">
        <v>83</v>
      </c>
      <c r="F1025">
        <v>83</v>
      </c>
      <c r="G1025">
        <v>83</v>
      </c>
      <c r="H1025">
        <v>83</v>
      </c>
      <c r="I1025">
        <v>83</v>
      </c>
      <c r="J1025">
        <v>83</v>
      </c>
      <c r="K1025">
        <v>83</v>
      </c>
      <c r="L1025">
        <v>83</v>
      </c>
      <c r="M1025">
        <v>83</v>
      </c>
      <c r="N1025">
        <v>83</v>
      </c>
      <c r="O1025">
        <v>83</v>
      </c>
      <c r="P1025">
        <v>83</v>
      </c>
    </row>
    <row r="1026" spans="1:16" x14ac:dyDescent="0.3">
      <c r="A1026" t="str">
        <f>Table_Demand___Community_frontsheet[[#This Row],[Name]]&amp;B1026</f>
        <v>Windsor and MaidenheadReablement &amp; Rehabilitation at home</v>
      </c>
      <c r="B1026" t="str">
        <f>VLOOKUP(Table_Demand___Community_frontsheet[[#This Row],[Service Type]],PathwayLookup!E:F,2,0)</f>
        <v>Reablement &amp; Rehabilitation at home</v>
      </c>
      <c r="C1026" t="s">
        <v>357</v>
      </c>
      <c r="D1026" t="s">
        <v>720</v>
      </c>
      <c r="E1026">
        <v>57</v>
      </c>
      <c r="F1026">
        <v>57</v>
      </c>
      <c r="G1026">
        <v>57</v>
      </c>
      <c r="H1026">
        <v>57</v>
      </c>
      <c r="I1026">
        <v>57</v>
      </c>
      <c r="J1026">
        <v>57</v>
      </c>
      <c r="K1026">
        <v>57</v>
      </c>
      <c r="L1026">
        <v>57</v>
      </c>
      <c r="M1026">
        <v>57</v>
      </c>
      <c r="N1026">
        <v>57</v>
      </c>
      <c r="O1026">
        <v>57</v>
      </c>
      <c r="P1026">
        <v>57</v>
      </c>
    </row>
    <row r="1027" spans="1:16" x14ac:dyDescent="0.3">
      <c r="A1027" t="str">
        <f>Table_Demand___Community_frontsheet[[#This Row],[Name]]&amp;B1027</f>
        <v>Windsor and MaidenheadReablement &amp; Rehabilitation at home</v>
      </c>
      <c r="B1027" t="str">
        <f>VLOOKUP(Table_Demand___Community_frontsheet[[#This Row],[Service Type]],PathwayLookup!E:F,2,0)</f>
        <v>Reablement &amp; Rehabilitation at home</v>
      </c>
      <c r="C1027" t="s">
        <v>357</v>
      </c>
      <c r="D1027" t="s">
        <v>721</v>
      </c>
    </row>
    <row r="1028" spans="1:16" x14ac:dyDescent="0.3">
      <c r="A1028" t="str">
        <f>Table_Demand___Community_frontsheet[[#This Row],[Name]]&amp;B1028</f>
        <v>Windsor and MaidenheadReablement &amp; Rehabilitation in a bedded setting</v>
      </c>
      <c r="B1028" t="str">
        <f>VLOOKUP(Table_Demand___Community_frontsheet[[#This Row],[Service Type]],PathwayLookup!E:F,2,0)</f>
        <v>Reablement &amp; Rehabilitation in a bedded setting</v>
      </c>
      <c r="C1028" t="s">
        <v>357</v>
      </c>
      <c r="D1028" t="s">
        <v>723</v>
      </c>
      <c r="E1028">
        <v>31</v>
      </c>
      <c r="F1028">
        <v>31</v>
      </c>
      <c r="G1028">
        <v>31</v>
      </c>
      <c r="H1028">
        <v>31</v>
      </c>
      <c r="I1028">
        <v>31</v>
      </c>
      <c r="J1028">
        <v>31</v>
      </c>
      <c r="K1028">
        <v>31</v>
      </c>
      <c r="L1028">
        <v>31</v>
      </c>
      <c r="M1028">
        <v>31</v>
      </c>
      <c r="N1028">
        <v>31</v>
      </c>
      <c r="O1028">
        <v>31</v>
      </c>
      <c r="P1028">
        <v>31</v>
      </c>
    </row>
    <row r="1029" spans="1:16" x14ac:dyDescent="0.3">
      <c r="A1029" t="str">
        <f>Table_Demand___Community_frontsheet[[#This Row],[Name]]&amp;B1029</f>
        <v>Windsor and MaidenheadReablement &amp; Rehabilitation in a bedded setting</v>
      </c>
      <c r="B1029" t="str">
        <f>VLOOKUP(Table_Demand___Community_frontsheet[[#This Row],[Service Type]],PathwayLookup!E:F,2,0)</f>
        <v>Reablement &amp; Rehabilitation in a bedded setting</v>
      </c>
      <c r="C1029" t="s">
        <v>357</v>
      </c>
      <c r="D1029" t="s">
        <v>725</v>
      </c>
    </row>
    <row r="1030" spans="1:16" x14ac:dyDescent="0.3">
      <c r="A1030" t="str">
        <f>Table_Demand___Community_frontsheet[[#This Row],[Name]]&amp;B1030</f>
        <v>Windsor and MaidenheadOther short-term social care</v>
      </c>
      <c r="B1030" t="str">
        <f>VLOOKUP(Table_Demand___Community_frontsheet[[#This Row],[Service Type]],PathwayLookup!E:F,2,0)</f>
        <v>Other short-term social care</v>
      </c>
      <c r="C1030" t="s">
        <v>357</v>
      </c>
      <c r="D1030" t="s">
        <v>708</v>
      </c>
      <c r="E1030">
        <v>2</v>
      </c>
      <c r="F1030">
        <v>2</v>
      </c>
      <c r="G1030">
        <v>2</v>
      </c>
      <c r="H1030">
        <v>2</v>
      </c>
      <c r="I1030">
        <v>2</v>
      </c>
      <c r="J1030">
        <v>2</v>
      </c>
      <c r="K1030">
        <v>2</v>
      </c>
      <c r="L1030">
        <v>2</v>
      </c>
      <c r="M1030">
        <v>2</v>
      </c>
      <c r="N1030">
        <v>2</v>
      </c>
      <c r="O1030">
        <v>2</v>
      </c>
      <c r="P1030">
        <v>2</v>
      </c>
    </row>
    <row r="1031" spans="1:16" x14ac:dyDescent="0.3">
      <c r="A1031" t="str">
        <f>Table_Demand___Community_frontsheet[[#This Row],[Name]]&amp;B1031</f>
        <v>WirralSocial support (including VCS)</v>
      </c>
      <c r="B1031" t="str">
        <f>VLOOKUP(Table_Demand___Community_frontsheet[[#This Row],[Service Type]],PathwayLookup!E:F,2,0)</f>
        <v>Social support (including VCS)</v>
      </c>
      <c r="C1031" t="s">
        <v>359</v>
      </c>
      <c r="D1031" t="s">
        <v>704</v>
      </c>
      <c r="E1031">
        <v>0</v>
      </c>
      <c r="F1031">
        <v>0</v>
      </c>
      <c r="G1031">
        <v>0</v>
      </c>
      <c r="H1031">
        <v>0</v>
      </c>
      <c r="I1031">
        <v>0</v>
      </c>
      <c r="J1031">
        <v>0</v>
      </c>
      <c r="K1031">
        <v>0</v>
      </c>
      <c r="L1031">
        <v>0</v>
      </c>
      <c r="M1031">
        <v>0</v>
      </c>
      <c r="N1031">
        <v>0</v>
      </c>
      <c r="O1031">
        <v>0</v>
      </c>
      <c r="P1031">
        <v>0</v>
      </c>
    </row>
    <row r="1032" spans="1:16" x14ac:dyDescent="0.3">
      <c r="A1032" t="str">
        <f>Table_Demand___Community_frontsheet[[#This Row],[Name]]&amp;B1032</f>
        <v>WirralUrgent Community Response</v>
      </c>
      <c r="B1032" t="str">
        <f>VLOOKUP(Table_Demand___Community_frontsheet[[#This Row],[Service Type]],PathwayLookup!E:F,2,0)</f>
        <v>Urgent Community Response</v>
      </c>
      <c r="C1032" t="s">
        <v>359</v>
      </c>
      <c r="D1032" t="s">
        <v>705</v>
      </c>
      <c r="E1032">
        <v>170</v>
      </c>
      <c r="F1032">
        <v>170</v>
      </c>
      <c r="G1032">
        <v>170</v>
      </c>
      <c r="H1032">
        <v>170</v>
      </c>
      <c r="I1032">
        <v>170</v>
      </c>
      <c r="J1032">
        <v>170</v>
      </c>
      <c r="K1032">
        <v>170</v>
      </c>
      <c r="L1032">
        <v>170</v>
      </c>
      <c r="M1032">
        <v>170</v>
      </c>
      <c r="N1032">
        <v>170</v>
      </c>
      <c r="O1032">
        <v>170</v>
      </c>
      <c r="P1032">
        <v>170</v>
      </c>
    </row>
    <row r="1033" spans="1:16" x14ac:dyDescent="0.3">
      <c r="A1033" t="str">
        <f>Table_Demand___Community_frontsheet[[#This Row],[Name]]&amp;B1033</f>
        <v>WirralReablement &amp; Rehabilitation at home</v>
      </c>
      <c r="B1033" t="str">
        <f>VLOOKUP(Table_Demand___Community_frontsheet[[#This Row],[Service Type]],PathwayLookup!E:F,2,0)</f>
        <v>Reablement &amp; Rehabilitation at home</v>
      </c>
      <c r="C1033" t="s">
        <v>359</v>
      </c>
      <c r="D1033" t="s">
        <v>720</v>
      </c>
      <c r="E1033">
        <v>42</v>
      </c>
      <c r="F1033">
        <v>44</v>
      </c>
      <c r="G1033">
        <v>47</v>
      </c>
      <c r="H1033">
        <v>48</v>
      </c>
      <c r="I1033">
        <v>48</v>
      </c>
      <c r="J1033">
        <v>48</v>
      </c>
      <c r="K1033">
        <v>47</v>
      </c>
      <c r="L1033">
        <v>47</v>
      </c>
      <c r="M1033">
        <v>47</v>
      </c>
      <c r="N1033">
        <v>47</v>
      </c>
      <c r="O1033">
        <v>46</v>
      </c>
      <c r="P1033">
        <v>46</v>
      </c>
    </row>
    <row r="1034" spans="1:16" x14ac:dyDescent="0.3">
      <c r="A1034" t="str">
        <f>Table_Demand___Community_frontsheet[[#This Row],[Name]]&amp;B1034</f>
        <v>WirralReablement &amp; Rehabilitation at home</v>
      </c>
      <c r="B1034" t="str">
        <f>VLOOKUP(Table_Demand___Community_frontsheet[[#This Row],[Service Type]],PathwayLookup!E:F,2,0)</f>
        <v>Reablement &amp; Rehabilitation at home</v>
      </c>
      <c r="C1034" t="s">
        <v>359</v>
      </c>
      <c r="D1034" t="s">
        <v>721</v>
      </c>
      <c r="E1034">
        <v>0</v>
      </c>
      <c r="F1034">
        <v>0</v>
      </c>
      <c r="G1034">
        <v>0</v>
      </c>
      <c r="H1034">
        <v>0</v>
      </c>
      <c r="I1034">
        <v>0</v>
      </c>
      <c r="J1034">
        <v>0</v>
      </c>
      <c r="K1034">
        <v>0</v>
      </c>
      <c r="L1034">
        <v>0</v>
      </c>
      <c r="M1034">
        <v>0</v>
      </c>
      <c r="N1034">
        <v>0</v>
      </c>
      <c r="O1034">
        <v>0</v>
      </c>
      <c r="P1034">
        <v>0</v>
      </c>
    </row>
    <row r="1035" spans="1:16" x14ac:dyDescent="0.3">
      <c r="A1035" t="str">
        <f>Table_Demand___Community_frontsheet[[#This Row],[Name]]&amp;B1035</f>
        <v>WirralReablement &amp; Rehabilitation in a bedded setting</v>
      </c>
      <c r="B1035" t="str">
        <f>VLOOKUP(Table_Demand___Community_frontsheet[[#This Row],[Service Type]],PathwayLookup!E:F,2,0)</f>
        <v>Reablement &amp; Rehabilitation in a bedded setting</v>
      </c>
      <c r="C1035" t="s">
        <v>359</v>
      </c>
      <c r="D1035" t="s">
        <v>723</v>
      </c>
      <c r="E1035">
        <v>0</v>
      </c>
      <c r="F1035">
        <v>0</v>
      </c>
      <c r="G1035">
        <v>0</v>
      </c>
      <c r="H1035">
        <v>0</v>
      </c>
      <c r="I1035">
        <v>0</v>
      </c>
      <c r="J1035">
        <v>0</v>
      </c>
      <c r="K1035">
        <v>0</v>
      </c>
      <c r="L1035">
        <v>0</v>
      </c>
      <c r="M1035">
        <v>0</v>
      </c>
      <c r="N1035">
        <v>0</v>
      </c>
      <c r="O1035">
        <v>0</v>
      </c>
      <c r="P1035">
        <v>0</v>
      </c>
    </row>
    <row r="1036" spans="1:16" x14ac:dyDescent="0.3">
      <c r="A1036" t="str">
        <f>Table_Demand___Community_frontsheet[[#This Row],[Name]]&amp;B1036</f>
        <v>WirralReablement &amp; Rehabilitation in a bedded setting</v>
      </c>
      <c r="B1036" t="str">
        <f>VLOOKUP(Table_Demand___Community_frontsheet[[#This Row],[Service Type]],PathwayLookup!E:F,2,0)</f>
        <v>Reablement &amp; Rehabilitation in a bedded setting</v>
      </c>
      <c r="C1036" t="s">
        <v>359</v>
      </c>
      <c r="D1036" t="s">
        <v>725</v>
      </c>
      <c r="E1036">
        <v>5</v>
      </c>
      <c r="F1036">
        <v>7</v>
      </c>
      <c r="G1036">
        <v>8</v>
      </c>
      <c r="H1036">
        <v>8</v>
      </c>
      <c r="I1036">
        <v>8</v>
      </c>
      <c r="J1036">
        <v>7</v>
      </c>
      <c r="K1036">
        <v>9</v>
      </c>
      <c r="L1036">
        <v>9</v>
      </c>
      <c r="M1036">
        <v>9</v>
      </c>
      <c r="N1036">
        <v>9</v>
      </c>
      <c r="O1036">
        <v>8</v>
      </c>
      <c r="P1036">
        <v>7</v>
      </c>
    </row>
    <row r="1037" spans="1:16" x14ac:dyDescent="0.3">
      <c r="A1037" t="str">
        <f>Table_Demand___Community_frontsheet[[#This Row],[Name]]&amp;B1037</f>
        <v>WirralOther short-term social care</v>
      </c>
      <c r="B1037" t="str">
        <f>VLOOKUP(Table_Demand___Community_frontsheet[[#This Row],[Service Type]],PathwayLookup!E:F,2,0)</f>
        <v>Other short-term social care</v>
      </c>
      <c r="C1037" t="s">
        <v>359</v>
      </c>
      <c r="D1037" t="s">
        <v>708</v>
      </c>
      <c r="E1037">
        <v>0</v>
      </c>
      <c r="F1037">
        <v>0</v>
      </c>
      <c r="G1037">
        <v>0</v>
      </c>
      <c r="H1037">
        <v>0</v>
      </c>
      <c r="I1037">
        <v>0</v>
      </c>
      <c r="J1037">
        <v>0</v>
      </c>
      <c r="K1037">
        <v>0</v>
      </c>
      <c r="L1037">
        <v>0</v>
      </c>
      <c r="M1037">
        <v>0</v>
      </c>
      <c r="N1037">
        <v>0</v>
      </c>
      <c r="O1037">
        <v>0</v>
      </c>
      <c r="P1037">
        <v>0</v>
      </c>
    </row>
    <row r="1038" spans="1:16" x14ac:dyDescent="0.3">
      <c r="A1038" t="str">
        <f>Table_Demand___Community_frontsheet[[#This Row],[Name]]&amp;B1038</f>
        <v>WokinghamSocial support (including VCS)</v>
      </c>
      <c r="B1038" t="str">
        <f>VLOOKUP(Table_Demand___Community_frontsheet[[#This Row],[Service Type]],PathwayLookup!E:F,2,0)</f>
        <v>Social support (including VCS)</v>
      </c>
      <c r="C1038" t="s">
        <v>361</v>
      </c>
      <c r="D1038" t="s">
        <v>704</v>
      </c>
      <c r="E1038">
        <v>25</v>
      </c>
      <c r="F1038">
        <v>25</v>
      </c>
      <c r="G1038">
        <v>25</v>
      </c>
      <c r="H1038">
        <v>25</v>
      </c>
      <c r="I1038">
        <v>25</v>
      </c>
      <c r="J1038">
        <v>25</v>
      </c>
      <c r="K1038">
        <v>40</v>
      </c>
      <c r="L1038">
        <v>40</v>
      </c>
      <c r="M1038">
        <v>40</v>
      </c>
      <c r="N1038">
        <v>40</v>
      </c>
      <c r="O1038">
        <v>40</v>
      </c>
      <c r="P1038">
        <v>40</v>
      </c>
    </row>
    <row r="1039" spans="1:16" x14ac:dyDescent="0.3">
      <c r="A1039" t="str">
        <f>Table_Demand___Community_frontsheet[[#This Row],[Name]]&amp;B1039</f>
        <v>WokinghamUrgent Community Response</v>
      </c>
      <c r="B1039" t="str">
        <f>VLOOKUP(Table_Demand___Community_frontsheet[[#This Row],[Service Type]],PathwayLookup!E:F,2,0)</f>
        <v>Urgent Community Response</v>
      </c>
      <c r="C1039" t="s">
        <v>361</v>
      </c>
      <c r="D1039" t="s">
        <v>705</v>
      </c>
      <c r="E1039">
        <v>138</v>
      </c>
      <c r="F1039">
        <v>138</v>
      </c>
      <c r="G1039">
        <v>138</v>
      </c>
      <c r="H1039">
        <v>138</v>
      </c>
      <c r="I1039">
        <v>138</v>
      </c>
      <c r="J1039">
        <v>138</v>
      </c>
      <c r="K1039">
        <v>138</v>
      </c>
      <c r="L1039">
        <v>138</v>
      </c>
      <c r="M1039">
        <v>138</v>
      </c>
      <c r="N1039">
        <v>138</v>
      </c>
      <c r="O1039">
        <v>138</v>
      </c>
      <c r="P1039">
        <v>138</v>
      </c>
    </row>
    <row r="1040" spans="1:16" x14ac:dyDescent="0.3">
      <c r="A1040" t="str">
        <f>Table_Demand___Community_frontsheet[[#This Row],[Name]]&amp;B1040</f>
        <v>WokinghamReablement &amp; Rehabilitation at home</v>
      </c>
      <c r="B1040" t="str">
        <f>VLOOKUP(Table_Demand___Community_frontsheet[[#This Row],[Service Type]],PathwayLookup!E:F,2,0)</f>
        <v>Reablement &amp; Rehabilitation at home</v>
      </c>
      <c r="C1040" t="s">
        <v>361</v>
      </c>
      <c r="D1040" t="s">
        <v>720</v>
      </c>
      <c r="E1040">
        <v>21</v>
      </c>
      <c r="F1040">
        <v>24</v>
      </c>
      <c r="G1040">
        <v>29</v>
      </c>
      <c r="H1040">
        <v>24</v>
      </c>
      <c r="I1040">
        <v>24</v>
      </c>
      <c r="J1040">
        <v>24</v>
      </c>
      <c r="K1040">
        <v>27</v>
      </c>
      <c r="L1040">
        <v>27</v>
      </c>
      <c r="M1040">
        <v>29</v>
      </c>
      <c r="N1040">
        <v>37</v>
      </c>
      <c r="O1040">
        <v>29</v>
      </c>
      <c r="P1040">
        <v>33</v>
      </c>
    </row>
    <row r="1041" spans="1:16" x14ac:dyDescent="0.3">
      <c r="A1041" t="str">
        <f>Table_Demand___Community_frontsheet[[#This Row],[Name]]&amp;B1041</f>
        <v>WokinghamReablement &amp; Rehabilitation at home</v>
      </c>
      <c r="B1041" t="str">
        <f>VLOOKUP(Table_Demand___Community_frontsheet[[#This Row],[Service Type]],PathwayLookup!E:F,2,0)</f>
        <v>Reablement &amp; Rehabilitation at home</v>
      </c>
      <c r="C1041" t="s">
        <v>361</v>
      </c>
      <c r="D1041" t="s">
        <v>721</v>
      </c>
      <c r="E1041">
        <v>112</v>
      </c>
      <c r="F1041">
        <v>110</v>
      </c>
      <c r="G1041">
        <v>127</v>
      </c>
      <c r="H1041">
        <v>88</v>
      </c>
      <c r="I1041">
        <v>109</v>
      </c>
      <c r="J1041">
        <v>91</v>
      </c>
      <c r="K1041">
        <v>107</v>
      </c>
      <c r="L1041">
        <v>91</v>
      </c>
      <c r="M1041">
        <v>104</v>
      </c>
      <c r="N1041">
        <v>122</v>
      </c>
      <c r="O1041">
        <v>103</v>
      </c>
      <c r="P1041">
        <v>93</v>
      </c>
    </row>
    <row r="1042" spans="1:16" x14ac:dyDescent="0.3">
      <c r="A1042" t="str">
        <f>Table_Demand___Community_frontsheet[[#This Row],[Name]]&amp;B1042</f>
        <v>WokinghamReablement &amp; Rehabilitation in a bedded setting</v>
      </c>
      <c r="B1042" t="str">
        <f>VLOOKUP(Table_Demand___Community_frontsheet[[#This Row],[Service Type]],PathwayLookup!E:F,2,0)</f>
        <v>Reablement &amp; Rehabilitation in a bedded setting</v>
      </c>
      <c r="C1042" t="s">
        <v>361</v>
      </c>
      <c r="D1042" t="s">
        <v>723</v>
      </c>
      <c r="E1042">
        <v>4</v>
      </c>
      <c r="F1042">
        <v>4</v>
      </c>
      <c r="G1042">
        <v>4</v>
      </c>
      <c r="H1042">
        <v>4</v>
      </c>
      <c r="I1042">
        <v>4</v>
      </c>
      <c r="J1042">
        <v>4</v>
      </c>
      <c r="K1042">
        <v>4</v>
      </c>
      <c r="L1042">
        <v>4</v>
      </c>
      <c r="M1042">
        <v>4</v>
      </c>
      <c r="N1042">
        <v>4</v>
      </c>
      <c r="O1042">
        <v>4</v>
      </c>
      <c r="P1042">
        <v>4</v>
      </c>
    </row>
    <row r="1043" spans="1:16" x14ac:dyDescent="0.3">
      <c r="A1043" t="str">
        <f>Table_Demand___Community_frontsheet[[#This Row],[Name]]&amp;B1043</f>
        <v>WokinghamReablement &amp; Rehabilitation in a bedded setting</v>
      </c>
      <c r="B1043" t="str">
        <f>VLOOKUP(Table_Demand___Community_frontsheet[[#This Row],[Service Type]],PathwayLookup!E:F,2,0)</f>
        <v>Reablement &amp; Rehabilitation in a bedded setting</v>
      </c>
      <c r="C1043" t="s">
        <v>361</v>
      </c>
      <c r="D1043" t="s">
        <v>725</v>
      </c>
      <c r="E1043">
        <v>17</v>
      </c>
      <c r="F1043">
        <v>17</v>
      </c>
      <c r="G1043">
        <v>17</v>
      </c>
      <c r="H1043">
        <v>17</v>
      </c>
      <c r="I1043">
        <v>17</v>
      </c>
      <c r="J1043">
        <v>17</v>
      </c>
      <c r="K1043">
        <v>17</v>
      </c>
      <c r="L1043">
        <v>17</v>
      </c>
      <c r="M1043">
        <v>17</v>
      </c>
      <c r="N1043">
        <v>17</v>
      </c>
      <c r="O1043">
        <v>17</v>
      </c>
      <c r="P1043">
        <v>17</v>
      </c>
    </row>
    <row r="1044" spans="1:16" x14ac:dyDescent="0.3">
      <c r="A1044" t="str">
        <f>Table_Demand___Community_frontsheet[[#This Row],[Name]]&amp;B1044</f>
        <v>WokinghamOther short-term social care</v>
      </c>
      <c r="B1044" t="str">
        <f>VLOOKUP(Table_Demand___Community_frontsheet[[#This Row],[Service Type]],PathwayLookup!E:F,2,0)</f>
        <v>Other short-term social care</v>
      </c>
      <c r="C1044" t="s">
        <v>361</v>
      </c>
      <c r="D1044" t="s">
        <v>708</v>
      </c>
      <c r="E1044">
        <v>0</v>
      </c>
      <c r="F1044">
        <v>0</v>
      </c>
      <c r="G1044">
        <v>0</v>
      </c>
      <c r="H1044">
        <v>0</v>
      </c>
      <c r="I1044">
        <v>0</v>
      </c>
      <c r="J1044">
        <v>0</v>
      </c>
      <c r="K1044">
        <v>0</v>
      </c>
      <c r="L1044">
        <v>0</v>
      </c>
      <c r="M1044">
        <v>0</v>
      </c>
      <c r="N1044">
        <v>0</v>
      </c>
      <c r="O1044">
        <v>0</v>
      </c>
      <c r="P1044">
        <v>0</v>
      </c>
    </row>
    <row r="1045" spans="1:16" x14ac:dyDescent="0.3">
      <c r="A1045" t="str">
        <f>Table_Demand___Community_frontsheet[[#This Row],[Name]]&amp;B1045</f>
        <v>WolverhamptonSocial support (including VCS)</v>
      </c>
      <c r="B1045" t="str">
        <f>VLOOKUP(Table_Demand___Community_frontsheet[[#This Row],[Service Type]],PathwayLookup!E:F,2,0)</f>
        <v>Social support (including VCS)</v>
      </c>
      <c r="C1045" t="s">
        <v>363</v>
      </c>
      <c r="D1045" t="s">
        <v>704</v>
      </c>
    </row>
    <row r="1046" spans="1:16" x14ac:dyDescent="0.3">
      <c r="A1046" t="str">
        <f>Table_Demand___Community_frontsheet[[#This Row],[Name]]&amp;B1046</f>
        <v>WolverhamptonUrgent Community Response</v>
      </c>
      <c r="B1046" t="str">
        <f>VLOOKUP(Table_Demand___Community_frontsheet[[#This Row],[Service Type]],PathwayLookup!E:F,2,0)</f>
        <v>Urgent Community Response</v>
      </c>
      <c r="C1046" t="s">
        <v>363</v>
      </c>
      <c r="D1046" t="s">
        <v>705</v>
      </c>
      <c r="E1046">
        <v>169.5</v>
      </c>
      <c r="F1046">
        <v>169.5</v>
      </c>
      <c r="G1046">
        <v>161</v>
      </c>
      <c r="H1046">
        <v>195</v>
      </c>
      <c r="I1046">
        <v>228</v>
      </c>
      <c r="J1046">
        <v>184</v>
      </c>
      <c r="K1046">
        <v>145</v>
      </c>
      <c r="L1046">
        <v>156</v>
      </c>
      <c r="M1046">
        <v>125</v>
      </c>
      <c r="N1046">
        <v>148</v>
      </c>
      <c r="O1046">
        <v>170</v>
      </c>
      <c r="P1046">
        <v>183</v>
      </c>
    </row>
    <row r="1047" spans="1:16" x14ac:dyDescent="0.3">
      <c r="A1047" t="str">
        <f>Table_Demand___Community_frontsheet[[#This Row],[Name]]&amp;B1047</f>
        <v>WolverhamptonReablement &amp; Rehabilitation at home</v>
      </c>
      <c r="B1047" t="str">
        <f>VLOOKUP(Table_Demand___Community_frontsheet[[#This Row],[Service Type]],PathwayLookup!E:F,2,0)</f>
        <v>Reablement &amp; Rehabilitation at home</v>
      </c>
      <c r="C1047" t="s">
        <v>363</v>
      </c>
      <c r="D1047" t="s">
        <v>720</v>
      </c>
      <c r="E1047">
        <v>0</v>
      </c>
      <c r="F1047">
        <v>0</v>
      </c>
      <c r="G1047">
        <v>0</v>
      </c>
      <c r="H1047">
        <v>0</v>
      </c>
      <c r="I1047">
        <v>0</v>
      </c>
      <c r="J1047">
        <v>0</v>
      </c>
      <c r="K1047">
        <v>0</v>
      </c>
      <c r="L1047">
        <v>0</v>
      </c>
      <c r="M1047">
        <v>0</v>
      </c>
      <c r="N1047">
        <v>0</v>
      </c>
      <c r="O1047">
        <v>0</v>
      </c>
      <c r="P1047">
        <v>0</v>
      </c>
    </row>
    <row r="1048" spans="1:16" x14ac:dyDescent="0.3">
      <c r="A1048" t="str">
        <f>Table_Demand___Community_frontsheet[[#This Row],[Name]]&amp;B1048</f>
        <v>WolverhamptonReablement &amp; Rehabilitation at home</v>
      </c>
      <c r="B1048" t="str">
        <f>VLOOKUP(Table_Demand___Community_frontsheet[[#This Row],[Service Type]],PathwayLookup!E:F,2,0)</f>
        <v>Reablement &amp; Rehabilitation at home</v>
      </c>
      <c r="C1048" t="s">
        <v>363</v>
      </c>
      <c r="D1048" t="s">
        <v>721</v>
      </c>
      <c r="E1048">
        <v>594</v>
      </c>
      <c r="F1048">
        <v>598</v>
      </c>
      <c r="G1048">
        <v>604</v>
      </c>
      <c r="H1048">
        <v>620</v>
      </c>
      <c r="I1048">
        <v>567</v>
      </c>
      <c r="J1048">
        <v>586</v>
      </c>
      <c r="K1048">
        <v>688</v>
      </c>
      <c r="L1048">
        <v>660</v>
      </c>
      <c r="M1048">
        <v>752</v>
      </c>
      <c r="N1048">
        <v>843</v>
      </c>
      <c r="O1048">
        <v>556</v>
      </c>
      <c r="P1048">
        <v>671</v>
      </c>
    </row>
    <row r="1049" spans="1:16" x14ac:dyDescent="0.3">
      <c r="A1049" t="str">
        <f>Table_Demand___Community_frontsheet[[#This Row],[Name]]&amp;B1049</f>
        <v>WolverhamptonReablement &amp; Rehabilitation in a bedded setting</v>
      </c>
      <c r="B1049" t="str">
        <f>VLOOKUP(Table_Demand___Community_frontsheet[[#This Row],[Service Type]],PathwayLookup!E:F,2,0)</f>
        <v>Reablement &amp; Rehabilitation in a bedded setting</v>
      </c>
      <c r="C1049" t="s">
        <v>363</v>
      </c>
      <c r="D1049" t="s">
        <v>723</v>
      </c>
    </row>
    <row r="1050" spans="1:16" x14ac:dyDescent="0.3">
      <c r="A1050" t="str">
        <f>Table_Demand___Community_frontsheet[[#This Row],[Name]]&amp;B1050</f>
        <v>WolverhamptonReablement &amp; Rehabilitation in a bedded setting</v>
      </c>
      <c r="B1050" t="str">
        <f>VLOOKUP(Table_Demand___Community_frontsheet[[#This Row],[Service Type]],PathwayLookup!E:F,2,0)</f>
        <v>Reablement &amp; Rehabilitation in a bedded setting</v>
      </c>
      <c r="C1050" t="s">
        <v>363</v>
      </c>
      <c r="D1050" t="s">
        <v>725</v>
      </c>
      <c r="E1050">
        <v>0</v>
      </c>
      <c r="F1050">
        <v>0</v>
      </c>
      <c r="G1050">
        <v>0</v>
      </c>
      <c r="H1050">
        <v>0</v>
      </c>
      <c r="I1050">
        <v>0</v>
      </c>
      <c r="J1050">
        <v>0</v>
      </c>
      <c r="K1050">
        <v>0</v>
      </c>
      <c r="L1050">
        <v>0</v>
      </c>
      <c r="M1050">
        <v>0</v>
      </c>
      <c r="N1050">
        <v>0</v>
      </c>
      <c r="O1050">
        <v>0</v>
      </c>
      <c r="P1050">
        <v>0</v>
      </c>
    </row>
    <row r="1051" spans="1:16" x14ac:dyDescent="0.3">
      <c r="A1051" t="str">
        <f>Table_Demand___Community_frontsheet[[#This Row],[Name]]&amp;B1051</f>
        <v>WolverhamptonOther short-term social care</v>
      </c>
      <c r="B1051" t="str">
        <f>VLOOKUP(Table_Demand___Community_frontsheet[[#This Row],[Service Type]],PathwayLookup!E:F,2,0)</f>
        <v>Other short-term social care</v>
      </c>
      <c r="C1051" t="s">
        <v>363</v>
      </c>
      <c r="D1051" t="s">
        <v>708</v>
      </c>
      <c r="E1051">
        <v>434</v>
      </c>
      <c r="F1051">
        <v>517</v>
      </c>
      <c r="G1051">
        <v>491</v>
      </c>
      <c r="H1051">
        <v>525</v>
      </c>
      <c r="I1051">
        <v>535</v>
      </c>
      <c r="J1051">
        <v>482</v>
      </c>
      <c r="K1051">
        <v>516</v>
      </c>
      <c r="L1051">
        <v>512</v>
      </c>
      <c r="M1051">
        <v>455</v>
      </c>
      <c r="N1051">
        <v>528</v>
      </c>
      <c r="O1051">
        <v>510</v>
      </c>
      <c r="P1051">
        <v>509</v>
      </c>
    </row>
    <row r="1052" spans="1:16" x14ac:dyDescent="0.3">
      <c r="A1052" t="str">
        <f>Table_Demand___Community_frontsheet[[#This Row],[Name]]&amp;B1052</f>
        <v>WorcestershireSocial support (including VCS)</v>
      </c>
      <c r="B1052" t="str">
        <f>VLOOKUP(Table_Demand___Community_frontsheet[[#This Row],[Service Type]],PathwayLookup!E:F,2,0)</f>
        <v>Social support (including VCS)</v>
      </c>
      <c r="C1052" t="s">
        <v>365</v>
      </c>
      <c r="D1052" t="s">
        <v>704</v>
      </c>
      <c r="E1052">
        <v>0</v>
      </c>
      <c r="F1052">
        <v>0</v>
      </c>
      <c r="G1052">
        <v>0</v>
      </c>
      <c r="H1052">
        <v>0</v>
      </c>
      <c r="I1052">
        <v>0</v>
      </c>
      <c r="J1052">
        <v>0</v>
      </c>
      <c r="K1052">
        <v>0</v>
      </c>
      <c r="L1052">
        <v>0</v>
      </c>
      <c r="M1052">
        <v>0</v>
      </c>
      <c r="N1052">
        <v>0</v>
      </c>
      <c r="O1052">
        <v>0</v>
      </c>
      <c r="P1052">
        <v>0</v>
      </c>
    </row>
    <row r="1053" spans="1:16" x14ac:dyDescent="0.3">
      <c r="A1053" t="str">
        <f>Table_Demand___Community_frontsheet[[#This Row],[Name]]&amp;B1053</f>
        <v>WorcestershireUrgent Community Response</v>
      </c>
      <c r="B1053" t="str">
        <f>VLOOKUP(Table_Demand___Community_frontsheet[[#This Row],[Service Type]],PathwayLookup!E:F,2,0)</f>
        <v>Urgent Community Response</v>
      </c>
      <c r="C1053" t="s">
        <v>365</v>
      </c>
      <c r="D1053" t="s">
        <v>705</v>
      </c>
      <c r="E1053">
        <v>1192</v>
      </c>
      <c r="F1053">
        <v>1192</v>
      </c>
      <c r="G1053">
        <v>1192</v>
      </c>
      <c r="H1053">
        <v>1202</v>
      </c>
      <c r="I1053">
        <v>1202</v>
      </c>
      <c r="J1053">
        <v>1202</v>
      </c>
      <c r="K1053">
        <v>1202</v>
      </c>
      <c r="L1053">
        <v>1202</v>
      </c>
      <c r="M1053">
        <v>1202</v>
      </c>
      <c r="N1053">
        <v>1192</v>
      </c>
      <c r="O1053">
        <v>1192</v>
      </c>
      <c r="P1053">
        <v>1192</v>
      </c>
    </row>
    <row r="1054" spans="1:16" x14ac:dyDescent="0.3">
      <c r="A1054" t="str">
        <f>Table_Demand___Community_frontsheet[[#This Row],[Name]]&amp;B1054</f>
        <v>WorcestershireReablement &amp; Rehabilitation at home</v>
      </c>
      <c r="B1054" t="str">
        <f>VLOOKUP(Table_Demand___Community_frontsheet[[#This Row],[Service Type]],PathwayLookup!E:F,2,0)</f>
        <v>Reablement &amp; Rehabilitation at home</v>
      </c>
      <c r="C1054" t="s">
        <v>365</v>
      </c>
      <c r="D1054" t="s">
        <v>720</v>
      </c>
      <c r="E1054">
        <v>0</v>
      </c>
      <c r="F1054">
        <v>0</v>
      </c>
      <c r="G1054">
        <v>0</v>
      </c>
      <c r="H1054">
        <v>0</v>
      </c>
      <c r="I1054">
        <v>0</v>
      </c>
      <c r="J1054">
        <v>0</v>
      </c>
      <c r="K1054">
        <v>0</v>
      </c>
      <c r="L1054">
        <v>0</v>
      </c>
      <c r="M1054">
        <v>0</v>
      </c>
      <c r="N1054">
        <v>0</v>
      </c>
      <c r="O1054">
        <v>0</v>
      </c>
      <c r="P1054">
        <v>0</v>
      </c>
    </row>
    <row r="1055" spans="1:16" x14ac:dyDescent="0.3">
      <c r="A1055" t="str">
        <f>Table_Demand___Community_frontsheet[[#This Row],[Name]]&amp;B1055</f>
        <v>WorcestershireReablement &amp; Rehabilitation at home</v>
      </c>
      <c r="B1055" t="str">
        <f>VLOOKUP(Table_Demand___Community_frontsheet[[#This Row],[Service Type]],PathwayLookup!E:F,2,0)</f>
        <v>Reablement &amp; Rehabilitation at home</v>
      </c>
      <c r="C1055" t="s">
        <v>365</v>
      </c>
      <c r="D1055" t="s">
        <v>721</v>
      </c>
      <c r="E1055">
        <v>80</v>
      </c>
      <c r="F1055">
        <v>80</v>
      </c>
      <c r="G1055">
        <v>80</v>
      </c>
      <c r="H1055">
        <v>80</v>
      </c>
      <c r="I1055">
        <v>80</v>
      </c>
      <c r="J1055">
        <v>80</v>
      </c>
      <c r="K1055">
        <v>80</v>
      </c>
      <c r="L1055">
        <v>80</v>
      </c>
      <c r="M1055">
        <v>80</v>
      </c>
      <c r="N1055">
        <v>80</v>
      </c>
      <c r="O1055">
        <v>80</v>
      </c>
      <c r="P1055">
        <v>80</v>
      </c>
    </row>
    <row r="1056" spans="1:16" x14ac:dyDescent="0.3">
      <c r="A1056" t="str">
        <f>Table_Demand___Community_frontsheet[[#This Row],[Name]]&amp;B1056</f>
        <v>WorcestershireReablement &amp; Rehabilitation in a bedded setting</v>
      </c>
      <c r="B1056" t="str">
        <f>VLOOKUP(Table_Demand___Community_frontsheet[[#This Row],[Service Type]],PathwayLookup!E:F,2,0)</f>
        <v>Reablement &amp; Rehabilitation in a bedded setting</v>
      </c>
      <c r="C1056" t="s">
        <v>365</v>
      </c>
      <c r="D1056" t="s">
        <v>723</v>
      </c>
      <c r="E1056">
        <v>0</v>
      </c>
      <c r="F1056">
        <v>0</v>
      </c>
      <c r="G1056">
        <v>0</v>
      </c>
      <c r="H1056">
        <v>0</v>
      </c>
      <c r="I1056">
        <v>0</v>
      </c>
      <c r="J1056">
        <v>0</v>
      </c>
      <c r="K1056">
        <v>0</v>
      </c>
      <c r="L1056">
        <v>0</v>
      </c>
      <c r="M1056">
        <v>0</v>
      </c>
      <c r="N1056">
        <v>0</v>
      </c>
      <c r="O1056">
        <v>0</v>
      </c>
      <c r="P1056">
        <v>0</v>
      </c>
    </row>
    <row r="1057" spans="1:16" x14ac:dyDescent="0.3">
      <c r="A1057" t="str">
        <f>Table_Demand___Community_frontsheet[[#This Row],[Name]]&amp;B1057</f>
        <v>WorcestershireReablement &amp; Rehabilitation in a bedded setting</v>
      </c>
      <c r="B1057" t="str">
        <f>VLOOKUP(Table_Demand___Community_frontsheet[[#This Row],[Service Type]],PathwayLookup!E:F,2,0)</f>
        <v>Reablement &amp; Rehabilitation in a bedded setting</v>
      </c>
      <c r="C1057" t="s">
        <v>365</v>
      </c>
      <c r="D1057" t="s">
        <v>725</v>
      </c>
      <c r="E1057">
        <v>233</v>
      </c>
      <c r="F1057">
        <v>241</v>
      </c>
      <c r="G1057">
        <v>221</v>
      </c>
      <c r="H1057">
        <v>231</v>
      </c>
      <c r="I1057">
        <v>229</v>
      </c>
      <c r="J1057">
        <v>194</v>
      </c>
      <c r="K1057">
        <v>195</v>
      </c>
      <c r="L1057">
        <v>221</v>
      </c>
      <c r="M1057">
        <v>208</v>
      </c>
      <c r="N1057">
        <v>231</v>
      </c>
      <c r="O1057">
        <v>196</v>
      </c>
      <c r="P1057">
        <v>226</v>
      </c>
    </row>
    <row r="1058" spans="1:16" x14ac:dyDescent="0.3">
      <c r="A1058" t="str">
        <f>Table_Demand___Community_frontsheet[[#This Row],[Name]]&amp;B1058</f>
        <v>WorcestershireOther short-term social care</v>
      </c>
      <c r="B1058" t="str">
        <f>VLOOKUP(Table_Demand___Community_frontsheet[[#This Row],[Service Type]],PathwayLookup!E:F,2,0)</f>
        <v>Other short-term social care</v>
      </c>
      <c r="C1058" t="s">
        <v>365</v>
      </c>
      <c r="D1058" t="s">
        <v>708</v>
      </c>
      <c r="E1058">
        <v>0</v>
      </c>
      <c r="F1058">
        <v>0</v>
      </c>
      <c r="G1058">
        <v>0</v>
      </c>
      <c r="H1058">
        <v>0</v>
      </c>
      <c r="I1058">
        <v>0</v>
      </c>
      <c r="J1058">
        <v>0</v>
      </c>
      <c r="K1058">
        <v>0</v>
      </c>
      <c r="L1058">
        <v>0</v>
      </c>
      <c r="M1058">
        <v>0</v>
      </c>
      <c r="N1058">
        <v>0</v>
      </c>
      <c r="O1058">
        <v>0</v>
      </c>
      <c r="P1058">
        <v>0</v>
      </c>
    </row>
    <row r="1059" spans="1:16" x14ac:dyDescent="0.3">
      <c r="A1059" t="str">
        <f>Table_Demand___Community_frontsheet[[#This Row],[Name]]&amp;B1059</f>
        <v>YorkSocial support (including VCS)</v>
      </c>
      <c r="B1059" t="str">
        <f>VLOOKUP(Table_Demand___Community_frontsheet[[#This Row],[Service Type]],PathwayLookup!E:F,2,0)</f>
        <v>Social support (including VCS)</v>
      </c>
      <c r="C1059" t="s">
        <v>368</v>
      </c>
      <c r="D1059" t="s">
        <v>704</v>
      </c>
    </row>
    <row r="1060" spans="1:16" x14ac:dyDescent="0.3">
      <c r="A1060" t="str">
        <f>Table_Demand___Community_frontsheet[[#This Row],[Name]]&amp;B1060</f>
        <v>YorkUrgent Community Response</v>
      </c>
      <c r="B1060" t="str">
        <f>VLOOKUP(Table_Demand___Community_frontsheet[[#This Row],[Service Type]],PathwayLookup!E:F,2,0)</f>
        <v>Urgent Community Response</v>
      </c>
      <c r="C1060" t="s">
        <v>368</v>
      </c>
      <c r="D1060" t="s">
        <v>705</v>
      </c>
      <c r="E1060">
        <v>42</v>
      </c>
      <c r="F1060">
        <v>46</v>
      </c>
      <c r="G1060">
        <v>44</v>
      </c>
      <c r="H1060">
        <v>44</v>
      </c>
      <c r="I1060">
        <v>43</v>
      </c>
      <c r="J1060">
        <v>47</v>
      </c>
      <c r="K1060">
        <v>47</v>
      </c>
      <c r="L1060">
        <v>46</v>
      </c>
      <c r="M1060">
        <v>42</v>
      </c>
      <c r="N1060">
        <v>47</v>
      </c>
      <c r="O1060">
        <v>44</v>
      </c>
      <c r="P1060">
        <v>47</v>
      </c>
    </row>
    <row r="1061" spans="1:16" x14ac:dyDescent="0.3">
      <c r="A1061" t="str">
        <f>Table_Demand___Community_frontsheet[[#This Row],[Name]]&amp;B1061</f>
        <v>YorkReablement &amp; Rehabilitation at home</v>
      </c>
      <c r="B1061" t="str">
        <f>VLOOKUP(Table_Demand___Community_frontsheet[[#This Row],[Service Type]],PathwayLookup!E:F,2,0)</f>
        <v>Reablement &amp; Rehabilitation at home</v>
      </c>
      <c r="C1061" t="s">
        <v>368</v>
      </c>
      <c r="D1061" t="s">
        <v>720</v>
      </c>
    </row>
    <row r="1062" spans="1:16" x14ac:dyDescent="0.3">
      <c r="A1062" t="str">
        <f>Table_Demand___Community_frontsheet[[#This Row],[Name]]&amp;B1062</f>
        <v>YorkReablement &amp; Rehabilitation at home</v>
      </c>
      <c r="B1062" t="str">
        <f>VLOOKUP(Table_Demand___Community_frontsheet[[#This Row],[Service Type]],PathwayLookup!E:F,2,0)</f>
        <v>Reablement &amp; Rehabilitation at home</v>
      </c>
      <c r="C1062" t="s">
        <v>368</v>
      </c>
      <c r="D1062" t="s">
        <v>721</v>
      </c>
      <c r="E1062">
        <v>155</v>
      </c>
      <c r="F1062">
        <v>166</v>
      </c>
      <c r="G1062">
        <v>161</v>
      </c>
      <c r="H1062">
        <v>160</v>
      </c>
      <c r="I1062">
        <v>157</v>
      </c>
      <c r="J1062">
        <v>172</v>
      </c>
      <c r="K1062">
        <v>171</v>
      </c>
      <c r="L1062">
        <v>169</v>
      </c>
      <c r="M1062">
        <v>155</v>
      </c>
      <c r="N1062">
        <v>171</v>
      </c>
      <c r="O1062">
        <v>160</v>
      </c>
      <c r="P1062">
        <v>172</v>
      </c>
    </row>
    <row r="1063" spans="1:16" x14ac:dyDescent="0.3">
      <c r="A1063" t="str">
        <f>Table_Demand___Community_frontsheet[[#This Row],[Name]]&amp;B1063</f>
        <v>YorkReablement &amp; Rehabilitation in a bedded setting</v>
      </c>
      <c r="B1063" t="str">
        <f>VLOOKUP(Table_Demand___Community_frontsheet[[#This Row],[Service Type]],PathwayLookup!E:F,2,0)</f>
        <v>Reablement &amp; Rehabilitation in a bedded setting</v>
      </c>
      <c r="C1063" t="s">
        <v>368</v>
      </c>
      <c r="D1063" t="s">
        <v>723</v>
      </c>
    </row>
    <row r="1064" spans="1:16" x14ac:dyDescent="0.3">
      <c r="A1064" t="str">
        <f>Table_Demand___Community_frontsheet[[#This Row],[Name]]&amp;B1064</f>
        <v>YorkReablement &amp; Rehabilitation in a bedded setting</v>
      </c>
      <c r="B1064" t="str">
        <f>VLOOKUP(Table_Demand___Community_frontsheet[[#This Row],[Service Type]],PathwayLookup!E:F,2,0)</f>
        <v>Reablement &amp; Rehabilitation in a bedded setting</v>
      </c>
      <c r="C1064" t="s">
        <v>368</v>
      </c>
      <c r="D1064" t="s">
        <v>725</v>
      </c>
    </row>
    <row r="1065" spans="1:16" x14ac:dyDescent="0.3">
      <c r="A1065" t="str">
        <f>Table_Demand___Community_frontsheet[[#This Row],[Name]]&amp;B1065</f>
        <v>YorkOther short-term social care</v>
      </c>
      <c r="B1065" t="str">
        <f>VLOOKUP(Table_Demand___Community_frontsheet[[#This Row],[Service Type]],PathwayLookup!E:F,2,0)</f>
        <v>Other short-term social care</v>
      </c>
      <c r="C1065" t="s">
        <v>368</v>
      </c>
      <c r="D1065" t="s">
        <v>708</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4F17-BB04-4BEF-96D0-85BF4FE6DF80}">
  <dimension ref="A1:X1065"/>
  <sheetViews>
    <sheetView zoomScale="80" zoomScaleNormal="80" workbookViewId="0">
      <selection activeCell="B1032" sqref="B1032"/>
    </sheetView>
  </sheetViews>
  <sheetFormatPr defaultRowHeight="14.4" x14ac:dyDescent="0.3"/>
  <cols>
    <col min="1" max="1" width="20.44140625" customWidth="1"/>
    <col min="2" max="2" width="26.33203125" customWidth="1"/>
    <col min="3" max="3" width="35.44140625" bestFit="1" customWidth="1"/>
    <col min="4" max="4" width="32.109375" bestFit="1" customWidth="1"/>
    <col min="5" max="15" width="13" bestFit="1" customWidth="1"/>
    <col min="16" max="16" width="13" customWidth="1"/>
    <col min="17" max="17" width="6.109375" bestFit="1" customWidth="1"/>
    <col min="18" max="18" width="5.44140625" bestFit="1" customWidth="1"/>
    <col min="19" max="20" width="7.5546875" bestFit="1" customWidth="1"/>
    <col min="21" max="21" width="13" bestFit="1" customWidth="1"/>
    <col min="22" max="22" width="34.5546875" style="118" bestFit="1" customWidth="1"/>
    <col min="23" max="23" width="33.88671875" style="118" bestFit="1" customWidth="1"/>
    <col min="24" max="24" width="38.109375" style="118" bestFit="1" customWidth="1"/>
  </cols>
  <sheetData>
    <row r="1" spans="1:24" x14ac:dyDescent="0.3">
      <c r="A1" s="9" t="s">
        <v>7612</v>
      </c>
      <c r="B1" s="9" t="s">
        <v>735</v>
      </c>
      <c r="C1" t="s">
        <v>443</v>
      </c>
      <c r="D1" t="s">
        <v>691</v>
      </c>
      <c r="E1" t="s">
        <v>737</v>
      </c>
      <c r="F1" t="s">
        <v>738</v>
      </c>
      <c r="G1" t="s">
        <v>739</v>
      </c>
      <c r="H1" t="s">
        <v>740</v>
      </c>
      <c r="I1" t="s">
        <v>741</v>
      </c>
      <c r="J1" t="s">
        <v>742</v>
      </c>
      <c r="K1" t="s">
        <v>743</v>
      </c>
      <c r="L1" t="s">
        <v>744</v>
      </c>
      <c r="M1" t="s">
        <v>745</v>
      </c>
      <c r="N1" t="s">
        <v>746</v>
      </c>
      <c r="O1" t="s">
        <v>747</v>
      </c>
      <c r="P1" t="s">
        <v>748</v>
      </c>
      <c r="Q1" t="s">
        <v>3829</v>
      </c>
      <c r="R1" t="s">
        <v>793</v>
      </c>
      <c r="S1" t="s">
        <v>1739</v>
      </c>
      <c r="V1"/>
      <c r="W1"/>
      <c r="X1"/>
    </row>
    <row r="2" spans="1:24" x14ac:dyDescent="0.3">
      <c r="A2" t="str">
        <f>Table_Capacity_Community_frontsheet[[#This Row],[Name]]&amp;B2</f>
        <v>Barking and DagenhamSocial support (including VCS)</v>
      </c>
      <c r="B2" t="str">
        <f>VLOOKUP(Table_Capacity_Community_frontsheet[[#This Row],[Service Area]],PathwayLookup!E:F,2,0)</f>
        <v>Social support (including VCS)</v>
      </c>
      <c r="C2" t="s">
        <v>65</v>
      </c>
      <c r="D2" t="s">
        <v>704</v>
      </c>
      <c r="V2"/>
      <c r="W2"/>
      <c r="X2"/>
    </row>
    <row r="3" spans="1:24" x14ac:dyDescent="0.3">
      <c r="A3" t="str">
        <f>Table_Capacity_Community_frontsheet[[#This Row],[Name]]&amp;B3</f>
        <v>Barking and DagenhamUrgent Community Response</v>
      </c>
      <c r="B3" t="str">
        <f>VLOOKUP(Table_Capacity_Community_frontsheet[[#This Row],[Service Area]],PathwayLookup!E:F,2,0)</f>
        <v>Urgent Community Response</v>
      </c>
      <c r="C3" t="s">
        <v>65</v>
      </c>
      <c r="D3" t="s">
        <v>705</v>
      </c>
      <c r="E3">
        <v>112.48428454431982</v>
      </c>
      <c r="F3">
        <v>112.48428454431982</v>
      </c>
      <c r="G3">
        <v>112.48428454431982</v>
      </c>
      <c r="H3">
        <v>113.28870135870112</v>
      </c>
      <c r="I3">
        <v>113.28870135870112</v>
      </c>
      <c r="J3">
        <v>113.28870135870112</v>
      </c>
      <c r="K3">
        <v>109.26661728679458</v>
      </c>
      <c r="L3">
        <v>109.26661728679458</v>
      </c>
      <c r="M3">
        <v>109.26661728679458</v>
      </c>
      <c r="N3">
        <v>111.67986772993852</v>
      </c>
      <c r="O3">
        <v>111.67986772993852</v>
      </c>
      <c r="P3">
        <v>111.67986772993852</v>
      </c>
      <c r="Q3">
        <v>1</v>
      </c>
      <c r="V3"/>
      <c r="W3"/>
      <c r="X3"/>
    </row>
    <row r="4" spans="1:24" x14ac:dyDescent="0.3">
      <c r="A4" t="str">
        <f>Table_Capacity_Community_frontsheet[[#This Row],[Name]]&amp;B4</f>
        <v>Barking and DagenhamReablement &amp; Rehabilitation at home</v>
      </c>
      <c r="B4" t="str">
        <f>VLOOKUP(Table_Capacity_Community_frontsheet[[#This Row],[Service Area]],PathwayLookup!E:F,2,0)</f>
        <v>Reablement &amp; Rehabilitation at home</v>
      </c>
      <c r="C4" t="s">
        <v>65</v>
      </c>
      <c r="D4" t="s">
        <v>727</v>
      </c>
      <c r="E4">
        <v>36</v>
      </c>
      <c r="F4">
        <v>36</v>
      </c>
      <c r="G4">
        <v>37</v>
      </c>
      <c r="H4">
        <v>37</v>
      </c>
      <c r="I4">
        <v>37</v>
      </c>
      <c r="J4">
        <v>37</v>
      </c>
      <c r="K4">
        <v>38</v>
      </c>
      <c r="L4">
        <v>38</v>
      </c>
      <c r="M4">
        <v>39</v>
      </c>
      <c r="N4">
        <v>39</v>
      </c>
      <c r="O4">
        <v>40</v>
      </c>
      <c r="P4">
        <v>40</v>
      </c>
      <c r="R4">
        <v>1</v>
      </c>
      <c r="V4"/>
      <c r="W4"/>
      <c r="X4"/>
    </row>
    <row r="5" spans="1:24" x14ac:dyDescent="0.3">
      <c r="A5" t="str">
        <f>Table_Capacity_Community_frontsheet[[#This Row],[Name]]&amp;B5</f>
        <v>Barking and DagenhamReablement &amp; Rehabilitation at home</v>
      </c>
      <c r="B5" t="str">
        <f>VLOOKUP(Table_Capacity_Community_frontsheet[[#This Row],[Service Area]],PathwayLookup!E:F,2,0)</f>
        <v>Reablement &amp; Rehabilitation at home</v>
      </c>
      <c r="C5" t="s">
        <v>65</v>
      </c>
      <c r="D5" t="s">
        <v>729</v>
      </c>
      <c r="E5">
        <v>6.9</v>
      </c>
      <c r="F5">
        <v>6.9</v>
      </c>
      <c r="G5">
        <v>6.9</v>
      </c>
      <c r="H5">
        <v>6.9</v>
      </c>
      <c r="I5">
        <v>6.9</v>
      </c>
      <c r="J5">
        <v>6.9</v>
      </c>
      <c r="K5">
        <v>6.9</v>
      </c>
      <c r="L5">
        <v>6.9</v>
      </c>
      <c r="M5">
        <v>6.9</v>
      </c>
      <c r="N5">
        <v>6.9</v>
      </c>
      <c r="O5">
        <v>6.9</v>
      </c>
      <c r="P5">
        <v>6.9</v>
      </c>
      <c r="Q5">
        <v>1</v>
      </c>
      <c r="V5"/>
      <c r="W5"/>
      <c r="X5"/>
    </row>
    <row r="6" spans="1:24" x14ac:dyDescent="0.3">
      <c r="A6" t="str">
        <f>Table_Capacity_Community_frontsheet[[#This Row],[Name]]&amp;B6</f>
        <v>Barking and DagenhamReablement &amp; Rehabilitation in a bedded setting</v>
      </c>
      <c r="B6" t="str">
        <f>VLOOKUP(Table_Capacity_Community_frontsheet[[#This Row],[Service Area]],PathwayLookup!E:F,2,0)</f>
        <v>Reablement &amp; Rehabilitation in a bedded setting</v>
      </c>
      <c r="C6" t="s">
        <v>65</v>
      </c>
      <c r="D6" t="s">
        <v>723</v>
      </c>
      <c r="V6"/>
      <c r="W6"/>
      <c r="X6"/>
    </row>
    <row r="7" spans="1:24" x14ac:dyDescent="0.3">
      <c r="A7" t="str">
        <f>Table_Capacity_Community_frontsheet[[#This Row],[Name]]&amp;B7</f>
        <v>Barking and DagenhamReablement &amp; Rehabilitation in a bedded setting</v>
      </c>
      <c r="B7" t="str">
        <f>VLOOKUP(Table_Capacity_Community_frontsheet[[#This Row],[Service Area]],PathwayLookup!E:F,2,0)</f>
        <v>Reablement &amp; Rehabilitation in a bedded setting</v>
      </c>
      <c r="C7" t="s">
        <v>65</v>
      </c>
      <c r="D7" t="s">
        <v>725</v>
      </c>
      <c r="E7">
        <v>1.1000000000000001</v>
      </c>
      <c r="F7">
        <v>1</v>
      </c>
      <c r="G7">
        <v>1</v>
      </c>
      <c r="H7">
        <v>1</v>
      </c>
      <c r="I7">
        <v>1</v>
      </c>
      <c r="J7">
        <v>1</v>
      </c>
      <c r="K7">
        <v>1</v>
      </c>
      <c r="L7">
        <v>1.1000000000000001</v>
      </c>
      <c r="M7">
        <v>1.1000000000000001</v>
      </c>
      <c r="N7">
        <v>1.1000000000000001</v>
      </c>
      <c r="O7">
        <v>1.1000000000000001</v>
      </c>
      <c r="P7">
        <v>1.1000000000000001</v>
      </c>
      <c r="Q7">
        <v>1</v>
      </c>
      <c r="V7"/>
      <c r="W7"/>
      <c r="X7"/>
    </row>
    <row r="8" spans="1:24" x14ac:dyDescent="0.3">
      <c r="A8" t="str">
        <f>Table_Capacity_Community_frontsheet[[#This Row],[Name]]&amp;B8</f>
        <v>Barking and DagenhamOther short-term social care</v>
      </c>
      <c r="B8" t="str">
        <f>VLOOKUP(Table_Capacity_Community_frontsheet[[#This Row],[Service Area]],PathwayLookup!E:F,2,0)</f>
        <v>Other short-term social care</v>
      </c>
      <c r="C8" t="s">
        <v>65</v>
      </c>
      <c r="D8" t="s">
        <v>708</v>
      </c>
      <c r="V8"/>
      <c r="W8"/>
      <c r="X8"/>
    </row>
    <row r="9" spans="1:24" x14ac:dyDescent="0.3">
      <c r="A9" t="str">
        <f>Table_Capacity_Community_frontsheet[[#This Row],[Name]]&amp;B9</f>
        <v>BarnetSocial support (including VCS)</v>
      </c>
      <c r="B9" t="str">
        <f>VLOOKUP(Table_Capacity_Community_frontsheet[[#This Row],[Service Area]],PathwayLookup!E:F,2,0)</f>
        <v>Social support (including VCS)</v>
      </c>
      <c r="C9" t="s">
        <v>67</v>
      </c>
      <c r="D9" t="s">
        <v>704</v>
      </c>
      <c r="E9">
        <v>0</v>
      </c>
      <c r="F9">
        <v>0</v>
      </c>
      <c r="G9">
        <v>0</v>
      </c>
      <c r="H9">
        <v>0</v>
      </c>
      <c r="I9">
        <v>0</v>
      </c>
      <c r="J9">
        <v>0</v>
      </c>
      <c r="K9">
        <v>0</v>
      </c>
      <c r="L9">
        <v>0</v>
      </c>
      <c r="M9">
        <v>0</v>
      </c>
      <c r="N9">
        <v>0</v>
      </c>
      <c r="O9">
        <v>0</v>
      </c>
      <c r="P9">
        <v>0</v>
      </c>
      <c r="Q9">
        <v>0</v>
      </c>
      <c r="R9">
        <v>0</v>
      </c>
      <c r="S9">
        <v>0</v>
      </c>
      <c r="V9"/>
      <c r="W9"/>
      <c r="X9"/>
    </row>
    <row r="10" spans="1:24" x14ac:dyDescent="0.3">
      <c r="A10" t="str">
        <f>Table_Capacity_Community_frontsheet[[#This Row],[Name]]&amp;B10</f>
        <v>BarnetUrgent Community Response</v>
      </c>
      <c r="B10" t="str">
        <f>VLOOKUP(Table_Capacity_Community_frontsheet[[#This Row],[Service Area]],PathwayLookup!E:F,2,0)</f>
        <v>Urgent Community Response</v>
      </c>
      <c r="C10" t="s">
        <v>67</v>
      </c>
      <c r="D10" t="s">
        <v>705</v>
      </c>
      <c r="E10">
        <v>572</v>
      </c>
      <c r="F10">
        <v>572</v>
      </c>
      <c r="G10">
        <v>572</v>
      </c>
      <c r="H10">
        <v>557</v>
      </c>
      <c r="I10">
        <v>557</v>
      </c>
      <c r="J10">
        <v>557</v>
      </c>
      <c r="K10">
        <v>666</v>
      </c>
      <c r="L10">
        <v>666</v>
      </c>
      <c r="M10">
        <v>666</v>
      </c>
      <c r="N10">
        <v>699</v>
      </c>
      <c r="O10">
        <v>699</v>
      </c>
      <c r="P10">
        <v>699</v>
      </c>
      <c r="Q10">
        <v>1</v>
      </c>
      <c r="R10">
        <v>0</v>
      </c>
      <c r="S10">
        <v>0</v>
      </c>
      <c r="V10"/>
      <c r="W10"/>
      <c r="X10"/>
    </row>
    <row r="11" spans="1:24" x14ac:dyDescent="0.3">
      <c r="A11" t="str">
        <f>Table_Capacity_Community_frontsheet[[#This Row],[Name]]&amp;B11</f>
        <v>BarnetReablement &amp; Rehabilitation at home</v>
      </c>
      <c r="B11" t="str">
        <f>VLOOKUP(Table_Capacity_Community_frontsheet[[#This Row],[Service Area]],PathwayLookup!E:F,2,0)</f>
        <v>Reablement &amp; Rehabilitation at home</v>
      </c>
      <c r="C11" t="s">
        <v>67</v>
      </c>
      <c r="D11" t="s">
        <v>727</v>
      </c>
      <c r="E11">
        <v>58.3</v>
      </c>
      <c r="F11">
        <v>82.5</v>
      </c>
      <c r="G11">
        <v>139.69999999999999</v>
      </c>
      <c r="H11">
        <v>154</v>
      </c>
      <c r="I11">
        <v>160.6</v>
      </c>
      <c r="J11">
        <v>125.4</v>
      </c>
      <c r="K11">
        <v>139.69999999999999</v>
      </c>
      <c r="L11">
        <v>137.5</v>
      </c>
      <c r="M11">
        <v>92.4</v>
      </c>
      <c r="N11">
        <v>95.7</v>
      </c>
      <c r="O11">
        <v>62.7</v>
      </c>
      <c r="P11">
        <v>39.6</v>
      </c>
      <c r="Q11">
        <v>0</v>
      </c>
      <c r="R11">
        <v>1</v>
      </c>
      <c r="S11">
        <v>0</v>
      </c>
      <c r="V11"/>
      <c r="W11"/>
      <c r="X11"/>
    </row>
    <row r="12" spans="1:24" x14ac:dyDescent="0.3">
      <c r="A12" t="str">
        <f>Table_Capacity_Community_frontsheet[[#This Row],[Name]]&amp;B12</f>
        <v>BarnetReablement &amp; Rehabilitation at home</v>
      </c>
      <c r="B12" t="str">
        <f>VLOOKUP(Table_Capacity_Community_frontsheet[[#This Row],[Service Area]],PathwayLookup!E:F,2,0)</f>
        <v>Reablement &amp; Rehabilitation at home</v>
      </c>
      <c r="C12" t="s">
        <v>67</v>
      </c>
      <c r="D12" t="s">
        <v>729</v>
      </c>
      <c r="E12">
        <v>96</v>
      </c>
      <c r="F12">
        <v>96</v>
      </c>
      <c r="G12">
        <v>96</v>
      </c>
      <c r="H12">
        <v>96</v>
      </c>
      <c r="I12">
        <v>96</v>
      </c>
      <c r="J12">
        <v>96</v>
      </c>
      <c r="K12">
        <v>96</v>
      </c>
      <c r="L12">
        <v>96</v>
      </c>
      <c r="M12">
        <v>96</v>
      </c>
      <c r="N12">
        <v>96</v>
      </c>
      <c r="O12">
        <v>96</v>
      </c>
      <c r="P12">
        <v>96</v>
      </c>
      <c r="Q12">
        <v>1</v>
      </c>
      <c r="R12">
        <v>0</v>
      </c>
      <c r="S12">
        <v>0</v>
      </c>
      <c r="V12"/>
      <c r="W12"/>
      <c r="X12"/>
    </row>
    <row r="13" spans="1:24" x14ac:dyDescent="0.3">
      <c r="A13" t="str">
        <f>Table_Capacity_Community_frontsheet[[#This Row],[Name]]&amp;B13</f>
        <v>BarnetReablement &amp; Rehabilitation in a bedded setting</v>
      </c>
      <c r="B13" t="str">
        <f>VLOOKUP(Table_Capacity_Community_frontsheet[[#This Row],[Service Area]],PathwayLookup!E:F,2,0)</f>
        <v>Reablement &amp; Rehabilitation in a bedded setting</v>
      </c>
      <c r="C13" t="s">
        <v>67</v>
      </c>
      <c r="D13" t="s">
        <v>723</v>
      </c>
      <c r="E13">
        <v>0</v>
      </c>
      <c r="F13">
        <v>0</v>
      </c>
      <c r="G13">
        <v>0</v>
      </c>
      <c r="H13">
        <v>0</v>
      </c>
      <c r="I13">
        <v>0</v>
      </c>
      <c r="J13">
        <v>0</v>
      </c>
      <c r="K13">
        <v>0</v>
      </c>
      <c r="L13">
        <v>0</v>
      </c>
      <c r="M13">
        <v>0</v>
      </c>
      <c r="N13">
        <v>0</v>
      </c>
      <c r="O13">
        <v>0</v>
      </c>
      <c r="P13">
        <v>0</v>
      </c>
      <c r="Q13">
        <v>0</v>
      </c>
      <c r="R13">
        <v>0</v>
      </c>
      <c r="S13">
        <v>0</v>
      </c>
      <c r="V13"/>
      <c r="W13"/>
      <c r="X13"/>
    </row>
    <row r="14" spans="1:24" x14ac:dyDescent="0.3">
      <c r="A14" t="str">
        <f>Table_Capacity_Community_frontsheet[[#This Row],[Name]]&amp;B14</f>
        <v>BarnetReablement &amp; Rehabilitation in a bedded setting</v>
      </c>
      <c r="B14" t="str">
        <f>VLOOKUP(Table_Capacity_Community_frontsheet[[#This Row],[Service Area]],PathwayLookup!E:F,2,0)</f>
        <v>Reablement &amp; Rehabilitation in a bedded setting</v>
      </c>
      <c r="C14" t="s">
        <v>67</v>
      </c>
      <c r="D14" t="s">
        <v>725</v>
      </c>
      <c r="E14">
        <v>29</v>
      </c>
      <c r="F14">
        <v>40</v>
      </c>
      <c r="G14">
        <v>30</v>
      </c>
      <c r="H14">
        <v>23</v>
      </c>
      <c r="I14">
        <v>17</v>
      </c>
      <c r="J14">
        <v>12</v>
      </c>
      <c r="K14">
        <v>15</v>
      </c>
      <c r="L14">
        <v>24</v>
      </c>
      <c r="M14">
        <v>37</v>
      </c>
      <c r="N14">
        <v>32</v>
      </c>
      <c r="O14">
        <v>17</v>
      </c>
      <c r="P14">
        <v>28</v>
      </c>
      <c r="Q14">
        <v>1</v>
      </c>
      <c r="R14">
        <v>0</v>
      </c>
      <c r="S14">
        <v>0</v>
      </c>
      <c r="V14"/>
      <c r="W14"/>
      <c r="X14"/>
    </row>
    <row r="15" spans="1:24" x14ac:dyDescent="0.3">
      <c r="A15" t="str">
        <f>Table_Capacity_Community_frontsheet[[#This Row],[Name]]&amp;B15</f>
        <v>BarnetOther short-term social care</v>
      </c>
      <c r="B15" t="str">
        <f>VLOOKUP(Table_Capacity_Community_frontsheet[[#This Row],[Service Area]],PathwayLookup!E:F,2,0)</f>
        <v>Other short-term social care</v>
      </c>
      <c r="C15" t="s">
        <v>67</v>
      </c>
      <c r="D15" t="s">
        <v>708</v>
      </c>
      <c r="E15">
        <v>0</v>
      </c>
      <c r="F15">
        <v>0</v>
      </c>
      <c r="G15">
        <v>0</v>
      </c>
      <c r="H15">
        <v>0</v>
      </c>
      <c r="I15">
        <v>0</v>
      </c>
      <c r="J15">
        <v>0</v>
      </c>
      <c r="K15">
        <v>0</v>
      </c>
      <c r="L15">
        <v>0</v>
      </c>
      <c r="M15">
        <v>0</v>
      </c>
      <c r="N15">
        <v>0</v>
      </c>
      <c r="O15">
        <v>0</v>
      </c>
      <c r="P15">
        <v>0</v>
      </c>
      <c r="Q15">
        <v>0</v>
      </c>
      <c r="R15">
        <v>0</v>
      </c>
      <c r="S15">
        <v>0</v>
      </c>
      <c r="V15"/>
      <c r="W15"/>
      <c r="X15"/>
    </row>
    <row r="16" spans="1:24" x14ac:dyDescent="0.3">
      <c r="A16" t="str">
        <f>Table_Capacity_Community_frontsheet[[#This Row],[Name]]&amp;B16</f>
        <v>BarnsleySocial support (including VCS)</v>
      </c>
      <c r="B16" t="str">
        <f>VLOOKUP(Table_Capacity_Community_frontsheet[[#This Row],[Service Area]],PathwayLookup!E:F,2,0)</f>
        <v>Social support (including VCS)</v>
      </c>
      <c r="C16" t="s">
        <v>69</v>
      </c>
      <c r="D16" t="s">
        <v>704</v>
      </c>
      <c r="V16"/>
      <c r="W16"/>
      <c r="X16"/>
    </row>
    <row r="17" spans="1:24" x14ac:dyDescent="0.3">
      <c r="A17" t="str">
        <f>Table_Capacity_Community_frontsheet[[#This Row],[Name]]&amp;B17</f>
        <v>BarnsleyUrgent Community Response</v>
      </c>
      <c r="B17" t="str">
        <f>VLOOKUP(Table_Capacity_Community_frontsheet[[#This Row],[Service Area]],PathwayLookup!E:F,2,0)</f>
        <v>Urgent Community Response</v>
      </c>
      <c r="C17" t="s">
        <v>69</v>
      </c>
      <c r="D17" t="s">
        <v>705</v>
      </c>
      <c r="E17">
        <v>833</v>
      </c>
      <c r="F17">
        <v>833</v>
      </c>
      <c r="G17">
        <v>834</v>
      </c>
      <c r="H17">
        <v>900</v>
      </c>
      <c r="I17">
        <v>900</v>
      </c>
      <c r="J17">
        <v>900</v>
      </c>
      <c r="K17">
        <v>966</v>
      </c>
      <c r="L17">
        <v>967</v>
      </c>
      <c r="M17">
        <v>967</v>
      </c>
      <c r="N17">
        <v>1034</v>
      </c>
      <c r="O17">
        <v>1033</v>
      </c>
      <c r="P17">
        <v>1034</v>
      </c>
      <c r="Q17">
        <v>1</v>
      </c>
      <c r="V17"/>
      <c r="W17"/>
      <c r="X17"/>
    </row>
    <row r="18" spans="1:24" x14ac:dyDescent="0.3">
      <c r="A18" t="str">
        <f>Table_Capacity_Community_frontsheet[[#This Row],[Name]]&amp;B18</f>
        <v>BarnsleyReablement &amp; Rehabilitation at home</v>
      </c>
      <c r="B18" t="str">
        <f>VLOOKUP(Table_Capacity_Community_frontsheet[[#This Row],[Service Area]],PathwayLookup!E:F,2,0)</f>
        <v>Reablement &amp; Rehabilitation at home</v>
      </c>
      <c r="C18" t="s">
        <v>69</v>
      </c>
      <c r="D18" t="s">
        <v>727</v>
      </c>
      <c r="E18">
        <v>114</v>
      </c>
      <c r="F18">
        <v>120</v>
      </c>
      <c r="G18">
        <v>133</v>
      </c>
      <c r="H18">
        <v>146</v>
      </c>
      <c r="I18">
        <v>138</v>
      </c>
      <c r="J18">
        <v>131</v>
      </c>
      <c r="K18">
        <v>154</v>
      </c>
      <c r="L18">
        <v>135</v>
      </c>
      <c r="M18">
        <v>124</v>
      </c>
      <c r="N18">
        <v>106</v>
      </c>
      <c r="O18">
        <v>158</v>
      </c>
      <c r="P18">
        <v>172</v>
      </c>
      <c r="R18">
        <v>1</v>
      </c>
      <c r="V18"/>
      <c r="W18"/>
      <c r="X18"/>
    </row>
    <row r="19" spans="1:24" x14ac:dyDescent="0.3">
      <c r="A19" t="str">
        <f>Table_Capacity_Community_frontsheet[[#This Row],[Name]]&amp;B19</f>
        <v>BarnsleyReablement &amp; Rehabilitation at home</v>
      </c>
      <c r="B19" t="str">
        <f>VLOOKUP(Table_Capacity_Community_frontsheet[[#This Row],[Service Area]],PathwayLookup!E:F,2,0)</f>
        <v>Reablement &amp; Rehabilitation at home</v>
      </c>
      <c r="C19" t="s">
        <v>69</v>
      </c>
      <c r="D19" t="s">
        <v>729</v>
      </c>
      <c r="E19">
        <v>67</v>
      </c>
      <c r="F19">
        <v>67</v>
      </c>
      <c r="G19">
        <v>67</v>
      </c>
      <c r="H19">
        <v>69</v>
      </c>
      <c r="I19">
        <v>67</v>
      </c>
      <c r="J19">
        <v>69</v>
      </c>
      <c r="K19">
        <v>67</v>
      </c>
      <c r="L19">
        <v>69</v>
      </c>
      <c r="M19">
        <v>69</v>
      </c>
      <c r="N19">
        <v>69</v>
      </c>
      <c r="O19">
        <v>62</v>
      </c>
      <c r="P19">
        <v>69</v>
      </c>
      <c r="Q19">
        <v>1</v>
      </c>
      <c r="V19"/>
      <c r="W19"/>
      <c r="X19"/>
    </row>
    <row r="20" spans="1:24" x14ac:dyDescent="0.3">
      <c r="A20" t="str">
        <f>Table_Capacity_Community_frontsheet[[#This Row],[Name]]&amp;B20</f>
        <v>BarnsleyReablement &amp; Rehabilitation in a bedded setting</v>
      </c>
      <c r="B20" t="str">
        <f>VLOOKUP(Table_Capacity_Community_frontsheet[[#This Row],[Service Area]],PathwayLookup!E:F,2,0)</f>
        <v>Reablement &amp; Rehabilitation in a bedded setting</v>
      </c>
      <c r="C20" t="s">
        <v>69</v>
      </c>
      <c r="D20" t="s">
        <v>723</v>
      </c>
      <c r="V20"/>
      <c r="W20"/>
      <c r="X20"/>
    </row>
    <row r="21" spans="1:24" x14ac:dyDescent="0.3">
      <c r="A21" t="str">
        <f>Table_Capacity_Community_frontsheet[[#This Row],[Name]]&amp;B21</f>
        <v>BarnsleyReablement &amp; Rehabilitation in a bedded setting</v>
      </c>
      <c r="B21" t="str">
        <f>VLOOKUP(Table_Capacity_Community_frontsheet[[#This Row],[Service Area]],PathwayLookup!E:F,2,0)</f>
        <v>Reablement &amp; Rehabilitation in a bedded setting</v>
      </c>
      <c r="C21" t="s">
        <v>69</v>
      </c>
      <c r="D21" t="s">
        <v>725</v>
      </c>
      <c r="E21">
        <v>7</v>
      </c>
      <c r="F21">
        <v>7</v>
      </c>
      <c r="G21">
        <v>7</v>
      </c>
      <c r="H21">
        <v>7</v>
      </c>
      <c r="I21">
        <v>7</v>
      </c>
      <c r="J21">
        <v>7</v>
      </c>
      <c r="K21">
        <v>7</v>
      </c>
      <c r="L21">
        <v>7</v>
      </c>
      <c r="M21">
        <v>7</v>
      </c>
      <c r="N21">
        <v>7</v>
      </c>
      <c r="O21">
        <v>7</v>
      </c>
      <c r="P21">
        <v>7</v>
      </c>
      <c r="Q21">
        <v>1</v>
      </c>
      <c r="V21"/>
      <c r="W21"/>
      <c r="X21"/>
    </row>
    <row r="22" spans="1:24" x14ac:dyDescent="0.3">
      <c r="A22" t="str">
        <f>Table_Capacity_Community_frontsheet[[#This Row],[Name]]&amp;B22</f>
        <v>BarnsleyOther short-term social care</v>
      </c>
      <c r="B22" t="str">
        <f>VLOOKUP(Table_Capacity_Community_frontsheet[[#This Row],[Service Area]],PathwayLookup!E:F,2,0)</f>
        <v>Other short-term social care</v>
      </c>
      <c r="C22" t="s">
        <v>69</v>
      </c>
      <c r="D22" t="s">
        <v>708</v>
      </c>
      <c r="V22"/>
      <c r="W22"/>
      <c r="X22"/>
    </row>
    <row r="23" spans="1:24" x14ac:dyDescent="0.3">
      <c r="A23" t="str">
        <f>Table_Capacity_Community_frontsheet[[#This Row],[Name]]&amp;B23</f>
        <v>Bath and North East SomersetSocial support (including VCS)</v>
      </c>
      <c r="B23" t="str">
        <f>VLOOKUP(Table_Capacity_Community_frontsheet[[#This Row],[Service Area]],PathwayLookup!E:F,2,0)</f>
        <v>Social support (including VCS)</v>
      </c>
      <c r="C23" t="s">
        <v>71</v>
      </c>
      <c r="D23" t="s">
        <v>704</v>
      </c>
      <c r="E23">
        <v>5</v>
      </c>
      <c r="F23">
        <v>5</v>
      </c>
      <c r="G23">
        <v>5</v>
      </c>
      <c r="H23">
        <v>5</v>
      </c>
      <c r="I23">
        <v>5</v>
      </c>
      <c r="J23">
        <v>5</v>
      </c>
      <c r="K23">
        <v>5</v>
      </c>
      <c r="L23">
        <v>5</v>
      </c>
      <c r="M23">
        <v>5</v>
      </c>
      <c r="N23">
        <v>5</v>
      </c>
      <c r="O23">
        <v>5</v>
      </c>
      <c r="P23">
        <v>5</v>
      </c>
      <c r="S23">
        <v>1</v>
      </c>
      <c r="V23"/>
      <c r="W23"/>
      <c r="X23"/>
    </row>
    <row r="24" spans="1:24" x14ac:dyDescent="0.3">
      <c r="A24" t="str">
        <f>Table_Capacity_Community_frontsheet[[#This Row],[Name]]&amp;B24</f>
        <v>Bath and North East SomersetUrgent Community Response</v>
      </c>
      <c r="B24" t="str">
        <f>VLOOKUP(Table_Capacity_Community_frontsheet[[#This Row],[Service Area]],PathwayLookup!E:F,2,0)</f>
        <v>Urgent Community Response</v>
      </c>
      <c r="C24" t="s">
        <v>71</v>
      </c>
      <c r="D24" t="s">
        <v>705</v>
      </c>
      <c r="E24">
        <v>164</v>
      </c>
      <c r="F24">
        <v>149</v>
      </c>
      <c r="G24">
        <v>169</v>
      </c>
      <c r="H24">
        <v>172</v>
      </c>
      <c r="I24">
        <v>176</v>
      </c>
      <c r="J24">
        <v>180</v>
      </c>
      <c r="K24">
        <v>228</v>
      </c>
      <c r="L24">
        <v>259</v>
      </c>
      <c r="M24">
        <v>232</v>
      </c>
      <c r="N24">
        <v>204</v>
      </c>
      <c r="O24">
        <v>185</v>
      </c>
      <c r="P24">
        <v>185</v>
      </c>
      <c r="V24"/>
      <c r="W24"/>
      <c r="X24"/>
    </row>
    <row r="25" spans="1:24" x14ac:dyDescent="0.3">
      <c r="A25" t="str">
        <f>Table_Capacity_Community_frontsheet[[#This Row],[Name]]&amp;B25</f>
        <v>Bath and North East SomersetReablement &amp; Rehabilitation at home</v>
      </c>
      <c r="B25" t="str">
        <f>VLOOKUP(Table_Capacity_Community_frontsheet[[#This Row],[Service Area]],PathwayLookup!E:F,2,0)</f>
        <v>Reablement &amp; Rehabilitation at home</v>
      </c>
      <c r="C25" t="s">
        <v>71</v>
      </c>
      <c r="D25" t="s">
        <v>727</v>
      </c>
      <c r="E25">
        <v>210</v>
      </c>
      <c r="F25">
        <v>220</v>
      </c>
      <c r="G25">
        <v>214</v>
      </c>
      <c r="H25">
        <v>222</v>
      </c>
      <c r="I25">
        <v>219</v>
      </c>
      <c r="J25">
        <v>207</v>
      </c>
      <c r="K25">
        <v>208</v>
      </c>
      <c r="L25">
        <v>199</v>
      </c>
      <c r="M25">
        <v>206</v>
      </c>
      <c r="N25">
        <v>206</v>
      </c>
      <c r="O25">
        <v>189</v>
      </c>
      <c r="P25">
        <v>199</v>
      </c>
      <c r="S25">
        <v>1</v>
      </c>
      <c r="V25"/>
      <c r="W25"/>
      <c r="X25"/>
    </row>
    <row r="26" spans="1:24" x14ac:dyDescent="0.3">
      <c r="A26" t="str">
        <f>Table_Capacity_Community_frontsheet[[#This Row],[Name]]&amp;B26</f>
        <v>Bath and North East SomersetReablement &amp; Rehabilitation at home</v>
      </c>
      <c r="B26" t="str">
        <f>VLOOKUP(Table_Capacity_Community_frontsheet[[#This Row],[Service Area]],PathwayLookup!E:F,2,0)</f>
        <v>Reablement &amp; Rehabilitation at home</v>
      </c>
      <c r="C26" t="s">
        <v>71</v>
      </c>
      <c r="D26" t="s">
        <v>729</v>
      </c>
      <c r="E26">
        <v>0</v>
      </c>
      <c r="F26">
        <v>0</v>
      </c>
      <c r="G26">
        <v>0</v>
      </c>
      <c r="H26">
        <v>0</v>
      </c>
      <c r="I26">
        <v>0</v>
      </c>
      <c r="J26">
        <v>0</v>
      </c>
      <c r="K26">
        <v>0</v>
      </c>
      <c r="L26">
        <v>0</v>
      </c>
      <c r="M26">
        <v>0</v>
      </c>
      <c r="N26">
        <v>0</v>
      </c>
      <c r="O26">
        <v>0</v>
      </c>
      <c r="P26">
        <v>0</v>
      </c>
      <c r="V26"/>
      <c r="W26"/>
      <c r="X26"/>
    </row>
    <row r="27" spans="1:24" x14ac:dyDescent="0.3">
      <c r="A27" t="str">
        <f>Table_Capacity_Community_frontsheet[[#This Row],[Name]]&amp;B27</f>
        <v>Bath and North East SomersetReablement &amp; Rehabilitation in a bedded setting</v>
      </c>
      <c r="B27" t="str">
        <f>VLOOKUP(Table_Capacity_Community_frontsheet[[#This Row],[Service Area]],PathwayLookup!E:F,2,0)</f>
        <v>Reablement &amp; Rehabilitation in a bedded setting</v>
      </c>
      <c r="C27" t="s">
        <v>71</v>
      </c>
      <c r="D27" t="s">
        <v>723</v>
      </c>
      <c r="E27">
        <v>0</v>
      </c>
      <c r="F27">
        <v>0</v>
      </c>
      <c r="G27">
        <v>0</v>
      </c>
      <c r="H27">
        <v>0</v>
      </c>
      <c r="I27">
        <v>0</v>
      </c>
      <c r="J27">
        <v>0</v>
      </c>
      <c r="K27">
        <v>0</v>
      </c>
      <c r="L27">
        <v>0</v>
      </c>
      <c r="M27">
        <v>0</v>
      </c>
      <c r="N27">
        <v>0</v>
      </c>
      <c r="O27">
        <v>0</v>
      </c>
      <c r="P27">
        <v>0</v>
      </c>
      <c r="S27">
        <v>1</v>
      </c>
      <c r="V27"/>
      <c r="W27"/>
      <c r="X27"/>
    </row>
    <row r="28" spans="1:24" x14ac:dyDescent="0.3">
      <c r="A28" t="str">
        <f>Table_Capacity_Community_frontsheet[[#This Row],[Name]]&amp;B28</f>
        <v>Bath and North East SomersetReablement &amp; Rehabilitation in a bedded setting</v>
      </c>
      <c r="B28" t="str">
        <f>VLOOKUP(Table_Capacity_Community_frontsheet[[#This Row],[Service Area]],PathwayLookup!E:F,2,0)</f>
        <v>Reablement &amp; Rehabilitation in a bedded setting</v>
      </c>
      <c r="C28" t="s">
        <v>71</v>
      </c>
      <c r="D28" t="s">
        <v>725</v>
      </c>
      <c r="E28">
        <v>0</v>
      </c>
      <c r="F28">
        <v>0</v>
      </c>
      <c r="G28">
        <v>0</v>
      </c>
      <c r="H28">
        <v>0</v>
      </c>
      <c r="I28">
        <v>0</v>
      </c>
      <c r="J28">
        <v>0</v>
      </c>
      <c r="K28">
        <v>0</v>
      </c>
      <c r="L28">
        <v>0</v>
      </c>
      <c r="M28">
        <v>0</v>
      </c>
      <c r="N28">
        <v>0</v>
      </c>
      <c r="O28">
        <v>0</v>
      </c>
      <c r="P28">
        <v>0</v>
      </c>
      <c r="V28"/>
      <c r="W28"/>
      <c r="X28"/>
    </row>
    <row r="29" spans="1:24" x14ac:dyDescent="0.3">
      <c r="A29" t="str">
        <f>Table_Capacity_Community_frontsheet[[#This Row],[Name]]&amp;B29</f>
        <v>Bath and North East SomersetOther short-term social care</v>
      </c>
      <c r="B29" t="str">
        <f>VLOOKUP(Table_Capacity_Community_frontsheet[[#This Row],[Service Area]],PathwayLookup!E:F,2,0)</f>
        <v>Other short-term social care</v>
      </c>
      <c r="C29" t="s">
        <v>71</v>
      </c>
      <c r="D29" t="s">
        <v>708</v>
      </c>
      <c r="E29">
        <v>0</v>
      </c>
      <c r="F29">
        <v>0</v>
      </c>
      <c r="G29">
        <v>0</v>
      </c>
      <c r="H29">
        <v>0</v>
      </c>
      <c r="I29">
        <v>0</v>
      </c>
      <c r="J29">
        <v>0</v>
      </c>
      <c r="K29">
        <v>0</v>
      </c>
      <c r="L29">
        <v>0</v>
      </c>
      <c r="M29">
        <v>0</v>
      </c>
      <c r="N29">
        <v>0</v>
      </c>
      <c r="O29">
        <v>0</v>
      </c>
      <c r="P29">
        <v>0</v>
      </c>
      <c r="V29"/>
      <c r="W29"/>
      <c r="X29"/>
    </row>
    <row r="30" spans="1:24" x14ac:dyDescent="0.3">
      <c r="A30" t="str">
        <f>Table_Capacity_Community_frontsheet[[#This Row],[Name]]&amp;B30</f>
        <v>BedfordSocial support (including VCS)</v>
      </c>
      <c r="B30" t="str">
        <f>VLOOKUP(Table_Capacity_Community_frontsheet[[#This Row],[Service Area]],PathwayLookup!E:F,2,0)</f>
        <v>Social support (including VCS)</v>
      </c>
      <c r="C30" t="s">
        <v>73</v>
      </c>
      <c r="D30" t="s">
        <v>704</v>
      </c>
      <c r="V30"/>
      <c r="W30"/>
      <c r="X30"/>
    </row>
    <row r="31" spans="1:24" x14ac:dyDescent="0.3">
      <c r="A31" t="str">
        <f>Table_Capacity_Community_frontsheet[[#This Row],[Name]]&amp;B31</f>
        <v>BedfordUrgent Community Response</v>
      </c>
      <c r="B31" t="str">
        <f>VLOOKUP(Table_Capacity_Community_frontsheet[[#This Row],[Service Area]],PathwayLookup!E:F,2,0)</f>
        <v>Urgent Community Response</v>
      </c>
      <c r="C31" t="s">
        <v>73</v>
      </c>
      <c r="D31" t="s">
        <v>705</v>
      </c>
      <c r="V31"/>
      <c r="W31"/>
      <c r="X31"/>
    </row>
    <row r="32" spans="1:24" x14ac:dyDescent="0.3">
      <c r="A32" t="str">
        <f>Table_Capacity_Community_frontsheet[[#This Row],[Name]]&amp;B32</f>
        <v>BedfordReablement &amp; Rehabilitation at home</v>
      </c>
      <c r="B32" t="str">
        <f>VLOOKUP(Table_Capacity_Community_frontsheet[[#This Row],[Service Area]],PathwayLookup!E:F,2,0)</f>
        <v>Reablement &amp; Rehabilitation at home</v>
      </c>
      <c r="C32" t="s">
        <v>73</v>
      </c>
      <c r="D32" t="s">
        <v>727</v>
      </c>
      <c r="V32"/>
      <c r="W32"/>
      <c r="X32"/>
    </row>
    <row r="33" spans="1:24" x14ac:dyDescent="0.3">
      <c r="A33" t="str">
        <f>Table_Capacity_Community_frontsheet[[#This Row],[Name]]&amp;B33</f>
        <v>BedfordReablement &amp; Rehabilitation at home</v>
      </c>
      <c r="B33" t="str">
        <f>VLOOKUP(Table_Capacity_Community_frontsheet[[#This Row],[Service Area]],PathwayLookup!E:F,2,0)</f>
        <v>Reablement &amp; Rehabilitation at home</v>
      </c>
      <c r="C33" t="s">
        <v>73</v>
      </c>
      <c r="D33" t="s">
        <v>729</v>
      </c>
      <c r="V33"/>
      <c r="W33"/>
      <c r="X33"/>
    </row>
    <row r="34" spans="1:24" x14ac:dyDescent="0.3">
      <c r="A34" t="str">
        <f>Table_Capacity_Community_frontsheet[[#This Row],[Name]]&amp;B34</f>
        <v>BedfordReablement &amp; Rehabilitation in a bedded setting</v>
      </c>
      <c r="B34" t="str">
        <f>VLOOKUP(Table_Capacity_Community_frontsheet[[#This Row],[Service Area]],PathwayLookup!E:F,2,0)</f>
        <v>Reablement &amp; Rehabilitation in a bedded setting</v>
      </c>
      <c r="C34" t="s">
        <v>73</v>
      </c>
      <c r="D34" t="s">
        <v>723</v>
      </c>
      <c r="E34">
        <v>15</v>
      </c>
      <c r="F34">
        <v>16</v>
      </c>
      <c r="G34">
        <v>15</v>
      </c>
      <c r="H34">
        <v>16</v>
      </c>
      <c r="I34">
        <v>16</v>
      </c>
      <c r="J34">
        <v>15</v>
      </c>
      <c r="K34">
        <v>16</v>
      </c>
      <c r="L34">
        <v>15</v>
      </c>
      <c r="M34">
        <v>16</v>
      </c>
      <c r="N34">
        <v>16</v>
      </c>
      <c r="O34">
        <v>14</v>
      </c>
      <c r="P34">
        <v>16</v>
      </c>
      <c r="Q34">
        <v>1</v>
      </c>
      <c r="V34"/>
      <c r="W34"/>
      <c r="X34"/>
    </row>
    <row r="35" spans="1:24" x14ac:dyDescent="0.3">
      <c r="A35" t="str">
        <f>Table_Capacity_Community_frontsheet[[#This Row],[Name]]&amp;B35</f>
        <v>BedfordReablement &amp; Rehabilitation in a bedded setting</v>
      </c>
      <c r="B35" t="str">
        <f>VLOOKUP(Table_Capacity_Community_frontsheet[[#This Row],[Service Area]],PathwayLookup!E:F,2,0)</f>
        <v>Reablement &amp; Rehabilitation in a bedded setting</v>
      </c>
      <c r="C35" t="s">
        <v>73</v>
      </c>
      <c r="D35" t="s">
        <v>725</v>
      </c>
      <c r="E35">
        <v>10</v>
      </c>
      <c r="F35">
        <v>10</v>
      </c>
      <c r="G35">
        <v>10</v>
      </c>
      <c r="H35">
        <v>10</v>
      </c>
      <c r="I35">
        <v>10</v>
      </c>
      <c r="J35">
        <v>10</v>
      </c>
      <c r="K35">
        <v>10</v>
      </c>
      <c r="L35">
        <v>10</v>
      </c>
      <c r="M35">
        <v>10</v>
      </c>
      <c r="N35">
        <v>10</v>
      </c>
      <c r="O35">
        <v>10</v>
      </c>
      <c r="P35">
        <v>10</v>
      </c>
      <c r="Q35">
        <v>1</v>
      </c>
      <c r="V35"/>
      <c r="W35"/>
      <c r="X35"/>
    </row>
    <row r="36" spans="1:24" x14ac:dyDescent="0.3">
      <c r="A36" t="str">
        <f>Table_Capacity_Community_frontsheet[[#This Row],[Name]]&amp;B36</f>
        <v>BedfordOther short-term social care</v>
      </c>
      <c r="B36" t="str">
        <f>VLOOKUP(Table_Capacity_Community_frontsheet[[#This Row],[Service Area]],PathwayLookup!E:F,2,0)</f>
        <v>Other short-term social care</v>
      </c>
      <c r="C36" t="s">
        <v>73</v>
      </c>
      <c r="D36" t="s">
        <v>708</v>
      </c>
      <c r="V36"/>
      <c r="W36"/>
      <c r="X36"/>
    </row>
    <row r="37" spans="1:24" x14ac:dyDescent="0.3">
      <c r="A37" t="str">
        <f>Table_Capacity_Community_frontsheet[[#This Row],[Name]]&amp;B37</f>
        <v>BexleySocial support (including VCS)</v>
      </c>
      <c r="B37" t="str">
        <f>VLOOKUP(Table_Capacity_Community_frontsheet[[#This Row],[Service Area]],PathwayLookup!E:F,2,0)</f>
        <v>Social support (including VCS)</v>
      </c>
      <c r="C37" t="s">
        <v>75</v>
      </c>
      <c r="D37" t="s">
        <v>704</v>
      </c>
      <c r="E37">
        <v>221</v>
      </c>
      <c r="F37">
        <v>221</v>
      </c>
      <c r="G37">
        <v>221</v>
      </c>
      <c r="H37">
        <v>221</v>
      </c>
      <c r="I37">
        <v>221</v>
      </c>
      <c r="J37">
        <v>221</v>
      </c>
      <c r="K37">
        <v>221</v>
      </c>
      <c r="L37">
        <v>221</v>
      </c>
      <c r="M37">
        <v>221</v>
      </c>
      <c r="N37">
        <v>221</v>
      </c>
      <c r="O37">
        <v>221</v>
      </c>
      <c r="P37">
        <v>222</v>
      </c>
      <c r="Q37">
        <v>0</v>
      </c>
      <c r="R37">
        <v>1</v>
      </c>
      <c r="S37">
        <v>0</v>
      </c>
      <c r="V37"/>
      <c r="W37"/>
      <c r="X37"/>
    </row>
    <row r="38" spans="1:24" x14ac:dyDescent="0.3">
      <c r="A38" t="str">
        <f>Table_Capacity_Community_frontsheet[[#This Row],[Name]]&amp;B38</f>
        <v>BexleyUrgent Community Response</v>
      </c>
      <c r="B38" t="str">
        <f>VLOOKUP(Table_Capacity_Community_frontsheet[[#This Row],[Service Area]],PathwayLookup!E:F,2,0)</f>
        <v>Urgent Community Response</v>
      </c>
      <c r="C38" t="s">
        <v>75</v>
      </c>
      <c r="D38" t="s">
        <v>705</v>
      </c>
      <c r="E38">
        <v>123</v>
      </c>
      <c r="F38">
        <v>123</v>
      </c>
      <c r="G38">
        <v>123</v>
      </c>
      <c r="H38">
        <v>123</v>
      </c>
      <c r="I38">
        <v>123</v>
      </c>
      <c r="J38">
        <v>123</v>
      </c>
      <c r="K38">
        <v>123</v>
      </c>
      <c r="L38">
        <v>123</v>
      </c>
      <c r="M38">
        <v>123</v>
      </c>
      <c r="N38">
        <v>123</v>
      </c>
      <c r="O38">
        <v>123</v>
      </c>
      <c r="P38">
        <v>123</v>
      </c>
      <c r="Q38">
        <v>0</v>
      </c>
      <c r="R38">
        <v>1</v>
      </c>
      <c r="S38">
        <v>0</v>
      </c>
      <c r="V38"/>
      <c r="W38"/>
      <c r="X38"/>
    </row>
    <row r="39" spans="1:24" x14ac:dyDescent="0.3">
      <c r="A39" t="str">
        <f>Table_Capacity_Community_frontsheet[[#This Row],[Name]]&amp;B39</f>
        <v>BexleyReablement &amp; Rehabilitation at home</v>
      </c>
      <c r="B39" t="str">
        <f>VLOOKUP(Table_Capacity_Community_frontsheet[[#This Row],[Service Area]],PathwayLookup!E:F,2,0)</f>
        <v>Reablement &amp; Rehabilitation at home</v>
      </c>
      <c r="C39" t="s">
        <v>75</v>
      </c>
      <c r="D39" t="s">
        <v>727</v>
      </c>
      <c r="E39">
        <v>25</v>
      </c>
      <c r="F39">
        <v>25</v>
      </c>
      <c r="G39">
        <v>25</v>
      </c>
      <c r="H39">
        <v>25</v>
      </c>
      <c r="I39">
        <v>25</v>
      </c>
      <c r="J39">
        <v>25</v>
      </c>
      <c r="K39">
        <v>25</v>
      </c>
      <c r="L39">
        <v>25</v>
      </c>
      <c r="M39">
        <v>25</v>
      </c>
      <c r="N39">
        <v>25</v>
      </c>
      <c r="O39">
        <v>25</v>
      </c>
      <c r="P39">
        <v>25</v>
      </c>
      <c r="Q39">
        <v>0</v>
      </c>
      <c r="R39">
        <v>1</v>
      </c>
      <c r="S39">
        <v>0</v>
      </c>
      <c r="V39"/>
      <c r="W39"/>
      <c r="X39"/>
    </row>
    <row r="40" spans="1:24" x14ac:dyDescent="0.3">
      <c r="A40" t="str">
        <f>Table_Capacity_Community_frontsheet[[#This Row],[Name]]&amp;B40</f>
        <v>BexleyReablement &amp; Rehabilitation at home</v>
      </c>
      <c r="B40" t="str">
        <f>VLOOKUP(Table_Capacity_Community_frontsheet[[#This Row],[Service Area]],PathwayLookup!E:F,2,0)</f>
        <v>Reablement &amp; Rehabilitation at home</v>
      </c>
      <c r="C40" t="s">
        <v>75</v>
      </c>
      <c r="D40" t="s">
        <v>729</v>
      </c>
      <c r="E40">
        <v>65</v>
      </c>
      <c r="F40">
        <v>65</v>
      </c>
      <c r="G40">
        <v>65</v>
      </c>
      <c r="H40">
        <v>65</v>
      </c>
      <c r="I40">
        <v>65</v>
      </c>
      <c r="J40">
        <v>65</v>
      </c>
      <c r="K40">
        <v>65</v>
      </c>
      <c r="L40">
        <v>65</v>
      </c>
      <c r="M40">
        <v>65</v>
      </c>
      <c r="N40">
        <v>65</v>
      </c>
      <c r="O40">
        <v>65</v>
      </c>
      <c r="P40">
        <v>65</v>
      </c>
      <c r="Q40">
        <v>1</v>
      </c>
      <c r="R40">
        <v>0</v>
      </c>
      <c r="S40">
        <v>0</v>
      </c>
      <c r="V40"/>
      <c r="W40"/>
      <c r="X40"/>
    </row>
    <row r="41" spans="1:24" x14ac:dyDescent="0.3">
      <c r="A41" t="str">
        <f>Table_Capacity_Community_frontsheet[[#This Row],[Name]]&amp;B41</f>
        <v>BexleyReablement &amp; Rehabilitation in a bedded setting</v>
      </c>
      <c r="B41" t="str">
        <f>VLOOKUP(Table_Capacity_Community_frontsheet[[#This Row],[Service Area]],PathwayLookup!E:F,2,0)</f>
        <v>Reablement &amp; Rehabilitation in a bedded setting</v>
      </c>
      <c r="C41" t="s">
        <v>75</v>
      </c>
      <c r="D41" t="s">
        <v>723</v>
      </c>
      <c r="E41">
        <v>0</v>
      </c>
      <c r="F41">
        <v>0</v>
      </c>
      <c r="G41">
        <v>0</v>
      </c>
      <c r="H41">
        <v>0</v>
      </c>
      <c r="I41">
        <v>0</v>
      </c>
      <c r="J41">
        <v>0</v>
      </c>
      <c r="K41">
        <v>0</v>
      </c>
      <c r="L41">
        <v>0</v>
      </c>
      <c r="M41">
        <v>0</v>
      </c>
      <c r="N41">
        <v>0</v>
      </c>
      <c r="O41">
        <v>0</v>
      </c>
      <c r="P41">
        <v>0</v>
      </c>
      <c r="Q41">
        <v>0</v>
      </c>
      <c r="R41">
        <v>0</v>
      </c>
      <c r="S41">
        <v>0</v>
      </c>
      <c r="V41"/>
      <c r="W41"/>
      <c r="X41"/>
    </row>
    <row r="42" spans="1:24" x14ac:dyDescent="0.3">
      <c r="A42" t="str">
        <f>Table_Capacity_Community_frontsheet[[#This Row],[Name]]&amp;B42</f>
        <v>BexleyReablement &amp; Rehabilitation in a bedded setting</v>
      </c>
      <c r="B42" t="str">
        <f>VLOOKUP(Table_Capacity_Community_frontsheet[[#This Row],[Service Area]],PathwayLookup!E:F,2,0)</f>
        <v>Reablement &amp; Rehabilitation in a bedded setting</v>
      </c>
      <c r="C42" t="s">
        <v>75</v>
      </c>
      <c r="D42" t="s">
        <v>725</v>
      </c>
      <c r="E42">
        <v>1</v>
      </c>
      <c r="F42">
        <v>1</v>
      </c>
      <c r="G42">
        <v>1</v>
      </c>
      <c r="H42">
        <v>1</v>
      </c>
      <c r="I42">
        <v>1</v>
      </c>
      <c r="J42">
        <v>1</v>
      </c>
      <c r="K42">
        <v>1</v>
      </c>
      <c r="L42">
        <v>1</v>
      </c>
      <c r="M42">
        <v>1</v>
      </c>
      <c r="N42">
        <v>1</v>
      </c>
      <c r="O42">
        <v>1</v>
      </c>
      <c r="P42">
        <v>1</v>
      </c>
      <c r="Q42">
        <v>1</v>
      </c>
      <c r="R42">
        <v>0</v>
      </c>
      <c r="S42">
        <v>0</v>
      </c>
      <c r="V42"/>
      <c r="W42"/>
      <c r="X42"/>
    </row>
    <row r="43" spans="1:24" x14ac:dyDescent="0.3">
      <c r="A43" t="str">
        <f>Table_Capacity_Community_frontsheet[[#This Row],[Name]]&amp;B43</f>
        <v>BexleyOther short-term social care</v>
      </c>
      <c r="B43" t="str">
        <f>VLOOKUP(Table_Capacity_Community_frontsheet[[#This Row],[Service Area]],PathwayLookup!E:F,2,0)</f>
        <v>Other short-term social care</v>
      </c>
      <c r="C43" t="s">
        <v>75</v>
      </c>
      <c r="D43" t="s">
        <v>708</v>
      </c>
      <c r="E43">
        <v>14</v>
      </c>
      <c r="F43">
        <v>14</v>
      </c>
      <c r="G43">
        <v>14</v>
      </c>
      <c r="H43">
        <v>14</v>
      </c>
      <c r="I43">
        <v>14</v>
      </c>
      <c r="J43">
        <v>15</v>
      </c>
      <c r="K43">
        <v>15</v>
      </c>
      <c r="L43">
        <v>15</v>
      </c>
      <c r="M43">
        <v>15</v>
      </c>
      <c r="N43">
        <v>15</v>
      </c>
      <c r="O43">
        <v>15</v>
      </c>
      <c r="P43">
        <v>15</v>
      </c>
      <c r="Q43">
        <v>0</v>
      </c>
      <c r="R43">
        <v>1</v>
      </c>
      <c r="S43">
        <v>0</v>
      </c>
      <c r="V43"/>
      <c r="W43"/>
      <c r="X43"/>
    </row>
    <row r="44" spans="1:24" x14ac:dyDescent="0.3">
      <c r="A44" t="str">
        <f>Table_Capacity_Community_frontsheet[[#This Row],[Name]]&amp;B44</f>
        <v>BirminghamSocial support (including VCS)</v>
      </c>
      <c r="B44" t="str">
        <f>VLOOKUP(Table_Capacity_Community_frontsheet[[#This Row],[Service Area]],PathwayLookup!E:F,2,0)</f>
        <v>Social support (including VCS)</v>
      </c>
      <c r="C44" t="s">
        <v>77</v>
      </c>
      <c r="D44" t="s">
        <v>704</v>
      </c>
      <c r="E44">
        <v>5</v>
      </c>
      <c r="F44">
        <v>5</v>
      </c>
      <c r="G44">
        <v>5</v>
      </c>
      <c r="H44">
        <v>5</v>
      </c>
      <c r="I44">
        <v>5</v>
      </c>
      <c r="J44">
        <v>5</v>
      </c>
      <c r="K44">
        <v>5</v>
      </c>
      <c r="L44">
        <v>8</v>
      </c>
      <c r="M44">
        <v>8</v>
      </c>
      <c r="N44">
        <v>8</v>
      </c>
      <c r="O44">
        <v>8</v>
      </c>
      <c r="P44">
        <v>8</v>
      </c>
      <c r="V44"/>
      <c r="W44"/>
      <c r="X44"/>
    </row>
    <row r="45" spans="1:24" x14ac:dyDescent="0.3">
      <c r="A45" t="str">
        <f>Table_Capacity_Community_frontsheet[[#This Row],[Name]]&amp;B45</f>
        <v>BirminghamUrgent Community Response</v>
      </c>
      <c r="B45" t="str">
        <f>VLOOKUP(Table_Capacity_Community_frontsheet[[#This Row],[Service Area]],PathwayLookup!E:F,2,0)</f>
        <v>Urgent Community Response</v>
      </c>
      <c r="C45" t="s">
        <v>77</v>
      </c>
      <c r="D45" t="s">
        <v>705</v>
      </c>
      <c r="E45">
        <v>1484</v>
      </c>
      <c r="F45">
        <v>1533</v>
      </c>
      <c r="G45">
        <v>1484</v>
      </c>
      <c r="H45">
        <v>1601</v>
      </c>
      <c r="I45">
        <v>1601</v>
      </c>
      <c r="J45">
        <v>1549</v>
      </c>
      <c r="K45">
        <v>1685</v>
      </c>
      <c r="L45">
        <v>1630</v>
      </c>
      <c r="M45">
        <v>1685</v>
      </c>
      <c r="N45">
        <v>1788</v>
      </c>
      <c r="O45">
        <v>1673</v>
      </c>
      <c r="P45">
        <v>1787</v>
      </c>
      <c r="V45"/>
      <c r="W45"/>
      <c r="X45"/>
    </row>
    <row r="46" spans="1:24" x14ac:dyDescent="0.3">
      <c r="A46" t="str">
        <f>Table_Capacity_Community_frontsheet[[#This Row],[Name]]&amp;B46</f>
        <v>BirminghamReablement &amp; Rehabilitation at home</v>
      </c>
      <c r="B46" t="str">
        <f>VLOOKUP(Table_Capacity_Community_frontsheet[[#This Row],[Service Area]],PathwayLookup!E:F,2,0)</f>
        <v>Reablement &amp; Rehabilitation at home</v>
      </c>
      <c r="C46" t="s">
        <v>77</v>
      </c>
      <c r="D46" t="s">
        <v>727</v>
      </c>
      <c r="V46"/>
      <c r="W46"/>
      <c r="X46"/>
    </row>
    <row r="47" spans="1:24" x14ac:dyDescent="0.3">
      <c r="A47" t="str">
        <f>Table_Capacity_Community_frontsheet[[#This Row],[Name]]&amp;B47</f>
        <v>BirminghamReablement &amp; Rehabilitation at home</v>
      </c>
      <c r="B47" t="str">
        <f>VLOOKUP(Table_Capacity_Community_frontsheet[[#This Row],[Service Area]],PathwayLookup!E:F,2,0)</f>
        <v>Reablement &amp; Rehabilitation at home</v>
      </c>
      <c r="C47" t="s">
        <v>77</v>
      </c>
      <c r="D47" t="s">
        <v>729</v>
      </c>
      <c r="E47">
        <v>400</v>
      </c>
      <c r="F47">
        <v>400</v>
      </c>
      <c r="G47">
        <v>400</v>
      </c>
      <c r="H47">
        <v>400</v>
      </c>
      <c r="I47">
        <v>400</v>
      </c>
      <c r="J47">
        <v>400</v>
      </c>
      <c r="K47">
        <v>400</v>
      </c>
      <c r="L47">
        <v>400</v>
      </c>
      <c r="M47">
        <v>400</v>
      </c>
      <c r="N47">
        <v>400</v>
      </c>
      <c r="O47">
        <v>400</v>
      </c>
      <c r="P47">
        <v>400</v>
      </c>
      <c r="V47"/>
      <c r="W47"/>
      <c r="X47"/>
    </row>
    <row r="48" spans="1:24" x14ac:dyDescent="0.3">
      <c r="A48" t="str">
        <f>Table_Capacity_Community_frontsheet[[#This Row],[Name]]&amp;B48</f>
        <v>BirminghamReablement &amp; Rehabilitation in a bedded setting</v>
      </c>
      <c r="B48" t="str">
        <f>VLOOKUP(Table_Capacity_Community_frontsheet[[#This Row],[Service Area]],PathwayLookup!E:F,2,0)</f>
        <v>Reablement &amp; Rehabilitation in a bedded setting</v>
      </c>
      <c r="C48" t="s">
        <v>77</v>
      </c>
      <c r="D48" t="s">
        <v>723</v>
      </c>
      <c r="V48"/>
      <c r="W48"/>
      <c r="X48"/>
    </row>
    <row r="49" spans="1:24" x14ac:dyDescent="0.3">
      <c r="A49" t="str">
        <f>Table_Capacity_Community_frontsheet[[#This Row],[Name]]&amp;B49</f>
        <v>BirminghamReablement &amp; Rehabilitation in a bedded setting</v>
      </c>
      <c r="B49" t="str">
        <f>VLOOKUP(Table_Capacity_Community_frontsheet[[#This Row],[Service Area]],PathwayLookup!E:F,2,0)</f>
        <v>Reablement &amp; Rehabilitation in a bedded setting</v>
      </c>
      <c r="C49" t="s">
        <v>77</v>
      </c>
      <c r="D49" t="s">
        <v>725</v>
      </c>
      <c r="E49">
        <v>6</v>
      </c>
      <c r="F49">
        <v>6</v>
      </c>
      <c r="G49">
        <v>11</v>
      </c>
      <c r="H49">
        <v>9</v>
      </c>
      <c r="I49">
        <v>8</v>
      </c>
      <c r="J49">
        <v>6</v>
      </c>
      <c r="K49">
        <v>5</v>
      </c>
      <c r="L49">
        <v>7</v>
      </c>
      <c r="M49">
        <v>10</v>
      </c>
      <c r="N49">
        <v>5</v>
      </c>
      <c r="O49">
        <v>5</v>
      </c>
      <c r="P49">
        <v>8</v>
      </c>
      <c r="V49"/>
      <c r="W49"/>
      <c r="X49"/>
    </row>
    <row r="50" spans="1:24" x14ac:dyDescent="0.3">
      <c r="A50" t="str">
        <f>Table_Capacity_Community_frontsheet[[#This Row],[Name]]&amp;B50</f>
        <v>BirminghamOther short-term social care</v>
      </c>
      <c r="B50" t="str">
        <f>VLOOKUP(Table_Capacity_Community_frontsheet[[#This Row],[Service Area]],PathwayLookup!E:F,2,0)</f>
        <v>Other short-term social care</v>
      </c>
      <c r="C50" t="s">
        <v>77</v>
      </c>
      <c r="D50" t="s">
        <v>708</v>
      </c>
      <c r="E50">
        <v>2</v>
      </c>
      <c r="F50">
        <v>2</v>
      </c>
      <c r="G50">
        <v>2</v>
      </c>
      <c r="H50">
        <v>2</v>
      </c>
      <c r="I50">
        <v>2</v>
      </c>
      <c r="J50">
        <v>2</v>
      </c>
      <c r="K50">
        <v>2</v>
      </c>
      <c r="L50">
        <v>2</v>
      </c>
      <c r="M50">
        <v>2</v>
      </c>
      <c r="N50">
        <v>2</v>
      </c>
      <c r="O50">
        <v>2</v>
      </c>
      <c r="P50">
        <v>2</v>
      </c>
      <c r="V50"/>
      <c r="W50"/>
      <c r="X50"/>
    </row>
    <row r="51" spans="1:24" x14ac:dyDescent="0.3">
      <c r="A51" t="str">
        <f>Table_Capacity_Community_frontsheet[[#This Row],[Name]]&amp;B51</f>
        <v>Blackburn with DarwenSocial support (including VCS)</v>
      </c>
      <c r="B51" t="str">
        <f>VLOOKUP(Table_Capacity_Community_frontsheet[[#This Row],[Service Area]],PathwayLookup!E:F,2,0)</f>
        <v>Social support (including VCS)</v>
      </c>
      <c r="C51" t="s">
        <v>79</v>
      </c>
      <c r="D51" t="s">
        <v>704</v>
      </c>
      <c r="E51">
        <v>885</v>
      </c>
      <c r="F51">
        <v>885</v>
      </c>
      <c r="G51">
        <v>885</v>
      </c>
      <c r="H51">
        <v>885</v>
      </c>
      <c r="I51">
        <v>885</v>
      </c>
      <c r="J51">
        <v>885</v>
      </c>
      <c r="K51">
        <v>932</v>
      </c>
      <c r="L51">
        <v>932</v>
      </c>
      <c r="M51">
        <v>932</v>
      </c>
      <c r="N51">
        <v>932</v>
      </c>
      <c r="O51">
        <v>932</v>
      </c>
      <c r="P51">
        <v>932</v>
      </c>
      <c r="S51">
        <v>1</v>
      </c>
      <c r="V51"/>
      <c r="W51"/>
      <c r="X51"/>
    </row>
    <row r="52" spans="1:24" x14ac:dyDescent="0.3">
      <c r="A52" t="str">
        <f>Table_Capacity_Community_frontsheet[[#This Row],[Name]]&amp;B52</f>
        <v>Blackburn with DarwenUrgent Community Response</v>
      </c>
      <c r="B52" t="str">
        <f>VLOOKUP(Table_Capacity_Community_frontsheet[[#This Row],[Service Area]],PathwayLookup!E:F,2,0)</f>
        <v>Urgent Community Response</v>
      </c>
      <c r="C52" t="s">
        <v>79</v>
      </c>
      <c r="D52" t="s">
        <v>705</v>
      </c>
      <c r="E52">
        <v>220</v>
      </c>
      <c r="F52">
        <v>220</v>
      </c>
      <c r="G52">
        <v>220</v>
      </c>
      <c r="H52">
        <v>220</v>
      </c>
      <c r="I52">
        <v>220</v>
      </c>
      <c r="J52">
        <v>220</v>
      </c>
      <c r="K52">
        <v>220</v>
      </c>
      <c r="L52">
        <v>220</v>
      </c>
      <c r="M52">
        <v>220</v>
      </c>
      <c r="N52">
        <v>220</v>
      </c>
      <c r="O52">
        <v>220</v>
      </c>
      <c r="P52">
        <v>220</v>
      </c>
      <c r="Q52">
        <v>1</v>
      </c>
      <c r="V52"/>
      <c r="W52"/>
      <c r="X52"/>
    </row>
    <row r="53" spans="1:24" x14ac:dyDescent="0.3">
      <c r="A53" t="str">
        <f>Table_Capacity_Community_frontsheet[[#This Row],[Name]]&amp;B53</f>
        <v>Blackburn with DarwenReablement &amp; Rehabilitation at home</v>
      </c>
      <c r="B53" t="str">
        <f>VLOOKUP(Table_Capacity_Community_frontsheet[[#This Row],[Service Area]],PathwayLookup!E:F,2,0)</f>
        <v>Reablement &amp; Rehabilitation at home</v>
      </c>
      <c r="C53" t="s">
        <v>79</v>
      </c>
      <c r="D53" t="s">
        <v>727</v>
      </c>
      <c r="E53">
        <v>46</v>
      </c>
      <c r="F53">
        <v>46</v>
      </c>
      <c r="G53">
        <v>46</v>
      </c>
      <c r="H53">
        <v>46</v>
      </c>
      <c r="I53">
        <v>46</v>
      </c>
      <c r="J53">
        <v>46</v>
      </c>
      <c r="K53">
        <v>46</v>
      </c>
      <c r="L53">
        <v>46</v>
      </c>
      <c r="M53">
        <v>46</v>
      </c>
      <c r="N53">
        <v>46</v>
      </c>
      <c r="O53">
        <v>46</v>
      </c>
      <c r="P53">
        <v>46</v>
      </c>
      <c r="R53">
        <v>1</v>
      </c>
      <c r="V53"/>
      <c r="W53"/>
      <c r="X53"/>
    </row>
    <row r="54" spans="1:24" x14ac:dyDescent="0.3">
      <c r="A54" t="str">
        <f>Table_Capacity_Community_frontsheet[[#This Row],[Name]]&amp;B54</f>
        <v>Blackburn with DarwenReablement &amp; Rehabilitation at home</v>
      </c>
      <c r="B54" t="str">
        <f>VLOOKUP(Table_Capacity_Community_frontsheet[[#This Row],[Service Area]],PathwayLookup!E:F,2,0)</f>
        <v>Reablement &amp; Rehabilitation at home</v>
      </c>
      <c r="C54" t="s">
        <v>79</v>
      </c>
      <c r="D54" t="s">
        <v>729</v>
      </c>
      <c r="E54">
        <v>15</v>
      </c>
      <c r="F54">
        <v>15</v>
      </c>
      <c r="G54">
        <v>15</v>
      </c>
      <c r="H54">
        <v>15</v>
      </c>
      <c r="I54">
        <v>15</v>
      </c>
      <c r="J54">
        <v>15</v>
      </c>
      <c r="K54">
        <v>15</v>
      </c>
      <c r="L54">
        <v>15</v>
      </c>
      <c r="M54">
        <v>15</v>
      </c>
      <c r="N54">
        <v>15</v>
      </c>
      <c r="O54">
        <v>15</v>
      </c>
      <c r="P54">
        <v>15</v>
      </c>
      <c r="R54">
        <v>1</v>
      </c>
      <c r="V54"/>
      <c r="W54"/>
      <c r="X54"/>
    </row>
    <row r="55" spans="1:24" x14ac:dyDescent="0.3">
      <c r="A55" t="str">
        <f>Table_Capacity_Community_frontsheet[[#This Row],[Name]]&amp;B55</f>
        <v>Blackburn with DarwenReablement &amp; Rehabilitation in a bedded setting</v>
      </c>
      <c r="B55" t="str">
        <f>VLOOKUP(Table_Capacity_Community_frontsheet[[#This Row],[Service Area]],PathwayLookup!E:F,2,0)</f>
        <v>Reablement &amp; Rehabilitation in a bedded setting</v>
      </c>
      <c r="C55" t="s">
        <v>79</v>
      </c>
      <c r="D55" t="s">
        <v>723</v>
      </c>
      <c r="E55">
        <v>31</v>
      </c>
      <c r="F55">
        <v>31</v>
      </c>
      <c r="G55">
        <v>31</v>
      </c>
      <c r="H55">
        <v>31</v>
      </c>
      <c r="I55">
        <v>31</v>
      </c>
      <c r="J55">
        <v>31</v>
      </c>
      <c r="K55">
        <v>31</v>
      </c>
      <c r="L55">
        <v>31</v>
      </c>
      <c r="M55">
        <v>31</v>
      </c>
      <c r="N55">
        <v>31</v>
      </c>
      <c r="O55">
        <v>31</v>
      </c>
      <c r="P55">
        <v>31</v>
      </c>
      <c r="S55">
        <v>1</v>
      </c>
      <c r="V55"/>
      <c r="W55"/>
      <c r="X55"/>
    </row>
    <row r="56" spans="1:24" x14ac:dyDescent="0.3">
      <c r="A56" t="str">
        <f>Table_Capacity_Community_frontsheet[[#This Row],[Name]]&amp;B56</f>
        <v>Blackburn with DarwenReablement &amp; Rehabilitation in a bedded setting</v>
      </c>
      <c r="B56" t="str">
        <f>VLOOKUP(Table_Capacity_Community_frontsheet[[#This Row],[Service Area]],PathwayLookup!E:F,2,0)</f>
        <v>Reablement &amp; Rehabilitation in a bedded setting</v>
      </c>
      <c r="C56" t="s">
        <v>79</v>
      </c>
      <c r="D56" t="s">
        <v>725</v>
      </c>
      <c r="E56">
        <v>0</v>
      </c>
      <c r="F56">
        <v>0</v>
      </c>
      <c r="G56">
        <v>0</v>
      </c>
      <c r="H56">
        <v>0</v>
      </c>
      <c r="I56">
        <v>0</v>
      </c>
      <c r="J56">
        <v>0</v>
      </c>
      <c r="K56">
        <v>0</v>
      </c>
      <c r="L56">
        <v>0</v>
      </c>
      <c r="M56">
        <v>0</v>
      </c>
      <c r="N56">
        <v>0</v>
      </c>
      <c r="O56">
        <v>0</v>
      </c>
      <c r="P56">
        <v>0</v>
      </c>
      <c r="S56">
        <v>1</v>
      </c>
      <c r="V56"/>
      <c r="W56"/>
      <c r="X56"/>
    </row>
    <row r="57" spans="1:24" x14ac:dyDescent="0.3">
      <c r="A57" t="str">
        <f>Table_Capacity_Community_frontsheet[[#This Row],[Name]]&amp;B57</f>
        <v>Blackburn with DarwenOther short-term social care</v>
      </c>
      <c r="B57" t="str">
        <f>VLOOKUP(Table_Capacity_Community_frontsheet[[#This Row],[Service Area]],PathwayLookup!E:F,2,0)</f>
        <v>Other short-term social care</v>
      </c>
      <c r="C57" t="s">
        <v>79</v>
      </c>
      <c r="D57" t="s">
        <v>708</v>
      </c>
      <c r="E57">
        <v>74</v>
      </c>
      <c r="F57">
        <v>74</v>
      </c>
      <c r="G57">
        <v>74</v>
      </c>
      <c r="H57">
        <v>74</v>
      </c>
      <c r="I57">
        <v>74</v>
      </c>
      <c r="J57">
        <v>74</v>
      </c>
      <c r="K57">
        <v>74</v>
      </c>
      <c r="L57">
        <v>74</v>
      </c>
      <c r="M57">
        <v>74</v>
      </c>
      <c r="N57">
        <v>74</v>
      </c>
      <c r="O57">
        <v>74</v>
      </c>
      <c r="P57">
        <v>74</v>
      </c>
      <c r="S57">
        <v>1</v>
      </c>
      <c r="V57"/>
      <c r="W57"/>
      <c r="X57"/>
    </row>
    <row r="58" spans="1:24" x14ac:dyDescent="0.3">
      <c r="A58" t="str">
        <f>Table_Capacity_Community_frontsheet[[#This Row],[Name]]&amp;B58</f>
        <v>BlackpoolSocial support (including VCS)</v>
      </c>
      <c r="B58" t="str">
        <f>VLOOKUP(Table_Capacity_Community_frontsheet[[#This Row],[Service Area]],PathwayLookup!E:F,2,0)</f>
        <v>Social support (including VCS)</v>
      </c>
      <c r="C58" t="s">
        <v>81</v>
      </c>
      <c r="D58" t="s">
        <v>704</v>
      </c>
      <c r="E58">
        <v>28</v>
      </c>
      <c r="F58">
        <v>28</v>
      </c>
      <c r="G58">
        <v>28</v>
      </c>
      <c r="H58">
        <v>28</v>
      </c>
      <c r="I58">
        <v>28</v>
      </c>
      <c r="J58">
        <v>28</v>
      </c>
      <c r="K58">
        <v>28</v>
      </c>
      <c r="L58">
        <v>28</v>
      </c>
      <c r="M58">
        <v>28</v>
      </c>
      <c r="N58">
        <v>28</v>
      </c>
      <c r="O58">
        <v>28</v>
      </c>
      <c r="P58">
        <v>28</v>
      </c>
      <c r="V58"/>
      <c r="W58"/>
      <c r="X58"/>
    </row>
    <row r="59" spans="1:24" x14ac:dyDescent="0.3">
      <c r="A59" t="str">
        <f>Table_Capacity_Community_frontsheet[[#This Row],[Name]]&amp;B59</f>
        <v>BlackpoolUrgent Community Response</v>
      </c>
      <c r="B59" t="str">
        <f>VLOOKUP(Table_Capacity_Community_frontsheet[[#This Row],[Service Area]],PathwayLookup!E:F,2,0)</f>
        <v>Urgent Community Response</v>
      </c>
      <c r="C59" t="s">
        <v>81</v>
      </c>
      <c r="D59" t="s">
        <v>705</v>
      </c>
      <c r="E59">
        <v>45</v>
      </c>
      <c r="F59">
        <v>45</v>
      </c>
      <c r="G59">
        <v>45</v>
      </c>
      <c r="H59">
        <v>45</v>
      </c>
      <c r="I59">
        <v>45</v>
      </c>
      <c r="J59">
        <v>45</v>
      </c>
      <c r="K59">
        <v>45</v>
      </c>
      <c r="L59">
        <v>45</v>
      </c>
      <c r="M59">
        <v>45</v>
      </c>
      <c r="N59">
        <v>45</v>
      </c>
      <c r="O59">
        <v>45</v>
      </c>
      <c r="P59">
        <v>45</v>
      </c>
      <c r="R59">
        <v>1</v>
      </c>
      <c r="V59"/>
      <c r="W59"/>
      <c r="X59"/>
    </row>
    <row r="60" spans="1:24" x14ac:dyDescent="0.3">
      <c r="A60" t="str">
        <f>Table_Capacity_Community_frontsheet[[#This Row],[Name]]&amp;B60</f>
        <v>BlackpoolReablement &amp; Rehabilitation at home</v>
      </c>
      <c r="B60" t="str">
        <f>VLOOKUP(Table_Capacity_Community_frontsheet[[#This Row],[Service Area]],PathwayLookup!E:F,2,0)</f>
        <v>Reablement &amp; Rehabilitation at home</v>
      </c>
      <c r="C60" t="s">
        <v>81</v>
      </c>
      <c r="D60" t="s">
        <v>727</v>
      </c>
      <c r="E60">
        <v>42</v>
      </c>
      <c r="F60">
        <v>42</v>
      </c>
      <c r="G60">
        <v>42</v>
      </c>
      <c r="H60">
        <v>42</v>
      </c>
      <c r="I60">
        <v>42</v>
      </c>
      <c r="J60">
        <v>42</v>
      </c>
      <c r="K60">
        <v>42</v>
      </c>
      <c r="L60">
        <v>42</v>
      </c>
      <c r="M60">
        <v>42</v>
      </c>
      <c r="N60">
        <v>42</v>
      </c>
      <c r="O60">
        <v>42</v>
      </c>
      <c r="P60">
        <v>42</v>
      </c>
      <c r="R60">
        <v>1</v>
      </c>
      <c r="V60"/>
      <c r="W60"/>
      <c r="X60"/>
    </row>
    <row r="61" spans="1:24" x14ac:dyDescent="0.3">
      <c r="A61" t="str">
        <f>Table_Capacity_Community_frontsheet[[#This Row],[Name]]&amp;B61</f>
        <v>BlackpoolReablement &amp; Rehabilitation at home</v>
      </c>
      <c r="B61" t="str">
        <f>VLOOKUP(Table_Capacity_Community_frontsheet[[#This Row],[Service Area]],PathwayLookup!E:F,2,0)</f>
        <v>Reablement &amp; Rehabilitation at home</v>
      </c>
      <c r="C61" t="s">
        <v>81</v>
      </c>
      <c r="D61" t="s">
        <v>729</v>
      </c>
      <c r="E61">
        <v>40</v>
      </c>
      <c r="F61">
        <v>40</v>
      </c>
      <c r="G61">
        <v>40</v>
      </c>
      <c r="H61">
        <v>40</v>
      </c>
      <c r="I61">
        <v>40</v>
      </c>
      <c r="J61">
        <v>40</v>
      </c>
      <c r="K61">
        <v>40</v>
      </c>
      <c r="L61">
        <v>40</v>
      </c>
      <c r="M61">
        <v>40</v>
      </c>
      <c r="N61">
        <v>40</v>
      </c>
      <c r="O61">
        <v>40</v>
      </c>
      <c r="P61">
        <v>40</v>
      </c>
      <c r="V61"/>
      <c r="W61"/>
      <c r="X61"/>
    </row>
    <row r="62" spans="1:24" x14ac:dyDescent="0.3">
      <c r="A62" t="str">
        <f>Table_Capacity_Community_frontsheet[[#This Row],[Name]]&amp;B62</f>
        <v>BlackpoolReablement &amp; Rehabilitation in a bedded setting</v>
      </c>
      <c r="B62" t="str">
        <f>VLOOKUP(Table_Capacity_Community_frontsheet[[#This Row],[Service Area]],PathwayLookup!E:F,2,0)</f>
        <v>Reablement &amp; Rehabilitation in a bedded setting</v>
      </c>
      <c r="C62" t="s">
        <v>81</v>
      </c>
      <c r="D62" t="s">
        <v>723</v>
      </c>
      <c r="E62">
        <v>32</v>
      </c>
      <c r="F62">
        <v>32</v>
      </c>
      <c r="G62">
        <v>32</v>
      </c>
      <c r="H62">
        <v>32</v>
      </c>
      <c r="I62">
        <v>32</v>
      </c>
      <c r="J62">
        <v>32</v>
      </c>
      <c r="K62">
        <v>32</v>
      </c>
      <c r="L62">
        <v>32</v>
      </c>
      <c r="M62">
        <v>32</v>
      </c>
      <c r="N62">
        <v>32</v>
      </c>
      <c r="O62">
        <v>32</v>
      </c>
      <c r="P62">
        <v>32</v>
      </c>
      <c r="R62">
        <v>1</v>
      </c>
      <c r="V62"/>
      <c r="W62"/>
      <c r="X62"/>
    </row>
    <row r="63" spans="1:24" x14ac:dyDescent="0.3">
      <c r="A63" t="str">
        <f>Table_Capacity_Community_frontsheet[[#This Row],[Name]]&amp;B63</f>
        <v>BlackpoolReablement &amp; Rehabilitation in a bedded setting</v>
      </c>
      <c r="B63" t="str">
        <f>VLOOKUP(Table_Capacity_Community_frontsheet[[#This Row],[Service Area]],PathwayLookup!E:F,2,0)</f>
        <v>Reablement &amp; Rehabilitation in a bedded setting</v>
      </c>
      <c r="C63" t="s">
        <v>81</v>
      </c>
      <c r="D63" t="s">
        <v>725</v>
      </c>
      <c r="E63">
        <v>16</v>
      </c>
      <c r="F63">
        <v>16</v>
      </c>
      <c r="G63">
        <v>16</v>
      </c>
      <c r="H63">
        <v>16</v>
      </c>
      <c r="I63">
        <v>16</v>
      </c>
      <c r="J63">
        <v>16</v>
      </c>
      <c r="K63">
        <v>16</v>
      </c>
      <c r="L63">
        <v>16</v>
      </c>
      <c r="M63">
        <v>16</v>
      </c>
      <c r="N63">
        <v>16</v>
      </c>
      <c r="O63">
        <v>16</v>
      </c>
      <c r="P63">
        <v>16</v>
      </c>
      <c r="V63"/>
      <c r="W63"/>
      <c r="X63"/>
    </row>
    <row r="64" spans="1:24" x14ac:dyDescent="0.3">
      <c r="A64" t="str">
        <f>Table_Capacity_Community_frontsheet[[#This Row],[Name]]&amp;B64</f>
        <v>BlackpoolOther short-term social care</v>
      </c>
      <c r="B64" t="str">
        <f>VLOOKUP(Table_Capacity_Community_frontsheet[[#This Row],[Service Area]],PathwayLookup!E:F,2,0)</f>
        <v>Other short-term social care</v>
      </c>
      <c r="C64" t="s">
        <v>81</v>
      </c>
      <c r="D64" t="s">
        <v>708</v>
      </c>
      <c r="E64">
        <v>3</v>
      </c>
      <c r="F64">
        <v>3</v>
      </c>
      <c r="G64">
        <v>3</v>
      </c>
      <c r="H64">
        <v>3</v>
      </c>
      <c r="I64">
        <v>3</v>
      </c>
      <c r="J64">
        <v>3</v>
      </c>
      <c r="K64">
        <v>3</v>
      </c>
      <c r="L64">
        <v>3</v>
      </c>
      <c r="M64">
        <v>3</v>
      </c>
      <c r="N64">
        <v>3</v>
      </c>
      <c r="O64">
        <v>3</v>
      </c>
      <c r="P64">
        <v>3</v>
      </c>
      <c r="V64"/>
      <c r="W64"/>
      <c r="X64"/>
    </row>
    <row r="65" spans="1:24" x14ac:dyDescent="0.3">
      <c r="A65" t="str">
        <f>Table_Capacity_Community_frontsheet[[#This Row],[Name]]&amp;B65</f>
        <v>BoltonSocial support (including VCS)</v>
      </c>
      <c r="B65" t="str">
        <f>VLOOKUP(Table_Capacity_Community_frontsheet[[#This Row],[Service Area]],PathwayLookup!E:F,2,0)</f>
        <v>Social support (including VCS)</v>
      </c>
      <c r="C65" t="s">
        <v>83</v>
      </c>
      <c r="D65" t="s">
        <v>704</v>
      </c>
      <c r="E65">
        <v>0</v>
      </c>
      <c r="F65">
        <v>0</v>
      </c>
      <c r="G65">
        <v>0</v>
      </c>
      <c r="H65">
        <v>0</v>
      </c>
      <c r="I65">
        <v>0</v>
      </c>
      <c r="J65">
        <v>0</v>
      </c>
      <c r="K65">
        <v>0</v>
      </c>
      <c r="L65">
        <v>0</v>
      </c>
      <c r="M65">
        <v>0</v>
      </c>
      <c r="N65">
        <v>0</v>
      </c>
      <c r="O65">
        <v>0</v>
      </c>
      <c r="P65">
        <v>0</v>
      </c>
      <c r="Q65">
        <v>0</v>
      </c>
      <c r="R65">
        <v>0</v>
      </c>
      <c r="S65">
        <v>0</v>
      </c>
      <c r="V65"/>
      <c r="W65"/>
      <c r="X65"/>
    </row>
    <row r="66" spans="1:24" x14ac:dyDescent="0.3">
      <c r="A66" t="str">
        <f>Table_Capacity_Community_frontsheet[[#This Row],[Name]]&amp;B66</f>
        <v>BoltonUrgent Community Response</v>
      </c>
      <c r="B66" t="str">
        <f>VLOOKUP(Table_Capacity_Community_frontsheet[[#This Row],[Service Area]],PathwayLookup!E:F,2,0)</f>
        <v>Urgent Community Response</v>
      </c>
      <c r="C66" t="s">
        <v>83</v>
      </c>
      <c r="D66" t="s">
        <v>705</v>
      </c>
      <c r="E66">
        <v>200</v>
      </c>
      <c r="F66">
        <v>200</v>
      </c>
      <c r="G66">
        <v>200</v>
      </c>
      <c r="H66">
        <v>200</v>
      </c>
      <c r="I66">
        <v>200</v>
      </c>
      <c r="J66">
        <v>200</v>
      </c>
      <c r="K66">
        <v>200</v>
      </c>
      <c r="L66">
        <v>200</v>
      </c>
      <c r="M66">
        <v>200</v>
      </c>
      <c r="N66">
        <v>200</v>
      </c>
      <c r="O66">
        <v>200</v>
      </c>
      <c r="P66">
        <v>200</v>
      </c>
      <c r="Q66">
        <v>1</v>
      </c>
      <c r="R66">
        <v>0</v>
      </c>
      <c r="S66">
        <v>0</v>
      </c>
      <c r="V66"/>
      <c r="W66"/>
      <c r="X66"/>
    </row>
    <row r="67" spans="1:24" x14ac:dyDescent="0.3">
      <c r="A67" t="str">
        <f>Table_Capacity_Community_frontsheet[[#This Row],[Name]]&amp;B67</f>
        <v>BoltonReablement &amp; Rehabilitation at home</v>
      </c>
      <c r="B67" t="str">
        <f>VLOOKUP(Table_Capacity_Community_frontsheet[[#This Row],[Service Area]],PathwayLookup!E:F,2,0)</f>
        <v>Reablement &amp; Rehabilitation at home</v>
      </c>
      <c r="C67" t="s">
        <v>83</v>
      </c>
      <c r="D67" t="s">
        <v>727</v>
      </c>
      <c r="E67">
        <v>0</v>
      </c>
      <c r="F67">
        <v>0</v>
      </c>
      <c r="G67">
        <v>0</v>
      </c>
      <c r="H67">
        <v>0</v>
      </c>
      <c r="I67">
        <v>0</v>
      </c>
      <c r="J67">
        <v>0</v>
      </c>
      <c r="K67">
        <v>0</v>
      </c>
      <c r="L67">
        <v>0</v>
      </c>
      <c r="M67">
        <v>0</v>
      </c>
      <c r="N67">
        <v>0</v>
      </c>
      <c r="O67">
        <v>0</v>
      </c>
      <c r="P67">
        <v>0</v>
      </c>
      <c r="Q67">
        <v>0</v>
      </c>
      <c r="R67">
        <v>0</v>
      </c>
      <c r="S67">
        <v>0</v>
      </c>
      <c r="V67"/>
      <c r="W67"/>
      <c r="X67"/>
    </row>
    <row r="68" spans="1:24" x14ac:dyDescent="0.3">
      <c r="A68" t="str">
        <f>Table_Capacity_Community_frontsheet[[#This Row],[Name]]&amp;B68</f>
        <v>BoltonReablement &amp; Rehabilitation at home</v>
      </c>
      <c r="B68" t="str">
        <f>VLOOKUP(Table_Capacity_Community_frontsheet[[#This Row],[Service Area]],PathwayLookup!E:F,2,0)</f>
        <v>Reablement &amp; Rehabilitation at home</v>
      </c>
      <c r="C68" t="s">
        <v>83</v>
      </c>
      <c r="D68" t="s">
        <v>729</v>
      </c>
      <c r="E68">
        <v>300</v>
      </c>
      <c r="F68">
        <v>300</v>
      </c>
      <c r="G68">
        <v>300</v>
      </c>
      <c r="H68">
        <v>300</v>
      </c>
      <c r="I68">
        <v>300</v>
      </c>
      <c r="J68">
        <v>300</v>
      </c>
      <c r="K68">
        <v>300</v>
      </c>
      <c r="L68">
        <v>300</v>
      </c>
      <c r="M68">
        <v>300</v>
      </c>
      <c r="N68">
        <v>300</v>
      </c>
      <c r="O68">
        <v>300</v>
      </c>
      <c r="P68">
        <v>300</v>
      </c>
      <c r="Q68">
        <v>0.85</v>
      </c>
      <c r="R68">
        <v>0.15</v>
      </c>
      <c r="S68">
        <v>0</v>
      </c>
      <c r="V68"/>
      <c r="W68"/>
      <c r="X68"/>
    </row>
    <row r="69" spans="1:24" x14ac:dyDescent="0.3">
      <c r="A69" t="str">
        <f>Table_Capacity_Community_frontsheet[[#This Row],[Name]]&amp;B69</f>
        <v>BoltonReablement &amp; Rehabilitation in a bedded setting</v>
      </c>
      <c r="B69" t="str">
        <f>VLOOKUP(Table_Capacity_Community_frontsheet[[#This Row],[Service Area]],PathwayLookup!E:F,2,0)</f>
        <v>Reablement &amp; Rehabilitation in a bedded setting</v>
      </c>
      <c r="C69" t="s">
        <v>83</v>
      </c>
      <c r="D69" t="s">
        <v>723</v>
      </c>
      <c r="E69">
        <v>0</v>
      </c>
      <c r="F69">
        <v>0</v>
      </c>
      <c r="G69">
        <v>0</v>
      </c>
      <c r="H69">
        <v>0</v>
      </c>
      <c r="I69">
        <v>0</v>
      </c>
      <c r="J69">
        <v>0</v>
      </c>
      <c r="K69">
        <v>0</v>
      </c>
      <c r="L69">
        <v>0</v>
      </c>
      <c r="M69">
        <v>0</v>
      </c>
      <c r="N69">
        <v>0</v>
      </c>
      <c r="O69">
        <v>0</v>
      </c>
      <c r="P69">
        <v>0</v>
      </c>
      <c r="Q69">
        <v>0</v>
      </c>
      <c r="R69">
        <v>0</v>
      </c>
      <c r="S69">
        <v>0</v>
      </c>
      <c r="V69"/>
      <c r="W69"/>
      <c r="X69"/>
    </row>
    <row r="70" spans="1:24" x14ac:dyDescent="0.3">
      <c r="A70" t="str">
        <f>Table_Capacity_Community_frontsheet[[#This Row],[Name]]&amp;B70</f>
        <v>BoltonReablement &amp; Rehabilitation in a bedded setting</v>
      </c>
      <c r="B70" t="str">
        <f>VLOOKUP(Table_Capacity_Community_frontsheet[[#This Row],[Service Area]],PathwayLookup!E:F,2,0)</f>
        <v>Reablement &amp; Rehabilitation in a bedded setting</v>
      </c>
      <c r="C70" t="s">
        <v>83</v>
      </c>
      <c r="D70" t="s">
        <v>725</v>
      </c>
      <c r="E70">
        <v>12</v>
      </c>
      <c r="F70">
        <v>12</v>
      </c>
      <c r="G70">
        <v>12</v>
      </c>
      <c r="H70">
        <v>12</v>
      </c>
      <c r="I70">
        <v>12</v>
      </c>
      <c r="J70">
        <v>12</v>
      </c>
      <c r="K70">
        <v>12</v>
      </c>
      <c r="L70">
        <v>12</v>
      </c>
      <c r="M70">
        <v>15</v>
      </c>
      <c r="N70">
        <v>15</v>
      </c>
      <c r="O70">
        <v>15</v>
      </c>
      <c r="P70">
        <v>15</v>
      </c>
      <c r="Q70">
        <v>0.89</v>
      </c>
      <c r="R70">
        <v>0.11</v>
      </c>
      <c r="S70">
        <v>0</v>
      </c>
      <c r="V70"/>
      <c r="W70"/>
      <c r="X70"/>
    </row>
    <row r="71" spans="1:24" x14ac:dyDescent="0.3">
      <c r="A71" t="str">
        <f>Table_Capacity_Community_frontsheet[[#This Row],[Name]]&amp;B71</f>
        <v>BoltonOther short-term social care</v>
      </c>
      <c r="B71" t="str">
        <f>VLOOKUP(Table_Capacity_Community_frontsheet[[#This Row],[Service Area]],PathwayLookup!E:F,2,0)</f>
        <v>Other short-term social care</v>
      </c>
      <c r="C71" t="s">
        <v>83</v>
      </c>
      <c r="D71" t="s">
        <v>708</v>
      </c>
      <c r="E71">
        <v>5</v>
      </c>
      <c r="F71">
        <v>5</v>
      </c>
      <c r="G71">
        <v>5</v>
      </c>
      <c r="H71">
        <v>5</v>
      </c>
      <c r="I71">
        <v>5</v>
      </c>
      <c r="J71">
        <v>5</v>
      </c>
      <c r="K71">
        <v>5</v>
      </c>
      <c r="L71">
        <v>5</v>
      </c>
      <c r="M71">
        <v>5</v>
      </c>
      <c r="N71">
        <v>5</v>
      </c>
      <c r="O71">
        <v>5</v>
      </c>
      <c r="P71">
        <v>5</v>
      </c>
      <c r="Q71">
        <v>0</v>
      </c>
      <c r="R71">
        <v>0</v>
      </c>
      <c r="S71">
        <v>0</v>
      </c>
      <c r="V71"/>
      <c r="W71"/>
      <c r="X71"/>
    </row>
    <row r="72" spans="1:24" x14ac:dyDescent="0.3">
      <c r="A72" t="str">
        <f>Table_Capacity_Community_frontsheet[[#This Row],[Name]]&amp;B72</f>
        <v>Bournemouth, Christchurch and PooleSocial support (including VCS)</v>
      </c>
      <c r="B72" t="str">
        <f>VLOOKUP(Table_Capacity_Community_frontsheet[[#This Row],[Service Area]],PathwayLookup!E:F,2,0)</f>
        <v>Social support (including VCS)</v>
      </c>
      <c r="C72" t="s">
        <v>85</v>
      </c>
      <c r="D72" t="s">
        <v>704</v>
      </c>
      <c r="E72">
        <v>144</v>
      </c>
      <c r="F72">
        <v>141</v>
      </c>
      <c r="G72">
        <v>141</v>
      </c>
      <c r="H72">
        <v>141</v>
      </c>
      <c r="I72">
        <v>141</v>
      </c>
      <c r="J72">
        <v>141</v>
      </c>
      <c r="K72">
        <v>141</v>
      </c>
      <c r="L72">
        <v>141</v>
      </c>
      <c r="M72">
        <v>141</v>
      </c>
      <c r="N72">
        <v>141</v>
      </c>
      <c r="O72">
        <v>141</v>
      </c>
      <c r="P72">
        <v>141</v>
      </c>
      <c r="V72"/>
      <c r="W72"/>
      <c r="X72"/>
    </row>
    <row r="73" spans="1:24" x14ac:dyDescent="0.3">
      <c r="A73" t="str">
        <f>Table_Capacity_Community_frontsheet[[#This Row],[Name]]&amp;B73</f>
        <v>Bournemouth, Christchurch and PooleUrgent Community Response</v>
      </c>
      <c r="B73" t="str">
        <f>VLOOKUP(Table_Capacity_Community_frontsheet[[#This Row],[Service Area]],PathwayLookup!E:F,2,0)</f>
        <v>Urgent Community Response</v>
      </c>
      <c r="C73" t="s">
        <v>85</v>
      </c>
      <c r="D73" t="s">
        <v>705</v>
      </c>
      <c r="E73">
        <v>194</v>
      </c>
      <c r="F73">
        <v>191</v>
      </c>
      <c r="G73">
        <v>69</v>
      </c>
      <c r="H73">
        <v>102</v>
      </c>
      <c r="I73">
        <v>113</v>
      </c>
      <c r="J73">
        <v>95</v>
      </c>
      <c r="K73">
        <v>97</v>
      </c>
      <c r="L73">
        <v>92</v>
      </c>
      <c r="M73">
        <v>161</v>
      </c>
      <c r="N73">
        <v>127</v>
      </c>
      <c r="O73">
        <v>127</v>
      </c>
      <c r="P73">
        <v>116</v>
      </c>
      <c r="V73"/>
      <c r="W73"/>
      <c r="X73"/>
    </row>
    <row r="74" spans="1:24" x14ac:dyDescent="0.3">
      <c r="A74" t="str">
        <f>Table_Capacity_Community_frontsheet[[#This Row],[Name]]&amp;B74</f>
        <v>Bournemouth, Christchurch and PooleReablement &amp; Rehabilitation at home</v>
      </c>
      <c r="B74" t="str">
        <f>VLOOKUP(Table_Capacity_Community_frontsheet[[#This Row],[Service Area]],PathwayLookup!E:F,2,0)</f>
        <v>Reablement &amp; Rehabilitation at home</v>
      </c>
      <c r="C74" t="s">
        <v>85</v>
      </c>
      <c r="D74" t="s">
        <v>727</v>
      </c>
      <c r="E74">
        <v>5</v>
      </c>
      <c r="F74">
        <v>8</v>
      </c>
      <c r="G74">
        <v>8</v>
      </c>
      <c r="H74">
        <v>3</v>
      </c>
      <c r="I74">
        <v>1</v>
      </c>
      <c r="J74">
        <v>7</v>
      </c>
      <c r="K74">
        <v>3</v>
      </c>
      <c r="L74">
        <v>3</v>
      </c>
      <c r="M74">
        <v>0</v>
      </c>
      <c r="N74">
        <v>5</v>
      </c>
      <c r="O74">
        <v>5</v>
      </c>
      <c r="P74">
        <v>3</v>
      </c>
      <c r="V74"/>
      <c r="W74"/>
      <c r="X74"/>
    </row>
    <row r="75" spans="1:24" x14ac:dyDescent="0.3">
      <c r="A75" t="str">
        <f>Table_Capacity_Community_frontsheet[[#This Row],[Name]]&amp;B75</f>
        <v>Bournemouth, Christchurch and PooleReablement &amp; Rehabilitation at home</v>
      </c>
      <c r="B75" t="str">
        <f>VLOOKUP(Table_Capacity_Community_frontsheet[[#This Row],[Service Area]],PathwayLookup!E:F,2,0)</f>
        <v>Reablement &amp; Rehabilitation at home</v>
      </c>
      <c r="C75" t="s">
        <v>85</v>
      </c>
      <c r="D75" t="s">
        <v>729</v>
      </c>
      <c r="E75">
        <v>77</v>
      </c>
      <c r="F75">
        <v>77</v>
      </c>
      <c r="G75">
        <v>77</v>
      </c>
      <c r="H75">
        <v>77</v>
      </c>
      <c r="I75">
        <v>77</v>
      </c>
      <c r="J75">
        <v>77</v>
      </c>
      <c r="K75">
        <v>77</v>
      </c>
      <c r="L75">
        <v>77</v>
      </c>
      <c r="M75">
        <v>77</v>
      </c>
      <c r="N75">
        <v>77</v>
      </c>
      <c r="O75">
        <v>77</v>
      </c>
      <c r="P75">
        <v>77</v>
      </c>
      <c r="V75"/>
      <c r="W75"/>
      <c r="X75"/>
    </row>
    <row r="76" spans="1:24" x14ac:dyDescent="0.3">
      <c r="A76" t="str">
        <f>Table_Capacity_Community_frontsheet[[#This Row],[Name]]&amp;B76</f>
        <v>Bournemouth, Christchurch and PooleReablement &amp; Rehabilitation in a bedded setting</v>
      </c>
      <c r="B76" t="str">
        <f>VLOOKUP(Table_Capacity_Community_frontsheet[[#This Row],[Service Area]],PathwayLookup!E:F,2,0)</f>
        <v>Reablement &amp; Rehabilitation in a bedded setting</v>
      </c>
      <c r="C76" t="s">
        <v>85</v>
      </c>
      <c r="D76" t="s">
        <v>723</v>
      </c>
      <c r="E76">
        <v>5</v>
      </c>
      <c r="F76">
        <v>10</v>
      </c>
      <c r="G76">
        <v>2</v>
      </c>
      <c r="H76">
        <v>5</v>
      </c>
      <c r="I76">
        <v>5</v>
      </c>
      <c r="J76">
        <v>5</v>
      </c>
      <c r="K76">
        <v>5</v>
      </c>
      <c r="L76">
        <v>5</v>
      </c>
      <c r="M76">
        <v>5</v>
      </c>
      <c r="N76">
        <v>5</v>
      </c>
      <c r="O76">
        <v>5</v>
      </c>
      <c r="P76">
        <v>5</v>
      </c>
      <c r="V76"/>
      <c r="W76"/>
      <c r="X76"/>
    </row>
    <row r="77" spans="1:24" x14ac:dyDescent="0.3">
      <c r="A77" t="str">
        <f>Table_Capacity_Community_frontsheet[[#This Row],[Name]]&amp;B77</f>
        <v>Bournemouth, Christchurch and PooleReablement &amp; Rehabilitation in a bedded setting</v>
      </c>
      <c r="B77" t="str">
        <f>VLOOKUP(Table_Capacity_Community_frontsheet[[#This Row],[Service Area]],PathwayLookup!E:F,2,0)</f>
        <v>Reablement &amp; Rehabilitation in a bedded setting</v>
      </c>
      <c r="C77" t="s">
        <v>85</v>
      </c>
      <c r="D77" t="s">
        <v>725</v>
      </c>
      <c r="E77">
        <v>3</v>
      </c>
      <c r="F77">
        <v>3</v>
      </c>
      <c r="G77">
        <v>3</v>
      </c>
      <c r="H77">
        <v>3</v>
      </c>
      <c r="I77">
        <v>3</v>
      </c>
      <c r="J77">
        <v>3</v>
      </c>
      <c r="K77">
        <v>3</v>
      </c>
      <c r="L77">
        <v>3</v>
      </c>
      <c r="M77">
        <v>3</v>
      </c>
      <c r="N77">
        <v>3</v>
      </c>
      <c r="O77">
        <v>3</v>
      </c>
      <c r="P77">
        <v>3</v>
      </c>
      <c r="V77"/>
      <c r="W77"/>
      <c r="X77"/>
    </row>
    <row r="78" spans="1:24" x14ac:dyDescent="0.3">
      <c r="A78" t="str">
        <f>Table_Capacity_Community_frontsheet[[#This Row],[Name]]&amp;B78</f>
        <v>Bournemouth, Christchurch and PooleOther short-term social care</v>
      </c>
      <c r="B78" t="str">
        <f>VLOOKUP(Table_Capacity_Community_frontsheet[[#This Row],[Service Area]],PathwayLookup!E:F,2,0)</f>
        <v>Other short-term social care</v>
      </c>
      <c r="C78" t="s">
        <v>85</v>
      </c>
      <c r="D78" t="s">
        <v>708</v>
      </c>
      <c r="V78"/>
      <c r="W78"/>
      <c r="X78"/>
    </row>
    <row r="79" spans="1:24" x14ac:dyDescent="0.3">
      <c r="A79" t="str">
        <f>Table_Capacity_Community_frontsheet[[#This Row],[Name]]&amp;B79</f>
        <v>Bracknell ForestSocial support (including VCS)</v>
      </c>
      <c r="B79" t="str">
        <f>VLOOKUP(Table_Capacity_Community_frontsheet[[#This Row],[Service Area]],PathwayLookup!E:F,2,0)</f>
        <v>Social support (including VCS)</v>
      </c>
      <c r="C79" t="s">
        <v>87</v>
      </c>
      <c r="D79" t="s">
        <v>704</v>
      </c>
      <c r="E79">
        <v>0</v>
      </c>
      <c r="F79">
        <v>0</v>
      </c>
      <c r="G79">
        <v>0</v>
      </c>
      <c r="H79">
        <v>0</v>
      </c>
      <c r="I79">
        <v>0</v>
      </c>
      <c r="J79">
        <v>0</v>
      </c>
      <c r="K79">
        <v>0</v>
      </c>
      <c r="L79">
        <v>0</v>
      </c>
      <c r="M79">
        <v>0</v>
      </c>
      <c r="N79">
        <v>0</v>
      </c>
      <c r="O79">
        <v>0</v>
      </c>
      <c r="P79">
        <v>0</v>
      </c>
      <c r="Q79">
        <v>0</v>
      </c>
      <c r="R79">
        <v>0</v>
      </c>
      <c r="V79"/>
      <c r="W79"/>
      <c r="X79"/>
    </row>
    <row r="80" spans="1:24" x14ac:dyDescent="0.3">
      <c r="A80" t="str">
        <f>Table_Capacity_Community_frontsheet[[#This Row],[Name]]&amp;B80</f>
        <v>Bracknell ForestUrgent Community Response</v>
      </c>
      <c r="B80" t="str">
        <f>VLOOKUP(Table_Capacity_Community_frontsheet[[#This Row],[Service Area]],PathwayLookup!E:F,2,0)</f>
        <v>Urgent Community Response</v>
      </c>
      <c r="C80" t="s">
        <v>87</v>
      </c>
      <c r="D80" t="s">
        <v>705</v>
      </c>
      <c r="E80">
        <v>20</v>
      </c>
      <c r="F80">
        <v>28</v>
      </c>
      <c r="G80">
        <v>29</v>
      </c>
      <c r="H80">
        <v>34</v>
      </c>
      <c r="I80">
        <v>43</v>
      </c>
      <c r="J80">
        <v>37</v>
      </c>
      <c r="K80">
        <v>42</v>
      </c>
      <c r="L80">
        <v>36</v>
      </c>
      <c r="M80">
        <v>30</v>
      </c>
      <c r="N80">
        <v>33</v>
      </c>
      <c r="O80">
        <v>27</v>
      </c>
      <c r="P80">
        <v>34</v>
      </c>
      <c r="Q80">
        <v>1</v>
      </c>
      <c r="R80">
        <v>0</v>
      </c>
      <c r="V80"/>
      <c r="W80"/>
      <c r="X80"/>
    </row>
    <row r="81" spans="1:24" x14ac:dyDescent="0.3">
      <c r="A81" t="str">
        <f>Table_Capacity_Community_frontsheet[[#This Row],[Name]]&amp;B81</f>
        <v>Bracknell ForestReablement &amp; Rehabilitation at home</v>
      </c>
      <c r="B81" t="str">
        <f>VLOOKUP(Table_Capacity_Community_frontsheet[[#This Row],[Service Area]],PathwayLookup!E:F,2,0)</f>
        <v>Reablement &amp; Rehabilitation at home</v>
      </c>
      <c r="C81" t="s">
        <v>87</v>
      </c>
      <c r="D81" t="s">
        <v>727</v>
      </c>
      <c r="E81">
        <v>20</v>
      </c>
      <c r="F81">
        <v>20</v>
      </c>
      <c r="G81">
        <v>18</v>
      </c>
      <c r="H81">
        <v>19</v>
      </c>
      <c r="I81">
        <v>20</v>
      </c>
      <c r="J81">
        <v>19</v>
      </c>
      <c r="K81">
        <v>20</v>
      </c>
      <c r="L81">
        <v>20</v>
      </c>
      <c r="M81">
        <v>20</v>
      </c>
      <c r="N81">
        <v>18</v>
      </c>
      <c r="O81">
        <v>17</v>
      </c>
      <c r="P81">
        <v>15</v>
      </c>
      <c r="Q81">
        <v>0.35</v>
      </c>
      <c r="R81">
        <v>0.65</v>
      </c>
      <c r="V81"/>
      <c r="W81"/>
      <c r="X81"/>
    </row>
    <row r="82" spans="1:24" x14ac:dyDescent="0.3">
      <c r="A82" t="str">
        <f>Table_Capacity_Community_frontsheet[[#This Row],[Name]]&amp;B82</f>
        <v>Bracknell ForestReablement &amp; Rehabilitation at home</v>
      </c>
      <c r="B82" t="str">
        <f>VLOOKUP(Table_Capacity_Community_frontsheet[[#This Row],[Service Area]],PathwayLookup!E:F,2,0)</f>
        <v>Reablement &amp; Rehabilitation at home</v>
      </c>
      <c r="C82" t="s">
        <v>87</v>
      </c>
      <c r="D82" t="s">
        <v>729</v>
      </c>
      <c r="E82">
        <v>0</v>
      </c>
      <c r="F82">
        <v>0</v>
      </c>
      <c r="G82">
        <v>0</v>
      </c>
      <c r="H82">
        <v>0</v>
      </c>
      <c r="I82">
        <v>0</v>
      </c>
      <c r="J82">
        <v>0</v>
      </c>
      <c r="K82">
        <v>0</v>
      </c>
      <c r="L82">
        <v>0</v>
      </c>
      <c r="M82">
        <v>0</v>
      </c>
      <c r="N82">
        <v>0</v>
      </c>
      <c r="O82">
        <v>0</v>
      </c>
      <c r="P82">
        <v>0</v>
      </c>
      <c r="Q82">
        <v>0</v>
      </c>
      <c r="R82">
        <v>0</v>
      </c>
      <c r="V82"/>
      <c r="W82"/>
      <c r="X82"/>
    </row>
    <row r="83" spans="1:24" x14ac:dyDescent="0.3">
      <c r="A83" t="str">
        <f>Table_Capacity_Community_frontsheet[[#This Row],[Name]]&amp;B83</f>
        <v>Bracknell ForestReablement &amp; Rehabilitation in a bedded setting</v>
      </c>
      <c r="B83" t="str">
        <f>VLOOKUP(Table_Capacity_Community_frontsheet[[#This Row],[Service Area]],PathwayLookup!E:F,2,0)</f>
        <v>Reablement &amp; Rehabilitation in a bedded setting</v>
      </c>
      <c r="C83" t="s">
        <v>87</v>
      </c>
      <c r="D83" t="s">
        <v>723</v>
      </c>
      <c r="E83">
        <v>20</v>
      </c>
      <c r="F83">
        <v>20</v>
      </c>
      <c r="G83">
        <v>20</v>
      </c>
      <c r="H83">
        <v>20</v>
      </c>
      <c r="I83">
        <v>20</v>
      </c>
      <c r="J83">
        <v>20</v>
      </c>
      <c r="K83">
        <v>20</v>
      </c>
      <c r="L83">
        <v>20</v>
      </c>
      <c r="M83">
        <v>20</v>
      </c>
      <c r="N83">
        <v>20</v>
      </c>
      <c r="O83">
        <v>20</v>
      </c>
      <c r="P83">
        <v>20</v>
      </c>
      <c r="Q83">
        <v>1</v>
      </c>
      <c r="R83">
        <v>0</v>
      </c>
      <c r="V83"/>
      <c r="W83"/>
      <c r="X83"/>
    </row>
    <row r="84" spans="1:24" x14ac:dyDescent="0.3">
      <c r="A84" t="str">
        <f>Table_Capacity_Community_frontsheet[[#This Row],[Name]]&amp;B84</f>
        <v>Bracknell ForestReablement &amp; Rehabilitation in a bedded setting</v>
      </c>
      <c r="B84" t="str">
        <f>VLOOKUP(Table_Capacity_Community_frontsheet[[#This Row],[Service Area]],PathwayLookup!E:F,2,0)</f>
        <v>Reablement &amp; Rehabilitation in a bedded setting</v>
      </c>
      <c r="C84" t="s">
        <v>87</v>
      </c>
      <c r="D84" t="s">
        <v>725</v>
      </c>
      <c r="E84">
        <v>0</v>
      </c>
      <c r="F84">
        <v>0</v>
      </c>
      <c r="G84">
        <v>0</v>
      </c>
      <c r="H84">
        <v>0</v>
      </c>
      <c r="I84">
        <v>0</v>
      </c>
      <c r="J84">
        <v>0</v>
      </c>
      <c r="K84">
        <v>0</v>
      </c>
      <c r="L84">
        <v>0</v>
      </c>
      <c r="M84">
        <v>0</v>
      </c>
      <c r="N84">
        <v>0</v>
      </c>
      <c r="O84">
        <v>0</v>
      </c>
      <c r="P84">
        <v>0</v>
      </c>
      <c r="Q84">
        <v>0</v>
      </c>
      <c r="R84">
        <v>0</v>
      </c>
      <c r="V84"/>
      <c r="W84"/>
      <c r="X84"/>
    </row>
    <row r="85" spans="1:24" x14ac:dyDescent="0.3">
      <c r="A85" t="str">
        <f>Table_Capacity_Community_frontsheet[[#This Row],[Name]]&amp;B85</f>
        <v>Bracknell ForestOther short-term social care</v>
      </c>
      <c r="B85" t="str">
        <f>VLOOKUP(Table_Capacity_Community_frontsheet[[#This Row],[Service Area]],PathwayLookup!E:F,2,0)</f>
        <v>Other short-term social care</v>
      </c>
      <c r="C85" t="s">
        <v>87</v>
      </c>
      <c r="D85" t="s">
        <v>708</v>
      </c>
      <c r="E85">
        <v>0</v>
      </c>
      <c r="F85">
        <v>0</v>
      </c>
      <c r="G85">
        <v>0</v>
      </c>
      <c r="H85">
        <v>0</v>
      </c>
      <c r="I85">
        <v>0</v>
      </c>
      <c r="J85">
        <v>0</v>
      </c>
      <c r="K85">
        <v>0</v>
      </c>
      <c r="L85">
        <v>0</v>
      </c>
      <c r="M85">
        <v>0</v>
      </c>
      <c r="N85">
        <v>0</v>
      </c>
      <c r="O85">
        <v>0</v>
      </c>
      <c r="P85">
        <v>0</v>
      </c>
      <c r="Q85">
        <v>0</v>
      </c>
      <c r="R85">
        <v>0</v>
      </c>
      <c r="V85"/>
      <c r="W85"/>
      <c r="X85"/>
    </row>
    <row r="86" spans="1:24" x14ac:dyDescent="0.3">
      <c r="A86" t="str">
        <f>Table_Capacity_Community_frontsheet[[#This Row],[Name]]&amp;B86</f>
        <v>BradfordSocial support (including VCS)</v>
      </c>
      <c r="B86" t="str">
        <f>VLOOKUP(Table_Capacity_Community_frontsheet[[#This Row],[Service Area]],PathwayLookup!E:F,2,0)</f>
        <v>Social support (including VCS)</v>
      </c>
      <c r="C86" t="s">
        <v>89</v>
      </c>
      <c r="D86" t="s">
        <v>704</v>
      </c>
      <c r="E86">
        <v>330</v>
      </c>
      <c r="F86">
        <v>330</v>
      </c>
      <c r="G86">
        <v>330</v>
      </c>
      <c r="H86">
        <v>330</v>
      </c>
      <c r="I86">
        <v>330</v>
      </c>
      <c r="J86">
        <v>330</v>
      </c>
      <c r="K86">
        <v>330</v>
      </c>
      <c r="L86">
        <v>330</v>
      </c>
      <c r="M86">
        <v>330</v>
      </c>
      <c r="N86">
        <v>330</v>
      </c>
      <c r="O86">
        <v>330</v>
      </c>
      <c r="P86">
        <v>330</v>
      </c>
      <c r="R86">
        <v>1</v>
      </c>
      <c r="V86"/>
      <c r="W86"/>
      <c r="X86"/>
    </row>
    <row r="87" spans="1:24" x14ac:dyDescent="0.3">
      <c r="A87" t="str">
        <f>Table_Capacity_Community_frontsheet[[#This Row],[Name]]&amp;B87</f>
        <v>BradfordUrgent Community Response</v>
      </c>
      <c r="B87" t="str">
        <f>VLOOKUP(Table_Capacity_Community_frontsheet[[#This Row],[Service Area]],PathwayLookup!E:F,2,0)</f>
        <v>Urgent Community Response</v>
      </c>
      <c r="C87" t="s">
        <v>89</v>
      </c>
      <c r="D87" t="s">
        <v>705</v>
      </c>
      <c r="E87">
        <v>324</v>
      </c>
      <c r="F87">
        <v>324</v>
      </c>
      <c r="G87">
        <v>324</v>
      </c>
      <c r="H87">
        <v>340</v>
      </c>
      <c r="I87">
        <v>340</v>
      </c>
      <c r="J87">
        <v>340</v>
      </c>
      <c r="K87">
        <v>357</v>
      </c>
      <c r="L87">
        <v>357</v>
      </c>
      <c r="M87">
        <v>357</v>
      </c>
      <c r="N87">
        <v>373</v>
      </c>
      <c r="O87">
        <v>373</v>
      </c>
      <c r="P87">
        <v>373</v>
      </c>
      <c r="Q87">
        <v>1</v>
      </c>
      <c r="V87"/>
      <c r="W87"/>
      <c r="X87"/>
    </row>
    <row r="88" spans="1:24" x14ac:dyDescent="0.3">
      <c r="A88" t="str">
        <f>Table_Capacity_Community_frontsheet[[#This Row],[Name]]&amp;B88</f>
        <v>BradfordReablement &amp; Rehabilitation at home</v>
      </c>
      <c r="B88" t="str">
        <f>VLOOKUP(Table_Capacity_Community_frontsheet[[#This Row],[Service Area]],PathwayLookup!E:F,2,0)</f>
        <v>Reablement &amp; Rehabilitation at home</v>
      </c>
      <c r="C88" t="s">
        <v>89</v>
      </c>
      <c r="D88" t="s">
        <v>727</v>
      </c>
      <c r="E88">
        <v>127</v>
      </c>
      <c r="F88">
        <v>161</v>
      </c>
      <c r="G88">
        <v>132</v>
      </c>
      <c r="H88">
        <v>117</v>
      </c>
      <c r="I88">
        <v>128</v>
      </c>
      <c r="J88">
        <v>141</v>
      </c>
      <c r="K88">
        <v>137</v>
      </c>
      <c r="L88">
        <v>136</v>
      </c>
      <c r="M88">
        <v>114</v>
      </c>
      <c r="N88">
        <v>171</v>
      </c>
      <c r="O88">
        <v>147</v>
      </c>
      <c r="P88">
        <v>142</v>
      </c>
      <c r="R88">
        <v>1</v>
      </c>
      <c r="V88"/>
      <c r="W88"/>
      <c r="X88"/>
    </row>
    <row r="89" spans="1:24" x14ac:dyDescent="0.3">
      <c r="A89" t="str">
        <f>Table_Capacity_Community_frontsheet[[#This Row],[Name]]&amp;B89</f>
        <v>BradfordReablement &amp; Rehabilitation at home</v>
      </c>
      <c r="B89" t="str">
        <f>VLOOKUP(Table_Capacity_Community_frontsheet[[#This Row],[Service Area]],PathwayLookup!E:F,2,0)</f>
        <v>Reablement &amp; Rehabilitation at home</v>
      </c>
      <c r="C89" t="s">
        <v>89</v>
      </c>
      <c r="D89" t="s">
        <v>729</v>
      </c>
      <c r="V89"/>
      <c r="W89"/>
      <c r="X89"/>
    </row>
    <row r="90" spans="1:24" x14ac:dyDescent="0.3">
      <c r="A90" t="str">
        <f>Table_Capacity_Community_frontsheet[[#This Row],[Name]]&amp;B90</f>
        <v>BradfordReablement &amp; Rehabilitation in a bedded setting</v>
      </c>
      <c r="B90" t="str">
        <f>VLOOKUP(Table_Capacity_Community_frontsheet[[#This Row],[Service Area]],PathwayLookup!E:F,2,0)</f>
        <v>Reablement &amp; Rehabilitation in a bedded setting</v>
      </c>
      <c r="C90" t="s">
        <v>89</v>
      </c>
      <c r="D90" t="s">
        <v>723</v>
      </c>
      <c r="E90">
        <v>20</v>
      </c>
      <c r="F90">
        <v>37</v>
      </c>
      <c r="G90">
        <v>33</v>
      </c>
      <c r="H90">
        <v>27</v>
      </c>
      <c r="I90">
        <v>38</v>
      </c>
      <c r="J90">
        <v>29</v>
      </c>
      <c r="K90">
        <v>32</v>
      </c>
      <c r="L90">
        <v>39</v>
      </c>
      <c r="M90">
        <v>34</v>
      </c>
      <c r="N90">
        <v>22</v>
      </c>
      <c r="O90">
        <v>20</v>
      </c>
      <c r="P90">
        <v>16</v>
      </c>
      <c r="R90">
        <v>1</v>
      </c>
      <c r="V90"/>
      <c r="W90"/>
      <c r="X90"/>
    </row>
    <row r="91" spans="1:24" x14ac:dyDescent="0.3">
      <c r="A91" t="str">
        <f>Table_Capacity_Community_frontsheet[[#This Row],[Name]]&amp;B91</f>
        <v>BradfordReablement &amp; Rehabilitation in a bedded setting</v>
      </c>
      <c r="B91" t="str">
        <f>VLOOKUP(Table_Capacity_Community_frontsheet[[#This Row],[Service Area]],PathwayLookup!E:F,2,0)</f>
        <v>Reablement &amp; Rehabilitation in a bedded setting</v>
      </c>
      <c r="C91" t="s">
        <v>89</v>
      </c>
      <c r="D91" t="s">
        <v>725</v>
      </c>
      <c r="E91">
        <v>5</v>
      </c>
      <c r="F91">
        <v>5</v>
      </c>
      <c r="G91">
        <v>5</v>
      </c>
      <c r="H91">
        <v>5</v>
      </c>
      <c r="I91">
        <v>5</v>
      </c>
      <c r="J91">
        <v>5</v>
      </c>
      <c r="K91">
        <v>5</v>
      </c>
      <c r="L91">
        <v>5</v>
      </c>
      <c r="M91">
        <v>5</v>
      </c>
      <c r="N91">
        <v>5</v>
      </c>
      <c r="O91">
        <v>5</v>
      </c>
      <c r="P91">
        <v>5</v>
      </c>
      <c r="R91">
        <v>1</v>
      </c>
      <c r="V91"/>
      <c r="W91"/>
      <c r="X91"/>
    </row>
    <row r="92" spans="1:24" x14ac:dyDescent="0.3">
      <c r="A92" t="str">
        <f>Table_Capacity_Community_frontsheet[[#This Row],[Name]]&amp;B92</f>
        <v>BradfordOther short-term social care</v>
      </c>
      <c r="B92" t="str">
        <f>VLOOKUP(Table_Capacity_Community_frontsheet[[#This Row],[Service Area]],PathwayLookup!E:F,2,0)</f>
        <v>Other short-term social care</v>
      </c>
      <c r="C92" t="s">
        <v>89</v>
      </c>
      <c r="D92" t="s">
        <v>708</v>
      </c>
      <c r="V92"/>
      <c r="W92"/>
      <c r="X92"/>
    </row>
    <row r="93" spans="1:24" x14ac:dyDescent="0.3">
      <c r="A93" t="str">
        <f>Table_Capacity_Community_frontsheet[[#This Row],[Name]]&amp;B93</f>
        <v>BrentSocial support (including VCS)</v>
      </c>
      <c r="B93" t="str">
        <f>VLOOKUP(Table_Capacity_Community_frontsheet[[#This Row],[Service Area]],PathwayLookup!E:F,2,0)</f>
        <v>Social support (including VCS)</v>
      </c>
      <c r="C93" t="s">
        <v>91</v>
      </c>
      <c r="D93" t="s">
        <v>704</v>
      </c>
      <c r="E93">
        <v>347</v>
      </c>
      <c r="F93">
        <v>347</v>
      </c>
      <c r="G93">
        <v>347</v>
      </c>
      <c r="H93">
        <v>347</v>
      </c>
      <c r="I93">
        <v>347</v>
      </c>
      <c r="J93">
        <v>347</v>
      </c>
      <c r="K93">
        <v>347</v>
      </c>
      <c r="L93">
        <v>347</v>
      </c>
      <c r="M93">
        <v>347</v>
      </c>
      <c r="N93">
        <v>347</v>
      </c>
      <c r="O93">
        <v>347</v>
      </c>
      <c r="P93">
        <v>347</v>
      </c>
      <c r="Q93">
        <v>0</v>
      </c>
      <c r="R93">
        <v>1</v>
      </c>
      <c r="S93">
        <v>0</v>
      </c>
      <c r="V93"/>
      <c r="W93"/>
      <c r="X93"/>
    </row>
    <row r="94" spans="1:24" x14ac:dyDescent="0.3">
      <c r="A94" t="str">
        <f>Table_Capacity_Community_frontsheet[[#This Row],[Name]]&amp;B94</f>
        <v>BrentUrgent Community Response</v>
      </c>
      <c r="B94" t="str">
        <f>VLOOKUP(Table_Capacity_Community_frontsheet[[#This Row],[Service Area]],PathwayLookup!E:F,2,0)</f>
        <v>Urgent Community Response</v>
      </c>
      <c r="C94" t="s">
        <v>91</v>
      </c>
      <c r="D94" t="s">
        <v>705</v>
      </c>
      <c r="E94">
        <v>397</v>
      </c>
      <c r="F94">
        <v>397</v>
      </c>
      <c r="G94">
        <v>397</v>
      </c>
      <c r="H94">
        <v>397</v>
      </c>
      <c r="I94">
        <v>397</v>
      </c>
      <c r="J94">
        <v>397</v>
      </c>
      <c r="K94">
        <v>397</v>
      </c>
      <c r="L94">
        <v>397</v>
      </c>
      <c r="M94">
        <v>397</v>
      </c>
      <c r="N94">
        <v>397</v>
      </c>
      <c r="O94">
        <v>397</v>
      </c>
      <c r="P94">
        <v>397</v>
      </c>
      <c r="Q94">
        <v>1</v>
      </c>
      <c r="R94">
        <v>0</v>
      </c>
      <c r="S94">
        <v>0</v>
      </c>
      <c r="V94"/>
      <c r="W94"/>
      <c r="X94"/>
    </row>
    <row r="95" spans="1:24" x14ac:dyDescent="0.3">
      <c r="A95" t="str">
        <f>Table_Capacity_Community_frontsheet[[#This Row],[Name]]&amp;B95</f>
        <v>BrentReablement &amp; Rehabilitation at home</v>
      </c>
      <c r="B95" t="str">
        <f>VLOOKUP(Table_Capacity_Community_frontsheet[[#This Row],[Service Area]],PathwayLookup!E:F,2,0)</f>
        <v>Reablement &amp; Rehabilitation at home</v>
      </c>
      <c r="C95" t="s">
        <v>91</v>
      </c>
      <c r="D95" t="s">
        <v>727</v>
      </c>
      <c r="E95">
        <v>50</v>
      </c>
      <c r="F95">
        <v>45</v>
      </c>
      <c r="G95">
        <v>45</v>
      </c>
      <c r="H95">
        <v>45</v>
      </c>
      <c r="I95">
        <v>50</v>
      </c>
      <c r="J95">
        <v>45</v>
      </c>
      <c r="K95">
        <v>50</v>
      </c>
      <c r="L95">
        <v>45</v>
      </c>
      <c r="M95">
        <v>45</v>
      </c>
      <c r="N95">
        <v>45</v>
      </c>
      <c r="O95">
        <v>50</v>
      </c>
      <c r="P95">
        <v>45</v>
      </c>
      <c r="Q95">
        <v>0</v>
      </c>
      <c r="R95">
        <v>1</v>
      </c>
      <c r="S95">
        <v>0</v>
      </c>
      <c r="V95"/>
      <c r="W95"/>
      <c r="X95"/>
    </row>
    <row r="96" spans="1:24" x14ac:dyDescent="0.3">
      <c r="A96" t="str">
        <f>Table_Capacity_Community_frontsheet[[#This Row],[Name]]&amp;B96</f>
        <v>BrentReablement &amp; Rehabilitation at home</v>
      </c>
      <c r="B96" t="str">
        <f>VLOOKUP(Table_Capacity_Community_frontsheet[[#This Row],[Service Area]],PathwayLookup!E:F,2,0)</f>
        <v>Reablement &amp; Rehabilitation at home</v>
      </c>
      <c r="C96" t="s">
        <v>91</v>
      </c>
      <c r="D96" t="s">
        <v>729</v>
      </c>
      <c r="E96">
        <v>320</v>
      </c>
      <c r="F96">
        <v>320</v>
      </c>
      <c r="G96">
        <v>320</v>
      </c>
      <c r="H96">
        <v>320</v>
      </c>
      <c r="I96">
        <v>320</v>
      </c>
      <c r="J96">
        <v>320</v>
      </c>
      <c r="K96">
        <v>320</v>
      </c>
      <c r="L96">
        <v>320</v>
      </c>
      <c r="M96">
        <v>320</v>
      </c>
      <c r="N96">
        <v>320</v>
      </c>
      <c r="O96">
        <v>320</v>
      </c>
      <c r="P96">
        <v>320</v>
      </c>
      <c r="Q96">
        <v>0</v>
      </c>
      <c r="R96">
        <v>1</v>
      </c>
      <c r="S96">
        <v>0</v>
      </c>
      <c r="V96"/>
      <c r="W96"/>
      <c r="X96"/>
    </row>
    <row r="97" spans="1:24" x14ac:dyDescent="0.3">
      <c r="A97" t="str">
        <f>Table_Capacity_Community_frontsheet[[#This Row],[Name]]&amp;B97</f>
        <v>BrentReablement &amp; Rehabilitation in a bedded setting</v>
      </c>
      <c r="B97" t="str">
        <f>VLOOKUP(Table_Capacity_Community_frontsheet[[#This Row],[Service Area]],PathwayLookup!E:F,2,0)</f>
        <v>Reablement &amp; Rehabilitation in a bedded setting</v>
      </c>
      <c r="C97" t="s">
        <v>91</v>
      </c>
      <c r="D97" t="s">
        <v>723</v>
      </c>
      <c r="E97">
        <v>0</v>
      </c>
      <c r="F97">
        <v>0</v>
      </c>
      <c r="G97">
        <v>0</v>
      </c>
      <c r="H97">
        <v>0</v>
      </c>
      <c r="I97">
        <v>0</v>
      </c>
      <c r="J97">
        <v>0</v>
      </c>
      <c r="K97">
        <v>0</v>
      </c>
      <c r="L97">
        <v>0</v>
      </c>
      <c r="M97">
        <v>0</v>
      </c>
      <c r="N97">
        <v>0</v>
      </c>
      <c r="O97">
        <v>0</v>
      </c>
      <c r="P97">
        <v>0</v>
      </c>
      <c r="Q97">
        <v>0</v>
      </c>
      <c r="R97">
        <v>0</v>
      </c>
      <c r="S97">
        <v>0</v>
      </c>
      <c r="V97"/>
      <c r="W97"/>
      <c r="X97"/>
    </row>
    <row r="98" spans="1:24" x14ac:dyDescent="0.3">
      <c r="A98" t="str">
        <f>Table_Capacity_Community_frontsheet[[#This Row],[Name]]&amp;B98</f>
        <v>BrentReablement &amp; Rehabilitation in a bedded setting</v>
      </c>
      <c r="B98" t="str">
        <f>VLOOKUP(Table_Capacity_Community_frontsheet[[#This Row],[Service Area]],PathwayLookup!E:F,2,0)</f>
        <v>Reablement &amp; Rehabilitation in a bedded setting</v>
      </c>
      <c r="C98" t="s">
        <v>91</v>
      </c>
      <c r="D98" t="s">
        <v>725</v>
      </c>
      <c r="E98">
        <v>19</v>
      </c>
      <c r="F98">
        <v>19</v>
      </c>
      <c r="G98">
        <v>19</v>
      </c>
      <c r="H98">
        <v>19</v>
      </c>
      <c r="I98">
        <v>19</v>
      </c>
      <c r="J98">
        <v>19</v>
      </c>
      <c r="K98">
        <v>19</v>
      </c>
      <c r="L98">
        <v>19</v>
      </c>
      <c r="M98">
        <v>19</v>
      </c>
      <c r="N98">
        <v>19</v>
      </c>
      <c r="O98">
        <v>19</v>
      </c>
      <c r="P98">
        <v>19</v>
      </c>
      <c r="Q98">
        <v>1</v>
      </c>
      <c r="R98">
        <v>0</v>
      </c>
      <c r="S98">
        <v>0</v>
      </c>
      <c r="V98"/>
      <c r="W98"/>
      <c r="X98"/>
    </row>
    <row r="99" spans="1:24" x14ac:dyDescent="0.3">
      <c r="A99" t="str">
        <f>Table_Capacity_Community_frontsheet[[#This Row],[Name]]&amp;B99</f>
        <v>BrentOther short-term social care</v>
      </c>
      <c r="B99" t="str">
        <f>VLOOKUP(Table_Capacity_Community_frontsheet[[#This Row],[Service Area]],PathwayLookup!E:F,2,0)</f>
        <v>Other short-term social care</v>
      </c>
      <c r="C99" t="s">
        <v>91</v>
      </c>
      <c r="D99" t="s">
        <v>708</v>
      </c>
      <c r="E99">
        <v>0</v>
      </c>
      <c r="F99">
        <v>0</v>
      </c>
      <c r="G99">
        <v>0</v>
      </c>
      <c r="H99">
        <v>0</v>
      </c>
      <c r="I99">
        <v>0</v>
      </c>
      <c r="J99">
        <v>0</v>
      </c>
      <c r="K99">
        <v>0</v>
      </c>
      <c r="L99">
        <v>0</v>
      </c>
      <c r="M99">
        <v>0</v>
      </c>
      <c r="N99">
        <v>0</v>
      </c>
      <c r="O99">
        <v>0</v>
      </c>
      <c r="P99">
        <v>0</v>
      </c>
      <c r="Q99">
        <v>0</v>
      </c>
      <c r="R99">
        <v>0</v>
      </c>
      <c r="S99">
        <v>0</v>
      </c>
      <c r="V99"/>
      <c r="W99"/>
      <c r="X99"/>
    </row>
    <row r="100" spans="1:24" x14ac:dyDescent="0.3">
      <c r="A100" t="str">
        <f>Table_Capacity_Community_frontsheet[[#This Row],[Name]]&amp;B100</f>
        <v>Brighton and HoveSocial support (including VCS)</v>
      </c>
      <c r="B100" t="str">
        <f>VLOOKUP(Table_Capacity_Community_frontsheet[[#This Row],[Service Area]],PathwayLookup!E:F,2,0)</f>
        <v>Social support (including VCS)</v>
      </c>
      <c r="C100" t="s">
        <v>93</v>
      </c>
      <c r="D100" t="s">
        <v>704</v>
      </c>
      <c r="E100">
        <v>0</v>
      </c>
      <c r="F100">
        <v>0</v>
      </c>
      <c r="G100">
        <v>0</v>
      </c>
      <c r="H100">
        <v>0</v>
      </c>
      <c r="I100">
        <v>0</v>
      </c>
      <c r="J100">
        <v>0</v>
      </c>
      <c r="K100">
        <v>0</v>
      </c>
      <c r="L100">
        <v>0</v>
      </c>
      <c r="M100">
        <v>0</v>
      </c>
      <c r="N100">
        <v>0</v>
      </c>
      <c r="O100">
        <v>0</v>
      </c>
      <c r="P100">
        <v>0</v>
      </c>
      <c r="V100"/>
      <c r="W100"/>
      <c r="X100"/>
    </row>
    <row r="101" spans="1:24" x14ac:dyDescent="0.3">
      <c r="A101" t="str">
        <f>Table_Capacity_Community_frontsheet[[#This Row],[Name]]&amp;B101</f>
        <v>Brighton and HoveUrgent Community Response</v>
      </c>
      <c r="B101" t="str">
        <f>VLOOKUP(Table_Capacity_Community_frontsheet[[#This Row],[Service Area]],PathwayLookup!E:F,2,0)</f>
        <v>Urgent Community Response</v>
      </c>
      <c r="C101" t="s">
        <v>93</v>
      </c>
      <c r="D101" t="s">
        <v>705</v>
      </c>
      <c r="E101">
        <v>265</v>
      </c>
      <c r="F101">
        <v>265</v>
      </c>
      <c r="G101">
        <v>265</v>
      </c>
      <c r="H101">
        <v>265</v>
      </c>
      <c r="I101">
        <v>265</v>
      </c>
      <c r="J101">
        <v>265</v>
      </c>
      <c r="K101">
        <v>265</v>
      </c>
      <c r="L101">
        <v>265</v>
      </c>
      <c r="M101">
        <v>265</v>
      </c>
      <c r="N101">
        <v>265</v>
      </c>
      <c r="O101">
        <v>265</v>
      </c>
      <c r="P101">
        <v>265</v>
      </c>
      <c r="V101"/>
      <c r="W101"/>
      <c r="X101"/>
    </row>
    <row r="102" spans="1:24" x14ac:dyDescent="0.3">
      <c r="A102" t="str">
        <f>Table_Capacity_Community_frontsheet[[#This Row],[Name]]&amp;B102</f>
        <v>Brighton and HoveReablement &amp; Rehabilitation at home</v>
      </c>
      <c r="B102" t="str">
        <f>VLOOKUP(Table_Capacity_Community_frontsheet[[#This Row],[Service Area]],PathwayLookup!E:F,2,0)</f>
        <v>Reablement &amp; Rehabilitation at home</v>
      </c>
      <c r="C102" t="s">
        <v>93</v>
      </c>
      <c r="D102" t="s">
        <v>727</v>
      </c>
      <c r="E102">
        <v>0</v>
      </c>
      <c r="F102">
        <v>0</v>
      </c>
      <c r="G102">
        <v>0</v>
      </c>
      <c r="H102">
        <v>0</v>
      </c>
      <c r="I102">
        <v>0</v>
      </c>
      <c r="J102">
        <v>0</v>
      </c>
      <c r="K102">
        <v>0</v>
      </c>
      <c r="L102">
        <v>0</v>
      </c>
      <c r="M102">
        <v>0</v>
      </c>
      <c r="N102">
        <v>0</v>
      </c>
      <c r="O102">
        <v>0</v>
      </c>
      <c r="P102">
        <v>0</v>
      </c>
      <c r="V102"/>
      <c r="W102"/>
      <c r="X102"/>
    </row>
    <row r="103" spans="1:24" x14ac:dyDescent="0.3">
      <c r="A103" t="str">
        <f>Table_Capacity_Community_frontsheet[[#This Row],[Name]]&amp;B103</f>
        <v>Brighton and HoveReablement &amp; Rehabilitation at home</v>
      </c>
      <c r="B103" t="str">
        <f>VLOOKUP(Table_Capacity_Community_frontsheet[[#This Row],[Service Area]],PathwayLookup!E:F,2,0)</f>
        <v>Reablement &amp; Rehabilitation at home</v>
      </c>
      <c r="C103" t="s">
        <v>93</v>
      </c>
      <c r="D103" t="s">
        <v>729</v>
      </c>
      <c r="E103">
        <v>181</v>
      </c>
      <c r="F103">
        <v>181</v>
      </c>
      <c r="G103">
        <v>181</v>
      </c>
      <c r="H103">
        <v>181</v>
      </c>
      <c r="I103">
        <v>181</v>
      </c>
      <c r="J103">
        <v>181</v>
      </c>
      <c r="K103">
        <v>181</v>
      </c>
      <c r="L103">
        <v>181</v>
      </c>
      <c r="M103">
        <v>181</v>
      </c>
      <c r="N103">
        <v>181</v>
      </c>
      <c r="O103">
        <v>181</v>
      </c>
      <c r="P103">
        <v>181</v>
      </c>
      <c r="V103"/>
      <c r="W103"/>
      <c r="X103"/>
    </row>
    <row r="104" spans="1:24" x14ac:dyDescent="0.3">
      <c r="A104" t="str">
        <f>Table_Capacity_Community_frontsheet[[#This Row],[Name]]&amp;B104</f>
        <v>Brighton and HoveReablement &amp; Rehabilitation in a bedded setting</v>
      </c>
      <c r="B104" t="str">
        <f>VLOOKUP(Table_Capacity_Community_frontsheet[[#This Row],[Service Area]],PathwayLookup!E:F,2,0)</f>
        <v>Reablement &amp; Rehabilitation in a bedded setting</v>
      </c>
      <c r="C104" t="s">
        <v>93</v>
      </c>
      <c r="D104" t="s">
        <v>723</v>
      </c>
      <c r="E104">
        <v>0</v>
      </c>
      <c r="F104">
        <v>0</v>
      </c>
      <c r="G104">
        <v>0</v>
      </c>
      <c r="H104">
        <v>0</v>
      </c>
      <c r="I104">
        <v>0</v>
      </c>
      <c r="J104">
        <v>0</v>
      </c>
      <c r="K104">
        <v>0</v>
      </c>
      <c r="L104">
        <v>0</v>
      </c>
      <c r="M104">
        <v>0</v>
      </c>
      <c r="N104">
        <v>0</v>
      </c>
      <c r="O104">
        <v>0</v>
      </c>
      <c r="P104">
        <v>0</v>
      </c>
      <c r="V104"/>
      <c r="W104"/>
      <c r="X104"/>
    </row>
    <row r="105" spans="1:24" x14ac:dyDescent="0.3">
      <c r="A105" t="str">
        <f>Table_Capacity_Community_frontsheet[[#This Row],[Name]]&amp;B105</f>
        <v>Brighton and HoveReablement &amp; Rehabilitation in a bedded setting</v>
      </c>
      <c r="B105" t="str">
        <f>VLOOKUP(Table_Capacity_Community_frontsheet[[#This Row],[Service Area]],PathwayLookup!E:F,2,0)</f>
        <v>Reablement &amp; Rehabilitation in a bedded setting</v>
      </c>
      <c r="C105" t="s">
        <v>93</v>
      </c>
      <c r="D105" t="s">
        <v>725</v>
      </c>
      <c r="E105">
        <v>0</v>
      </c>
      <c r="F105">
        <v>0</v>
      </c>
      <c r="G105">
        <v>0</v>
      </c>
      <c r="H105">
        <v>0</v>
      </c>
      <c r="I105">
        <v>0</v>
      </c>
      <c r="J105">
        <v>0</v>
      </c>
      <c r="K105">
        <v>0</v>
      </c>
      <c r="L105">
        <v>0</v>
      </c>
      <c r="M105">
        <v>0</v>
      </c>
      <c r="N105">
        <v>0</v>
      </c>
      <c r="O105">
        <v>0</v>
      </c>
      <c r="P105">
        <v>0</v>
      </c>
      <c r="V105"/>
      <c r="W105"/>
      <c r="X105"/>
    </row>
    <row r="106" spans="1:24" x14ac:dyDescent="0.3">
      <c r="A106" t="str">
        <f>Table_Capacity_Community_frontsheet[[#This Row],[Name]]&amp;B106</f>
        <v>Brighton and HoveOther short-term social care</v>
      </c>
      <c r="B106" t="str">
        <f>VLOOKUP(Table_Capacity_Community_frontsheet[[#This Row],[Service Area]],PathwayLookup!E:F,2,0)</f>
        <v>Other short-term social care</v>
      </c>
      <c r="C106" t="s">
        <v>93</v>
      </c>
      <c r="D106" t="s">
        <v>708</v>
      </c>
      <c r="E106">
        <v>0</v>
      </c>
      <c r="F106">
        <v>0</v>
      </c>
      <c r="G106">
        <v>0</v>
      </c>
      <c r="H106">
        <v>0</v>
      </c>
      <c r="I106">
        <v>0</v>
      </c>
      <c r="J106">
        <v>0</v>
      </c>
      <c r="K106">
        <v>0</v>
      </c>
      <c r="L106">
        <v>0</v>
      </c>
      <c r="M106">
        <v>0</v>
      </c>
      <c r="N106">
        <v>0</v>
      </c>
      <c r="O106">
        <v>0</v>
      </c>
      <c r="P106">
        <v>0</v>
      </c>
      <c r="V106"/>
      <c r="W106"/>
      <c r="X106"/>
    </row>
    <row r="107" spans="1:24" x14ac:dyDescent="0.3">
      <c r="A107" t="str">
        <f>Table_Capacity_Community_frontsheet[[#This Row],[Name]]&amp;B107</f>
        <v>Bristol, City ofSocial support (including VCS)</v>
      </c>
      <c r="B107" t="str">
        <f>VLOOKUP(Table_Capacity_Community_frontsheet[[#This Row],[Service Area]],PathwayLookup!E:F,2,0)</f>
        <v>Social support (including VCS)</v>
      </c>
      <c r="C107" t="s">
        <v>95</v>
      </c>
      <c r="D107" t="s">
        <v>704</v>
      </c>
      <c r="E107">
        <v>16</v>
      </c>
      <c r="F107">
        <v>16</v>
      </c>
      <c r="G107">
        <v>16</v>
      </c>
      <c r="H107">
        <v>16</v>
      </c>
      <c r="I107">
        <v>16</v>
      </c>
      <c r="J107">
        <v>16</v>
      </c>
      <c r="K107">
        <v>16</v>
      </c>
      <c r="L107">
        <v>16</v>
      </c>
      <c r="M107">
        <v>16</v>
      </c>
      <c r="N107">
        <v>16</v>
      </c>
      <c r="O107">
        <v>16</v>
      </c>
      <c r="P107">
        <v>16</v>
      </c>
      <c r="S107">
        <v>1</v>
      </c>
      <c r="V107"/>
      <c r="W107"/>
      <c r="X107"/>
    </row>
    <row r="108" spans="1:24" x14ac:dyDescent="0.3">
      <c r="A108" t="str">
        <f>Table_Capacity_Community_frontsheet[[#This Row],[Name]]&amp;B108</f>
        <v>Bristol, City ofUrgent Community Response</v>
      </c>
      <c r="B108" t="str">
        <f>VLOOKUP(Table_Capacity_Community_frontsheet[[#This Row],[Service Area]],PathwayLookup!E:F,2,0)</f>
        <v>Urgent Community Response</v>
      </c>
      <c r="C108" t="s">
        <v>95</v>
      </c>
      <c r="D108" t="s">
        <v>705</v>
      </c>
      <c r="E108">
        <v>538</v>
      </c>
      <c r="F108">
        <v>549</v>
      </c>
      <c r="G108">
        <v>537</v>
      </c>
      <c r="H108">
        <v>549</v>
      </c>
      <c r="I108">
        <v>549</v>
      </c>
      <c r="J108">
        <v>537</v>
      </c>
      <c r="K108">
        <v>560</v>
      </c>
      <c r="L108">
        <v>549</v>
      </c>
      <c r="M108">
        <v>561</v>
      </c>
      <c r="N108">
        <v>573</v>
      </c>
      <c r="O108">
        <v>550</v>
      </c>
      <c r="P108">
        <v>572</v>
      </c>
      <c r="S108">
        <v>1</v>
      </c>
      <c r="V108"/>
      <c r="W108"/>
      <c r="X108"/>
    </row>
    <row r="109" spans="1:24" x14ac:dyDescent="0.3">
      <c r="A109" t="str">
        <f>Table_Capacity_Community_frontsheet[[#This Row],[Name]]&amp;B109</f>
        <v>Bristol, City ofReablement &amp; Rehabilitation at home</v>
      </c>
      <c r="B109" t="str">
        <f>VLOOKUP(Table_Capacity_Community_frontsheet[[#This Row],[Service Area]],PathwayLookup!E:F,2,0)</f>
        <v>Reablement &amp; Rehabilitation at home</v>
      </c>
      <c r="C109" t="s">
        <v>95</v>
      </c>
      <c r="D109" t="s">
        <v>727</v>
      </c>
      <c r="E109">
        <v>38</v>
      </c>
      <c r="F109">
        <v>36</v>
      </c>
      <c r="G109">
        <v>33</v>
      </c>
      <c r="H109">
        <v>34</v>
      </c>
      <c r="I109">
        <v>33</v>
      </c>
      <c r="J109">
        <v>34</v>
      </c>
      <c r="K109">
        <v>33</v>
      </c>
      <c r="L109">
        <v>35</v>
      </c>
      <c r="M109">
        <v>35</v>
      </c>
      <c r="N109">
        <v>36</v>
      </c>
      <c r="O109">
        <v>35</v>
      </c>
      <c r="P109">
        <v>33</v>
      </c>
      <c r="R109">
        <v>1</v>
      </c>
      <c r="V109"/>
      <c r="W109"/>
      <c r="X109"/>
    </row>
    <row r="110" spans="1:24" x14ac:dyDescent="0.3">
      <c r="A110" t="str">
        <f>Table_Capacity_Community_frontsheet[[#This Row],[Name]]&amp;B110</f>
        <v>Bristol, City ofReablement &amp; Rehabilitation at home</v>
      </c>
      <c r="B110" t="str">
        <f>VLOOKUP(Table_Capacity_Community_frontsheet[[#This Row],[Service Area]],PathwayLookup!E:F,2,0)</f>
        <v>Reablement &amp; Rehabilitation at home</v>
      </c>
      <c r="C110" t="s">
        <v>95</v>
      </c>
      <c r="D110" t="s">
        <v>729</v>
      </c>
      <c r="V110"/>
      <c r="W110"/>
      <c r="X110"/>
    </row>
    <row r="111" spans="1:24" x14ac:dyDescent="0.3">
      <c r="A111" t="str">
        <f>Table_Capacity_Community_frontsheet[[#This Row],[Name]]&amp;B111</f>
        <v>Bristol, City ofReablement &amp; Rehabilitation in a bedded setting</v>
      </c>
      <c r="B111" t="str">
        <f>VLOOKUP(Table_Capacity_Community_frontsheet[[#This Row],[Service Area]],PathwayLookup!E:F,2,0)</f>
        <v>Reablement &amp; Rehabilitation in a bedded setting</v>
      </c>
      <c r="C111" t="s">
        <v>95</v>
      </c>
      <c r="D111" t="s">
        <v>723</v>
      </c>
      <c r="V111"/>
      <c r="W111"/>
      <c r="X111"/>
    </row>
    <row r="112" spans="1:24" x14ac:dyDescent="0.3">
      <c r="A112" t="str">
        <f>Table_Capacity_Community_frontsheet[[#This Row],[Name]]&amp;B112</f>
        <v>Bristol, City ofReablement &amp; Rehabilitation in a bedded setting</v>
      </c>
      <c r="B112" t="str">
        <f>VLOOKUP(Table_Capacity_Community_frontsheet[[#This Row],[Service Area]],PathwayLookup!E:F,2,0)</f>
        <v>Reablement &amp; Rehabilitation in a bedded setting</v>
      </c>
      <c r="C112" t="s">
        <v>95</v>
      </c>
      <c r="D112" t="s">
        <v>725</v>
      </c>
      <c r="V112"/>
      <c r="W112"/>
      <c r="X112"/>
    </row>
    <row r="113" spans="1:24" x14ac:dyDescent="0.3">
      <c r="A113" t="str">
        <f>Table_Capacity_Community_frontsheet[[#This Row],[Name]]&amp;B113</f>
        <v>Bristol, City ofOther short-term social care</v>
      </c>
      <c r="B113" t="str">
        <f>VLOOKUP(Table_Capacity_Community_frontsheet[[#This Row],[Service Area]],PathwayLookup!E:F,2,0)</f>
        <v>Other short-term social care</v>
      </c>
      <c r="C113" t="s">
        <v>95</v>
      </c>
      <c r="D113" t="s">
        <v>708</v>
      </c>
      <c r="V113"/>
      <c r="W113"/>
      <c r="X113"/>
    </row>
    <row r="114" spans="1:24" x14ac:dyDescent="0.3">
      <c r="A114" t="str">
        <f>Table_Capacity_Community_frontsheet[[#This Row],[Name]]&amp;B114</f>
        <v>BromleySocial support (including VCS)</v>
      </c>
      <c r="B114" t="str">
        <f>VLOOKUP(Table_Capacity_Community_frontsheet[[#This Row],[Service Area]],PathwayLookup!E:F,2,0)</f>
        <v>Social support (including VCS)</v>
      </c>
      <c r="C114" t="s">
        <v>97</v>
      </c>
      <c r="D114" t="s">
        <v>704</v>
      </c>
      <c r="E114">
        <v>833</v>
      </c>
      <c r="F114">
        <v>833</v>
      </c>
      <c r="G114">
        <v>833</v>
      </c>
      <c r="H114">
        <v>833</v>
      </c>
      <c r="I114">
        <v>833</v>
      </c>
      <c r="J114">
        <v>833</v>
      </c>
      <c r="K114">
        <v>833</v>
      </c>
      <c r="L114">
        <v>833</v>
      </c>
      <c r="M114">
        <v>833</v>
      </c>
      <c r="N114">
        <v>833</v>
      </c>
      <c r="O114">
        <v>833</v>
      </c>
      <c r="P114">
        <v>833</v>
      </c>
      <c r="Q114">
        <v>0.11</v>
      </c>
      <c r="R114">
        <v>0.36</v>
      </c>
      <c r="S114">
        <v>0.52</v>
      </c>
      <c r="V114"/>
      <c r="W114"/>
      <c r="X114"/>
    </row>
    <row r="115" spans="1:24" x14ac:dyDescent="0.3">
      <c r="A115" t="str">
        <f>Table_Capacity_Community_frontsheet[[#This Row],[Name]]&amp;B115</f>
        <v>BromleyUrgent Community Response</v>
      </c>
      <c r="B115" t="str">
        <f>VLOOKUP(Table_Capacity_Community_frontsheet[[#This Row],[Service Area]],PathwayLookup!E:F,2,0)</f>
        <v>Urgent Community Response</v>
      </c>
      <c r="C115" t="s">
        <v>97</v>
      </c>
      <c r="D115" t="s">
        <v>705</v>
      </c>
      <c r="E115">
        <v>862</v>
      </c>
      <c r="F115">
        <v>862</v>
      </c>
      <c r="G115">
        <v>862</v>
      </c>
      <c r="H115">
        <v>862</v>
      </c>
      <c r="I115">
        <v>862</v>
      </c>
      <c r="J115">
        <v>862</v>
      </c>
      <c r="K115">
        <v>862</v>
      </c>
      <c r="L115">
        <v>862</v>
      </c>
      <c r="M115">
        <v>862</v>
      </c>
      <c r="N115">
        <v>862</v>
      </c>
      <c r="O115">
        <v>862</v>
      </c>
      <c r="P115">
        <v>862</v>
      </c>
      <c r="Q115">
        <v>1</v>
      </c>
      <c r="V115"/>
      <c r="W115"/>
      <c r="X115"/>
    </row>
    <row r="116" spans="1:24" x14ac:dyDescent="0.3">
      <c r="A116" t="str">
        <f>Table_Capacity_Community_frontsheet[[#This Row],[Name]]&amp;B116</f>
        <v>BromleyReablement &amp; Rehabilitation at home</v>
      </c>
      <c r="B116" t="str">
        <f>VLOOKUP(Table_Capacity_Community_frontsheet[[#This Row],[Service Area]],PathwayLookup!E:F,2,0)</f>
        <v>Reablement &amp; Rehabilitation at home</v>
      </c>
      <c r="C116" t="s">
        <v>97</v>
      </c>
      <c r="D116" t="s">
        <v>727</v>
      </c>
      <c r="E116">
        <v>45</v>
      </c>
      <c r="F116">
        <v>45</v>
      </c>
      <c r="G116">
        <v>45</v>
      </c>
      <c r="H116">
        <v>45</v>
      </c>
      <c r="I116">
        <v>45</v>
      </c>
      <c r="J116">
        <v>45</v>
      </c>
      <c r="K116">
        <v>45</v>
      </c>
      <c r="L116">
        <v>45</v>
      </c>
      <c r="M116">
        <v>45</v>
      </c>
      <c r="N116">
        <v>45</v>
      </c>
      <c r="O116">
        <v>45</v>
      </c>
      <c r="P116">
        <v>45</v>
      </c>
      <c r="R116">
        <v>1</v>
      </c>
      <c r="V116"/>
      <c r="W116"/>
      <c r="X116"/>
    </row>
    <row r="117" spans="1:24" x14ac:dyDescent="0.3">
      <c r="A117" t="str">
        <f>Table_Capacity_Community_frontsheet[[#This Row],[Name]]&amp;B117</f>
        <v>BromleyReablement &amp; Rehabilitation at home</v>
      </c>
      <c r="B117" t="str">
        <f>VLOOKUP(Table_Capacity_Community_frontsheet[[#This Row],[Service Area]],PathwayLookup!E:F,2,0)</f>
        <v>Reablement &amp; Rehabilitation at home</v>
      </c>
      <c r="C117" t="s">
        <v>97</v>
      </c>
      <c r="D117" t="s">
        <v>729</v>
      </c>
      <c r="E117">
        <v>112</v>
      </c>
      <c r="F117">
        <v>112</v>
      </c>
      <c r="G117">
        <v>112</v>
      </c>
      <c r="H117">
        <v>112</v>
      </c>
      <c r="I117">
        <v>112</v>
      </c>
      <c r="J117">
        <v>112</v>
      </c>
      <c r="K117">
        <v>112</v>
      </c>
      <c r="L117">
        <v>112</v>
      </c>
      <c r="M117">
        <v>112</v>
      </c>
      <c r="N117">
        <v>112</v>
      </c>
      <c r="O117">
        <v>112</v>
      </c>
      <c r="P117">
        <v>112</v>
      </c>
      <c r="Q117">
        <v>1</v>
      </c>
      <c r="V117"/>
      <c r="W117"/>
      <c r="X117"/>
    </row>
    <row r="118" spans="1:24" x14ac:dyDescent="0.3">
      <c r="A118" t="str">
        <f>Table_Capacity_Community_frontsheet[[#This Row],[Name]]&amp;B118</f>
        <v>BromleyOther short-term social care</v>
      </c>
      <c r="B118" t="str">
        <f>VLOOKUP(Table_Capacity_Community_frontsheet[[#This Row],[Service Area]],PathwayLookup!E:F,2,0)</f>
        <v>Other short-term social care</v>
      </c>
      <c r="C118" t="s">
        <v>97</v>
      </c>
      <c r="D118" t="s">
        <v>708</v>
      </c>
      <c r="E118">
        <v>0</v>
      </c>
      <c r="F118">
        <v>0</v>
      </c>
      <c r="G118">
        <v>0</v>
      </c>
      <c r="H118">
        <v>0</v>
      </c>
      <c r="I118">
        <v>0</v>
      </c>
      <c r="J118">
        <v>0</v>
      </c>
      <c r="K118">
        <v>0</v>
      </c>
      <c r="L118">
        <v>0</v>
      </c>
      <c r="M118">
        <v>0</v>
      </c>
      <c r="N118">
        <v>0</v>
      </c>
      <c r="O118">
        <v>0</v>
      </c>
      <c r="P118">
        <v>0</v>
      </c>
      <c r="V118"/>
      <c r="W118"/>
      <c r="X118"/>
    </row>
    <row r="119" spans="1:24" x14ac:dyDescent="0.3">
      <c r="A119" t="str">
        <f>Table_Capacity_Community_frontsheet[[#This Row],[Name]]&amp;B119</f>
        <v>BromleyReablement &amp; Rehabilitation in a bedded setting</v>
      </c>
      <c r="B119" t="str">
        <f>VLOOKUP(Table_Capacity_Community_frontsheet[[#This Row],[Service Area]],PathwayLookup!E:F,2,0)</f>
        <v>Reablement &amp; Rehabilitation in a bedded setting</v>
      </c>
      <c r="C119" t="s">
        <v>97</v>
      </c>
      <c r="D119" t="s">
        <v>723</v>
      </c>
      <c r="E119">
        <v>0</v>
      </c>
      <c r="F119">
        <v>0</v>
      </c>
      <c r="G119">
        <v>0</v>
      </c>
      <c r="H119">
        <v>0</v>
      </c>
      <c r="I119">
        <v>0</v>
      </c>
      <c r="J119">
        <v>0</v>
      </c>
      <c r="K119">
        <v>0</v>
      </c>
      <c r="L119">
        <v>0</v>
      </c>
      <c r="M119">
        <v>0</v>
      </c>
      <c r="N119">
        <v>0</v>
      </c>
      <c r="O119">
        <v>0</v>
      </c>
      <c r="P119">
        <v>0</v>
      </c>
      <c r="V119"/>
      <c r="W119"/>
      <c r="X119"/>
    </row>
    <row r="120" spans="1:24" x14ac:dyDescent="0.3">
      <c r="A120" t="str">
        <f>Table_Capacity_Community_frontsheet[[#This Row],[Name]]&amp;B120</f>
        <v>BromleyReablement &amp; Rehabilitation in a bedded setting</v>
      </c>
      <c r="B120" t="str">
        <f>VLOOKUP(Table_Capacity_Community_frontsheet[[#This Row],[Service Area]],PathwayLookup!E:F,2,0)</f>
        <v>Reablement &amp; Rehabilitation in a bedded setting</v>
      </c>
      <c r="C120" t="s">
        <v>97</v>
      </c>
      <c r="D120" t="s">
        <v>725</v>
      </c>
      <c r="E120">
        <v>4</v>
      </c>
      <c r="F120">
        <v>4</v>
      </c>
      <c r="G120">
        <v>4</v>
      </c>
      <c r="H120">
        <v>4</v>
      </c>
      <c r="I120">
        <v>4</v>
      </c>
      <c r="J120">
        <v>4</v>
      </c>
      <c r="K120">
        <v>4</v>
      </c>
      <c r="L120">
        <v>4</v>
      </c>
      <c r="M120">
        <v>4</v>
      </c>
      <c r="N120">
        <v>4</v>
      </c>
      <c r="O120">
        <v>4</v>
      </c>
      <c r="P120">
        <v>4</v>
      </c>
      <c r="Q120">
        <v>1</v>
      </c>
      <c r="V120"/>
      <c r="W120"/>
      <c r="X120"/>
    </row>
    <row r="121" spans="1:24" x14ac:dyDescent="0.3">
      <c r="A121" t="str">
        <f>Table_Capacity_Community_frontsheet[[#This Row],[Name]]&amp;B121</f>
        <v>BuckinghamshireSocial support (including VCS)</v>
      </c>
      <c r="B121" t="str">
        <f>VLOOKUP(Table_Capacity_Community_frontsheet[[#This Row],[Service Area]],PathwayLookup!E:F,2,0)</f>
        <v>Social support (including VCS)</v>
      </c>
      <c r="C121" t="s">
        <v>99</v>
      </c>
      <c r="D121" t="s">
        <v>704</v>
      </c>
      <c r="E121">
        <v>33</v>
      </c>
      <c r="F121">
        <v>34</v>
      </c>
      <c r="G121">
        <v>28</v>
      </c>
      <c r="H121">
        <v>37</v>
      </c>
      <c r="I121">
        <v>29</v>
      </c>
      <c r="J121">
        <v>26</v>
      </c>
      <c r="K121">
        <v>29</v>
      </c>
      <c r="L121">
        <v>49</v>
      </c>
      <c r="M121">
        <v>35</v>
      </c>
      <c r="N121">
        <v>41</v>
      </c>
      <c r="O121">
        <v>27</v>
      </c>
      <c r="P121">
        <v>34</v>
      </c>
      <c r="R121">
        <v>1</v>
      </c>
      <c r="V121"/>
      <c r="W121"/>
      <c r="X121"/>
    </row>
    <row r="122" spans="1:24" x14ac:dyDescent="0.3">
      <c r="A122" t="str">
        <f>Table_Capacity_Community_frontsheet[[#This Row],[Name]]&amp;B122</f>
        <v>BuckinghamshireUrgent Community Response</v>
      </c>
      <c r="B122" t="str">
        <f>VLOOKUP(Table_Capacity_Community_frontsheet[[#This Row],[Service Area]],PathwayLookup!E:F,2,0)</f>
        <v>Urgent Community Response</v>
      </c>
      <c r="C122" t="s">
        <v>99</v>
      </c>
      <c r="D122" t="s">
        <v>705</v>
      </c>
      <c r="E122">
        <v>581</v>
      </c>
      <c r="F122">
        <v>581</v>
      </c>
      <c r="G122">
        <v>581</v>
      </c>
      <c r="H122">
        <v>581</v>
      </c>
      <c r="I122">
        <v>581</v>
      </c>
      <c r="J122">
        <v>581</v>
      </c>
      <c r="K122">
        <v>581</v>
      </c>
      <c r="L122">
        <v>581</v>
      </c>
      <c r="M122">
        <v>581</v>
      </c>
      <c r="N122">
        <v>581</v>
      </c>
      <c r="O122">
        <v>581</v>
      </c>
      <c r="P122">
        <v>581</v>
      </c>
      <c r="Q122">
        <v>1</v>
      </c>
      <c r="V122"/>
      <c r="W122"/>
      <c r="X122"/>
    </row>
    <row r="123" spans="1:24" x14ac:dyDescent="0.3">
      <c r="A123" t="str">
        <f>Table_Capacity_Community_frontsheet[[#This Row],[Name]]&amp;B123</f>
        <v>BuckinghamshireReablement &amp; Rehabilitation at home</v>
      </c>
      <c r="B123" t="str">
        <f>VLOOKUP(Table_Capacity_Community_frontsheet[[#This Row],[Service Area]],PathwayLookup!E:F,2,0)</f>
        <v>Reablement &amp; Rehabilitation at home</v>
      </c>
      <c r="C123" t="s">
        <v>99</v>
      </c>
      <c r="D123" t="s">
        <v>727</v>
      </c>
      <c r="E123">
        <v>40</v>
      </c>
      <c r="F123">
        <v>40</v>
      </c>
      <c r="G123">
        <v>40</v>
      </c>
      <c r="H123">
        <v>40</v>
      </c>
      <c r="I123">
        <v>40</v>
      </c>
      <c r="J123">
        <v>40</v>
      </c>
      <c r="K123">
        <v>40</v>
      </c>
      <c r="L123">
        <v>60</v>
      </c>
      <c r="M123">
        <v>60</v>
      </c>
      <c r="N123">
        <v>60</v>
      </c>
      <c r="O123">
        <v>60</v>
      </c>
      <c r="P123">
        <v>60</v>
      </c>
      <c r="R123">
        <v>1</v>
      </c>
      <c r="V123"/>
      <c r="W123"/>
      <c r="X123"/>
    </row>
    <row r="124" spans="1:24" x14ac:dyDescent="0.3">
      <c r="A124" t="str">
        <f>Table_Capacity_Community_frontsheet[[#This Row],[Name]]&amp;B124</f>
        <v>BuckinghamshireReablement &amp; Rehabilitation at home</v>
      </c>
      <c r="B124" t="str">
        <f>VLOOKUP(Table_Capacity_Community_frontsheet[[#This Row],[Service Area]],PathwayLookup!E:F,2,0)</f>
        <v>Reablement &amp; Rehabilitation at home</v>
      </c>
      <c r="C124" t="s">
        <v>99</v>
      </c>
      <c r="D124" t="s">
        <v>729</v>
      </c>
      <c r="E124">
        <v>100</v>
      </c>
      <c r="F124">
        <v>100</v>
      </c>
      <c r="G124">
        <v>100</v>
      </c>
      <c r="H124">
        <v>100</v>
      </c>
      <c r="I124">
        <v>100</v>
      </c>
      <c r="J124">
        <v>100</v>
      </c>
      <c r="K124">
        <v>100</v>
      </c>
      <c r="L124">
        <v>100</v>
      </c>
      <c r="M124">
        <v>100</v>
      </c>
      <c r="N124">
        <v>100</v>
      </c>
      <c r="O124">
        <v>100</v>
      </c>
      <c r="P124">
        <v>100</v>
      </c>
      <c r="Q124">
        <v>1</v>
      </c>
      <c r="V124"/>
      <c r="W124"/>
      <c r="X124"/>
    </row>
    <row r="125" spans="1:24" x14ac:dyDescent="0.3">
      <c r="A125" t="str">
        <f>Table_Capacity_Community_frontsheet[[#This Row],[Name]]&amp;B125</f>
        <v>BuckinghamshireReablement &amp; Rehabilitation in a bedded setting</v>
      </c>
      <c r="B125" t="str">
        <f>VLOOKUP(Table_Capacity_Community_frontsheet[[#This Row],[Service Area]],PathwayLookup!E:F,2,0)</f>
        <v>Reablement &amp; Rehabilitation in a bedded setting</v>
      </c>
      <c r="C125" t="s">
        <v>99</v>
      </c>
      <c r="D125" t="s">
        <v>723</v>
      </c>
      <c r="E125">
        <v>10</v>
      </c>
      <c r="F125">
        <v>10</v>
      </c>
      <c r="G125">
        <v>10</v>
      </c>
      <c r="H125">
        <v>10</v>
      </c>
      <c r="I125">
        <v>10</v>
      </c>
      <c r="J125">
        <v>10</v>
      </c>
      <c r="K125">
        <v>10</v>
      </c>
      <c r="L125">
        <v>10</v>
      </c>
      <c r="M125">
        <v>10</v>
      </c>
      <c r="N125">
        <v>10</v>
      </c>
      <c r="O125">
        <v>10</v>
      </c>
      <c r="P125">
        <v>10</v>
      </c>
      <c r="S125">
        <v>1</v>
      </c>
      <c r="V125"/>
      <c r="W125"/>
      <c r="X125"/>
    </row>
    <row r="126" spans="1:24" x14ac:dyDescent="0.3">
      <c r="A126" t="str">
        <f>Table_Capacity_Community_frontsheet[[#This Row],[Name]]&amp;B126</f>
        <v>BuckinghamshireReablement &amp; Rehabilitation in a bedded setting</v>
      </c>
      <c r="B126" t="str">
        <f>VLOOKUP(Table_Capacity_Community_frontsheet[[#This Row],[Service Area]],PathwayLookup!E:F,2,0)</f>
        <v>Reablement &amp; Rehabilitation in a bedded setting</v>
      </c>
      <c r="C126" t="s">
        <v>99</v>
      </c>
      <c r="D126" t="s">
        <v>725</v>
      </c>
      <c r="E126">
        <v>4</v>
      </c>
      <c r="F126">
        <v>4</v>
      </c>
      <c r="G126">
        <v>4</v>
      </c>
      <c r="H126">
        <v>4</v>
      </c>
      <c r="I126">
        <v>4</v>
      </c>
      <c r="J126">
        <v>4</v>
      </c>
      <c r="K126">
        <v>4</v>
      </c>
      <c r="L126">
        <v>4</v>
      </c>
      <c r="M126">
        <v>4</v>
      </c>
      <c r="N126">
        <v>4</v>
      </c>
      <c r="O126">
        <v>4</v>
      </c>
      <c r="P126">
        <v>4</v>
      </c>
      <c r="S126">
        <v>1</v>
      </c>
      <c r="V126"/>
      <c r="W126"/>
      <c r="X126"/>
    </row>
    <row r="127" spans="1:24" x14ac:dyDescent="0.3">
      <c r="A127" t="str">
        <f>Table_Capacity_Community_frontsheet[[#This Row],[Name]]&amp;B127</f>
        <v>BuckinghamshireOther short-term social care</v>
      </c>
      <c r="B127" t="str">
        <f>VLOOKUP(Table_Capacity_Community_frontsheet[[#This Row],[Service Area]],PathwayLookup!E:F,2,0)</f>
        <v>Other short-term social care</v>
      </c>
      <c r="C127" t="s">
        <v>99</v>
      </c>
      <c r="D127" t="s">
        <v>708</v>
      </c>
      <c r="E127">
        <v>0</v>
      </c>
      <c r="F127">
        <v>0</v>
      </c>
      <c r="G127">
        <v>0</v>
      </c>
      <c r="H127">
        <v>0</v>
      </c>
      <c r="I127">
        <v>0</v>
      </c>
      <c r="J127">
        <v>0</v>
      </c>
      <c r="K127">
        <v>0</v>
      </c>
      <c r="L127">
        <v>0</v>
      </c>
      <c r="M127">
        <v>0</v>
      </c>
      <c r="N127">
        <v>0</v>
      </c>
      <c r="O127">
        <v>0</v>
      </c>
      <c r="P127">
        <v>0</v>
      </c>
      <c r="S127">
        <v>1</v>
      </c>
      <c r="V127"/>
      <c r="W127"/>
      <c r="X127"/>
    </row>
    <row r="128" spans="1:24" x14ac:dyDescent="0.3">
      <c r="A128" t="str">
        <f>Table_Capacity_Community_frontsheet[[#This Row],[Name]]&amp;B128</f>
        <v>BurySocial support (including VCS)</v>
      </c>
      <c r="B128" t="str">
        <f>VLOOKUP(Table_Capacity_Community_frontsheet[[#This Row],[Service Area]],PathwayLookup!E:F,2,0)</f>
        <v>Social support (including VCS)</v>
      </c>
      <c r="C128" t="s">
        <v>101</v>
      </c>
      <c r="D128" t="s">
        <v>704</v>
      </c>
      <c r="E128">
        <v>3</v>
      </c>
      <c r="F128">
        <v>3</v>
      </c>
      <c r="G128">
        <v>4</v>
      </c>
      <c r="H128">
        <v>4</v>
      </c>
      <c r="I128">
        <v>5</v>
      </c>
      <c r="J128">
        <v>6</v>
      </c>
      <c r="K128">
        <v>5</v>
      </c>
      <c r="L128">
        <v>4</v>
      </c>
      <c r="M128">
        <v>7</v>
      </c>
      <c r="N128">
        <v>5</v>
      </c>
      <c r="O128">
        <v>5</v>
      </c>
      <c r="P128">
        <v>7</v>
      </c>
      <c r="V128"/>
      <c r="W128"/>
      <c r="X128"/>
    </row>
    <row r="129" spans="1:24" x14ac:dyDescent="0.3">
      <c r="A129" t="str">
        <f>Table_Capacity_Community_frontsheet[[#This Row],[Name]]&amp;B129</f>
        <v>BuryUrgent Community Response</v>
      </c>
      <c r="B129" t="str">
        <f>VLOOKUP(Table_Capacity_Community_frontsheet[[#This Row],[Service Area]],PathwayLookup!E:F,2,0)</f>
        <v>Urgent Community Response</v>
      </c>
      <c r="C129" t="s">
        <v>101</v>
      </c>
      <c r="D129" t="s">
        <v>705</v>
      </c>
      <c r="E129">
        <v>225</v>
      </c>
      <c r="F129">
        <v>225</v>
      </c>
      <c r="G129">
        <v>225</v>
      </c>
      <c r="H129">
        <v>225</v>
      </c>
      <c r="I129">
        <v>225</v>
      </c>
      <c r="J129">
        <v>225</v>
      </c>
      <c r="K129">
        <v>225</v>
      </c>
      <c r="L129">
        <v>225</v>
      </c>
      <c r="M129">
        <v>225</v>
      </c>
      <c r="N129">
        <v>225</v>
      </c>
      <c r="O129">
        <v>225</v>
      </c>
      <c r="P129">
        <v>225</v>
      </c>
      <c r="V129"/>
      <c r="W129"/>
      <c r="X129"/>
    </row>
    <row r="130" spans="1:24" x14ac:dyDescent="0.3">
      <c r="A130" t="str">
        <f>Table_Capacity_Community_frontsheet[[#This Row],[Name]]&amp;B130</f>
        <v>BuryReablement &amp; Rehabilitation at home</v>
      </c>
      <c r="B130" t="str">
        <f>VLOOKUP(Table_Capacity_Community_frontsheet[[#This Row],[Service Area]],PathwayLookup!E:F,2,0)</f>
        <v>Reablement &amp; Rehabilitation at home</v>
      </c>
      <c r="C130" t="s">
        <v>101</v>
      </c>
      <c r="D130" t="s">
        <v>727</v>
      </c>
      <c r="E130">
        <v>42</v>
      </c>
      <c r="F130">
        <v>42</v>
      </c>
      <c r="G130">
        <v>42</v>
      </c>
      <c r="H130">
        <v>42</v>
      </c>
      <c r="I130">
        <v>42</v>
      </c>
      <c r="J130">
        <v>42</v>
      </c>
      <c r="K130">
        <v>42</v>
      </c>
      <c r="L130">
        <v>42</v>
      </c>
      <c r="M130">
        <v>42</v>
      </c>
      <c r="N130">
        <v>42</v>
      </c>
      <c r="O130">
        <v>42</v>
      </c>
      <c r="P130">
        <v>42</v>
      </c>
      <c r="V130"/>
      <c r="W130"/>
      <c r="X130"/>
    </row>
    <row r="131" spans="1:24" x14ac:dyDescent="0.3">
      <c r="A131" t="str">
        <f>Table_Capacity_Community_frontsheet[[#This Row],[Name]]&amp;B131</f>
        <v>BuryReablement &amp; Rehabilitation at home</v>
      </c>
      <c r="B131" t="str">
        <f>VLOOKUP(Table_Capacity_Community_frontsheet[[#This Row],[Service Area]],PathwayLookup!E:F,2,0)</f>
        <v>Reablement &amp; Rehabilitation at home</v>
      </c>
      <c r="C131" t="s">
        <v>101</v>
      </c>
      <c r="D131" t="s">
        <v>729</v>
      </c>
      <c r="E131">
        <v>33</v>
      </c>
      <c r="F131">
        <v>33</v>
      </c>
      <c r="G131">
        <v>33</v>
      </c>
      <c r="H131">
        <v>47</v>
      </c>
      <c r="I131">
        <v>47</v>
      </c>
      <c r="J131">
        <v>47</v>
      </c>
      <c r="K131">
        <v>47</v>
      </c>
      <c r="L131">
        <v>47</v>
      </c>
      <c r="M131">
        <v>47</v>
      </c>
      <c r="N131">
        <v>47</v>
      </c>
      <c r="O131">
        <v>47</v>
      </c>
      <c r="P131">
        <v>47</v>
      </c>
      <c r="V131"/>
      <c r="W131"/>
      <c r="X131"/>
    </row>
    <row r="132" spans="1:24" x14ac:dyDescent="0.3">
      <c r="A132" t="str">
        <f>Table_Capacity_Community_frontsheet[[#This Row],[Name]]&amp;B132</f>
        <v>BuryReablement &amp; Rehabilitation in a bedded setting</v>
      </c>
      <c r="B132" t="str">
        <f>VLOOKUP(Table_Capacity_Community_frontsheet[[#This Row],[Service Area]],PathwayLookup!E:F,2,0)</f>
        <v>Reablement &amp; Rehabilitation in a bedded setting</v>
      </c>
      <c r="C132" t="s">
        <v>101</v>
      </c>
      <c r="D132" t="s">
        <v>723</v>
      </c>
      <c r="E132">
        <v>12</v>
      </c>
      <c r="F132">
        <v>15</v>
      </c>
      <c r="G132">
        <v>15</v>
      </c>
      <c r="H132">
        <v>15</v>
      </c>
      <c r="I132">
        <v>15</v>
      </c>
      <c r="J132">
        <v>15</v>
      </c>
      <c r="K132">
        <v>15</v>
      </c>
      <c r="L132">
        <v>15</v>
      </c>
      <c r="M132">
        <v>15</v>
      </c>
      <c r="N132">
        <v>15</v>
      </c>
      <c r="O132">
        <v>15</v>
      </c>
      <c r="P132">
        <v>15</v>
      </c>
      <c r="V132"/>
      <c r="W132"/>
      <c r="X132"/>
    </row>
    <row r="133" spans="1:24" x14ac:dyDescent="0.3">
      <c r="A133" t="str">
        <f>Table_Capacity_Community_frontsheet[[#This Row],[Name]]&amp;B133</f>
        <v>BuryReablement &amp; Rehabilitation in a bedded setting</v>
      </c>
      <c r="B133" t="str">
        <f>VLOOKUP(Table_Capacity_Community_frontsheet[[#This Row],[Service Area]],PathwayLookup!E:F,2,0)</f>
        <v>Reablement &amp; Rehabilitation in a bedded setting</v>
      </c>
      <c r="C133" t="s">
        <v>101</v>
      </c>
      <c r="D133" t="s">
        <v>725</v>
      </c>
      <c r="E133">
        <v>12</v>
      </c>
      <c r="F133">
        <v>15</v>
      </c>
      <c r="G133">
        <v>15</v>
      </c>
      <c r="H133">
        <v>15</v>
      </c>
      <c r="I133">
        <v>15</v>
      </c>
      <c r="J133">
        <v>15</v>
      </c>
      <c r="K133">
        <v>15</v>
      </c>
      <c r="L133">
        <v>15</v>
      </c>
      <c r="M133">
        <v>15</v>
      </c>
      <c r="N133">
        <v>15</v>
      </c>
      <c r="O133">
        <v>15</v>
      </c>
      <c r="P133">
        <v>15</v>
      </c>
      <c r="V133"/>
      <c r="W133"/>
      <c r="X133"/>
    </row>
    <row r="134" spans="1:24" x14ac:dyDescent="0.3">
      <c r="A134" t="str">
        <f>Table_Capacity_Community_frontsheet[[#This Row],[Name]]&amp;B134</f>
        <v>BuryOther short-term social care</v>
      </c>
      <c r="B134" t="str">
        <f>VLOOKUP(Table_Capacity_Community_frontsheet[[#This Row],[Service Area]],PathwayLookup!E:F,2,0)</f>
        <v>Other short-term social care</v>
      </c>
      <c r="C134" t="s">
        <v>101</v>
      </c>
      <c r="D134" t="s">
        <v>708</v>
      </c>
      <c r="E134">
        <v>168</v>
      </c>
      <c r="F134">
        <v>239</v>
      </c>
      <c r="G134">
        <v>210</v>
      </c>
      <c r="H134">
        <v>236</v>
      </c>
      <c r="I134">
        <v>236</v>
      </c>
      <c r="J134">
        <v>306</v>
      </c>
      <c r="K134">
        <v>236</v>
      </c>
      <c r="L134">
        <v>236</v>
      </c>
      <c r="M134">
        <v>251</v>
      </c>
      <c r="N134">
        <v>192</v>
      </c>
      <c r="O134">
        <v>236</v>
      </c>
      <c r="P134">
        <v>236</v>
      </c>
      <c r="V134"/>
      <c r="W134"/>
      <c r="X134"/>
    </row>
    <row r="135" spans="1:24" x14ac:dyDescent="0.3">
      <c r="A135" t="str">
        <f>Table_Capacity_Community_frontsheet[[#This Row],[Name]]&amp;B135</f>
        <v>CalderdaleSocial support (including VCS)</v>
      </c>
      <c r="B135" t="str">
        <f>VLOOKUP(Table_Capacity_Community_frontsheet[[#This Row],[Service Area]],PathwayLookup!E:F,2,0)</f>
        <v>Social support (including VCS)</v>
      </c>
      <c r="C135" t="s">
        <v>103</v>
      </c>
      <c r="D135" t="s">
        <v>704</v>
      </c>
      <c r="E135">
        <v>84</v>
      </c>
      <c r="F135">
        <v>84</v>
      </c>
      <c r="G135">
        <v>85</v>
      </c>
      <c r="H135">
        <v>76</v>
      </c>
      <c r="I135">
        <v>77</v>
      </c>
      <c r="J135">
        <v>76</v>
      </c>
      <c r="K135">
        <v>75</v>
      </c>
      <c r="L135">
        <v>75</v>
      </c>
      <c r="M135">
        <v>73</v>
      </c>
      <c r="N135">
        <v>108</v>
      </c>
      <c r="O135">
        <v>109</v>
      </c>
      <c r="P135">
        <v>110</v>
      </c>
      <c r="Q135">
        <v>0.2</v>
      </c>
      <c r="R135">
        <v>0.8</v>
      </c>
      <c r="S135">
        <v>0</v>
      </c>
      <c r="V135"/>
      <c r="W135"/>
      <c r="X135"/>
    </row>
    <row r="136" spans="1:24" x14ac:dyDescent="0.3">
      <c r="A136" t="str">
        <f>Table_Capacity_Community_frontsheet[[#This Row],[Name]]&amp;B136</f>
        <v>CalderdaleUrgent Community Response</v>
      </c>
      <c r="B136" t="str">
        <f>VLOOKUP(Table_Capacity_Community_frontsheet[[#This Row],[Service Area]],PathwayLookup!E:F,2,0)</f>
        <v>Urgent Community Response</v>
      </c>
      <c r="C136" t="s">
        <v>103</v>
      </c>
      <c r="D136" t="s">
        <v>705</v>
      </c>
      <c r="E136">
        <v>350</v>
      </c>
      <c r="F136">
        <v>350</v>
      </c>
      <c r="G136">
        <v>350</v>
      </c>
      <c r="H136">
        <v>350</v>
      </c>
      <c r="I136">
        <v>350</v>
      </c>
      <c r="J136">
        <v>350</v>
      </c>
      <c r="K136">
        <v>350</v>
      </c>
      <c r="L136">
        <v>350</v>
      </c>
      <c r="M136">
        <v>350</v>
      </c>
      <c r="N136">
        <v>350</v>
      </c>
      <c r="O136">
        <v>350</v>
      </c>
      <c r="P136">
        <v>350</v>
      </c>
      <c r="Q136">
        <v>0</v>
      </c>
      <c r="R136">
        <v>0</v>
      </c>
      <c r="S136">
        <v>1</v>
      </c>
      <c r="V136"/>
      <c r="W136"/>
      <c r="X136"/>
    </row>
    <row r="137" spans="1:24" x14ac:dyDescent="0.3">
      <c r="A137" t="str">
        <f>Table_Capacity_Community_frontsheet[[#This Row],[Name]]&amp;B137</f>
        <v>CalderdaleReablement &amp; Rehabilitation at home</v>
      </c>
      <c r="B137" t="str">
        <f>VLOOKUP(Table_Capacity_Community_frontsheet[[#This Row],[Service Area]],PathwayLookup!E:F,2,0)</f>
        <v>Reablement &amp; Rehabilitation at home</v>
      </c>
      <c r="C137" t="s">
        <v>103</v>
      </c>
      <c r="D137" t="s">
        <v>727</v>
      </c>
      <c r="E137">
        <v>205</v>
      </c>
      <c r="F137">
        <v>205</v>
      </c>
      <c r="G137">
        <v>205</v>
      </c>
      <c r="H137">
        <v>205</v>
      </c>
      <c r="I137">
        <v>205</v>
      </c>
      <c r="J137">
        <v>205</v>
      </c>
      <c r="K137">
        <v>205</v>
      </c>
      <c r="L137">
        <v>205</v>
      </c>
      <c r="M137">
        <v>205</v>
      </c>
      <c r="N137">
        <v>205</v>
      </c>
      <c r="O137">
        <v>205</v>
      </c>
      <c r="P137">
        <v>205</v>
      </c>
      <c r="Q137">
        <v>0</v>
      </c>
      <c r="R137">
        <v>0</v>
      </c>
      <c r="S137">
        <v>1</v>
      </c>
      <c r="V137"/>
      <c r="W137"/>
      <c r="X137"/>
    </row>
    <row r="138" spans="1:24" x14ac:dyDescent="0.3">
      <c r="A138" t="str">
        <f>Table_Capacity_Community_frontsheet[[#This Row],[Name]]&amp;B138</f>
        <v>CalderdaleReablement &amp; Rehabilitation at home</v>
      </c>
      <c r="B138" t="str">
        <f>VLOOKUP(Table_Capacity_Community_frontsheet[[#This Row],[Service Area]],PathwayLookup!E:F,2,0)</f>
        <v>Reablement &amp; Rehabilitation at home</v>
      </c>
      <c r="C138" t="s">
        <v>103</v>
      </c>
      <c r="D138" t="s">
        <v>729</v>
      </c>
      <c r="E138">
        <v>440</v>
      </c>
      <c r="F138">
        <v>450</v>
      </c>
      <c r="G138">
        <v>440</v>
      </c>
      <c r="H138">
        <v>430</v>
      </c>
      <c r="I138">
        <v>440</v>
      </c>
      <c r="J138">
        <v>430</v>
      </c>
      <c r="K138">
        <v>430</v>
      </c>
      <c r="L138">
        <v>430</v>
      </c>
      <c r="M138">
        <v>430</v>
      </c>
      <c r="N138">
        <v>430</v>
      </c>
      <c r="O138">
        <v>440</v>
      </c>
      <c r="P138">
        <v>440</v>
      </c>
      <c r="Q138">
        <v>0</v>
      </c>
      <c r="R138">
        <v>0</v>
      </c>
      <c r="S138">
        <v>1</v>
      </c>
      <c r="V138"/>
      <c r="W138"/>
      <c r="X138"/>
    </row>
    <row r="139" spans="1:24" x14ac:dyDescent="0.3">
      <c r="A139" t="str">
        <f>Table_Capacity_Community_frontsheet[[#This Row],[Name]]&amp;B139</f>
        <v>CalderdaleReablement &amp; Rehabilitation in a bedded setting</v>
      </c>
      <c r="B139" t="str">
        <f>VLOOKUP(Table_Capacity_Community_frontsheet[[#This Row],[Service Area]],PathwayLookup!E:F,2,0)</f>
        <v>Reablement &amp; Rehabilitation in a bedded setting</v>
      </c>
      <c r="C139" t="s">
        <v>103</v>
      </c>
      <c r="D139" t="s">
        <v>723</v>
      </c>
      <c r="E139">
        <v>12</v>
      </c>
      <c r="F139">
        <v>12</v>
      </c>
      <c r="G139">
        <v>12</v>
      </c>
      <c r="H139">
        <v>12</v>
      </c>
      <c r="I139">
        <v>12</v>
      </c>
      <c r="J139">
        <v>12</v>
      </c>
      <c r="K139">
        <v>12</v>
      </c>
      <c r="L139">
        <v>12</v>
      </c>
      <c r="M139">
        <v>12</v>
      </c>
      <c r="N139">
        <v>12</v>
      </c>
      <c r="O139">
        <v>12</v>
      </c>
      <c r="P139">
        <v>12</v>
      </c>
      <c r="Q139">
        <v>0</v>
      </c>
      <c r="R139">
        <v>0</v>
      </c>
      <c r="S139">
        <v>1</v>
      </c>
      <c r="V139"/>
      <c r="W139"/>
      <c r="X139"/>
    </row>
    <row r="140" spans="1:24" x14ac:dyDescent="0.3">
      <c r="A140" t="str">
        <f>Table_Capacity_Community_frontsheet[[#This Row],[Name]]&amp;B140</f>
        <v>CalderdaleReablement &amp; Rehabilitation in a bedded setting</v>
      </c>
      <c r="B140" t="str">
        <f>VLOOKUP(Table_Capacity_Community_frontsheet[[#This Row],[Service Area]],PathwayLookup!E:F,2,0)</f>
        <v>Reablement &amp; Rehabilitation in a bedded setting</v>
      </c>
      <c r="C140" t="s">
        <v>103</v>
      </c>
      <c r="D140" t="s">
        <v>725</v>
      </c>
      <c r="E140">
        <v>38</v>
      </c>
      <c r="F140">
        <v>35</v>
      </c>
      <c r="G140">
        <v>24</v>
      </c>
      <c r="H140">
        <v>31</v>
      </c>
      <c r="I140">
        <v>29</v>
      </c>
      <c r="J140">
        <v>26</v>
      </c>
      <c r="K140">
        <v>36</v>
      </c>
      <c r="L140">
        <v>26</v>
      </c>
      <c r="M140">
        <v>28</v>
      </c>
      <c r="N140">
        <v>22</v>
      </c>
      <c r="O140">
        <v>35</v>
      </c>
      <c r="P140">
        <v>42</v>
      </c>
      <c r="Q140">
        <v>0</v>
      </c>
      <c r="R140">
        <v>0</v>
      </c>
      <c r="S140">
        <v>1</v>
      </c>
      <c r="V140"/>
      <c r="W140"/>
      <c r="X140"/>
    </row>
    <row r="141" spans="1:24" x14ac:dyDescent="0.3">
      <c r="A141" t="str">
        <f>Table_Capacity_Community_frontsheet[[#This Row],[Name]]&amp;B141</f>
        <v>CalderdaleOther short-term social care</v>
      </c>
      <c r="B141" t="str">
        <f>VLOOKUP(Table_Capacity_Community_frontsheet[[#This Row],[Service Area]],PathwayLookup!E:F,2,0)</f>
        <v>Other short-term social care</v>
      </c>
      <c r="C141" t="s">
        <v>103</v>
      </c>
      <c r="D141" t="s">
        <v>708</v>
      </c>
      <c r="E141">
        <v>0</v>
      </c>
      <c r="F141">
        <v>0</v>
      </c>
      <c r="G141">
        <v>0</v>
      </c>
      <c r="H141">
        <v>0</v>
      </c>
      <c r="I141">
        <v>0</v>
      </c>
      <c r="J141">
        <v>0</v>
      </c>
      <c r="K141">
        <v>0</v>
      </c>
      <c r="L141">
        <v>0</v>
      </c>
      <c r="M141">
        <v>0</v>
      </c>
      <c r="N141">
        <v>0</v>
      </c>
      <c r="O141">
        <v>0</v>
      </c>
      <c r="P141">
        <v>0</v>
      </c>
      <c r="Q141">
        <v>0</v>
      </c>
      <c r="R141">
        <v>0</v>
      </c>
      <c r="S141">
        <v>0</v>
      </c>
      <c r="V141"/>
      <c r="W141"/>
      <c r="X141"/>
    </row>
    <row r="142" spans="1:24" x14ac:dyDescent="0.3">
      <c r="A142" t="str">
        <f>Table_Capacity_Community_frontsheet[[#This Row],[Name]]&amp;B142</f>
        <v>CambridgeshireSocial support (including VCS)</v>
      </c>
      <c r="B142" t="str">
        <f>VLOOKUP(Table_Capacity_Community_frontsheet[[#This Row],[Service Area]],PathwayLookup!E:F,2,0)</f>
        <v>Social support (including VCS)</v>
      </c>
      <c r="C142" t="s">
        <v>105</v>
      </c>
      <c r="D142" t="s">
        <v>704</v>
      </c>
      <c r="E142">
        <v>0</v>
      </c>
      <c r="F142">
        <v>0</v>
      </c>
      <c r="G142">
        <v>0</v>
      </c>
      <c r="H142">
        <v>0</v>
      </c>
      <c r="I142">
        <v>0</v>
      </c>
      <c r="J142">
        <v>0</v>
      </c>
      <c r="K142">
        <v>0</v>
      </c>
      <c r="L142">
        <v>0</v>
      </c>
      <c r="M142">
        <v>0</v>
      </c>
      <c r="N142">
        <v>0</v>
      </c>
      <c r="O142">
        <v>0</v>
      </c>
      <c r="P142">
        <v>0</v>
      </c>
      <c r="Q142">
        <v>0</v>
      </c>
      <c r="R142">
        <v>0</v>
      </c>
      <c r="S142">
        <v>0</v>
      </c>
      <c r="V142"/>
      <c r="W142"/>
      <c r="X142"/>
    </row>
    <row r="143" spans="1:24" x14ac:dyDescent="0.3">
      <c r="A143" t="str">
        <f>Table_Capacity_Community_frontsheet[[#This Row],[Name]]&amp;B143</f>
        <v>CambridgeshireUrgent Community Response</v>
      </c>
      <c r="B143" t="str">
        <f>VLOOKUP(Table_Capacity_Community_frontsheet[[#This Row],[Service Area]],PathwayLookup!E:F,2,0)</f>
        <v>Urgent Community Response</v>
      </c>
      <c r="C143" t="s">
        <v>105</v>
      </c>
      <c r="D143" t="s">
        <v>705</v>
      </c>
      <c r="E143">
        <v>1043</v>
      </c>
      <c r="F143">
        <v>1057</v>
      </c>
      <c r="G143">
        <v>1138</v>
      </c>
      <c r="H143">
        <v>1110</v>
      </c>
      <c r="I143">
        <v>983</v>
      </c>
      <c r="J143">
        <v>990</v>
      </c>
      <c r="K143">
        <v>1052</v>
      </c>
      <c r="L143">
        <v>1079</v>
      </c>
      <c r="M143">
        <v>1088</v>
      </c>
      <c r="N143">
        <v>1055</v>
      </c>
      <c r="O143">
        <v>979</v>
      </c>
      <c r="P143">
        <v>1023</v>
      </c>
      <c r="Q143">
        <v>0.64</v>
      </c>
      <c r="R143">
        <v>0.36</v>
      </c>
      <c r="S143">
        <v>0</v>
      </c>
      <c r="V143"/>
      <c r="W143"/>
      <c r="X143"/>
    </row>
    <row r="144" spans="1:24" x14ac:dyDescent="0.3">
      <c r="A144" t="str">
        <f>Table_Capacity_Community_frontsheet[[#This Row],[Name]]&amp;B144</f>
        <v>CambridgeshireReablement &amp; Rehabilitation at home</v>
      </c>
      <c r="B144" t="str">
        <f>VLOOKUP(Table_Capacity_Community_frontsheet[[#This Row],[Service Area]],PathwayLookup!E:F,2,0)</f>
        <v>Reablement &amp; Rehabilitation at home</v>
      </c>
      <c r="C144" t="s">
        <v>105</v>
      </c>
      <c r="D144" t="s">
        <v>727</v>
      </c>
      <c r="E144">
        <v>115</v>
      </c>
      <c r="F144">
        <v>119</v>
      </c>
      <c r="G144">
        <v>115</v>
      </c>
      <c r="H144">
        <v>124</v>
      </c>
      <c r="I144">
        <v>127</v>
      </c>
      <c r="J144">
        <v>89</v>
      </c>
      <c r="K144">
        <v>118</v>
      </c>
      <c r="L144">
        <v>134</v>
      </c>
      <c r="M144">
        <v>104</v>
      </c>
      <c r="N144">
        <v>134</v>
      </c>
      <c r="O144">
        <v>123</v>
      </c>
      <c r="P144">
        <v>110</v>
      </c>
      <c r="Q144">
        <v>0</v>
      </c>
      <c r="R144">
        <v>1</v>
      </c>
      <c r="S144">
        <v>0</v>
      </c>
      <c r="V144"/>
      <c r="W144"/>
      <c r="X144"/>
    </row>
    <row r="145" spans="1:24" x14ac:dyDescent="0.3">
      <c r="A145" t="str">
        <f>Table_Capacity_Community_frontsheet[[#This Row],[Name]]&amp;B145</f>
        <v>CambridgeshireReablement &amp; Rehabilitation at home</v>
      </c>
      <c r="B145" t="str">
        <f>VLOOKUP(Table_Capacity_Community_frontsheet[[#This Row],[Service Area]],PathwayLookup!E:F,2,0)</f>
        <v>Reablement &amp; Rehabilitation at home</v>
      </c>
      <c r="C145" t="s">
        <v>105</v>
      </c>
      <c r="D145" t="s">
        <v>729</v>
      </c>
      <c r="E145">
        <v>557</v>
      </c>
      <c r="F145">
        <v>591</v>
      </c>
      <c r="G145">
        <v>596</v>
      </c>
      <c r="H145">
        <v>652</v>
      </c>
      <c r="I145">
        <v>629</v>
      </c>
      <c r="J145">
        <v>635</v>
      </c>
      <c r="K145">
        <v>688</v>
      </c>
      <c r="L145">
        <v>725</v>
      </c>
      <c r="M145">
        <v>769</v>
      </c>
      <c r="N145">
        <v>731</v>
      </c>
      <c r="O145">
        <v>691</v>
      </c>
      <c r="P145">
        <v>722</v>
      </c>
      <c r="Q145">
        <v>1</v>
      </c>
      <c r="R145">
        <v>0</v>
      </c>
      <c r="V145"/>
      <c r="W145"/>
      <c r="X145"/>
    </row>
    <row r="146" spans="1:24" x14ac:dyDescent="0.3">
      <c r="A146" t="str">
        <f>Table_Capacity_Community_frontsheet[[#This Row],[Name]]&amp;B146</f>
        <v>CambridgeshireReablement &amp; Rehabilitation in a bedded setting</v>
      </c>
      <c r="B146" t="str">
        <f>VLOOKUP(Table_Capacity_Community_frontsheet[[#This Row],[Service Area]],PathwayLookup!E:F,2,0)</f>
        <v>Reablement &amp; Rehabilitation in a bedded setting</v>
      </c>
      <c r="C146" t="s">
        <v>105</v>
      </c>
      <c r="D146" t="s">
        <v>723</v>
      </c>
      <c r="E146">
        <v>0</v>
      </c>
      <c r="F146">
        <v>0</v>
      </c>
      <c r="G146">
        <v>0</v>
      </c>
      <c r="H146">
        <v>0</v>
      </c>
      <c r="I146">
        <v>0</v>
      </c>
      <c r="J146">
        <v>0</v>
      </c>
      <c r="K146">
        <v>0</v>
      </c>
      <c r="L146">
        <v>0</v>
      </c>
      <c r="M146">
        <v>0</v>
      </c>
      <c r="N146">
        <v>0</v>
      </c>
      <c r="O146">
        <v>0</v>
      </c>
      <c r="P146">
        <v>0</v>
      </c>
      <c r="Q146">
        <v>0</v>
      </c>
      <c r="R146">
        <v>0</v>
      </c>
      <c r="S146">
        <v>0</v>
      </c>
      <c r="V146"/>
      <c r="W146"/>
      <c r="X146"/>
    </row>
    <row r="147" spans="1:24" x14ac:dyDescent="0.3">
      <c r="A147" t="str">
        <f>Table_Capacity_Community_frontsheet[[#This Row],[Name]]&amp;B147</f>
        <v>CambridgeshireReablement &amp; Rehabilitation in a bedded setting</v>
      </c>
      <c r="B147" t="str">
        <f>VLOOKUP(Table_Capacity_Community_frontsheet[[#This Row],[Service Area]],PathwayLookup!E:F,2,0)</f>
        <v>Reablement &amp; Rehabilitation in a bedded setting</v>
      </c>
      <c r="C147" t="s">
        <v>105</v>
      </c>
      <c r="D147" t="s">
        <v>725</v>
      </c>
      <c r="E147">
        <v>0</v>
      </c>
      <c r="F147">
        <v>0</v>
      </c>
      <c r="G147">
        <v>0</v>
      </c>
      <c r="H147">
        <v>0</v>
      </c>
      <c r="I147">
        <v>0</v>
      </c>
      <c r="J147">
        <v>0</v>
      </c>
      <c r="K147">
        <v>0</v>
      </c>
      <c r="L147">
        <v>0</v>
      </c>
      <c r="M147">
        <v>0</v>
      </c>
      <c r="N147">
        <v>0</v>
      </c>
      <c r="O147">
        <v>0</v>
      </c>
      <c r="P147">
        <v>0</v>
      </c>
      <c r="Q147">
        <v>1</v>
      </c>
      <c r="R147">
        <v>0</v>
      </c>
      <c r="S147">
        <v>0</v>
      </c>
      <c r="V147"/>
      <c r="W147"/>
      <c r="X147"/>
    </row>
    <row r="148" spans="1:24" x14ac:dyDescent="0.3">
      <c r="A148" t="str">
        <f>Table_Capacity_Community_frontsheet[[#This Row],[Name]]&amp;B148</f>
        <v>CambridgeshireOther short-term social care</v>
      </c>
      <c r="B148" t="str">
        <f>VLOOKUP(Table_Capacity_Community_frontsheet[[#This Row],[Service Area]],PathwayLookup!E:F,2,0)</f>
        <v>Other short-term social care</v>
      </c>
      <c r="C148" t="s">
        <v>105</v>
      </c>
      <c r="D148" t="s">
        <v>708</v>
      </c>
      <c r="E148">
        <v>1</v>
      </c>
      <c r="F148">
        <v>2</v>
      </c>
      <c r="G148">
        <v>2</v>
      </c>
      <c r="H148">
        <v>0</v>
      </c>
      <c r="I148">
        <v>2</v>
      </c>
      <c r="J148">
        <v>1</v>
      </c>
      <c r="K148">
        <v>3</v>
      </c>
      <c r="L148">
        <v>1</v>
      </c>
      <c r="M148">
        <v>1</v>
      </c>
      <c r="N148">
        <v>1</v>
      </c>
      <c r="O148">
        <v>1</v>
      </c>
      <c r="P148">
        <v>1</v>
      </c>
      <c r="Q148">
        <v>0</v>
      </c>
      <c r="R148">
        <v>0</v>
      </c>
      <c r="S148">
        <v>0</v>
      </c>
      <c r="V148"/>
      <c r="W148"/>
      <c r="X148"/>
    </row>
    <row r="149" spans="1:24" x14ac:dyDescent="0.3">
      <c r="A149" t="str">
        <f>Table_Capacity_Community_frontsheet[[#This Row],[Name]]&amp;B149</f>
        <v>CamdenSocial support (including VCS)</v>
      </c>
      <c r="B149" t="str">
        <f>VLOOKUP(Table_Capacity_Community_frontsheet[[#This Row],[Service Area]],PathwayLookup!E:F,2,0)</f>
        <v>Social support (including VCS)</v>
      </c>
      <c r="C149" t="s">
        <v>107</v>
      </c>
      <c r="D149" t="s">
        <v>704</v>
      </c>
      <c r="E149">
        <v>0</v>
      </c>
      <c r="F149">
        <v>0</v>
      </c>
      <c r="G149">
        <v>0</v>
      </c>
      <c r="H149">
        <v>0</v>
      </c>
      <c r="I149">
        <v>0</v>
      </c>
      <c r="J149">
        <v>0</v>
      </c>
      <c r="K149">
        <v>0</v>
      </c>
      <c r="L149">
        <v>0</v>
      </c>
      <c r="M149">
        <v>0</v>
      </c>
      <c r="N149">
        <v>0</v>
      </c>
      <c r="O149">
        <v>0</v>
      </c>
      <c r="P149">
        <v>0</v>
      </c>
      <c r="V149"/>
      <c r="W149"/>
      <c r="X149"/>
    </row>
    <row r="150" spans="1:24" x14ac:dyDescent="0.3">
      <c r="A150" t="str">
        <f>Table_Capacity_Community_frontsheet[[#This Row],[Name]]&amp;B150</f>
        <v>CamdenUrgent Community Response</v>
      </c>
      <c r="B150" t="str">
        <f>VLOOKUP(Table_Capacity_Community_frontsheet[[#This Row],[Service Area]],PathwayLookup!E:F,2,0)</f>
        <v>Urgent Community Response</v>
      </c>
      <c r="C150" t="s">
        <v>107</v>
      </c>
      <c r="D150" t="s">
        <v>705</v>
      </c>
      <c r="E150">
        <v>276</v>
      </c>
      <c r="F150">
        <v>276</v>
      </c>
      <c r="G150">
        <v>276</v>
      </c>
      <c r="H150">
        <v>340</v>
      </c>
      <c r="I150">
        <v>340</v>
      </c>
      <c r="J150">
        <v>340</v>
      </c>
      <c r="K150">
        <v>388</v>
      </c>
      <c r="L150">
        <v>388</v>
      </c>
      <c r="M150">
        <v>388</v>
      </c>
      <c r="N150">
        <v>397</v>
      </c>
      <c r="O150">
        <v>397</v>
      </c>
      <c r="P150">
        <v>397</v>
      </c>
      <c r="Q150">
        <v>1</v>
      </c>
      <c r="V150"/>
      <c r="W150"/>
      <c r="X150"/>
    </row>
    <row r="151" spans="1:24" x14ac:dyDescent="0.3">
      <c r="A151" t="str">
        <f>Table_Capacity_Community_frontsheet[[#This Row],[Name]]&amp;B151</f>
        <v>CamdenReablement &amp; Rehabilitation at home</v>
      </c>
      <c r="B151" t="str">
        <f>VLOOKUP(Table_Capacity_Community_frontsheet[[#This Row],[Service Area]],PathwayLookup!E:F,2,0)</f>
        <v>Reablement &amp; Rehabilitation at home</v>
      </c>
      <c r="C151" t="s">
        <v>107</v>
      </c>
      <c r="D151" t="s">
        <v>727</v>
      </c>
      <c r="E151">
        <v>42</v>
      </c>
      <c r="F151">
        <v>30</v>
      </c>
      <c r="G151">
        <v>33</v>
      </c>
      <c r="H151">
        <v>48</v>
      </c>
      <c r="I151">
        <v>37</v>
      </c>
      <c r="J151">
        <v>25</v>
      </c>
      <c r="K151">
        <v>41</v>
      </c>
      <c r="L151">
        <v>29</v>
      </c>
      <c r="M151">
        <v>33</v>
      </c>
      <c r="N151">
        <v>23</v>
      </c>
      <c r="O151">
        <v>10</v>
      </c>
      <c r="P151">
        <v>21</v>
      </c>
      <c r="R151">
        <v>1</v>
      </c>
      <c r="V151"/>
      <c r="W151"/>
      <c r="X151"/>
    </row>
    <row r="152" spans="1:24" x14ac:dyDescent="0.3">
      <c r="A152" t="str">
        <f>Table_Capacity_Community_frontsheet[[#This Row],[Name]]&amp;B152</f>
        <v>CamdenReablement &amp; Rehabilitation at home</v>
      </c>
      <c r="B152" t="str">
        <f>VLOOKUP(Table_Capacity_Community_frontsheet[[#This Row],[Service Area]],PathwayLookup!E:F,2,0)</f>
        <v>Reablement &amp; Rehabilitation at home</v>
      </c>
      <c r="C152" t="s">
        <v>107</v>
      </c>
      <c r="D152" t="s">
        <v>729</v>
      </c>
      <c r="E152">
        <v>328</v>
      </c>
      <c r="F152">
        <v>339</v>
      </c>
      <c r="G152">
        <v>328</v>
      </c>
      <c r="H152">
        <v>339</v>
      </c>
      <c r="I152">
        <v>339</v>
      </c>
      <c r="J152">
        <v>328</v>
      </c>
      <c r="K152">
        <v>339</v>
      </c>
      <c r="L152">
        <v>328</v>
      </c>
      <c r="M152">
        <v>339</v>
      </c>
      <c r="N152">
        <v>339</v>
      </c>
      <c r="O152">
        <v>307</v>
      </c>
      <c r="P152">
        <v>339</v>
      </c>
      <c r="Q152">
        <v>1</v>
      </c>
      <c r="V152"/>
      <c r="W152"/>
      <c r="X152"/>
    </row>
    <row r="153" spans="1:24" x14ac:dyDescent="0.3">
      <c r="A153" t="str">
        <f>Table_Capacity_Community_frontsheet[[#This Row],[Name]]&amp;B153</f>
        <v>CamdenReablement &amp; Rehabilitation in a bedded setting</v>
      </c>
      <c r="B153" t="str">
        <f>VLOOKUP(Table_Capacity_Community_frontsheet[[#This Row],[Service Area]],PathwayLookup!E:F,2,0)</f>
        <v>Reablement &amp; Rehabilitation in a bedded setting</v>
      </c>
      <c r="C153" t="s">
        <v>107</v>
      </c>
      <c r="D153" t="s">
        <v>723</v>
      </c>
      <c r="E153">
        <v>2</v>
      </c>
      <c r="F153">
        <v>2</v>
      </c>
      <c r="G153">
        <v>2</v>
      </c>
      <c r="H153">
        <v>2</v>
      </c>
      <c r="I153">
        <v>2</v>
      </c>
      <c r="J153">
        <v>2</v>
      </c>
      <c r="K153">
        <v>2</v>
      </c>
      <c r="L153">
        <v>2</v>
      </c>
      <c r="M153">
        <v>2</v>
      </c>
      <c r="N153">
        <v>2</v>
      </c>
      <c r="O153">
        <v>2</v>
      </c>
      <c r="P153">
        <v>2</v>
      </c>
      <c r="R153">
        <v>1</v>
      </c>
      <c r="V153"/>
      <c r="W153"/>
      <c r="X153"/>
    </row>
    <row r="154" spans="1:24" x14ac:dyDescent="0.3">
      <c r="A154" t="str">
        <f>Table_Capacity_Community_frontsheet[[#This Row],[Name]]&amp;B154</f>
        <v>CamdenReablement &amp; Rehabilitation in a bedded setting</v>
      </c>
      <c r="B154" t="str">
        <f>VLOOKUP(Table_Capacity_Community_frontsheet[[#This Row],[Service Area]],PathwayLookup!E:F,2,0)</f>
        <v>Reablement &amp; Rehabilitation in a bedded setting</v>
      </c>
      <c r="C154" t="s">
        <v>107</v>
      </c>
      <c r="D154" t="s">
        <v>725</v>
      </c>
      <c r="E154">
        <v>1</v>
      </c>
      <c r="F154">
        <v>1</v>
      </c>
      <c r="G154">
        <v>1</v>
      </c>
      <c r="H154">
        <v>1</v>
      </c>
      <c r="I154">
        <v>1</v>
      </c>
      <c r="J154">
        <v>1</v>
      </c>
      <c r="K154">
        <v>1</v>
      </c>
      <c r="L154">
        <v>1</v>
      </c>
      <c r="M154">
        <v>1</v>
      </c>
      <c r="N154">
        <v>1</v>
      </c>
      <c r="O154">
        <v>1</v>
      </c>
      <c r="P154">
        <v>1</v>
      </c>
      <c r="Q154">
        <v>1</v>
      </c>
      <c r="V154"/>
      <c r="W154"/>
      <c r="X154"/>
    </row>
    <row r="155" spans="1:24" x14ac:dyDescent="0.3">
      <c r="A155" t="str">
        <f>Table_Capacity_Community_frontsheet[[#This Row],[Name]]&amp;B155</f>
        <v>CamdenOther short-term social care</v>
      </c>
      <c r="B155" t="str">
        <f>VLOOKUP(Table_Capacity_Community_frontsheet[[#This Row],[Service Area]],PathwayLookup!E:F,2,0)</f>
        <v>Other short-term social care</v>
      </c>
      <c r="C155" t="s">
        <v>107</v>
      </c>
      <c r="D155" t="s">
        <v>708</v>
      </c>
      <c r="E155">
        <v>9</v>
      </c>
      <c r="F155">
        <v>7</v>
      </c>
      <c r="G155">
        <v>9</v>
      </c>
      <c r="H155">
        <v>15</v>
      </c>
      <c r="I155">
        <v>17</v>
      </c>
      <c r="J155">
        <v>10</v>
      </c>
      <c r="K155">
        <v>9</v>
      </c>
      <c r="L155">
        <v>23</v>
      </c>
      <c r="M155">
        <v>17</v>
      </c>
      <c r="N155">
        <v>14</v>
      </c>
      <c r="O155">
        <v>9</v>
      </c>
      <c r="P155">
        <v>13</v>
      </c>
      <c r="R155">
        <v>1</v>
      </c>
      <c r="V155"/>
      <c r="W155"/>
      <c r="X155"/>
    </row>
    <row r="156" spans="1:24" x14ac:dyDescent="0.3">
      <c r="A156" t="str">
        <f>Table_Capacity_Community_frontsheet[[#This Row],[Name]]&amp;B156</f>
        <v>Central BedfordshireSocial support (including VCS)</v>
      </c>
      <c r="B156" t="str">
        <f>VLOOKUP(Table_Capacity_Community_frontsheet[[#This Row],[Service Area]],PathwayLookup!E:F,2,0)</f>
        <v>Social support (including VCS)</v>
      </c>
      <c r="C156" t="s">
        <v>109</v>
      </c>
      <c r="D156" t="s">
        <v>704</v>
      </c>
      <c r="E156">
        <v>0</v>
      </c>
      <c r="F156">
        <v>0</v>
      </c>
      <c r="G156">
        <v>0</v>
      </c>
      <c r="H156">
        <v>0</v>
      </c>
      <c r="I156">
        <v>0</v>
      </c>
      <c r="J156">
        <v>0</v>
      </c>
      <c r="K156">
        <v>0</v>
      </c>
      <c r="L156">
        <v>0</v>
      </c>
      <c r="M156">
        <v>0</v>
      </c>
      <c r="N156">
        <v>0</v>
      </c>
      <c r="O156">
        <v>0</v>
      </c>
      <c r="P156">
        <v>0</v>
      </c>
      <c r="V156"/>
      <c r="W156"/>
      <c r="X156"/>
    </row>
    <row r="157" spans="1:24" x14ac:dyDescent="0.3">
      <c r="A157" t="str">
        <f>Table_Capacity_Community_frontsheet[[#This Row],[Name]]&amp;B157</f>
        <v>Central BedfordshireUrgent Community Response</v>
      </c>
      <c r="B157" t="str">
        <f>VLOOKUP(Table_Capacity_Community_frontsheet[[#This Row],[Service Area]],PathwayLookup!E:F,2,0)</f>
        <v>Urgent Community Response</v>
      </c>
      <c r="C157" t="s">
        <v>109</v>
      </c>
      <c r="D157" t="s">
        <v>705</v>
      </c>
      <c r="E157">
        <v>0</v>
      </c>
      <c r="F157">
        <v>0</v>
      </c>
      <c r="G157">
        <v>0</v>
      </c>
      <c r="H157">
        <v>0</v>
      </c>
      <c r="I157">
        <v>0</v>
      </c>
      <c r="J157">
        <v>0</v>
      </c>
      <c r="K157">
        <v>0</v>
      </c>
      <c r="L157">
        <v>0</v>
      </c>
      <c r="M157">
        <v>0</v>
      </c>
      <c r="N157">
        <v>0</v>
      </c>
      <c r="O157">
        <v>0</v>
      </c>
      <c r="P157">
        <v>0</v>
      </c>
      <c r="V157"/>
      <c r="W157"/>
      <c r="X157"/>
    </row>
    <row r="158" spans="1:24" x14ac:dyDescent="0.3">
      <c r="A158" t="str">
        <f>Table_Capacity_Community_frontsheet[[#This Row],[Name]]&amp;B158</f>
        <v>Central BedfordshireReablement &amp; Rehabilitation at home</v>
      </c>
      <c r="B158" t="str">
        <f>VLOOKUP(Table_Capacity_Community_frontsheet[[#This Row],[Service Area]],PathwayLookup!E:F,2,0)</f>
        <v>Reablement &amp; Rehabilitation at home</v>
      </c>
      <c r="C158" t="s">
        <v>109</v>
      </c>
      <c r="D158" t="s">
        <v>727</v>
      </c>
      <c r="E158">
        <v>36</v>
      </c>
      <c r="F158">
        <v>35</v>
      </c>
      <c r="G158">
        <v>47</v>
      </c>
      <c r="H158">
        <v>42</v>
      </c>
      <c r="I158">
        <v>32</v>
      </c>
      <c r="J158">
        <v>27</v>
      </c>
      <c r="K158">
        <v>23</v>
      </c>
      <c r="L158">
        <v>26</v>
      </c>
      <c r="M158">
        <v>36</v>
      </c>
      <c r="N158">
        <v>38</v>
      </c>
      <c r="O158">
        <v>34</v>
      </c>
      <c r="P158">
        <v>35</v>
      </c>
      <c r="V158"/>
      <c r="W158"/>
      <c r="X158"/>
    </row>
    <row r="159" spans="1:24" x14ac:dyDescent="0.3">
      <c r="A159" t="str">
        <f>Table_Capacity_Community_frontsheet[[#This Row],[Name]]&amp;B159</f>
        <v>Central BedfordshireReablement &amp; Rehabilitation at home</v>
      </c>
      <c r="B159" t="str">
        <f>VLOOKUP(Table_Capacity_Community_frontsheet[[#This Row],[Service Area]],PathwayLookup!E:F,2,0)</f>
        <v>Reablement &amp; Rehabilitation at home</v>
      </c>
      <c r="C159" t="s">
        <v>109</v>
      </c>
      <c r="D159" t="s">
        <v>729</v>
      </c>
      <c r="E159">
        <v>0</v>
      </c>
      <c r="F159">
        <v>0</v>
      </c>
      <c r="G159">
        <v>0</v>
      </c>
      <c r="H159">
        <v>0</v>
      </c>
      <c r="I159">
        <v>0</v>
      </c>
      <c r="J159">
        <v>0</v>
      </c>
      <c r="K159">
        <v>0</v>
      </c>
      <c r="L159">
        <v>0</v>
      </c>
      <c r="M159">
        <v>0</v>
      </c>
      <c r="N159">
        <v>0</v>
      </c>
      <c r="O159">
        <v>0</v>
      </c>
      <c r="P159">
        <v>0</v>
      </c>
      <c r="V159"/>
      <c r="W159"/>
      <c r="X159"/>
    </row>
    <row r="160" spans="1:24" x14ac:dyDescent="0.3">
      <c r="A160" t="str">
        <f>Table_Capacity_Community_frontsheet[[#This Row],[Name]]&amp;B160</f>
        <v>Central BedfordshireReablement &amp; Rehabilitation in a bedded setting</v>
      </c>
      <c r="B160" t="str">
        <f>VLOOKUP(Table_Capacity_Community_frontsheet[[#This Row],[Service Area]],PathwayLookup!E:F,2,0)</f>
        <v>Reablement &amp; Rehabilitation in a bedded setting</v>
      </c>
      <c r="C160" t="s">
        <v>109</v>
      </c>
      <c r="D160" t="s">
        <v>723</v>
      </c>
      <c r="E160">
        <v>1</v>
      </c>
      <c r="F160">
        <v>2</v>
      </c>
      <c r="G160">
        <v>1</v>
      </c>
      <c r="H160">
        <v>2</v>
      </c>
      <c r="I160">
        <v>2</v>
      </c>
      <c r="J160">
        <v>1</v>
      </c>
      <c r="K160">
        <v>2</v>
      </c>
      <c r="L160">
        <v>5</v>
      </c>
      <c r="M160">
        <v>3</v>
      </c>
      <c r="N160">
        <v>1</v>
      </c>
      <c r="O160">
        <v>3</v>
      </c>
      <c r="P160">
        <v>2</v>
      </c>
      <c r="V160"/>
      <c r="W160"/>
      <c r="X160"/>
    </row>
    <row r="161" spans="1:24" x14ac:dyDescent="0.3">
      <c r="A161" t="str">
        <f>Table_Capacity_Community_frontsheet[[#This Row],[Name]]&amp;B161</f>
        <v>Central BedfordshireReablement &amp; Rehabilitation in a bedded setting</v>
      </c>
      <c r="B161" t="str">
        <f>VLOOKUP(Table_Capacity_Community_frontsheet[[#This Row],[Service Area]],PathwayLookup!E:F,2,0)</f>
        <v>Reablement &amp; Rehabilitation in a bedded setting</v>
      </c>
      <c r="C161" t="s">
        <v>109</v>
      </c>
      <c r="D161" t="s">
        <v>725</v>
      </c>
      <c r="E161">
        <v>0</v>
      </c>
      <c r="F161">
        <v>0</v>
      </c>
      <c r="G161">
        <v>0</v>
      </c>
      <c r="H161">
        <v>0</v>
      </c>
      <c r="I161">
        <v>0</v>
      </c>
      <c r="J161">
        <v>0</v>
      </c>
      <c r="K161">
        <v>0</v>
      </c>
      <c r="L161">
        <v>0</v>
      </c>
      <c r="M161">
        <v>0</v>
      </c>
      <c r="N161">
        <v>0</v>
      </c>
      <c r="O161">
        <v>0</v>
      </c>
      <c r="P161">
        <v>0</v>
      </c>
      <c r="V161"/>
      <c r="W161"/>
      <c r="X161"/>
    </row>
    <row r="162" spans="1:24" x14ac:dyDescent="0.3">
      <c r="A162" t="str">
        <f>Table_Capacity_Community_frontsheet[[#This Row],[Name]]&amp;B162</f>
        <v>Central BedfordshireOther short-term social care</v>
      </c>
      <c r="B162" t="str">
        <f>VLOOKUP(Table_Capacity_Community_frontsheet[[#This Row],[Service Area]],PathwayLookup!E:F,2,0)</f>
        <v>Other short-term social care</v>
      </c>
      <c r="C162" t="s">
        <v>109</v>
      </c>
      <c r="D162" t="s">
        <v>708</v>
      </c>
      <c r="E162">
        <v>2</v>
      </c>
      <c r="F162">
        <v>2</v>
      </c>
      <c r="G162">
        <v>3</v>
      </c>
      <c r="H162">
        <v>2</v>
      </c>
      <c r="I162">
        <v>2</v>
      </c>
      <c r="J162">
        <v>2</v>
      </c>
      <c r="K162">
        <v>1</v>
      </c>
      <c r="L162">
        <v>1</v>
      </c>
      <c r="M162">
        <v>2</v>
      </c>
      <c r="N162">
        <v>2</v>
      </c>
      <c r="O162">
        <v>2</v>
      </c>
      <c r="P162">
        <v>2</v>
      </c>
      <c r="V162"/>
      <c r="W162"/>
      <c r="X162"/>
    </row>
    <row r="163" spans="1:24" x14ac:dyDescent="0.3">
      <c r="A163" t="str">
        <f>Table_Capacity_Community_frontsheet[[#This Row],[Name]]&amp;B163</f>
        <v>Cheshire EastSocial support (including VCS)</v>
      </c>
      <c r="B163" t="str">
        <f>VLOOKUP(Table_Capacity_Community_frontsheet[[#This Row],[Service Area]],PathwayLookup!E:F,2,0)</f>
        <v>Social support (including VCS)</v>
      </c>
      <c r="C163" t="s">
        <v>111</v>
      </c>
      <c r="D163" t="s">
        <v>704</v>
      </c>
      <c r="V163"/>
      <c r="W163"/>
      <c r="X163"/>
    </row>
    <row r="164" spans="1:24" x14ac:dyDescent="0.3">
      <c r="A164" t="str">
        <f>Table_Capacity_Community_frontsheet[[#This Row],[Name]]&amp;B164</f>
        <v>Cheshire EastUrgent Community Response</v>
      </c>
      <c r="B164" t="str">
        <f>VLOOKUP(Table_Capacity_Community_frontsheet[[#This Row],[Service Area]],PathwayLookup!E:F,2,0)</f>
        <v>Urgent Community Response</v>
      </c>
      <c r="C164" t="s">
        <v>111</v>
      </c>
      <c r="D164" t="s">
        <v>705</v>
      </c>
      <c r="E164">
        <v>600</v>
      </c>
      <c r="F164">
        <v>600</v>
      </c>
      <c r="G164">
        <v>600</v>
      </c>
      <c r="H164">
        <v>600</v>
      </c>
      <c r="I164">
        <v>600</v>
      </c>
      <c r="J164">
        <v>600</v>
      </c>
      <c r="K164">
        <v>600</v>
      </c>
      <c r="L164">
        <v>600</v>
      </c>
      <c r="M164">
        <v>600</v>
      </c>
      <c r="N164">
        <v>600</v>
      </c>
      <c r="O164">
        <v>600</v>
      </c>
      <c r="P164">
        <v>600</v>
      </c>
      <c r="Q164">
        <v>1</v>
      </c>
      <c r="V164"/>
      <c r="W164"/>
      <c r="X164"/>
    </row>
    <row r="165" spans="1:24" x14ac:dyDescent="0.3">
      <c r="A165" t="str">
        <f>Table_Capacity_Community_frontsheet[[#This Row],[Name]]&amp;B165</f>
        <v>Cheshire EastReablement &amp; Rehabilitation at home</v>
      </c>
      <c r="B165" t="str">
        <f>VLOOKUP(Table_Capacity_Community_frontsheet[[#This Row],[Service Area]],PathwayLookup!E:F,2,0)</f>
        <v>Reablement &amp; Rehabilitation at home</v>
      </c>
      <c r="C165" t="s">
        <v>111</v>
      </c>
      <c r="D165" t="s">
        <v>727</v>
      </c>
      <c r="E165">
        <v>10</v>
      </c>
      <c r="F165">
        <v>10</v>
      </c>
      <c r="G165">
        <v>10</v>
      </c>
      <c r="H165">
        <v>10</v>
      </c>
      <c r="I165">
        <v>10</v>
      </c>
      <c r="J165">
        <v>10</v>
      </c>
      <c r="K165">
        <v>10</v>
      </c>
      <c r="L165">
        <v>10</v>
      </c>
      <c r="M165">
        <v>10</v>
      </c>
      <c r="N165">
        <v>10</v>
      </c>
      <c r="O165">
        <v>10</v>
      </c>
      <c r="P165">
        <v>10</v>
      </c>
      <c r="R165">
        <v>1</v>
      </c>
      <c r="V165"/>
      <c r="W165"/>
      <c r="X165"/>
    </row>
    <row r="166" spans="1:24" x14ac:dyDescent="0.3">
      <c r="A166" t="str">
        <f>Table_Capacity_Community_frontsheet[[#This Row],[Name]]&amp;B166</f>
        <v>Cheshire EastReablement &amp; Rehabilitation at home</v>
      </c>
      <c r="B166" t="str">
        <f>VLOOKUP(Table_Capacity_Community_frontsheet[[#This Row],[Service Area]],PathwayLookup!E:F,2,0)</f>
        <v>Reablement &amp; Rehabilitation at home</v>
      </c>
      <c r="C166" t="s">
        <v>111</v>
      </c>
      <c r="D166" t="s">
        <v>729</v>
      </c>
      <c r="E166">
        <v>2</v>
      </c>
      <c r="F166">
        <v>2</v>
      </c>
      <c r="G166">
        <v>2</v>
      </c>
      <c r="H166">
        <v>2</v>
      </c>
      <c r="I166">
        <v>2</v>
      </c>
      <c r="J166">
        <v>2</v>
      </c>
      <c r="K166">
        <v>2</v>
      </c>
      <c r="L166">
        <v>2</v>
      </c>
      <c r="M166">
        <v>2</v>
      </c>
      <c r="N166">
        <v>2</v>
      </c>
      <c r="O166">
        <v>2</v>
      </c>
      <c r="P166">
        <v>2</v>
      </c>
      <c r="R166">
        <v>1</v>
      </c>
      <c r="V166"/>
      <c r="W166"/>
      <c r="X166"/>
    </row>
    <row r="167" spans="1:24" x14ac:dyDescent="0.3">
      <c r="A167" t="str">
        <f>Table_Capacity_Community_frontsheet[[#This Row],[Name]]&amp;B167</f>
        <v>Cheshire EastReablement &amp; Rehabilitation in a bedded setting</v>
      </c>
      <c r="B167" t="str">
        <f>VLOOKUP(Table_Capacity_Community_frontsheet[[#This Row],[Service Area]],PathwayLookup!E:F,2,0)</f>
        <v>Reablement &amp; Rehabilitation in a bedded setting</v>
      </c>
      <c r="C167" t="s">
        <v>111</v>
      </c>
      <c r="D167" t="s">
        <v>723</v>
      </c>
      <c r="V167"/>
      <c r="W167"/>
      <c r="X167"/>
    </row>
    <row r="168" spans="1:24" x14ac:dyDescent="0.3">
      <c r="A168" t="str">
        <f>Table_Capacity_Community_frontsheet[[#This Row],[Name]]&amp;B168</f>
        <v>Cheshire EastReablement &amp; Rehabilitation in a bedded setting</v>
      </c>
      <c r="B168" t="str">
        <f>VLOOKUP(Table_Capacity_Community_frontsheet[[#This Row],[Service Area]],PathwayLookup!E:F,2,0)</f>
        <v>Reablement &amp; Rehabilitation in a bedded setting</v>
      </c>
      <c r="C168" t="s">
        <v>111</v>
      </c>
      <c r="D168" t="s">
        <v>725</v>
      </c>
      <c r="E168">
        <v>6</v>
      </c>
      <c r="F168">
        <v>6</v>
      </c>
      <c r="G168">
        <v>6</v>
      </c>
      <c r="H168">
        <v>6</v>
      </c>
      <c r="I168">
        <v>6</v>
      </c>
      <c r="J168">
        <v>6</v>
      </c>
      <c r="K168">
        <v>6</v>
      </c>
      <c r="L168">
        <v>6</v>
      </c>
      <c r="M168">
        <v>6</v>
      </c>
      <c r="N168">
        <v>6</v>
      </c>
      <c r="O168">
        <v>6</v>
      </c>
      <c r="P168">
        <v>6</v>
      </c>
      <c r="Q168">
        <v>1</v>
      </c>
      <c r="V168"/>
      <c r="W168"/>
      <c r="X168"/>
    </row>
    <row r="169" spans="1:24" x14ac:dyDescent="0.3">
      <c r="A169" t="str">
        <f>Table_Capacity_Community_frontsheet[[#This Row],[Name]]&amp;B169</f>
        <v>Cheshire EastOther short-term social care</v>
      </c>
      <c r="B169" t="str">
        <f>VLOOKUP(Table_Capacity_Community_frontsheet[[#This Row],[Service Area]],PathwayLookup!E:F,2,0)</f>
        <v>Other short-term social care</v>
      </c>
      <c r="C169" t="s">
        <v>111</v>
      </c>
      <c r="D169" t="s">
        <v>708</v>
      </c>
      <c r="V169"/>
      <c r="W169"/>
      <c r="X169"/>
    </row>
    <row r="170" spans="1:24" x14ac:dyDescent="0.3">
      <c r="A170" t="str">
        <f>Table_Capacity_Community_frontsheet[[#This Row],[Name]]&amp;B170</f>
        <v>Cheshire West and ChesterSocial support (including VCS)</v>
      </c>
      <c r="B170" t="str">
        <f>VLOOKUP(Table_Capacity_Community_frontsheet[[#This Row],[Service Area]],PathwayLookup!E:F,2,0)</f>
        <v>Social support (including VCS)</v>
      </c>
      <c r="C170" t="s">
        <v>113</v>
      </c>
      <c r="D170" t="s">
        <v>704</v>
      </c>
      <c r="V170"/>
      <c r="W170"/>
      <c r="X170"/>
    </row>
    <row r="171" spans="1:24" x14ac:dyDescent="0.3">
      <c r="A171" t="str">
        <f>Table_Capacity_Community_frontsheet[[#This Row],[Name]]&amp;B171</f>
        <v>Cheshire West and ChesterUrgent Community Response</v>
      </c>
      <c r="B171" t="str">
        <f>VLOOKUP(Table_Capacity_Community_frontsheet[[#This Row],[Service Area]],PathwayLookup!E:F,2,0)</f>
        <v>Urgent Community Response</v>
      </c>
      <c r="C171" t="s">
        <v>113</v>
      </c>
      <c r="D171" t="s">
        <v>705</v>
      </c>
      <c r="E171">
        <v>332</v>
      </c>
      <c r="F171">
        <v>362</v>
      </c>
      <c r="G171">
        <v>370</v>
      </c>
      <c r="H171">
        <v>380</v>
      </c>
      <c r="I171">
        <v>390</v>
      </c>
      <c r="J171">
        <v>400</v>
      </c>
      <c r="K171">
        <v>410</v>
      </c>
      <c r="L171">
        <v>410</v>
      </c>
      <c r="M171">
        <v>410</v>
      </c>
      <c r="N171">
        <v>410</v>
      </c>
      <c r="O171">
        <v>390</v>
      </c>
      <c r="P171">
        <v>390</v>
      </c>
      <c r="Q171">
        <v>1</v>
      </c>
      <c r="V171"/>
      <c r="W171"/>
      <c r="X171"/>
    </row>
    <row r="172" spans="1:24" x14ac:dyDescent="0.3">
      <c r="A172" t="str">
        <f>Table_Capacity_Community_frontsheet[[#This Row],[Name]]&amp;B172</f>
        <v>Cheshire West and ChesterReablement &amp; Rehabilitation at home</v>
      </c>
      <c r="B172" t="str">
        <f>VLOOKUP(Table_Capacity_Community_frontsheet[[#This Row],[Service Area]],PathwayLookup!E:F,2,0)</f>
        <v>Reablement &amp; Rehabilitation at home</v>
      </c>
      <c r="C172" t="s">
        <v>113</v>
      </c>
      <c r="D172" t="s">
        <v>727</v>
      </c>
      <c r="E172">
        <v>10</v>
      </c>
      <c r="F172">
        <v>6</v>
      </c>
      <c r="G172">
        <v>10</v>
      </c>
      <c r="H172">
        <v>10</v>
      </c>
      <c r="I172">
        <v>10</v>
      </c>
      <c r="J172">
        <v>10</v>
      </c>
      <c r="K172">
        <v>10</v>
      </c>
      <c r="L172">
        <v>10</v>
      </c>
      <c r="M172">
        <v>10</v>
      </c>
      <c r="N172">
        <v>10</v>
      </c>
      <c r="O172">
        <v>10</v>
      </c>
      <c r="P172">
        <v>10</v>
      </c>
      <c r="R172">
        <v>1</v>
      </c>
      <c r="V172"/>
      <c r="W172"/>
      <c r="X172"/>
    </row>
    <row r="173" spans="1:24" x14ac:dyDescent="0.3">
      <c r="A173" t="str">
        <f>Table_Capacity_Community_frontsheet[[#This Row],[Name]]&amp;B173</f>
        <v>Cheshire West and ChesterReablement &amp; Rehabilitation at home</v>
      </c>
      <c r="B173" t="str">
        <f>VLOOKUP(Table_Capacity_Community_frontsheet[[#This Row],[Service Area]],PathwayLookup!E:F,2,0)</f>
        <v>Reablement &amp; Rehabilitation at home</v>
      </c>
      <c r="C173" t="s">
        <v>113</v>
      </c>
      <c r="D173" t="s">
        <v>729</v>
      </c>
      <c r="V173"/>
      <c r="W173"/>
      <c r="X173"/>
    </row>
    <row r="174" spans="1:24" x14ac:dyDescent="0.3">
      <c r="A174" t="str">
        <f>Table_Capacity_Community_frontsheet[[#This Row],[Name]]&amp;B174</f>
        <v>Cheshire West and ChesterReablement &amp; Rehabilitation in a bedded setting</v>
      </c>
      <c r="B174" t="str">
        <f>VLOOKUP(Table_Capacity_Community_frontsheet[[#This Row],[Service Area]],PathwayLookup!E:F,2,0)</f>
        <v>Reablement &amp; Rehabilitation in a bedded setting</v>
      </c>
      <c r="C174" t="s">
        <v>113</v>
      </c>
      <c r="D174" t="s">
        <v>723</v>
      </c>
      <c r="E174">
        <v>0</v>
      </c>
      <c r="F174">
        <v>0</v>
      </c>
      <c r="G174">
        <v>0</v>
      </c>
      <c r="H174">
        <v>0</v>
      </c>
      <c r="I174">
        <v>0</v>
      </c>
      <c r="J174">
        <v>0</v>
      </c>
      <c r="K174">
        <v>0</v>
      </c>
      <c r="L174">
        <v>0</v>
      </c>
      <c r="M174">
        <v>0</v>
      </c>
      <c r="N174">
        <v>0</v>
      </c>
      <c r="O174">
        <v>0</v>
      </c>
      <c r="P174">
        <v>0</v>
      </c>
      <c r="V174"/>
      <c r="W174"/>
      <c r="X174"/>
    </row>
    <row r="175" spans="1:24" x14ac:dyDescent="0.3">
      <c r="A175" t="str">
        <f>Table_Capacity_Community_frontsheet[[#This Row],[Name]]&amp;B175</f>
        <v>Cheshire West and ChesterReablement &amp; Rehabilitation in a bedded setting</v>
      </c>
      <c r="B175" t="str">
        <f>VLOOKUP(Table_Capacity_Community_frontsheet[[#This Row],[Service Area]],PathwayLookup!E:F,2,0)</f>
        <v>Reablement &amp; Rehabilitation in a bedded setting</v>
      </c>
      <c r="C175" t="s">
        <v>113</v>
      </c>
      <c r="D175" t="s">
        <v>725</v>
      </c>
      <c r="E175">
        <v>1</v>
      </c>
      <c r="F175">
        <v>1</v>
      </c>
      <c r="G175">
        <v>1</v>
      </c>
      <c r="H175">
        <v>1</v>
      </c>
      <c r="I175">
        <v>1</v>
      </c>
      <c r="J175">
        <v>1</v>
      </c>
      <c r="K175">
        <v>1</v>
      </c>
      <c r="L175">
        <v>1</v>
      </c>
      <c r="M175">
        <v>1</v>
      </c>
      <c r="N175">
        <v>1</v>
      </c>
      <c r="O175">
        <v>1</v>
      </c>
      <c r="P175">
        <v>1</v>
      </c>
      <c r="Q175">
        <v>1</v>
      </c>
      <c r="V175"/>
      <c r="W175"/>
      <c r="X175"/>
    </row>
    <row r="176" spans="1:24" x14ac:dyDescent="0.3">
      <c r="A176" t="str">
        <f>Table_Capacity_Community_frontsheet[[#This Row],[Name]]&amp;B176</f>
        <v>Cheshire West and ChesterOther short-term social care</v>
      </c>
      <c r="B176" t="str">
        <f>VLOOKUP(Table_Capacity_Community_frontsheet[[#This Row],[Service Area]],PathwayLookup!E:F,2,0)</f>
        <v>Other short-term social care</v>
      </c>
      <c r="C176" t="s">
        <v>113</v>
      </c>
      <c r="D176" t="s">
        <v>708</v>
      </c>
      <c r="E176">
        <v>0</v>
      </c>
      <c r="F176">
        <v>0</v>
      </c>
      <c r="G176">
        <v>0</v>
      </c>
      <c r="H176">
        <v>0</v>
      </c>
      <c r="I176">
        <v>0</v>
      </c>
      <c r="J176">
        <v>0</v>
      </c>
      <c r="K176">
        <v>0</v>
      </c>
      <c r="L176">
        <v>0</v>
      </c>
      <c r="M176">
        <v>0</v>
      </c>
      <c r="N176">
        <v>0</v>
      </c>
      <c r="O176">
        <v>0</v>
      </c>
      <c r="P176">
        <v>0</v>
      </c>
      <c r="V176"/>
      <c r="W176"/>
      <c r="X176"/>
    </row>
    <row r="177" spans="1:24" x14ac:dyDescent="0.3">
      <c r="A177" t="str">
        <f>Table_Capacity_Community_frontsheet[[#This Row],[Name]]&amp;B177</f>
        <v>City of LondonSocial support (including VCS)</v>
      </c>
      <c r="B177" t="str">
        <f>VLOOKUP(Table_Capacity_Community_frontsheet[[#This Row],[Service Area]],PathwayLookup!E:F,2,0)</f>
        <v>Social support (including VCS)</v>
      </c>
      <c r="C177" t="s">
        <v>115</v>
      </c>
      <c r="D177" t="s">
        <v>704</v>
      </c>
      <c r="E177">
        <v>0</v>
      </c>
      <c r="F177">
        <v>0</v>
      </c>
      <c r="G177">
        <v>0</v>
      </c>
      <c r="H177">
        <v>0</v>
      </c>
      <c r="I177">
        <v>0</v>
      </c>
      <c r="J177">
        <v>0</v>
      </c>
      <c r="K177">
        <v>0</v>
      </c>
      <c r="L177">
        <v>0</v>
      </c>
      <c r="M177">
        <v>0</v>
      </c>
      <c r="N177">
        <v>0</v>
      </c>
      <c r="O177">
        <v>0</v>
      </c>
      <c r="P177">
        <v>0</v>
      </c>
      <c r="Q177">
        <v>0</v>
      </c>
      <c r="R177">
        <v>0</v>
      </c>
      <c r="S177">
        <v>0</v>
      </c>
      <c r="V177"/>
      <c r="W177"/>
      <c r="X177"/>
    </row>
    <row r="178" spans="1:24" x14ac:dyDescent="0.3">
      <c r="A178" t="str">
        <f>Table_Capacity_Community_frontsheet[[#This Row],[Name]]&amp;B178</f>
        <v>City of LondonUrgent Community Response</v>
      </c>
      <c r="B178" t="str">
        <f>VLOOKUP(Table_Capacity_Community_frontsheet[[#This Row],[Service Area]],PathwayLookup!E:F,2,0)</f>
        <v>Urgent Community Response</v>
      </c>
      <c r="C178" t="s">
        <v>115</v>
      </c>
      <c r="D178" t="s">
        <v>705</v>
      </c>
      <c r="E178">
        <v>0</v>
      </c>
      <c r="F178">
        <v>0</v>
      </c>
      <c r="G178">
        <v>0</v>
      </c>
      <c r="H178">
        <v>0</v>
      </c>
      <c r="I178">
        <v>0</v>
      </c>
      <c r="J178">
        <v>0</v>
      </c>
      <c r="K178">
        <v>0</v>
      </c>
      <c r="L178">
        <v>0</v>
      </c>
      <c r="M178">
        <v>0</v>
      </c>
      <c r="N178">
        <v>0</v>
      </c>
      <c r="O178">
        <v>0</v>
      </c>
      <c r="P178">
        <v>0</v>
      </c>
      <c r="Q178">
        <v>0</v>
      </c>
      <c r="R178">
        <v>0</v>
      </c>
      <c r="S178">
        <v>0</v>
      </c>
      <c r="V178"/>
      <c r="W178"/>
      <c r="X178"/>
    </row>
    <row r="179" spans="1:24" x14ac:dyDescent="0.3">
      <c r="A179" t="str">
        <f>Table_Capacity_Community_frontsheet[[#This Row],[Name]]&amp;B179</f>
        <v>City of LondonReablement &amp; Rehabilitation at home</v>
      </c>
      <c r="B179" t="str">
        <f>VLOOKUP(Table_Capacity_Community_frontsheet[[#This Row],[Service Area]],PathwayLookup!E:F,2,0)</f>
        <v>Reablement &amp; Rehabilitation at home</v>
      </c>
      <c r="C179" t="s">
        <v>115</v>
      </c>
      <c r="D179" t="s">
        <v>727</v>
      </c>
      <c r="E179">
        <v>1</v>
      </c>
      <c r="F179">
        <v>1</v>
      </c>
      <c r="G179">
        <v>1</v>
      </c>
      <c r="H179">
        <v>1</v>
      </c>
      <c r="I179">
        <v>1</v>
      </c>
      <c r="J179">
        <v>1</v>
      </c>
      <c r="K179">
        <v>1</v>
      </c>
      <c r="L179">
        <v>1</v>
      </c>
      <c r="M179">
        <v>1</v>
      </c>
      <c r="N179">
        <v>1</v>
      </c>
      <c r="O179">
        <v>1</v>
      </c>
      <c r="P179">
        <v>1</v>
      </c>
      <c r="Q179">
        <v>0</v>
      </c>
      <c r="R179">
        <v>1</v>
      </c>
      <c r="S179">
        <v>0</v>
      </c>
      <c r="V179"/>
      <c r="W179"/>
      <c r="X179"/>
    </row>
    <row r="180" spans="1:24" x14ac:dyDescent="0.3">
      <c r="A180" t="str">
        <f>Table_Capacity_Community_frontsheet[[#This Row],[Name]]&amp;B180</f>
        <v>City of LondonReablement &amp; Rehabilitation at home</v>
      </c>
      <c r="B180" t="str">
        <f>VLOOKUP(Table_Capacity_Community_frontsheet[[#This Row],[Service Area]],PathwayLookup!E:F,2,0)</f>
        <v>Reablement &amp; Rehabilitation at home</v>
      </c>
      <c r="C180" t="s">
        <v>115</v>
      </c>
      <c r="D180" t="s">
        <v>729</v>
      </c>
      <c r="E180">
        <v>0</v>
      </c>
      <c r="F180">
        <v>0</v>
      </c>
      <c r="G180">
        <v>0</v>
      </c>
      <c r="H180">
        <v>0</v>
      </c>
      <c r="I180">
        <v>0</v>
      </c>
      <c r="J180">
        <v>0</v>
      </c>
      <c r="K180">
        <v>0</v>
      </c>
      <c r="L180">
        <v>0</v>
      </c>
      <c r="M180">
        <v>0</v>
      </c>
      <c r="N180">
        <v>0</v>
      </c>
      <c r="O180">
        <v>0</v>
      </c>
      <c r="P180">
        <v>0</v>
      </c>
      <c r="Q180">
        <v>0</v>
      </c>
      <c r="R180">
        <v>0</v>
      </c>
      <c r="S180">
        <v>0</v>
      </c>
      <c r="V180"/>
      <c r="W180"/>
      <c r="X180"/>
    </row>
    <row r="181" spans="1:24" x14ac:dyDescent="0.3">
      <c r="A181" t="str">
        <f>Table_Capacity_Community_frontsheet[[#This Row],[Name]]&amp;B181</f>
        <v>City of LondonReablement &amp; Rehabilitation in a bedded setting</v>
      </c>
      <c r="B181" t="str">
        <f>VLOOKUP(Table_Capacity_Community_frontsheet[[#This Row],[Service Area]],PathwayLookup!E:F,2,0)</f>
        <v>Reablement &amp; Rehabilitation in a bedded setting</v>
      </c>
      <c r="C181" t="s">
        <v>115</v>
      </c>
      <c r="D181" t="s">
        <v>723</v>
      </c>
      <c r="E181">
        <v>0</v>
      </c>
      <c r="F181">
        <v>0</v>
      </c>
      <c r="G181">
        <v>0</v>
      </c>
      <c r="H181">
        <v>0</v>
      </c>
      <c r="I181">
        <v>0</v>
      </c>
      <c r="J181">
        <v>1</v>
      </c>
      <c r="K181">
        <v>1</v>
      </c>
      <c r="L181">
        <v>1</v>
      </c>
      <c r="M181">
        <v>1</v>
      </c>
      <c r="N181">
        <v>0</v>
      </c>
      <c r="O181">
        <v>0</v>
      </c>
      <c r="P181">
        <v>0</v>
      </c>
      <c r="Q181">
        <v>1</v>
      </c>
      <c r="R181">
        <v>0</v>
      </c>
      <c r="S181">
        <v>0</v>
      </c>
      <c r="V181"/>
      <c r="W181"/>
      <c r="X181"/>
    </row>
    <row r="182" spans="1:24" x14ac:dyDescent="0.3">
      <c r="A182" t="str">
        <f>Table_Capacity_Community_frontsheet[[#This Row],[Name]]&amp;B182</f>
        <v>City of LondonReablement &amp; Rehabilitation in a bedded setting</v>
      </c>
      <c r="B182" t="str">
        <f>VLOOKUP(Table_Capacity_Community_frontsheet[[#This Row],[Service Area]],PathwayLookup!E:F,2,0)</f>
        <v>Reablement &amp; Rehabilitation in a bedded setting</v>
      </c>
      <c r="C182" t="s">
        <v>115</v>
      </c>
      <c r="D182" t="s">
        <v>725</v>
      </c>
      <c r="E182">
        <v>0</v>
      </c>
      <c r="F182">
        <v>0</v>
      </c>
      <c r="G182">
        <v>0</v>
      </c>
      <c r="H182">
        <v>0</v>
      </c>
      <c r="I182">
        <v>0</v>
      </c>
      <c r="J182">
        <v>0</v>
      </c>
      <c r="K182">
        <v>0</v>
      </c>
      <c r="L182">
        <v>0</v>
      </c>
      <c r="M182">
        <v>0</v>
      </c>
      <c r="N182">
        <v>0</v>
      </c>
      <c r="O182">
        <v>0</v>
      </c>
      <c r="P182">
        <v>0</v>
      </c>
      <c r="Q182">
        <v>0</v>
      </c>
      <c r="R182">
        <v>0</v>
      </c>
      <c r="S182">
        <v>0</v>
      </c>
      <c r="V182"/>
      <c r="W182"/>
      <c r="X182"/>
    </row>
    <row r="183" spans="1:24" x14ac:dyDescent="0.3">
      <c r="A183" t="str">
        <f>Table_Capacity_Community_frontsheet[[#This Row],[Name]]&amp;B183</f>
        <v>City of LondonOther short-term social care</v>
      </c>
      <c r="B183" t="str">
        <f>VLOOKUP(Table_Capacity_Community_frontsheet[[#This Row],[Service Area]],PathwayLookup!E:F,2,0)</f>
        <v>Other short-term social care</v>
      </c>
      <c r="C183" t="s">
        <v>115</v>
      </c>
      <c r="D183" t="s">
        <v>708</v>
      </c>
      <c r="E183">
        <v>1</v>
      </c>
      <c r="F183">
        <v>1</v>
      </c>
      <c r="G183">
        <v>1</v>
      </c>
      <c r="H183">
        <v>1</v>
      </c>
      <c r="I183">
        <v>1</v>
      </c>
      <c r="J183">
        <v>1</v>
      </c>
      <c r="K183">
        <v>1</v>
      </c>
      <c r="L183">
        <v>1</v>
      </c>
      <c r="M183">
        <v>1</v>
      </c>
      <c r="N183">
        <v>1</v>
      </c>
      <c r="O183">
        <v>1</v>
      </c>
      <c r="P183">
        <v>1</v>
      </c>
      <c r="Q183">
        <v>0</v>
      </c>
      <c r="R183">
        <v>1</v>
      </c>
      <c r="S183">
        <v>0</v>
      </c>
      <c r="V183"/>
      <c r="W183"/>
      <c r="X183"/>
    </row>
    <row r="184" spans="1:24" x14ac:dyDescent="0.3">
      <c r="A184" t="str">
        <f>Table_Capacity_Community_frontsheet[[#This Row],[Name]]&amp;B184</f>
        <v>Cornwall &amp; ScillySocial support (including VCS)</v>
      </c>
      <c r="B184" t="str">
        <f>VLOOKUP(Table_Capacity_Community_frontsheet[[#This Row],[Service Area]],PathwayLookup!E:F,2,0)</f>
        <v>Social support (including VCS)</v>
      </c>
      <c r="C184" t="s">
        <v>117</v>
      </c>
      <c r="D184" t="s">
        <v>704</v>
      </c>
      <c r="E184">
        <v>8300</v>
      </c>
      <c r="F184">
        <v>8300</v>
      </c>
      <c r="G184">
        <v>8300</v>
      </c>
      <c r="H184">
        <v>8300</v>
      </c>
      <c r="I184">
        <v>8300</v>
      </c>
      <c r="J184">
        <v>8300</v>
      </c>
      <c r="K184">
        <v>8300</v>
      </c>
      <c r="L184">
        <v>8300</v>
      </c>
      <c r="M184">
        <v>8300</v>
      </c>
      <c r="N184">
        <v>8300</v>
      </c>
      <c r="O184">
        <v>8300</v>
      </c>
      <c r="P184">
        <v>8300</v>
      </c>
      <c r="Q184">
        <v>0.96</v>
      </c>
      <c r="R184">
        <v>0.04</v>
      </c>
      <c r="S184">
        <v>0</v>
      </c>
      <c r="V184"/>
      <c r="W184"/>
      <c r="X184"/>
    </row>
    <row r="185" spans="1:24" x14ac:dyDescent="0.3">
      <c r="A185" t="str">
        <f>Table_Capacity_Community_frontsheet[[#This Row],[Name]]&amp;B185</f>
        <v>Cornwall &amp; ScillyUrgent Community Response</v>
      </c>
      <c r="B185" t="str">
        <f>VLOOKUP(Table_Capacity_Community_frontsheet[[#This Row],[Service Area]],PathwayLookup!E:F,2,0)</f>
        <v>Urgent Community Response</v>
      </c>
      <c r="C185" t="s">
        <v>117</v>
      </c>
      <c r="D185" t="s">
        <v>705</v>
      </c>
      <c r="E185">
        <v>506</v>
      </c>
      <c r="F185">
        <v>506</v>
      </c>
      <c r="G185">
        <v>506</v>
      </c>
      <c r="H185">
        <v>506</v>
      </c>
      <c r="I185">
        <v>506</v>
      </c>
      <c r="J185">
        <v>506</v>
      </c>
      <c r="K185">
        <v>506</v>
      </c>
      <c r="L185">
        <v>506</v>
      </c>
      <c r="M185">
        <v>506</v>
      </c>
      <c r="N185">
        <v>506</v>
      </c>
      <c r="O185">
        <v>506</v>
      </c>
      <c r="P185">
        <v>506</v>
      </c>
      <c r="Q185">
        <v>1</v>
      </c>
      <c r="R185">
        <v>0</v>
      </c>
      <c r="S185">
        <v>0</v>
      </c>
      <c r="V185"/>
      <c r="W185"/>
      <c r="X185"/>
    </row>
    <row r="186" spans="1:24" x14ac:dyDescent="0.3">
      <c r="A186" t="str">
        <f>Table_Capacity_Community_frontsheet[[#This Row],[Name]]&amp;B186</f>
        <v>Cornwall &amp; ScillyReablement &amp; Rehabilitation at home</v>
      </c>
      <c r="B186" t="str">
        <f>VLOOKUP(Table_Capacity_Community_frontsheet[[#This Row],[Service Area]],PathwayLookup!E:F,2,0)</f>
        <v>Reablement &amp; Rehabilitation at home</v>
      </c>
      <c r="C186" t="s">
        <v>117</v>
      </c>
      <c r="D186" t="s">
        <v>727</v>
      </c>
      <c r="E186">
        <v>77</v>
      </c>
      <c r="F186">
        <v>80</v>
      </c>
      <c r="G186">
        <v>77</v>
      </c>
      <c r="H186">
        <v>80</v>
      </c>
      <c r="I186">
        <v>80</v>
      </c>
      <c r="J186">
        <v>77</v>
      </c>
      <c r="K186">
        <v>80</v>
      </c>
      <c r="L186">
        <v>77</v>
      </c>
      <c r="M186">
        <v>80</v>
      </c>
      <c r="N186">
        <v>80</v>
      </c>
      <c r="O186">
        <v>72</v>
      </c>
      <c r="P186">
        <v>77</v>
      </c>
      <c r="Q186">
        <v>0</v>
      </c>
      <c r="R186">
        <v>1</v>
      </c>
      <c r="S186">
        <v>0</v>
      </c>
      <c r="V186"/>
      <c r="W186"/>
      <c r="X186"/>
    </row>
    <row r="187" spans="1:24" x14ac:dyDescent="0.3">
      <c r="A187" t="str">
        <f>Table_Capacity_Community_frontsheet[[#This Row],[Name]]&amp;B187</f>
        <v>Cornwall &amp; ScillyReablement &amp; Rehabilitation at home</v>
      </c>
      <c r="B187" t="str">
        <f>VLOOKUP(Table_Capacity_Community_frontsheet[[#This Row],[Service Area]],PathwayLookup!E:F,2,0)</f>
        <v>Reablement &amp; Rehabilitation at home</v>
      </c>
      <c r="C187" t="s">
        <v>117</v>
      </c>
      <c r="D187" t="s">
        <v>729</v>
      </c>
      <c r="E187">
        <v>159</v>
      </c>
      <c r="F187">
        <v>159</v>
      </c>
      <c r="G187">
        <v>159</v>
      </c>
      <c r="H187">
        <v>159</v>
      </c>
      <c r="I187">
        <v>159</v>
      </c>
      <c r="J187">
        <v>159</v>
      </c>
      <c r="K187">
        <v>159</v>
      </c>
      <c r="L187">
        <v>159</v>
      </c>
      <c r="M187">
        <v>159</v>
      </c>
      <c r="N187">
        <v>159</v>
      </c>
      <c r="O187">
        <v>159</v>
      </c>
      <c r="P187">
        <v>159</v>
      </c>
      <c r="Q187">
        <v>1</v>
      </c>
      <c r="R187">
        <v>0</v>
      </c>
      <c r="S187">
        <v>0</v>
      </c>
      <c r="V187"/>
      <c r="W187"/>
      <c r="X187"/>
    </row>
    <row r="188" spans="1:24" x14ac:dyDescent="0.3">
      <c r="A188" t="str">
        <f>Table_Capacity_Community_frontsheet[[#This Row],[Name]]&amp;B188</f>
        <v>Cornwall &amp; ScillyReablement &amp; Rehabilitation in a bedded setting</v>
      </c>
      <c r="B188" t="str">
        <f>VLOOKUP(Table_Capacity_Community_frontsheet[[#This Row],[Service Area]],PathwayLookup!E:F,2,0)</f>
        <v>Reablement &amp; Rehabilitation in a bedded setting</v>
      </c>
      <c r="C188" t="s">
        <v>117</v>
      </c>
      <c r="D188" t="s">
        <v>723</v>
      </c>
      <c r="E188">
        <v>5</v>
      </c>
      <c r="F188">
        <v>5</v>
      </c>
      <c r="G188">
        <v>5</v>
      </c>
      <c r="H188">
        <v>5</v>
      </c>
      <c r="I188">
        <v>5</v>
      </c>
      <c r="J188">
        <v>5</v>
      </c>
      <c r="K188">
        <v>5</v>
      </c>
      <c r="L188">
        <v>5</v>
      </c>
      <c r="M188">
        <v>5</v>
      </c>
      <c r="N188">
        <v>5</v>
      </c>
      <c r="O188">
        <v>5</v>
      </c>
      <c r="P188">
        <v>5</v>
      </c>
      <c r="Q188">
        <v>0</v>
      </c>
      <c r="R188">
        <v>1</v>
      </c>
      <c r="S188">
        <v>0</v>
      </c>
      <c r="V188"/>
      <c r="W188"/>
      <c r="X188"/>
    </row>
    <row r="189" spans="1:24" x14ac:dyDescent="0.3">
      <c r="A189" t="str">
        <f>Table_Capacity_Community_frontsheet[[#This Row],[Name]]&amp;B189</f>
        <v>Cornwall &amp; ScillyReablement &amp; Rehabilitation in a bedded setting</v>
      </c>
      <c r="B189" t="str">
        <f>VLOOKUP(Table_Capacity_Community_frontsheet[[#This Row],[Service Area]],PathwayLookup!E:F,2,0)</f>
        <v>Reablement &amp; Rehabilitation in a bedded setting</v>
      </c>
      <c r="C189" t="s">
        <v>117</v>
      </c>
      <c r="D189" t="s">
        <v>725</v>
      </c>
      <c r="V189"/>
      <c r="W189"/>
      <c r="X189"/>
    </row>
    <row r="190" spans="1:24" x14ac:dyDescent="0.3">
      <c r="A190" t="str">
        <f>Table_Capacity_Community_frontsheet[[#This Row],[Name]]&amp;B190</f>
        <v>Cornwall &amp; ScillyOther short-term social care</v>
      </c>
      <c r="B190" t="str">
        <f>VLOOKUP(Table_Capacity_Community_frontsheet[[#This Row],[Service Area]],PathwayLookup!E:F,2,0)</f>
        <v>Other short-term social care</v>
      </c>
      <c r="C190" t="s">
        <v>117</v>
      </c>
      <c r="D190" t="s">
        <v>708</v>
      </c>
      <c r="E190">
        <v>59</v>
      </c>
      <c r="F190">
        <v>48</v>
      </c>
      <c r="G190">
        <v>48</v>
      </c>
      <c r="H190">
        <v>37</v>
      </c>
      <c r="I190">
        <v>37</v>
      </c>
      <c r="J190">
        <v>45</v>
      </c>
      <c r="K190">
        <v>38</v>
      </c>
      <c r="L190">
        <v>60</v>
      </c>
      <c r="M190">
        <v>60</v>
      </c>
      <c r="N190">
        <v>70</v>
      </c>
      <c r="O190">
        <v>91</v>
      </c>
      <c r="P190">
        <v>67</v>
      </c>
      <c r="Q190">
        <v>0</v>
      </c>
      <c r="R190">
        <v>1</v>
      </c>
      <c r="S190">
        <v>0</v>
      </c>
      <c r="V190"/>
      <c r="W190"/>
      <c r="X190"/>
    </row>
    <row r="191" spans="1:24" x14ac:dyDescent="0.3">
      <c r="A191" t="str">
        <f>Table_Capacity_Community_frontsheet[[#This Row],[Name]]&amp;B191</f>
        <v>County DurhamSocial support (including VCS)</v>
      </c>
      <c r="B191" t="str">
        <f>VLOOKUP(Table_Capacity_Community_frontsheet[[#This Row],[Service Area]],PathwayLookup!E:F,2,0)</f>
        <v>Social support (including VCS)</v>
      </c>
      <c r="C191" t="s">
        <v>119</v>
      </c>
      <c r="D191" t="s">
        <v>704</v>
      </c>
      <c r="E191">
        <v>5</v>
      </c>
      <c r="F191">
        <v>5</v>
      </c>
      <c r="G191">
        <v>5</v>
      </c>
      <c r="H191">
        <v>5</v>
      </c>
      <c r="I191">
        <v>5</v>
      </c>
      <c r="J191">
        <v>5</v>
      </c>
      <c r="K191">
        <v>6</v>
      </c>
      <c r="L191">
        <v>6</v>
      </c>
      <c r="M191">
        <v>7</v>
      </c>
      <c r="N191">
        <v>7</v>
      </c>
      <c r="O191">
        <v>5</v>
      </c>
      <c r="P191">
        <v>5</v>
      </c>
      <c r="Q191">
        <v>0</v>
      </c>
      <c r="R191">
        <v>1</v>
      </c>
      <c r="S191">
        <v>0</v>
      </c>
      <c r="V191"/>
      <c r="W191"/>
      <c r="X191"/>
    </row>
    <row r="192" spans="1:24" x14ac:dyDescent="0.3">
      <c r="A192" t="str">
        <f>Table_Capacity_Community_frontsheet[[#This Row],[Name]]&amp;B192</f>
        <v>County DurhamUrgent Community Response</v>
      </c>
      <c r="B192" t="str">
        <f>VLOOKUP(Table_Capacity_Community_frontsheet[[#This Row],[Service Area]],PathwayLookup!E:F,2,0)</f>
        <v>Urgent Community Response</v>
      </c>
      <c r="C192" t="s">
        <v>119</v>
      </c>
      <c r="D192" t="s">
        <v>705</v>
      </c>
      <c r="E192">
        <v>36</v>
      </c>
      <c r="F192">
        <v>37</v>
      </c>
      <c r="G192">
        <v>36</v>
      </c>
      <c r="H192">
        <v>37</v>
      </c>
      <c r="I192">
        <v>37</v>
      </c>
      <c r="J192">
        <v>36</v>
      </c>
      <c r="K192">
        <v>41</v>
      </c>
      <c r="L192">
        <v>40</v>
      </c>
      <c r="M192">
        <v>43</v>
      </c>
      <c r="N192">
        <v>43</v>
      </c>
      <c r="O192">
        <v>33</v>
      </c>
      <c r="P192">
        <v>37</v>
      </c>
      <c r="Q192">
        <v>0</v>
      </c>
      <c r="R192">
        <v>1</v>
      </c>
      <c r="S192">
        <v>0</v>
      </c>
      <c r="V192"/>
      <c r="W192"/>
      <c r="X192"/>
    </row>
    <row r="193" spans="1:24" x14ac:dyDescent="0.3">
      <c r="A193" t="str">
        <f>Table_Capacity_Community_frontsheet[[#This Row],[Name]]&amp;B193</f>
        <v>County DurhamReablement &amp; Rehabilitation at home</v>
      </c>
      <c r="B193" t="str">
        <f>VLOOKUP(Table_Capacity_Community_frontsheet[[#This Row],[Service Area]],PathwayLookup!E:F,2,0)</f>
        <v>Reablement &amp; Rehabilitation at home</v>
      </c>
      <c r="C193" t="s">
        <v>119</v>
      </c>
      <c r="D193" t="s">
        <v>727</v>
      </c>
      <c r="E193">
        <v>67</v>
      </c>
      <c r="F193">
        <v>70</v>
      </c>
      <c r="G193">
        <v>68</v>
      </c>
      <c r="H193">
        <v>70</v>
      </c>
      <c r="I193">
        <v>70</v>
      </c>
      <c r="J193">
        <v>68</v>
      </c>
      <c r="K193">
        <v>77</v>
      </c>
      <c r="L193">
        <v>75</v>
      </c>
      <c r="M193">
        <v>81</v>
      </c>
      <c r="N193">
        <v>81</v>
      </c>
      <c r="O193">
        <v>63</v>
      </c>
      <c r="P193">
        <v>70</v>
      </c>
      <c r="Q193">
        <v>0</v>
      </c>
      <c r="R193">
        <v>1</v>
      </c>
      <c r="S193">
        <v>0</v>
      </c>
      <c r="V193"/>
      <c r="W193"/>
      <c r="X193"/>
    </row>
    <row r="194" spans="1:24" x14ac:dyDescent="0.3">
      <c r="A194" t="str">
        <f>Table_Capacity_Community_frontsheet[[#This Row],[Name]]&amp;B194</f>
        <v>County DurhamReablement &amp; Rehabilitation at home</v>
      </c>
      <c r="B194" t="str">
        <f>VLOOKUP(Table_Capacity_Community_frontsheet[[#This Row],[Service Area]],PathwayLookup!E:F,2,0)</f>
        <v>Reablement &amp; Rehabilitation at home</v>
      </c>
      <c r="C194" t="s">
        <v>119</v>
      </c>
      <c r="D194" t="s">
        <v>729</v>
      </c>
      <c r="Q194">
        <v>0</v>
      </c>
      <c r="R194">
        <v>0</v>
      </c>
      <c r="S194">
        <v>0</v>
      </c>
      <c r="V194"/>
      <c r="W194"/>
      <c r="X194"/>
    </row>
    <row r="195" spans="1:24" x14ac:dyDescent="0.3">
      <c r="A195" t="str">
        <f>Table_Capacity_Community_frontsheet[[#This Row],[Name]]&amp;B195</f>
        <v>County DurhamReablement &amp; Rehabilitation in a bedded setting</v>
      </c>
      <c r="B195" t="str">
        <f>VLOOKUP(Table_Capacity_Community_frontsheet[[#This Row],[Service Area]],PathwayLookup!E:F,2,0)</f>
        <v>Reablement &amp; Rehabilitation in a bedded setting</v>
      </c>
      <c r="C195" t="s">
        <v>119</v>
      </c>
      <c r="D195" t="s">
        <v>723</v>
      </c>
      <c r="Q195">
        <v>0</v>
      </c>
      <c r="R195">
        <v>0</v>
      </c>
      <c r="S195">
        <v>0</v>
      </c>
      <c r="V195"/>
      <c r="W195"/>
      <c r="X195"/>
    </row>
    <row r="196" spans="1:24" x14ac:dyDescent="0.3">
      <c r="A196" t="str">
        <f>Table_Capacity_Community_frontsheet[[#This Row],[Name]]&amp;B196</f>
        <v>County DurhamReablement &amp; Rehabilitation in a bedded setting</v>
      </c>
      <c r="B196" t="str">
        <f>VLOOKUP(Table_Capacity_Community_frontsheet[[#This Row],[Service Area]],PathwayLookup!E:F,2,0)</f>
        <v>Reablement &amp; Rehabilitation in a bedded setting</v>
      </c>
      <c r="C196" t="s">
        <v>119</v>
      </c>
      <c r="D196" t="s">
        <v>725</v>
      </c>
      <c r="E196">
        <v>74</v>
      </c>
      <c r="F196">
        <v>77</v>
      </c>
      <c r="G196">
        <v>74</v>
      </c>
      <c r="H196">
        <v>77</v>
      </c>
      <c r="I196">
        <v>77</v>
      </c>
      <c r="J196">
        <v>74</v>
      </c>
      <c r="K196">
        <v>85</v>
      </c>
      <c r="L196">
        <v>81</v>
      </c>
      <c r="M196">
        <v>89</v>
      </c>
      <c r="N196">
        <v>89</v>
      </c>
      <c r="O196">
        <v>69</v>
      </c>
      <c r="P196">
        <v>77</v>
      </c>
      <c r="Q196">
        <v>0</v>
      </c>
      <c r="R196">
        <v>1</v>
      </c>
      <c r="S196">
        <v>0</v>
      </c>
      <c r="V196"/>
      <c r="W196"/>
      <c r="X196"/>
    </row>
    <row r="197" spans="1:24" x14ac:dyDescent="0.3">
      <c r="A197" t="str">
        <f>Table_Capacity_Community_frontsheet[[#This Row],[Name]]&amp;B197</f>
        <v>County DurhamOther short-term social care</v>
      </c>
      <c r="B197" t="str">
        <f>VLOOKUP(Table_Capacity_Community_frontsheet[[#This Row],[Service Area]],PathwayLookup!E:F,2,0)</f>
        <v>Other short-term social care</v>
      </c>
      <c r="C197" t="s">
        <v>119</v>
      </c>
      <c r="D197" t="s">
        <v>708</v>
      </c>
      <c r="E197">
        <v>152</v>
      </c>
      <c r="F197">
        <v>157</v>
      </c>
      <c r="G197">
        <v>152</v>
      </c>
      <c r="H197">
        <v>157</v>
      </c>
      <c r="I197">
        <v>157</v>
      </c>
      <c r="J197">
        <v>152</v>
      </c>
      <c r="K197">
        <v>173</v>
      </c>
      <c r="L197">
        <v>167</v>
      </c>
      <c r="M197">
        <v>181</v>
      </c>
      <c r="N197">
        <v>181</v>
      </c>
      <c r="O197">
        <v>142</v>
      </c>
      <c r="P197">
        <v>157</v>
      </c>
      <c r="Q197">
        <v>0</v>
      </c>
      <c r="R197">
        <v>1</v>
      </c>
      <c r="S197">
        <v>0</v>
      </c>
      <c r="V197"/>
      <c r="W197"/>
      <c r="X197"/>
    </row>
    <row r="198" spans="1:24" x14ac:dyDescent="0.3">
      <c r="A198" t="str">
        <f>Table_Capacity_Community_frontsheet[[#This Row],[Name]]&amp;B198</f>
        <v>CoventrySocial support (including VCS)</v>
      </c>
      <c r="B198" t="str">
        <f>VLOOKUP(Table_Capacity_Community_frontsheet[[#This Row],[Service Area]],PathwayLookup!E:F,2,0)</f>
        <v>Social support (including VCS)</v>
      </c>
      <c r="C198" t="s">
        <v>121</v>
      </c>
      <c r="D198" t="s">
        <v>704</v>
      </c>
      <c r="E198">
        <v>0</v>
      </c>
      <c r="F198">
        <v>0</v>
      </c>
      <c r="G198">
        <v>0</v>
      </c>
      <c r="H198">
        <v>0</v>
      </c>
      <c r="I198">
        <v>0</v>
      </c>
      <c r="J198">
        <v>0</v>
      </c>
      <c r="K198">
        <v>0</v>
      </c>
      <c r="L198">
        <v>0</v>
      </c>
      <c r="M198">
        <v>0</v>
      </c>
      <c r="N198">
        <v>0</v>
      </c>
      <c r="O198">
        <v>0</v>
      </c>
      <c r="P198">
        <v>0</v>
      </c>
      <c r="V198"/>
      <c r="W198"/>
      <c r="X198"/>
    </row>
    <row r="199" spans="1:24" x14ac:dyDescent="0.3">
      <c r="A199" t="str">
        <f>Table_Capacity_Community_frontsheet[[#This Row],[Name]]&amp;B199</f>
        <v>CoventryUrgent Community Response</v>
      </c>
      <c r="B199" t="str">
        <f>VLOOKUP(Table_Capacity_Community_frontsheet[[#This Row],[Service Area]],PathwayLookup!E:F,2,0)</f>
        <v>Urgent Community Response</v>
      </c>
      <c r="C199" t="s">
        <v>121</v>
      </c>
      <c r="D199" t="s">
        <v>705</v>
      </c>
      <c r="E199">
        <v>0</v>
      </c>
      <c r="F199">
        <v>0</v>
      </c>
      <c r="G199">
        <v>0</v>
      </c>
      <c r="H199">
        <v>0</v>
      </c>
      <c r="I199">
        <v>0</v>
      </c>
      <c r="J199">
        <v>0</v>
      </c>
      <c r="K199">
        <v>0</v>
      </c>
      <c r="L199">
        <v>0</v>
      </c>
      <c r="M199">
        <v>0</v>
      </c>
      <c r="N199">
        <v>0</v>
      </c>
      <c r="O199">
        <v>0</v>
      </c>
      <c r="P199">
        <v>0</v>
      </c>
      <c r="V199"/>
      <c r="W199"/>
      <c r="X199"/>
    </row>
    <row r="200" spans="1:24" x14ac:dyDescent="0.3">
      <c r="A200" t="str">
        <f>Table_Capacity_Community_frontsheet[[#This Row],[Name]]&amp;B200</f>
        <v>CoventryReablement &amp; Rehabilitation at home</v>
      </c>
      <c r="B200" t="str">
        <f>VLOOKUP(Table_Capacity_Community_frontsheet[[#This Row],[Service Area]],PathwayLookup!E:F,2,0)</f>
        <v>Reablement &amp; Rehabilitation at home</v>
      </c>
      <c r="C200" t="s">
        <v>121</v>
      </c>
      <c r="D200" t="s">
        <v>727</v>
      </c>
      <c r="E200">
        <v>0</v>
      </c>
      <c r="F200">
        <v>0</v>
      </c>
      <c r="G200">
        <v>0</v>
      </c>
      <c r="H200">
        <v>0</v>
      </c>
      <c r="I200">
        <v>0</v>
      </c>
      <c r="J200">
        <v>0</v>
      </c>
      <c r="K200">
        <v>0</v>
      </c>
      <c r="L200">
        <v>0</v>
      </c>
      <c r="M200">
        <v>0</v>
      </c>
      <c r="N200">
        <v>0</v>
      </c>
      <c r="O200">
        <v>0</v>
      </c>
      <c r="P200">
        <v>0</v>
      </c>
      <c r="V200"/>
      <c r="W200"/>
      <c r="X200"/>
    </row>
    <row r="201" spans="1:24" x14ac:dyDescent="0.3">
      <c r="A201" t="str">
        <f>Table_Capacity_Community_frontsheet[[#This Row],[Name]]&amp;B201</f>
        <v>CoventryReablement &amp; Rehabilitation at home</v>
      </c>
      <c r="B201" t="str">
        <f>VLOOKUP(Table_Capacity_Community_frontsheet[[#This Row],[Service Area]],PathwayLookup!E:F,2,0)</f>
        <v>Reablement &amp; Rehabilitation at home</v>
      </c>
      <c r="C201" t="s">
        <v>121</v>
      </c>
      <c r="D201" t="s">
        <v>729</v>
      </c>
      <c r="E201">
        <v>0</v>
      </c>
      <c r="F201">
        <v>0</v>
      </c>
      <c r="G201">
        <v>0</v>
      </c>
      <c r="H201">
        <v>0</v>
      </c>
      <c r="I201">
        <v>0</v>
      </c>
      <c r="J201">
        <v>0</v>
      </c>
      <c r="K201">
        <v>0</v>
      </c>
      <c r="L201">
        <v>0</v>
      </c>
      <c r="M201">
        <v>0</v>
      </c>
      <c r="N201">
        <v>0</v>
      </c>
      <c r="O201">
        <v>0</v>
      </c>
      <c r="P201">
        <v>0</v>
      </c>
      <c r="V201"/>
      <c r="W201"/>
      <c r="X201"/>
    </row>
    <row r="202" spans="1:24" x14ac:dyDescent="0.3">
      <c r="A202" t="str">
        <f>Table_Capacity_Community_frontsheet[[#This Row],[Name]]&amp;B202</f>
        <v>CoventryReablement &amp; Rehabilitation in a bedded setting</v>
      </c>
      <c r="B202" t="str">
        <f>VLOOKUP(Table_Capacity_Community_frontsheet[[#This Row],[Service Area]],PathwayLookup!E:F,2,0)</f>
        <v>Reablement &amp; Rehabilitation in a bedded setting</v>
      </c>
      <c r="C202" t="s">
        <v>121</v>
      </c>
      <c r="D202" t="s">
        <v>723</v>
      </c>
      <c r="E202">
        <v>0</v>
      </c>
      <c r="F202">
        <v>0</v>
      </c>
      <c r="G202">
        <v>0</v>
      </c>
      <c r="H202">
        <v>0</v>
      </c>
      <c r="I202">
        <v>0</v>
      </c>
      <c r="J202">
        <v>0</v>
      </c>
      <c r="K202">
        <v>0</v>
      </c>
      <c r="L202">
        <v>0</v>
      </c>
      <c r="M202">
        <v>0</v>
      </c>
      <c r="N202">
        <v>0</v>
      </c>
      <c r="O202">
        <v>0</v>
      </c>
      <c r="P202">
        <v>0</v>
      </c>
      <c r="V202"/>
      <c r="W202"/>
      <c r="X202"/>
    </row>
    <row r="203" spans="1:24" x14ac:dyDescent="0.3">
      <c r="A203" t="str">
        <f>Table_Capacity_Community_frontsheet[[#This Row],[Name]]&amp;B203</f>
        <v>CoventryReablement &amp; Rehabilitation in a bedded setting</v>
      </c>
      <c r="B203" t="str">
        <f>VLOOKUP(Table_Capacity_Community_frontsheet[[#This Row],[Service Area]],PathwayLookup!E:F,2,0)</f>
        <v>Reablement &amp; Rehabilitation in a bedded setting</v>
      </c>
      <c r="C203" t="s">
        <v>121</v>
      </c>
      <c r="D203" t="s">
        <v>725</v>
      </c>
      <c r="E203">
        <v>0</v>
      </c>
      <c r="F203">
        <v>0</v>
      </c>
      <c r="G203">
        <v>0</v>
      </c>
      <c r="H203">
        <v>0</v>
      </c>
      <c r="I203">
        <v>0</v>
      </c>
      <c r="J203">
        <v>0</v>
      </c>
      <c r="K203">
        <v>0</v>
      </c>
      <c r="L203">
        <v>0</v>
      </c>
      <c r="M203">
        <v>0</v>
      </c>
      <c r="N203">
        <v>0</v>
      </c>
      <c r="O203">
        <v>0</v>
      </c>
      <c r="P203">
        <v>0</v>
      </c>
      <c r="V203"/>
      <c r="W203"/>
      <c r="X203"/>
    </row>
    <row r="204" spans="1:24" x14ac:dyDescent="0.3">
      <c r="A204" t="str">
        <f>Table_Capacity_Community_frontsheet[[#This Row],[Name]]&amp;B204</f>
        <v>CoventryOther short-term social care</v>
      </c>
      <c r="B204" t="str">
        <f>VLOOKUP(Table_Capacity_Community_frontsheet[[#This Row],[Service Area]],PathwayLookup!E:F,2,0)</f>
        <v>Other short-term social care</v>
      </c>
      <c r="C204" t="s">
        <v>121</v>
      </c>
      <c r="D204" t="s">
        <v>708</v>
      </c>
      <c r="E204">
        <v>0</v>
      </c>
      <c r="F204">
        <v>0</v>
      </c>
      <c r="G204">
        <v>0</v>
      </c>
      <c r="H204">
        <v>0</v>
      </c>
      <c r="I204">
        <v>0</v>
      </c>
      <c r="J204">
        <v>0</v>
      </c>
      <c r="K204">
        <v>0</v>
      </c>
      <c r="L204">
        <v>0</v>
      </c>
      <c r="M204">
        <v>0</v>
      </c>
      <c r="N204">
        <v>0</v>
      </c>
      <c r="O204">
        <v>0</v>
      </c>
      <c r="P204">
        <v>0</v>
      </c>
      <c r="V204"/>
      <c r="W204"/>
      <c r="X204"/>
    </row>
    <row r="205" spans="1:24" x14ac:dyDescent="0.3">
      <c r="A205" t="str">
        <f>Table_Capacity_Community_frontsheet[[#This Row],[Name]]&amp;B205</f>
        <v>CroydonSocial support (including VCS)</v>
      </c>
      <c r="B205" t="str">
        <f>VLOOKUP(Table_Capacity_Community_frontsheet[[#This Row],[Service Area]],PathwayLookup!E:F,2,0)</f>
        <v>Social support (including VCS)</v>
      </c>
      <c r="C205" t="s">
        <v>123</v>
      </c>
      <c r="D205" t="s">
        <v>704</v>
      </c>
      <c r="E205">
        <v>81</v>
      </c>
      <c r="F205">
        <v>81</v>
      </c>
      <c r="G205">
        <v>81</v>
      </c>
      <c r="H205">
        <v>81</v>
      </c>
      <c r="I205">
        <v>81</v>
      </c>
      <c r="J205">
        <v>81</v>
      </c>
      <c r="K205">
        <v>81</v>
      </c>
      <c r="L205">
        <v>81</v>
      </c>
      <c r="M205">
        <v>81</v>
      </c>
      <c r="N205">
        <v>81</v>
      </c>
      <c r="O205">
        <v>81</v>
      </c>
      <c r="P205">
        <v>81</v>
      </c>
      <c r="Q205">
        <v>1</v>
      </c>
      <c r="V205"/>
      <c r="W205"/>
      <c r="X205"/>
    </row>
    <row r="206" spans="1:24" x14ac:dyDescent="0.3">
      <c r="A206" t="str">
        <f>Table_Capacity_Community_frontsheet[[#This Row],[Name]]&amp;B206</f>
        <v>CroydonUrgent Community Response</v>
      </c>
      <c r="B206" t="str">
        <f>VLOOKUP(Table_Capacity_Community_frontsheet[[#This Row],[Service Area]],PathwayLookup!E:F,2,0)</f>
        <v>Urgent Community Response</v>
      </c>
      <c r="C206" t="s">
        <v>123</v>
      </c>
      <c r="D206" t="s">
        <v>705</v>
      </c>
      <c r="E206">
        <v>408</v>
      </c>
      <c r="F206">
        <v>319</v>
      </c>
      <c r="G206">
        <v>364</v>
      </c>
      <c r="H206">
        <v>388</v>
      </c>
      <c r="I206">
        <v>372</v>
      </c>
      <c r="J206">
        <v>338</v>
      </c>
      <c r="K206">
        <v>470</v>
      </c>
      <c r="L206">
        <v>395</v>
      </c>
      <c r="M206">
        <v>510</v>
      </c>
      <c r="N206">
        <v>408</v>
      </c>
      <c r="O206">
        <v>415</v>
      </c>
      <c r="P206">
        <v>443</v>
      </c>
      <c r="Q206">
        <v>1</v>
      </c>
      <c r="V206"/>
      <c r="W206"/>
      <c r="X206"/>
    </row>
    <row r="207" spans="1:24" x14ac:dyDescent="0.3">
      <c r="A207" t="str">
        <f>Table_Capacity_Community_frontsheet[[#This Row],[Name]]&amp;B207</f>
        <v>CroydonReablement &amp; Rehabilitation at home</v>
      </c>
      <c r="B207" t="str">
        <f>VLOOKUP(Table_Capacity_Community_frontsheet[[#This Row],[Service Area]],PathwayLookup!E:F,2,0)</f>
        <v>Reablement &amp; Rehabilitation at home</v>
      </c>
      <c r="C207" t="s">
        <v>123</v>
      </c>
      <c r="D207" t="s">
        <v>727</v>
      </c>
      <c r="E207">
        <v>87</v>
      </c>
      <c r="F207">
        <v>87</v>
      </c>
      <c r="G207">
        <v>87</v>
      </c>
      <c r="H207">
        <v>87</v>
      </c>
      <c r="I207">
        <v>87</v>
      </c>
      <c r="J207">
        <v>87</v>
      </c>
      <c r="K207">
        <v>130</v>
      </c>
      <c r="L207">
        <v>130</v>
      </c>
      <c r="M207">
        <v>130</v>
      </c>
      <c r="N207">
        <v>130</v>
      </c>
      <c r="O207">
        <v>130</v>
      </c>
      <c r="P207">
        <v>130</v>
      </c>
      <c r="S207">
        <v>1</v>
      </c>
      <c r="V207"/>
      <c r="W207"/>
      <c r="X207"/>
    </row>
    <row r="208" spans="1:24" x14ac:dyDescent="0.3">
      <c r="A208" t="str">
        <f>Table_Capacity_Community_frontsheet[[#This Row],[Name]]&amp;B208</f>
        <v>CroydonReablement &amp; Rehabilitation at home</v>
      </c>
      <c r="B208" t="str">
        <f>VLOOKUP(Table_Capacity_Community_frontsheet[[#This Row],[Service Area]],PathwayLookup!E:F,2,0)</f>
        <v>Reablement &amp; Rehabilitation at home</v>
      </c>
      <c r="C208" t="s">
        <v>123</v>
      </c>
      <c r="D208" t="s">
        <v>729</v>
      </c>
      <c r="E208">
        <v>3</v>
      </c>
      <c r="F208">
        <v>3</v>
      </c>
      <c r="G208">
        <v>3</v>
      </c>
      <c r="H208">
        <v>3</v>
      </c>
      <c r="I208">
        <v>3</v>
      </c>
      <c r="J208">
        <v>3</v>
      </c>
      <c r="K208">
        <v>5</v>
      </c>
      <c r="L208">
        <v>5</v>
      </c>
      <c r="M208">
        <v>5</v>
      </c>
      <c r="N208">
        <v>5</v>
      </c>
      <c r="O208">
        <v>4</v>
      </c>
      <c r="P208">
        <v>5</v>
      </c>
      <c r="S208">
        <v>1</v>
      </c>
      <c r="V208"/>
      <c r="W208"/>
      <c r="X208"/>
    </row>
    <row r="209" spans="1:24" x14ac:dyDescent="0.3">
      <c r="A209" t="str">
        <f>Table_Capacity_Community_frontsheet[[#This Row],[Name]]&amp;B209</f>
        <v>CroydonReablement &amp; Rehabilitation in a bedded setting</v>
      </c>
      <c r="B209" t="str">
        <f>VLOOKUP(Table_Capacity_Community_frontsheet[[#This Row],[Service Area]],PathwayLookup!E:F,2,0)</f>
        <v>Reablement &amp; Rehabilitation in a bedded setting</v>
      </c>
      <c r="C209" t="s">
        <v>123</v>
      </c>
      <c r="D209" t="s">
        <v>723</v>
      </c>
      <c r="E209">
        <v>0</v>
      </c>
      <c r="F209">
        <v>0</v>
      </c>
      <c r="G209">
        <v>0</v>
      </c>
      <c r="H209">
        <v>0</v>
      </c>
      <c r="I209">
        <v>0</v>
      </c>
      <c r="J209">
        <v>0</v>
      </c>
      <c r="K209">
        <v>0</v>
      </c>
      <c r="L209">
        <v>0</v>
      </c>
      <c r="M209">
        <v>0</v>
      </c>
      <c r="N209">
        <v>0</v>
      </c>
      <c r="O209">
        <v>0</v>
      </c>
      <c r="P209">
        <v>0</v>
      </c>
      <c r="V209"/>
      <c r="W209"/>
      <c r="X209"/>
    </row>
    <row r="210" spans="1:24" x14ac:dyDescent="0.3">
      <c r="A210" t="str">
        <f>Table_Capacity_Community_frontsheet[[#This Row],[Name]]&amp;B210</f>
        <v>CroydonReablement &amp; Rehabilitation in a bedded setting</v>
      </c>
      <c r="B210" t="str">
        <f>VLOOKUP(Table_Capacity_Community_frontsheet[[#This Row],[Service Area]],PathwayLookup!E:F,2,0)</f>
        <v>Reablement &amp; Rehabilitation in a bedded setting</v>
      </c>
      <c r="C210" t="s">
        <v>123</v>
      </c>
      <c r="D210" t="s">
        <v>725</v>
      </c>
      <c r="E210">
        <v>0</v>
      </c>
      <c r="F210">
        <v>0</v>
      </c>
      <c r="G210">
        <v>0</v>
      </c>
      <c r="H210">
        <v>0</v>
      </c>
      <c r="I210">
        <v>0</v>
      </c>
      <c r="J210">
        <v>0</v>
      </c>
      <c r="K210">
        <v>0</v>
      </c>
      <c r="L210">
        <v>0</v>
      </c>
      <c r="M210">
        <v>0</v>
      </c>
      <c r="N210">
        <v>0</v>
      </c>
      <c r="O210">
        <v>0</v>
      </c>
      <c r="P210">
        <v>0</v>
      </c>
      <c r="V210"/>
      <c r="W210"/>
      <c r="X210"/>
    </row>
    <row r="211" spans="1:24" x14ac:dyDescent="0.3">
      <c r="A211" t="str">
        <f>Table_Capacity_Community_frontsheet[[#This Row],[Name]]&amp;B211</f>
        <v>CroydonOther short-term social care</v>
      </c>
      <c r="B211" t="str">
        <f>VLOOKUP(Table_Capacity_Community_frontsheet[[#This Row],[Service Area]],PathwayLookup!E:F,2,0)</f>
        <v>Other short-term social care</v>
      </c>
      <c r="C211" t="s">
        <v>123</v>
      </c>
      <c r="D211" t="s">
        <v>708</v>
      </c>
      <c r="E211">
        <v>2</v>
      </c>
      <c r="F211">
        <v>2</v>
      </c>
      <c r="G211">
        <v>2</v>
      </c>
      <c r="H211">
        <v>2</v>
      </c>
      <c r="I211">
        <v>2</v>
      </c>
      <c r="J211">
        <v>2</v>
      </c>
      <c r="K211">
        <v>2</v>
      </c>
      <c r="L211">
        <v>2</v>
      </c>
      <c r="M211">
        <v>2</v>
      </c>
      <c r="N211">
        <v>2</v>
      </c>
      <c r="O211">
        <v>2</v>
      </c>
      <c r="P211">
        <v>2</v>
      </c>
      <c r="R211">
        <v>1</v>
      </c>
      <c r="V211"/>
      <c r="W211"/>
      <c r="X211"/>
    </row>
    <row r="212" spans="1:24" x14ac:dyDescent="0.3">
      <c r="A212" t="str">
        <f>Table_Capacity_Community_frontsheet[[#This Row],[Name]]&amp;B212</f>
        <v>CumberlandSocial support (including VCS)</v>
      </c>
      <c r="B212" t="str">
        <f>VLOOKUP(Table_Capacity_Community_frontsheet[[#This Row],[Service Area]],PathwayLookup!E:F,2,0)</f>
        <v>Social support (including VCS)</v>
      </c>
      <c r="C212" t="s">
        <v>125</v>
      </c>
      <c r="D212" t="s">
        <v>704</v>
      </c>
      <c r="E212">
        <v>0</v>
      </c>
      <c r="F212">
        <v>0</v>
      </c>
      <c r="G212">
        <v>0</v>
      </c>
      <c r="H212">
        <v>0</v>
      </c>
      <c r="I212">
        <v>0</v>
      </c>
      <c r="J212">
        <v>0</v>
      </c>
      <c r="K212">
        <v>0</v>
      </c>
      <c r="L212">
        <v>0</v>
      </c>
      <c r="M212">
        <v>0</v>
      </c>
      <c r="N212">
        <v>0</v>
      </c>
      <c r="O212">
        <v>0</v>
      </c>
      <c r="P212">
        <v>0</v>
      </c>
      <c r="V212"/>
      <c r="W212"/>
      <c r="X212"/>
    </row>
    <row r="213" spans="1:24" x14ac:dyDescent="0.3">
      <c r="A213" t="str">
        <f>Table_Capacity_Community_frontsheet[[#This Row],[Name]]&amp;B213</f>
        <v>CumberlandUrgent Community Response</v>
      </c>
      <c r="B213" t="str">
        <f>VLOOKUP(Table_Capacity_Community_frontsheet[[#This Row],[Service Area]],PathwayLookup!E:F,2,0)</f>
        <v>Urgent Community Response</v>
      </c>
      <c r="C213" t="s">
        <v>125</v>
      </c>
      <c r="D213" t="s">
        <v>705</v>
      </c>
      <c r="E213">
        <v>25</v>
      </c>
      <c r="F213">
        <v>25</v>
      </c>
      <c r="G213">
        <v>25</v>
      </c>
      <c r="H213">
        <v>25</v>
      </c>
      <c r="I213">
        <v>25</v>
      </c>
      <c r="J213">
        <v>25</v>
      </c>
      <c r="K213">
        <v>31</v>
      </c>
      <c r="L213">
        <v>31</v>
      </c>
      <c r="M213">
        <v>31</v>
      </c>
      <c r="N213">
        <v>31</v>
      </c>
      <c r="O213">
        <v>31</v>
      </c>
      <c r="P213">
        <v>31</v>
      </c>
      <c r="Q213">
        <v>1</v>
      </c>
      <c r="V213"/>
      <c r="W213"/>
      <c r="X213"/>
    </row>
    <row r="214" spans="1:24" x14ac:dyDescent="0.3">
      <c r="A214" t="str">
        <f>Table_Capacity_Community_frontsheet[[#This Row],[Name]]&amp;B214</f>
        <v>CumberlandReablement &amp; Rehabilitation at home</v>
      </c>
      <c r="B214" t="str">
        <f>VLOOKUP(Table_Capacity_Community_frontsheet[[#This Row],[Service Area]],PathwayLookup!E:F,2,0)</f>
        <v>Reablement &amp; Rehabilitation at home</v>
      </c>
      <c r="C214" t="s">
        <v>125</v>
      </c>
      <c r="D214" t="s">
        <v>727</v>
      </c>
      <c r="E214">
        <v>58</v>
      </c>
      <c r="F214">
        <v>58</v>
      </c>
      <c r="G214">
        <v>58</v>
      </c>
      <c r="H214">
        <v>58</v>
      </c>
      <c r="I214">
        <v>58</v>
      </c>
      <c r="J214">
        <v>58</v>
      </c>
      <c r="K214">
        <v>58</v>
      </c>
      <c r="L214">
        <v>58</v>
      </c>
      <c r="M214">
        <v>58</v>
      </c>
      <c r="N214">
        <v>58</v>
      </c>
      <c r="O214">
        <v>58</v>
      </c>
      <c r="P214">
        <v>58</v>
      </c>
      <c r="R214">
        <v>1</v>
      </c>
      <c r="V214"/>
      <c r="W214"/>
      <c r="X214"/>
    </row>
    <row r="215" spans="1:24" x14ac:dyDescent="0.3">
      <c r="A215" t="str">
        <f>Table_Capacity_Community_frontsheet[[#This Row],[Name]]&amp;B215</f>
        <v>CumberlandReablement &amp; Rehabilitation at home</v>
      </c>
      <c r="B215" t="str">
        <f>VLOOKUP(Table_Capacity_Community_frontsheet[[#This Row],[Service Area]],PathwayLookup!E:F,2,0)</f>
        <v>Reablement &amp; Rehabilitation at home</v>
      </c>
      <c r="C215" t="s">
        <v>125</v>
      </c>
      <c r="D215" t="s">
        <v>729</v>
      </c>
      <c r="E215">
        <v>123</v>
      </c>
      <c r="F215">
        <v>135</v>
      </c>
      <c r="G215">
        <v>135</v>
      </c>
      <c r="H215">
        <v>135</v>
      </c>
      <c r="I215">
        <v>135</v>
      </c>
      <c r="J215">
        <v>135</v>
      </c>
      <c r="K215">
        <v>140</v>
      </c>
      <c r="L215">
        <v>140</v>
      </c>
      <c r="M215">
        <v>140</v>
      </c>
      <c r="N215">
        <v>140</v>
      </c>
      <c r="O215">
        <v>140</v>
      </c>
      <c r="P215">
        <v>140</v>
      </c>
      <c r="Q215">
        <v>1</v>
      </c>
      <c r="V215"/>
      <c r="W215"/>
      <c r="X215"/>
    </row>
    <row r="216" spans="1:24" x14ac:dyDescent="0.3">
      <c r="A216" t="str">
        <f>Table_Capacity_Community_frontsheet[[#This Row],[Name]]&amp;B216</f>
        <v>CumberlandReablement &amp; Rehabilitation in a bedded setting</v>
      </c>
      <c r="B216" t="str">
        <f>VLOOKUP(Table_Capacity_Community_frontsheet[[#This Row],[Service Area]],PathwayLookup!E:F,2,0)</f>
        <v>Reablement &amp; Rehabilitation in a bedded setting</v>
      </c>
      <c r="C216" t="s">
        <v>125</v>
      </c>
      <c r="D216" t="s">
        <v>723</v>
      </c>
      <c r="E216">
        <v>0</v>
      </c>
      <c r="F216">
        <v>0</v>
      </c>
      <c r="G216">
        <v>0</v>
      </c>
      <c r="H216">
        <v>0</v>
      </c>
      <c r="I216">
        <v>0</v>
      </c>
      <c r="J216">
        <v>0</v>
      </c>
      <c r="K216">
        <v>0</v>
      </c>
      <c r="L216">
        <v>0</v>
      </c>
      <c r="M216">
        <v>0</v>
      </c>
      <c r="N216">
        <v>0</v>
      </c>
      <c r="O216">
        <v>0</v>
      </c>
      <c r="P216">
        <v>0</v>
      </c>
      <c r="V216"/>
      <c r="W216"/>
      <c r="X216"/>
    </row>
    <row r="217" spans="1:24" x14ac:dyDescent="0.3">
      <c r="A217" t="str">
        <f>Table_Capacity_Community_frontsheet[[#This Row],[Name]]&amp;B217</f>
        <v>CumberlandReablement &amp; Rehabilitation in a bedded setting</v>
      </c>
      <c r="B217" t="str">
        <f>VLOOKUP(Table_Capacity_Community_frontsheet[[#This Row],[Service Area]],PathwayLookup!E:F,2,0)</f>
        <v>Reablement &amp; Rehabilitation in a bedded setting</v>
      </c>
      <c r="C217" t="s">
        <v>125</v>
      </c>
      <c r="D217" t="s">
        <v>725</v>
      </c>
      <c r="E217">
        <v>28</v>
      </c>
      <c r="F217">
        <v>28</v>
      </c>
      <c r="G217">
        <v>28</v>
      </c>
      <c r="H217">
        <v>28</v>
      </c>
      <c r="I217">
        <v>28</v>
      </c>
      <c r="J217">
        <v>28</v>
      </c>
      <c r="K217">
        <v>40</v>
      </c>
      <c r="L217">
        <v>40</v>
      </c>
      <c r="M217">
        <v>40</v>
      </c>
      <c r="N217">
        <v>40</v>
      </c>
      <c r="O217">
        <v>40</v>
      </c>
      <c r="P217">
        <v>40</v>
      </c>
      <c r="S217">
        <v>1</v>
      </c>
      <c r="V217"/>
      <c r="W217"/>
      <c r="X217"/>
    </row>
    <row r="218" spans="1:24" x14ac:dyDescent="0.3">
      <c r="A218" t="str">
        <f>Table_Capacity_Community_frontsheet[[#This Row],[Name]]&amp;B218</f>
        <v>CumberlandOther short-term social care</v>
      </c>
      <c r="B218" t="str">
        <f>VLOOKUP(Table_Capacity_Community_frontsheet[[#This Row],[Service Area]],PathwayLookup!E:F,2,0)</f>
        <v>Other short-term social care</v>
      </c>
      <c r="C218" t="s">
        <v>125</v>
      </c>
      <c r="D218" t="s">
        <v>708</v>
      </c>
      <c r="E218">
        <v>0</v>
      </c>
      <c r="F218">
        <v>0</v>
      </c>
      <c r="G218">
        <v>0</v>
      </c>
      <c r="H218">
        <v>0</v>
      </c>
      <c r="I218">
        <v>0</v>
      </c>
      <c r="J218">
        <v>0</v>
      </c>
      <c r="K218">
        <v>0</v>
      </c>
      <c r="L218">
        <v>0</v>
      </c>
      <c r="M218">
        <v>0</v>
      </c>
      <c r="N218">
        <v>0</v>
      </c>
      <c r="O218">
        <v>0</v>
      </c>
      <c r="P218">
        <v>0</v>
      </c>
      <c r="V218"/>
      <c r="W218"/>
      <c r="X218"/>
    </row>
    <row r="219" spans="1:24" x14ac:dyDescent="0.3">
      <c r="A219" t="str">
        <f>Table_Capacity_Community_frontsheet[[#This Row],[Name]]&amp;B219</f>
        <v>DarlingtonSocial support (including VCS)</v>
      </c>
      <c r="B219" t="str">
        <f>VLOOKUP(Table_Capacity_Community_frontsheet[[#This Row],[Service Area]],PathwayLookup!E:F,2,0)</f>
        <v>Social support (including VCS)</v>
      </c>
      <c r="C219" t="s">
        <v>127</v>
      </c>
      <c r="D219" t="s">
        <v>704</v>
      </c>
      <c r="E219">
        <v>0</v>
      </c>
      <c r="F219">
        <v>0</v>
      </c>
      <c r="G219">
        <v>0</v>
      </c>
      <c r="H219">
        <v>0</v>
      </c>
      <c r="I219">
        <v>0</v>
      </c>
      <c r="J219">
        <v>0</v>
      </c>
      <c r="K219">
        <v>0</v>
      </c>
      <c r="L219">
        <v>0</v>
      </c>
      <c r="M219">
        <v>0</v>
      </c>
      <c r="N219">
        <v>0</v>
      </c>
      <c r="O219">
        <v>0</v>
      </c>
      <c r="P219">
        <v>0</v>
      </c>
      <c r="V219"/>
      <c r="W219"/>
      <c r="X219"/>
    </row>
    <row r="220" spans="1:24" x14ac:dyDescent="0.3">
      <c r="A220" t="str">
        <f>Table_Capacity_Community_frontsheet[[#This Row],[Name]]&amp;B220</f>
        <v>DarlingtonUrgent Community Response</v>
      </c>
      <c r="B220" t="str">
        <f>VLOOKUP(Table_Capacity_Community_frontsheet[[#This Row],[Service Area]],PathwayLookup!E:F,2,0)</f>
        <v>Urgent Community Response</v>
      </c>
      <c r="C220" t="s">
        <v>127</v>
      </c>
      <c r="D220" t="s">
        <v>705</v>
      </c>
      <c r="E220">
        <v>123</v>
      </c>
      <c r="F220">
        <v>127</v>
      </c>
      <c r="G220">
        <v>123</v>
      </c>
      <c r="H220">
        <v>127</v>
      </c>
      <c r="I220">
        <v>127</v>
      </c>
      <c r="J220">
        <v>123</v>
      </c>
      <c r="K220">
        <v>127</v>
      </c>
      <c r="L220">
        <v>123</v>
      </c>
      <c r="M220">
        <v>127</v>
      </c>
      <c r="N220">
        <v>127</v>
      </c>
      <c r="O220">
        <v>119</v>
      </c>
      <c r="P220">
        <v>127</v>
      </c>
      <c r="V220"/>
      <c r="W220"/>
      <c r="X220"/>
    </row>
    <row r="221" spans="1:24" x14ac:dyDescent="0.3">
      <c r="A221" t="str">
        <f>Table_Capacity_Community_frontsheet[[#This Row],[Name]]&amp;B221</f>
        <v>DarlingtonReablement &amp; Rehabilitation at home</v>
      </c>
      <c r="B221" t="str">
        <f>VLOOKUP(Table_Capacity_Community_frontsheet[[#This Row],[Service Area]],PathwayLookup!E:F,2,0)</f>
        <v>Reablement &amp; Rehabilitation at home</v>
      </c>
      <c r="C221" t="s">
        <v>127</v>
      </c>
      <c r="D221" t="s">
        <v>727</v>
      </c>
      <c r="E221">
        <v>2</v>
      </c>
      <c r="F221">
        <v>2</v>
      </c>
      <c r="G221">
        <v>2</v>
      </c>
      <c r="H221">
        <v>2</v>
      </c>
      <c r="I221">
        <v>2</v>
      </c>
      <c r="J221">
        <v>2</v>
      </c>
      <c r="K221">
        <v>2</v>
      </c>
      <c r="L221">
        <v>2</v>
      </c>
      <c r="M221">
        <v>2</v>
      </c>
      <c r="N221">
        <v>2</v>
      </c>
      <c r="O221">
        <v>2</v>
      </c>
      <c r="P221">
        <v>2</v>
      </c>
      <c r="V221"/>
      <c r="W221"/>
      <c r="X221"/>
    </row>
    <row r="222" spans="1:24" x14ac:dyDescent="0.3">
      <c r="A222" t="str">
        <f>Table_Capacity_Community_frontsheet[[#This Row],[Name]]&amp;B222</f>
        <v>DarlingtonReablement &amp; Rehabilitation at home</v>
      </c>
      <c r="B222" t="str">
        <f>VLOOKUP(Table_Capacity_Community_frontsheet[[#This Row],[Service Area]],PathwayLookup!E:F,2,0)</f>
        <v>Reablement &amp; Rehabilitation at home</v>
      </c>
      <c r="C222" t="s">
        <v>127</v>
      </c>
      <c r="D222" t="s">
        <v>729</v>
      </c>
      <c r="E222">
        <v>1</v>
      </c>
      <c r="F222">
        <v>1</v>
      </c>
      <c r="G222">
        <v>1</v>
      </c>
      <c r="H222">
        <v>1</v>
      </c>
      <c r="I222">
        <v>1</v>
      </c>
      <c r="J222">
        <v>1</v>
      </c>
      <c r="K222">
        <v>1</v>
      </c>
      <c r="L222">
        <v>1</v>
      </c>
      <c r="M222">
        <v>1</v>
      </c>
      <c r="N222">
        <v>1</v>
      </c>
      <c r="O222">
        <v>1</v>
      </c>
      <c r="P222">
        <v>1</v>
      </c>
      <c r="V222"/>
      <c r="W222"/>
      <c r="X222"/>
    </row>
    <row r="223" spans="1:24" x14ac:dyDescent="0.3">
      <c r="A223" t="str">
        <f>Table_Capacity_Community_frontsheet[[#This Row],[Name]]&amp;B223</f>
        <v>DarlingtonReablement &amp; Rehabilitation in a bedded setting</v>
      </c>
      <c r="B223" t="str">
        <f>VLOOKUP(Table_Capacity_Community_frontsheet[[#This Row],[Service Area]],PathwayLookup!E:F,2,0)</f>
        <v>Reablement &amp; Rehabilitation in a bedded setting</v>
      </c>
      <c r="C223" t="s">
        <v>127</v>
      </c>
      <c r="D223" t="s">
        <v>723</v>
      </c>
      <c r="E223">
        <v>2</v>
      </c>
      <c r="F223">
        <v>2</v>
      </c>
      <c r="G223">
        <v>2</v>
      </c>
      <c r="H223">
        <v>2</v>
      </c>
      <c r="I223">
        <v>2</v>
      </c>
      <c r="J223">
        <v>2</v>
      </c>
      <c r="K223">
        <v>2</v>
      </c>
      <c r="L223">
        <v>2</v>
      </c>
      <c r="M223">
        <v>2</v>
      </c>
      <c r="N223">
        <v>2</v>
      </c>
      <c r="O223">
        <v>2</v>
      </c>
      <c r="P223">
        <v>2</v>
      </c>
      <c r="V223"/>
      <c r="W223"/>
      <c r="X223"/>
    </row>
    <row r="224" spans="1:24" x14ac:dyDescent="0.3">
      <c r="A224" t="str">
        <f>Table_Capacity_Community_frontsheet[[#This Row],[Name]]&amp;B224</f>
        <v>DarlingtonReablement &amp; Rehabilitation in a bedded setting</v>
      </c>
      <c r="B224" t="str">
        <f>VLOOKUP(Table_Capacity_Community_frontsheet[[#This Row],[Service Area]],PathwayLookup!E:F,2,0)</f>
        <v>Reablement &amp; Rehabilitation in a bedded setting</v>
      </c>
      <c r="C224" t="s">
        <v>127</v>
      </c>
      <c r="D224" t="s">
        <v>725</v>
      </c>
      <c r="E224">
        <v>0</v>
      </c>
      <c r="F224">
        <v>0</v>
      </c>
      <c r="G224">
        <v>0</v>
      </c>
      <c r="H224">
        <v>0</v>
      </c>
      <c r="I224">
        <v>0</v>
      </c>
      <c r="J224">
        <v>0</v>
      </c>
      <c r="K224">
        <v>0</v>
      </c>
      <c r="L224">
        <v>0</v>
      </c>
      <c r="M224">
        <v>0</v>
      </c>
      <c r="N224">
        <v>0</v>
      </c>
      <c r="O224">
        <v>0</v>
      </c>
      <c r="P224">
        <v>0</v>
      </c>
      <c r="V224"/>
      <c r="W224"/>
      <c r="X224"/>
    </row>
    <row r="225" spans="1:24" x14ac:dyDescent="0.3">
      <c r="A225" t="str">
        <f>Table_Capacity_Community_frontsheet[[#This Row],[Name]]&amp;B225</f>
        <v>DarlingtonOther short-term social care</v>
      </c>
      <c r="B225" t="str">
        <f>VLOOKUP(Table_Capacity_Community_frontsheet[[#This Row],[Service Area]],PathwayLookup!E:F,2,0)</f>
        <v>Other short-term social care</v>
      </c>
      <c r="C225" t="s">
        <v>127</v>
      </c>
      <c r="D225" t="s">
        <v>708</v>
      </c>
      <c r="E225">
        <v>0</v>
      </c>
      <c r="F225">
        <v>0</v>
      </c>
      <c r="G225">
        <v>0</v>
      </c>
      <c r="H225">
        <v>0</v>
      </c>
      <c r="I225">
        <v>0</v>
      </c>
      <c r="J225">
        <v>0</v>
      </c>
      <c r="K225">
        <v>0</v>
      </c>
      <c r="L225">
        <v>0</v>
      </c>
      <c r="M225">
        <v>0</v>
      </c>
      <c r="N225">
        <v>0</v>
      </c>
      <c r="O225">
        <v>0</v>
      </c>
      <c r="P225">
        <v>0</v>
      </c>
      <c r="V225"/>
      <c r="W225"/>
      <c r="X225"/>
    </row>
    <row r="226" spans="1:24" x14ac:dyDescent="0.3">
      <c r="A226" t="str">
        <f>Table_Capacity_Community_frontsheet[[#This Row],[Name]]&amp;B226</f>
        <v>DerbySocial support (including VCS)</v>
      </c>
      <c r="B226" t="str">
        <f>VLOOKUP(Table_Capacity_Community_frontsheet[[#This Row],[Service Area]],PathwayLookup!E:F,2,0)</f>
        <v>Social support (including VCS)</v>
      </c>
      <c r="C226" t="s">
        <v>129</v>
      </c>
      <c r="D226" t="s">
        <v>704</v>
      </c>
      <c r="E226">
        <v>106</v>
      </c>
      <c r="F226">
        <v>106</v>
      </c>
      <c r="G226">
        <v>106</v>
      </c>
      <c r="H226">
        <v>106</v>
      </c>
      <c r="I226">
        <v>106</v>
      </c>
      <c r="J226">
        <v>106</v>
      </c>
      <c r="K226">
        <v>106</v>
      </c>
      <c r="L226">
        <v>106</v>
      </c>
      <c r="M226">
        <v>106</v>
      </c>
      <c r="N226">
        <v>106</v>
      </c>
      <c r="O226">
        <v>106</v>
      </c>
      <c r="P226">
        <v>106</v>
      </c>
      <c r="V226"/>
      <c r="W226"/>
      <c r="X226"/>
    </row>
    <row r="227" spans="1:24" x14ac:dyDescent="0.3">
      <c r="A227" t="str">
        <f>Table_Capacity_Community_frontsheet[[#This Row],[Name]]&amp;B227</f>
        <v>DerbyUrgent Community Response</v>
      </c>
      <c r="B227" t="str">
        <f>VLOOKUP(Table_Capacity_Community_frontsheet[[#This Row],[Service Area]],PathwayLookup!E:F,2,0)</f>
        <v>Urgent Community Response</v>
      </c>
      <c r="C227" t="s">
        <v>129</v>
      </c>
      <c r="D227" t="s">
        <v>705</v>
      </c>
      <c r="E227">
        <v>200</v>
      </c>
      <c r="F227">
        <v>200</v>
      </c>
      <c r="G227">
        <v>200</v>
      </c>
      <c r="H227">
        <v>200</v>
      </c>
      <c r="I227">
        <v>200</v>
      </c>
      <c r="J227">
        <v>200</v>
      </c>
      <c r="K227">
        <v>200</v>
      </c>
      <c r="L227">
        <v>200</v>
      </c>
      <c r="M227">
        <v>200</v>
      </c>
      <c r="N227">
        <v>200</v>
      </c>
      <c r="O227">
        <v>200</v>
      </c>
      <c r="P227">
        <v>200</v>
      </c>
      <c r="V227"/>
      <c r="W227"/>
      <c r="X227"/>
    </row>
    <row r="228" spans="1:24" x14ac:dyDescent="0.3">
      <c r="A228" t="str">
        <f>Table_Capacity_Community_frontsheet[[#This Row],[Name]]&amp;B228</f>
        <v>DerbyReablement &amp; Rehabilitation at home</v>
      </c>
      <c r="B228" t="str">
        <f>VLOOKUP(Table_Capacity_Community_frontsheet[[#This Row],[Service Area]],PathwayLookup!E:F,2,0)</f>
        <v>Reablement &amp; Rehabilitation at home</v>
      </c>
      <c r="C228" t="s">
        <v>129</v>
      </c>
      <c r="D228" t="s">
        <v>727</v>
      </c>
      <c r="E228">
        <v>22</v>
      </c>
      <c r="F228">
        <v>22</v>
      </c>
      <c r="G228">
        <v>22</v>
      </c>
      <c r="H228">
        <v>18</v>
      </c>
      <c r="I228">
        <v>21</v>
      </c>
      <c r="J228">
        <v>26</v>
      </c>
      <c r="K228">
        <v>21</v>
      </c>
      <c r="L228">
        <v>14</v>
      </c>
      <c r="M228">
        <v>29</v>
      </c>
      <c r="N228">
        <v>24</v>
      </c>
      <c r="O228">
        <v>23</v>
      </c>
      <c r="P228">
        <v>21</v>
      </c>
      <c r="V228"/>
      <c r="W228"/>
      <c r="X228"/>
    </row>
    <row r="229" spans="1:24" x14ac:dyDescent="0.3">
      <c r="A229" t="str">
        <f>Table_Capacity_Community_frontsheet[[#This Row],[Name]]&amp;B229</f>
        <v>DerbyReablement &amp; Rehabilitation at home</v>
      </c>
      <c r="B229" t="str">
        <f>VLOOKUP(Table_Capacity_Community_frontsheet[[#This Row],[Service Area]],PathwayLookup!E:F,2,0)</f>
        <v>Reablement &amp; Rehabilitation at home</v>
      </c>
      <c r="C229" t="s">
        <v>129</v>
      </c>
      <c r="D229" t="s">
        <v>729</v>
      </c>
      <c r="E229">
        <v>47</v>
      </c>
      <c r="F229">
        <v>64</v>
      </c>
      <c r="G229">
        <v>58</v>
      </c>
      <c r="H229">
        <v>71</v>
      </c>
      <c r="I229">
        <v>70</v>
      </c>
      <c r="J229">
        <v>65</v>
      </c>
      <c r="K229">
        <v>73</v>
      </c>
      <c r="L229">
        <v>76</v>
      </c>
      <c r="M229">
        <v>71</v>
      </c>
      <c r="N229">
        <v>85</v>
      </c>
      <c r="O229">
        <v>69</v>
      </c>
      <c r="P229">
        <v>69</v>
      </c>
      <c r="V229"/>
      <c r="W229"/>
      <c r="X229"/>
    </row>
    <row r="230" spans="1:24" x14ac:dyDescent="0.3">
      <c r="A230" t="str">
        <f>Table_Capacity_Community_frontsheet[[#This Row],[Name]]&amp;B230</f>
        <v>DerbyOther short-term social care</v>
      </c>
      <c r="B230" t="str">
        <f>VLOOKUP(Table_Capacity_Community_frontsheet[[#This Row],[Service Area]],PathwayLookup!E:F,2,0)</f>
        <v>Other short-term social care</v>
      </c>
      <c r="C230" t="s">
        <v>129</v>
      </c>
      <c r="D230" t="s">
        <v>708</v>
      </c>
      <c r="V230"/>
      <c r="W230"/>
      <c r="X230"/>
    </row>
    <row r="231" spans="1:24" x14ac:dyDescent="0.3">
      <c r="A231" t="str">
        <f>Table_Capacity_Community_frontsheet[[#This Row],[Name]]&amp;B231</f>
        <v>DerbyReablement &amp; Rehabilitation in a bedded setting</v>
      </c>
      <c r="B231" t="str">
        <f>VLOOKUP(Table_Capacity_Community_frontsheet[[#This Row],[Service Area]],PathwayLookup!E:F,2,0)</f>
        <v>Reablement &amp; Rehabilitation in a bedded setting</v>
      </c>
      <c r="C231" t="s">
        <v>129</v>
      </c>
      <c r="D231" t="s">
        <v>723</v>
      </c>
      <c r="E231">
        <v>10</v>
      </c>
      <c r="F231">
        <v>10</v>
      </c>
      <c r="G231">
        <v>10</v>
      </c>
      <c r="H231">
        <v>10</v>
      </c>
      <c r="I231">
        <v>10</v>
      </c>
      <c r="J231">
        <v>10</v>
      </c>
      <c r="K231">
        <v>10</v>
      </c>
      <c r="L231">
        <v>10</v>
      </c>
      <c r="M231">
        <v>10</v>
      </c>
      <c r="N231">
        <v>10</v>
      </c>
      <c r="O231">
        <v>10</v>
      </c>
      <c r="P231">
        <v>10</v>
      </c>
      <c r="V231"/>
      <c r="W231"/>
      <c r="X231"/>
    </row>
    <row r="232" spans="1:24" x14ac:dyDescent="0.3">
      <c r="A232" t="str">
        <f>Table_Capacity_Community_frontsheet[[#This Row],[Name]]&amp;B232</f>
        <v>DerbyReablement &amp; Rehabilitation in a bedded setting</v>
      </c>
      <c r="B232" t="str">
        <f>VLOOKUP(Table_Capacity_Community_frontsheet[[#This Row],[Service Area]],PathwayLookup!E:F,2,0)</f>
        <v>Reablement &amp; Rehabilitation in a bedded setting</v>
      </c>
      <c r="C232" t="s">
        <v>129</v>
      </c>
      <c r="D232" t="s">
        <v>725</v>
      </c>
      <c r="V232"/>
      <c r="W232"/>
      <c r="X232"/>
    </row>
    <row r="233" spans="1:24" x14ac:dyDescent="0.3">
      <c r="A233" t="str">
        <f>Table_Capacity_Community_frontsheet[[#This Row],[Name]]&amp;B233</f>
        <v>DerbyshireSocial support (including VCS)</v>
      </c>
      <c r="B233" t="str">
        <f>VLOOKUP(Table_Capacity_Community_frontsheet[[#This Row],[Service Area]],PathwayLookup!E:F,2,0)</f>
        <v>Social support (including VCS)</v>
      </c>
      <c r="C233" t="s">
        <v>131</v>
      </c>
      <c r="D233" t="s">
        <v>704</v>
      </c>
      <c r="E233">
        <v>50</v>
      </c>
      <c r="F233">
        <v>50</v>
      </c>
      <c r="G233">
        <v>50</v>
      </c>
      <c r="H233">
        <v>50</v>
      </c>
      <c r="I233">
        <v>50</v>
      </c>
      <c r="J233">
        <v>50</v>
      </c>
      <c r="K233">
        <v>50</v>
      </c>
      <c r="L233">
        <v>50</v>
      </c>
      <c r="M233">
        <v>50</v>
      </c>
      <c r="N233">
        <v>50</v>
      </c>
      <c r="O233">
        <v>50</v>
      </c>
      <c r="P233">
        <v>50</v>
      </c>
      <c r="Q233">
        <v>0.2</v>
      </c>
      <c r="R233">
        <v>0.8</v>
      </c>
      <c r="V233"/>
      <c r="W233"/>
      <c r="X233"/>
    </row>
    <row r="234" spans="1:24" x14ac:dyDescent="0.3">
      <c r="A234" t="str">
        <f>Table_Capacity_Community_frontsheet[[#This Row],[Name]]&amp;B234</f>
        <v>DerbyshireUrgent Community Response</v>
      </c>
      <c r="B234" t="str">
        <f>VLOOKUP(Table_Capacity_Community_frontsheet[[#This Row],[Service Area]],PathwayLookup!E:F,2,0)</f>
        <v>Urgent Community Response</v>
      </c>
      <c r="C234" t="s">
        <v>131</v>
      </c>
      <c r="D234" t="s">
        <v>705</v>
      </c>
      <c r="E234">
        <v>931</v>
      </c>
      <c r="F234">
        <v>931</v>
      </c>
      <c r="G234">
        <v>931</v>
      </c>
      <c r="H234">
        <v>931</v>
      </c>
      <c r="I234">
        <v>931</v>
      </c>
      <c r="J234">
        <v>931</v>
      </c>
      <c r="K234">
        <v>937</v>
      </c>
      <c r="L234">
        <v>937</v>
      </c>
      <c r="M234">
        <v>937</v>
      </c>
      <c r="N234">
        <v>937</v>
      </c>
      <c r="O234">
        <v>937</v>
      </c>
      <c r="P234">
        <v>937</v>
      </c>
      <c r="Q234">
        <v>0.9</v>
      </c>
      <c r="R234">
        <v>0.1</v>
      </c>
      <c r="V234"/>
      <c r="W234"/>
      <c r="X234"/>
    </row>
    <row r="235" spans="1:24" x14ac:dyDescent="0.3">
      <c r="A235" t="str">
        <f>Table_Capacity_Community_frontsheet[[#This Row],[Name]]&amp;B235</f>
        <v>DerbyshireReablement &amp; Rehabilitation at home</v>
      </c>
      <c r="B235" t="str">
        <f>VLOOKUP(Table_Capacity_Community_frontsheet[[#This Row],[Service Area]],PathwayLookup!E:F,2,0)</f>
        <v>Reablement &amp; Rehabilitation at home</v>
      </c>
      <c r="C235" t="s">
        <v>131</v>
      </c>
      <c r="D235" t="s">
        <v>727</v>
      </c>
      <c r="E235">
        <v>126</v>
      </c>
      <c r="F235">
        <v>129</v>
      </c>
      <c r="G235">
        <v>128</v>
      </c>
      <c r="H235">
        <v>128</v>
      </c>
      <c r="I235">
        <v>128</v>
      </c>
      <c r="J235">
        <v>128</v>
      </c>
      <c r="K235">
        <v>128</v>
      </c>
      <c r="L235">
        <v>128</v>
      </c>
      <c r="M235">
        <v>160</v>
      </c>
      <c r="N235">
        <v>160</v>
      </c>
      <c r="O235">
        <v>160</v>
      </c>
      <c r="P235">
        <v>160</v>
      </c>
      <c r="Q235">
        <v>0</v>
      </c>
      <c r="R235">
        <v>1</v>
      </c>
      <c r="V235"/>
      <c r="W235"/>
      <c r="X235"/>
    </row>
    <row r="236" spans="1:24" x14ac:dyDescent="0.3">
      <c r="A236" t="str">
        <f>Table_Capacity_Community_frontsheet[[#This Row],[Name]]&amp;B236</f>
        <v>DerbyshireReablement &amp; Rehabilitation at home</v>
      </c>
      <c r="B236" t="str">
        <f>VLOOKUP(Table_Capacity_Community_frontsheet[[#This Row],[Service Area]],PathwayLookup!E:F,2,0)</f>
        <v>Reablement &amp; Rehabilitation at home</v>
      </c>
      <c r="C236" t="s">
        <v>131</v>
      </c>
      <c r="D236" t="s">
        <v>729</v>
      </c>
      <c r="E236">
        <v>510</v>
      </c>
      <c r="F236">
        <v>529</v>
      </c>
      <c r="G236">
        <v>496</v>
      </c>
      <c r="H236">
        <v>486</v>
      </c>
      <c r="I236">
        <v>493</v>
      </c>
      <c r="J236">
        <v>482</v>
      </c>
      <c r="K236">
        <v>485</v>
      </c>
      <c r="L236">
        <v>487</v>
      </c>
      <c r="M236">
        <v>526</v>
      </c>
      <c r="N236">
        <v>525</v>
      </c>
      <c r="O236">
        <v>472</v>
      </c>
      <c r="P236">
        <v>451</v>
      </c>
      <c r="Q236">
        <v>1</v>
      </c>
      <c r="V236"/>
      <c r="W236"/>
      <c r="X236"/>
    </row>
    <row r="237" spans="1:24" x14ac:dyDescent="0.3">
      <c r="A237" t="str">
        <f>Table_Capacity_Community_frontsheet[[#This Row],[Name]]&amp;B237</f>
        <v>DerbyshireReablement &amp; Rehabilitation in a bedded setting</v>
      </c>
      <c r="B237" t="str">
        <f>VLOOKUP(Table_Capacity_Community_frontsheet[[#This Row],[Service Area]],PathwayLookup!E:F,2,0)</f>
        <v>Reablement &amp; Rehabilitation in a bedded setting</v>
      </c>
      <c r="C237" t="s">
        <v>131</v>
      </c>
      <c r="D237" t="s">
        <v>723</v>
      </c>
      <c r="V237"/>
      <c r="W237"/>
      <c r="X237"/>
    </row>
    <row r="238" spans="1:24" x14ac:dyDescent="0.3">
      <c r="A238" t="str">
        <f>Table_Capacity_Community_frontsheet[[#This Row],[Name]]&amp;B238</f>
        <v>DerbyshireReablement &amp; Rehabilitation in a bedded setting</v>
      </c>
      <c r="B238" t="str">
        <f>VLOOKUP(Table_Capacity_Community_frontsheet[[#This Row],[Service Area]],PathwayLookup!E:F,2,0)</f>
        <v>Reablement &amp; Rehabilitation in a bedded setting</v>
      </c>
      <c r="C238" t="s">
        <v>131</v>
      </c>
      <c r="D238" t="s">
        <v>725</v>
      </c>
      <c r="E238">
        <v>7</v>
      </c>
      <c r="F238">
        <v>7</v>
      </c>
      <c r="G238">
        <v>7</v>
      </c>
      <c r="H238">
        <v>7</v>
      </c>
      <c r="I238">
        <v>7</v>
      </c>
      <c r="J238">
        <v>7</v>
      </c>
      <c r="K238">
        <v>7</v>
      </c>
      <c r="L238">
        <v>7</v>
      </c>
      <c r="M238">
        <v>7</v>
      </c>
      <c r="N238">
        <v>7</v>
      </c>
      <c r="O238">
        <v>7</v>
      </c>
      <c r="P238">
        <v>7</v>
      </c>
      <c r="R238">
        <v>1</v>
      </c>
      <c r="V238"/>
      <c r="W238"/>
      <c r="X238"/>
    </row>
    <row r="239" spans="1:24" x14ac:dyDescent="0.3">
      <c r="A239" t="str">
        <f>Table_Capacity_Community_frontsheet[[#This Row],[Name]]&amp;B239</f>
        <v>DerbyshireOther short-term social care</v>
      </c>
      <c r="B239" t="str">
        <f>VLOOKUP(Table_Capacity_Community_frontsheet[[#This Row],[Service Area]],PathwayLookup!E:F,2,0)</f>
        <v>Other short-term social care</v>
      </c>
      <c r="C239" t="s">
        <v>131</v>
      </c>
      <c r="D239" t="s">
        <v>708</v>
      </c>
      <c r="V239"/>
      <c r="W239"/>
      <c r="X239"/>
    </row>
    <row r="240" spans="1:24" x14ac:dyDescent="0.3">
      <c r="A240" t="str">
        <f>Table_Capacity_Community_frontsheet[[#This Row],[Name]]&amp;B240</f>
        <v>DevonSocial support (including VCS)</v>
      </c>
      <c r="B240" t="str">
        <f>VLOOKUP(Table_Capacity_Community_frontsheet[[#This Row],[Service Area]],PathwayLookup!E:F,2,0)</f>
        <v>Social support (including VCS)</v>
      </c>
      <c r="C240" t="s">
        <v>133</v>
      </c>
      <c r="D240" t="s">
        <v>704</v>
      </c>
      <c r="V240"/>
      <c r="W240"/>
      <c r="X240"/>
    </row>
    <row r="241" spans="1:24" x14ac:dyDescent="0.3">
      <c r="A241" t="str">
        <f>Table_Capacity_Community_frontsheet[[#This Row],[Name]]&amp;B241</f>
        <v>DevonUrgent Community Response</v>
      </c>
      <c r="B241" t="str">
        <f>VLOOKUP(Table_Capacity_Community_frontsheet[[#This Row],[Service Area]],PathwayLookup!E:F,2,0)</f>
        <v>Urgent Community Response</v>
      </c>
      <c r="C241" t="s">
        <v>133</v>
      </c>
      <c r="D241" t="s">
        <v>705</v>
      </c>
      <c r="V241"/>
      <c r="W241"/>
      <c r="X241"/>
    </row>
    <row r="242" spans="1:24" x14ac:dyDescent="0.3">
      <c r="A242" t="str">
        <f>Table_Capacity_Community_frontsheet[[#This Row],[Name]]&amp;B242</f>
        <v>DevonReablement &amp; Rehabilitation at home</v>
      </c>
      <c r="B242" t="str">
        <f>VLOOKUP(Table_Capacity_Community_frontsheet[[#This Row],[Service Area]],PathwayLookup!E:F,2,0)</f>
        <v>Reablement &amp; Rehabilitation at home</v>
      </c>
      <c r="C242" t="s">
        <v>133</v>
      </c>
      <c r="D242" t="s">
        <v>727</v>
      </c>
      <c r="E242">
        <v>40</v>
      </c>
      <c r="F242">
        <v>40</v>
      </c>
      <c r="G242">
        <v>40</v>
      </c>
      <c r="H242">
        <v>40</v>
      </c>
      <c r="I242">
        <v>40</v>
      </c>
      <c r="J242">
        <v>40</v>
      </c>
      <c r="K242">
        <v>40</v>
      </c>
      <c r="L242">
        <v>40</v>
      </c>
      <c r="M242">
        <v>40</v>
      </c>
      <c r="N242">
        <v>40</v>
      </c>
      <c r="O242">
        <v>40</v>
      </c>
      <c r="P242">
        <v>40</v>
      </c>
      <c r="V242"/>
      <c r="W242"/>
      <c r="X242"/>
    </row>
    <row r="243" spans="1:24" x14ac:dyDescent="0.3">
      <c r="A243" t="str">
        <f>Table_Capacity_Community_frontsheet[[#This Row],[Name]]&amp;B243</f>
        <v>DevonReablement &amp; Rehabilitation at home</v>
      </c>
      <c r="B243" t="str">
        <f>VLOOKUP(Table_Capacity_Community_frontsheet[[#This Row],[Service Area]],PathwayLookup!E:F,2,0)</f>
        <v>Reablement &amp; Rehabilitation at home</v>
      </c>
      <c r="C243" t="s">
        <v>133</v>
      </c>
      <c r="D243" t="s">
        <v>729</v>
      </c>
      <c r="V243"/>
      <c r="W243"/>
      <c r="X243"/>
    </row>
    <row r="244" spans="1:24" x14ac:dyDescent="0.3">
      <c r="A244" t="str">
        <f>Table_Capacity_Community_frontsheet[[#This Row],[Name]]&amp;B244</f>
        <v>DevonReablement &amp; Rehabilitation in a bedded setting</v>
      </c>
      <c r="B244" t="str">
        <f>VLOOKUP(Table_Capacity_Community_frontsheet[[#This Row],[Service Area]],PathwayLookup!E:F,2,0)</f>
        <v>Reablement &amp; Rehabilitation in a bedded setting</v>
      </c>
      <c r="C244" t="s">
        <v>133</v>
      </c>
      <c r="D244" t="s">
        <v>723</v>
      </c>
      <c r="V244"/>
      <c r="W244"/>
      <c r="X244"/>
    </row>
    <row r="245" spans="1:24" x14ac:dyDescent="0.3">
      <c r="A245" t="str">
        <f>Table_Capacity_Community_frontsheet[[#This Row],[Name]]&amp;B245</f>
        <v>DevonReablement &amp; Rehabilitation in a bedded setting</v>
      </c>
      <c r="B245" t="str">
        <f>VLOOKUP(Table_Capacity_Community_frontsheet[[#This Row],[Service Area]],PathwayLookup!E:F,2,0)</f>
        <v>Reablement &amp; Rehabilitation in a bedded setting</v>
      </c>
      <c r="C245" t="s">
        <v>133</v>
      </c>
      <c r="D245" t="s">
        <v>725</v>
      </c>
      <c r="V245"/>
      <c r="W245"/>
      <c r="X245"/>
    </row>
    <row r="246" spans="1:24" x14ac:dyDescent="0.3">
      <c r="A246" t="str">
        <f>Table_Capacity_Community_frontsheet[[#This Row],[Name]]&amp;B246</f>
        <v>DevonOther short-term social care</v>
      </c>
      <c r="B246" t="str">
        <f>VLOOKUP(Table_Capacity_Community_frontsheet[[#This Row],[Service Area]],PathwayLookup!E:F,2,0)</f>
        <v>Other short-term social care</v>
      </c>
      <c r="C246" t="s">
        <v>133</v>
      </c>
      <c r="D246" t="s">
        <v>708</v>
      </c>
      <c r="V246"/>
      <c r="W246"/>
      <c r="X246"/>
    </row>
    <row r="247" spans="1:24" x14ac:dyDescent="0.3">
      <c r="A247" t="str">
        <f>Table_Capacity_Community_frontsheet[[#This Row],[Name]]&amp;B247</f>
        <v>DoncasterSocial support (including VCS)</v>
      </c>
      <c r="B247" t="str">
        <f>VLOOKUP(Table_Capacity_Community_frontsheet[[#This Row],[Service Area]],PathwayLookup!E:F,2,0)</f>
        <v>Social support (including VCS)</v>
      </c>
      <c r="C247" t="s">
        <v>135</v>
      </c>
      <c r="D247" t="s">
        <v>704</v>
      </c>
      <c r="V247"/>
      <c r="W247"/>
      <c r="X247"/>
    </row>
    <row r="248" spans="1:24" x14ac:dyDescent="0.3">
      <c r="A248" t="str">
        <f>Table_Capacity_Community_frontsheet[[#This Row],[Name]]&amp;B248</f>
        <v>DoncasterUrgent Community Response</v>
      </c>
      <c r="B248" t="str">
        <f>VLOOKUP(Table_Capacity_Community_frontsheet[[#This Row],[Service Area]],PathwayLookup!E:F,2,0)</f>
        <v>Urgent Community Response</v>
      </c>
      <c r="C248" t="s">
        <v>135</v>
      </c>
      <c r="D248" t="s">
        <v>705</v>
      </c>
      <c r="E248">
        <v>90</v>
      </c>
      <c r="F248">
        <v>90</v>
      </c>
      <c r="G248">
        <v>90</v>
      </c>
      <c r="H248">
        <v>90</v>
      </c>
      <c r="I248">
        <v>90</v>
      </c>
      <c r="J248">
        <v>90</v>
      </c>
      <c r="K248">
        <v>90</v>
      </c>
      <c r="L248">
        <v>90</v>
      </c>
      <c r="M248">
        <v>90</v>
      </c>
      <c r="N248">
        <v>90</v>
      </c>
      <c r="O248">
        <v>90</v>
      </c>
      <c r="P248">
        <v>90</v>
      </c>
      <c r="Q248">
        <v>1</v>
      </c>
      <c r="V248"/>
      <c r="W248"/>
      <c r="X248"/>
    </row>
    <row r="249" spans="1:24" x14ac:dyDescent="0.3">
      <c r="A249" t="str">
        <f>Table_Capacity_Community_frontsheet[[#This Row],[Name]]&amp;B249</f>
        <v>DoncasterReablement &amp; Rehabilitation at home</v>
      </c>
      <c r="B249" t="str">
        <f>VLOOKUP(Table_Capacity_Community_frontsheet[[#This Row],[Service Area]],PathwayLookup!E:F,2,0)</f>
        <v>Reablement &amp; Rehabilitation at home</v>
      </c>
      <c r="C249" t="s">
        <v>135</v>
      </c>
      <c r="D249" t="s">
        <v>727</v>
      </c>
      <c r="E249">
        <v>88</v>
      </c>
      <c r="F249">
        <v>88</v>
      </c>
      <c r="G249">
        <v>88</v>
      </c>
      <c r="H249">
        <v>88</v>
      </c>
      <c r="I249">
        <v>88</v>
      </c>
      <c r="J249">
        <v>88</v>
      </c>
      <c r="K249">
        <v>88</v>
      </c>
      <c r="L249">
        <v>88</v>
      </c>
      <c r="M249">
        <v>88</v>
      </c>
      <c r="N249">
        <v>88</v>
      </c>
      <c r="O249">
        <v>88</v>
      </c>
      <c r="P249">
        <v>88</v>
      </c>
      <c r="R249">
        <v>1</v>
      </c>
      <c r="V249"/>
      <c r="W249"/>
      <c r="X249"/>
    </row>
    <row r="250" spans="1:24" x14ac:dyDescent="0.3">
      <c r="A250" t="str">
        <f>Table_Capacity_Community_frontsheet[[#This Row],[Name]]&amp;B250</f>
        <v>DoncasterReablement &amp; Rehabilitation at home</v>
      </c>
      <c r="B250" t="str">
        <f>VLOOKUP(Table_Capacity_Community_frontsheet[[#This Row],[Service Area]],PathwayLookup!E:F,2,0)</f>
        <v>Reablement &amp; Rehabilitation at home</v>
      </c>
      <c r="C250" t="s">
        <v>135</v>
      </c>
      <c r="D250" t="s">
        <v>729</v>
      </c>
      <c r="E250">
        <v>11</v>
      </c>
      <c r="F250">
        <v>11</v>
      </c>
      <c r="G250">
        <v>11</v>
      </c>
      <c r="H250">
        <v>11</v>
      </c>
      <c r="I250">
        <v>11</v>
      </c>
      <c r="J250">
        <v>11</v>
      </c>
      <c r="K250">
        <v>11</v>
      </c>
      <c r="L250">
        <v>11</v>
      </c>
      <c r="M250">
        <v>11</v>
      </c>
      <c r="N250">
        <v>11</v>
      </c>
      <c r="O250">
        <v>11</v>
      </c>
      <c r="P250">
        <v>11</v>
      </c>
      <c r="Q250">
        <v>1</v>
      </c>
      <c r="V250"/>
      <c r="W250"/>
      <c r="X250"/>
    </row>
    <row r="251" spans="1:24" x14ac:dyDescent="0.3">
      <c r="A251" t="str">
        <f>Table_Capacity_Community_frontsheet[[#This Row],[Name]]&amp;B251</f>
        <v>DoncasterReablement &amp; Rehabilitation in a bedded setting</v>
      </c>
      <c r="B251" t="str">
        <f>VLOOKUP(Table_Capacity_Community_frontsheet[[#This Row],[Service Area]],PathwayLookup!E:F,2,0)</f>
        <v>Reablement &amp; Rehabilitation in a bedded setting</v>
      </c>
      <c r="C251" t="s">
        <v>135</v>
      </c>
      <c r="D251" t="s">
        <v>723</v>
      </c>
      <c r="V251"/>
      <c r="W251"/>
      <c r="X251"/>
    </row>
    <row r="252" spans="1:24" x14ac:dyDescent="0.3">
      <c r="A252" t="str">
        <f>Table_Capacity_Community_frontsheet[[#This Row],[Name]]&amp;B252</f>
        <v>DoncasterReablement &amp; Rehabilitation in a bedded setting</v>
      </c>
      <c r="B252" t="str">
        <f>VLOOKUP(Table_Capacity_Community_frontsheet[[#This Row],[Service Area]],PathwayLookup!E:F,2,0)</f>
        <v>Reablement &amp; Rehabilitation in a bedded setting</v>
      </c>
      <c r="C252" t="s">
        <v>135</v>
      </c>
      <c r="D252" t="s">
        <v>725</v>
      </c>
      <c r="E252">
        <v>40</v>
      </c>
      <c r="F252">
        <v>40</v>
      </c>
      <c r="G252">
        <v>40</v>
      </c>
      <c r="H252">
        <v>40</v>
      </c>
      <c r="I252">
        <v>40</v>
      </c>
      <c r="J252">
        <v>40</v>
      </c>
      <c r="K252">
        <v>40</v>
      </c>
      <c r="L252">
        <v>40</v>
      </c>
      <c r="M252">
        <v>40</v>
      </c>
      <c r="N252">
        <v>40</v>
      </c>
      <c r="O252">
        <v>40</v>
      </c>
      <c r="P252">
        <v>40</v>
      </c>
      <c r="Q252">
        <v>1</v>
      </c>
      <c r="V252"/>
      <c r="W252"/>
      <c r="X252"/>
    </row>
    <row r="253" spans="1:24" x14ac:dyDescent="0.3">
      <c r="A253" t="str">
        <f>Table_Capacity_Community_frontsheet[[#This Row],[Name]]&amp;B253</f>
        <v>DoncasterOther short-term social care</v>
      </c>
      <c r="B253" t="str">
        <f>VLOOKUP(Table_Capacity_Community_frontsheet[[#This Row],[Service Area]],PathwayLookup!E:F,2,0)</f>
        <v>Other short-term social care</v>
      </c>
      <c r="C253" t="s">
        <v>135</v>
      </c>
      <c r="D253" t="s">
        <v>708</v>
      </c>
      <c r="V253"/>
      <c r="W253"/>
      <c r="X253"/>
    </row>
    <row r="254" spans="1:24" x14ac:dyDescent="0.3">
      <c r="A254" t="str">
        <f>Table_Capacity_Community_frontsheet[[#This Row],[Name]]&amp;B254</f>
        <v>DorsetSocial support (including VCS)</v>
      </c>
      <c r="B254" t="str">
        <f>VLOOKUP(Table_Capacity_Community_frontsheet[[#This Row],[Service Area]],PathwayLookup!E:F,2,0)</f>
        <v>Social support (including VCS)</v>
      </c>
      <c r="C254" t="s">
        <v>137</v>
      </c>
      <c r="D254" t="s">
        <v>704</v>
      </c>
      <c r="E254">
        <v>350</v>
      </c>
      <c r="F254">
        <v>350</v>
      </c>
      <c r="G254">
        <v>350</v>
      </c>
      <c r="H254">
        <v>350</v>
      </c>
      <c r="I254">
        <v>350</v>
      </c>
      <c r="J254">
        <v>350</v>
      </c>
      <c r="K254">
        <v>350</v>
      </c>
      <c r="L254">
        <v>350</v>
      </c>
      <c r="M254">
        <v>350</v>
      </c>
      <c r="N254">
        <v>350</v>
      </c>
      <c r="O254">
        <v>350</v>
      </c>
      <c r="P254">
        <v>350</v>
      </c>
      <c r="R254">
        <v>1</v>
      </c>
      <c r="V254"/>
      <c r="W254"/>
      <c r="X254"/>
    </row>
    <row r="255" spans="1:24" x14ac:dyDescent="0.3">
      <c r="A255" t="str">
        <f>Table_Capacity_Community_frontsheet[[#This Row],[Name]]&amp;B255</f>
        <v>DorsetUrgent Community Response</v>
      </c>
      <c r="B255" t="str">
        <f>VLOOKUP(Table_Capacity_Community_frontsheet[[#This Row],[Service Area]],PathwayLookup!E:F,2,0)</f>
        <v>Urgent Community Response</v>
      </c>
      <c r="C255" t="s">
        <v>137</v>
      </c>
      <c r="D255" t="s">
        <v>705</v>
      </c>
      <c r="E255">
        <v>240</v>
      </c>
      <c r="F255">
        <v>260</v>
      </c>
      <c r="G255">
        <v>161</v>
      </c>
      <c r="H255">
        <v>174</v>
      </c>
      <c r="I255">
        <v>159</v>
      </c>
      <c r="J255">
        <v>150</v>
      </c>
      <c r="K255">
        <v>151</v>
      </c>
      <c r="L255">
        <v>163</v>
      </c>
      <c r="M255">
        <v>220</v>
      </c>
      <c r="N255">
        <v>224</v>
      </c>
      <c r="O255">
        <v>208</v>
      </c>
      <c r="P255">
        <v>235</v>
      </c>
      <c r="R255">
        <v>1</v>
      </c>
      <c r="V255"/>
      <c r="W255"/>
      <c r="X255"/>
    </row>
    <row r="256" spans="1:24" x14ac:dyDescent="0.3">
      <c r="A256" t="str">
        <f>Table_Capacity_Community_frontsheet[[#This Row],[Name]]&amp;B256</f>
        <v>DorsetReablement &amp; Rehabilitation at home</v>
      </c>
      <c r="B256" t="str">
        <f>VLOOKUP(Table_Capacity_Community_frontsheet[[#This Row],[Service Area]],PathwayLookup!E:F,2,0)</f>
        <v>Reablement &amp; Rehabilitation at home</v>
      </c>
      <c r="C256" t="s">
        <v>137</v>
      </c>
      <c r="D256" t="s">
        <v>727</v>
      </c>
      <c r="E256">
        <v>42</v>
      </c>
      <c r="F256">
        <v>42</v>
      </c>
      <c r="G256">
        <v>42</v>
      </c>
      <c r="H256">
        <v>42</v>
      </c>
      <c r="I256">
        <v>42</v>
      </c>
      <c r="J256">
        <v>42</v>
      </c>
      <c r="K256">
        <v>42</v>
      </c>
      <c r="L256">
        <v>42</v>
      </c>
      <c r="M256">
        <v>42</v>
      </c>
      <c r="N256">
        <v>42</v>
      </c>
      <c r="O256">
        <v>42</v>
      </c>
      <c r="P256">
        <v>42</v>
      </c>
      <c r="Q256">
        <v>1</v>
      </c>
      <c r="V256"/>
      <c r="W256"/>
      <c r="X256"/>
    </row>
    <row r="257" spans="1:24" x14ac:dyDescent="0.3">
      <c r="A257" t="str">
        <f>Table_Capacity_Community_frontsheet[[#This Row],[Name]]&amp;B257</f>
        <v>DorsetReablement &amp; Rehabilitation at home</v>
      </c>
      <c r="B257" t="str">
        <f>VLOOKUP(Table_Capacity_Community_frontsheet[[#This Row],[Service Area]],PathwayLookup!E:F,2,0)</f>
        <v>Reablement &amp; Rehabilitation at home</v>
      </c>
      <c r="C257" t="s">
        <v>137</v>
      </c>
      <c r="D257" t="s">
        <v>729</v>
      </c>
      <c r="E257">
        <v>91</v>
      </c>
      <c r="F257">
        <v>91</v>
      </c>
      <c r="G257">
        <v>91</v>
      </c>
      <c r="H257">
        <v>91</v>
      </c>
      <c r="I257">
        <v>91</v>
      </c>
      <c r="J257">
        <v>91</v>
      </c>
      <c r="K257">
        <v>91</v>
      </c>
      <c r="L257">
        <v>91</v>
      </c>
      <c r="M257">
        <v>91</v>
      </c>
      <c r="N257">
        <v>91</v>
      </c>
      <c r="O257">
        <v>91</v>
      </c>
      <c r="P257">
        <v>91</v>
      </c>
      <c r="V257"/>
      <c r="W257"/>
      <c r="X257"/>
    </row>
    <row r="258" spans="1:24" x14ac:dyDescent="0.3">
      <c r="A258" t="str">
        <f>Table_Capacity_Community_frontsheet[[#This Row],[Name]]&amp;B258</f>
        <v>DorsetReablement &amp; Rehabilitation in a bedded setting</v>
      </c>
      <c r="B258" t="str">
        <f>VLOOKUP(Table_Capacity_Community_frontsheet[[#This Row],[Service Area]],PathwayLookup!E:F,2,0)</f>
        <v>Reablement &amp; Rehabilitation in a bedded setting</v>
      </c>
      <c r="C258" t="s">
        <v>137</v>
      </c>
      <c r="D258" t="s">
        <v>723</v>
      </c>
      <c r="E258">
        <v>1</v>
      </c>
      <c r="F258">
        <v>1</v>
      </c>
      <c r="G258">
        <v>1</v>
      </c>
      <c r="H258">
        <v>1</v>
      </c>
      <c r="I258">
        <v>1</v>
      </c>
      <c r="J258">
        <v>2</v>
      </c>
      <c r="K258">
        <v>2</v>
      </c>
      <c r="L258">
        <v>2</v>
      </c>
      <c r="M258">
        <v>2</v>
      </c>
      <c r="N258">
        <v>2</v>
      </c>
      <c r="O258">
        <v>2</v>
      </c>
      <c r="P258">
        <v>1</v>
      </c>
      <c r="Q258">
        <v>0.3</v>
      </c>
      <c r="R258">
        <v>0.7</v>
      </c>
      <c r="V258"/>
      <c r="W258"/>
      <c r="X258"/>
    </row>
    <row r="259" spans="1:24" x14ac:dyDescent="0.3">
      <c r="A259" t="str">
        <f>Table_Capacity_Community_frontsheet[[#This Row],[Name]]&amp;B259</f>
        <v>DorsetReablement &amp; Rehabilitation in a bedded setting</v>
      </c>
      <c r="B259" t="str">
        <f>VLOOKUP(Table_Capacity_Community_frontsheet[[#This Row],[Service Area]],PathwayLookup!E:F,2,0)</f>
        <v>Reablement &amp; Rehabilitation in a bedded setting</v>
      </c>
      <c r="C259" t="s">
        <v>137</v>
      </c>
      <c r="D259" t="s">
        <v>725</v>
      </c>
      <c r="E259">
        <v>9</v>
      </c>
      <c r="F259">
        <v>9</v>
      </c>
      <c r="G259">
        <v>9</v>
      </c>
      <c r="H259">
        <v>9</v>
      </c>
      <c r="I259">
        <v>9</v>
      </c>
      <c r="J259">
        <v>9</v>
      </c>
      <c r="K259">
        <v>9</v>
      </c>
      <c r="L259">
        <v>9</v>
      </c>
      <c r="M259">
        <v>9</v>
      </c>
      <c r="N259">
        <v>9</v>
      </c>
      <c r="O259">
        <v>9</v>
      </c>
      <c r="P259">
        <v>9</v>
      </c>
      <c r="Q259">
        <v>1</v>
      </c>
      <c r="V259"/>
      <c r="W259"/>
      <c r="X259"/>
    </row>
    <row r="260" spans="1:24" x14ac:dyDescent="0.3">
      <c r="A260" t="str">
        <f>Table_Capacity_Community_frontsheet[[#This Row],[Name]]&amp;B260</f>
        <v>DorsetOther short-term social care</v>
      </c>
      <c r="B260" t="str">
        <f>VLOOKUP(Table_Capacity_Community_frontsheet[[#This Row],[Service Area]],PathwayLookup!E:F,2,0)</f>
        <v>Other short-term social care</v>
      </c>
      <c r="C260" t="s">
        <v>137</v>
      </c>
      <c r="D260" t="s">
        <v>708</v>
      </c>
      <c r="E260">
        <v>2</v>
      </c>
      <c r="F260">
        <v>2</v>
      </c>
      <c r="G260">
        <v>2</v>
      </c>
      <c r="H260">
        <v>2</v>
      </c>
      <c r="I260">
        <v>2</v>
      </c>
      <c r="J260">
        <v>3</v>
      </c>
      <c r="K260">
        <v>3</v>
      </c>
      <c r="L260">
        <v>3</v>
      </c>
      <c r="M260">
        <v>3</v>
      </c>
      <c r="N260">
        <v>3</v>
      </c>
      <c r="O260">
        <v>3</v>
      </c>
      <c r="P260">
        <v>2</v>
      </c>
      <c r="Q260">
        <v>0.4</v>
      </c>
      <c r="R260">
        <v>0.6</v>
      </c>
      <c r="V260"/>
      <c r="W260"/>
      <c r="X260"/>
    </row>
    <row r="261" spans="1:24" x14ac:dyDescent="0.3">
      <c r="A261" t="str">
        <f>Table_Capacity_Community_frontsheet[[#This Row],[Name]]&amp;B261</f>
        <v>DudleySocial support (including VCS)</v>
      </c>
      <c r="B261" t="str">
        <f>VLOOKUP(Table_Capacity_Community_frontsheet[[#This Row],[Service Area]],PathwayLookup!E:F,2,0)</f>
        <v>Social support (including VCS)</v>
      </c>
      <c r="C261" t="s">
        <v>139</v>
      </c>
      <c r="D261" t="s">
        <v>704</v>
      </c>
      <c r="E261">
        <v>0</v>
      </c>
      <c r="F261">
        <v>0</v>
      </c>
      <c r="G261">
        <v>0</v>
      </c>
      <c r="H261">
        <v>0</v>
      </c>
      <c r="I261">
        <v>0</v>
      </c>
      <c r="J261">
        <v>0</v>
      </c>
      <c r="K261">
        <v>0</v>
      </c>
      <c r="M261">
        <v>0</v>
      </c>
      <c r="N261">
        <v>0</v>
      </c>
      <c r="P261">
        <v>0</v>
      </c>
      <c r="V261"/>
      <c r="W261"/>
      <c r="X261"/>
    </row>
    <row r="262" spans="1:24" x14ac:dyDescent="0.3">
      <c r="A262" t="str">
        <f>Table_Capacity_Community_frontsheet[[#This Row],[Name]]&amp;B262</f>
        <v>DudleyUrgent Community Response</v>
      </c>
      <c r="B262" t="str">
        <f>VLOOKUP(Table_Capacity_Community_frontsheet[[#This Row],[Service Area]],PathwayLookup!E:F,2,0)</f>
        <v>Urgent Community Response</v>
      </c>
      <c r="C262" t="s">
        <v>139</v>
      </c>
      <c r="D262" t="s">
        <v>705</v>
      </c>
      <c r="E262">
        <v>100</v>
      </c>
      <c r="F262">
        <v>100</v>
      </c>
      <c r="G262">
        <v>100</v>
      </c>
      <c r="H262">
        <v>100</v>
      </c>
      <c r="I262">
        <v>100</v>
      </c>
      <c r="J262">
        <v>100</v>
      </c>
      <c r="K262">
        <v>100</v>
      </c>
      <c r="L262">
        <v>100</v>
      </c>
      <c r="M262">
        <v>100</v>
      </c>
      <c r="N262">
        <v>100</v>
      </c>
      <c r="O262">
        <v>100</v>
      </c>
      <c r="P262">
        <v>100</v>
      </c>
      <c r="R262">
        <v>1</v>
      </c>
      <c r="V262"/>
      <c r="W262"/>
      <c r="X262"/>
    </row>
    <row r="263" spans="1:24" x14ac:dyDescent="0.3">
      <c r="A263" t="str">
        <f>Table_Capacity_Community_frontsheet[[#This Row],[Name]]&amp;B263</f>
        <v>DudleyReablement &amp; Rehabilitation at home</v>
      </c>
      <c r="B263" t="str">
        <f>VLOOKUP(Table_Capacity_Community_frontsheet[[#This Row],[Service Area]],PathwayLookup!E:F,2,0)</f>
        <v>Reablement &amp; Rehabilitation at home</v>
      </c>
      <c r="C263" t="s">
        <v>139</v>
      </c>
      <c r="D263" t="s">
        <v>727</v>
      </c>
      <c r="E263">
        <v>0</v>
      </c>
      <c r="F263">
        <v>0</v>
      </c>
      <c r="G263">
        <v>0</v>
      </c>
      <c r="H263">
        <v>0</v>
      </c>
      <c r="I263">
        <v>0</v>
      </c>
      <c r="J263">
        <v>0</v>
      </c>
      <c r="K263">
        <v>0</v>
      </c>
      <c r="L263">
        <v>0</v>
      </c>
      <c r="M263">
        <v>0</v>
      </c>
      <c r="N263">
        <v>0</v>
      </c>
      <c r="O263">
        <v>0</v>
      </c>
      <c r="P263">
        <v>0</v>
      </c>
      <c r="V263"/>
      <c r="W263"/>
      <c r="X263"/>
    </row>
    <row r="264" spans="1:24" x14ac:dyDescent="0.3">
      <c r="A264" t="str">
        <f>Table_Capacity_Community_frontsheet[[#This Row],[Name]]&amp;B264</f>
        <v>DudleyReablement &amp; Rehabilitation at home</v>
      </c>
      <c r="B264" t="str">
        <f>VLOOKUP(Table_Capacity_Community_frontsheet[[#This Row],[Service Area]],PathwayLookup!E:F,2,0)</f>
        <v>Reablement &amp; Rehabilitation at home</v>
      </c>
      <c r="C264" t="s">
        <v>139</v>
      </c>
      <c r="D264" t="s">
        <v>729</v>
      </c>
      <c r="E264">
        <v>0</v>
      </c>
      <c r="F264">
        <v>0</v>
      </c>
      <c r="G264">
        <v>0</v>
      </c>
      <c r="H264">
        <v>0</v>
      </c>
      <c r="I264">
        <v>0</v>
      </c>
      <c r="J264">
        <v>0</v>
      </c>
      <c r="K264">
        <v>0</v>
      </c>
      <c r="L264">
        <v>0</v>
      </c>
      <c r="M264">
        <v>0</v>
      </c>
      <c r="N264">
        <v>0</v>
      </c>
      <c r="O264">
        <v>0</v>
      </c>
      <c r="P264">
        <v>0</v>
      </c>
      <c r="V264"/>
      <c r="W264"/>
      <c r="X264"/>
    </row>
    <row r="265" spans="1:24" x14ac:dyDescent="0.3">
      <c r="A265" t="str">
        <f>Table_Capacity_Community_frontsheet[[#This Row],[Name]]&amp;B265</f>
        <v>DudleyReablement &amp; Rehabilitation in a bedded setting</v>
      </c>
      <c r="B265" t="str">
        <f>VLOOKUP(Table_Capacity_Community_frontsheet[[#This Row],[Service Area]],PathwayLookup!E:F,2,0)</f>
        <v>Reablement &amp; Rehabilitation in a bedded setting</v>
      </c>
      <c r="C265" t="s">
        <v>139</v>
      </c>
      <c r="D265" t="s">
        <v>723</v>
      </c>
      <c r="E265">
        <v>0</v>
      </c>
      <c r="F265">
        <v>0</v>
      </c>
      <c r="G265">
        <v>0</v>
      </c>
      <c r="H265">
        <v>0</v>
      </c>
      <c r="I265">
        <v>0</v>
      </c>
      <c r="J265">
        <v>0</v>
      </c>
      <c r="K265">
        <v>0</v>
      </c>
      <c r="L265">
        <v>0</v>
      </c>
      <c r="M265">
        <v>0</v>
      </c>
      <c r="N265">
        <v>0</v>
      </c>
      <c r="O265">
        <v>0</v>
      </c>
      <c r="P265">
        <v>0</v>
      </c>
      <c r="V265"/>
      <c r="W265"/>
      <c r="X265"/>
    </row>
    <row r="266" spans="1:24" x14ac:dyDescent="0.3">
      <c r="A266" t="str">
        <f>Table_Capacity_Community_frontsheet[[#This Row],[Name]]&amp;B266</f>
        <v>DudleyReablement &amp; Rehabilitation in a bedded setting</v>
      </c>
      <c r="B266" t="str">
        <f>VLOOKUP(Table_Capacity_Community_frontsheet[[#This Row],[Service Area]],PathwayLookup!E:F,2,0)</f>
        <v>Reablement &amp; Rehabilitation in a bedded setting</v>
      </c>
      <c r="C266" t="s">
        <v>139</v>
      </c>
      <c r="D266" t="s">
        <v>725</v>
      </c>
      <c r="E266">
        <v>10</v>
      </c>
      <c r="F266">
        <v>10</v>
      </c>
      <c r="G266">
        <v>10</v>
      </c>
      <c r="H266">
        <v>10</v>
      </c>
      <c r="I266">
        <v>10</v>
      </c>
      <c r="J266">
        <v>10</v>
      </c>
      <c r="K266">
        <v>14</v>
      </c>
      <c r="L266">
        <v>14</v>
      </c>
      <c r="M266">
        <v>14</v>
      </c>
      <c r="N266">
        <v>14</v>
      </c>
      <c r="O266">
        <v>14</v>
      </c>
      <c r="P266">
        <v>14</v>
      </c>
      <c r="Q266">
        <v>1</v>
      </c>
      <c r="V266"/>
      <c r="W266"/>
      <c r="X266"/>
    </row>
    <row r="267" spans="1:24" x14ac:dyDescent="0.3">
      <c r="A267" t="str">
        <f>Table_Capacity_Community_frontsheet[[#This Row],[Name]]&amp;B267</f>
        <v>DudleyOther short-term social care</v>
      </c>
      <c r="B267" t="str">
        <f>VLOOKUP(Table_Capacity_Community_frontsheet[[#This Row],[Service Area]],PathwayLookup!E:F,2,0)</f>
        <v>Other short-term social care</v>
      </c>
      <c r="C267" t="s">
        <v>139</v>
      </c>
      <c r="D267" t="s">
        <v>708</v>
      </c>
      <c r="E267">
        <v>0</v>
      </c>
      <c r="F267">
        <v>0</v>
      </c>
      <c r="G267">
        <v>0</v>
      </c>
      <c r="H267">
        <v>0</v>
      </c>
      <c r="I267">
        <v>0</v>
      </c>
      <c r="J267">
        <v>0</v>
      </c>
      <c r="K267">
        <v>0</v>
      </c>
      <c r="L267">
        <v>0</v>
      </c>
      <c r="M267">
        <v>0</v>
      </c>
      <c r="N267">
        <v>0</v>
      </c>
      <c r="O267">
        <v>0</v>
      </c>
      <c r="P267">
        <v>0</v>
      </c>
      <c r="V267"/>
      <c r="W267"/>
      <c r="X267"/>
    </row>
    <row r="268" spans="1:24" x14ac:dyDescent="0.3">
      <c r="A268" t="str">
        <f>Table_Capacity_Community_frontsheet[[#This Row],[Name]]&amp;B268</f>
        <v>EalingSocial support (including VCS)</v>
      </c>
      <c r="B268" t="str">
        <f>VLOOKUP(Table_Capacity_Community_frontsheet[[#This Row],[Service Area]],PathwayLookup!E:F,2,0)</f>
        <v>Social support (including VCS)</v>
      </c>
      <c r="C268" t="s">
        <v>141</v>
      </c>
      <c r="D268" t="s">
        <v>704</v>
      </c>
      <c r="V268"/>
      <c r="W268"/>
      <c r="X268"/>
    </row>
    <row r="269" spans="1:24" x14ac:dyDescent="0.3">
      <c r="A269" t="str">
        <f>Table_Capacity_Community_frontsheet[[#This Row],[Name]]&amp;B269</f>
        <v>EalingUrgent Community Response</v>
      </c>
      <c r="B269" t="str">
        <f>VLOOKUP(Table_Capacity_Community_frontsheet[[#This Row],[Service Area]],PathwayLookup!E:F,2,0)</f>
        <v>Urgent Community Response</v>
      </c>
      <c r="C269" t="s">
        <v>141</v>
      </c>
      <c r="D269" t="s">
        <v>705</v>
      </c>
      <c r="E269">
        <v>222</v>
      </c>
      <c r="F269">
        <v>209</v>
      </c>
      <c r="G269">
        <v>219</v>
      </c>
      <c r="H269">
        <v>224</v>
      </c>
      <c r="I269">
        <v>233</v>
      </c>
      <c r="J269">
        <v>188</v>
      </c>
      <c r="K269">
        <v>207</v>
      </c>
      <c r="L269">
        <v>205</v>
      </c>
      <c r="M269">
        <v>246</v>
      </c>
      <c r="N269">
        <v>219</v>
      </c>
      <c r="O269">
        <v>258</v>
      </c>
      <c r="P269">
        <v>231</v>
      </c>
      <c r="Q269">
        <v>1</v>
      </c>
      <c r="V269"/>
      <c r="W269"/>
      <c r="X269"/>
    </row>
    <row r="270" spans="1:24" x14ac:dyDescent="0.3">
      <c r="A270" t="str">
        <f>Table_Capacity_Community_frontsheet[[#This Row],[Name]]&amp;B270</f>
        <v>EalingReablement &amp; Rehabilitation at home</v>
      </c>
      <c r="B270" t="str">
        <f>VLOOKUP(Table_Capacity_Community_frontsheet[[#This Row],[Service Area]],PathwayLookup!E:F,2,0)</f>
        <v>Reablement &amp; Rehabilitation at home</v>
      </c>
      <c r="C270" t="s">
        <v>141</v>
      </c>
      <c r="D270" t="s">
        <v>727</v>
      </c>
      <c r="E270">
        <v>18</v>
      </c>
      <c r="F270">
        <v>18</v>
      </c>
      <c r="G270">
        <v>18</v>
      </c>
      <c r="H270">
        <v>18</v>
      </c>
      <c r="I270">
        <v>18</v>
      </c>
      <c r="J270">
        <v>12</v>
      </c>
      <c r="K270">
        <v>14</v>
      </c>
      <c r="L270">
        <v>16</v>
      </c>
      <c r="M270">
        <v>15</v>
      </c>
      <c r="N270">
        <v>30</v>
      </c>
      <c r="O270">
        <v>31</v>
      </c>
      <c r="P270">
        <v>19</v>
      </c>
      <c r="R270">
        <v>1</v>
      </c>
      <c r="V270"/>
      <c r="W270"/>
      <c r="X270"/>
    </row>
    <row r="271" spans="1:24" x14ac:dyDescent="0.3">
      <c r="A271" t="str">
        <f>Table_Capacity_Community_frontsheet[[#This Row],[Name]]&amp;B271</f>
        <v>EalingReablement &amp; Rehabilitation at home</v>
      </c>
      <c r="B271" t="str">
        <f>VLOOKUP(Table_Capacity_Community_frontsheet[[#This Row],[Service Area]],PathwayLookup!E:F,2,0)</f>
        <v>Reablement &amp; Rehabilitation at home</v>
      </c>
      <c r="C271" t="s">
        <v>141</v>
      </c>
      <c r="D271" t="s">
        <v>729</v>
      </c>
      <c r="V271"/>
      <c r="W271"/>
      <c r="X271"/>
    </row>
    <row r="272" spans="1:24" x14ac:dyDescent="0.3">
      <c r="A272" t="str">
        <f>Table_Capacity_Community_frontsheet[[#This Row],[Name]]&amp;B272</f>
        <v>EalingReablement &amp; Rehabilitation in a bedded setting</v>
      </c>
      <c r="B272" t="str">
        <f>VLOOKUP(Table_Capacity_Community_frontsheet[[#This Row],[Service Area]],PathwayLookup!E:F,2,0)</f>
        <v>Reablement &amp; Rehabilitation in a bedded setting</v>
      </c>
      <c r="C272" t="s">
        <v>141</v>
      </c>
      <c r="D272" t="s">
        <v>723</v>
      </c>
      <c r="V272"/>
      <c r="W272"/>
      <c r="X272"/>
    </row>
    <row r="273" spans="1:24" x14ac:dyDescent="0.3">
      <c r="A273" t="str">
        <f>Table_Capacity_Community_frontsheet[[#This Row],[Name]]&amp;B273</f>
        <v>EalingReablement &amp; Rehabilitation in a bedded setting</v>
      </c>
      <c r="B273" t="str">
        <f>VLOOKUP(Table_Capacity_Community_frontsheet[[#This Row],[Service Area]],PathwayLookup!E:F,2,0)</f>
        <v>Reablement &amp; Rehabilitation in a bedded setting</v>
      </c>
      <c r="C273" t="s">
        <v>141</v>
      </c>
      <c r="D273" t="s">
        <v>725</v>
      </c>
      <c r="E273">
        <v>1440</v>
      </c>
      <c r="F273">
        <v>1488</v>
      </c>
      <c r="G273">
        <v>1440</v>
      </c>
      <c r="H273">
        <v>1488</v>
      </c>
      <c r="I273">
        <v>1488</v>
      </c>
      <c r="J273">
        <v>1440</v>
      </c>
      <c r="K273">
        <v>1488</v>
      </c>
      <c r="L273">
        <v>1440</v>
      </c>
      <c r="M273">
        <v>1488</v>
      </c>
      <c r="N273">
        <v>1570</v>
      </c>
      <c r="O273">
        <v>1613</v>
      </c>
      <c r="P273">
        <v>1807</v>
      </c>
      <c r="Q273">
        <v>1</v>
      </c>
      <c r="V273"/>
      <c r="W273"/>
      <c r="X273"/>
    </row>
    <row r="274" spans="1:24" x14ac:dyDescent="0.3">
      <c r="A274" t="str">
        <f>Table_Capacity_Community_frontsheet[[#This Row],[Name]]&amp;B274</f>
        <v>EalingOther short-term social care</v>
      </c>
      <c r="B274" t="str">
        <f>VLOOKUP(Table_Capacity_Community_frontsheet[[#This Row],[Service Area]],PathwayLookup!E:F,2,0)</f>
        <v>Other short-term social care</v>
      </c>
      <c r="C274" t="s">
        <v>141</v>
      </c>
      <c r="D274" t="s">
        <v>708</v>
      </c>
      <c r="V274"/>
      <c r="W274"/>
      <c r="X274"/>
    </row>
    <row r="275" spans="1:24" x14ac:dyDescent="0.3">
      <c r="A275" t="str">
        <f>Table_Capacity_Community_frontsheet[[#This Row],[Name]]&amp;B275</f>
        <v>East Riding of YorkshireSocial support (including VCS)</v>
      </c>
      <c r="B275" t="str">
        <f>VLOOKUP(Table_Capacity_Community_frontsheet[[#This Row],[Service Area]],PathwayLookup!E:F,2,0)</f>
        <v>Social support (including VCS)</v>
      </c>
      <c r="C275" t="s">
        <v>143</v>
      </c>
      <c r="D275" t="s">
        <v>704</v>
      </c>
      <c r="E275">
        <v>6</v>
      </c>
      <c r="F275">
        <v>6</v>
      </c>
      <c r="G275">
        <v>6</v>
      </c>
      <c r="H275">
        <v>6</v>
      </c>
      <c r="I275">
        <v>6</v>
      </c>
      <c r="J275">
        <v>6</v>
      </c>
      <c r="K275">
        <v>6</v>
      </c>
      <c r="L275">
        <v>6</v>
      </c>
      <c r="M275">
        <v>6</v>
      </c>
      <c r="N275">
        <v>6</v>
      </c>
      <c r="O275">
        <v>6</v>
      </c>
      <c r="P275">
        <v>6</v>
      </c>
      <c r="Q275">
        <v>1</v>
      </c>
      <c r="V275"/>
      <c r="W275"/>
      <c r="X275"/>
    </row>
    <row r="276" spans="1:24" x14ac:dyDescent="0.3">
      <c r="A276" t="str">
        <f>Table_Capacity_Community_frontsheet[[#This Row],[Name]]&amp;B276</f>
        <v>East Riding of YorkshireUrgent Community Response</v>
      </c>
      <c r="B276" t="str">
        <f>VLOOKUP(Table_Capacity_Community_frontsheet[[#This Row],[Service Area]],PathwayLookup!E:F,2,0)</f>
        <v>Urgent Community Response</v>
      </c>
      <c r="C276" t="s">
        <v>143</v>
      </c>
      <c r="D276" t="s">
        <v>705</v>
      </c>
      <c r="E276">
        <v>75</v>
      </c>
      <c r="F276">
        <v>75</v>
      </c>
      <c r="G276">
        <v>73</v>
      </c>
      <c r="H276">
        <v>73</v>
      </c>
      <c r="I276">
        <v>73</v>
      </c>
      <c r="J276">
        <v>75</v>
      </c>
      <c r="K276">
        <v>75</v>
      </c>
      <c r="L276">
        <v>76</v>
      </c>
      <c r="M276">
        <v>78</v>
      </c>
      <c r="N276">
        <v>77</v>
      </c>
      <c r="O276">
        <v>76</v>
      </c>
      <c r="P276">
        <v>74</v>
      </c>
      <c r="Q276">
        <v>1</v>
      </c>
      <c r="V276"/>
      <c r="W276"/>
      <c r="X276"/>
    </row>
    <row r="277" spans="1:24" x14ac:dyDescent="0.3">
      <c r="A277" t="str">
        <f>Table_Capacity_Community_frontsheet[[#This Row],[Name]]&amp;B277</f>
        <v>East Riding of YorkshireReablement &amp; Rehabilitation at home</v>
      </c>
      <c r="B277" t="str">
        <f>VLOOKUP(Table_Capacity_Community_frontsheet[[#This Row],[Service Area]],PathwayLookup!E:F,2,0)</f>
        <v>Reablement &amp; Rehabilitation at home</v>
      </c>
      <c r="C277" t="s">
        <v>143</v>
      </c>
      <c r="D277" t="s">
        <v>727</v>
      </c>
      <c r="V277"/>
      <c r="W277"/>
      <c r="X277"/>
    </row>
    <row r="278" spans="1:24" x14ac:dyDescent="0.3">
      <c r="A278" t="str">
        <f>Table_Capacity_Community_frontsheet[[#This Row],[Name]]&amp;B278</f>
        <v>East Riding of YorkshireReablement &amp; Rehabilitation at home</v>
      </c>
      <c r="B278" t="str">
        <f>VLOOKUP(Table_Capacity_Community_frontsheet[[#This Row],[Service Area]],PathwayLookup!E:F,2,0)</f>
        <v>Reablement &amp; Rehabilitation at home</v>
      </c>
      <c r="C278" t="s">
        <v>143</v>
      </c>
      <c r="D278" t="s">
        <v>729</v>
      </c>
      <c r="E278">
        <v>250</v>
      </c>
      <c r="F278">
        <v>250</v>
      </c>
      <c r="G278">
        <v>240</v>
      </c>
      <c r="H278">
        <v>240</v>
      </c>
      <c r="I278">
        <v>240</v>
      </c>
      <c r="J278">
        <v>250</v>
      </c>
      <c r="K278">
        <v>250</v>
      </c>
      <c r="L278">
        <v>260</v>
      </c>
      <c r="M278">
        <v>270</v>
      </c>
      <c r="N278">
        <v>260</v>
      </c>
      <c r="O278">
        <v>250</v>
      </c>
      <c r="P278">
        <v>240</v>
      </c>
      <c r="Q278">
        <v>1</v>
      </c>
      <c r="V278"/>
      <c r="W278"/>
      <c r="X278"/>
    </row>
    <row r="279" spans="1:24" x14ac:dyDescent="0.3">
      <c r="A279" t="str">
        <f>Table_Capacity_Community_frontsheet[[#This Row],[Name]]&amp;B279</f>
        <v>East Riding of YorkshireReablement &amp; Rehabilitation in a bedded setting</v>
      </c>
      <c r="B279" t="str">
        <f>VLOOKUP(Table_Capacity_Community_frontsheet[[#This Row],[Service Area]],PathwayLookup!E:F,2,0)</f>
        <v>Reablement &amp; Rehabilitation in a bedded setting</v>
      </c>
      <c r="C279" t="s">
        <v>143</v>
      </c>
      <c r="D279" t="s">
        <v>723</v>
      </c>
      <c r="V279"/>
      <c r="W279"/>
      <c r="X279"/>
    </row>
    <row r="280" spans="1:24" x14ac:dyDescent="0.3">
      <c r="A280" t="str">
        <f>Table_Capacity_Community_frontsheet[[#This Row],[Name]]&amp;B280</f>
        <v>East Riding of YorkshireReablement &amp; Rehabilitation in a bedded setting</v>
      </c>
      <c r="B280" t="str">
        <f>VLOOKUP(Table_Capacity_Community_frontsheet[[#This Row],[Service Area]],PathwayLookup!E:F,2,0)</f>
        <v>Reablement &amp; Rehabilitation in a bedded setting</v>
      </c>
      <c r="C280" t="s">
        <v>143</v>
      </c>
      <c r="D280" t="s">
        <v>725</v>
      </c>
      <c r="E280">
        <v>8</v>
      </c>
      <c r="F280">
        <v>8</v>
      </c>
      <c r="G280">
        <v>6</v>
      </c>
      <c r="H280">
        <v>6</v>
      </c>
      <c r="I280">
        <v>6</v>
      </c>
      <c r="J280">
        <v>8</v>
      </c>
      <c r="K280">
        <v>8</v>
      </c>
      <c r="L280">
        <v>9</v>
      </c>
      <c r="M280">
        <v>11</v>
      </c>
      <c r="N280">
        <v>10</v>
      </c>
      <c r="O280">
        <v>8</v>
      </c>
      <c r="P280">
        <v>8</v>
      </c>
      <c r="Q280">
        <v>1</v>
      </c>
      <c r="V280"/>
      <c r="W280"/>
      <c r="X280"/>
    </row>
    <row r="281" spans="1:24" x14ac:dyDescent="0.3">
      <c r="A281" t="str">
        <f>Table_Capacity_Community_frontsheet[[#This Row],[Name]]&amp;B281</f>
        <v>East Riding of YorkshireOther short-term social care</v>
      </c>
      <c r="B281" t="str">
        <f>VLOOKUP(Table_Capacity_Community_frontsheet[[#This Row],[Service Area]],PathwayLookup!E:F,2,0)</f>
        <v>Other short-term social care</v>
      </c>
      <c r="C281" t="s">
        <v>143</v>
      </c>
      <c r="D281" t="s">
        <v>708</v>
      </c>
      <c r="V281"/>
      <c r="W281"/>
      <c r="X281"/>
    </row>
    <row r="282" spans="1:24" x14ac:dyDescent="0.3">
      <c r="A282" t="str">
        <f>Table_Capacity_Community_frontsheet[[#This Row],[Name]]&amp;B282</f>
        <v>East SussexSocial support (including VCS)</v>
      </c>
      <c r="B282" t="str">
        <f>VLOOKUP(Table_Capacity_Community_frontsheet[[#This Row],[Service Area]],PathwayLookup!E:F,2,0)</f>
        <v>Social support (including VCS)</v>
      </c>
      <c r="C282" t="s">
        <v>145</v>
      </c>
      <c r="D282" t="s">
        <v>704</v>
      </c>
      <c r="E282">
        <v>597</v>
      </c>
      <c r="F282">
        <v>617</v>
      </c>
      <c r="G282">
        <v>597</v>
      </c>
      <c r="H282">
        <v>617</v>
      </c>
      <c r="I282">
        <v>617</v>
      </c>
      <c r="J282">
        <v>597</v>
      </c>
      <c r="K282">
        <v>617</v>
      </c>
      <c r="L282">
        <v>597</v>
      </c>
      <c r="M282">
        <v>617</v>
      </c>
      <c r="N282">
        <v>617</v>
      </c>
      <c r="O282">
        <v>577</v>
      </c>
      <c r="P282">
        <v>617</v>
      </c>
      <c r="S282">
        <v>1</v>
      </c>
      <c r="V282"/>
      <c r="W282"/>
      <c r="X282"/>
    </row>
    <row r="283" spans="1:24" x14ac:dyDescent="0.3">
      <c r="A283" t="str">
        <f>Table_Capacity_Community_frontsheet[[#This Row],[Name]]&amp;B283</f>
        <v>East SussexUrgent Community Response</v>
      </c>
      <c r="B283" t="str">
        <f>VLOOKUP(Table_Capacity_Community_frontsheet[[#This Row],[Service Area]],PathwayLookup!E:F,2,0)</f>
        <v>Urgent Community Response</v>
      </c>
      <c r="C283" t="s">
        <v>145</v>
      </c>
      <c r="D283" t="s">
        <v>705</v>
      </c>
      <c r="E283">
        <v>1317</v>
      </c>
      <c r="F283">
        <v>1361</v>
      </c>
      <c r="G283">
        <v>1317</v>
      </c>
      <c r="H283">
        <v>1361</v>
      </c>
      <c r="I283">
        <v>1361</v>
      </c>
      <c r="J283">
        <v>1317</v>
      </c>
      <c r="K283">
        <v>1361</v>
      </c>
      <c r="L283">
        <v>1317</v>
      </c>
      <c r="M283">
        <v>1361</v>
      </c>
      <c r="N283">
        <v>1361</v>
      </c>
      <c r="O283">
        <v>1273</v>
      </c>
      <c r="P283">
        <v>1361</v>
      </c>
      <c r="Q283">
        <v>1</v>
      </c>
      <c r="V283"/>
      <c r="W283"/>
      <c r="X283"/>
    </row>
    <row r="284" spans="1:24" x14ac:dyDescent="0.3">
      <c r="A284" t="str">
        <f>Table_Capacity_Community_frontsheet[[#This Row],[Name]]&amp;B284</f>
        <v>East SussexReablement &amp; Rehabilitation at home</v>
      </c>
      <c r="B284" t="str">
        <f>VLOOKUP(Table_Capacity_Community_frontsheet[[#This Row],[Service Area]],PathwayLookup!E:F,2,0)</f>
        <v>Reablement &amp; Rehabilitation at home</v>
      </c>
      <c r="C284" t="s">
        <v>145</v>
      </c>
      <c r="D284" t="s">
        <v>727</v>
      </c>
      <c r="E284">
        <v>89</v>
      </c>
      <c r="F284">
        <v>89</v>
      </c>
      <c r="G284">
        <v>89</v>
      </c>
      <c r="H284">
        <v>89</v>
      </c>
      <c r="I284">
        <v>89</v>
      </c>
      <c r="J284">
        <v>89</v>
      </c>
      <c r="K284">
        <v>89</v>
      </c>
      <c r="L284">
        <v>89</v>
      </c>
      <c r="M284">
        <v>89</v>
      </c>
      <c r="N284">
        <v>89</v>
      </c>
      <c r="O284">
        <v>89</v>
      </c>
      <c r="P284">
        <v>89</v>
      </c>
      <c r="R284">
        <v>1</v>
      </c>
      <c r="V284"/>
      <c r="W284"/>
      <c r="X284"/>
    </row>
    <row r="285" spans="1:24" x14ac:dyDescent="0.3">
      <c r="A285" t="str">
        <f>Table_Capacity_Community_frontsheet[[#This Row],[Name]]&amp;B285</f>
        <v>East SussexReablement &amp; Rehabilitation at home</v>
      </c>
      <c r="B285" t="str">
        <f>VLOOKUP(Table_Capacity_Community_frontsheet[[#This Row],[Service Area]],PathwayLookup!E:F,2,0)</f>
        <v>Reablement &amp; Rehabilitation at home</v>
      </c>
      <c r="C285" t="s">
        <v>145</v>
      </c>
      <c r="D285" t="s">
        <v>729</v>
      </c>
      <c r="E285">
        <v>457</v>
      </c>
      <c r="F285">
        <v>457</v>
      </c>
      <c r="G285">
        <v>457</v>
      </c>
      <c r="H285">
        <v>457</v>
      </c>
      <c r="I285">
        <v>457</v>
      </c>
      <c r="J285">
        <v>457</v>
      </c>
      <c r="K285">
        <v>457</v>
      </c>
      <c r="L285">
        <v>457</v>
      </c>
      <c r="M285">
        <v>457</v>
      </c>
      <c r="N285">
        <v>457</v>
      </c>
      <c r="O285">
        <v>457</v>
      </c>
      <c r="P285">
        <v>457</v>
      </c>
      <c r="Q285">
        <v>1</v>
      </c>
      <c r="V285"/>
      <c r="W285"/>
      <c r="X285"/>
    </row>
    <row r="286" spans="1:24" x14ac:dyDescent="0.3">
      <c r="A286" t="str">
        <f>Table_Capacity_Community_frontsheet[[#This Row],[Name]]&amp;B286</f>
        <v>East SussexReablement &amp; Rehabilitation in a bedded setting</v>
      </c>
      <c r="B286" t="str">
        <f>VLOOKUP(Table_Capacity_Community_frontsheet[[#This Row],[Service Area]],PathwayLookup!E:F,2,0)</f>
        <v>Reablement &amp; Rehabilitation in a bedded setting</v>
      </c>
      <c r="C286" t="s">
        <v>145</v>
      </c>
      <c r="D286" t="s">
        <v>723</v>
      </c>
      <c r="E286">
        <v>11</v>
      </c>
      <c r="F286">
        <v>11</v>
      </c>
      <c r="G286">
        <v>11</v>
      </c>
      <c r="H286">
        <v>11</v>
      </c>
      <c r="I286">
        <v>11</v>
      </c>
      <c r="J286">
        <v>11</v>
      </c>
      <c r="K286">
        <v>11</v>
      </c>
      <c r="L286">
        <v>11</v>
      </c>
      <c r="M286">
        <v>11</v>
      </c>
      <c r="N286">
        <v>11</v>
      </c>
      <c r="O286">
        <v>11</v>
      </c>
      <c r="P286">
        <v>11</v>
      </c>
      <c r="S286">
        <v>1</v>
      </c>
      <c r="V286"/>
      <c r="W286"/>
      <c r="X286"/>
    </row>
    <row r="287" spans="1:24" x14ac:dyDescent="0.3">
      <c r="A287" t="str">
        <f>Table_Capacity_Community_frontsheet[[#This Row],[Name]]&amp;B287</f>
        <v>East SussexReablement &amp; Rehabilitation in a bedded setting</v>
      </c>
      <c r="B287" t="str">
        <f>VLOOKUP(Table_Capacity_Community_frontsheet[[#This Row],[Service Area]],PathwayLookup!E:F,2,0)</f>
        <v>Reablement &amp; Rehabilitation in a bedded setting</v>
      </c>
      <c r="C287" t="s">
        <v>145</v>
      </c>
      <c r="D287" t="s">
        <v>725</v>
      </c>
      <c r="E287">
        <v>4</v>
      </c>
      <c r="F287">
        <v>4</v>
      </c>
      <c r="G287">
        <v>4</v>
      </c>
      <c r="H287">
        <v>4</v>
      </c>
      <c r="I287">
        <v>4</v>
      </c>
      <c r="J287">
        <v>4</v>
      </c>
      <c r="K287">
        <v>4</v>
      </c>
      <c r="L287">
        <v>4</v>
      </c>
      <c r="M287">
        <v>4</v>
      </c>
      <c r="N287">
        <v>4</v>
      </c>
      <c r="O287">
        <v>4</v>
      </c>
      <c r="P287">
        <v>4</v>
      </c>
      <c r="Q287">
        <v>1</v>
      </c>
      <c r="V287"/>
      <c r="W287"/>
      <c r="X287"/>
    </row>
    <row r="288" spans="1:24" x14ac:dyDescent="0.3">
      <c r="A288" t="str">
        <f>Table_Capacity_Community_frontsheet[[#This Row],[Name]]&amp;B288</f>
        <v>East SussexOther short-term social care</v>
      </c>
      <c r="B288" t="str">
        <f>VLOOKUP(Table_Capacity_Community_frontsheet[[#This Row],[Service Area]],PathwayLookup!E:F,2,0)</f>
        <v>Other short-term social care</v>
      </c>
      <c r="C288" t="s">
        <v>145</v>
      </c>
      <c r="D288" t="s">
        <v>708</v>
      </c>
      <c r="E288">
        <v>0</v>
      </c>
      <c r="F288">
        <v>0</v>
      </c>
      <c r="G288">
        <v>0</v>
      </c>
      <c r="H288">
        <v>0</v>
      </c>
      <c r="I288">
        <v>0</v>
      </c>
      <c r="J288">
        <v>0</v>
      </c>
      <c r="K288">
        <v>0</v>
      </c>
      <c r="L288">
        <v>0</v>
      </c>
      <c r="M288">
        <v>0</v>
      </c>
      <c r="N288">
        <v>0</v>
      </c>
      <c r="O288">
        <v>0</v>
      </c>
      <c r="P288">
        <v>0</v>
      </c>
      <c r="S288">
        <v>1</v>
      </c>
      <c r="V288"/>
      <c r="W288"/>
      <c r="X288"/>
    </row>
    <row r="289" spans="1:24" x14ac:dyDescent="0.3">
      <c r="A289" t="str">
        <f>Table_Capacity_Community_frontsheet[[#This Row],[Name]]&amp;B289</f>
        <v>EnfieldSocial support (including VCS)</v>
      </c>
      <c r="B289" t="str">
        <f>VLOOKUP(Table_Capacity_Community_frontsheet[[#This Row],[Service Area]],PathwayLookup!E:F,2,0)</f>
        <v>Social support (including VCS)</v>
      </c>
      <c r="C289" t="s">
        <v>147</v>
      </c>
      <c r="D289" t="s">
        <v>704</v>
      </c>
      <c r="E289">
        <v>250</v>
      </c>
      <c r="F289">
        <v>250</v>
      </c>
      <c r="G289">
        <v>250</v>
      </c>
      <c r="H289">
        <v>250</v>
      </c>
      <c r="I289">
        <v>250</v>
      </c>
      <c r="J289">
        <v>250</v>
      </c>
      <c r="K289">
        <v>265</v>
      </c>
      <c r="L289">
        <v>265</v>
      </c>
      <c r="M289">
        <v>230</v>
      </c>
      <c r="N289">
        <v>285</v>
      </c>
      <c r="O289">
        <v>280</v>
      </c>
      <c r="P289">
        <v>275</v>
      </c>
      <c r="R289">
        <v>1</v>
      </c>
      <c r="V289"/>
      <c r="W289"/>
      <c r="X289"/>
    </row>
    <row r="290" spans="1:24" x14ac:dyDescent="0.3">
      <c r="A290" t="str">
        <f>Table_Capacity_Community_frontsheet[[#This Row],[Name]]&amp;B290</f>
        <v>EnfieldUrgent Community Response</v>
      </c>
      <c r="B290" t="str">
        <f>VLOOKUP(Table_Capacity_Community_frontsheet[[#This Row],[Service Area]],PathwayLookup!E:F,2,0)</f>
        <v>Urgent Community Response</v>
      </c>
      <c r="C290" t="s">
        <v>147</v>
      </c>
      <c r="D290" t="s">
        <v>705</v>
      </c>
      <c r="E290">
        <v>200</v>
      </c>
      <c r="F290">
        <v>200</v>
      </c>
      <c r="G290">
        <v>200</v>
      </c>
      <c r="H290">
        <v>221</v>
      </c>
      <c r="I290">
        <v>221</v>
      </c>
      <c r="J290">
        <v>221</v>
      </c>
      <c r="K290">
        <v>184</v>
      </c>
      <c r="L290">
        <v>184</v>
      </c>
      <c r="M290">
        <v>184</v>
      </c>
      <c r="N290">
        <v>174</v>
      </c>
      <c r="O290">
        <v>174</v>
      </c>
      <c r="P290">
        <v>174</v>
      </c>
      <c r="Q290">
        <v>1</v>
      </c>
      <c r="V290"/>
      <c r="W290"/>
      <c r="X290"/>
    </row>
    <row r="291" spans="1:24" x14ac:dyDescent="0.3">
      <c r="A291" t="str">
        <f>Table_Capacity_Community_frontsheet[[#This Row],[Name]]&amp;B291</f>
        <v>EnfieldReablement &amp; Rehabilitation at home</v>
      </c>
      <c r="B291" t="str">
        <f>VLOOKUP(Table_Capacity_Community_frontsheet[[#This Row],[Service Area]],PathwayLookup!E:F,2,0)</f>
        <v>Reablement &amp; Rehabilitation at home</v>
      </c>
      <c r="C291" t="s">
        <v>147</v>
      </c>
      <c r="D291" t="s">
        <v>727</v>
      </c>
      <c r="E291">
        <v>16</v>
      </c>
      <c r="F291">
        <v>17</v>
      </c>
      <c r="G291">
        <v>18</v>
      </c>
      <c r="H291">
        <v>19</v>
      </c>
      <c r="I291">
        <v>20</v>
      </c>
      <c r="J291">
        <v>21</v>
      </c>
      <c r="K291">
        <v>22</v>
      </c>
      <c r="L291">
        <v>23</v>
      </c>
      <c r="M291">
        <v>24</v>
      </c>
      <c r="N291">
        <v>25</v>
      </c>
      <c r="O291">
        <v>26</v>
      </c>
      <c r="P291">
        <v>27</v>
      </c>
      <c r="R291">
        <v>1</v>
      </c>
      <c r="V291"/>
      <c r="W291"/>
      <c r="X291"/>
    </row>
    <row r="292" spans="1:24" x14ac:dyDescent="0.3">
      <c r="A292" t="str">
        <f>Table_Capacity_Community_frontsheet[[#This Row],[Name]]&amp;B292</f>
        <v>EnfieldReablement &amp; Rehabilitation at home</v>
      </c>
      <c r="B292" t="str">
        <f>VLOOKUP(Table_Capacity_Community_frontsheet[[#This Row],[Service Area]],PathwayLookup!E:F,2,0)</f>
        <v>Reablement &amp; Rehabilitation at home</v>
      </c>
      <c r="C292" t="s">
        <v>147</v>
      </c>
      <c r="D292" t="s">
        <v>729</v>
      </c>
      <c r="E292">
        <v>170</v>
      </c>
      <c r="F292">
        <v>170</v>
      </c>
      <c r="G292">
        <v>170</v>
      </c>
      <c r="H292">
        <v>170</v>
      </c>
      <c r="I292">
        <v>170</v>
      </c>
      <c r="J292">
        <v>170</v>
      </c>
      <c r="K292">
        <v>170</v>
      </c>
      <c r="L292">
        <v>170</v>
      </c>
      <c r="M292">
        <v>170</v>
      </c>
      <c r="N292">
        <v>170</v>
      </c>
      <c r="O292">
        <v>170</v>
      </c>
      <c r="P292">
        <v>170</v>
      </c>
      <c r="Q292">
        <v>1</v>
      </c>
      <c r="V292"/>
      <c r="W292"/>
      <c r="X292"/>
    </row>
    <row r="293" spans="1:24" x14ac:dyDescent="0.3">
      <c r="A293" t="str">
        <f>Table_Capacity_Community_frontsheet[[#This Row],[Name]]&amp;B293</f>
        <v>EnfieldReablement &amp; Rehabilitation in a bedded setting</v>
      </c>
      <c r="B293" t="str">
        <f>VLOOKUP(Table_Capacity_Community_frontsheet[[#This Row],[Service Area]],PathwayLookup!E:F,2,0)</f>
        <v>Reablement &amp; Rehabilitation in a bedded setting</v>
      </c>
      <c r="C293" t="s">
        <v>147</v>
      </c>
      <c r="D293" t="s">
        <v>723</v>
      </c>
      <c r="E293">
        <v>0</v>
      </c>
      <c r="F293">
        <v>0</v>
      </c>
      <c r="G293">
        <v>0</v>
      </c>
      <c r="H293">
        <v>0</v>
      </c>
      <c r="I293">
        <v>0</v>
      </c>
      <c r="J293">
        <v>0</v>
      </c>
      <c r="K293">
        <v>0</v>
      </c>
      <c r="L293">
        <v>0</v>
      </c>
      <c r="M293">
        <v>0</v>
      </c>
      <c r="N293">
        <v>0</v>
      </c>
      <c r="O293">
        <v>0</v>
      </c>
      <c r="P293">
        <v>0</v>
      </c>
      <c r="Q293">
        <v>1</v>
      </c>
      <c r="V293"/>
      <c r="W293"/>
      <c r="X293"/>
    </row>
    <row r="294" spans="1:24" x14ac:dyDescent="0.3">
      <c r="A294" t="str">
        <f>Table_Capacity_Community_frontsheet[[#This Row],[Name]]&amp;B294</f>
        <v>EnfieldReablement &amp; Rehabilitation in a bedded setting</v>
      </c>
      <c r="B294" t="str">
        <f>VLOOKUP(Table_Capacity_Community_frontsheet[[#This Row],[Service Area]],PathwayLookup!E:F,2,0)</f>
        <v>Reablement &amp; Rehabilitation in a bedded setting</v>
      </c>
      <c r="C294" t="s">
        <v>147</v>
      </c>
      <c r="D294" t="s">
        <v>725</v>
      </c>
      <c r="E294">
        <v>118</v>
      </c>
      <c r="F294">
        <v>118</v>
      </c>
      <c r="G294">
        <v>118</v>
      </c>
      <c r="H294">
        <v>118</v>
      </c>
      <c r="I294">
        <v>118</v>
      </c>
      <c r="J294">
        <v>118</v>
      </c>
      <c r="K294">
        <v>118</v>
      </c>
      <c r="L294">
        <v>118</v>
      </c>
      <c r="M294">
        <v>118</v>
      </c>
      <c r="N294">
        <v>118</v>
      </c>
      <c r="O294">
        <v>118</v>
      </c>
      <c r="P294">
        <v>118</v>
      </c>
      <c r="Q294">
        <v>1</v>
      </c>
      <c r="V294"/>
      <c r="W294"/>
      <c r="X294"/>
    </row>
    <row r="295" spans="1:24" x14ac:dyDescent="0.3">
      <c r="A295" t="str">
        <f>Table_Capacity_Community_frontsheet[[#This Row],[Name]]&amp;B295</f>
        <v>EnfieldOther short-term social care</v>
      </c>
      <c r="B295" t="str">
        <f>VLOOKUP(Table_Capacity_Community_frontsheet[[#This Row],[Service Area]],PathwayLookup!E:F,2,0)</f>
        <v>Other short-term social care</v>
      </c>
      <c r="C295" t="s">
        <v>147</v>
      </c>
      <c r="D295" t="s">
        <v>708</v>
      </c>
      <c r="E295">
        <v>6</v>
      </c>
      <c r="F295">
        <v>6</v>
      </c>
      <c r="G295">
        <v>6</v>
      </c>
      <c r="H295">
        <v>6</v>
      </c>
      <c r="I295">
        <v>6</v>
      </c>
      <c r="J295">
        <v>6</v>
      </c>
      <c r="K295">
        <v>6</v>
      </c>
      <c r="L295">
        <v>6</v>
      </c>
      <c r="M295">
        <v>6</v>
      </c>
      <c r="N295">
        <v>6</v>
      </c>
      <c r="O295">
        <v>6</v>
      </c>
      <c r="P295">
        <v>6</v>
      </c>
      <c r="R295">
        <v>1</v>
      </c>
      <c r="V295"/>
      <c r="W295"/>
      <c r="X295"/>
    </row>
    <row r="296" spans="1:24" x14ac:dyDescent="0.3">
      <c r="A296" t="str">
        <f>Table_Capacity_Community_frontsheet[[#This Row],[Name]]&amp;B296</f>
        <v>EssexSocial support (including VCS)</v>
      </c>
      <c r="B296" t="str">
        <f>VLOOKUP(Table_Capacity_Community_frontsheet[[#This Row],[Service Area]],PathwayLookup!E:F,2,0)</f>
        <v>Social support (including VCS)</v>
      </c>
      <c r="C296" t="s">
        <v>149</v>
      </c>
      <c r="D296" t="s">
        <v>704</v>
      </c>
      <c r="E296">
        <v>812</v>
      </c>
      <c r="F296">
        <v>812</v>
      </c>
      <c r="G296">
        <v>812</v>
      </c>
      <c r="H296">
        <v>812</v>
      </c>
      <c r="I296">
        <v>812</v>
      </c>
      <c r="J296">
        <v>812</v>
      </c>
      <c r="K296">
        <v>812</v>
      </c>
      <c r="L296">
        <v>812</v>
      </c>
      <c r="M296">
        <v>812</v>
      </c>
      <c r="N296">
        <v>812</v>
      </c>
      <c r="O296">
        <v>812</v>
      </c>
      <c r="P296">
        <v>812</v>
      </c>
      <c r="V296"/>
      <c r="W296"/>
      <c r="X296"/>
    </row>
    <row r="297" spans="1:24" x14ac:dyDescent="0.3">
      <c r="A297" t="str">
        <f>Table_Capacity_Community_frontsheet[[#This Row],[Name]]&amp;B297</f>
        <v>EssexUrgent Community Response</v>
      </c>
      <c r="B297" t="str">
        <f>VLOOKUP(Table_Capacity_Community_frontsheet[[#This Row],[Service Area]],PathwayLookup!E:F,2,0)</f>
        <v>Urgent Community Response</v>
      </c>
      <c r="C297" t="s">
        <v>149</v>
      </c>
      <c r="D297" t="s">
        <v>705</v>
      </c>
      <c r="E297">
        <v>2508</v>
      </c>
      <c r="F297">
        <v>2508</v>
      </c>
      <c r="G297">
        <v>2508</v>
      </c>
      <c r="H297">
        <v>2508</v>
      </c>
      <c r="I297">
        <v>2508</v>
      </c>
      <c r="J297">
        <v>2508</v>
      </c>
      <c r="K297">
        <v>2508</v>
      </c>
      <c r="L297">
        <v>2508</v>
      </c>
      <c r="M297">
        <v>2508</v>
      </c>
      <c r="N297">
        <v>2508</v>
      </c>
      <c r="O297">
        <v>2508</v>
      </c>
      <c r="P297">
        <v>2508</v>
      </c>
      <c r="V297"/>
      <c r="W297"/>
      <c r="X297"/>
    </row>
    <row r="298" spans="1:24" x14ac:dyDescent="0.3">
      <c r="A298" t="str">
        <f>Table_Capacity_Community_frontsheet[[#This Row],[Name]]&amp;B298</f>
        <v>EssexReablement &amp; Rehabilitation at home</v>
      </c>
      <c r="B298" t="str">
        <f>VLOOKUP(Table_Capacity_Community_frontsheet[[#This Row],[Service Area]],PathwayLookup!E:F,2,0)</f>
        <v>Reablement &amp; Rehabilitation at home</v>
      </c>
      <c r="C298" t="s">
        <v>149</v>
      </c>
      <c r="D298" t="s">
        <v>727</v>
      </c>
      <c r="E298">
        <v>155</v>
      </c>
      <c r="F298">
        <v>189</v>
      </c>
      <c r="G298">
        <v>243</v>
      </c>
      <c r="H298">
        <v>194</v>
      </c>
      <c r="I298">
        <v>209</v>
      </c>
      <c r="J298">
        <v>217</v>
      </c>
      <c r="K298">
        <v>212</v>
      </c>
      <c r="L298">
        <v>230</v>
      </c>
      <c r="M298">
        <v>197</v>
      </c>
      <c r="N298">
        <v>209</v>
      </c>
      <c r="O298">
        <v>205</v>
      </c>
      <c r="P298">
        <v>200</v>
      </c>
      <c r="R298">
        <v>1</v>
      </c>
      <c r="V298"/>
      <c r="W298"/>
      <c r="X298"/>
    </row>
    <row r="299" spans="1:24" x14ac:dyDescent="0.3">
      <c r="A299" t="str">
        <f>Table_Capacity_Community_frontsheet[[#This Row],[Name]]&amp;B299</f>
        <v>EssexReablement &amp; Rehabilitation at home</v>
      </c>
      <c r="B299" t="str">
        <f>VLOOKUP(Table_Capacity_Community_frontsheet[[#This Row],[Service Area]],PathwayLookup!E:F,2,0)</f>
        <v>Reablement &amp; Rehabilitation at home</v>
      </c>
      <c r="C299" t="s">
        <v>149</v>
      </c>
      <c r="D299" t="s">
        <v>729</v>
      </c>
      <c r="E299">
        <v>785</v>
      </c>
      <c r="F299">
        <v>883</v>
      </c>
      <c r="G299">
        <v>788</v>
      </c>
      <c r="H299">
        <v>1001</v>
      </c>
      <c r="I299">
        <v>946</v>
      </c>
      <c r="J299">
        <v>928</v>
      </c>
      <c r="K299">
        <v>855</v>
      </c>
      <c r="L299">
        <v>794</v>
      </c>
      <c r="M299">
        <v>695</v>
      </c>
      <c r="N299">
        <v>877</v>
      </c>
      <c r="O299">
        <v>888</v>
      </c>
      <c r="P299">
        <v>953</v>
      </c>
      <c r="V299"/>
      <c r="W299"/>
      <c r="X299"/>
    </row>
    <row r="300" spans="1:24" x14ac:dyDescent="0.3">
      <c r="A300" t="str">
        <f>Table_Capacity_Community_frontsheet[[#This Row],[Name]]&amp;B300</f>
        <v>EssexReablement &amp; Rehabilitation in a bedded setting</v>
      </c>
      <c r="B300" t="str">
        <f>VLOOKUP(Table_Capacity_Community_frontsheet[[#This Row],[Service Area]],PathwayLookup!E:F,2,0)</f>
        <v>Reablement &amp; Rehabilitation in a bedded setting</v>
      </c>
      <c r="C300" t="s">
        <v>149</v>
      </c>
      <c r="D300" t="s">
        <v>723</v>
      </c>
      <c r="E300">
        <v>0</v>
      </c>
      <c r="F300">
        <v>0</v>
      </c>
      <c r="G300">
        <v>0</v>
      </c>
      <c r="H300">
        <v>0</v>
      </c>
      <c r="I300">
        <v>0</v>
      </c>
      <c r="J300">
        <v>0</v>
      </c>
      <c r="K300">
        <v>0</v>
      </c>
      <c r="L300">
        <v>0</v>
      </c>
      <c r="M300">
        <v>0</v>
      </c>
      <c r="N300">
        <v>0</v>
      </c>
      <c r="O300">
        <v>0</v>
      </c>
      <c r="P300">
        <v>0</v>
      </c>
      <c r="V300"/>
      <c r="W300"/>
      <c r="X300"/>
    </row>
    <row r="301" spans="1:24" x14ac:dyDescent="0.3">
      <c r="A301" t="str">
        <f>Table_Capacity_Community_frontsheet[[#This Row],[Name]]&amp;B301</f>
        <v>EssexReablement &amp; Rehabilitation in a bedded setting</v>
      </c>
      <c r="B301" t="str">
        <f>VLOOKUP(Table_Capacity_Community_frontsheet[[#This Row],[Service Area]],PathwayLookup!E:F,2,0)</f>
        <v>Reablement &amp; Rehabilitation in a bedded setting</v>
      </c>
      <c r="C301" t="s">
        <v>149</v>
      </c>
      <c r="D301" t="s">
        <v>725</v>
      </c>
      <c r="E301">
        <v>120</v>
      </c>
      <c r="F301">
        <v>120</v>
      </c>
      <c r="G301">
        <v>120</v>
      </c>
      <c r="H301">
        <v>120</v>
      </c>
      <c r="I301">
        <v>120</v>
      </c>
      <c r="J301">
        <v>120</v>
      </c>
      <c r="K301">
        <v>120</v>
      </c>
      <c r="L301">
        <v>120</v>
      </c>
      <c r="M301">
        <v>120</v>
      </c>
      <c r="N301">
        <v>120</v>
      </c>
      <c r="O301">
        <v>120</v>
      </c>
      <c r="P301">
        <v>120</v>
      </c>
      <c r="V301"/>
      <c r="W301"/>
      <c r="X301"/>
    </row>
    <row r="302" spans="1:24" x14ac:dyDescent="0.3">
      <c r="A302" t="str">
        <f>Table_Capacity_Community_frontsheet[[#This Row],[Name]]&amp;B302</f>
        <v>EssexOther short-term social care</v>
      </c>
      <c r="B302" t="str">
        <f>VLOOKUP(Table_Capacity_Community_frontsheet[[#This Row],[Service Area]],PathwayLookup!E:F,2,0)</f>
        <v>Other short-term social care</v>
      </c>
      <c r="C302" t="s">
        <v>149</v>
      </c>
      <c r="D302" t="s">
        <v>708</v>
      </c>
      <c r="E302">
        <v>67</v>
      </c>
      <c r="F302">
        <v>56</v>
      </c>
      <c r="G302">
        <v>60</v>
      </c>
      <c r="H302">
        <v>57</v>
      </c>
      <c r="I302">
        <v>60</v>
      </c>
      <c r="J302">
        <v>57</v>
      </c>
      <c r="K302">
        <v>60</v>
      </c>
      <c r="L302">
        <v>60</v>
      </c>
      <c r="M302">
        <v>52</v>
      </c>
      <c r="N302">
        <v>60</v>
      </c>
      <c r="O302">
        <v>57</v>
      </c>
      <c r="P302">
        <v>56</v>
      </c>
      <c r="R302">
        <v>1</v>
      </c>
      <c r="V302"/>
      <c r="W302"/>
      <c r="X302"/>
    </row>
    <row r="303" spans="1:24" x14ac:dyDescent="0.3">
      <c r="A303" t="str">
        <f>Table_Capacity_Community_frontsheet[[#This Row],[Name]]&amp;B303</f>
        <v>GatesheadSocial support (including VCS)</v>
      </c>
      <c r="B303" t="str">
        <f>VLOOKUP(Table_Capacity_Community_frontsheet[[#This Row],[Service Area]],PathwayLookup!E:F,2,0)</f>
        <v>Social support (including VCS)</v>
      </c>
      <c r="C303" t="s">
        <v>151</v>
      </c>
      <c r="D303" t="s">
        <v>704</v>
      </c>
      <c r="E303">
        <v>0</v>
      </c>
      <c r="F303">
        <v>0</v>
      </c>
      <c r="G303">
        <v>0</v>
      </c>
      <c r="H303">
        <v>0</v>
      </c>
      <c r="I303">
        <v>0</v>
      </c>
      <c r="J303">
        <v>0</v>
      </c>
      <c r="K303">
        <v>0</v>
      </c>
      <c r="L303">
        <v>0</v>
      </c>
      <c r="M303">
        <v>0</v>
      </c>
      <c r="N303">
        <v>0</v>
      </c>
      <c r="O303">
        <v>0</v>
      </c>
      <c r="P303">
        <v>0</v>
      </c>
      <c r="Q303">
        <v>0</v>
      </c>
      <c r="R303">
        <v>0</v>
      </c>
      <c r="S303">
        <v>0</v>
      </c>
      <c r="V303"/>
      <c r="W303"/>
      <c r="X303"/>
    </row>
    <row r="304" spans="1:24" x14ac:dyDescent="0.3">
      <c r="A304" t="str">
        <f>Table_Capacity_Community_frontsheet[[#This Row],[Name]]&amp;B304</f>
        <v>GatesheadUrgent Community Response</v>
      </c>
      <c r="B304" t="str">
        <f>VLOOKUP(Table_Capacity_Community_frontsheet[[#This Row],[Service Area]],PathwayLookup!E:F,2,0)</f>
        <v>Urgent Community Response</v>
      </c>
      <c r="C304" t="s">
        <v>151</v>
      </c>
      <c r="D304" t="s">
        <v>705</v>
      </c>
      <c r="E304">
        <v>535</v>
      </c>
      <c r="F304">
        <v>597</v>
      </c>
      <c r="G304">
        <v>488</v>
      </c>
      <c r="H304">
        <v>564</v>
      </c>
      <c r="I304">
        <v>361</v>
      </c>
      <c r="J304">
        <v>445</v>
      </c>
      <c r="K304">
        <v>559</v>
      </c>
      <c r="L304">
        <v>679</v>
      </c>
      <c r="M304">
        <v>718</v>
      </c>
      <c r="N304">
        <v>681</v>
      </c>
      <c r="O304">
        <v>512</v>
      </c>
      <c r="P304">
        <v>570</v>
      </c>
      <c r="S304">
        <v>1</v>
      </c>
      <c r="V304"/>
      <c r="W304"/>
      <c r="X304"/>
    </row>
    <row r="305" spans="1:24" x14ac:dyDescent="0.3">
      <c r="A305" t="str">
        <f>Table_Capacity_Community_frontsheet[[#This Row],[Name]]&amp;B305</f>
        <v>GatesheadReablement &amp; Rehabilitation at home</v>
      </c>
      <c r="B305" t="str">
        <f>VLOOKUP(Table_Capacity_Community_frontsheet[[#This Row],[Service Area]],PathwayLookup!E:F,2,0)</f>
        <v>Reablement &amp; Rehabilitation at home</v>
      </c>
      <c r="C305" t="s">
        <v>151</v>
      </c>
      <c r="D305" t="s">
        <v>727</v>
      </c>
      <c r="E305">
        <v>12</v>
      </c>
      <c r="F305">
        <v>12</v>
      </c>
      <c r="G305">
        <v>12</v>
      </c>
      <c r="H305">
        <v>12</v>
      </c>
      <c r="I305">
        <v>12</v>
      </c>
      <c r="J305">
        <v>12</v>
      </c>
      <c r="K305">
        <v>14</v>
      </c>
      <c r="L305">
        <v>14</v>
      </c>
      <c r="M305">
        <v>15</v>
      </c>
      <c r="N305">
        <v>15</v>
      </c>
      <c r="O305">
        <v>15</v>
      </c>
      <c r="P305">
        <v>15</v>
      </c>
      <c r="S305">
        <v>1</v>
      </c>
      <c r="V305"/>
      <c r="W305"/>
      <c r="X305"/>
    </row>
    <row r="306" spans="1:24" x14ac:dyDescent="0.3">
      <c r="A306" t="str">
        <f>Table_Capacity_Community_frontsheet[[#This Row],[Name]]&amp;B306</f>
        <v>GatesheadReablement &amp; Rehabilitation at home</v>
      </c>
      <c r="B306" t="str">
        <f>VLOOKUP(Table_Capacity_Community_frontsheet[[#This Row],[Service Area]],PathwayLookup!E:F,2,0)</f>
        <v>Reablement &amp; Rehabilitation at home</v>
      </c>
      <c r="C306" t="s">
        <v>151</v>
      </c>
      <c r="D306" t="s">
        <v>729</v>
      </c>
      <c r="E306">
        <v>180</v>
      </c>
      <c r="F306">
        <v>192</v>
      </c>
      <c r="G306">
        <v>188</v>
      </c>
      <c r="H306">
        <v>198</v>
      </c>
      <c r="I306">
        <v>213</v>
      </c>
      <c r="J306">
        <v>253</v>
      </c>
      <c r="K306">
        <v>246</v>
      </c>
      <c r="L306">
        <v>252</v>
      </c>
      <c r="M306">
        <v>238</v>
      </c>
      <c r="N306">
        <v>278</v>
      </c>
      <c r="O306">
        <v>280</v>
      </c>
      <c r="P306">
        <v>287</v>
      </c>
      <c r="S306">
        <v>1</v>
      </c>
      <c r="V306"/>
      <c r="W306"/>
      <c r="X306"/>
    </row>
    <row r="307" spans="1:24" x14ac:dyDescent="0.3">
      <c r="A307" t="str">
        <f>Table_Capacity_Community_frontsheet[[#This Row],[Name]]&amp;B307</f>
        <v>GatesheadReablement &amp; Rehabilitation in a bedded setting</v>
      </c>
      <c r="B307" t="str">
        <f>VLOOKUP(Table_Capacity_Community_frontsheet[[#This Row],[Service Area]],PathwayLookup!E:F,2,0)</f>
        <v>Reablement &amp; Rehabilitation in a bedded setting</v>
      </c>
      <c r="C307" t="s">
        <v>151</v>
      </c>
      <c r="D307" t="s">
        <v>723</v>
      </c>
      <c r="E307">
        <v>6</v>
      </c>
      <c r="F307">
        <v>6</v>
      </c>
      <c r="G307">
        <v>6</v>
      </c>
      <c r="H307">
        <v>6</v>
      </c>
      <c r="I307">
        <v>6</v>
      </c>
      <c r="J307">
        <v>6</v>
      </c>
      <c r="K307">
        <v>4</v>
      </c>
      <c r="L307">
        <v>1</v>
      </c>
      <c r="M307">
        <v>6</v>
      </c>
      <c r="N307">
        <v>6</v>
      </c>
      <c r="O307">
        <v>6</v>
      </c>
      <c r="P307">
        <v>6</v>
      </c>
      <c r="R307">
        <v>0.86</v>
      </c>
      <c r="S307">
        <v>0.14000000000000001</v>
      </c>
      <c r="V307"/>
      <c r="W307"/>
      <c r="X307"/>
    </row>
    <row r="308" spans="1:24" x14ac:dyDescent="0.3">
      <c r="A308" t="str">
        <f>Table_Capacity_Community_frontsheet[[#This Row],[Name]]&amp;B308</f>
        <v>GatesheadReablement &amp; Rehabilitation in a bedded setting</v>
      </c>
      <c r="B308" t="str">
        <f>VLOOKUP(Table_Capacity_Community_frontsheet[[#This Row],[Service Area]],PathwayLookup!E:F,2,0)</f>
        <v>Reablement &amp; Rehabilitation in a bedded setting</v>
      </c>
      <c r="C308" t="s">
        <v>151</v>
      </c>
      <c r="D308" t="s">
        <v>725</v>
      </c>
      <c r="E308">
        <v>4</v>
      </c>
      <c r="F308">
        <v>4</v>
      </c>
      <c r="G308">
        <v>4</v>
      </c>
      <c r="H308">
        <v>4</v>
      </c>
      <c r="I308">
        <v>4</v>
      </c>
      <c r="J308">
        <v>4</v>
      </c>
      <c r="K308">
        <v>3</v>
      </c>
      <c r="L308">
        <v>2</v>
      </c>
      <c r="M308">
        <v>6</v>
      </c>
      <c r="N308">
        <v>6</v>
      </c>
      <c r="O308">
        <v>6</v>
      </c>
      <c r="P308">
        <v>6</v>
      </c>
      <c r="R308">
        <v>0.86</v>
      </c>
      <c r="S308">
        <v>0.14000000000000001</v>
      </c>
      <c r="V308"/>
      <c r="W308"/>
      <c r="X308"/>
    </row>
    <row r="309" spans="1:24" x14ac:dyDescent="0.3">
      <c r="A309" t="str">
        <f>Table_Capacity_Community_frontsheet[[#This Row],[Name]]&amp;B309</f>
        <v>GatesheadOther short-term social care</v>
      </c>
      <c r="B309" t="str">
        <f>VLOOKUP(Table_Capacity_Community_frontsheet[[#This Row],[Service Area]],PathwayLookup!E:F,2,0)</f>
        <v>Other short-term social care</v>
      </c>
      <c r="C309" t="s">
        <v>151</v>
      </c>
      <c r="D309" t="s">
        <v>708</v>
      </c>
      <c r="E309">
        <v>5</v>
      </c>
      <c r="F309">
        <v>5</v>
      </c>
      <c r="G309">
        <v>5</v>
      </c>
      <c r="H309">
        <v>5</v>
      </c>
      <c r="I309">
        <v>5</v>
      </c>
      <c r="J309">
        <v>5</v>
      </c>
      <c r="K309">
        <v>5</v>
      </c>
      <c r="L309">
        <v>5</v>
      </c>
      <c r="M309">
        <v>5</v>
      </c>
      <c r="N309">
        <v>5</v>
      </c>
      <c r="O309">
        <v>5</v>
      </c>
      <c r="P309">
        <v>5</v>
      </c>
      <c r="S309">
        <v>1</v>
      </c>
      <c r="V309"/>
      <c r="W309"/>
      <c r="X309"/>
    </row>
    <row r="310" spans="1:24" x14ac:dyDescent="0.3">
      <c r="A310" t="str">
        <f>Table_Capacity_Community_frontsheet[[#This Row],[Name]]&amp;B310</f>
        <v>GloucestershireSocial support (including VCS)</v>
      </c>
      <c r="B310" t="str">
        <f>VLOOKUP(Table_Capacity_Community_frontsheet[[#This Row],[Service Area]],PathwayLookup!E:F,2,0)</f>
        <v>Social support (including VCS)</v>
      </c>
      <c r="C310" t="s">
        <v>153</v>
      </c>
      <c r="D310" t="s">
        <v>704</v>
      </c>
      <c r="E310">
        <v>25</v>
      </c>
      <c r="F310">
        <v>25</v>
      </c>
      <c r="G310">
        <v>25</v>
      </c>
      <c r="H310">
        <v>25</v>
      </c>
      <c r="I310">
        <v>25</v>
      </c>
      <c r="J310">
        <v>25</v>
      </c>
      <c r="K310">
        <v>25</v>
      </c>
      <c r="L310">
        <v>25</v>
      </c>
      <c r="M310">
        <v>25</v>
      </c>
      <c r="N310">
        <v>25</v>
      </c>
      <c r="O310">
        <v>25</v>
      </c>
      <c r="P310">
        <v>25</v>
      </c>
      <c r="Q310">
        <v>0.51</v>
      </c>
      <c r="R310">
        <v>0.49</v>
      </c>
      <c r="V310"/>
      <c r="W310"/>
      <c r="X310"/>
    </row>
    <row r="311" spans="1:24" x14ac:dyDescent="0.3">
      <c r="A311" t="str">
        <f>Table_Capacity_Community_frontsheet[[#This Row],[Name]]&amp;B311</f>
        <v>GloucestershireUrgent Community Response</v>
      </c>
      <c r="B311" t="str">
        <f>VLOOKUP(Table_Capacity_Community_frontsheet[[#This Row],[Service Area]],PathwayLookup!E:F,2,0)</f>
        <v>Urgent Community Response</v>
      </c>
      <c r="C311" t="s">
        <v>153</v>
      </c>
      <c r="D311" t="s">
        <v>705</v>
      </c>
      <c r="E311">
        <v>344</v>
      </c>
      <c r="F311">
        <v>318</v>
      </c>
      <c r="G311">
        <v>301</v>
      </c>
      <c r="H311">
        <v>313</v>
      </c>
      <c r="I311">
        <v>331</v>
      </c>
      <c r="J311">
        <v>285</v>
      </c>
      <c r="K311">
        <v>361</v>
      </c>
      <c r="L311">
        <v>349</v>
      </c>
      <c r="M311">
        <v>455</v>
      </c>
      <c r="N311">
        <v>397</v>
      </c>
      <c r="O311">
        <v>326</v>
      </c>
      <c r="P311">
        <v>394</v>
      </c>
      <c r="Q311">
        <v>1</v>
      </c>
      <c r="V311"/>
      <c r="W311"/>
      <c r="X311"/>
    </row>
    <row r="312" spans="1:24" x14ac:dyDescent="0.3">
      <c r="A312" t="str">
        <f>Table_Capacity_Community_frontsheet[[#This Row],[Name]]&amp;B312</f>
        <v>GloucestershireReablement &amp; Rehabilitation at home</v>
      </c>
      <c r="B312" t="str">
        <f>VLOOKUP(Table_Capacity_Community_frontsheet[[#This Row],[Service Area]],PathwayLookup!E:F,2,0)</f>
        <v>Reablement &amp; Rehabilitation at home</v>
      </c>
      <c r="C312" t="s">
        <v>153</v>
      </c>
      <c r="D312" t="s">
        <v>727</v>
      </c>
      <c r="E312">
        <v>117</v>
      </c>
      <c r="F312">
        <v>109</v>
      </c>
      <c r="G312">
        <v>107</v>
      </c>
      <c r="H312">
        <v>109</v>
      </c>
      <c r="I312">
        <v>114</v>
      </c>
      <c r="J312">
        <v>118</v>
      </c>
      <c r="K312">
        <v>122</v>
      </c>
      <c r="L312">
        <v>126</v>
      </c>
      <c r="M312">
        <v>130</v>
      </c>
      <c r="N312">
        <v>134</v>
      </c>
      <c r="O312">
        <v>137</v>
      </c>
      <c r="P312">
        <v>141</v>
      </c>
      <c r="Q312">
        <v>0.15</v>
      </c>
      <c r="R312">
        <v>0.85</v>
      </c>
      <c r="V312"/>
      <c r="W312"/>
      <c r="X312"/>
    </row>
    <row r="313" spans="1:24" x14ac:dyDescent="0.3">
      <c r="A313" t="str">
        <f>Table_Capacity_Community_frontsheet[[#This Row],[Name]]&amp;B313</f>
        <v>GloucestershireReablement &amp; Rehabilitation at home</v>
      </c>
      <c r="B313" t="str">
        <f>VLOOKUP(Table_Capacity_Community_frontsheet[[#This Row],[Service Area]],PathwayLookup!E:F,2,0)</f>
        <v>Reablement &amp; Rehabilitation at home</v>
      </c>
      <c r="C313" t="s">
        <v>153</v>
      </c>
      <c r="D313" t="s">
        <v>729</v>
      </c>
      <c r="E313">
        <v>0</v>
      </c>
      <c r="F313">
        <v>0</v>
      </c>
      <c r="G313">
        <v>0</v>
      </c>
      <c r="H313">
        <v>0</v>
      </c>
      <c r="I313">
        <v>0</v>
      </c>
      <c r="J313">
        <v>0</v>
      </c>
      <c r="K313">
        <v>0</v>
      </c>
      <c r="L313">
        <v>0</v>
      </c>
      <c r="M313">
        <v>0</v>
      </c>
      <c r="N313">
        <v>0</v>
      </c>
      <c r="O313">
        <v>0</v>
      </c>
      <c r="P313">
        <v>0</v>
      </c>
      <c r="Q313">
        <v>0</v>
      </c>
      <c r="R313">
        <v>0</v>
      </c>
      <c r="S313">
        <v>0</v>
      </c>
      <c r="V313"/>
      <c r="W313"/>
      <c r="X313"/>
    </row>
    <row r="314" spans="1:24" x14ac:dyDescent="0.3">
      <c r="A314" t="str">
        <f>Table_Capacity_Community_frontsheet[[#This Row],[Name]]&amp;B314</f>
        <v>GloucestershireReablement &amp; Rehabilitation in a bedded setting</v>
      </c>
      <c r="B314" t="str">
        <f>VLOOKUP(Table_Capacity_Community_frontsheet[[#This Row],[Service Area]],PathwayLookup!E:F,2,0)</f>
        <v>Reablement &amp; Rehabilitation in a bedded setting</v>
      </c>
      <c r="C314" t="s">
        <v>153</v>
      </c>
      <c r="D314" t="s">
        <v>723</v>
      </c>
      <c r="E314">
        <v>0</v>
      </c>
      <c r="F314">
        <v>1</v>
      </c>
      <c r="G314">
        <v>0</v>
      </c>
      <c r="H314">
        <v>0</v>
      </c>
      <c r="I314">
        <v>0</v>
      </c>
      <c r="J314">
        <v>0</v>
      </c>
      <c r="K314">
        <v>0</v>
      </c>
      <c r="L314">
        <v>0</v>
      </c>
      <c r="M314">
        <v>0</v>
      </c>
      <c r="N314">
        <v>0</v>
      </c>
      <c r="O314">
        <v>0</v>
      </c>
      <c r="P314">
        <v>0</v>
      </c>
      <c r="S314">
        <v>1</v>
      </c>
      <c r="V314"/>
      <c r="W314"/>
      <c r="X314"/>
    </row>
    <row r="315" spans="1:24" x14ac:dyDescent="0.3">
      <c r="A315" t="str">
        <f>Table_Capacity_Community_frontsheet[[#This Row],[Name]]&amp;B315</f>
        <v>GloucestershireReablement &amp; Rehabilitation in a bedded setting</v>
      </c>
      <c r="B315" t="str">
        <f>VLOOKUP(Table_Capacity_Community_frontsheet[[#This Row],[Service Area]],PathwayLookup!E:F,2,0)</f>
        <v>Reablement &amp; Rehabilitation in a bedded setting</v>
      </c>
      <c r="C315" t="s">
        <v>153</v>
      </c>
      <c r="D315" t="s">
        <v>725</v>
      </c>
      <c r="E315">
        <v>0</v>
      </c>
      <c r="F315">
        <v>0</v>
      </c>
      <c r="G315">
        <v>0</v>
      </c>
      <c r="H315">
        <v>0</v>
      </c>
      <c r="I315">
        <v>0</v>
      </c>
      <c r="J315">
        <v>0</v>
      </c>
      <c r="K315">
        <v>0</v>
      </c>
      <c r="L315">
        <v>0</v>
      </c>
      <c r="M315">
        <v>0</v>
      </c>
      <c r="N315">
        <v>0</v>
      </c>
      <c r="O315">
        <v>0</v>
      </c>
      <c r="P315">
        <v>0</v>
      </c>
      <c r="Q315">
        <v>0</v>
      </c>
      <c r="R315">
        <v>0</v>
      </c>
      <c r="S315">
        <v>0</v>
      </c>
      <c r="V315"/>
      <c r="W315"/>
      <c r="X315"/>
    </row>
    <row r="316" spans="1:24" x14ac:dyDescent="0.3">
      <c r="A316" t="str">
        <f>Table_Capacity_Community_frontsheet[[#This Row],[Name]]&amp;B316</f>
        <v>GloucestershireOther short-term social care</v>
      </c>
      <c r="B316" t="str">
        <f>VLOOKUP(Table_Capacity_Community_frontsheet[[#This Row],[Service Area]],PathwayLookup!E:F,2,0)</f>
        <v>Other short-term social care</v>
      </c>
      <c r="C316" t="s">
        <v>153</v>
      </c>
      <c r="D316" t="s">
        <v>708</v>
      </c>
      <c r="E316">
        <v>2</v>
      </c>
      <c r="F316">
        <v>2</v>
      </c>
      <c r="G316">
        <v>3</v>
      </c>
      <c r="H316">
        <v>2</v>
      </c>
      <c r="I316">
        <v>2</v>
      </c>
      <c r="J316">
        <v>2</v>
      </c>
      <c r="K316">
        <v>1</v>
      </c>
      <c r="L316">
        <v>1</v>
      </c>
      <c r="M316">
        <v>1</v>
      </c>
      <c r="N316">
        <v>1</v>
      </c>
      <c r="O316">
        <v>1</v>
      </c>
      <c r="P316">
        <v>1</v>
      </c>
      <c r="Q316">
        <v>0.85</v>
      </c>
      <c r="R316">
        <v>0.15</v>
      </c>
      <c r="V316"/>
      <c r="W316"/>
      <c r="X316"/>
    </row>
    <row r="317" spans="1:24" x14ac:dyDescent="0.3">
      <c r="A317" t="str">
        <f>Table_Capacity_Community_frontsheet[[#This Row],[Name]]&amp;B317</f>
        <v>GreenwichSocial support (including VCS)</v>
      </c>
      <c r="B317" t="str">
        <f>VLOOKUP(Table_Capacity_Community_frontsheet[[#This Row],[Service Area]],PathwayLookup!E:F,2,0)</f>
        <v>Social support (including VCS)</v>
      </c>
      <c r="C317" t="s">
        <v>155</v>
      </c>
      <c r="D317" t="s">
        <v>704</v>
      </c>
      <c r="E317">
        <v>0</v>
      </c>
      <c r="F317">
        <v>0</v>
      </c>
      <c r="G317">
        <v>0</v>
      </c>
      <c r="H317">
        <v>24</v>
      </c>
      <c r="I317">
        <v>36</v>
      </c>
      <c r="J317">
        <v>48</v>
      </c>
      <c r="K317">
        <v>60</v>
      </c>
      <c r="L317">
        <v>60</v>
      </c>
      <c r="M317">
        <v>60</v>
      </c>
      <c r="N317">
        <v>60</v>
      </c>
      <c r="O317">
        <v>60</v>
      </c>
      <c r="P317">
        <v>60</v>
      </c>
      <c r="Q317">
        <v>1</v>
      </c>
      <c r="R317">
        <v>0</v>
      </c>
      <c r="V317"/>
      <c r="W317"/>
      <c r="X317"/>
    </row>
    <row r="318" spans="1:24" x14ac:dyDescent="0.3">
      <c r="A318" t="str">
        <f>Table_Capacity_Community_frontsheet[[#This Row],[Name]]&amp;B318</f>
        <v>GreenwichUrgent Community Response</v>
      </c>
      <c r="B318" t="str">
        <f>VLOOKUP(Table_Capacity_Community_frontsheet[[#This Row],[Service Area]],PathwayLookup!E:F,2,0)</f>
        <v>Urgent Community Response</v>
      </c>
      <c r="C318" t="s">
        <v>155</v>
      </c>
      <c r="D318" t="s">
        <v>705</v>
      </c>
      <c r="E318">
        <v>224</v>
      </c>
      <c r="F318">
        <v>224</v>
      </c>
      <c r="G318">
        <v>224</v>
      </c>
      <c r="H318">
        <v>224</v>
      </c>
      <c r="I318">
        <v>224</v>
      </c>
      <c r="J318">
        <v>224</v>
      </c>
      <c r="K318">
        <v>224</v>
      </c>
      <c r="L318">
        <v>224</v>
      </c>
      <c r="M318">
        <v>224</v>
      </c>
      <c r="N318">
        <v>224</v>
      </c>
      <c r="O318">
        <v>224</v>
      </c>
      <c r="P318">
        <v>224</v>
      </c>
      <c r="Q318">
        <v>1</v>
      </c>
      <c r="R318">
        <v>0</v>
      </c>
      <c r="V318"/>
      <c r="W318"/>
      <c r="X318"/>
    </row>
    <row r="319" spans="1:24" x14ac:dyDescent="0.3">
      <c r="A319" t="str">
        <f>Table_Capacity_Community_frontsheet[[#This Row],[Name]]&amp;B319</f>
        <v>GreenwichReablement &amp; Rehabilitation at home</v>
      </c>
      <c r="B319" t="str">
        <f>VLOOKUP(Table_Capacity_Community_frontsheet[[#This Row],[Service Area]],PathwayLookup!E:F,2,0)</f>
        <v>Reablement &amp; Rehabilitation at home</v>
      </c>
      <c r="C319" t="s">
        <v>155</v>
      </c>
      <c r="D319" t="s">
        <v>727</v>
      </c>
      <c r="E319">
        <v>19</v>
      </c>
      <c r="F319">
        <v>20</v>
      </c>
      <c r="G319">
        <v>21</v>
      </c>
      <c r="H319">
        <v>23</v>
      </c>
      <c r="I319">
        <v>24</v>
      </c>
      <c r="J319">
        <v>24</v>
      </c>
      <c r="K319">
        <v>26</v>
      </c>
      <c r="L319">
        <v>26</v>
      </c>
      <c r="M319">
        <v>27</v>
      </c>
      <c r="N319">
        <v>28</v>
      </c>
      <c r="O319">
        <v>26</v>
      </c>
      <c r="P319">
        <v>29</v>
      </c>
      <c r="Q319">
        <v>0</v>
      </c>
      <c r="R319">
        <v>1</v>
      </c>
      <c r="V319"/>
      <c r="W319"/>
      <c r="X319"/>
    </row>
    <row r="320" spans="1:24" x14ac:dyDescent="0.3">
      <c r="A320" t="str">
        <f>Table_Capacity_Community_frontsheet[[#This Row],[Name]]&amp;B320</f>
        <v>GreenwichReablement &amp; Rehabilitation at home</v>
      </c>
      <c r="B320" t="str">
        <f>VLOOKUP(Table_Capacity_Community_frontsheet[[#This Row],[Service Area]],PathwayLookup!E:F,2,0)</f>
        <v>Reablement &amp; Rehabilitation at home</v>
      </c>
      <c r="C320" t="s">
        <v>155</v>
      </c>
      <c r="D320" t="s">
        <v>729</v>
      </c>
      <c r="E320">
        <v>100</v>
      </c>
      <c r="F320">
        <v>100</v>
      </c>
      <c r="G320">
        <v>100</v>
      </c>
      <c r="H320">
        <v>100</v>
      </c>
      <c r="I320">
        <v>100</v>
      </c>
      <c r="J320">
        <v>100</v>
      </c>
      <c r="K320">
        <v>100</v>
      </c>
      <c r="L320">
        <v>100</v>
      </c>
      <c r="M320">
        <v>100</v>
      </c>
      <c r="N320">
        <v>100</v>
      </c>
      <c r="O320">
        <v>100</v>
      </c>
      <c r="P320">
        <v>100</v>
      </c>
      <c r="Q320">
        <v>1</v>
      </c>
      <c r="R320">
        <v>0</v>
      </c>
      <c r="V320"/>
      <c r="W320"/>
      <c r="X320"/>
    </row>
    <row r="321" spans="1:24" x14ac:dyDescent="0.3">
      <c r="A321" t="str">
        <f>Table_Capacity_Community_frontsheet[[#This Row],[Name]]&amp;B321</f>
        <v>GreenwichReablement &amp; Rehabilitation in a bedded setting</v>
      </c>
      <c r="B321" t="str">
        <f>VLOOKUP(Table_Capacity_Community_frontsheet[[#This Row],[Service Area]],PathwayLookup!E:F,2,0)</f>
        <v>Reablement &amp; Rehabilitation in a bedded setting</v>
      </c>
      <c r="C321" t="s">
        <v>155</v>
      </c>
      <c r="D321" t="s">
        <v>723</v>
      </c>
      <c r="E321">
        <v>0</v>
      </c>
      <c r="F321">
        <v>0</v>
      </c>
      <c r="G321">
        <v>0</v>
      </c>
      <c r="H321">
        <v>0</v>
      </c>
      <c r="I321">
        <v>0</v>
      </c>
      <c r="J321">
        <v>0</v>
      </c>
      <c r="K321">
        <v>0</v>
      </c>
      <c r="L321">
        <v>0</v>
      </c>
      <c r="M321">
        <v>0</v>
      </c>
      <c r="N321">
        <v>0</v>
      </c>
      <c r="O321">
        <v>0</v>
      </c>
      <c r="P321">
        <v>0</v>
      </c>
      <c r="Q321">
        <v>0</v>
      </c>
      <c r="R321">
        <v>0</v>
      </c>
      <c r="V321"/>
      <c r="W321"/>
      <c r="X321"/>
    </row>
    <row r="322" spans="1:24" x14ac:dyDescent="0.3">
      <c r="A322" t="str">
        <f>Table_Capacity_Community_frontsheet[[#This Row],[Name]]&amp;B322</f>
        <v>GreenwichReablement &amp; Rehabilitation in a bedded setting</v>
      </c>
      <c r="B322" t="str">
        <f>VLOOKUP(Table_Capacity_Community_frontsheet[[#This Row],[Service Area]],PathwayLookup!E:F,2,0)</f>
        <v>Reablement &amp; Rehabilitation in a bedded setting</v>
      </c>
      <c r="C322" t="s">
        <v>155</v>
      </c>
      <c r="D322" t="s">
        <v>725</v>
      </c>
      <c r="E322">
        <v>1</v>
      </c>
      <c r="F322">
        <v>1</v>
      </c>
      <c r="G322">
        <v>1</v>
      </c>
      <c r="H322">
        <v>1</v>
      </c>
      <c r="I322">
        <v>1</v>
      </c>
      <c r="J322">
        <v>1</v>
      </c>
      <c r="K322">
        <v>1</v>
      </c>
      <c r="L322">
        <v>1</v>
      </c>
      <c r="M322">
        <v>1</v>
      </c>
      <c r="N322">
        <v>1</v>
      </c>
      <c r="O322">
        <v>1</v>
      </c>
      <c r="P322">
        <v>1</v>
      </c>
      <c r="Q322">
        <v>1</v>
      </c>
      <c r="R322">
        <v>0</v>
      </c>
      <c r="V322"/>
      <c r="W322"/>
      <c r="X322"/>
    </row>
    <row r="323" spans="1:24" x14ac:dyDescent="0.3">
      <c r="A323" t="str">
        <f>Table_Capacity_Community_frontsheet[[#This Row],[Name]]&amp;B323</f>
        <v>GreenwichOther short-term social care</v>
      </c>
      <c r="B323" t="str">
        <f>VLOOKUP(Table_Capacity_Community_frontsheet[[#This Row],[Service Area]],PathwayLookup!E:F,2,0)</f>
        <v>Other short-term social care</v>
      </c>
      <c r="C323" t="s">
        <v>155</v>
      </c>
      <c r="D323" t="s">
        <v>708</v>
      </c>
      <c r="E323">
        <v>0</v>
      </c>
      <c r="F323">
        <v>0</v>
      </c>
      <c r="G323">
        <v>0</v>
      </c>
      <c r="H323">
        <v>0</v>
      </c>
      <c r="I323">
        <v>0</v>
      </c>
      <c r="J323">
        <v>0</v>
      </c>
      <c r="K323">
        <v>0</v>
      </c>
      <c r="L323">
        <v>0</v>
      </c>
      <c r="M323">
        <v>0</v>
      </c>
      <c r="N323">
        <v>0</v>
      </c>
      <c r="O323">
        <v>0</v>
      </c>
      <c r="P323">
        <v>0</v>
      </c>
      <c r="Q323">
        <v>0</v>
      </c>
      <c r="R323">
        <v>0</v>
      </c>
      <c r="V323"/>
      <c r="W323"/>
      <c r="X323"/>
    </row>
    <row r="324" spans="1:24" x14ac:dyDescent="0.3">
      <c r="A324" t="str">
        <f>Table_Capacity_Community_frontsheet[[#This Row],[Name]]&amp;B324</f>
        <v>HackneySocial support (including VCS)</v>
      </c>
      <c r="B324" t="str">
        <f>VLOOKUP(Table_Capacity_Community_frontsheet[[#This Row],[Service Area]],PathwayLookup!E:F,2,0)</f>
        <v>Social support (including VCS)</v>
      </c>
      <c r="C324" t="s">
        <v>157</v>
      </c>
      <c r="D324" t="s">
        <v>704</v>
      </c>
      <c r="E324">
        <v>0</v>
      </c>
      <c r="F324">
        <v>0</v>
      </c>
      <c r="G324">
        <v>0</v>
      </c>
      <c r="H324">
        <v>0</v>
      </c>
      <c r="I324">
        <v>0</v>
      </c>
      <c r="J324">
        <v>0</v>
      </c>
      <c r="K324">
        <v>0</v>
      </c>
      <c r="L324">
        <v>0</v>
      </c>
      <c r="M324">
        <v>0</v>
      </c>
      <c r="N324">
        <v>0</v>
      </c>
      <c r="O324">
        <v>0</v>
      </c>
      <c r="P324">
        <v>0</v>
      </c>
      <c r="Q324">
        <v>0</v>
      </c>
      <c r="R324">
        <v>0</v>
      </c>
      <c r="S324">
        <v>0</v>
      </c>
      <c r="V324"/>
      <c r="W324"/>
      <c r="X324"/>
    </row>
    <row r="325" spans="1:24" x14ac:dyDescent="0.3">
      <c r="A325" t="str">
        <f>Table_Capacity_Community_frontsheet[[#This Row],[Name]]&amp;B325</f>
        <v>HackneyUrgent Community Response</v>
      </c>
      <c r="B325" t="str">
        <f>VLOOKUP(Table_Capacity_Community_frontsheet[[#This Row],[Service Area]],PathwayLookup!E:F,2,0)</f>
        <v>Urgent Community Response</v>
      </c>
      <c r="C325" t="s">
        <v>157</v>
      </c>
      <c r="D325" t="s">
        <v>705</v>
      </c>
      <c r="E325">
        <v>263</v>
      </c>
      <c r="F325">
        <v>263</v>
      </c>
      <c r="G325">
        <v>263</v>
      </c>
      <c r="H325">
        <v>263</v>
      </c>
      <c r="I325">
        <v>263</v>
      </c>
      <c r="J325">
        <v>263</v>
      </c>
      <c r="K325">
        <v>263</v>
      </c>
      <c r="L325">
        <v>263</v>
      </c>
      <c r="M325">
        <v>263</v>
      </c>
      <c r="N325">
        <v>263</v>
      </c>
      <c r="O325">
        <v>263</v>
      </c>
      <c r="P325">
        <v>263</v>
      </c>
      <c r="Q325">
        <v>1</v>
      </c>
      <c r="R325">
        <v>0</v>
      </c>
      <c r="S325">
        <v>0</v>
      </c>
      <c r="V325"/>
      <c r="W325"/>
      <c r="X325"/>
    </row>
    <row r="326" spans="1:24" x14ac:dyDescent="0.3">
      <c r="A326" t="str">
        <f>Table_Capacity_Community_frontsheet[[#This Row],[Name]]&amp;B326</f>
        <v>HackneyReablement &amp; Rehabilitation at home</v>
      </c>
      <c r="B326" t="str">
        <f>VLOOKUP(Table_Capacity_Community_frontsheet[[#This Row],[Service Area]],PathwayLookup!E:F,2,0)</f>
        <v>Reablement &amp; Rehabilitation at home</v>
      </c>
      <c r="C326" t="s">
        <v>157</v>
      </c>
      <c r="D326" t="s">
        <v>727</v>
      </c>
      <c r="E326">
        <v>5</v>
      </c>
      <c r="F326">
        <v>5</v>
      </c>
      <c r="G326">
        <v>5</v>
      </c>
      <c r="H326">
        <v>5</v>
      </c>
      <c r="I326">
        <v>5</v>
      </c>
      <c r="J326">
        <v>5</v>
      </c>
      <c r="K326">
        <v>5</v>
      </c>
      <c r="L326">
        <v>5</v>
      </c>
      <c r="M326">
        <v>5</v>
      </c>
      <c r="N326">
        <v>5</v>
      </c>
      <c r="O326">
        <v>5</v>
      </c>
      <c r="P326">
        <v>5</v>
      </c>
      <c r="Q326">
        <v>0</v>
      </c>
      <c r="R326">
        <v>1</v>
      </c>
      <c r="S326">
        <v>0</v>
      </c>
      <c r="V326"/>
      <c r="W326"/>
      <c r="X326"/>
    </row>
    <row r="327" spans="1:24" x14ac:dyDescent="0.3">
      <c r="A327" t="str">
        <f>Table_Capacity_Community_frontsheet[[#This Row],[Name]]&amp;B327</f>
        <v>HackneyReablement &amp; Rehabilitation at home</v>
      </c>
      <c r="B327" t="str">
        <f>VLOOKUP(Table_Capacity_Community_frontsheet[[#This Row],[Service Area]],PathwayLookup!E:F,2,0)</f>
        <v>Reablement &amp; Rehabilitation at home</v>
      </c>
      <c r="C327" t="s">
        <v>157</v>
      </c>
      <c r="D327" t="s">
        <v>729</v>
      </c>
      <c r="E327">
        <v>19</v>
      </c>
      <c r="F327">
        <v>19</v>
      </c>
      <c r="G327">
        <v>19</v>
      </c>
      <c r="H327">
        <v>19</v>
      </c>
      <c r="I327">
        <v>19</v>
      </c>
      <c r="J327">
        <v>19</v>
      </c>
      <c r="K327">
        <v>19</v>
      </c>
      <c r="L327">
        <v>19</v>
      </c>
      <c r="M327">
        <v>19</v>
      </c>
      <c r="N327">
        <v>19</v>
      </c>
      <c r="O327">
        <v>19</v>
      </c>
      <c r="P327">
        <v>19</v>
      </c>
      <c r="Q327">
        <v>1</v>
      </c>
      <c r="R327">
        <v>0</v>
      </c>
      <c r="S327">
        <v>0</v>
      </c>
      <c r="V327"/>
      <c r="W327"/>
      <c r="X327"/>
    </row>
    <row r="328" spans="1:24" x14ac:dyDescent="0.3">
      <c r="A328" t="str">
        <f>Table_Capacity_Community_frontsheet[[#This Row],[Name]]&amp;B328</f>
        <v>HackneyReablement &amp; Rehabilitation in a bedded setting</v>
      </c>
      <c r="B328" t="str">
        <f>VLOOKUP(Table_Capacity_Community_frontsheet[[#This Row],[Service Area]],PathwayLookup!E:F,2,0)</f>
        <v>Reablement &amp; Rehabilitation in a bedded setting</v>
      </c>
      <c r="C328" t="s">
        <v>157</v>
      </c>
      <c r="D328" t="s">
        <v>723</v>
      </c>
      <c r="E328">
        <v>0</v>
      </c>
      <c r="F328">
        <v>0</v>
      </c>
      <c r="G328">
        <v>0</v>
      </c>
      <c r="H328">
        <v>0</v>
      </c>
      <c r="I328">
        <v>0</v>
      </c>
      <c r="J328">
        <v>0</v>
      </c>
      <c r="K328">
        <v>0</v>
      </c>
      <c r="L328">
        <v>0</v>
      </c>
      <c r="M328">
        <v>0</v>
      </c>
      <c r="N328">
        <v>0</v>
      </c>
      <c r="O328">
        <v>0</v>
      </c>
      <c r="P328">
        <v>0</v>
      </c>
      <c r="Q328">
        <v>0</v>
      </c>
      <c r="R328">
        <v>1</v>
      </c>
      <c r="S328">
        <v>0</v>
      </c>
      <c r="V328"/>
      <c r="W328"/>
      <c r="X328"/>
    </row>
    <row r="329" spans="1:24" x14ac:dyDescent="0.3">
      <c r="A329" t="str">
        <f>Table_Capacity_Community_frontsheet[[#This Row],[Name]]&amp;B329</f>
        <v>HackneyReablement &amp; Rehabilitation in a bedded setting</v>
      </c>
      <c r="B329" t="str">
        <f>VLOOKUP(Table_Capacity_Community_frontsheet[[#This Row],[Service Area]],PathwayLookup!E:F,2,0)</f>
        <v>Reablement &amp; Rehabilitation in a bedded setting</v>
      </c>
      <c r="C329" t="s">
        <v>157</v>
      </c>
      <c r="D329" t="s">
        <v>725</v>
      </c>
      <c r="E329">
        <v>0</v>
      </c>
      <c r="F329">
        <v>0</v>
      </c>
      <c r="G329">
        <v>0</v>
      </c>
      <c r="H329">
        <v>0</v>
      </c>
      <c r="I329">
        <v>0</v>
      </c>
      <c r="J329">
        <v>0</v>
      </c>
      <c r="K329">
        <v>0</v>
      </c>
      <c r="L329">
        <v>0</v>
      </c>
      <c r="M329">
        <v>0</v>
      </c>
      <c r="N329">
        <v>0</v>
      </c>
      <c r="O329">
        <v>0</v>
      </c>
      <c r="P329">
        <v>0</v>
      </c>
      <c r="Q329">
        <v>0</v>
      </c>
      <c r="R329">
        <v>0</v>
      </c>
      <c r="S329">
        <v>0</v>
      </c>
      <c r="V329"/>
      <c r="W329"/>
      <c r="X329"/>
    </row>
    <row r="330" spans="1:24" x14ac:dyDescent="0.3">
      <c r="A330" t="str">
        <f>Table_Capacity_Community_frontsheet[[#This Row],[Name]]&amp;B330</f>
        <v>HackneyOther short-term social care</v>
      </c>
      <c r="B330" t="str">
        <f>VLOOKUP(Table_Capacity_Community_frontsheet[[#This Row],[Service Area]],PathwayLookup!E:F,2,0)</f>
        <v>Other short-term social care</v>
      </c>
      <c r="C330" t="s">
        <v>157</v>
      </c>
      <c r="D330" t="s">
        <v>708</v>
      </c>
      <c r="E330">
        <v>0</v>
      </c>
      <c r="F330">
        <v>0</v>
      </c>
      <c r="G330">
        <v>0</v>
      </c>
      <c r="H330">
        <v>0</v>
      </c>
      <c r="I330">
        <v>0</v>
      </c>
      <c r="J330">
        <v>0</v>
      </c>
      <c r="K330">
        <v>0</v>
      </c>
      <c r="L330">
        <v>0</v>
      </c>
      <c r="M330">
        <v>0</v>
      </c>
      <c r="N330">
        <v>0</v>
      </c>
      <c r="O330">
        <v>0</v>
      </c>
      <c r="P330">
        <v>0</v>
      </c>
      <c r="Q330">
        <v>0</v>
      </c>
      <c r="R330">
        <v>0</v>
      </c>
      <c r="S330">
        <v>0</v>
      </c>
      <c r="V330"/>
      <c r="W330"/>
      <c r="X330"/>
    </row>
    <row r="331" spans="1:24" x14ac:dyDescent="0.3">
      <c r="A331" t="str">
        <f>Table_Capacity_Community_frontsheet[[#This Row],[Name]]&amp;B331</f>
        <v>HaltonSocial support (including VCS)</v>
      </c>
      <c r="B331" t="str">
        <f>VLOOKUP(Table_Capacity_Community_frontsheet[[#This Row],[Service Area]],PathwayLookup!E:F,2,0)</f>
        <v>Social support (including VCS)</v>
      </c>
      <c r="C331" t="s">
        <v>159</v>
      </c>
      <c r="D331" t="s">
        <v>704</v>
      </c>
      <c r="E331">
        <v>13</v>
      </c>
      <c r="F331">
        <v>13</v>
      </c>
      <c r="G331">
        <v>13</v>
      </c>
      <c r="H331">
        <v>13</v>
      </c>
      <c r="I331">
        <v>13</v>
      </c>
      <c r="J331">
        <v>13</v>
      </c>
      <c r="K331">
        <v>13</v>
      </c>
      <c r="L331">
        <v>13</v>
      </c>
      <c r="M331">
        <v>13</v>
      </c>
      <c r="N331">
        <v>13</v>
      </c>
      <c r="O331">
        <v>13</v>
      </c>
      <c r="P331">
        <v>13</v>
      </c>
      <c r="Q331">
        <v>0</v>
      </c>
      <c r="R331">
        <v>0</v>
      </c>
      <c r="S331">
        <v>1</v>
      </c>
      <c r="V331"/>
      <c r="W331"/>
      <c r="X331"/>
    </row>
    <row r="332" spans="1:24" x14ac:dyDescent="0.3">
      <c r="A332" t="str">
        <f>Table_Capacity_Community_frontsheet[[#This Row],[Name]]&amp;B332</f>
        <v>HaltonUrgent Community Response</v>
      </c>
      <c r="B332" t="str">
        <f>VLOOKUP(Table_Capacity_Community_frontsheet[[#This Row],[Service Area]],PathwayLookup!E:F,2,0)</f>
        <v>Urgent Community Response</v>
      </c>
      <c r="C332" t="s">
        <v>159</v>
      </c>
      <c r="D332" t="s">
        <v>705</v>
      </c>
      <c r="E332">
        <v>130</v>
      </c>
      <c r="F332">
        <v>130</v>
      </c>
      <c r="G332">
        <v>130</v>
      </c>
      <c r="H332">
        <v>130</v>
      </c>
      <c r="I332">
        <v>130</v>
      </c>
      <c r="J332">
        <v>130</v>
      </c>
      <c r="K332">
        <v>130</v>
      </c>
      <c r="L332">
        <v>130</v>
      </c>
      <c r="M332">
        <v>150</v>
      </c>
      <c r="N332">
        <v>150</v>
      </c>
      <c r="O332">
        <v>150</v>
      </c>
      <c r="P332">
        <v>150</v>
      </c>
      <c r="Q332">
        <v>0</v>
      </c>
      <c r="R332">
        <v>0</v>
      </c>
      <c r="S332">
        <v>1</v>
      </c>
      <c r="V332"/>
      <c r="W332"/>
      <c r="X332"/>
    </row>
    <row r="333" spans="1:24" x14ac:dyDescent="0.3">
      <c r="A333" t="str">
        <f>Table_Capacity_Community_frontsheet[[#This Row],[Name]]&amp;B333</f>
        <v>HaltonReablement &amp; Rehabilitation at home</v>
      </c>
      <c r="B333" t="str">
        <f>VLOOKUP(Table_Capacity_Community_frontsheet[[#This Row],[Service Area]],PathwayLookup!E:F,2,0)</f>
        <v>Reablement &amp; Rehabilitation at home</v>
      </c>
      <c r="C333" t="s">
        <v>159</v>
      </c>
      <c r="D333" t="s">
        <v>727</v>
      </c>
      <c r="E333">
        <v>0</v>
      </c>
      <c r="F333">
        <v>0</v>
      </c>
      <c r="G333">
        <v>0</v>
      </c>
      <c r="H333">
        <v>0</v>
      </c>
      <c r="I333">
        <v>0</v>
      </c>
      <c r="J333">
        <v>0</v>
      </c>
      <c r="K333">
        <v>0</v>
      </c>
      <c r="L333">
        <v>0</v>
      </c>
      <c r="M333">
        <v>0</v>
      </c>
      <c r="N333">
        <v>0</v>
      </c>
      <c r="O333">
        <v>0</v>
      </c>
      <c r="P333">
        <v>0</v>
      </c>
      <c r="Q333">
        <v>0</v>
      </c>
      <c r="R333">
        <v>0</v>
      </c>
      <c r="S333">
        <v>0</v>
      </c>
      <c r="V333"/>
      <c r="W333"/>
      <c r="X333"/>
    </row>
    <row r="334" spans="1:24" x14ac:dyDescent="0.3">
      <c r="A334" t="str">
        <f>Table_Capacity_Community_frontsheet[[#This Row],[Name]]&amp;B334</f>
        <v>HaltonReablement &amp; Rehabilitation at home</v>
      </c>
      <c r="B334" t="str">
        <f>VLOOKUP(Table_Capacity_Community_frontsheet[[#This Row],[Service Area]],PathwayLookup!E:F,2,0)</f>
        <v>Reablement &amp; Rehabilitation at home</v>
      </c>
      <c r="C334" t="s">
        <v>159</v>
      </c>
      <c r="D334" t="s">
        <v>729</v>
      </c>
      <c r="E334">
        <v>20</v>
      </c>
      <c r="F334">
        <v>20</v>
      </c>
      <c r="G334">
        <v>20</v>
      </c>
      <c r="H334">
        <v>20</v>
      </c>
      <c r="I334">
        <v>20</v>
      </c>
      <c r="J334">
        <v>20</v>
      </c>
      <c r="K334">
        <v>20</v>
      </c>
      <c r="L334">
        <v>20</v>
      </c>
      <c r="M334">
        <v>20</v>
      </c>
      <c r="N334">
        <v>20</v>
      </c>
      <c r="O334">
        <v>20</v>
      </c>
      <c r="P334">
        <v>20</v>
      </c>
      <c r="Q334">
        <v>0</v>
      </c>
      <c r="R334">
        <v>0</v>
      </c>
      <c r="S334">
        <v>1</v>
      </c>
      <c r="V334"/>
      <c r="W334"/>
      <c r="X334"/>
    </row>
    <row r="335" spans="1:24" x14ac:dyDescent="0.3">
      <c r="A335" t="str">
        <f>Table_Capacity_Community_frontsheet[[#This Row],[Name]]&amp;B335</f>
        <v>HaltonReablement &amp; Rehabilitation in a bedded setting</v>
      </c>
      <c r="B335" t="str">
        <f>VLOOKUP(Table_Capacity_Community_frontsheet[[#This Row],[Service Area]],PathwayLookup!E:F,2,0)</f>
        <v>Reablement &amp; Rehabilitation in a bedded setting</v>
      </c>
      <c r="C335" t="s">
        <v>159</v>
      </c>
      <c r="D335" t="s">
        <v>723</v>
      </c>
      <c r="E335">
        <v>0</v>
      </c>
      <c r="F335">
        <v>0</v>
      </c>
      <c r="G335">
        <v>0</v>
      </c>
      <c r="H335">
        <v>0</v>
      </c>
      <c r="I335">
        <v>0</v>
      </c>
      <c r="J335">
        <v>0</v>
      </c>
      <c r="K335">
        <v>0</v>
      </c>
      <c r="L335">
        <v>0</v>
      </c>
      <c r="M335">
        <v>0</v>
      </c>
      <c r="N335">
        <v>0</v>
      </c>
      <c r="O335">
        <v>0</v>
      </c>
      <c r="P335">
        <v>0</v>
      </c>
      <c r="Q335">
        <v>0</v>
      </c>
      <c r="R335">
        <v>0</v>
      </c>
      <c r="S335">
        <v>0</v>
      </c>
      <c r="V335"/>
      <c r="W335"/>
      <c r="X335"/>
    </row>
    <row r="336" spans="1:24" x14ac:dyDescent="0.3">
      <c r="A336" t="str">
        <f>Table_Capacity_Community_frontsheet[[#This Row],[Name]]&amp;B336</f>
        <v>HaltonReablement &amp; Rehabilitation in a bedded setting</v>
      </c>
      <c r="B336" t="str">
        <f>VLOOKUP(Table_Capacity_Community_frontsheet[[#This Row],[Service Area]],PathwayLookup!E:F,2,0)</f>
        <v>Reablement &amp; Rehabilitation in a bedded setting</v>
      </c>
      <c r="C336" t="s">
        <v>159</v>
      </c>
      <c r="D336" t="s">
        <v>725</v>
      </c>
      <c r="E336">
        <v>4</v>
      </c>
      <c r="F336">
        <v>4</v>
      </c>
      <c r="G336">
        <v>4</v>
      </c>
      <c r="H336">
        <v>4</v>
      </c>
      <c r="I336">
        <v>4</v>
      </c>
      <c r="J336">
        <v>4</v>
      </c>
      <c r="K336">
        <v>4</v>
      </c>
      <c r="L336">
        <v>4</v>
      </c>
      <c r="M336">
        <v>4</v>
      </c>
      <c r="N336">
        <v>4</v>
      </c>
      <c r="O336">
        <v>4</v>
      </c>
      <c r="P336">
        <v>4</v>
      </c>
      <c r="Q336">
        <v>0</v>
      </c>
      <c r="R336">
        <v>0</v>
      </c>
      <c r="S336">
        <v>1</v>
      </c>
      <c r="V336"/>
      <c r="W336"/>
      <c r="X336"/>
    </row>
    <row r="337" spans="1:24" x14ac:dyDescent="0.3">
      <c r="A337" t="str">
        <f>Table_Capacity_Community_frontsheet[[#This Row],[Name]]&amp;B337</f>
        <v>HaltonOther short-term social care</v>
      </c>
      <c r="B337" t="str">
        <f>VLOOKUP(Table_Capacity_Community_frontsheet[[#This Row],[Service Area]],PathwayLookup!E:F,2,0)</f>
        <v>Other short-term social care</v>
      </c>
      <c r="C337" t="s">
        <v>159</v>
      </c>
      <c r="D337" t="s">
        <v>708</v>
      </c>
      <c r="E337">
        <v>0</v>
      </c>
      <c r="F337">
        <v>0</v>
      </c>
      <c r="G337">
        <v>0</v>
      </c>
      <c r="H337">
        <v>0</v>
      </c>
      <c r="I337">
        <v>0</v>
      </c>
      <c r="J337">
        <v>0</v>
      </c>
      <c r="K337">
        <v>0</v>
      </c>
      <c r="L337">
        <v>0</v>
      </c>
      <c r="M337">
        <v>0</v>
      </c>
      <c r="N337">
        <v>0</v>
      </c>
      <c r="O337">
        <v>0</v>
      </c>
      <c r="P337">
        <v>0</v>
      </c>
      <c r="Q337">
        <v>0</v>
      </c>
      <c r="R337">
        <v>0</v>
      </c>
      <c r="S337">
        <v>0</v>
      </c>
      <c r="V337"/>
      <c r="W337"/>
      <c r="X337"/>
    </row>
    <row r="338" spans="1:24" x14ac:dyDescent="0.3">
      <c r="A338" t="str">
        <f>Table_Capacity_Community_frontsheet[[#This Row],[Name]]&amp;B338</f>
        <v>Hammersmith and FulhamSocial support (including VCS)</v>
      </c>
      <c r="B338" t="str">
        <f>VLOOKUP(Table_Capacity_Community_frontsheet[[#This Row],[Service Area]],PathwayLookup!E:F,2,0)</f>
        <v>Social support (including VCS)</v>
      </c>
      <c r="C338" t="s">
        <v>161</v>
      </c>
      <c r="D338" t="s">
        <v>704</v>
      </c>
      <c r="E338">
        <v>66</v>
      </c>
      <c r="F338">
        <v>72</v>
      </c>
      <c r="G338">
        <v>60</v>
      </c>
      <c r="H338">
        <v>41</v>
      </c>
      <c r="I338">
        <v>46</v>
      </c>
      <c r="J338">
        <v>79</v>
      </c>
      <c r="K338">
        <v>82</v>
      </c>
      <c r="L338">
        <v>74</v>
      </c>
      <c r="M338">
        <v>90</v>
      </c>
      <c r="N338">
        <v>92</v>
      </c>
      <c r="O338">
        <v>96</v>
      </c>
      <c r="P338">
        <v>87</v>
      </c>
      <c r="Q338">
        <v>0.34</v>
      </c>
      <c r="R338">
        <v>0.66</v>
      </c>
      <c r="S338">
        <v>0</v>
      </c>
      <c r="V338"/>
      <c r="W338"/>
      <c r="X338"/>
    </row>
    <row r="339" spans="1:24" x14ac:dyDescent="0.3">
      <c r="A339" t="str">
        <f>Table_Capacity_Community_frontsheet[[#This Row],[Name]]&amp;B339</f>
        <v>Hammersmith and FulhamUrgent Community Response</v>
      </c>
      <c r="B339" t="str">
        <f>VLOOKUP(Table_Capacity_Community_frontsheet[[#This Row],[Service Area]],PathwayLookup!E:F,2,0)</f>
        <v>Urgent Community Response</v>
      </c>
      <c r="C339" t="s">
        <v>161</v>
      </c>
      <c r="D339" t="s">
        <v>705</v>
      </c>
      <c r="E339">
        <v>89</v>
      </c>
      <c r="F339">
        <v>89</v>
      </c>
      <c r="G339">
        <v>90</v>
      </c>
      <c r="H339">
        <v>91</v>
      </c>
      <c r="I339">
        <v>92</v>
      </c>
      <c r="J339">
        <v>89</v>
      </c>
      <c r="K339">
        <v>89</v>
      </c>
      <c r="L339">
        <v>90</v>
      </c>
      <c r="M339">
        <v>91</v>
      </c>
      <c r="N339">
        <v>92</v>
      </c>
      <c r="O339">
        <v>92</v>
      </c>
      <c r="P339">
        <v>91</v>
      </c>
      <c r="Q339">
        <v>1</v>
      </c>
      <c r="R339">
        <v>0</v>
      </c>
      <c r="S339">
        <v>0</v>
      </c>
      <c r="V339"/>
      <c r="W339"/>
      <c r="X339"/>
    </row>
    <row r="340" spans="1:24" x14ac:dyDescent="0.3">
      <c r="A340" t="str">
        <f>Table_Capacity_Community_frontsheet[[#This Row],[Name]]&amp;B340</f>
        <v>Hammersmith and FulhamReablement &amp; Rehabilitation at home</v>
      </c>
      <c r="B340" t="str">
        <f>VLOOKUP(Table_Capacity_Community_frontsheet[[#This Row],[Service Area]],PathwayLookup!E:F,2,0)</f>
        <v>Reablement &amp; Rehabilitation at home</v>
      </c>
      <c r="C340" t="s">
        <v>161</v>
      </c>
      <c r="D340" t="s">
        <v>727</v>
      </c>
      <c r="E340">
        <v>280</v>
      </c>
      <c r="F340">
        <v>411</v>
      </c>
      <c r="G340">
        <v>406</v>
      </c>
      <c r="H340">
        <v>462</v>
      </c>
      <c r="I340">
        <v>444</v>
      </c>
      <c r="J340">
        <v>420</v>
      </c>
      <c r="K340">
        <v>425</v>
      </c>
      <c r="L340">
        <v>390</v>
      </c>
      <c r="M340">
        <v>364</v>
      </c>
      <c r="N340">
        <v>525</v>
      </c>
      <c r="O340">
        <v>386</v>
      </c>
      <c r="P340">
        <v>474</v>
      </c>
      <c r="Q340">
        <v>0.85</v>
      </c>
      <c r="R340">
        <v>0.15</v>
      </c>
      <c r="S340">
        <v>0</v>
      </c>
      <c r="V340"/>
      <c r="W340"/>
      <c r="X340"/>
    </row>
    <row r="341" spans="1:24" x14ac:dyDescent="0.3">
      <c r="A341" t="str">
        <f>Table_Capacity_Community_frontsheet[[#This Row],[Name]]&amp;B341</f>
        <v>Hammersmith and FulhamReablement &amp; Rehabilitation at home</v>
      </c>
      <c r="B341" t="str">
        <f>VLOOKUP(Table_Capacity_Community_frontsheet[[#This Row],[Service Area]],PathwayLookup!E:F,2,0)</f>
        <v>Reablement &amp; Rehabilitation at home</v>
      </c>
      <c r="C341" t="s">
        <v>161</v>
      </c>
      <c r="D341" t="s">
        <v>729</v>
      </c>
      <c r="E341">
        <v>317</v>
      </c>
      <c r="F341">
        <v>399</v>
      </c>
      <c r="G341">
        <v>420</v>
      </c>
      <c r="H341">
        <v>480</v>
      </c>
      <c r="I341">
        <v>512</v>
      </c>
      <c r="J341">
        <v>574</v>
      </c>
      <c r="K341">
        <v>501</v>
      </c>
      <c r="L341">
        <v>435</v>
      </c>
      <c r="M341">
        <v>375</v>
      </c>
      <c r="N341">
        <v>443</v>
      </c>
      <c r="O341">
        <v>519</v>
      </c>
      <c r="P341">
        <v>509</v>
      </c>
      <c r="Q341">
        <v>1</v>
      </c>
      <c r="R341">
        <v>0</v>
      </c>
      <c r="S341">
        <v>0</v>
      </c>
      <c r="V341"/>
      <c r="W341"/>
      <c r="X341"/>
    </row>
    <row r="342" spans="1:24" x14ac:dyDescent="0.3">
      <c r="A342" t="str">
        <f>Table_Capacity_Community_frontsheet[[#This Row],[Name]]&amp;B342</f>
        <v>Hammersmith and FulhamReablement &amp; Rehabilitation in a bedded setting</v>
      </c>
      <c r="B342" t="str">
        <f>VLOOKUP(Table_Capacity_Community_frontsheet[[#This Row],[Service Area]],PathwayLookup!E:F,2,0)</f>
        <v>Reablement &amp; Rehabilitation in a bedded setting</v>
      </c>
      <c r="C342" t="s">
        <v>161</v>
      </c>
      <c r="D342" t="s">
        <v>723</v>
      </c>
      <c r="E342">
        <v>0</v>
      </c>
      <c r="F342">
        <v>0</v>
      </c>
      <c r="G342">
        <v>0</v>
      </c>
      <c r="H342">
        <v>0</v>
      </c>
      <c r="I342">
        <v>0</v>
      </c>
      <c r="J342">
        <v>0</v>
      </c>
      <c r="K342">
        <v>0</v>
      </c>
      <c r="L342">
        <v>0</v>
      </c>
      <c r="M342">
        <v>0</v>
      </c>
      <c r="N342">
        <v>0</v>
      </c>
      <c r="O342">
        <v>0</v>
      </c>
      <c r="P342">
        <v>0</v>
      </c>
      <c r="Q342">
        <v>0</v>
      </c>
      <c r="R342">
        <v>0</v>
      </c>
      <c r="S342">
        <v>0</v>
      </c>
      <c r="V342"/>
      <c r="W342"/>
      <c r="X342"/>
    </row>
    <row r="343" spans="1:24" x14ac:dyDescent="0.3">
      <c r="A343" t="str">
        <f>Table_Capacity_Community_frontsheet[[#This Row],[Name]]&amp;B343</f>
        <v>Hammersmith and FulhamReablement &amp; Rehabilitation in a bedded setting</v>
      </c>
      <c r="B343" t="str">
        <f>VLOOKUP(Table_Capacity_Community_frontsheet[[#This Row],[Service Area]],PathwayLookup!E:F,2,0)</f>
        <v>Reablement &amp; Rehabilitation in a bedded setting</v>
      </c>
      <c r="C343" t="s">
        <v>161</v>
      </c>
      <c r="D343" t="s">
        <v>725</v>
      </c>
      <c r="E343">
        <v>308</v>
      </c>
      <c r="F343">
        <v>308</v>
      </c>
      <c r="G343">
        <v>308</v>
      </c>
      <c r="H343">
        <v>308</v>
      </c>
      <c r="I343">
        <v>308</v>
      </c>
      <c r="J343">
        <v>308</v>
      </c>
      <c r="K343">
        <v>308</v>
      </c>
      <c r="L343">
        <v>308</v>
      </c>
      <c r="M343">
        <v>308</v>
      </c>
      <c r="N343">
        <v>308</v>
      </c>
      <c r="O343">
        <v>308</v>
      </c>
      <c r="P343">
        <v>308</v>
      </c>
      <c r="Q343">
        <v>1</v>
      </c>
      <c r="R343">
        <v>0</v>
      </c>
      <c r="S343">
        <v>0</v>
      </c>
      <c r="V343"/>
      <c r="W343"/>
      <c r="X343"/>
    </row>
    <row r="344" spans="1:24" x14ac:dyDescent="0.3">
      <c r="A344" t="str">
        <f>Table_Capacity_Community_frontsheet[[#This Row],[Name]]&amp;B344</f>
        <v>Hammersmith and FulhamOther short-term social care</v>
      </c>
      <c r="B344" t="str">
        <f>VLOOKUP(Table_Capacity_Community_frontsheet[[#This Row],[Service Area]],PathwayLookup!E:F,2,0)</f>
        <v>Other short-term social care</v>
      </c>
      <c r="C344" t="s">
        <v>161</v>
      </c>
      <c r="D344" t="s">
        <v>708</v>
      </c>
      <c r="E344">
        <v>0</v>
      </c>
      <c r="F344">
        <v>0</v>
      </c>
      <c r="G344">
        <v>0</v>
      </c>
      <c r="H344">
        <v>0</v>
      </c>
      <c r="I344">
        <v>0</v>
      </c>
      <c r="J344">
        <v>0</v>
      </c>
      <c r="K344">
        <v>0</v>
      </c>
      <c r="L344">
        <v>0</v>
      </c>
      <c r="M344">
        <v>0</v>
      </c>
      <c r="N344">
        <v>0</v>
      </c>
      <c r="O344">
        <v>0</v>
      </c>
      <c r="P344">
        <v>0</v>
      </c>
      <c r="Q344">
        <v>0</v>
      </c>
      <c r="R344">
        <v>0</v>
      </c>
      <c r="S344">
        <v>0</v>
      </c>
      <c r="V344"/>
      <c r="W344"/>
      <c r="X344"/>
    </row>
    <row r="345" spans="1:24" x14ac:dyDescent="0.3">
      <c r="A345" t="str">
        <f>Table_Capacity_Community_frontsheet[[#This Row],[Name]]&amp;B345</f>
        <v>HampshireSocial support (including VCS)</v>
      </c>
      <c r="B345" t="str">
        <f>VLOOKUP(Table_Capacity_Community_frontsheet[[#This Row],[Service Area]],PathwayLookup!E:F,2,0)</f>
        <v>Social support (including VCS)</v>
      </c>
      <c r="C345" t="s">
        <v>163</v>
      </c>
      <c r="D345" t="s">
        <v>704</v>
      </c>
      <c r="E345">
        <v>0</v>
      </c>
      <c r="F345">
        <v>0</v>
      </c>
      <c r="G345">
        <v>0</v>
      </c>
      <c r="H345">
        <v>0</v>
      </c>
      <c r="I345">
        <v>0</v>
      </c>
      <c r="J345">
        <v>0</v>
      </c>
      <c r="K345">
        <v>0</v>
      </c>
      <c r="L345">
        <v>0</v>
      </c>
      <c r="M345">
        <v>0</v>
      </c>
      <c r="N345">
        <v>0</v>
      </c>
      <c r="O345">
        <v>0</v>
      </c>
      <c r="P345">
        <v>0</v>
      </c>
      <c r="V345"/>
      <c r="W345"/>
      <c r="X345"/>
    </row>
    <row r="346" spans="1:24" x14ac:dyDescent="0.3">
      <c r="A346" t="str">
        <f>Table_Capacity_Community_frontsheet[[#This Row],[Name]]&amp;B346</f>
        <v>HampshireUrgent Community Response</v>
      </c>
      <c r="B346" t="str">
        <f>VLOOKUP(Table_Capacity_Community_frontsheet[[#This Row],[Service Area]],PathwayLookup!E:F,2,0)</f>
        <v>Urgent Community Response</v>
      </c>
      <c r="C346" t="s">
        <v>163</v>
      </c>
      <c r="D346" t="s">
        <v>705</v>
      </c>
      <c r="E346">
        <v>2046</v>
      </c>
      <c r="F346">
        <v>2113</v>
      </c>
      <c r="G346">
        <v>2046</v>
      </c>
      <c r="H346">
        <v>2113</v>
      </c>
      <c r="I346">
        <v>2113</v>
      </c>
      <c r="J346">
        <v>2046</v>
      </c>
      <c r="K346">
        <v>2113</v>
      </c>
      <c r="L346">
        <v>2046</v>
      </c>
      <c r="M346">
        <v>2113</v>
      </c>
      <c r="N346">
        <v>2113</v>
      </c>
      <c r="O346">
        <v>1979</v>
      </c>
      <c r="P346">
        <v>2113</v>
      </c>
      <c r="Q346">
        <v>1</v>
      </c>
      <c r="V346"/>
      <c r="W346"/>
      <c r="X346"/>
    </row>
    <row r="347" spans="1:24" x14ac:dyDescent="0.3">
      <c r="A347" t="str">
        <f>Table_Capacity_Community_frontsheet[[#This Row],[Name]]&amp;B347</f>
        <v>HampshireReablement &amp; Rehabilitation at home</v>
      </c>
      <c r="B347" t="str">
        <f>VLOOKUP(Table_Capacity_Community_frontsheet[[#This Row],[Service Area]],PathwayLookup!E:F,2,0)</f>
        <v>Reablement &amp; Rehabilitation at home</v>
      </c>
      <c r="C347" t="s">
        <v>163</v>
      </c>
      <c r="D347" t="s">
        <v>727</v>
      </c>
      <c r="E347">
        <v>1564</v>
      </c>
      <c r="F347">
        <v>1564</v>
      </c>
      <c r="G347">
        <v>1564</v>
      </c>
      <c r="H347">
        <v>1564</v>
      </c>
      <c r="I347">
        <v>1564</v>
      </c>
      <c r="J347">
        <v>1564</v>
      </c>
      <c r="K347">
        <v>1564</v>
      </c>
      <c r="L347">
        <v>1564</v>
      </c>
      <c r="M347">
        <v>1564</v>
      </c>
      <c r="N347">
        <v>1564</v>
      </c>
      <c r="O347">
        <v>1564</v>
      </c>
      <c r="P347">
        <v>1564</v>
      </c>
      <c r="R347">
        <v>1</v>
      </c>
      <c r="V347"/>
      <c r="W347"/>
      <c r="X347"/>
    </row>
    <row r="348" spans="1:24" x14ac:dyDescent="0.3">
      <c r="A348" t="str">
        <f>Table_Capacity_Community_frontsheet[[#This Row],[Name]]&amp;B348</f>
        <v>HampshireReablement &amp; Rehabilitation at home</v>
      </c>
      <c r="B348" t="str">
        <f>VLOOKUP(Table_Capacity_Community_frontsheet[[#This Row],[Service Area]],PathwayLookup!E:F,2,0)</f>
        <v>Reablement &amp; Rehabilitation at home</v>
      </c>
      <c r="C348" t="s">
        <v>163</v>
      </c>
      <c r="D348" t="s">
        <v>729</v>
      </c>
      <c r="E348">
        <v>2014</v>
      </c>
      <c r="F348">
        <v>2014</v>
      </c>
      <c r="G348">
        <v>2014</v>
      </c>
      <c r="H348">
        <v>2014</v>
      </c>
      <c r="I348">
        <v>2014</v>
      </c>
      <c r="J348">
        <v>2014</v>
      </c>
      <c r="K348">
        <v>2014</v>
      </c>
      <c r="L348">
        <v>2014</v>
      </c>
      <c r="M348">
        <v>2014</v>
      </c>
      <c r="N348">
        <v>2014</v>
      </c>
      <c r="O348">
        <v>2014</v>
      </c>
      <c r="P348">
        <v>2014</v>
      </c>
      <c r="Q348">
        <v>1</v>
      </c>
      <c r="V348"/>
      <c r="W348"/>
      <c r="X348"/>
    </row>
    <row r="349" spans="1:24" x14ac:dyDescent="0.3">
      <c r="A349" t="str">
        <f>Table_Capacity_Community_frontsheet[[#This Row],[Name]]&amp;B349</f>
        <v>HampshireReablement &amp; Rehabilitation in a bedded setting</v>
      </c>
      <c r="B349" t="str">
        <f>VLOOKUP(Table_Capacity_Community_frontsheet[[#This Row],[Service Area]],PathwayLookup!E:F,2,0)</f>
        <v>Reablement &amp; Rehabilitation in a bedded setting</v>
      </c>
      <c r="C349" t="s">
        <v>163</v>
      </c>
      <c r="D349" t="s">
        <v>723</v>
      </c>
      <c r="E349">
        <v>0</v>
      </c>
      <c r="F349">
        <v>0</v>
      </c>
      <c r="G349">
        <v>0</v>
      </c>
      <c r="H349">
        <v>0</v>
      </c>
      <c r="I349">
        <v>0</v>
      </c>
      <c r="J349">
        <v>0</v>
      </c>
      <c r="K349">
        <v>0</v>
      </c>
      <c r="L349">
        <v>0</v>
      </c>
      <c r="M349">
        <v>0</v>
      </c>
      <c r="N349">
        <v>0</v>
      </c>
      <c r="O349">
        <v>0</v>
      </c>
      <c r="P349">
        <v>0</v>
      </c>
      <c r="V349"/>
      <c r="W349"/>
      <c r="X349"/>
    </row>
    <row r="350" spans="1:24" x14ac:dyDescent="0.3">
      <c r="A350" t="str">
        <f>Table_Capacity_Community_frontsheet[[#This Row],[Name]]&amp;B350</f>
        <v>HampshireReablement &amp; Rehabilitation in a bedded setting</v>
      </c>
      <c r="B350" t="str">
        <f>VLOOKUP(Table_Capacity_Community_frontsheet[[#This Row],[Service Area]],PathwayLookup!E:F,2,0)</f>
        <v>Reablement &amp; Rehabilitation in a bedded setting</v>
      </c>
      <c r="C350" t="s">
        <v>163</v>
      </c>
      <c r="D350" t="s">
        <v>725</v>
      </c>
      <c r="Q350">
        <v>1</v>
      </c>
      <c r="V350"/>
      <c r="W350"/>
      <c r="X350"/>
    </row>
    <row r="351" spans="1:24" x14ac:dyDescent="0.3">
      <c r="A351" t="str">
        <f>Table_Capacity_Community_frontsheet[[#This Row],[Name]]&amp;B351</f>
        <v>HampshireOther short-term social care</v>
      </c>
      <c r="B351" t="str">
        <f>VLOOKUP(Table_Capacity_Community_frontsheet[[#This Row],[Service Area]],PathwayLookup!E:F,2,0)</f>
        <v>Other short-term social care</v>
      </c>
      <c r="C351" t="s">
        <v>163</v>
      </c>
      <c r="D351" t="s">
        <v>708</v>
      </c>
      <c r="E351">
        <v>0</v>
      </c>
      <c r="F351">
        <v>0</v>
      </c>
      <c r="G351">
        <v>0</v>
      </c>
      <c r="H351">
        <v>0</v>
      </c>
      <c r="I351">
        <v>0</v>
      </c>
      <c r="J351">
        <v>0</v>
      </c>
      <c r="K351">
        <v>0</v>
      </c>
      <c r="L351">
        <v>0</v>
      </c>
      <c r="M351">
        <v>0</v>
      </c>
      <c r="N351">
        <v>0</v>
      </c>
      <c r="O351">
        <v>0</v>
      </c>
      <c r="P351">
        <v>0</v>
      </c>
      <c r="V351"/>
      <c r="W351"/>
      <c r="X351"/>
    </row>
    <row r="352" spans="1:24" x14ac:dyDescent="0.3">
      <c r="A352" t="str">
        <f>Table_Capacity_Community_frontsheet[[#This Row],[Name]]&amp;B352</f>
        <v>HaringeySocial support (including VCS)</v>
      </c>
      <c r="B352" t="str">
        <f>VLOOKUP(Table_Capacity_Community_frontsheet[[#This Row],[Service Area]],PathwayLookup!E:F,2,0)</f>
        <v>Social support (including VCS)</v>
      </c>
      <c r="C352" t="s">
        <v>165</v>
      </c>
      <c r="D352" t="s">
        <v>704</v>
      </c>
      <c r="E352">
        <v>40</v>
      </c>
      <c r="F352">
        <v>40</v>
      </c>
      <c r="G352">
        <v>40</v>
      </c>
      <c r="H352">
        <v>40</v>
      </c>
      <c r="I352">
        <v>40</v>
      </c>
      <c r="J352">
        <v>40</v>
      </c>
      <c r="K352">
        <v>50</v>
      </c>
      <c r="L352">
        <v>50</v>
      </c>
      <c r="M352">
        <v>50</v>
      </c>
      <c r="N352">
        <v>50</v>
      </c>
      <c r="O352">
        <v>50</v>
      </c>
      <c r="P352">
        <v>50</v>
      </c>
      <c r="Q352">
        <v>0.2</v>
      </c>
      <c r="R352">
        <v>0.8</v>
      </c>
      <c r="S352">
        <v>0</v>
      </c>
      <c r="V352"/>
      <c r="W352"/>
      <c r="X352"/>
    </row>
    <row r="353" spans="1:24" x14ac:dyDescent="0.3">
      <c r="A353" t="str">
        <f>Table_Capacity_Community_frontsheet[[#This Row],[Name]]&amp;B353</f>
        <v>HaringeyUrgent Community Response</v>
      </c>
      <c r="B353" t="str">
        <f>VLOOKUP(Table_Capacity_Community_frontsheet[[#This Row],[Service Area]],PathwayLookup!E:F,2,0)</f>
        <v>Urgent Community Response</v>
      </c>
      <c r="C353" t="s">
        <v>165</v>
      </c>
      <c r="D353" t="s">
        <v>705</v>
      </c>
      <c r="E353">
        <v>173</v>
      </c>
      <c r="F353">
        <v>173</v>
      </c>
      <c r="G353">
        <v>173</v>
      </c>
      <c r="H353">
        <v>191</v>
      </c>
      <c r="I353">
        <v>191</v>
      </c>
      <c r="J353">
        <v>181</v>
      </c>
      <c r="K353">
        <v>179</v>
      </c>
      <c r="L353">
        <v>179</v>
      </c>
      <c r="M353">
        <v>191</v>
      </c>
      <c r="N353">
        <v>204</v>
      </c>
      <c r="O353">
        <v>204</v>
      </c>
      <c r="P353">
        <v>204</v>
      </c>
      <c r="Q353">
        <v>1</v>
      </c>
      <c r="R353">
        <v>0</v>
      </c>
      <c r="S353">
        <v>0</v>
      </c>
      <c r="V353"/>
      <c r="W353"/>
      <c r="X353"/>
    </row>
    <row r="354" spans="1:24" x14ac:dyDescent="0.3">
      <c r="A354" t="str">
        <f>Table_Capacity_Community_frontsheet[[#This Row],[Name]]&amp;B354</f>
        <v>HaringeyReablement &amp; Rehabilitation at home</v>
      </c>
      <c r="B354" t="str">
        <f>VLOOKUP(Table_Capacity_Community_frontsheet[[#This Row],[Service Area]],PathwayLookup!E:F,2,0)</f>
        <v>Reablement &amp; Rehabilitation at home</v>
      </c>
      <c r="C354" t="s">
        <v>165</v>
      </c>
      <c r="D354" t="s">
        <v>727</v>
      </c>
      <c r="E354">
        <v>11</v>
      </c>
      <c r="F354">
        <v>11</v>
      </c>
      <c r="G354">
        <v>11</v>
      </c>
      <c r="H354">
        <v>11</v>
      </c>
      <c r="I354">
        <v>11</v>
      </c>
      <c r="J354">
        <v>11</v>
      </c>
      <c r="K354">
        <v>11</v>
      </c>
      <c r="L354">
        <v>11</v>
      </c>
      <c r="M354">
        <v>11</v>
      </c>
      <c r="N354">
        <v>11</v>
      </c>
      <c r="O354">
        <v>11</v>
      </c>
      <c r="P354">
        <v>11</v>
      </c>
      <c r="Q354">
        <v>0</v>
      </c>
      <c r="R354">
        <v>1</v>
      </c>
      <c r="S354">
        <v>0</v>
      </c>
      <c r="V354"/>
      <c r="W354"/>
      <c r="X354"/>
    </row>
    <row r="355" spans="1:24" x14ac:dyDescent="0.3">
      <c r="A355" t="str">
        <f>Table_Capacity_Community_frontsheet[[#This Row],[Name]]&amp;B355</f>
        <v>HaringeyReablement &amp; Rehabilitation at home</v>
      </c>
      <c r="B355" t="str">
        <f>VLOOKUP(Table_Capacity_Community_frontsheet[[#This Row],[Service Area]],PathwayLookup!E:F,2,0)</f>
        <v>Reablement &amp; Rehabilitation at home</v>
      </c>
      <c r="C355" t="s">
        <v>165</v>
      </c>
      <c r="D355" t="s">
        <v>729</v>
      </c>
      <c r="E355">
        <v>4</v>
      </c>
      <c r="F355">
        <v>5</v>
      </c>
      <c r="G355">
        <v>5</v>
      </c>
      <c r="H355">
        <v>6</v>
      </c>
      <c r="I355">
        <v>6</v>
      </c>
      <c r="J355">
        <v>6</v>
      </c>
      <c r="K355">
        <v>7</v>
      </c>
      <c r="L355">
        <v>8</v>
      </c>
      <c r="M355">
        <v>9</v>
      </c>
      <c r="N355">
        <v>8</v>
      </c>
      <c r="O355">
        <v>7</v>
      </c>
      <c r="P355">
        <v>7</v>
      </c>
      <c r="Q355">
        <v>1</v>
      </c>
      <c r="R355">
        <v>0</v>
      </c>
      <c r="S355">
        <v>0</v>
      </c>
      <c r="V355"/>
      <c r="W355"/>
      <c r="X355"/>
    </row>
    <row r="356" spans="1:24" x14ac:dyDescent="0.3">
      <c r="A356" t="str">
        <f>Table_Capacity_Community_frontsheet[[#This Row],[Name]]&amp;B356</f>
        <v>HaringeyReablement &amp; Rehabilitation in a bedded setting</v>
      </c>
      <c r="B356" t="str">
        <f>VLOOKUP(Table_Capacity_Community_frontsheet[[#This Row],[Service Area]],PathwayLookup!E:F,2,0)</f>
        <v>Reablement &amp; Rehabilitation in a bedded setting</v>
      </c>
      <c r="C356" t="s">
        <v>165</v>
      </c>
      <c r="D356" t="s">
        <v>723</v>
      </c>
      <c r="E356">
        <v>1</v>
      </c>
      <c r="F356">
        <v>1</v>
      </c>
      <c r="G356">
        <v>1</v>
      </c>
      <c r="H356">
        <v>1</v>
      </c>
      <c r="I356">
        <v>1</v>
      </c>
      <c r="J356">
        <v>1</v>
      </c>
      <c r="K356">
        <v>1</v>
      </c>
      <c r="L356">
        <v>1</v>
      </c>
      <c r="M356">
        <v>1</v>
      </c>
      <c r="N356">
        <v>1</v>
      </c>
      <c r="O356">
        <v>1</v>
      </c>
      <c r="P356">
        <v>1</v>
      </c>
      <c r="Q356">
        <v>0</v>
      </c>
      <c r="R356">
        <v>1</v>
      </c>
      <c r="S356">
        <v>0</v>
      </c>
      <c r="V356"/>
      <c r="W356"/>
      <c r="X356"/>
    </row>
    <row r="357" spans="1:24" x14ac:dyDescent="0.3">
      <c r="A357" t="str">
        <f>Table_Capacity_Community_frontsheet[[#This Row],[Name]]&amp;B357</f>
        <v>HaringeyReablement &amp; Rehabilitation in a bedded setting</v>
      </c>
      <c r="B357" t="str">
        <f>VLOOKUP(Table_Capacity_Community_frontsheet[[#This Row],[Service Area]],PathwayLookup!E:F,2,0)</f>
        <v>Reablement &amp; Rehabilitation in a bedded setting</v>
      </c>
      <c r="C357" t="s">
        <v>165</v>
      </c>
      <c r="D357" t="s">
        <v>725</v>
      </c>
      <c r="E357">
        <v>0</v>
      </c>
      <c r="F357">
        <v>0</v>
      </c>
      <c r="G357">
        <v>0</v>
      </c>
      <c r="H357">
        <v>0</v>
      </c>
      <c r="I357">
        <v>0</v>
      </c>
      <c r="J357">
        <v>0</v>
      </c>
      <c r="K357">
        <v>0</v>
      </c>
      <c r="L357">
        <v>0</v>
      </c>
      <c r="M357">
        <v>0</v>
      </c>
      <c r="N357">
        <v>0</v>
      </c>
      <c r="O357">
        <v>0</v>
      </c>
      <c r="P357">
        <v>0</v>
      </c>
      <c r="Q357">
        <v>1</v>
      </c>
      <c r="R357">
        <v>0</v>
      </c>
      <c r="S357">
        <v>0</v>
      </c>
      <c r="V357"/>
      <c r="W357"/>
      <c r="X357"/>
    </row>
    <row r="358" spans="1:24" x14ac:dyDescent="0.3">
      <c r="A358" t="str">
        <f>Table_Capacity_Community_frontsheet[[#This Row],[Name]]&amp;B358</f>
        <v>HaringeyOther short-term social care</v>
      </c>
      <c r="B358" t="str">
        <f>VLOOKUP(Table_Capacity_Community_frontsheet[[#This Row],[Service Area]],PathwayLookup!E:F,2,0)</f>
        <v>Other short-term social care</v>
      </c>
      <c r="C358" t="s">
        <v>165</v>
      </c>
      <c r="D358" t="s">
        <v>708</v>
      </c>
      <c r="E358">
        <v>0</v>
      </c>
      <c r="F358">
        <v>0</v>
      </c>
      <c r="G358">
        <v>0</v>
      </c>
      <c r="H358">
        <v>0</v>
      </c>
      <c r="I358">
        <v>0</v>
      </c>
      <c r="J358">
        <v>0</v>
      </c>
      <c r="K358">
        <v>0</v>
      </c>
      <c r="L358">
        <v>0</v>
      </c>
      <c r="M358">
        <v>0</v>
      </c>
      <c r="N358">
        <v>0</v>
      </c>
      <c r="O358">
        <v>0</v>
      </c>
      <c r="P358">
        <v>0</v>
      </c>
      <c r="Q358">
        <v>0</v>
      </c>
      <c r="R358">
        <v>1</v>
      </c>
      <c r="S358">
        <v>0</v>
      </c>
      <c r="V358"/>
      <c r="W358"/>
      <c r="X358"/>
    </row>
    <row r="359" spans="1:24" x14ac:dyDescent="0.3">
      <c r="A359" t="str">
        <f>Table_Capacity_Community_frontsheet[[#This Row],[Name]]&amp;B359</f>
        <v>HarrowSocial support (including VCS)</v>
      </c>
      <c r="B359" t="str">
        <f>VLOOKUP(Table_Capacity_Community_frontsheet[[#This Row],[Service Area]],PathwayLookup!E:F,2,0)</f>
        <v>Social support (including VCS)</v>
      </c>
      <c r="C359" t="s">
        <v>167</v>
      </c>
      <c r="D359" t="s">
        <v>704</v>
      </c>
      <c r="E359">
        <v>85</v>
      </c>
      <c r="F359">
        <v>85</v>
      </c>
      <c r="G359">
        <v>85</v>
      </c>
      <c r="H359">
        <v>85</v>
      </c>
      <c r="I359">
        <v>85</v>
      </c>
      <c r="J359">
        <v>85</v>
      </c>
      <c r="K359">
        <v>85</v>
      </c>
      <c r="L359">
        <v>85</v>
      </c>
      <c r="M359">
        <v>85</v>
      </c>
      <c r="N359">
        <v>85</v>
      </c>
      <c r="O359">
        <v>85</v>
      </c>
      <c r="P359">
        <v>85</v>
      </c>
      <c r="Q359">
        <v>0</v>
      </c>
      <c r="R359">
        <v>1</v>
      </c>
      <c r="S359">
        <v>0</v>
      </c>
      <c r="V359"/>
      <c r="W359"/>
      <c r="X359"/>
    </row>
    <row r="360" spans="1:24" x14ac:dyDescent="0.3">
      <c r="A360" t="str">
        <f>Table_Capacity_Community_frontsheet[[#This Row],[Name]]&amp;B360</f>
        <v>HarrowUrgent Community Response</v>
      </c>
      <c r="B360" t="str">
        <f>VLOOKUP(Table_Capacity_Community_frontsheet[[#This Row],[Service Area]],PathwayLookup!E:F,2,0)</f>
        <v>Urgent Community Response</v>
      </c>
      <c r="C360" t="s">
        <v>167</v>
      </c>
      <c r="D360" t="s">
        <v>705</v>
      </c>
      <c r="E360">
        <v>275</v>
      </c>
      <c r="F360">
        <v>275</v>
      </c>
      <c r="G360">
        <v>275</v>
      </c>
      <c r="H360">
        <v>275</v>
      </c>
      <c r="I360">
        <v>275</v>
      </c>
      <c r="J360">
        <v>275</v>
      </c>
      <c r="K360">
        <v>275</v>
      </c>
      <c r="L360">
        <v>275</v>
      </c>
      <c r="M360">
        <v>275</v>
      </c>
      <c r="N360">
        <v>275</v>
      </c>
      <c r="O360">
        <v>275</v>
      </c>
      <c r="P360">
        <v>275</v>
      </c>
      <c r="Q360">
        <v>1</v>
      </c>
      <c r="R360">
        <v>0</v>
      </c>
      <c r="S360">
        <v>0</v>
      </c>
      <c r="V360"/>
      <c r="W360"/>
      <c r="X360"/>
    </row>
    <row r="361" spans="1:24" x14ac:dyDescent="0.3">
      <c r="A361" t="str">
        <f>Table_Capacity_Community_frontsheet[[#This Row],[Name]]&amp;B361</f>
        <v>HarrowReablement &amp; Rehabilitation at home</v>
      </c>
      <c r="B361" t="str">
        <f>VLOOKUP(Table_Capacity_Community_frontsheet[[#This Row],[Service Area]],PathwayLookup!E:F,2,0)</f>
        <v>Reablement &amp; Rehabilitation at home</v>
      </c>
      <c r="C361" t="s">
        <v>167</v>
      </c>
      <c r="D361" t="s">
        <v>727</v>
      </c>
      <c r="E361">
        <v>13</v>
      </c>
      <c r="F361">
        <v>13</v>
      </c>
      <c r="G361">
        <v>13</v>
      </c>
      <c r="H361">
        <v>13</v>
      </c>
      <c r="I361">
        <v>13</v>
      </c>
      <c r="J361">
        <v>13</v>
      </c>
      <c r="K361">
        <v>13</v>
      </c>
      <c r="L361">
        <v>13</v>
      </c>
      <c r="M361">
        <v>13</v>
      </c>
      <c r="N361">
        <v>13</v>
      </c>
      <c r="O361">
        <v>13</v>
      </c>
      <c r="P361">
        <v>13</v>
      </c>
      <c r="Q361">
        <v>0</v>
      </c>
      <c r="R361">
        <v>1</v>
      </c>
      <c r="S361">
        <v>0</v>
      </c>
      <c r="V361"/>
      <c r="W361"/>
      <c r="X361"/>
    </row>
    <row r="362" spans="1:24" x14ac:dyDescent="0.3">
      <c r="A362" t="str">
        <f>Table_Capacity_Community_frontsheet[[#This Row],[Name]]&amp;B362</f>
        <v>HarrowReablement &amp; Rehabilitation at home</v>
      </c>
      <c r="B362" t="str">
        <f>VLOOKUP(Table_Capacity_Community_frontsheet[[#This Row],[Service Area]],PathwayLookup!E:F,2,0)</f>
        <v>Reablement &amp; Rehabilitation at home</v>
      </c>
      <c r="C362" t="s">
        <v>167</v>
      </c>
      <c r="D362" t="s">
        <v>729</v>
      </c>
      <c r="E362">
        <v>0</v>
      </c>
      <c r="F362">
        <v>0</v>
      </c>
      <c r="G362">
        <v>0</v>
      </c>
      <c r="H362">
        <v>0</v>
      </c>
      <c r="I362">
        <v>0</v>
      </c>
      <c r="J362">
        <v>0</v>
      </c>
      <c r="K362">
        <v>0</v>
      </c>
      <c r="L362">
        <v>0</v>
      </c>
      <c r="M362">
        <v>0</v>
      </c>
      <c r="N362">
        <v>0</v>
      </c>
      <c r="O362">
        <v>0</v>
      </c>
      <c r="P362">
        <v>0</v>
      </c>
      <c r="Q362">
        <v>0</v>
      </c>
      <c r="R362">
        <v>0</v>
      </c>
      <c r="S362">
        <v>0</v>
      </c>
      <c r="V362"/>
      <c r="W362"/>
      <c r="X362"/>
    </row>
    <row r="363" spans="1:24" x14ac:dyDescent="0.3">
      <c r="A363" t="str">
        <f>Table_Capacity_Community_frontsheet[[#This Row],[Name]]&amp;B363</f>
        <v>HarrowReablement &amp; Rehabilitation in a bedded setting</v>
      </c>
      <c r="B363" t="str">
        <f>VLOOKUP(Table_Capacity_Community_frontsheet[[#This Row],[Service Area]],PathwayLookup!E:F,2,0)</f>
        <v>Reablement &amp; Rehabilitation in a bedded setting</v>
      </c>
      <c r="C363" t="s">
        <v>167</v>
      </c>
      <c r="D363" t="s">
        <v>723</v>
      </c>
      <c r="E363">
        <v>0</v>
      </c>
      <c r="F363">
        <v>0</v>
      </c>
      <c r="G363">
        <v>0</v>
      </c>
      <c r="H363">
        <v>0</v>
      </c>
      <c r="I363">
        <v>0</v>
      </c>
      <c r="J363">
        <v>0</v>
      </c>
      <c r="K363">
        <v>0</v>
      </c>
      <c r="L363">
        <v>0</v>
      </c>
      <c r="M363">
        <v>0</v>
      </c>
      <c r="N363">
        <v>0</v>
      </c>
      <c r="O363">
        <v>0</v>
      </c>
      <c r="P363">
        <v>0</v>
      </c>
      <c r="Q363">
        <v>0</v>
      </c>
      <c r="R363">
        <v>0</v>
      </c>
      <c r="S363">
        <v>0</v>
      </c>
      <c r="V363"/>
      <c r="W363"/>
      <c r="X363"/>
    </row>
    <row r="364" spans="1:24" x14ac:dyDescent="0.3">
      <c r="A364" t="str">
        <f>Table_Capacity_Community_frontsheet[[#This Row],[Name]]&amp;B364</f>
        <v>HarrowReablement &amp; Rehabilitation in a bedded setting</v>
      </c>
      <c r="B364" t="str">
        <f>VLOOKUP(Table_Capacity_Community_frontsheet[[#This Row],[Service Area]],PathwayLookup!E:F,2,0)</f>
        <v>Reablement &amp; Rehabilitation in a bedded setting</v>
      </c>
      <c r="C364" t="s">
        <v>167</v>
      </c>
      <c r="D364" t="s">
        <v>725</v>
      </c>
      <c r="E364">
        <v>0</v>
      </c>
      <c r="F364">
        <v>0</v>
      </c>
      <c r="G364">
        <v>0</v>
      </c>
      <c r="H364">
        <v>0</v>
      </c>
      <c r="I364">
        <v>0</v>
      </c>
      <c r="J364">
        <v>0</v>
      </c>
      <c r="K364">
        <v>0</v>
      </c>
      <c r="L364">
        <v>0</v>
      </c>
      <c r="M364">
        <v>0</v>
      </c>
      <c r="N364">
        <v>0</v>
      </c>
      <c r="O364">
        <v>0</v>
      </c>
      <c r="P364">
        <v>0</v>
      </c>
      <c r="Q364">
        <v>0</v>
      </c>
      <c r="R364">
        <v>0</v>
      </c>
      <c r="S364">
        <v>0</v>
      </c>
      <c r="V364"/>
      <c r="W364"/>
      <c r="X364"/>
    </row>
    <row r="365" spans="1:24" x14ac:dyDescent="0.3">
      <c r="A365" t="str">
        <f>Table_Capacity_Community_frontsheet[[#This Row],[Name]]&amp;B365</f>
        <v>HarrowOther short-term social care</v>
      </c>
      <c r="B365" t="str">
        <f>VLOOKUP(Table_Capacity_Community_frontsheet[[#This Row],[Service Area]],PathwayLookup!E:F,2,0)</f>
        <v>Other short-term social care</v>
      </c>
      <c r="C365" t="s">
        <v>167</v>
      </c>
      <c r="D365" t="s">
        <v>708</v>
      </c>
      <c r="E365">
        <v>0</v>
      </c>
      <c r="F365">
        <v>0</v>
      </c>
      <c r="G365">
        <v>0</v>
      </c>
      <c r="H365">
        <v>0</v>
      </c>
      <c r="I365">
        <v>0</v>
      </c>
      <c r="J365">
        <v>0</v>
      </c>
      <c r="K365">
        <v>0</v>
      </c>
      <c r="L365">
        <v>0</v>
      </c>
      <c r="M365">
        <v>0</v>
      </c>
      <c r="N365">
        <v>0</v>
      </c>
      <c r="O365">
        <v>0</v>
      </c>
      <c r="P365">
        <v>0</v>
      </c>
      <c r="Q365">
        <v>0</v>
      </c>
      <c r="R365">
        <v>0</v>
      </c>
      <c r="S365">
        <v>0</v>
      </c>
      <c r="V365"/>
      <c r="W365"/>
      <c r="X365"/>
    </row>
    <row r="366" spans="1:24" x14ac:dyDescent="0.3">
      <c r="A366" t="str">
        <f>Table_Capacity_Community_frontsheet[[#This Row],[Name]]&amp;B366</f>
        <v>HartlepoolSocial support (including VCS)</v>
      </c>
      <c r="B366" t="str">
        <f>VLOOKUP(Table_Capacity_Community_frontsheet[[#This Row],[Service Area]],PathwayLookup!E:F,2,0)</f>
        <v>Social support (including VCS)</v>
      </c>
      <c r="C366" t="s">
        <v>169</v>
      </c>
      <c r="D366" t="s">
        <v>704</v>
      </c>
      <c r="E366">
        <v>0</v>
      </c>
      <c r="F366">
        <v>0</v>
      </c>
      <c r="G366">
        <v>0</v>
      </c>
      <c r="H366">
        <v>0</v>
      </c>
      <c r="I366">
        <v>0</v>
      </c>
      <c r="J366">
        <v>0</v>
      </c>
      <c r="K366">
        <v>0</v>
      </c>
      <c r="L366">
        <v>0</v>
      </c>
      <c r="M366">
        <v>0</v>
      </c>
      <c r="N366">
        <v>0</v>
      </c>
      <c r="O366">
        <v>0</v>
      </c>
      <c r="P366">
        <v>0</v>
      </c>
      <c r="Q366">
        <v>0</v>
      </c>
      <c r="R366">
        <v>0</v>
      </c>
      <c r="S366">
        <v>0</v>
      </c>
      <c r="V366"/>
      <c r="W366"/>
      <c r="X366"/>
    </row>
    <row r="367" spans="1:24" x14ac:dyDescent="0.3">
      <c r="A367" t="str">
        <f>Table_Capacity_Community_frontsheet[[#This Row],[Name]]&amp;B367</f>
        <v>HartlepoolUrgent Community Response</v>
      </c>
      <c r="B367" t="str">
        <f>VLOOKUP(Table_Capacity_Community_frontsheet[[#This Row],[Service Area]],PathwayLookup!E:F,2,0)</f>
        <v>Urgent Community Response</v>
      </c>
      <c r="C367" t="s">
        <v>169</v>
      </c>
      <c r="D367" t="s">
        <v>705</v>
      </c>
      <c r="E367">
        <v>55</v>
      </c>
      <c r="F367">
        <v>47</v>
      </c>
      <c r="G367">
        <v>49</v>
      </c>
      <c r="H367">
        <v>52</v>
      </c>
      <c r="I367">
        <v>44</v>
      </c>
      <c r="J367">
        <v>33</v>
      </c>
      <c r="K367">
        <v>39</v>
      </c>
      <c r="L367">
        <v>41</v>
      </c>
      <c r="M367">
        <v>56</v>
      </c>
      <c r="N367">
        <v>25</v>
      </c>
      <c r="O367">
        <v>16</v>
      </c>
      <c r="P367">
        <v>26</v>
      </c>
      <c r="Q367">
        <v>0.19</v>
      </c>
      <c r="R367">
        <v>0.81</v>
      </c>
      <c r="S367">
        <v>0</v>
      </c>
      <c r="V367"/>
      <c r="W367"/>
      <c r="X367"/>
    </row>
    <row r="368" spans="1:24" x14ac:dyDescent="0.3">
      <c r="A368" t="str">
        <f>Table_Capacity_Community_frontsheet[[#This Row],[Name]]&amp;B368</f>
        <v>HartlepoolReablement &amp; Rehabilitation at home</v>
      </c>
      <c r="B368" t="str">
        <f>VLOOKUP(Table_Capacity_Community_frontsheet[[#This Row],[Service Area]],PathwayLookup!E:F,2,0)</f>
        <v>Reablement &amp; Rehabilitation at home</v>
      </c>
      <c r="C368" t="s">
        <v>169</v>
      </c>
      <c r="D368" t="s">
        <v>727</v>
      </c>
      <c r="E368">
        <v>13</v>
      </c>
      <c r="F368">
        <v>12</v>
      </c>
      <c r="G368">
        <v>15</v>
      </c>
      <c r="H368">
        <v>20</v>
      </c>
      <c r="I368">
        <v>13</v>
      </c>
      <c r="J368">
        <v>16</v>
      </c>
      <c r="K368">
        <v>16</v>
      </c>
      <c r="L368">
        <v>13</v>
      </c>
      <c r="M368">
        <v>18</v>
      </c>
      <c r="N368">
        <v>22</v>
      </c>
      <c r="O368">
        <v>15</v>
      </c>
      <c r="P368">
        <v>23</v>
      </c>
      <c r="Q368">
        <v>0.82</v>
      </c>
      <c r="R368">
        <v>0.18</v>
      </c>
      <c r="S368">
        <v>0</v>
      </c>
      <c r="V368"/>
      <c r="W368"/>
      <c r="X368"/>
    </row>
    <row r="369" spans="1:24" x14ac:dyDescent="0.3">
      <c r="A369" t="str">
        <f>Table_Capacity_Community_frontsheet[[#This Row],[Name]]&amp;B369</f>
        <v>HartlepoolReablement &amp; Rehabilitation at home</v>
      </c>
      <c r="B369" t="str">
        <f>VLOOKUP(Table_Capacity_Community_frontsheet[[#This Row],[Service Area]],PathwayLookup!E:F,2,0)</f>
        <v>Reablement &amp; Rehabilitation at home</v>
      </c>
      <c r="C369" t="s">
        <v>169</v>
      </c>
      <c r="D369" t="s">
        <v>729</v>
      </c>
      <c r="E369">
        <v>13</v>
      </c>
      <c r="F369">
        <v>5</v>
      </c>
      <c r="G369">
        <v>5</v>
      </c>
      <c r="H369">
        <v>5</v>
      </c>
      <c r="I369">
        <v>16</v>
      </c>
      <c r="J369">
        <v>18</v>
      </c>
      <c r="K369">
        <v>8</v>
      </c>
      <c r="L369">
        <v>11</v>
      </c>
      <c r="M369">
        <v>4</v>
      </c>
      <c r="N369">
        <v>13</v>
      </c>
      <c r="O369">
        <v>5</v>
      </c>
      <c r="P369">
        <v>9</v>
      </c>
      <c r="Q369">
        <v>1</v>
      </c>
      <c r="R369">
        <v>0</v>
      </c>
      <c r="S369">
        <v>0</v>
      </c>
      <c r="V369"/>
      <c r="W369"/>
      <c r="X369"/>
    </row>
    <row r="370" spans="1:24" x14ac:dyDescent="0.3">
      <c r="A370" t="str">
        <f>Table_Capacity_Community_frontsheet[[#This Row],[Name]]&amp;B370</f>
        <v>HartlepoolReablement &amp; Rehabilitation in a bedded setting</v>
      </c>
      <c r="B370" t="str">
        <f>VLOOKUP(Table_Capacity_Community_frontsheet[[#This Row],[Service Area]],PathwayLookup!E:F,2,0)</f>
        <v>Reablement &amp; Rehabilitation in a bedded setting</v>
      </c>
      <c r="C370" t="s">
        <v>169</v>
      </c>
      <c r="D370" t="s">
        <v>723</v>
      </c>
      <c r="E370">
        <v>6</v>
      </c>
      <c r="F370">
        <v>6</v>
      </c>
      <c r="G370">
        <v>6</v>
      </c>
      <c r="H370">
        <v>6</v>
      </c>
      <c r="I370">
        <v>6</v>
      </c>
      <c r="J370">
        <v>6</v>
      </c>
      <c r="K370">
        <v>6</v>
      </c>
      <c r="L370">
        <v>6</v>
      </c>
      <c r="M370">
        <v>6</v>
      </c>
      <c r="N370">
        <v>6</v>
      </c>
      <c r="O370">
        <v>5</v>
      </c>
      <c r="P370">
        <v>6</v>
      </c>
      <c r="Q370">
        <v>0</v>
      </c>
      <c r="R370">
        <v>1</v>
      </c>
      <c r="S370">
        <v>0</v>
      </c>
      <c r="V370"/>
      <c r="W370"/>
      <c r="X370"/>
    </row>
    <row r="371" spans="1:24" x14ac:dyDescent="0.3">
      <c r="A371" t="str">
        <f>Table_Capacity_Community_frontsheet[[#This Row],[Name]]&amp;B371</f>
        <v>HartlepoolReablement &amp; Rehabilitation in a bedded setting</v>
      </c>
      <c r="B371" t="str">
        <f>VLOOKUP(Table_Capacity_Community_frontsheet[[#This Row],[Service Area]],PathwayLookup!E:F,2,0)</f>
        <v>Reablement &amp; Rehabilitation in a bedded setting</v>
      </c>
      <c r="C371" t="s">
        <v>169</v>
      </c>
      <c r="D371" t="s">
        <v>725</v>
      </c>
      <c r="E371">
        <v>0</v>
      </c>
      <c r="F371">
        <v>0</v>
      </c>
      <c r="G371">
        <v>0</v>
      </c>
      <c r="H371">
        <v>0</v>
      </c>
      <c r="I371">
        <v>0</v>
      </c>
      <c r="J371">
        <v>0</v>
      </c>
      <c r="K371">
        <v>0</v>
      </c>
      <c r="L371">
        <v>0</v>
      </c>
      <c r="M371">
        <v>0</v>
      </c>
      <c r="N371">
        <v>0</v>
      </c>
      <c r="O371">
        <v>0</v>
      </c>
      <c r="P371">
        <v>0</v>
      </c>
      <c r="Q371">
        <v>0</v>
      </c>
      <c r="R371">
        <v>0</v>
      </c>
      <c r="S371">
        <v>0</v>
      </c>
      <c r="V371"/>
      <c r="W371"/>
      <c r="X371"/>
    </row>
    <row r="372" spans="1:24" x14ac:dyDescent="0.3">
      <c r="A372" t="str">
        <f>Table_Capacity_Community_frontsheet[[#This Row],[Name]]&amp;B372</f>
        <v>HartlepoolOther short-term social care</v>
      </c>
      <c r="B372" t="str">
        <f>VLOOKUP(Table_Capacity_Community_frontsheet[[#This Row],[Service Area]],PathwayLookup!E:F,2,0)</f>
        <v>Other short-term social care</v>
      </c>
      <c r="C372" t="s">
        <v>169</v>
      </c>
      <c r="D372" t="s">
        <v>708</v>
      </c>
      <c r="E372">
        <v>0</v>
      </c>
      <c r="F372">
        <v>0</v>
      </c>
      <c r="G372">
        <v>0</v>
      </c>
      <c r="H372">
        <v>0</v>
      </c>
      <c r="I372">
        <v>0</v>
      </c>
      <c r="J372">
        <v>0</v>
      </c>
      <c r="K372">
        <v>0</v>
      </c>
      <c r="L372">
        <v>0</v>
      </c>
      <c r="M372">
        <v>0</v>
      </c>
      <c r="N372">
        <v>0</v>
      </c>
      <c r="O372">
        <v>0</v>
      </c>
      <c r="P372">
        <v>0</v>
      </c>
      <c r="Q372">
        <v>0</v>
      </c>
      <c r="R372">
        <v>0</v>
      </c>
      <c r="S372">
        <v>0</v>
      </c>
      <c r="V372"/>
      <c r="W372"/>
      <c r="X372"/>
    </row>
    <row r="373" spans="1:24" x14ac:dyDescent="0.3">
      <c r="A373" t="str">
        <f>Table_Capacity_Community_frontsheet[[#This Row],[Name]]&amp;B373</f>
        <v>HaveringSocial support (including VCS)</v>
      </c>
      <c r="B373" t="str">
        <f>VLOOKUP(Table_Capacity_Community_frontsheet[[#This Row],[Service Area]],PathwayLookup!E:F,2,0)</f>
        <v>Social support (including VCS)</v>
      </c>
      <c r="C373" t="s">
        <v>171</v>
      </c>
      <c r="D373" t="s">
        <v>704</v>
      </c>
      <c r="V373"/>
      <c r="W373"/>
      <c r="X373"/>
    </row>
    <row r="374" spans="1:24" x14ac:dyDescent="0.3">
      <c r="A374" t="str">
        <f>Table_Capacity_Community_frontsheet[[#This Row],[Name]]&amp;B374</f>
        <v>HaveringUrgent Community Response</v>
      </c>
      <c r="B374" t="str">
        <f>VLOOKUP(Table_Capacity_Community_frontsheet[[#This Row],[Service Area]],PathwayLookup!E:F,2,0)</f>
        <v>Urgent Community Response</v>
      </c>
      <c r="C374" t="s">
        <v>171</v>
      </c>
      <c r="D374" t="s">
        <v>705</v>
      </c>
      <c r="E374">
        <v>209.83773206442979</v>
      </c>
      <c r="F374">
        <v>209.83773206442979</v>
      </c>
      <c r="G374">
        <v>209.83773206442979</v>
      </c>
      <c r="H374">
        <v>211.338359468943</v>
      </c>
      <c r="I374">
        <v>211.338359468943</v>
      </c>
      <c r="J374">
        <v>211.338359468943</v>
      </c>
      <c r="K374">
        <v>203.83522244637695</v>
      </c>
      <c r="L374">
        <v>203.83522244637695</v>
      </c>
      <c r="M374">
        <v>203.83522244637695</v>
      </c>
      <c r="N374">
        <v>208.33710465991655</v>
      </c>
      <c r="O374">
        <v>208.33710465991655</v>
      </c>
      <c r="P374">
        <v>208.33710465991655</v>
      </c>
      <c r="Q374">
        <v>1</v>
      </c>
      <c r="V374"/>
      <c r="W374"/>
      <c r="X374"/>
    </row>
    <row r="375" spans="1:24" x14ac:dyDescent="0.3">
      <c r="A375" t="str">
        <f>Table_Capacity_Community_frontsheet[[#This Row],[Name]]&amp;B375</f>
        <v>HaveringReablement &amp; Rehabilitation at home</v>
      </c>
      <c r="B375" t="str">
        <f>VLOOKUP(Table_Capacity_Community_frontsheet[[#This Row],[Service Area]],PathwayLookup!E:F,2,0)</f>
        <v>Reablement &amp; Rehabilitation at home</v>
      </c>
      <c r="C375" t="s">
        <v>171</v>
      </c>
      <c r="D375" t="s">
        <v>727</v>
      </c>
      <c r="E375">
        <v>10</v>
      </c>
      <c r="F375">
        <v>10</v>
      </c>
      <c r="G375">
        <v>10</v>
      </c>
      <c r="H375">
        <v>10</v>
      </c>
      <c r="I375">
        <v>10</v>
      </c>
      <c r="J375">
        <v>10</v>
      </c>
      <c r="K375">
        <v>10</v>
      </c>
      <c r="L375">
        <v>10</v>
      </c>
      <c r="M375">
        <v>10</v>
      </c>
      <c r="N375">
        <v>10</v>
      </c>
      <c r="O375">
        <v>10</v>
      </c>
      <c r="P375">
        <v>10</v>
      </c>
      <c r="V375"/>
      <c r="W375"/>
      <c r="X375"/>
    </row>
    <row r="376" spans="1:24" x14ac:dyDescent="0.3">
      <c r="A376" t="str">
        <f>Table_Capacity_Community_frontsheet[[#This Row],[Name]]&amp;B376</f>
        <v>HaveringReablement &amp; Rehabilitation at home</v>
      </c>
      <c r="B376" t="str">
        <f>VLOOKUP(Table_Capacity_Community_frontsheet[[#This Row],[Service Area]],PathwayLookup!E:F,2,0)</f>
        <v>Reablement &amp; Rehabilitation at home</v>
      </c>
      <c r="C376" t="s">
        <v>171</v>
      </c>
      <c r="D376" t="s">
        <v>729</v>
      </c>
      <c r="E376">
        <v>13</v>
      </c>
      <c r="F376">
        <v>13</v>
      </c>
      <c r="G376">
        <v>13</v>
      </c>
      <c r="H376">
        <v>13</v>
      </c>
      <c r="I376">
        <v>13</v>
      </c>
      <c r="J376">
        <v>13</v>
      </c>
      <c r="K376">
        <v>13</v>
      </c>
      <c r="L376">
        <v>13</v>
      </c>
      <c r="M376">
        <v>13</v>
      </c>
      <c r="N376">
        <v>13</v>
      </c>
      <c r="O376">
        <v>13</v>
      </c>
      <c r="P376">
        <v>13</v>
      </c>
      <c r="Q376">
        <v>1</v>
      </c>
      <c r="V376"/>
      <c r="W376"/>
      <c r="X376"/>
    </row>
    <row r="377" spans="1:24" x14ac:dyDescent="0.3">
      <c r="A377" t="str">
        <f>Table_Capacity_Community_frontsheet[[#This Row],[Name]]&amp;B377</f>
        <v>HaveringReablement &amp; Rehabilitation in a bedded setting</v>
      </c>
      <c r="B377" t="str">
        <f>VLOOKUP(Table_Capacity_Community_frontsheet[[#This Row],[Service Area]],PathwayLookup!E:F,2,0)</f>
        <v>Reablement &amp; Rehabilitation in a bedded setting</v>
      </c>
      <c r="C377" t="s">
        <v>171</v>
      </c>
      <c r="D377" t="s">
        <v>723</v>
      </c>
      <c r="E377">
        <v>0</v>
      </c>
      <c r="F377">
        <v>0</v>
      </c>
      <c r="G377">
        <v>0</v>
      </c>
      <c r="H377">
        <v>0</v>
      </c>
      <c r="I377">
        <v>0</v>
      </c>
      <c r="J377">
        <v>0</v>
      </c>
      <c r="K377">
        <v>0</v>
      </c>
      <c r="L377">
        <v>0</v>
      </c>
      <c r="M377">
        <v>0</v>
      </c>
      <c r="N377">
        <v>0</v>
      </c>
      <c r="O377">
        <v>0</v>
      </c>
      <c r="P377">
        <v>0</v>
      </c>
      <c r="V377"/>
      <c r="W377"/>
      <c r="X377"/>
    </row>
    <row r="378" spans="1:24" x14ac:dyDescent="0.3">
      <c r="A378" t="str">
        <f>Table_Capacity_Community_frontsheet[[#This Row],[Name]]&amp;B378</f>
        <v>HaveringReablement &amp; Rehabilitation in a bedded setting</v>
      </c>
      <c r="B378" t="str">
        <f>VLOOKUP(Table_Capacity_Community_frontsheet[[#This Row],[Service Area]],PathwayLookup!E:F,2,0)</f>
        <v>Reablement &amp; Rehabilitation in a bedded setting</v>
      </c>
      <c r="C378" t="s">
        <v>171</v>
      </c>
      <c r="D378" t="s">
        <v>725</v>
      </c>
      <c r="E378">
        <v>2</v>
      </c>
      <c r="F378">
        <v>2</v>
      </c>
      <c r="G378">
        <v>2</v>
      </c>
      <c r="H378">
        <v>2</v>
      </c>
      <c r="I378">
        <v>2</v>
      </c>
      <c r="J378">
        <v>2</v>
      </c>
      <c r="K378">
        <v>2</v>
      </c>
      <c r="L378">
        <v>2</v>
      </c>
      <c r="M378">
        <v>2</v>
      </c>
      <c r="N378">
        <v>2</v>
      </c>
      <c r="O378">
        <v>2</v>
      </c>
      <c r="P378">
        <v>2</v>
      </c>
      <c r="Q378">
        <v>1</v>
      </c>
      <c r="V378"/>
      <c r="W378"/>
      <c r="X378"/>
    </row>
    <row r="379" spans="1:24" x14ac:dyDescent="0.3">
      <c r="A379" t="str">
        <f>Table_Capacity_Community_frontsheet[[#This Row],[Name]]&amp;B379</f>
        <v>HaveringOther short-term social care</v>
      </c>
      <c r="B379" t="str">
        <f>VLOOKUP(Table_Capacity_Community_frontsheet[[#This Row],[Service Area]],PathwayLookup!E:F,2,0)</f>
        <v>Other short-term social care</v>
      </c>
      <c r="C379" t="s">
        <v>171</v>
      </c>
      <c r="D379" t="s">
        <v>708</v>
      </c>
      <c r="V379"/>
      <c r="W379"/>
      <c r="X379"/>
    </row>
    <row r="380" spans="1:24" x14ac:dyDescent="0.3">
      <c r="A380" t="str">
        <f>Table_Capacity_Community_frontsheet[[#This Row],[Name]]&amp;B380</f>
        <v>Herefordshire, County ofSocial support (including VCS)</v>
      </c>
      <c r="B380" t="str">
        <f>VLOOKUP(Table_Capacity_Community_frontsheet[[#This Row],[Service Area]],PathwayLookup!E:F,2,0)</f>
        <v>Social support (including VCS)</v>
      </c>
      <c r="C380" t="s">
        <v>173</v>
      </c>
      <c r="D380" t="s">
        <v>704</v>
      </c>
      <c r="V380"/>
      <c r="W380"/>
      <c r="X380"/>
    </row>
    <row r="381" spans="1:24" x14ac:dyDescent="0.3">
      <c r="A381" t="str">
        <f>Table_Capacity_Community_frontsheet[[#This Row],[Name]]&amp;B381</f>
        <v>Herefordshire, County ofUrgent Community Response</v>
      </c>
      <c r="B381" t="str">
        <f>VLOOKUP(Table_Capacity_Community_frontsheet[[#This Row],[Service Area]],PathwayLookup!E:F,2,0)</f>
        <v>Urgent Community Response</v>
      </c>
      <c r="C381" t="s">
        <v>173</v>
      </c>
      <c r="D381" t="s">
        <v>705</v>
      </c>
      <c r="V381"/>
      <c r="W381"/>
      <c r="X381"/>
    </row>
    <row r="382" spans="1:24" x14ac:dyDescent="0.3">
      <c r="A382" t="str">
        <f>Table_Capacity_Community_frontsheet[[#This Row],[Name]]&amp;B382</f>
        <v>Herefordshire, County ofReablement &amp; Rehabilitation at home</v>
      </c>
      <c r="B382" t="str">
        <f>VLOOKUP(Table_Capacity_Community_frontsheet[[#This Row],[Service Area]],PathwayLookup!E:F,2,0)</f>
        <v>Reablement &amp; Rehabilitation at home</v>
      </c>
      <c r="C382" t="s">
        <v>173</v>
      </c>
      <c r="D382" t="s">
        <v>727</v>
      </c>
      <c r="E382">
        <v>86</v>
      </c>
      <c r="F382">
        <v>67</v>
      </c>
      <c r="G382">
        <v>76</v>
      </c>
      <c r="H382">
        <v>69</v>
      </c>
      <c r="I382">
        <v>63</v>
      </c>
      <c r="J382">
        <v>78</v>
      </c>
      <c r="K382">
        <v>69</v>
      </c>
      <c r="L382">
        <v>86</v>
      </c>
      <c r="M382">
        <v>82</v>
      </c>
      <c r="N382">
        <v>88</v>
      </c>
      <c r="O382">
        <v>89</v>
      </c>
      <c r="P382">
        <v>79</v>
      </c>
      <c r="R382">
        <v>1</v>
      </c>
      <c r="V382"/>
      <c r="W382"/>
      <c r="X382"/>
    </row>
    <row r="383" spans="1:24" x14ac:dyDescent="0.3">
      <c r="A383" t="str">
        <f>Table_Capacity_Community_frontsheet[[#This Row],[Name]]&amp;B383</f>
        <v>Herefordshire, County ofReablement &amp; Rehabilitation at home</v>
      </c>
      <c r="B383" t="str">
        <f>VLOOKUP(Table_Capacity_Community_frontsheet[[#This Row],[Service Area]],PathwayLookup!E:F,2,0)</f>
        <v>Reablement &amp; Rehabilitation at home</v>
      </c>
      <c r="C383" t="s">
        <v>173</v>
      </c>
      <c r="D383" t="s">
        <v>729</v>
      </c>
      <c r="V383"/>
      <c r="W383"/>
      <c r="X383"/>
    </row>
    <row r="384" spans="1:24" x14ac:dyDescent="0.3">
      <c r="A384" t="str">
        <f>Table_Capacity_Community_frontsheet[[#This Row],[Name]]&amp;B384</f>
        <v>Herefordshire, County ofOther short-term social care</v>
      </c>
      <c r="B384" t="str">
        <f>VLOOKUP(Table_Capacity_Community_frontsheet[[#This Row],[Service Area]],PathwayLookup!E:F,2,0)</f>
        <v>Other short-term social care</v>
      </c>
      <c r="C384" t="s">
        <v>173</v>
      </c>
      <c r="D384" t="s">
        <v>708</v>
      </c>
      <c r="E384">
        <v>22</v>
      </c>
      <c r="F384">
        <v>28</v>
      </c>
      <c r="G384">
        <v>29</v>
      </c>
      <c r="H384">
        <v>33</v>
      </c>
      <c r="I384">
        <v>31</v>
      </c>
      <c r="J384">
        <v>30</v>
      </c>
      <c r="K384">
        <v>24</v>
      </c>
      <c r="L384">
        <v>26</v>
      </c>
      <c r="M384">
        <v>38</v>
      </c>
      <c r="N384">
        <v>36</v>
      </c>
      <c r="O384">
        <v>22</v>
      </c>
      <c r="P384">
        <v>38</v>
      </c>
      <c r="R384">
        <v>1</v>
      </c>
      <c r="V384"/>
      <c r="W384"/>
      <c r="X384"/>
    </row>
    <row r="385" spans="1:24" x14ac:dyDescent="0.3">
      <c r="A385" t="str">
        <f>Table_Capacity_Community_frontsheet[[#This Row],[Name]]&amp;B385</f>
        <v>Herefordshire, County ofReablement &amp; Rehabilitation in a bedded setting</v>
      </c>
      <c r="B385" t="str">
        <f>VLOOKUP(Table_Capacity_Community_frontsheet[[#This Row],[Service Area]],PathwayLookup!E:F,2,0)</f>
        <v>Reablement &amp; Rehabilitation in a bedded setting</v>
      </c>
      <c r="C385" t="s">
        <v>173</v>
      </c>
      <c r="D385" t="s">
        <v>723</v>
      </c>
      <c r="V385"/>
      <c r="W385"/>
      <c r="X385"/>
    </row>
    <row r="386" spans="1:24" x14ac:dyDescent="0.3">
      <c r="A386" t="str">
        <f>Table_Capacity_Community_frontsheet[[#This Row],[Name]]&amp;B386</f>
        <v>Herefordshire, County ofReablement &amp; Rehabilitation in a bedded setting</v>
      </c>
      <c r="B386" t="str">
        <f>VLOOKUP(Table_Capacity_Community_frontsheet[[#This Row],[Service Area]],PathwayLookup!E:F,2,0)</f>
        <v>Reablement &amp; Rehabilitation in a bedded setting</v>
      </c>
      <c r="C386" t="s">
        <v>173</v>
      </c>
      <c r="D386" t="s">
        <v>725</v>
      </c>
      <c r="V386"/>
      <c r="W386"/>
      <c r="X386"/>
    </row>
    <row r="387" spans="1:24" x14ac:dyDescent="0.3">
      <c r="A387" t="str">
        <f>Table_Capacity_Community_frontsheet[[#This Row],[Name]]&amp;B387</f>
        <v>HertfordshireSocial support (including VCS)</v>
      </c>
      <c r="B387" t="str">
        <f>VLOOKUP(Table_Capacity_Community_frontsheet[[#This Row],[Service Area]],PathwayLookup!E:F,2,0)</f>
        <v>Social support (including VCS)</v>
      </c>
      <c r="C387" t="s">
        <v>175</v>
      </c>
      <c r="D387" t="s">
        <v>704</v>
      </c>
      <c r="E387">
        <v>800</v>
      </c>
      <c r="F387">
        <v>800</v>
      </c>
      <c r="G387">
        <v>800</v>
      </c>
      <c r="H387">
        <v>800</v>
      </c>
      <c r="I387">
        <v>800</v>
      </c>
      <c r="J387">
        <v>800</v>
      </c>
      <c r="K387">
        <v>800</v>
      </c>
      <c r="L387">
        <v>800</v>
      </c>
      <c r="M387">
        <v>800</v>
      </c>
      <c r="N387">
        <v>800</v>
      </c>
      <c r="O387">
        <v>800</v>
      </c>
      <c r="P387">
        <v>800</v>
      </c>
      <c r="R387">
        <v>1</v>
      </c>
      <c r="V387"/>
      <c r="W387"/>
      <c r="X387"/>
    </row>
    <row r="388" spans="1:24" x14ac:dyDescent="0.3">
      <c r="A388" t="str">
        <f>Table_Capacity_Community_frontsheet[[#This Row],[Name]]&amp;B388</f>
        <v>HertfordshireUrgent Community Response</v>
      </c>
      <c r="B388" t="str">
        <f>VLOOKUP(Table_Capacity_Community_frontsheet[[#This Row],[Service Area]],PathwayLookup!E:F,2,0)</f>
        <v>Urgent Community Response</v>
      </c>
      <c r="C388" t="s">
        <v>175</v>
      </c>
      <c r="D388" t="s">
        <v>705</v>
      </c>
      <c r="E388">
        <v>598</v>
      </c>
      <c r="F388">
        <v>635</v>
      </c>
      <c r="G388">
        <v>623</v>
      </c>
      <c r="H388">
        <v>610</v>
      </c>
      <c r="I388">
        <v>635</v>
      </c>
      <c r="J388">
        <v>610</v>
      </c>
      <c r="K388">
        <v>623</v>
      </c>
      <c r="L388">
        <v>633</v>
      </c>
      <c r="M388">
        <v>610</v>
      </c>
      <c r="N388">
        <v>635</v>
      </c>
      <c r="O388">
        <v>610</v>
      </c>
      <c r="P388">
        <v>610</v>
      </c>
      <c r="Q388">
        <v>0.56000000000000005</v>
      </c>
      <c r="R388">
        <v>0.44</v>
      </c>
      <c r="S388">
        <v>1</v>
      </c>
      <c r="V388"/>
      <c r="W388"/>
      <c r="X388"/>
    </row>
    <row r="389" spans="1:24" x14ac:dyDescent="0.3">
      <c r="A389" t="str">
        <f>Table_Capacity_Community_frontsheet[[#This Row],[Name]]&amp;B389</f>
        <v>HertfordshireReablement &amp; Rehabilitation at home</v>
      </c>
      <c r="B389" t="str">
        <f>VLOOKUP(Table_Capacity_Community_frontsheet[[#This Row],[Service Area]],PathwayLookup!E:F,2,0)</f>
        <v>Reablement &amp; Rehabilitation at home</v>
      </c>
      <c r="C389" t="s">
        <v>175</v>
      </c>
      <c r="D389" t="s">
        <v>727</v>
      </c>
      <c r="E389">
        <v>36</v>
      </c>
      <c r="F389">
        <v>36</v>
      </c>
      <c r="G389">
        <v>35</v>
      </c>
      <c r="H389">
        <v>36</v>
      </c>
      <c r="I389">
        <v>36</v>
      </c>
      <c r="J389">
        <v>35</v>
      </c>
      <c r="K389">
        <v>36</v>
      </c>
      <c r="L389">
        <v>46</v>
      </c>
      <c r="M389">
        <v>47</v>
      </c>
      <c r="N389">
        <v>47</v>
      </c>
      <c r="O389">
        <v>43</v>
      </c>
      <c r="P389">
        <v>47</v>
      </c>
      <c r="R389">
        <v>1</v>
      </c>
      <c r="V389"/>
      <c r="W389"/>
      <c r="X389"/>
    </row>
    <row r="390" spans="1:24" x14ac:dyDescent="0.3">
      <c r="A390" t="str">
        <f>Table_Capacity_Community_frontsheet[[#This Row],[Name]]&amp;B390</f>
        <v>HertfordshireReablement &amp; Rehabilitation at home</v>
      </c>
      <c r="B390" t="str">
        <f>VLOOKUP(Table_Capacity_Community_frontsheet[[#This Row],[Service Area]],PathwayLookup!E:F,2,0)</f>
        <v>Reablement &amp; Rehabilitation at home</v>
      </c>
      <c r="C390" t="s">
        <v>175</v>
      </c>
      <c r="D390" t="s">
        <v>729</v>
      </c>
      <c r="E390">
        <v>720</v>
      </c>
      <c r="F390">
        <v>720</v>
      </c>
      <c r="G390">
        <v>720</v>
      </c>
      <c r="H390">
        <v>720</v>
      </c>
      <c r="I390">
        <v>720</v>
      </c>
      <c r="J390">
        <v>720</v>
      </c>
      <c r="K390">
        <v>720</v>
      </c>
      <c r="L390">
        <v>720</v>
      </c>
      <c r="M390">
        <v>720</v>
      </c>
      <c r="N390">
        <v>720</v>
      </c>
      <c r="O390">
        <v>720</v>
      </c>
      <c r="P390">
        <v>720</v>
      </c>
      <c r="Q390">
        <v>1</v>
      </c>
      <c r="V390"/>
      <c r="W390"/>
      <c r="X390"/>
    </row>
    <row r="391" spans="1:24" x14ac:dyDescent="0.3">
      <c r="A391" t="str">
        <f>Table_Capacity_Community_frontsheet[[#This Row],[Name]]&amp;B391</f>
        <v>HertfordshireReablement &amp; Rehabilitation in a bedded setting</v>
      </c>
      <c r="B391" t="str">
        <f>VLOOKUP(Table_Capacity_Community_frontsheet[[#This Row],[Service Area]],PathwayLookup!E:F,2,0)</f>
        <v>Reablement &amp; Rehabilitation in a bedded setting</v>
      </c>
      <c r="C391" t="s">
        <v>175</v>
      </c>
      <c r="D391" t="s">
        <v>723</v>
      </c>
      <c r="V391"/>
      <c r="W391"/>
      <c r="X391"/>
    </row>
    <row r="392" spans="1:24" x14ac:dyDescent="0.3">
      <c r="A392" t="str">
        <f>Table_Capacity_Community_frontsheet[[#This Row],[Name]]&amp;B392</f>
        <v>HertfordshireReablement &amp; Rehabilitation in a bedded setting</v>
      </c>
      <c r="B392" t="str">
        <f>VLOOKUP(Table_Capacity_Community_frontsheet[[#This Row],[Service Area]],PathwayLookup!E:F,2,0)</f>
        <v>Reablement &amp; Rehabilitation in a bedded setting</v>
      </c>
      <c r="C392" t="s">
        <v>175</v>
      </c>
      <c r="D392" t="s">
        <v>725</v>
      </c>
      <c r="V392"/>
      <c r="W392"/>
      <c r="X392"/>
    </row>
    <row r="393" spans="1:24" x14ac:dyDescent="0.3">
      <c r="A393" t="str">
        <f>Table_Capacity_Community_frontsheet[[#This Row],[Name]]&amp;B393</f>
        <v>HertfordshireOther short-term social care</v>
      </c>
      <c r="B393" t="str">
        <f>VLOOKUP(Table_Capacity_Community_frontsheet[[#This Row],[Service Area]],PathwayLookup!E:F,2,0)</f>
        <v>Other short-term social care</v>
      </c>
      <c r="C393" t="s">
        <v>175</v>
      </c>
      <c r="D393" t="s">
        <v>708</v>
      </c>
      <c r="V393"/>
      <c r="W393"/>
      <c r="X393"/>
    </row>
    <row r="394" spans="1:24" x14ac:dyDescent="0.3">
      <c r="A394" t="str">
        <f>Table_Capacity_Community_frontsheet[[#This Row],[Name]]&amp;B394</f>
        <v>HillingdonSocial support (including VCS)</v>
      </c>
      <c r="B394" t="str">
        <f>VLOOKUP(Table_Capacity_Community_frontsheet[[#This Row],[Service Area]],PathwayLookup!E:F,2,0)</f>
        <v>Social support (including VCS)</v>
      </c>
      <c r="C394" t="s">
        <v>177</v>
      </c>
      <c r="D394" t="s">
        <v>704</v>
      </c>
      <c r="E394">
        <v>22</v>
      </c>
      <c r="F394">
        <v>22</v>
      </c>
      <c r="G394">
        <v>22</v>
      </c>
      <c r="H394">
        <v>8</v>
      </c>
      <c r="I394">
        <v>8</v>
      </c>
      <c r="J394">
        <v>8</v>
      </c>
      <c r="K394">
        <v>18</v>
      </c>
      <c r="L394">
        <v>18</v>
      </c>
      <c r="M394">
        <v>18</v>
      </c>
      <c r="N394">
        <v>24</v>
      </c>
      <c r="O394">
        <v>24</v>
      </c>
      <c r="P394">
        <v>24</v>
      </c>
      <c r="Q394">
        <v>1</v>
      </c>
      <c r="R394">
        <v>0</v>
      </c>
      <c r="S394">
        <v>0</v>
      </c>
      <c r="V394"/>
      <c r="W394"/>
      <c r="X394"/>
    </row>
    <row r="395" spans="1:24" x14ac:dyDescent="0.3">
      <c r="A395" t="str">
        <f>Table_Capacity_Community_frontsheet[[#This Row],[Name]]&amp;B395</f>
        <v>HillingdonUrgent Community Response</v>
      </c>
      <c r="B395" t="str">
        <f>VLOOKUP(Table_Capacity_Community_frontsheet[[#This Row],[Service Area]],PathwayLookup!E:F,2,0)</f>
        <v>Urgent Community Response</v>
      </c>
      <c r="C395" t="s">
        <v>177</v>
      </c>
      <c r="D395" t="s">
        <v>705</v>
      </c>
      <c r="E395">
        <v>196</v>
      </c>
      <c r="F395">
        <v>222</v>
      </c>
      <c r="G395">
        <v>217</v>
      </c>
      <c r="H395">
        <v>225</v>
      </c>
      <c r="I395">
        <v>223</v>
      </c>
      <c r="J395">
        <v>217</v>
      </c>
      <c r="K395">
        <v>221</v>
      </c>
      <c r="L395">
        <v>221</v>
      </c>
      <c r="M395">
        <v>221</v>
      </c>
      <c r="N395">
        <v>221</v>
      </c>
      <c r="O395">
        <v>200</v>
      </c>
      <c r="P395">
        <v>222</v>
      </c>
      <c r="Q395">
        <v>1</v>
      </c>
      <c r="R395">
        <v>0</v>
      </c>
      <c r="S395">
        <v>0</v>
      </c>
      <c r="V395"/>
      <c r="W395"/>
      <c r="X395"/>
    </row>
    <row r="396" spans="1:24" x14ac:dyDescent="0.3">
      <c r="A396" t="str">
        <f>Table_Capacity_Community_frontsheet[[#This Row],[Name]]&amp;B396</f>
        <v>HillingdonReablement &amp; Rehabilitation at home</v>
      </c>
      <c r="B396" t="str">
        <f>VLOOKUP(Table_Capacity_Community_frontsheet[[#This Row],[Service Area]],PathwayLookup!E:F,2,0)</f>
        <v>Reablement &amp; Rehabilitation at home</v>
      </c>
      <c r="C396" t="s">
        <v>177</v>
      </c>
      <c r="D396" t="s">
        <v>727</v>
      </c>
      <c r="E396">
        <v>20</v>
      </c>
      <c r="F396">
        <v>21</v>
      </c>
      <c r="G396">
        <v>20</v>
      </c>
      <c r="H396">
        <v>21</v>
      </c>
      <c r="I396">
        <v>21</v>
      </c>
      <c r="J396">
        <v>29</v>
      </c>
      <c r="K396">
        <v>21</v>
      </c>
      <c r="L396">
        <v>20</v>
      </c>
      <c r="M396">
        <v>21</v>
      </c>
      <c r="N396">
        <v>21</v>
      </c>
      <c r="O396">
        <v>19</v>
      </c>
      <c r="P396">
        <v>21</v>
      </c>
      <c r="Q396">
        <v>0</v>
      </c>
      <c r="R396">
        <v>0</v>
      </c>
      <c r="S396">
        <v>1</v>
      </c>
      <c r="V396"/>
      <c r="W396"/>
      <c r="X396"/>
    </row>
    <row r="397" spans="1:24" x14ac:dyDescent="0.3">
      <c r="A397" t="str">
        <f>Table_Capacity_Community_frontsheet[[#This Row],[Name]]&amp;B397</f>
        <v>HillingdonReablement &amp; Rehabilitation at home</v>
      </c>
      <c r="B397" t="str">
        <f>VLOOKUP(Table_Capacity_Community_frontsheet[[#This Row],[Service Area]],PathwayLookup!E:F,2,0)</f>
        <v>Reablement &amp; Rehabilitation at home</v>
      </c>
      <c r="C397" t="s">
        <v>177</v>
      </c>
      <c r="D397" t="s">
        <v>729</v>
      </c>
      <c r="E397">
        <v>1188</v>
      </c>
      <c r="F397">
        <v>1228</v>
      </c>
      <c r="G397">
        <v>1188</v>
      </c>
      <c r="H397">
        <v>1228</v>
      </c>
      <c r="I397">
        <v>1228</v>
      </c>
      <c r="J397">
        <v>1188</v>
      </c>
      <c r="K397">
        <v>1228</v>
      </c>
      <c r="L397">
        <v>1188</v>
      </c>
      <c r="M397">
        <v>1228</v>
      </c>
      <c r="N397">
        <v>1228</v>
      </c>
      <c r="O397">
        <v>1109</v>
      </c>
      <c r="P397">
        <v>1228</v>
      </c>
      <c r="Q397">
        <v>1</v>
      </c>
      <c r="R397">
        <v>0</v>
      </c>
      <c r="S397">
        <v>0</v>
      </c>
      <c r="V397"/>
      <c r="W397"/>
      <c r="X397"/>
    </row>
    <row r="398" spans="1:24" x14ac:dyDescent="0.3">
      <c r="A398" t="str">
        <f>Table_Capacity_Community_frontsheet[[#This Row],[Name]]&amp;B398</f>
        <v>HillingdonReablement &amp; Rehabilitation in a bedded setting</v>
      </c>
      <c r="B398" t="str">
        <f>VLOOKUP(Table_Capacity_Community_frontsheet[[#This Row],[Service Area]],PathwayLookup!E:F,2,0)</f>
        <v>Reablement &amp; Rehabilitation in a bedded setting</v>
      </c>
      <c r="C398" t="s">
        <v>177</v>
      </c>
      <c r="D398" t="s">
        <v>723</v>
      </c>
      <c r="E398">
        <v>0</v>
      </c>
      <c r="F398">
        <v>0</v>
      </c>
      <c r="G398">
        <v>0</v>
      </c>
      <c r="H398">
        <v>0</v>
      </c>
      <c r="I398">
        <v>0</v>
      </c>
      <c r="J398">
        <v>0</v>
      </c>
      <c r="K398">
        <v>0</v>
      </c>
      <c r="L398">
        <v>0</v>
      </c>
      <c r="M398">
        <v>0</v>
      </c>
      <c r="N398">
        <v>0</v>
      </c>
      <c r="O398">
        <v>0</v>
      </c>
      <c r="P398">
        <v>0</v>
      </c>
      <c r="Q398">
        <v>0</v>
      </c>
      <c r="R398">
        <v>0</v>
      </c>
      <c r="S398">
        <v>1</v>
      </c>
      <c r="V398"/>
      <c r="W398"/>
      <c r="X398"/>
    </row>
    <row r="399" spans="1:24" x14ac:dyDescent="0.3">
      <c r="A399" t="str">
        <f>Table_Capacity_Community_frontsheet[[#This Row],[Name]]&amp;B399</f>
        <v>HillingdonReablement &amp; Rehabilitation in a bedded setting</v>
      </c>
      <c r="B399" t="str">
        <f>VLOOKUP(Table_Capacity_Community_frontsheet[[#This Row],[Service Area]],PathwayLookup!E:F,2,0)</f>
        <v>Reablement &amp; Rehabilitation in a bedded setting</v>
      </c>
      <c r="C399" t="s">
        <v>177</v>
      </c>
      <c r="D399" t="s">
        <v>725</v>
      </c>
      <c r="E399">
        <v>0</v>
      </c>
      <c r="F399">
        <v>0</v>
      </c>
      <c r="G399">
        <v>0</v>
      </c>
      <c r="H399">
        <v>0</v>
      </c>
      <c r="I399">
        <v>0</v>
      </c>
      <c r="J399">
        <v>0</v>
      </c>
      <c r="K399">
        <v>0</v>
      </c>
      <c r="L399">
        <v>0</v>
      </c>
      <c r="M399">
        <v>0</v>
      </c>
      <c r="N399">
        <v>0</v>
      </c>
      <c r="O399">
        <v>0</v>
      </c>
      <c r="P399">
        <v>0</v>
      </c>
      <c r="Q399">
        <v>0</v>
      </c>
      <c r="R399">
        <v>0</v>
      </c>
      <c r="S399">
        <v>0</v>
      </c>
      <c r="V399"/>
      <c r="W399"/>
      <c r="X399"/>
    </row>
    <row r="400" spans="1:24" x14ac:dyDescent="0.3">
      <c r="A400" t="str">
        <f>Table_Capacity_Community_frontsheet[[#This Row],[Name]]&amp;B400</f>
        <v>HillingdonOther short-term social care</v>
      </c>
      <c r="B400" t="str">
        <f>VLOOKUP(Table_Capacity_Community_frontsheet[[#This Row],[Service Area]],PathwayLookup!E:F,2,0)</f>
        <v>Other short-term social care</v>
      </c>
      <c r="C400" t="s">
        <v>177</v>
      </c>
      <c r="D400" t="s">
        <v>708</v>
      </c>
      <c r="E400">
        <v>0</v>
      </c>
      <c r="F400">
        <v>0</v>
      </c>
      <c r="G400">
        <v>0</v>
      </c>
      <c r="H400">
        <v>0</v>
      </c>
      <c r="I400">
        <v>0</v>
      </c>
      <c r="J400">
        <v>0</v>
      </c>
      <c r="K400">
        <v>0</v>
      </c>
      <c r="L400">
        <v>0</v>
      </c>
      <c r="M400">
        <v>0</v>
      </c>
      <c r="N400">
        <v>0</v>
      </c>
      <c r="O400">
        <v>0</v>
      </c>
      <c r="P400">
        <v>0</v>
      </c>
      <c r="Q400">
        <v>0</v>
      </c>
      <c r="R400">
        <v>0</v>
      </c>
      <c r="S400">
        <v>0</v>
      </c>
      <c r="V400"/>
      <c r="W400"/>
      <c r="X400"/>
    </row>
    <row r="401" spans="1:24" x14ac:dyDescent="0.3">
      <c r="A401" t="str">
        <f>Table_Capacity_Community_frontsheet[[#This Row],[Name]]&amp;B401</f>
        <v>HounslowSocial support (including VCS)</v>
      </c>
      <c r="B401" t="str">
        <f>VLOOKUP(Table_Capacity_Community_frontsheet[[#This Row],[Service Area]],PathwayLookup!E:F,2,0)</f>
        <v>Social support (including VCS)</v>
      </c>
      <c r="C401" t="s">
        <v>179</v>
      </c>
      <c r="D401" t="s">
        <v>704</v>
      </c>
      <c r="E401">
        <v>0</v>
      </c>
      <c r="F401">
        <v>0</v>
      </c>
      <c r="G401">
        <v>0</v>
      </c>
      <c r="H401">
        <v>0</v>
      </c>
      <c r="I401">
        <v>0</v>
      </c>
      <c r="J401">
        <v>0</v>
      </c>
      <c r="K401">
        <v>0</v>
      </c>
      <c r="L401">
        <v>0</v>
      </c>
      <c r="M401">
        <v>0</v>
      </c>
      <c r="N401">
        <v>0</v>
      </c>
      <c r="O401">
        <v>0</v>
      </c>
      <c r="P401">
        <v>0</v>
      </c>
      <c r="S401">
        <v>1</v>
      </c>
      <c r="V401"/>
      <c r="W401"/>
      <c r="X401"/>
    </row>
    <row r="402" spans="1:24" x14ac:dyDescent="0.3">
      <c r="A402" t="str">
        <f>Table_Capacity_Community_frontsheet[[#This Row],[Name]]&amp;B402</f>
        <v>HounslowUrgent Community Response</v>
      </c>
      <c r="B402" t="str">
        <f>VLOOKUP(Table_Capacity_Community_frontsheet[[#This Row],[Service Area]],PathwayLookup!E:F,2,0)</f>
        <v>Urgent Community Response</v>
      </c>
      <c r="C402" t="s">
        <v>179</v>
      </c>
      <c r="D402" t="s">
        <v>705</v>
      </c>
      <c r="E402">
        <v>147</v>
      </c>
      <c r="F402">
        <v>175</v>
      </c>
      <c r="G402">
        <v>176</v>
      </c>
      <c r="H402">
        <v>175</v>
      </c>
      <c r="I402">
        <v>168</v>
      </c>
      <c r="J402">
        <v>158</v>
      </c>
      <c r="K402">
        <v>170</v>
      </c>
      <c r="L402">
        <v>163</v>
      </c>
      <c r="M402">
        <v>176</v>
      </c>
      <c r="N402">
        <v>197</v>
      </c>
      <c r="O402">
        <v>164</v>
      </c>
      <c r="P402">
        <v>166</v>
      </c>
      <c r="S402">
        <v>1</v>
      </c>
      <c r="V402"/>
      <c r="W402"/>
      <c r="X402"/>
    </row>
    <row r="403" spans="1:24" x14ac:dyDescent="0.3">
      <c r="A403" t="str">
        <f>Table_Capacity_Community_frontsheet[[#This Row],[Name]]&amp;B403</f>
        <v>HounslowReablement &amp; Rehabilitation at home</v>
      </c>
      <c r="B403" t="str">
        <f>VLOOKUP(Table_Capacity_Community_frontsheet[[#This Row],[Service Area]],PathwayLookup!E:F,2,0)</f>
        <v>Reablement &amp; Rehabilitation at home</v>
      </c>
      <c r="C403" t="s">
        <v>179</v>
      </c>
      <c r="D403" t="s">
        <v>727</v>
      </c>
      <c r="E403">
        <v>17.600000000000001</v>
      </c>
      <c r="F403">
        <v>15.8</v>
      </c>
      <c r="G403">
        <v>11.2</v>
      </c>
      <c r="H403">
        <v>16.2</v>
      </c>
      <c r="I403">
        <v>13</v>
      </c>
      <c r="J403">
        <v>15.6</v>
      </c>
      <c r="K403">
        <v>19.8</v>
      </c>
      <c r="L403">
        <v>16.2</v>
      </c>
      <c r="M403">
        <v>22.6</v>
      </c>
      <c r="N403">
        <v>21.200000000000003</v>
      </c>
      <c r="O403">
        <v>12.8</v>
      </c>
      <c r="P403">
        <v>12.6</v>
      </c>
      <c r="S403">
        <v>1</v>
      </c>
      <c r="V403"/>
      <c r="W403"/>
      <c r="X403"/>
    </row>
    <row r="404" spans="1:24" x14ac:dyDescent="0.3">
      <c r="A404" t="str">
        <f>Table_Capacity_Community_frontsheet[[#This Row],[Name]]&amp;B404</f>
        <v>HounslowReablement &amp; Rehabilitation at home</v>
      </c>
      <c r="B404" t="str">
        <f>VLOOKUP(Table_Capacity_Community_frontsheet[[#This Row],[Service Area]],PathwayLookup!E:F,2,0)</f>
        <v>Reablement &amp; Rehabilitation at home</v>
      </c>
      <c r="C404" t="s">
        <v>179</v>
      </c>
      <c r="D404" t="s">
        <v>729</v>
      </c>
      <c r="E404">
        <v>150.4</v>
      </c>
      <c r="F404">
        <v>150.4</v>
      </c>
      <c r="G404">
        <v>150.4</v>
      </c>
      <c r="H404">
        <v>150.4</v>
      </c>
      <c r="I404">
        <v>150.4</v>
      </c>
      <c r="J404">
        <v>150.4</v>
      </c>
      <c r="K404">
        <v>150.4</v>
      </c>
      <c r="L404">
        <v>150.4</v>
      </c>
      <c r="M404">
        <v>150.4</v>
      </c>
      <c r="N404">
        <v>150.4</v>
      </c>
      <c r="O404">
        <v>150.4</v>
      </c>
      <c r="P404">
        <v>150.4</v>
      </c>
      <c r="S404">
        <v>1</v>
      </c>
      <c r="V404"/>
      <c r="W404"/>
      <c r="X404"/>
    </row>
    <row r="405" spans="1:24" x14ac:dyDescent="0.3">
      <c r="A405" t="str">
        <f>Table_Capacity_Community_frontsheet[[#This Row],[Name]]&amp;B405</f>
        <v>HounslowReablement &amp; Rehabilitation in a bedded setting</v>
      </c>
      <c r="B405" t="str">
        <f>VLOOKUP(Table_Capacity_Community_frontsheet[[#This Row],[Service Area]],PathwayLookup!E:F,2,0)</f>
        <v>Reablement &amp; Rehabilitation in a bedded setting</v>
      </c>
      <c r="C405" t="s">
        <v>179</v>
      </c>
      <c r="D405" t="s">
        <v>723</v>
      </c>
      <c r="E405">
        <v>0</v>
      </c>
      <c r="F405">
        <v>0</v>
      </c>
      <c r="G405">
        <v>0</v>
      </c>
      <c r="H405">
        <v>0</v>
      </c>
      <c r="I405">
        <v>0</v>
      </c>
      <c r="J405">
        <v>0</v>
      </c>
      <c r="K405">
        <v>0</v>
      </c>
      <c r="L405">
        <v>0</v>
      </c>
      <c r="M405">
        <v>0</v>
      </c>
      <c r="N405">
        <v>0</v>
      </c>
      <c r="O405">
        <v>0</v>
      </c>
      <c r="P405">
        <v>0</v>
      </c>
      <c r="S405">
        <v>0</v>
      </c>
      <c r="V405"/>
      <c r="W405"/>
      <c r="X405"/>
    </row>
    <row r="406" spans="1:24" x14ac:dyDescent="0.3">
      <c r="A406" t="str">
        <f>Table_Capacity_Community_frontsheet[[#This Row],[Name]]&amp;B406</f>
        <v>HounslowReablement &amp; Rehabilitation in a bedded setting</v>
      </c>
      <c r="B406" t="str">
        <f>VLOOKUP(Table_Capacity_Community_frontsheet[[#This Row],[Service Area]],PathwayLookup!E:F,2,0)</f>
        <v>Reablement &amp; Rehabilitation in a bedded setting</v>
      </c>
      <c r="C406" t="s">
        <v>179</v>
      </c>
      <c r="D406" t="s">
        <v>725</v>
      </c>
      <c r="E406">
        <v>0</v>
      </c>
      <c r="F406">
        <v>0</v>
      </c>
      <c r="G406">
        <v>0</v>
      </c>
      <c r="H406">
        <v>0</v>
      </c>
      <c r="I406">
        <v>0</v>
      </c>
      <c r="J406">
        <v>0</v>
      </c>
      <c r="K406">
        <v>0</v>
      </c>
      <c r="L406">
        <v>0</v>
      </c>
      <c r="M406">
        <v>0</v>
      </c>
      <c r="N406">
        <v>0</v>
      </c>
      <c r="O406">
        <v>0</v>
      </c>
      <c r="P406">
        <v>0</v>
      </c>
      <c r="S406">
        <v>0</v>
      </c>
      <c r="V406"/>
      <c r="W406"/>
      <c r="X406"/>
    </row>
    <row r="407" spans="1:24" x14ac:dyDescent="0.3">
      <c r="A407" t="str">
        <f>Table_Capacity_Community_frontsheet[[#This Row],[Name]]&amp;B407</f>
        <v>HounslowOther short-term social care</v>
      </c>
      <c r="B407" t="str">
        <f>VLOOKUP(Table_Capacity_Community_frontsheet[[#This Row],[Service Area]],PathwayLookup!E:F,2,0)</f>
        <v>Other short-term social care</v>
      </c>
      <c r="C407" t="s">
        <v>179</v>
      </c>
      <c r="D407" t="s">
        <v>708</v>
      </c>
      <c r="E407">
        <v>0</v>
      </c>
      <c r="F407">
        <v>0</v>
      </c>
      <c r="G407">
        <v>0</v>
      </c>
      <c r="H407">
        <v>0</v>
      </c>
      <c r="I407">
        <v>0</v>
      </c>
      <c r="J407">
        <v>0</v>
      </c>
      <c r="K407">
        <v>0</v>
      </c>
      <c r="L407">
        <v>0</v>
      </c>
      <c r="M407">
        <v>0</v>
      </c>
      <c r="N407">
        <v>0</v>
      </c>
      <c r="O407">
        <v>0</v>
      </c>
      <c r="P407">
        <v>0</v>
      </c>
      <c r="S407">
        <v>1</v>
      </c>
      <c r="V407"/>
      <c r="W407"/>
      <c r="X407"/>
    </row>
    <row r="408" spans="1:24" x14ac:dyDescent="0.3">
      <c r="A408" t="str">
        <f>Table_Capacity_Community_frontsheet[[#This Row],[Name]]&amp;B408</f>
        <v>Isle of WightSocial support (including VCS)</v>
      </c>
      <c r="B408" t="str">
        <f>VLOOKUP(Table_Capacity_Community_frontsheet[[#This Row],[Service Area]],PathwayLookup!E:F,2,0)</f>
        <v>Social support (including VCS)</v>
      </c>
      <c r="C408" t="s">
        <v>181</v>
      </c>
      <c r="D408" t="s">
        <v>704</v>
      </c>
      <c r="E408">
        <v>55</v>
      </c>
      <c r="F408">
        <v>55</v>
      </c>
      <c r="G408">
        <v>55</v>
      </c>
      <c r="H408">
        <v>55</v>
      </c>
      <c r="I408">
        <v>55</v>
      </c>
      <c r="J408">
        <v>55</v>
      </c>
      <c r="K408">
        <v>55</v>
      </c>
      <c r="L408">
        <v>55</v>
      </c>
      <c r="M408">
        <v>55</v>
      </c>
      <c r="N408">
        <v>55</v>
      </c>
      <c r="O408">
        <v>55</v>
      </c>
      <c r="P408">
        <v>55</v>
      </c>
      <c r="R408">
        <v>1</v>
      </c>
      <c r="V408"/>
      <c r="W408"/>
      <c r="X408"/>
    </row>
    <row r="409" spans="1:24" x14ac:dyDescent="0.3">
      <c r="A409" t="str">
        <f>Table_Capacity_Community_frontsheet[[#This Row],[Name]]&amp;B409</f>
        <v>Isle of WightUrgent Community Response</v>
      </c>
      <c r="B409" t="str">
        <f>VLOOKUP(Table_Capacity_Community_frontsheet[[#This Row],[Service Area]],PathwayLookup!E:F,2,0)</f>
        <v>Urgent Community Response</v>
      </c>
      <c r="C409" t="s">
        <v>181</v>
      </c>
      <c r="D409" t="s">
        <v>705</v>
      </c>
      <c r="E409">
        <v>315</v>
      </c>
      <c r="F409">
        <v>315</v>
      </c>
      <c r="G409">
        <v>315</v>
      </c>
      <c r="H409">
        <v>315</v>
      </c>
      <c r="I409">
        <v>320</v>
      </c>
      <c r="J409">
        <v>320</v>
      </c>
      <c r="K409">
        <v>320</v>
      </c>
      <c r="L409">
        <v>320</v>
      </c>
      <c r="M409">
        <v>325</v>
      </c>
      <c r="N409">
        <v>325</v>
      </c>
      <c r="O409">
        <v>325</v>
      </c>
      <c r="P409">
        <v>325</v>
      </c>
      <c r="Q409">
        <v>1</v>
      </c>
      <c r="V409"/>
      <c r="W409"/>
      <c r="X409"/>
    </row>
    <row r="410" spans="1:24" x14ac:dyDescent="0.3">
      <c r="A410" t="str">
        <f>Table_Capacity_Community_frontsheet[[#This Row],[Name]]&amp;B410</f>
        <v>Isle of WightReablement &amp; Rehabilitation at home</v>
      </c>
      <c r="B410" t="str">
        <f>VLOOKUP(Table_Capacity_Community_frontsheet[[#This Row],[Service Area]],PathwayLookup!E:F,2,0)</f>
        <v>Reablement &amp; Rehabilitation at home</v>
      </c>
      <c r="C410" t="s">
        <v>181</v>
      </c>
      <c r="D410" t="s">
        <v>727</v>
      </c>
      <c r="E410">
        <v>273</v>
      </c>
      <c r="F410">
        <v>273</v>
      </c>
      <c r="G410">
        <v>273</v>
      </c>
      <c r="H410">
        <v>273</v>
      </c>
      <c r="I410">
        <v>273</v>
      </c>
      <c r="J410">
        <v>273</v>
      </c>
      <c r="K410">
        <v>273</v>
      </c>
      <c r="L410">
        <v>273</v>
      </c>
      <c r="M410">
        <v>273</v>
      </c>
      <c r="N410">
        <v>273</v>
      </c>
      <c r="O410">
        <v>273</v>
      </c>
      <c r="P410">
        <v>273</v>
      </c>
      <c r="R410">
        <v>1</v>
      </c>
      <c r="V410"/>
      <c r="W410"/>
      <c r="X410"/>
    </row>
    <row r="411" spans="1:24" x14ac:dyDescent="0.3">
      <c r="A411" t="str">
        <f>Table_Capacity_Community_frontsheet[[#This Row],[Name]]&amp;B411</f>
        <v>Isle of WightReablement &amp; Rehabilitation at home</v>
      </c>
      <c r="B411" t="str">
        <f>VLOOKUP(Table_Capacity_Community_frontsheet[[#This Row],[Service Area]],PathwayLookup!E:F,2,0)</f>
        <v>Reablement &amp; Rehabilitation at home</v>
      </c>
      <c r="C411" t="s">
        <v>181</v>
      </c>
      <c r="D411" t="s">
        <v>729</v>
      </c>
      <c r="V411"/>
      <c r="W411"/>
      <c r="X411"/>
    </row>
    <row r="412" spans="1:24" x14ac:dyDescent="0.3">
      <c r="A412" t="str">
        <f>Table_Capacity_Community_frontsheet[[#This Row],[Name]]&amp;B412</f>
        <v>Isle of WightReablement &amp; Rehabilitation in a bedded setting</v>
      </c>
      <c r="B412" t="str">
        <f>VLOOKUP(Table_Capacity_Community_frontsheet[[#This Row],[Service Area]],PathwayLookup!E:F,2,0)</f>
        <v>Reablement &amp; Rehabilitation in a bedded setting</v>
      </c>
      <c r="C412" t="s">
        <v>181</v>
      </c>
      <c r="D412" t="s">
        <v>723</v>
      </c>
      <c r="E412">
        <v>4</v>
      </c>
      <c r="F412">
        <v>4</v>
      </c>
      <c r="G412">
        <v>4</v>
      </c>
      <c r="H412">
        <v>4</v>
      </c>
      <c r="I412">
        <v>4</v>
      </c>
      <c r="J412">
        <v>4</v>
      </c>
      <c r="K412">
        <v>4</v>
      </c>
      <c r="L412">
        <v>4</v>
      </c>
      <c r="M412">
        <v>4</v>
      </c>
      <c r="N412">
        <v>4</v>
      </c>
      <c r="O412">
        <v>4</v>
      </c>
      <c r="P412">
        <v>4</v>
      </c>
      <c r="R412">
        <v>1</v>
      </c>
      <c r="V412"/>
      <c r="W412"/>
      <c r="X412"/>
    </row>
    <row r="413" spans="1:24" x14ac:dyDescent="0.3">
      <c r="A413" t="str">
        <f>Table_Capacity_Community_frontsheet[[#This Row],[Name]]&amp;B413</f>
        <v>Isle of WightReablement &amp; Rehabilitation in a bedded setting</v>
      </c>
      <c r="B413" t="str">
        <f>VLOOKUP(Table_Capacity_Community_frontsheet[[#This Row],[Service Area]],PathwayLookup!E:F,2,0)</f>
        <v>Reablement &amp; Rehabilitation in a bedded setting</v>
      </c>
      <c r="C413" t="s">
        <v>181</v>
      </c>
      <c r="D413" t="s">
        <v>725</v>
      </c>
      <c r="E413">
        <v>36</v>
      </c>
      <c r="F413">
        <v>36</v>
      </c>
      <c r="G413">
        <v>36</v>
      </c>
      <c r="H413">
        <v>36</v>
      </c>
      <c r="I413">
        <v>36</v>
      </c>
      <c r="J413">
        <v>36</v>
      </c>
      <c r="K413">
        <v>36</v>
      </c>
      <c r="L413">
        <v>36</v>
      </c>
      <c r="M413">
        <v>36</v>
      </c>
      <c r="N413">
        <v>36</v>
      </c>
      <c r="O413">
        <v>36</v>
      </c>
      <c r="P413">
        <v>36</v>
      </c>
      <c r="Q413">
        <v>1</v>
      </c>
      <c r="V413"/>
      <c r="W413"/>
      <c r="X413"/>
    </row>
    <row r="414" spans="1:24" x14ac:dyDescent="0.3">
      <c r="A414" t="str">
        <f>Table_Capacity_Community_frontsheet[[#This Row],[Name]]&amp;B414</f>
        <v>Isle of WightOther short-term social care</v>
      </c>
      <c r="B414" t="str">
        <f>VLOOKUP(Table_Capacity_Community_frontsheet[[#This Row],[Service Area]],PathwayLookup!E:F,2,0)</f>
        <v>Other short-term social care</v>
      </c>
      <c r="C414" t="s">
        <v>181</v>
      </c>
      <c r="D414" t="s">
        <v>708</v>
      </c>
      <c r="V414"/>
      <c r="W414"/>
      <c r="X414"/>
    </row>
    <row r="415" spans="1:24" x14ac:dyDescent="0.3">
      <c r="A415" t="str">
        <f>Table_Capacity_Community_frontsheet[[#This Row],[Name]]&amp;B415</f>
        <v>IslingtonSocial support (including VCS)</v>
      </c>
      <c r="B415" t="str">
        <f>VLOOKUP(Table_Capacity_Community_frontsheet[[#This Row],[Service Area]],PathwayLookup!E:F,2,0)</f>
        <v>Social support (including VCS)</v>
      </c>
      <c r="C415" t="s">
        <v>183</v>
      </c>
      <c r="D415" t="s">
        <v>704</v>
      </c>
      <c r="E415">
        <v>209</v>
      </c>
      <c r="F415">
        <v>216</v>
      </c>
      <c r="G415">
        <v>209</v>
      </c>
      <c r="H415">
        <v>216</v>
      </c>
      <c r="I415">
        <v>216</v>
      </c>
      <c r="J415">
        <v>209</v>
      </c>
      <c r="K415">
        <v>216</v>
      </c>
      <c r="L415">
        <v>209</v>
      </c>
      <c r="M415">
        <v>216</v>
      </c>
      <c r="N415">
        <v>216</v>
      </c>
      <c r="O415">
        <v>195</v>
      </c>
      <c r="P415">
        <v>216</v>
      </c>
      <c r="Q415">
        <v>0</v>
      </c>
      <c r="R415">
        <v>1</v>
      </c>
      <c r="S415">
        <v>0</v>
      </c>
      <c r="V415"/>
      <c r="W415"/>
      <c r="X415"/>
    </row>
    <row r="416" spans="1:24" x14ac:dyDescent="0.3">
      <c r="A416" t="str">
        <f>Table_Capacity_Community_frontsheet[[#This Row],[Name]]&amp;B416</f>
        <v>IslingtonUrgent Community Response</v>
      </c>
      <c r="B416" t="str">
        <f>VLOOKUP(Table_Capacity_Community_frontsheet[[#This Row],[Service Area]],PathwayLookup!E:F,2,0)</f>
        <v>Urgent Community Response</v>
      </c>
      <c r="C416" t="s">
        <v>183</v>
      </c>
      <c r="D416" t="s">
        <v>705</v>
      </c>
      <c r="E416">
        <v>200</v>
      </c>
      <c r="F416">
        <v>200</v>
      </c>
      <c r="G416">
        <v>200</v>
      </c>
      <c r="H416">
        <v>200</v>
      </c>
      <c r="I416">
        <v>200</v>
      </c>
      <c r="J416">
        <v>200</v>
      </c>
      <c r="K416">
        <v>200</v>
      </c>
      <c r="L416">
        <v>200</v>
      </c>
      <c r="M416">
        <v>200</v>
      </c>
      <c r="N416">
        <v>200</v>
      </c>
      <c r="O416">
        <v>200</v>
      </c>
      <c r="P416">
        <v>200</v>
      </c>
      <c r="Q416">
        <v>1</v>
      </c>
      <c r="R416">
        <v>0</v>
      </c>
      <c r="S416">
        <v>0</v>
      </c>
      <c r="V416"/>
      <c r="W416"/>
      <c r="X416"/>
    </row>
    <row r="417" spans="1:24" x14ac:dyDescent="0.3">
      <c r="A417" t="str">
        <f>Table_Capacity_Community_frontsheet[[#This Row],[Name]]&amp;B417</f>
        <v>IslingtonReablement &amp; Rehabilitation at home</v>
      </c>
      <c r="B417" t="str">
        <f>VLOOKUP(Table_Capacity_Community_frontsheet[[#This Row],[Service Area]],PathwayLookup!E:F,2,0)</f>
        <v>Reablement &amp; Rehabilitation at home</v>
      </c>
      <c r="C417" t="s">
        <v>183</v>
      </c>
      <c r="D417" t="s">
        <v>727</v>
      </c>
      <c r="E417">
        <v>24</v>
      </c>
      <c r="F417">
        <v>25</v>
      </c>
      <c r="G417">
        <v>24</v>
      </c>
      <c r="H417">
        <v>25</v>
      </c>
      <c r="I417">
        <v>25</v>
      </c>
      <c r="J417">
        <v>24</v>
      </c>
      <c r="K417">
        <v>25</v>
      </c>
      <c r="L417">
        <v>24</v>
      </c>
      <c r="M417">
        <v>25</v>
      </c>
      <c r="N417">
        <v>25</v>
      </c>
      <c r="O417">
        <v>23</v>
      </c>
      <c r="P417">
        <v>25</v>
      </c>
      <c r="Q417">
        <v>1</v>
      </c>
      <c r="R417">
        <v>0</v>
      </c>
      <c r="S417">
        <v>0</v>
      </c>
      <c r="V417"/>
      <c r="W417"/>
      <c r="X417"/>
    </row>
    <row r="418" spans="1:24" x14ac:dyDescent="0.3">
      <c r="A418" t="str">
        <f>Table_Capacity_Community_frontsheet[[#This Row],[Name]]&amp;B418</f>
        <v>IslingtonReablement &amp; Rehabilitation at home</v>
      </c>
      <c r="B418" t="str">
        <f>VLOOKUP(Table_Capacity_Community_frontsheet[[#This Row],[Service Area]],PathwayLookup!E:F,2,0)</f>
        <v>Reablement &amp; Rehabilitation at home</v>
      </c>
      <c r="C418" t="s">
        <v>183</v>
      </c>
      <c r="D418" t="s">
        <v>729</v>
      </c>
      <c r="E418">
        <v>200</v>
      </c>
      <c r="F418">
        <v>200</v>
      </c>
      <c r="G418">
        <v>200</v>
      </c>
      <c r="H418">
        <v>200</v>
      </c>
      <c r="I418">
        <v>200</v>
      </c>
      <c r="J418">
        <v>200</v>
      </c>
      <c r="K418">
        <v>200</v>
      </c>
      <c r="L418">
        <v>200</v>
      </c>
      <c r="M418">
        <v>200</v>
      </c>
      <c r="N418">
        <v>200</v>
      </c>
      <c r="O418">
        <v>200</v>
      </c>
      <c r="P418">
        <v>200</v>
      </c>
      <c r="Q418">
        <v>0.15</v>
      </c>
      <c r="R418">
        <v>0.85</v>
      </c>
      <c r="S418">
        <v>0</v>
      </c>
      <c r="V418"/>
      <c r="W418"/>
      <c r="X418"/>
    </row>
    <row r="419" spans="1:24" x14ac:dyDescent="0.3">
      <c r="A419" t="str">
        <f>Table_Capacity_Community_frontsheet[[#This Row],[Name]]&amp;B419</f>
        <v>IslingtonReablement &amp; Rehabilitation in a bedded setting</v>
      </c>
      <c r="B419" t="str">
        <f>VLOOKUP(Table_Capacity_Community_frontsheet[[#This Row],[Service Area]],PathwayLookup!E:F,2,0)</f>
        <v>Reablement &amp; Rehabilitation in a bedded setting</v>
      </c>
      <c r="C419" t="s">
        <v>183</v>
      </c>
      <c r="D419" t="s">
        <v>723</v>
      </c>
      <c r="E419">
        <v>0</v>
      </c>
      <c r="F419">
        <v>0</v>
      </c>
      <c r="G419">
        <v>0</v>
      </c>
      <c r="H419">
        <v>0</v>
      </c>
      <c r="I419">
        <v>0</v>
      </c>
      <c r="J419">
        <v>0</v>
      </c>
      <c r="K419">
        <v>0</v>
      </c>
      <c r="L419">
        <v>0</v>
      </c>
      <c r="M419">
        <v>0</v>
      </c>
      <c r="N419">
        <v>0</v>
      </c>
      <c r="O419">
        <v>0</v>
      </c>
      <c r="P419">
        <v>0</v>
      </c>
      <c r="Q419">
        <v>0</v>
      </c>
      <c r="R419">
        <v>0</v>
      </c>
      <c r="S419">
        <v>0</v>
      </c>
      <c r="V419"/>
      <c r="W419"/>
      <c r="X419"/>
    </row>
    <row r="420" spans="1:24" x14ac:dyDescent="0.3">
      <c r="A420" t="str">
        <f>Table_Capacity_Community_frontsheet[[#This Row],[Name]]&amp;B420</f>
        <v>IslingtonReablement &amp; Rehabilitation in a bedded setting</v>
      </c>
      <c r="B420" t="str">
        <f>VLOOKUP(Table_Capacity_Community_frontsheet[[#This Row],[Service Area]],PathwayLookup!E:F,2,0)</f>
        <v>Reablement &amp; Rehabilitation in a bedded setting</v>
      </c>
      <c r="C420" t="s">
        <v>183</v>
      </c>
      <c r="D420" t="s">
        <v>725</v>
      </c>
      <c r="E420">
        <v>1</v>
      </c>
      <c r="F420">
        <v>1</v>
      </c>
      <c r="G420">
        <v>1</v>
      </c>
      <c r="H420">
        <v>1</v>
      </c>
      <c r="I420">
        <v>1</v>
      </c>
      <c r="J420">
        <v>1</v>
      </c>
      <c r="K420">
        <v>1</v>
      </c>
      <c r="L420">
        <v>1</v>
      </c>
      <c r="M420">
        <v>1</v>
      </c>
      <c r="N420">
        <v>1</v>
      </c>
      <c r="O420">
        <v>1</v>
      </c>
      <c r="P420">
        <v>1</v>
      </c>
      <c r="Q420">
        <v>1</v>
      </c>
      <c r="R420">
        <v>0</v>
      </c>
      <c r="S420">
        <v>0</v>
      </c>
      <c r="V420"/>
      <c r="W420"/>
      <c r="X420"/>
    </row>
    <row r="421" spans="1:24" x14ac:dyDescent="0.3">
      <c r="A421" t="str">
        <f>Table_Capacity_Community_frontsheet[[#This Row],[Name]]&amp;B421</f>
        <v>IslingtonOther short-term social care</v>
      </c>
      <c r="B421" t="str">
        <f>VLOOKUP(Table_Capacity_Community_frontsheet[[#This Row],[Service Area]],PathwayLookup!E:F,2,0)</f>
        <v>Other short-term social care</v>
      </c>
      <c r="C421" t="s">
        <v>183</v>
      </c>
      <c r="D421" t="s">
        <v>708</v>
      </c>
      <c r="E421">
        <v>0</v>
      </c>
      <c r="F421">
        <v>0</v>
      </c>
      <c r="G421">
        <v>0</v>
      </c>
      <c r="H421">
        <v>0</v>
      </c>
      <c r="I421">
        <v>0</v>
      </c>
      <c r="J421">
        <v>0</v>
      </c>
      <c r="K421">
        <v>0</v>
      </c>
      <c r="L421">
        <v>0</v>
      </c>
      <c r="M421">
        <v>0</v>
      </c>
      <c r="N421">
        <v>0</v>
      </c>
      <c r="O421">
        <v>0</v>
      </c>
      <c r="P421">
        <v>0</v>
      </c>
      <c r="Q421">
        <v>0</v>
      </c>
      <c r="R421">
        <v>0</v>
      </c>
      <c r="S421">
        <v>0</v>
      </c>
      <c r="V421"/>
      <c r="W421"/>
      <c r="X421"/>
    </row>
    <row r="422" spans="1:24" x14ac:dyDescent="0.3">
      <c r="A422" t="str">
        <f>Table_Capacity_Community_frontsheet[[#This Row],[Name]]&amp;B422</f>
        <v>Kensington and ChelseaSocial support (including VCS)</v>
      </c>
      <c r="B422" t="str">
        <f>VLOOKUP(Table_Capacity_Community_frontsheet[[#This Row],[Service Area]],PathwayLookup!E:F,2,0)</f>
        <v>Social support (including VCS)</v>
      </c>
      <c r="C422" t="s">
        <v>185</v>
      </c>
      <c r="D422" t="s">
        <v>704</v>
      </c>
      <c r="E422">
        <v>31</v>
      </c>
      <c r="F422">
        <v>31</v>
      </c>
      <c r="G422">
        <v>31</v>
      </c>
      <c r="H422">
        <v>31</v>
      </c>
      <c r="I422">
        <v>31</v>
      </c>
      <c r="J422">
        <v>31</v>
      </c>
      <c r="K422">
        <v>31</v>
      </c>
      <c r="L422">
        <v>31</v>
      </c>
      <c r="M422">
        <v>31</v>
      </c>
      <c r="N422">
        <v>31</v>
      </c>
      <c r="O422">
        <v>31</v>
      </c>
      <c r="P422">
        <v>31</v>
      </c>
      <c r="R422">
        <v>1</v>
      </c>
      <c r="V422"/>
      <c r="W422"/>
      <c r="X422"/>
    </row>
    <row r="423" spans="1:24" x14ac:dyDescent="0.3">
      <c r="A423" t="str">
        <f>Table_Capacity_Community_frontsheet[[#This Row],[Name]]&amp;B423</f>
        <v>Kensington and ChelseaUrgent Community Response</v>
      </c>
      <c r="B423" t="str">
        <f>VLOOKUP(Table_Capacity_Community_frontsheet[[#This Row],[Service Area]],PathwayLookup!E:F,2,0)</f>
        <v>Urgent Community Response</v>
      </c>
      <c r="C423" t="s">
        <v>185</v>
      </c>
      <c r="D423" t="s">
        <v>705</v>
      </c>
      <c r="E423">
        <v>112</v>
      </c>
      <c r="F423">
        <v>125</v>
      </c>
      <c r="G423">
        <v>119</v>
      </c>
      <c r="H423">
        <v>109</v>
      </c>
      <c r="I423">
        <v>103</v>
      </c>
      <c r="J423">
        <v>153</v>
      </c>
      <c r="K423">
        <v>120</v>
      </c>
      <c r="L423">
        <v>131</v>
      </c>
      <c r="M423">
        <v>152</v>
      </c>
      <c r="N423">
        <v>132</v>
      </c>
      <c r="O423">
        <v>127</v>
      </c>
      <c r="P423">
        <v>148</v>
      </c>
      <c r="Q423">
        <v>1</v>
      </c>
      <c r="V423"/>
      <c r="W423"/>
      <c r="X423"/>
    </row>
    <row r="424" spans="1:24" x14ac:dyDescent="0.3">
      <c r="A424" t="str">
        <f>Table_Capacity_Community_frontsheet[[#This Row],[Name]]&amp;B424</f>
        <v>Kensington and ChelseaReablement &amp; Rehabilitation at home</v>
      </c>
      <c r="B424" t="str">
        <f>VLOOKUP(Table_Capacity_Community_frontsheet[[#This Row],[Service Area]],PathwayLookup!E:F,2,0)</f>
        <v>Reablement &amp; Rehabilitation at home</v>
      </c>
      <c r="C424" t="s">
        <v>185</v>
      </c>
      <c r="D424" t="s">
        <v>727</v>
      </c>
      <c r="E424">
        <v>45</v>
      </c>
      <c r="F424">
        <v>42</v>
      </c>
      <c r="G424">
        <v>41</v>
      </c>
      <c r="H424">
        <v>62</v>
      </c>
      <c r="I424">
        <v>54</v>
      </c>
      <c r="J424">
        <v>37</v>
      </c>
      <c r="K424">
        <v>47</v>
      </c>
      <c r="L424">
        <v>41</v>
      </c>
      <c r="M424">
        <v>43</v>
      </c>
      <c r="N424">
        <v>27</v>
      </c>
      <c r="O424">
        <v>53</v>
      </c>
      <c r="P424">
        <v>56</v>
      </c>
      <c r="R424">
        <v>1</v>
      </c>
      <c r="V424"/>
      <c r="W424"/>
      <c r="X424"/>
    </row>
    <row r="425" spans="1:24" x14ac:dyDescent="0.3">
      <c r="A425" t="str">
        <f>Table_Capacity_Community_frontsheet[[#This Row],[Name]]&amp;B425</f>
        <v>Kensington and ChelseaReablement &amp; Rehabilitation at home</v>
      </c>
      <c r="B425" t="str">
        <f>VLOOKUP(Table_Capacity_Community_frontsheet[[#This Row],[Service Area]],PathwayLookup!E:F,2,0)</f>
        <v>Reablement &amp; Rehabilitation at home</v>
      </c>
      <c r="C425" t="s">
        <v>185</v>
      </c>
      <c r="D425" t="s">
        <v>729</v>
      </c>
      <c r="E425">
        <v>0</v>
      </c>
      <c r="F425">
        <v>0</v>
      </c>
      <c r="G425">
        <v>0</v>
      </c>
      <c r="H425">
        <v>0</v>
      </c>
      <c r="I425">
        <v>0</v>
      </c>
      <c r="J425">
        <v>0</v>
      </c>
      <c r="K425">
        <v>0</v>
      </c>
      <c r="L425">
        <v>0</v>
      </c>
      <c r="M425">
        <v>0</v>
      </c>
      <c r="N425">
        <v>0</v>
      </c>
      <c r="O425">
        <v>0</v>
      </c>
      <c r="P425">
        <v>0</v>
      </c>
      <c r="V425"/>
      <c r="W425"/>
      <c r="X425"/>
    </row>
    <row r="426" spans="1:24" x14ac:dyDescent="0.3">
      <c r="A426" t="str">
        <f>Table_Capacity_Community_frontsheet[[#This Row],[Name]]&amp;B426</f>
        <v>Kensington and ChelseaReablement &amp; Rehabilitation in a bedded setting</v>
      </c>
      <c r="B426" t="str">
        <f>VLOOKUP(Table_Capacity_Community_frontsheet[[#This Row],[Service Area]],PathwayLookup!E:F,2,0)</f>
        <v>Reablement &amp; Rehabilitation in a bedded setting</v>
      </c>
      <c r="C426" t="s">
        <v>185</v>
      </c>
      <c r="D426" t="s">
        <v>723</v>
      </c>
      <c r="E426">
        <v>3</v>
      </c>
      <c r="F426">
        <v>3</v>
      </c>
      <c r="G426">
        <v>3</v>
      </c>
      <c r="H426">
        <v>3</v>
      </c>
      <c r="I426">
        <v>3</v>
      </c>
      <c r="J426">
        <v>3</v>
      </c>
      <c r="K426">
        <v>3</v>
      </c>
      <c r="L426">
        <v>3</v>
      </c>
      <c r="M426">
        <v>3</v>
      </c>
      <c r="N426">
        <v>3</v>
      </c>
      <c r="O426">
        <v>3</v>
      </c>
      <c r="P426">
        <v>3</v>
      </c>
      <c r="R426">
        <v>1</v>
      </c>
      <c r="V426"/>
      <c r="W426"/>
      <c r="X426"/>
    </row>
    <row r="427" spans="1:24" x14ac:dyDescent="0.3">
      <c r="A427" t="str">
        <f>Table_Capacity_Community_frontsheet[[#This Row],[Name]]&amp;B427</f>
        <v>Kensington and ChelseaReablement &amp; Rehabilitation in a bedded setting</v>
      </c>
      <c r="B427" t="str">
        <f>VLOOKUP(Table_Capacity_Community_frontsheet[[#This Row],[Service Area]],PathwayLookup!E:F,2,0)</f>
        <v>Reablement &amp; Rehabilitation in a bedded setting</v>
      </c>
      <c r="C427" t="s">
        <v>185</v>
      </c>
      <c r="D427" t="s">
        <v>725</v>
      </c>
      <c r="E427">
        <v>330</v>
      </c>
      <c r="F427">
        <v>341</v>
      </c>
      <c r="G427">
        <v>330</v>
      </c>
      <c r="H427">
        <v>341</v>
      </c>
      <c r="I427">
        <v>341</v>
      </c>
      <c r="J427">
        <v>330</v>
      </c>
      <c r="K427">
        <v>341</v>
      </c>
      <c r="L427">
        <v>330</v>
      </c>
      <c r="M427">
        <v>341</v>
      </c>
      <c r="N427">
        <v>341</v>
      </c>
      <c r="O427">
        <v>308</v>
      </c>
      <c r="P427">
        <v>341</v>
      </c>
      <c r="Q427">
        <v>1</v>
      </c>
      <c r="V427"/>
      <c r="W427"/>
      <c r="X427"/>
    </row>
    <row r="428" spans="1:24" x14ac:dyDescent="0.3">
      <c r="A428" t="str">
        <f>Table_Capacity_Community_frontsheet[[#This Row],[Name]]&amp;B428</f>
        <v>Kensington and ChelseaOther short-term social care</v>
      </c>
      <c r="B428" t="str">
        <f>VLOOKUP(Table_Capacity_Community_frontsheet[[#This Row],[Service Area]],PathwayLookup!E:F,2,0)</f>
        <v>Other short-term social care</v>
      </c>
      <c r="C428" t="s">
        <v>185</v>
      </c>
      <c r="D428" t="s">
        <v>708</v>
      </c>
      <c r="E428">
        <v>0</v>
      </c>
      <c r="F428">
        <v>0</v>
      </c>
      <c r="G428">
        <v>0</v>
      </c>
      <c r="H428">
        <v>0</v>
      </c>
      <c r="I428">
        <v>0</v>
      </c>
      <c r="J428">
        <v>0</v>
      </c>
      <c r="K428">
        <v>0</v>
      </c>
      <c r="L428">
        <v>0</v>
      </c>
      <c r="M428">
        <v>0</v>
      </c>
      <c r="N428">
        <v>0</v>
      </c>
      <c r="O428">
        <v>0</v>
      </c>
      <c r="P428">
        <v>0</v>
      </c>
      <c r="V428"/>
      <c r="W428"/>
      <c r="X428"/>
    </row>
    <row r="429" spans="1:24" x14ac:dyDescent="0.3">
      <c r="A429" t="str">
        <f>Table_Capacity_Community_frontsheet[[#This Row],[Name]]&amp;B429</f>
        <v>KentSocial support (including VCS)</v>
      </c>
      <c r="B429" t="str">
        <f>VLOOKUP(Table_Capacity_Community_frontsheet[[#This Row],[Service Area]],PathwayLookup!E:F,2,0)</f>
        <v>Social support (including VCS)</v>
      </c>
      <c r="C429" t="s">
        <v>187</v>
      </c>
      <c r="D429" t="s">
        <v>704</v>
      </c>
      <c r="V429"/>
      <c r="W429"/>
      <c r="X429"/>
    </row>
    <row r="430" spans="1:24" x14ac:dyDescent="0.3">
      <c r="A430" t="str">
        <f>Table_Capacity_Community_frontsheet[[#This Row],[Name]]&amp;B430</f>
        <v>KentUrgent Community Response</v>
      </c>
      <c r="B430" t="str">
        <f>VLOOKUP(Table_Capacity_Community_frontsheet[[#This Row],[Service Area]],PathwayLookup!E:F,2,0)</f>
        <v>Urgent Community Response</v>
      </c>
      <c r="C430" t="s">
        <v>187</v>
      </c>
      <c r="D430" t="s">
        <v>705</v>
      </c>
      <c r="E430">
        <v>810</v>
      </c>
      <c r="F430">
        <v>810</v>
      </c>
      <c r="G430">
        <v>810</v>
      </c>
      <c r="H430">
        <v>810</v>
      </c>
      <c r="I430">
        <v>810</v>
      </c>
      <c r="J430">
        <v>810</v>
      </c>
      <c r="K430">
        <v>810</v>
      </c>
      <c r="L430">
        <v>810</v>
      </c>
      <c r="M430">
        <v>810</v>
      </c>
      <c r="N430">
        <v>810</v>
      </c>
      <c r="O430">
        <v>810</v>
      </c>
      <c r="P430">
        <v>810</v>
      </c>
      <c r="V430"/>
      <c r="W430"/>
      <c r="X430"/>
    </row>
    <row r="431" spans="1:24" x14ac:dyDescent="0.3">
      <c r="A431" t="str">
        <f>Table_Capacity_Community_frontsheet[[#This Row],[Name]]&amp;B431</f>
        <v>KentReablement &amp; Rehabilitation at home</v>
      </c>
      <c r="B431" t="str">
        <f>VLOOKUP(Table_Capacity_Community_frontsheet[[#This Row],[Service Area]],PathwayLookup!E:F,2,0)</f>
        <v>Reablement &amp; Rehabilitation at home</v>
      </c>
      <c r="C431" t="s">
        <v>187</v>
      </c>
      <c r="D431" t="s">
        <v>727</v>
      </c>
      <c r="E431">
        <v>432</v>
      </c>
      <c r="F431">
        <v>432</v>
      </c>
      <c r="G431">
        <v>432</v>
      </c>
      <c r="H431">
        <v>432</v>
      </c>
      <c r="I431">
        <v>432</v>
      </c>
      <c r="J431">
        <v>432</v>
      </c>
      <c r="K431">
        <v>432</v>
      </c>
      <c r="L431">
        <v>432</v>
      </c>
      <c r="M431">
        <v>432</v>
      </c>
      <c r="N431">
        <v>432</v>
      </c>
      <c r="O431">
        <v>432</v>
      </c>
      <c r="P431">
        <v>432</v>
      </c>
      <c r="V431"/>
      <c r="W431"/>
      <c r="X431"/>
    </row>
    <row r="432" spans="1:24" x14ac:dyDescent="0.3">
      <c r="A432" t="str">
        <f>Table_Capacity_Community_frontsheet[[#This Row],[Name]]&amp;B432</f>
        <v>KentReablement &amp; Rehabilitation at home</v>
      </c>
      <c r="B432" t="str">
        <f>VLOOKUP(Table_Capacity_Community_frontsheet[[#This Row],[Service Area]],PathwayLookup!E:F,2,0)</f>
        <v>Reablement &amp; Rehabilitation at home</v>
      </c>
      <c r="C432" t="s">
        <v>187</v>
      </c>
      <c r="D432" t="s">
        <v>729</v>
      </c>
      <c r="E432">
        <v>1650</v>
      </c>
      <c r="F432">
        <v>1650</v>
      </c>
      <c r="G432">
        <v>1650</v>
      </c>
      <c r="H432">
        <v>1650</v>
      </c>
      <c r="I432">
        <v>1650</v>
      </c>
      <c r="J432">
        <v>1650</v>
      </c>
      <c r="K432">
        <v>1650</v>
      </c>
      <c r="L432">
        <v>1650</v>
      </c>
      <c r="M432">
        <v>1650</v>
      </c>
      <c r="N432">
        <v>1650</v>
      </c>
      <c r="O432">
        <v>1650</v>
      </c>
      <c r="P432">
        <v>1650</v>
      </c>
      <c r="V432"/>
      <c r="W432"/>
      <c r="X432"/>
    </row>
    <row r="433" spans="1:24" x14ac:dyDescent="0.3">
      <c r="A433" t="str">
        <f>Table_Capacity_Community_frontsheet[[#This Row],[Name]]&amp;B433</f>
        <v>KentReablement &amp; Rehabilitation in a bedded setting</v>
      </c>
      <c r="B433" t="str">
        <f>VLOOKUP(Table_Capacity_Community_frontsheet[[#This Row],[Service Area]],PathwayLookup!E:F,2,0)</f>
        <v>Reablement &amp; Rehabilitation in a bedded setting</v>
      </c>
      <c r="C433" t="s">
        <v>187</v>
      </c>
      <c r="D433" t="s">
        <v>723</v>
      </c>
      <c r="V433"/>
      <c r="W433"/>
      <c r="X433"/>
    </row>
    <row r="434" spans="1:24" x14ac:dyDescent="0.3">
      <c r="A434" t="str">
        <f>Table_Capacity_Community_frontsheet[[#This Row],[Name]]&amp;B434</f>
        <v>KentReablement &amp; Rehabilitation in a bedded setting</v>
      </c>
      <c r="B434" t="str">
        <f>VLOOKUP(Table_Capacity_Community_frontsheet[[#This Row],[Service Area]],PathwayLookup!E:F,2,0)</f>
        <v>Reablement &amp; Rehabilitation in a bedded setting</v>
      </c>
      <c r="C434" t="s">
        <v>187</v>
      </c>
      <c r="D434" t="s">
        <v>725</v>
      </c>
      <c r="E434">
        <v>18</v>
      </c>
      <c r="F434">
        <v>18</v>
      </c>
      <c r="G434">
        <v>20</v>
      </c>
      <c r="H434">
        <v>20</v>
      </c>
      <c r="I434">
        <v>20</v>
      </c>
      <c r="J434">
        <v>20</v>
      </c>
      <c r="K434">
        <v>19</v>
      </c>
      <c r="L434">
        <v>19</v>
      </c>
      <c r="M434">
        <v>19</v>
      </c>
      <c r="N434">
        <v>21</v>
      </c>
      <c r="O434">
        <v>21</v>
      </c>
      <c r="P434">
        <v>19</v>
      </c>
      <c r="V434"/>
      <c r="W434"/>
      <c r="X434"/>
    </row>
    <row r="435" spans="1:24" x14ac:dyDescent="0.3">
      <c r="A435" t="str">
        <f>Table_Capacity_Community_frontsheet[[#This Row],[Name]]&amp;B435</f>
        <v>KentOther short-term social care</v>
      </c>
      <c r="B435" t="str">
        <f>VLOOKUP(Table_Capacity_Community_frontsheet[[#This Row],[Service Area]],PathwayLookup!E:F,2,0)</f>
        <v>Other short-term social care</v>
      </c>
      <c r="C435" t="s">
        <v>187</v>
      </c>
      <c r="D435" t="s">
        <v>708</v>
      </c>
      <c r="V435"/>
      <c r="W435"/>
      <c r="X435"/>
    </row>
    <row r="436" spans="1:24" x14ac:dyDescent="0.3">
      <c r="A436" t="str">
        <f>Table_Capacity_Community_frontsheet[[#This Row],[Name]]&amp;B436</f>
        <v>Kingston upon Hull, City ofSocial support (including VCS)</v>
      </c>
      <c r="B436" t="str">
        <f>VLOOKUP(Table_Capacity_Community_frontsheet[[#This Row],[Service Area]],PathwayLookup!E:F,2,0)</f>
        <v>Social support (including VCS)</v>
      </c>
      <c r="C436" t="s">
        <v>189</v>
      </c>
      <c r="D436" t="s">
        <v>704</v>
      </c>
      <c r="E436">
        <v>549</v>
      </c>
      <c r="F436">
        <v>567</v>
      </c>
      <c r="G436">
        <v>549</v>
      </c>
      <c r="H436">
        <v>567</v>
      </c>
      <c r="I436">
        <v>567</v>
      </c>
      <c r="J436">
        <v>549</v>
      </c>
      <c r="K436">
        <v>567</v>
      </c>
      <c r="L436">
        <v>549</v>
      </c>
      <c r="M436">
        <v>567</v>
      </c>
      <c r="N436">
        <v>567</v>
      </c>
      <c r="O436">
        <v>512</v>
      </c>
      <c r="P436">
        <v>567</v>
      </c>
      <c r="S436">
        <v>1</v>
      </c>
      <c r="V436"/>
      <c r="W436"/>
      <c r="X436"/>
    </row>
    <row r="437" spans="1:24" x14ac:dyDescent="0.3">
      <c r="A437" t="str">
        <f>Table_Capacity_Community_frontsheet[[#This Row],[Name]]&amp;B437</f>
        <v>Kingston upon Hull, City ofUrgent Community Response</v>
      </c>
      <c r="B437" t="str">
        <f>VLOOKUP(Table_Capacity_Community_frontsheet[[#This Row],[Service Area]],PathwayLookup!E:F,2,0)</f>
        <v>Urgent Community Response</v>
      </c>
      <c r="C437" t="s">
        <v>189</v>
      </c>
      <c r="D437" t="s">
        <v>705</v>
      </c>
      <c r="E437">
        <v>125</v>
      </c>
      <c r="F437">
        <v>125</v>
      </c>
      <c r="G437">
        <v>125</v>
      </c>
      <c r="H437">
        <v>125</v>
      </c>
      <c r="I437">
        <v>125</v>
      </c>
      <c r="J437">
        <v>125</v>
      </c>
      <c r="K437">
        <v>125</v>
      </c>
      <c r="L437">
        <v>125</v>
      </c>
      <c r="M437">
        <v>125</v>
      </c>
      <c r="N437">
        <v>125</v>
      </c>
      <c r="O437">
        <v>125</v>
      </c>
      <c r="P437">
        <v>125</v>
      </c>
      <c r="S437">
        <v>1</v>
      </c>
      <c r="V437"/>
      <c r="W437"/>
      <c r="X437"/>
    </row>
    <row r="438" spans="1:24" x14ac:dyDescent="0.3">
      <c r="A438" t="str">
        <f>Table_Capacity_Community_frontsheet[[#This Row],[Name]]&amp;B438</f>
        <v>Kingston upon Hull, City ofReablement &amp; Rehabilitation at home</v>
      </c>
      <c r="B438" t="str">
        <f>VLOOKUP(Table_Capacity_Community_frontsheet[[#This Row],[Service Area]],PathwayLookup!E:F,2,0)</f>
        <v>Reablement &amp; Rehabilitation at home</v>
      </c>
      <c r="C438" t="s">
        <v>189</v>
      </c>
      <c r="D438" t="s">
        <v>727</v>
      </c>
      <c r="V438"/>
      <c r="W438"/>
      <c r="X438"/>
    </row>
    <row r="439" spans="1:24" x14ac:dyDescent="0.3">
      <c r="A439" t="str">
        <f>Table_Capacity_Community_frontsheet[[#This Row],[Name]]&amp;B439</f>
        <v>Kingston upon Hull, City ofReablement &amp; Rehabilitation at home</v>
      </c>
      <c r="B439" t="str">
        <f>VLOOKUP(Table_Capacity_Community_frontsheet[[#This Row],[Service Area]],PathwayLookup!E:F,2,0)</f>
        <v>Reablement &amp; Rehabilitation at home</v>
      </c>
      <c r="C439" t="s">
        <v>189</v>
      </c>
      <c r="D439" t="s">
        <v>729</v>
      </c>
      <c r="E439">
        <v>198</v>
      </c>
      <c r="F439">
        <v>198</v>
      </c>
      <c r="G439">
        <v>198</v>
      </c>
      <c r="H439">
        <v>198</v>
      </c>
      <c r="I439">
        <v>198</v>
      </c>
      <c r="J439">
        <v>198</v>
      </c>
      <c r="K439">
        <v>198</v>
      </c>
      <c r="L439">
        <v>198</v>
      </c>
      <c r="M439">
        <v>198</v>
      </c>
      <c r="N439">
        <v>198</v>
      </c>
      <c r="O439">
        <v>198</v>
      </c>
      <c r="P439">
        <v>198</v>
      </c>
      <c r="S439">
        <v>1</v>
      </c>
      <c r="V439"/>
      <c r="W439"/>
      <c r="X439"/>
    </row>
    <row r="440" spans="1:24" x14ac:dyDescent="0.3">
      <c r="A440" t="str">
        <f>Table_Capacity_Community_frontsheet[[#This Row],[Name]]&amp;B440</f>
        <v>Kingston upon Hull, City ofReablement &amp; Rehabilitation in a bedded setting</v>
      </c>
      <c r="B440" t="str">
        <f>VLOOKUP(Table_Capacity_Community_frontsheet[[#This Row],[Service Area]],PathwayLookup!E:F,2,0)</f>
        <v>Reablement &amp; Rehabilitation in a bedded setting</v>
      </c>
      <c r="C440" t="s">
        <v>189</v>
      </c>
      <c r="D440" t="s">
        <v>723</v>
      </c>
      <c r="V440"/>
      <c r="W440"/>
      <c r="X440"/>
    </row>
    <row r="441" spans="1:24" x14ac:dyDescent="0.3">
      <c r="A441" t="str">
        <f>Table_Capacity_Community_frontsheet[[#This Row],[Name]]&amp;B441</f>
        <v>Kingston upon Hull, City ofReablement &amp; Rehabilitation in a bedded setting</v>
      </c>
      <c r="B441" t="str">
        <f>VLOOKUP(Table_Capacity_Community_frontsheet[[#This Row],[Service Area]],PathwayLookup!E:F,2,0)</f>
        <v>Reablement &amp; Rehabilitation in a bedded setting</v>
      </c>
      <c r="C441" t="s">
        <v>189</v>
      </c>
      <c r="D441" t="s">
        <v>725</v>
      </c>
      <c r="E441">
        <v>94</v>
      </c>
      <c r="F441">
        <v>94</v>
      </c>
      <c r="G441">
        <v>94</v>
      </c>
      <c r="H441">
        <v>94</v>
      </c>
      <c r="I441">
        <v>94</v>
      </c>
      <c r="J441">
        <v>94</v>
      </c>
      <c r="K441">
        <v>94</v>
      </c>
      <c r="L441">
        <v>94</v>
      </c>
      <c r="M441">
        <v>94</v>
      </c>
      <c r="N441">
        <v>94</v>
      </c>
      <c r="O441">
        <v>94</v>
      </c>
      <c r="P441">
        <v>94</v>
      </c>
      <c r="S441">
        <v>1</v>
      </c>
      <c r="V441"/>
      <c r="W441"/>
      <c r="X441"/>
    </row>
    <row r="442" spans="1:24" x14ac:dyDescent="0.3">
      <c r="A442" t="str">
        <f>Table_Capacity_Community_frontsheet[[#This Row],[Name]]&amp;B442</f>
        <v>Kingston upon Hull, City ofOther short-term social care</v>
      </c>
      <c r="B442" t="str">
        <f>VLOOKUP(Table_Capacity_Community_frontsheet[[#This Row],[Service Area]],PathwayLookup!E:F,2,0)</f>
        <v>Other short-term social care</v>
      </c>
      <c r="C442" t="s">
        <v>189</v>
      </c>
      <c r="D442" t="s">
        <v>708</v>
      </c>
      <c r="V442"/>
      <c r="W442"/>
      <c r="X442"/>
    </row>
    <row r="443" spans="1:24" x14ac:dyDescent="0.3">
      <c r="A443" t="str">
        <f>Table_Capacity_Community_frontsheet[[#This Row],[Name]]&amp;B443</f>
        <v>Kingston upon ThamesSocial support (including VCS)</v>
      </c>
      <c r="B443" t="str">
        <f>VLOOKUP(Table_Capacity_Community_frontsheet[[#This Row],[Service Area]],PathwayLookup!E:F,2,0)</f>
        <v>Social support (including VCS)</v>
      </c>
      <c r="C443" t="s">
        <v>191</v>
      </c>
      <c r="D443" t="s">
        <v>704</v>
      </c>
      <c r="E443">
        <v>111</v>
      </c>
      <c r="F443">
        <v>111</v>
      </c>
      <c r="G443">
        <v>111</v>
      </c>
      <c r="H443">
        <v>111</v>
      </c>
      <c r="I443">
        <v>111</v>
      </c>
      <c r="J443">
        <v>111</v>
      </c>
      <c r="K443">
        <v>111</v>
      </c>
      <c r="L443">
        <v>111</v>
      </c>
      <c r="M443">
        <v>111</v>
      </c>
      <c r="N443">
        <v>111</v>
      </c>
      <c r="O443">
        <v>111</v>
      </c>
      <c r="P443">
        <v>111</v>
      </c>
      <c r="Q443">
        <v>0</v>
      </c>
      <c r="R443">
        <v>0.8</v>
      </c>
      <c r="S443">
        <v>0.2</v>
      </c>
      <c r="V443"/>
      <c r="W443"/>
      <c r="X443"/>
    </row>
    <row r="444" spans="1:24" x14ac:dyDescent="0.3">
      <c r="A444" t="str">
        <f>Table_Capacity_Community_frontsheet[[#This Row],[Name]]&amp;B444</f>
        <v>Kingston upon ThamesUrgent Community Response</v>
      </c>
      <c r="B444" t="str">
        <f>VLOOKUP(Table_Capacity_Community_frontsheet[[#This Row],[Service Area]],PathwayLookup!E:F,2,0)</f>
        <v>Urgent Community Response</v>
      </c>
      <c r="C444" t="s">
        <v>191</v>
      </c>
      <c r="D444" t="s">
        <v>705</v>
      </c>
      <c r="E444">
        <v>360</v>
      </c>
      <c r="F444">
        <v>360</v>
      </c>
      <c r="G444">
        <v>360</v>
      </c>
      <c r="H444">
        <v>360</v>
      </c>
      <c r="I444">
        <v>360</v>
      </c>
      <c r="J444">
        <v>360</v>
      </c>
      <c r="K444">
        <v>360</v>
      </c>
      <c r="L444">
        <v>360</v>
      </c>
      <c r="M444">
        <v>360</v>
      </c>
      <c r="N444">
        <v>360</v>
      </c>
      <c r="O444">
        <v>360</v>
      </c>
      <c r="P444">
        <v>360</v>
      </c>
      <c r="Q444">
        <v>1</v>
      </c>
      <c r="R444">
        <v>0</v>
      </c>
      <c r="S444">
        <v>0</v>
      </c>
      <c r="V444"/>
      <c r="W444"/>
      <c r="X444"/>
    </row>
    <row r="445" spans="1:24" x14ac:dyDescent="0.3">
      <c r="A445" t="str">
        <f>Table_Capacity_Community_frontsheet[[#This Row],[Name]]&amp;B445</f>
        <v>Kingston upon ThamesReablement &amp; Rehabilitation at home</v>
      </c>
      <c r="B445" t="str">
        <f>VLOOKUP(Table_Capacity_Community_frontsheet[[#This Row],[Service Area]],PathwayLookup!E:F,2,0)</f>
        <v>Reablement &amp; Rehabilitation at home</v>
      </c>
      <c r="C445" t="s">
        <v>191</v>
      </c>
      <c r="D445" t="s">
        <v>727</v>
      </c>
      <c r="E445">
        <v>11</v>
      </c>
      <c r="F445">
        <v>11</v>
      </c>
      <c r="G445">
        <v>11</v>
      </c>
      <c r="H445">
        <v>11</v>
      </c>
      <c r="I445">
        <v>11</v>
      </c>
      <c r="J445">
        <v>11</v>
      </c>
      <c r="K445">
        <v>11</v>
      </c>
      <c r="L445">
        <v>11</v>
      </c>
      <c r="M445">
        <v>11</v>
      </c>
      <c r="N445">
        <v>11</v>
      </c>
      <c r="O445">
        <v>11</v>
      </c>
      <c r="P445">
        <v>11</v>
      </c>
      <c r="Q445">
        <v>0</v>
      </c>
      <c r="R445">
        <v>1</v>
      </c>
      <c r="S445">
        <v>0</v>
      </c>
      <c r="V445"/>
      <c r="W445"/>
      <c r="X445"/>
    </row>
    <row r="446" spans="1:24" x14ac:dyDescent="0.3">
      <c r="A446" t="str">
        <f>Table_Capacity_Community_frontsheet[[#This Row],[Name]]&amp;B446</f>
        <v>Kingston upon ThamesReablement &amp; Rehabilitation at home</v>
      </c>
      <c r="B446" t="str">
        <f>VLOOKUP(Table_Capacity_Community_frontsheet[[#This Row],[Service Area]],PathwayLookup!E:F,2,0)</f>
        <v>Reablement &amp; Rehabilitation at home</v>
      </c>
      <c r="C446" t="s">
        <v>191</v>
      </c>
      <c r="D446" t="s">
        <v>729</v>
      </c>
      <c r="E446">
        <v>3</v>
      </c>
      <c r="F446">
        <v>3</v>
      </c>
      <c r="G446">
        <v>3</v>
      </c>
      <c r="H446">
        <v>3</v>
      </c>
      <c r="I446">
        <v>3</v>
      </c>
      <c r="J446">
        <v>3</v>
      </c>
      <c r="K446">
        <v>3</v>
      </c>
      <c r="L446">
        <v>3</v>
      </c>
      <c r="M446">
        <v>3</v>
      </c>
      <c r="N446">
        <v>3</v>
      </c>
      <c r="O446">
        <v>3</v>
      </c>
      <c r="P446">
        <v>3</v>
      </c>
      <c r="Q446">
        <v>1</v>
      </c>
      <c r="R446">
        <v>0</v>
      </c>
      <c r="S446">
        <v>0</v>
      </c>
      <c r="V446"/>
      <c r="W446"/>
      <c r="X446"/>
    </row>
    <row r="447" spans="1:24" x14ac:dyDescent="0.3">
      <c r="A447" t="str">
        <f>Table_Capacity_Community_frontsheet[[#This Row],[Name]]&amp;B447</f>
        <v>Kingston upon ThamesReablement &amp; Rehabilitation in a bedded setting</v>
      </c>
      <c r="B447" t="str">
        <f>VLOOKUP(Table_Capacity_Community_frontsheet[[#This Row],[Service Area]],PathwayLookup!E:F,2,0)</f>
        <v>Reablement &amp; Rehabilitation in a bedded setting</v>
      </c>
      <c r="C447" t="s">
        <v>191</v>
      </c>
      <c r="D447" t="s">
        <v>723</v>
      </c>
      <c r="E447">
        <v>0</v>
      </c>
      <c r="F447">
        <v>0</v>
      </c>
      <c r="G447">
        <v>0</v>
      </c>
      <c r="H447">
        <v>0</v>
      </c>
      <c r="I447">
        <v>0</v>
      </c>
      <c r="J447">
        <v>0</v>
      </c>
      <c r="K447">
        <v>0</v>
      </c>
      <c r="L447">
        <v>0</v>
      </c>
      <c r="M447">
        <v>0</v>
      </c>
      <c r="N447">
        <v>0</v>
      </c>
      <c r="O447">
        <v>0</v>
      </c>
      <c r="P447">
        <v>0</v>
      </c>
      <c r="Q447">
        <v>0</v>
      </c>
      <c r="R447">
        <v>0</v>
      </c>
      <c r="S447">
        <v>0</v>
      </c>
      <c r="V447"/>
      <c r="W447"/>
      <c r="X447"/>
    </row>
    <row r="448" spans="1:24" x14ac:dyDescent="0.3">
      <c r="A448" t="str">
        <f>Table_Capacity_Community_frontsheet[[#This Row],[Name]]&amp;B448</f>
        <v>Kingston upon ThamesReablement &amp; Rehabilitation in a bedded setting</v>
      </c>
      <c r="B448" t="str">
        <f>VLOOKUP(Table_Capacity_Community_frontsheet[[#This Row],[Service Area]],PathwayLookup!E:F,2,0)</f>
        <v>Reablement &amp; Rehabilitation in a bedded setting</v>
      </c>
      <c r="C448" t="s">
        <v>191</v>
      </c>
      <c r="D448" t="s">
        <v>725</v>
      </c>
      <c r="E448">
        <v>8</v>
      </c>
      <c r="F448">
        <v>8</v>
      </c>
      <c r="G448">
        <v>8</v>
      </c>
      <c r="H448">
        <v>8</v>
      </c>
      <c r="I448">
        <v>8</v>
      </c>
      <c r="J448">
        <v>8</v>
      </c>
      <c r="K448">
        <v>8</v>
      </c>
      <c r="L448">
        <v>8</v>
      </c>
      <c r="M448">
        <v>8</v>
      </c>
      <c r="N448">
        <v>8</v>
      </c>
      <c r="O448">
        <v>8</v>
      </c>
      <c r="P448">
        <v>8</v>
      </c>
      <c r="Q448">
        <v>0.9</v>
      </c>
      <c r="R448">
        <v>0.1</v>
      </c>
      <c r="S448">
        <v>0</v>
      </c>
      <c r="V448"/>
      <c r="W448"/>
      <c r="X448"/>
    </row>
    <row r="449" spans="1:24" x14ac:dyDescent="0.3">
      <c r="A449" t="str">
        <f>Table_Capacity_Community_frontsheet[[#This Row],[Name]]&amp;B449</f>
        <v>Kingston upon ThamesOther short-term social care</v>
      </c>
      <c r="B449" t="str">
        <f>VLOOKUP(Table_Capacity_Community_frontsheet[[#This Row],[Service Area]],PathwayLookup!E:F,2,0)</f>
        <v>Other short-term social care</v>
      </c>
      <c r="C449" t="s">
        <v>191</v>
      </c>
      <c r="D449" t="s">
        <v>708</v>
      </c>
      <c r="E449">
        <v>0</v>
      </c>
      <c r="F449">
        <v>0</v>
      </c>
      <c r="G449">
        <v>0</v>
      </c>
      <c r="H449">
        <v>0</v>
      </c>
      <c r="I449">
        <v>0</v>
      </c>
      <c r="J449">
        <v>0</v>
      </c>
      <c r="K449">
        <v>0</v>
      </c>
      <c r="L449">
        <v>0</v>
      </c>
      <c r="M449">
        <v>0</v>
      </c>
      <c r="N449">
        <v>0</v>
      </c>
      <c r="O449">
        <v>0</v>
      </c>
      <c r="P449">
        <v>0</v>
      </c>
      <c r="Q449">
        <v>0</v>
      </c>
      <c r="R449">
        <v>0</v>
      </c>
      <c r="S449">
        <v>0</v>
      </c>
      <c r="V449"/>
      <c r="W449"/>
      <c r="X449"/>
    </row>
    <row r="450" spans="1:24" x14ac:dyDescent="0.3">
      <c r="A450" t="str">
        <f>Table_Capacity_Community_frontsheet[[#This Row],[Name]]&amp;B450</f>
        <v>KirkleesSocial support (including VCS)</v>
      </c>
      <c r="B450" t="str">
        <f>VLOOKUP(Table_Capacity_Community_frontsheet[[#This Row],[Service Area]],PathwayLookup!E:F,2,0)</f>
        <v>Social support (including VCS)</v>
      </c>
      <c r="C450" t="s">
        <v>193</v>
      </c>
      <c r="D450" t="s">
        <v>704</v>
      </c>
      <c r="E450">
        <v>64</v>
      </c>
      <c r="F450">
        <v>64</v>
      </c>
      <c r="G450">
        <v>64</v>
      </c>
      <c r="H450">
        <v>64</v>
      </c>
      <c r="I450">
        <v>64</v>
      </c>
      <c r="J450">
        <v>64</v>
      </c>
      <c r="K450">
        <v>64</v>
      </c>
      <c r="L450">
        <v>64</v>
      </c>
      <c r="M450">
        <v>64</v>
      </c>
      <c r="N450">
        <v>64</v>
      </c>
      <c r="O450">
        <v>64</v>
      </c>
      <c r="P450">
        <v>64</v>
      </c>
      <c r="Q450">
        <v>0</v>
      </c>
      <c r="R450">
        <v>1</v>
      </c>
      <c r="S450">
        <v>0</v>
      </c>
      <c r="V450"/>
      <c r="W450"/>
      <c r="X450"/>
    </row>
    <row r="451" spans="1:24" x14ac:dyDescent="0.3">
      <c r="A451" t="str">
        <f>Table_Capacity_Community_frontsheet[[#This Row],[Name]]&amp;B451</f>
        <v>KirkleesUrgent Community Response</v>
      </c>
      <c r="B451" t="str">
        <f>VLOOKUP(Table_Capacity_Community_frontsheet[[#This Row],[Service Area]],PathwayLookup!E:F,2,0)</f>
        <v>Urgent Community Response</v>
      </c>
      <c r="C451" t="s">
        <v>193</v>
      </c>
      <c r="D451" t="s">
        <v>705</v>
      </c>
      <c r="E451">
        <v>72</v>
      </c>
      <c r="F451">
        <v>72</v>
      </c>
      <c r="G451">
        <v>72</v>
      </c>
      <c r="H451">
        <v>72</v>
      </c>
      <c r="I451">
        <v>72</v>
      </c>
      <c r="J451">
        <v>72</v>
      </c>
      <c r="K451">
        <v>72</v>
      </c>
      <c r="L451">
        <v>72</v>
      </c>
      <c r="M451">
        <v>72</v>
      </c>
      <c r="N451">
        <v>72</v>
      </c>
      <c r="O451">
        <v>72</v>
      </c>
      <c r="P451">
        <v>72</v>
      </c>
      <c r="Q451">
        <v>0.8</v>
      </c>
      <c r="R451">
        <v>0.2</v>
      </c>
      <c r="S451">
        <v>0</v>
      </c>
      <c r="V451"/>
      <c r="W451"/>
      <c r="X451"/>
    </row>
    <row r="452" spans="1:24" x14ac:dyDescent="0.3">
      <c r="A452" t="str">
        <f>Table_Capacity_Community_frontsheet[[#This Row],[Name]]&amp;B452</f>
        <v>KirkleesReablement &amp; Rehabilitation at home</v>
      </c>
      <c r="B452" t="str">
        <f>VLOOKUP(Table_Capacity_Community_frontsheet[[#This Row],[Service Area]],PathwayLookup!E:F,2,0)</f>
        <v>Reablement &amp; Rehabilitation at home</v>
      </c>
      <c r="C452" t="s">
        <v>193</v>
      </c>
      <c r="D452" t="s">
        <v>727</v>
      </c>
      <c r="E452">
        <v>60</v>
      </c>
      <c r="F452">
        <v>60</v>
      </c>
      <c r="G452">
        <v>60</v>
      </c>
      <c r="H452">
        <v>60</v>
      </c>
      <c r="I452">
        <v>60</v>
      </c>
      <c r="J452">
        <v>60</v>
      </c>
      <c r="K452">
        <v>60</v>
      </c>
      <c r="L452">
        <v>60</v>
      </c>
      <c r="M452">
        <v>60</v>
      </c>
      <c r="N452">
        <v>60</v>
      </c>
      <c r="O452">
        <v>60</v>
      </c>
      <c r="P452">
        <v>60</v>
      </c>
      <c r="Q452">
        <v>1</v>
      </c>
      <c r="R452">
        <v>0</v>
      </c>
      <c r="S452">
        <v>0</v>
      </c>
      <c r="V452"/>
      <c r="W452"/>
      <c r="X452"/>
    </row>
    <row r="453" spans="1:24" x14ac:dyDescent="0.3">
      <c r="A453" t="str">
        <f>Table_Capacity_Community_frontsheet[[#This Row],[Name]]&amp;B453</f>
        <v>KirkleesReablement &amp; Rehabilitation at home</v>
      </c>
      <c r="B453" t="str">
        <f>VLOOKUP(Table_Capacity_Community_frontsheet[[#This Row],[Service Area]],PathwayLookup!E:F,2,0)</f>
        <v>Reablement &amp; Rehabilitation at home</v>
      </c>
      <c r="C453" t="s">
        <v>193</v>
      </c>
      <c r="D453" t="s">
        <v>729</v>
      </c>
      <c r="E453">
        <v>8</v>
      </c>
      <c r="F453">
        <v>8</v>
      </c>
      <c r="G453">
        <v>8</v>
      </c>
      <c r="H453">
        <v>8</v>
      </c>
      <c r="I453">
        <v>8</v>
      </c>
      <c r="J453">
        <v>8</v>
      </c>
      <c r="K453">
        <v>8</v>
      </c>
      <c r="L453">
        <v>8</v>
      </c>
      <c r="M453">
        <v>8</v>
      </c>
      <c r="N453">
        <v>8</v>
      </c>
      <c r="O453">
        <v>8</v>
      </c>
      <c r="P453">
        <v>8</v>
      </c>
      <c r="Q453">
        <v>0</v>
      </c>
      <c r="R453">
        <v>1</v>
      </c>
      <c r="S453">
        <v>0</v>
      </c>
      <c r="V453"/>
      <c r="W453"/>
      <c r="X453"/>
    </row>
    <row r="454" spans="1:24" x14ac:dyDescent="0.3">
      <c r="A454" t="str">
        <f>Table_Capacity_Community_frontsheet[[#This Row],[Name]]&amp;B454</f>
        <v>KirkleesReablement &amp; Rehabilitation in a bedded setting</v>
      </c>
      <c r="B454" t="str">
        <f>VLOOKUP(Table_Capacity_Community_frontsheet[[#This Row],[Service Area]],PathwayLookup!E:F,2,0)</f>
        <v>Reablement &amp; Rehabilitation in a bedded setting</v>
      </c>
      <c r="C454" t="s">
        <v>193</v>
      </c>
      <c r="D454" t="s">
        <v>723</v>
      </c>
      <c r="E454">
        <v>0</v>
      </c>
      <c r="F454">
        <v>0</v>
      </c>
      <c r="G454">
        <v>0</v>
      </c>
      <c r="H454">
        <v>0</v>
      </c>
      <c r="I454">
        <v>0</v>
      </c>
      <c r="J454">
        <v>0</v>
      </c>
      <c r="K454">
        <v>0</v>
      </c>
      <c r="L454">
        <v>0</v>
      </c>
      <c r="M454">
        <v>0</v>
      </c>
      <c r="N454">
        <v>0</v>
      </c>
      <c r="O454">
        <v>0</v>
      </c>
      <c r="P454">
        <v>0</v>
      </c>
      <c r="Q454">
        <v>0</v>
      </c>
      <c r="R454">
        <v>0</v>
      </c>
      <c r="S454">
        <v>0</v>
      </c>
      <c r="V454"/>
      <c r="W454"/>
      <c r="X454"/>
    </row>
    <row r="455" spans="1:24" x14ac:dyDescent="0.3">
      <c r="A455" t="str">
        <f>Table_Capacity_Community_frontsheet[[#This Row],[Name]]&amp;B455</f>
        <v>KirkleesReablement &amp; Rehabilitation in a bedded setting</v>
      </c>
      <c r="B455" t="str">
        <f>VLOOKUP(Table_Capacity_Community_frontsheet[[#This Row],[Service Area]],PathwayLookup!E:F,2,0)</f>
        <v>Reablement &amp; Rehabilitation in a bedded setting</v>
      </c>
      <c r="C455" t="s">
        <v>193</v>
      </c>
      <c r="D455" t="s">
        <v>725</v>
      </c>
      <c r="E455">
        <v>31</v>
      </c>
      <c r="F455">
        <v>31</v>
      </c>
      <c r="G455">
        <v>31</v>
      </c>
      <c r="H455">
        <v>31</v>
      </c>
      <c r="I455">
        <v>31</v>
      </c>
      <c r="J455">
        <v>31</v>
      </c>
      <c r="K455">
        <v>31</v>
      </c>
      <c r="L455">
        <v>31</v>
      </c>
      <c r="M455">
        <v>31</v>
      </c>
      <c r="N455">
        <v>31</v>
      </c>
      <c r="O455">
        <v>31</v>
      </c>
      <c r="P455">
        <v>31</v>
      </c>
      <c r="Q455">
        <v>1</v>
      </c>
      <c r="R455">
        <v>0</v>
      </c>
      <c r="S455">
        <v>0</v>
      </c>
      <c r="V455"/>
      <c r="W455"/>
      <c r="X455"/>
    </row>
    <row r="456" spans="1:24" x14ac:dyDescent="0.3">
      <c r="A456" t="str">
        <f>Table_Capacity_Community_frontsheet[[#This Row],[Name]]&amp;B456</f>
        <v>KirkleesOther short-term social care</v>
      </c>
      <c r="B456" t="str">
        <f>VLOOKUP(Table_Capacity_Community_frontsheet[[#This Row],[Service Area]],PathwayLookup!E:F,2,0)</f>
        <v>Other short-term social care</v>
      </c>
      <c r="C456" t="s">
        <v>193</v>
      </c>
      <c r="D456" t="s">
        <v>708</v>
      </c>
      <c r="E456">
        <v>0</v>
      </c>
      <c r="F456">
        <v>0</v>
      </c>
      <c r="G456">
        <v>0</v>
      </c>
      <c r="H456">
        <v>0</v>
      </c>
      <c r="I456">
        <v>0</v>
      </c>
      <c r="J456">
        <v>0</v>
      </c>
      <c r="K456">
        <v>0</v>
      </c>
      <c r="L456">
        <v>0</v>
      </c>
      <c r="M456">
        <v>0</v>
      </c>
      <c r="N456">
        <v>0</v>
      </c>
      <c r="O456">
        <v>0</v>
      </c>
      <c r="P456">
        <v>0</v>
      </c>
      <c r="Q456">
        <v>0.2</v>
      </c>
      <c r="R456">
        <v>0.8</v>
      </c>
      <c r="S456">
        <v>0</v>
      </c>
      <c r="V456"/>
      <c r="W456"/>
      <c r="X456"/>
    </row>
    <row r="457" spans="1:24" x14ac:dyDescent="0.3">
      <c r="A457" t="str">
        <f>Table_Capacity_Community_frontsheet[[#This Row],[Name]]&amp;B457</f>
        <v>KnowsleySocial support (including VCS)</v>
      </c>
      <c r="B457" t="str">
        <f>VLOOKUP(Table_Capacity_Community_frontsheet[[#This Row],[Service Area]],PathwayLookup!E:F,2,0)</f>
        <v>Social support (including VCS)</v>
      </c>
      <c r="C457" t="s">
        <v>195</v>
      </c>
      <c r="D457" t="s">
        <v>704</v>
      </c>
      <c r="E457">
        <v>0</v>
      </c>
      <c r="F457">
        <v>0</v>
      </c>
      <c r="G457">
        <v>0</v>
      </c>
      <c r="H457">
        <v>0</v>
      </c>
      <c r="I457">
        <v>0</v>
      </c>
      <c r="J457">
        <v>0</v>
      </c>
      <c r="K457">
        <v>0</v>
      </c>
      <c r="L457">
        <v>0</v>
      </c>
      <c r="M457">
        <v>0</v>
      </c>
      <c r="N457">
        <v>0</v>
      </c>
      <c r="O457">
        <v>0</v>
      </c>
      <c r="P457">
        <v>0</v>
      </c>
      <c r="V457"/>
      <c r="W457"/>
      <c r="X457"/>
    </row>
    <row r="458" spans="1:24" x14ac:dyDescent="0.3">
      <c r="A458" t="str">
        <f>Table_Capacity_Community_frontsheet[[#This Row],[Name]]&amp;B458</f>
        <v>KnowsleyUrgent Community Response</v>
      </c>
      <c r="B458" t="str">
        <f>VLOOKUP(Table_Capacity_Community_frontsheet[[#This Row],[Service Area]],PathwayLookup!E:F,2,0)</f>
        <v>Urgent Community Response</v>
      </c>
      <c r="C458" t="s">
        <v>195</v>
      </c>
      <c r="D458" t="s">
        <v>705</v>
      </c>
      <c r="E458">
        <v>24</v>
      </c>
      <c r="F458">
        <v>24</v>
      </c>
      <c r="G458">
        <v>24</v>
      </c>
      <c r="H458">
        <v>24</v>
      </c>
      <c r="I458">
        <v>24</v>
      </c>
      <c r="J458">
        <v>24</v>
      </c>
      <c r="K458">
        <v>48</v>
      </c>
      <c r="L458">
        <v>48</v>
      </c>
      <c r="M458">
        <v>48</v>
      </c>
      <c r="N458">
        <v>48</v>
      </c>
      <c r="O458">
        <v>48</v>
      </c>
      <c r="P458">
        <v>48</v>
      </c>
      <c r="Q458">
        <v>1</v>
      </c>
      <c r="V458"/>
      <c r="W458"/>
      <c r="X458"/>
    </row>
    <row r="459" spans="1:24" x14ac:dyDescent="0.3">
      <c r="A459" t="str">
        <f>Table_Capacity_Community_frontsheet[[#This Row],[Name]]&amp;B459</f>
        <v>KnowsleyReablement &amp; Rehabilitation at home</v>
      </c>
      <c r="B459" t="str">
        <f>VLOOKUP(Table_Capacity_Community_frontsheet[[#This Row],[Service Area]],PathwayLookup!E:F,2,0)</f>
        <v>Reablement &amp; Rehabilitation at home</v>
      </c>
      <c r="C459" t="s">
        <v>195</v>
      </c>
      <c r="D459" t="s">
        <v>727</v>
      </c>
      <c r="E459">
        <v>0</v>
      </c>
      <c r="F459">
        <v>0</v>
      </c>
      <c r="G459">
        <v>0</v>
      </c>
      <c r="H459">
        <v>0</v>
      </c>
      <c r="I459">
        <v>0</v>
      </c>
      <c r="J459">
        <v>0</v>
      </c>
      <c r="K459">
        <v>0</v>
      </c>
      <c r="L459">
        <v>0</v>
      </c>
      <c r="M459">
        <v>0</v>
      </c>
      <c r="N459">
        <v>0</v>
      </c>
      <c r="O459">
        <v>0</v>
      </c>
      <c r="P459">
        <v>0</v>
      </c>
      <c r="V459"/>
      <c r="W459"/>
      <c r="X459"/>
    </row>
    <row r="460" spans="1:24" x14ac:dyDescent="0.3">
      <c r="A460" t="str">
        <f>Table_Capacity_Community_frontsheet[[#This Row],[Name]]&amp;B460</f>
        <v>KnowsleyReablement &amp; Rehabilitation at home</v>
      </c>
      <c r="B460" t="str">
        <f>VLOOKUP(Table_Capacity_Community_frontsheet[[#This Row],[Service Area]],PathwayLookup!E:F,2,0)</f>
        <v>Reablement &amp; Rehabilitation at home</v>
      </c>
      <c r="C460" t="s">
        <v>195</v>
      </c>
      <c r="D460" t="s">
        <v>729</v>
      </c>
      <c r="E460">
        <v>0</v>
      </c>
      <c r="F460">
        <v>0</v>
      </c>
      <c r="G460">
        <v>0</v>
      </c>
      <c r="H460">
        <v>0</v>
      </c>
      <c r="I460">
        <v>0</v>
      </c>
      <c r="J460">
        <v>0</v>
      </c>
      <c r="K460">
        <v>0</v>
      </c>
      <c r="L460">
        <v>0</v>
      </c>
      <c r="M460">
        <v>0</v>
      </c>
      <c r="N460">
        <v>0</v>
      </c>
      <c r="O460">
        <v>0</v>
      </c>
      <c r="P460">
        <v>0</v>
      </c>
      <c r="V460"/>
      <c r="W460"/>
      <c r="X460"/>
    </row>
    <row r="461" spans="1:24" x14ac:dyDescent="0.3">
      <c r="A461" t="str">
        <f>Table_Capacity_Community_frontsheet[[#This Row],[Name]]&amp;B461</f>
        <v>KnowsleyReablement &amp; Rehabilitation in a bedded setting</v>
      </c>
      <c r="B461" t="str">
        <f>VLOOKUP(Table_Capacity_Community_frontsheet[[#This Row],[Service Area]],PathwayLookup!E:F,2,0)</f>
        <v>Reablement &amp; Rehabilitation in a bedded setting</v>
      </c>
      <c r="C461" t="s">
        <v>195</v>
      </c>
      <c r="D461" t="s">
        <v>723</v>
      </c>
      <c r="E461">
        <v>0</v>
      </c>
      <c r="F461">
        <v>0</v>
      </c>
      <c r="G461">
        <v>0</v>
      </c>
      <c r="H461">
        <v>0</v>
      </c>
      <c r="I461">
        <v>0</v>
      </c>
      <c r="J461">
        <v>0</v>
      </c>
      <c r="K461">
        <v>0</v>
      </c>
      <c r="L461">
        <v>0</v>
      </c>
      <c r="M461">
        <v>0</v>
      </c>
      <c r="N461">
        <v>0</v>
      </c>
      <c r="O461">
        <v>0</v>
      </c>
      <c r="P461">
        <v>0</v>
      </c>
      <c r="V461"/>
      <c r="W461"/>
      <c r="X461"/>
    </row>
    <row r="462" spans="1:24" x14ac:dyDescent="0.3">
      <c r="A462" t="str">
        <f>Table_Capacity_Community_frontsheet[[#This Row],[Name]]&amp;B462</f>
        <v>KnowsleyReablement &amp; Rehabilitation in a bedded setting</v>
      </c>
      <c r="B462" t="str">
        <f>VLOOKUP(Table_Capacity_Community_frontsheet[[#This Row],[Service Area]],PathwayLookup!E:F,2,0)</f>
        <v>Reablement &amp; Rehabilitation in a bedded setting</v>
      </c>
      <c r="C462" t="s">
        <v>195</v>
      </c>
      <c r="D462" t="s">
        <v>725</v>
      </c>
      <c r="E462">
        <v>0</v>
      </c>
      <c r="F462">
        <v>0</v>
      </c>
      <c r="G462">
        <v>0</v>
      </c>
      <c r="H462">
        <v>0</v>
      </c>
      <c r="I462">
        <v>0</v>
      </c>
      <c r="J462">
        <v>0</v>
      </c>
      <c r="K462">
        <v>0</v>
      </c>
      <c r="L462">
        <v>0</v>
      </c>
      <c r="M462">
        <v>0</v>
      </c>
      <c r="N462">
        <v>0</v>
      </c>
      <c r="O462">
        <v>0</v>
      </c>
      <c r="P462">
        <v>0</v>
      </c>
      <c r="V462"/>
      <c r="W462"/>
      <c r="X462"/>
    </row>
    <row r="463" spans="1:24" x14ac:dyDescent="0.3">
      <c r="A463" t="str">
        <f>Table_Capacity_Community_frontsheet[[#This Row],[Name]]&amp;B463</f>
        <v>KnowsleyOther short-term social care</v>
      </c>
      <c r="B463" t="str">
        <f>VLOOKUP(Table_Capacity_Community_frontsheet[[#This Row],[Service Area]],PathwayLookup!E:F,2,0)</f>
        <v>Other short-term social care</v>
      </c>
      <c r="C463" t="s">
        <v>195</v>
      </c>
      <c r="D463" t="s">
        <v>708</v>
      </c>
      <c r="E463">
        <v>25</v>
      </c>
      <c r="F463">
        <v>25</v>
      </c>
      <c r="G463">
        <v>25</v>
      </c>
      <c r="H463">
        <v>25</v>
      </c>
      <c r="I463">
        <v>25</v>
      </c>
      <c r="J463">
        <v>25</v>
      </c>
      <c r="K463">
        <v>36</v>
      </c>
      <c r="L463">
        <v>36</v>
      </c>
      <c r="M463">
        <v>36</v>
      </c>
      <c r="N463">
        <v>36</v>
      </c>
      <c r="O463">
        <v>36</v>
      </c>
      <c r="P463">
        <v>36</v>
      </c>
      <c r="R463">
        <v>1</v>
      </c>
      <c r="V463"/>
      <c r="W463"/>
      <c r="X463"/>
    </row>
    <row r="464" spans="1:24" x14ac:dyDescent="0.3">
      <c r="A464" t="str">
        <f>Table_Capacity_Community_frontsheet[[#This Row],[Name]]&amp;B464</f>
        <v>LambethSocial support (including VCS)</v>
      </c>
      <c r="B464" t="str">
        <f>VLOOKUP(Table_Capacity_Community_frontsheet[[#This Row],[Service Area]],PathwayLookup!E:F,2,0)</f>
        <v>Social support (including VCS)</v>
      </c>
      <c r="C464" t="s">
        <v>197</v>
      </c>
      <c r="D464" t="s">
        <v>704</v>
      </c>
      <c r="E464">
        <v>0</v>
      </c>
      <c r="F464">
        <v>0</v>
      </c>
      <c r="G464">
        <v>0</v>
      </c>
      <c r="H464">
        <v>0</v>
      </c>
      <c r="I464">
        <v>0</v>
      </c>
      <c r="J464">
        <v>0</v>
      </c>
      <c r="K464">
        <v>0</v>
      </c>
      <c r="L464">
        <v>0</v>
      </c>
      <c r="M464">
        <v>0</v>
      </c>
      <c r="N464">
        <v>0</v>
      </c>
      <c r="O464">
        <v>0</v>
      </c>
      <c r="P464">
        <v>0</v>
      </c>
      <c r="V464"/>
      <c r="W464"/>
      <c r="X464"/>
    </row>
    <row r="465" spans="1:24" x14ac:dyDescent="0.3">
      <c r="A465" t="str">
        <f>Table_Capacity_Community_frontsheet[[#This Row],[Name]]&amp;B465</f>
        <v>LambethUrgent Community Response</v>
      </c>
      <c r="B465" t="str">
        <f>VLOOKUP(Table_Capacity_Community_frontsheet[[#This Row],[Service Area]],PathwayLookup!E:F,2,0)</f>
        <v>Urgent Community Response</v>
      </c>
      <c r="C465" t="s">
        <v>197</v>
      </c>
      <c r="D465" t="s">
        <v>705</v>
      </c>
      <c r="E465">
        <v>3</v>
      </c>
      <c r="F465">
        <v>5</v>
      </c>
      <c r="G465">
        <v>1</v>
      </c>
      <c r="H465">
        <v>5</v>
      </c>
      <c r="I465">
        <v>2</v>
      </c>
      <c r="J465">
        <v>6</v>
      </c>
      <c r="K465">
        <v>3</v>
      </c>
      <c r="L465">
        <v>6</v>
      </c>
      <c r="M465">
        <v>10</v>
      </c>
      <c r="N465">
        <v>4</v>
      </c>
      <c r="O465">
        <v>5</v>
      </c>
      <c r="P465">
        <v>4</v>
      </c>
      <c r="Q465">
        <v>0.5</v>
      </c>
      <c r="R465">
        <v>0.5</v>
      </c>
      <c r="V465"/>
      <c r="W465"/>
      <c r="X465"/>
    </row>
    <row r="466" spans="1:24" x14ac:dyDescent="0.3">
      <c r="A466" t="str">
        <f>Table_Capacity_Community_frontsheet[[#This Row],[Name]]&amp;B466</f>
        <v>LambethReablement &amp; Rehabilitation at home</v>
      </c>
      <c r="B466" t="str">
        <f>VLOOKUP(Table_Capacity_Community_frontsheet[[#This Row],[Service Area]],PathwayLookup!E:F,2,0)</f>
        <v>Reablement &amp; Rehabilitation at home</v>
      </c>
      <c r="C466" t="s">
        <v>197</v>
      </c>
      <c r="D466" t="s">
        <v>727</v>
      </c>
      <c r="E466">
        <v>0</v>
      </c>
      <c r="F466">
        <v>1</v>
      </c>
      <c r="G466">
        <v>1</v>
      </c>
      <c r="H466">
        <v>1</v>
      </c>
      <c r="I466">
        <v>0</v>
      </c>
      <c r="J466">
        <v>2</v>
      </c>
      <c r="K466">
        <v>1</v>
      </c>
      <c r="L466">
        <v>2</v>
      </c>
      <c r="M466">
        <v>1</v>
      </c>
      <c r="N466">
        <v>1</v>
      </c>
      <c r="O466">
        <v>3</v>
      </c>
      <c r="P466">
        <v>2</v>
      </c>
      <c r="R466">
        <v>1</v>
      </c>
      <c r="V466"/>
      <c r="W466"/>
      <c r="X466"/>
    </row>
    <row r="467" spans="1:24" x14ac:dyDescent="0.3">
      <c r="A467" t="str">
        <f>Table_Capacity_Community_frontsheet[[#This Row],[Name]]&amp;B467</f>
        <v>LambethReablement &amp; Rehabilitation at home</v>
      </c>
      <c r="B467" t="str">
        <f>VLOOKUP(Table_Capacity_Community_frontsheet[[#This Row],[Service Area]],PathwayLookup!E:F,2,0)</f>
        <v>Reablement &amp; Rehabilitation at home</v>
      </c>
      <c r="C467" t="s">
        <v>197</v>
      </c>
      <c r="D467" t="s">
        <v>729</v>
      </c>
      <c r="E467">
        <v>0</v>
      </c>
      <c r="F467">
        <v>0</v>
      </c>
      <c r="G467">
        <v>0</v>
      </c>
      <c r="H467">
        <v>0</v>
      </c>
      <c r="I467">
        <v>0</v>
      </c>
      <c r="J467">
        <v>0</v>
      </c>
      <c r="K467">
        <v>0</v>
      </c>
      <c r="L467">
        <v>0</v>
      </c>
      <c r="M467">
        <v>0</v>
      </c>
      <c r="N467">
        <v>0</v>
      </c>
      <c r="O467">
        <v>0</v>
      </c>
      <c r="P467">
        <v>0</v>
      </c>
      <c r="V467"/>
      <c r="W467"/>
      <c r="X467"/>
    </row>
    <row r="468" spans="1:24" x14ac:dyDescent="0.3">
      <c r="A468" t="str">
        <f>Table_Capacity_Community_frontsheet[[#This Row],[Name]]&amp;B468</f>
        <v>LambethReablement &amp; Rehabilitation in a bedded setting</v>
      </c>
      <c r="B468" t="str">
        <f>VLOOKUP(Table_Capacity_Community_frontsheet[[#This Row],[Service Area]],PathwayLookup!E:F,2,0)</f>
        <v>Reablement &amp; Rehabilitation in a bedded setting</v>
      </c>
      <c r="C468" t="s">
        <v>197</v>
      </c>
      <c r="D468" t="s">
        <v>723</v>
      </c>
      <c r="E468">
        <v>0</v>
      </c>
      <c r="F468">
        <v>0</v>
      </c>
      <c r="G468">
        <v>0</v>
      </c>
      <c r="H468">
        <v>0</v>
      </c>
      <c r="I468">
        <v>0</v>
      </c>
      <c r="J468">
        <v>0</v>
      </c>
      <c r="K468">
        <v>0</v>
      </c>
      <c r="L468">
        <v>0</v>
      </c>
      <c r="M468">
        <v>0</v>
      </c>
      <c r="N468">
        <v>0</v>
      </c>
      <c r="O468">
        <v>0</v>
      </c>
      <c r="P468">
        <v>0</v>
      </c>
      <c r="V468"/>
      <c r="W468"/>
      <c r="X468"/>
    </row>
    <row r="469" spans="1:24" x14ac:dyDescent="0.3">
      <c r="A469" t="str">
        <f>Table_Capacity_Community_frontsheet[[#This Row],[Name]]&amp;B469</f>
        <v>LambethReablement &amp; Rehabilitation in a bedded setting</v>
      </c>
      <c r="B469" t="str">
        <f>VLOOKUP(Table_Capacity_Community_frontsheet[[#This Row],[Service Area]],PathwayLookup!E:F,2,0)</f>
        <v>Reablement &amp; Rehabilitation in a bedded setting</v>
      </c>
      <c r="C469" t="s">
        <v>197</v>
      </c>
      <c r="D469" t="s">
        <v>725</v>
      </c>
      <c r="E469">
        <v>0</v>
      </c>
      <c r="F469">
        <v>0</v>
      </c>
      <c r="G469">
        <v>0</v>
      </c>
      <c r="H469">
        <v>0</v>
      </c>
      <c r="I469">
        <v>0</v>
      </c>
      <c r="J469">
        <v>0</v>
      </c>
      <c r="K469">
        <v>0</v>
      </c>
      <c r="L469">
        <v>0</v>
      </c>
      <c r="M469">
        <v>0</v>
      </c>
      <c r="N469">
        <v>0</v>
      </c>
      <c r="O469">
        <v>0</v>
      </c>
      <c r="P469">
        <v>0</v>
      </c>
      <c r="Q469">
        <v>1</v>
      </c>
      <c r="V469"/>
      <c r="W469"/>
      <c r="X469"/>
    </row>
    <row r="470" spans="1:24" x14ac:dyDescent="0.3">
      <c r="A470" t="str">
        <f>Table_Capacity_Community_frontsheet[[#This Row],[Name]]&amp;B470</f>
        <v>LambethOther short-term social care</v>
      </c>
      <c r="B470" t="str">
        <f>VLOOKUP(Table_Capacity_Community_frontsheet[[#This Row],[Service Area]],PathwayLookup!E:F,2,0)</f>
        <v>Other short-term social care</v>
      </c>
      <c r="C470" t="s">
        <v>197</v>
      </c>
      <c r="D470" t="s">
        <v>708</v>
      </c>
      <c r="E470">
        <v>0</v>
      </c>
      <c r="F470">
        <v>0</v>
      </c>
      <c r="G470">
        <v>0</v>
      </c>
      <c r="H470">
        <v>0</v>
      </c>
      <c r="I470">
        <v>0</v>
      </c>
      <c r="J470">
        <v>0</v>
      </c>
      <c r="K470">
        <v>0</v>
      </c>
      <c r="L470">
        <v>0</v>
      </c>
      <c r="M470">
        <v>0</v>
      </c>
      <c r="N470">
        <v>0</v>
      </c>
      <c r="O470">
        <v>0</v>
      </c>
      <c r="P470">
        <v>0</v>
      </c>
      <c r="V470"/>
      <c r="W470"/>
      <c r="X470"/>
    </row>
    <row r="471" spans="1:24" x14ac:dyDescent="0.3">
      <c r="A471" t="str">
        <f>Table_Capacity_Community_frontsheet[[#This Row],[Name]]&amp;B471</f>
        <v>LancashireSocial support (including VCS)</v>
      </c>
      <c r="B471" t="str">
        <f>VLOOKUP(Table_Capacity_Community_frontsheet[[#This Row],[Service Area]],PathwayLookup!E:F,2,0)</f>
        <v>Social support (including VCS)</v>
      </c>
      <c r="C471" t="s">
        <v>199</v>
      </c>
      <c r="D471" t="s">
        <v>704</v>
      </c>
      <c r="V471"/>
      <c r="W471"/>
      <c r="X471"/>
    </row>
    <row r="472" spans="1:24" x14ac:dyDescent="0.3">
      <c r="A472" t="str">
        <f>Table_Capacity_Community_frontsheet[[#This Row],[Name]]&amp;B472</f>
        <v>LancashireUrgent Community Response</v>
      </c>
      <c r="B472" t="str">
        <f>VLOOKUP(Table_Capacity_Community_frontsheet[[#This Row],[Service Area]],PathwayLookup!E:F,2,0)</f>
        <v>Urgent Community Response</v>
      </c>
      <c r="C472" t="s">
        <v>199</v>
      </c>
      <c r="D472" t="s">
        <v>705</v>
      </c>
      <c r="V472"/>
      <c r="W472"/>
      <c r="X472"/>
    </row>
    <row r="473" spans="1:24" x14ac:dyDescent="0.3">
      <c r="A473" t="str">
        <f>Table_Capacity_Community_frontsheet[[#This Row],[Name]]&amp;B473</f>
        <v>LancashireReablement &amp; Rehabilitation at home</v>
      </c>
      <c r="B473" t="str">
        <f>VLOOKUP(Table_Capacity_Community_frontsheet[[#This Row],[Service Area]],PathwayLookup!E:F,2,0)</f>
        <v>Reablement &amp; Rehabilitation at home</v>
      </c>
      <c r="C473" t="s">
        <v>199</v>
      </c>
      <c r="D473" t="s">
        <v>727</v>
      </c>
      <c r="E473">
        <v>494</v>
      </c>
      <c r="F473">
        <v>500</v>
      </c>
      <c r="G473">
        <v>494</v>
      </c>
      <c r="H473">
        <v>500</v>
      </c>
      <c r="I473">
        <v>500</v>
      </c>
      <c r="J473">
        <v>494</v>
      </c>
      <c r="K473">
        <v>500</v>
      </c>
      <c r="L473">
        <v>494</v>
      </c>
      <c r="M473">
        <v>500</v>
      </c>
      <c r="N473">
        <v>500</v>
      </c>
      <c r="O473">
        <v>482</v>
      </c>
      <c r="P473">
        <v>500</v>
      </c>
      <c r="R473">
        <v>1</v>
      </c>
      <c r="V473"/>
      <c r="W473"/>
      <c r="X473"/>
    </row>
    <row r="474" spans="1:24" x14ac:dyDescent="0.3">
      <c r="A474" t="str">
        <f>Table_Capacity_Community_frontsheet[[#This Row],[Name]]&amp;B474</f>
        <v>LancashireReablement &amp; Rehabilitation at home</v>
      </c>
      <c r="B474" t="str">
        <f>VLOOKUP(Table_Capacity_Community_frontsheet[[#This Row],[Service Area]],PathwayLookup!E:F,2,0)</f>
        <v>Reablement &amp; Rehabilitation at home</v>
      </c>
      <c r="C474" t="s">
        <v>199</v>
      </c>
      <c r="D474" t="s">
        <v>729</v>
      </c>
      <c r="V474"/>
      <c r="W474"/>
      <c r="X474"/>
    </row>
    <row r="475" spans="1:24" x14ac:dyDescent="0.3">
      <c r="A475" t="str">
        <f>Table_Capacity_Community_frontsheet[[#This Row],[Name]]&amp;B475</f>
        <v>LancashireReablement &amp; Rehabilitation in a bedded setting</v>
      </c>
      <c r="B475" t="str">
        <f>VLOOKUP(Table_Capacity_Community_frontsheet[[#This Row],[Service Area]],PathwayLookup!E:F,2,0)</f>
        <v>Reablement &amp; Rehabilitation in a bedded setting</v>
      </c>
      <c r="C475" t="s">
        <v>199</v>
      </c>
      <c r="D475" t="s">
        <v>723</v>
      </c>
      <c r="V475"/>
      <c r="W475"/>
      <c r="X475"/>
    </row>
    <row r="476" spans="1:24" x14ac:dyDescent="0.3">
      <c r="A476" t="str">
        <f>Table_Capacity_Community_frontsheet[[#This Row],[Name]]&amp;B476</f>
        <v>LancashireReablement &amp; Rehabilitation in a bedded setting</v>
      </c>
      <c r="B476" t="str">
        <f>VLOOKUP(Table_Capacity_Community_frontsheet[[#This Row],[Service Area]],PathwayLookup!E:F,2,0)</f>
        <v>Reablement &amp; Rehabilitation in a bedded setting</v>
      </c>
      <c r="C476" t="s">
        <v>199</v>
      </c>
      <c r="D476" t="s">
        <v>725</v>
      </c>
      <c r="V476"/>
      <c r="W476"/>
      <c r="X476"/>
    </row>
    <row r="477" spans="1:24" x14ac:dyDescent="0.3">
      <c r="A477" t="str">
        <f>Table_Capacity_Community_frontsheet[[#This Row],[Name]]&amp;B477</f>
        <v>LancashireOther short-term social care</v>
      </c>
      <c r="B477" t="str">
        <f>VLOOKUP(Table_Capacity_Community_frontsheet[[#This Row],[Service Area]],PathwayLookup!E:F,2,0)</f>
        <v>Other short-term social care</v>
      </c>
      <c r="C477" t="s">
        <v>199</v>
      </c>
      <c r="D477" t="s">
        <v>708</v>
      </c>
      <c r="V477"/>
      <c r="W477"/>
      <c r="X477"/>
    </row>
    <row r="478" spans="1:24" x14ac:dyDescent="0.3">
      <c r="A478" t="str">
        <f>Table_Capacity_Community_frontsheet[[#This Row],[Name]]&amp;B478</f>
        <v>LeedsSocial support (including VCS)</v>
      </c>
      <c r="B478" t="str">
        <f>VLOOKUP(Table_Capacity_Community_frontsheet[[#This Row],[Service Area]],PathwayLookup!E:F,2,0)</f>
        <v>Social support (including VCS)</v>
      </c>
      <c r="C478" t="s">
        <v>201</v>
      </c>
      <c r="D478" t="s">
        <v>704</v>
      </c>
      <c r="E478">
        <v>120</v>
      </c>
      <c r="F478">
        <v>120</v>
      </c>
      <c r="G478">
        <v>120</v>
      </c>
      <c r="H478">
        <v>120</v>
      </c>
      <c r="I478">
        <v>120</v>
      </c>
      <c r="J478">
        <v>120</v>
      </c>
      <c r="K478">
        <v>120</v>
      </c>
      <c r="L478">
        <v>120</v>
      </c>
      <c r="M478">
        <v>120</v>
      </c>
      <c r="N478">
        <v>120</v>
      </c>
      <c r="O478">
        <v>120</v>
      </c>
      <c r="P478">
        <v>120</v>
      </c>
      <c r="Q478">
        <v>1</v>
      </c>
      <c r="R478">
        <v>0</v>
      </c>
      <c r="V478"/>
      <c r="W478"/>
      <c r="X478"/>
    </row>
    <row r="479" spans="1:24" x14ac:dyDescent="0.3">
      <c r="A479" t="str">
        <f>Table_Capacity_Community_frontsheet[[#This Row],[Name]]&amp;B479</f>
        <v>LeedsUrgent Community Response</v>
      </c>
      <c r="B479" t="str">
        <f>VLOOKUP(Table_Capacity_Community_frontsheet[[#This Row],[Service Area]],PathwayLookup!E:F,2,0)</f>
        <v>Urgent Community Response</v>
      </c>
      <c r="C479" t="s">
        <v>201</v>
      </c>
      <c r="D479" t="s">
        <v>705</v>
      </c>
      <c r="E479">
        <v>442</v>
      </c>
      <c r="F479">
        <v>535</v>
      </c>
      <c r="G479">
        <v>516</v>
      </c>
      <c r="H479">
        <v>525</v>
      </c>
      <c r="I479">
        <v>526</v>
      </c>
      <c r="J479">
        <v>442</v>
      </c>
      <c r="K479">
        <v>503</v>
      </c>
      <c r="L479">
        <v>503</v>
      </c>
      <c r="M479">
        <v>508</v>
      </c>
      <c r="N479">
        <v>508</v>
      </c>
      <c r="O479">
        <v>454</v>
      </c>
      <c r="P479">
        <v>498</v>
      </c>
      <c r="Q479">
        <v>1</v>
      </c>
      <c r="R479">
        <v>0</v>
      </c>
      <c r="V479"/>
      <c r="W479"/>
      <c r="X479"/>
    </row>
    <row r="480" spans="1:24" x14ac:dyDescent="0.3">
      <c r="A480" t="str">
        <f>Table_Capacity_Community_frontsheet[[#This Row],[Name]]&amp;B480</f>
        <v>LeedsReablement &amp; Rehabilitation at home</v>
      </c>
      <c r="B480" t="str">
        <f>VLOOKUP(Table_Capacity_Community_frontsheet[[#This Row],[Service Area]],PathwayLookup!E:F,2,0)</f>
        <v>Reablement &amp; Rehabilitation at home</v>
      </c>
      <c r="C480" t="s">
        <v>201</v>
      </c>
      <c r="D480" t="s">
        <v>727</v>
      </c>
      <c r="E480">
        <v>32</v>
      </c>
      <c r="F480">
        <v>33</v>
      </c>
      <c r="G480">
        <v>32</v>
      </c>
      <c r="H480">
        <v>34</v>
      </c>
      <c r="I480">
        <v>34</v>
      </c>
      <c r="J480">
        <v>33</v>
      </c>
      <c r="K480">
        <v>35</v>
      </c>
      <c r="L480">
        <v>35</v>
      </c>
      <c r="M480">
        <v>36</v>
      </c>
      <c r="N480">
        <v>38</v>
      </c>
      <c r="O480">
        <v>37</v>
      </c>
      <c r="P480">
        <v>40</v>
      </c>
      <c r="Q480">
        <v>0</v>
      </c>
      <c r="R480">
        <v>1</v>
      </c>
      <c r="V480"/>
      <c r="W480"/>
      <c r="X480"/>
    </row>
    <row r="481" spans="1:24" x14ac:dyDescent="0.3">
      <c r="A481" t="str">
        <f>Table_Capacity_Community_frontsheet[[#This Row],[Name]]&amp;B481</f>
        <v>LeedsReablement &amp; Rehabilitation at home</v>
      </c>
      <c r="B481" t="str">
        <f>VLOOKUP(Table_Capacity_Community_frontsheet[[#This Row],[Service Area]],PathwayLookup!E:F,2,0)</f>
        <v>Reablement &amp; Rehabilitation at home</v>
      </c>
      <c r="C481" t="s">
        <v>201</v>
      </c>
      <c r="D481" t="s">
        <v>729</v>
      </c>
      <c r="E481">
        <v>996</v>
      </c>
      <c r="F481">
        <v>996</v>
      </c>
      <c r="G481">
        <v>996</v>
      </c>
      <c r="H481">
        <v>996</v>
      </c>
      <c r="I481">
        <v>996</v>
      </c>
      <c r="J481">
        <v>996</v>
      </c>
      <c r="K481">
        <v>996</v>
      </c>
      <c r="L481">
        <v>996</v>
      </c>
      <c r="M481">
        <v>996</v>
      </c>
      <c r="N481">
        <v>996</v>
      </c>
      <c r="O481">
        <v>996</v>
      </c>
      <c r="P481">
        <v>996</v>
      </c>
      <c r="Q481">
        <v>1</v>
      </c>
      <c r="R481">
        <v>0</v>
      </c>
      <c r="S481">
        <v>0</v>
      </c>
      <c r="V481"/>
      <c r="W481"/>
      <c r="X481"/>
    </row>
    <row r="482" spans="1:24" x14ac:dyDescent="0.3">
      <c r="A482" t="str">
        <f>Table_Capacity_Community_frontsheet[[#This Row],[Name]]&amp;B482</f>
        <v>LeedsReablement &amp; Rehabilitation in a bedded setting</v>
      </c>
      <c r="B482" t="str">
        <f>VLOOKUP(Table_Capacity_Community_frontsheet[[#This Row],[Service Area]],PathwayLookup!E:F,2,0)</f>
        <v>Reablement &amp; Rehabilitation in a bedded setting</v>
      </c>
      <c r="C482" t="s">
        <v>201</v>
      </c>
      <c r="D482" t="s">
        <v>723</v>
      </c>
      <c r="E482">
        <v>0</v>
      </c>
      <c r="F482">
        <v>0</v>
      </c>
      <c r="G482">
        <v>0</v>
      </c>
      <c r="H482">
        <v>0</v>
      </c>
      <c r="I482">
        <v>0</v>
      </c>
      <c r="J482">
        <v>0</v>
      </c>
      <c r="K482">
        <v>0</v>
      </c>
      <c r="L482">
        <v>0</v>
      </c>
      <c r="M482">
        <v>0</v>
      </c>
      <c r="N482">
        <v>0</v>
      </c>
      <c r="O482">
        <v>0</v>
      </c>
      <c r="P482">
        <v>0</v>
      </c>
      <c r="Q482">
        <v>0</v>
      </c>
      <c r="R482">
        <v>0</v>
      </c>
      <c r="S482">
        <v>0</v>
      </c>
      <c r="V482"/>
      <c r="W482"/>
      <c r="X482"/>
    </row>
    <row r="483" spans="1:24" x14ac:dyDescent="0.3">
      <c r="A483" t="str">
        <f>Table_Capacity_Community_frontsheet[[#This Row],[Name]]&amp;B483</f>
        <v>LeedsReablement &amp; Rehabilitation in a bedded setting</v>
      </c>
      <c r="B483" t="str">
        <f>VLOOKUP(Table_Capacity_Community_frontsheet[[#This Row],[Service Area]],PathwayLookup!E:F,2,0)</f>
        <v>Reablement &amp; Rehabilitation in a bedded setting</v>
      </c>
      <c r="C483" t="s">
        <v>201</v>
      </c>
      <c r="D483" t="s">
        <v>725</v>
      </c>
      <c r="E483">
        <v>7</v>
      </c>
      <c r="F483">
        <v>7</v>
      </c>
      <c r="G483">
        <v>7</v>
      </c>
      <c r="H483">
        <v>7</v>
      </c>
      <c r="I483">
        <v>7</v>
      </c>
      <c r="J483">
        <v>7</v>
      </c>
      <c r="K483">
        <v>7</v>
      </c>
      <c r="L483">
        <v>7</v>
      </c>
      <c r="M483">
        <v>8</v>
      </c>
      <c r="N483">
        <v>8</v>
      </c>
      <c r="O483">
        <v>8</v>
      </c>
      <c r="P483">
        <v>8</v>
      </c>
      <c r="Q483">
        <v>1</v>
      </c>
      <c r="R483">
        <v>0</v>
      </c>
      <c r="V483"/>
      <c r="W483"/>
      <c r="X483"/>
    </row>
    <row r="484" spans="1:24" x14ac:dyDescent="0.3">
      <c r="A484" t="str">
        <f>Table_Capacity_Community_frontsheet[[#This Row],[Name]]&amp;B484</f>
        <v>LeedsOther short-term social care</v>
      </c>
      <c r="B484" t="str">
        <f>VLOOKUP(Table_Capacity_Community_frontsheet[[#This Row],[Service Area]],PathwayLookup!E:F,2,0)</f>
        <v>Other short-term social care</v>
      </c>
      <c r="C484" t="s">
        <v>201</v>
      </c>
      <c r="D484" t="s">
        <v>708</v>
      </c>
      <c r="E484">
        <v>0</v>
      </c>
      <c r="F484">
        <v>0</v>
      </c>
      <c r="G484">
        <v>0</v>
      </c>
      <c r="H484">
        <v>0</v>
      </c>
      <c r="I484">
        <v>0</v>
      </c>
      <c r="J484">
        <v>0</v>
      </c>
      <c r="K484">
        <v>0</v>
      </c>
      <c r="L484">
        <v>0</v>
      </c>
      <c r="M484">
        <v>0</v>
      </c>
      <c r="N484">
        <v>0</v>
      </c>
      <c r="O484">
        <v>0</v>
      </c>
      <c r="P484">
        <v>0</v>
      </c>
      <c r="Q484">
        <v>0</v>
      </c>
      <c r="R484">
        <v>0</v>
      </c>
      <c r="V484"/>
      <c r="W484"/>
      <c r="X484"/>
    </row>
    <row r="485" spans="1:24" x14ac:dyDescent="0.3">
      <c r="A485" t="str">
        <f>Table_Capacity_Community_frontsheet[[#This Row],[Name]]&amp;B485</f>
        <v>LeicesterSocial support (including VCS)</v>
      </c>
      <c r="B485" t="str">
        <f>VLOOKUP(Table_Capacity_Community_frontsheet[[#This Row],[Service Area]],PathwayLookup!E:F,2,0)</f>
        <v>Social support (including VCS)</v>
      </c>
      <c r="C485" t="s">
        <v>203</v>
      </c>
      <c r="D485" t="s">
        <v>704</v>
      </c>
      <c r="E485">
        <v>0</v>
      </c>
      <c r="F485">
        <v>0</v>
      </c>
      <c r="G485">
        <v>0</v>
      </c>
      <c r="H485">
        <v>0</v>
      </c>
      <c r="I485">
        <v>0</v>
      </c>
      <c r="J485">
        <v>0</v>
      </c>
      <c r="K485">
        <v>0</v>
      </c>
      <c r="L485">
        <v>0</v>
      </c>
      <c r="M485">
        <v>0</v>
      </c>
      <c r="N485">
        <v>0</v>
      </c>
      <c r="O485">
        <v>0</v>
      </c>
      <c r="P485">
        <v>0</v>
      </c>
      <c r="S485">
        <v>1</v>
      </c>
      <c r="V485"/>
      <c r="W485"/>
      <c r="X485"/>
    </row>
    <row r="486" spans="1:24" x14ac:dyDescent="0.3">
      <c r="A486" t="str">
        <f>Table_Capacity_Community_frontsheet[[#This Row],[Name]]&amp;B486</f>
        <v>LeicesterUrgent Community Response</v>
      </c>
      <c r="B486" t="str">
        <f>VLOOKUP(Table_Capacity_Community_frontsheet[[#This Row],[Service Area]],PathwayLookup!E:F,2,0)</f>
        <v>Urgent Community Response</v>
      </c>
      <c r="C486" t="s">
        <v>203</v>
      </c>
      <c r="D486" t="s">
        <v>705</v>
      </c>
      <c r="E486">
        <v>480</v>
      </c>
      <c r="F486">
        <v>480</v>
      </c>
      <c r="G486">
        <v>480</v>
      </c>
      <c r="H486">
        <v>480</v>
      </c>
      <c r="I486">
        <v>480</v>
      </c>
      <c r="J486">
        <v>480</v>
      </c>
      <c r="K486">
        <v>480</v>
      </c>
      <c r="L486">
        <v>480</v>
      </c>
      <c r="M486">
        <v>480</v>
      </c>
      <c r="N486">
        <v>480</v>
      </c>
      <c r="O486">
        <v>480</v>
      </c>
      <c r="P486">
        <v>480</v>
      </c>
      <c r="S486">
        <v>1</v>
      </c>
      <c r="V486"/>
      <c r="W486"/>
      <c r="X486"/>
    </row>
    <row r="487" spans="1:24" x14ac:dyDescent="0.3">
      <c r="A487" t="str">
        <f>Table_Capacity_Community_frontsheet[[#This Row],[Name]]&amp;B487</f>
        <v>LeicesterReablement &amp; Rehabilitation at home</v>
      </c>
      <c r="B487" t="str">
        <f>VLOOKUP(Table_Capacity_Community_frontsheet[[#This Row],[Service Area]],PathwayLookup!E:F,2,0)</f>
        <v>Reablement &amp; Rehabilitation at home</v>
      </c>
      <c r="C487" t="s">
        <v>203</v>
      </c>
      <c r="D487" t="s">
        <v>727</v>
      </c>
      <c r="E487">
        <v>26</v>
      </c>
      <c r="F487">
        <v>26</v>
      </c>
      <c r="G487">
        <v>26</v>
      </c>
      <c r="H487">
        <v>26</v>
      </c>
      <c r="I487">
        <v>26</v>
      </c>
      <c r="J487">
        <v>26</v>
      </c>
      <c r="K487">
        <v>26</v>
      </c>
      <c r="L487">
        <v>30</v>
      </c>
      <c r="M487">
        <v>30</v>
      </c>
      <c r="N487">
        <v>30</v>
      </c>
      <c r="O487">
        <v>30</v>
      </c>
      <c r="P487">
        <v>30</v>
      </c>
      <c r="R487">
        <v>1</v>
      </c>
      <c r="V487"/>
      <c r="W487"/>
      <c r="X487"/>
    </row>
    <row r="488" spans="1:24" x14ac:dyDescent="0.3">
      <c r="A488" t="str">
        <f>Table_Capacity_Community_frontsheet[[#This Row],[Name]]&amp;B488</f>
        <v>LeicesterReablement &amp; Rehabilitation at home</v>
      </c>
      <c r="B488" t="str">
        <f>VLOOKUP(Table_Capacity_Community_frontsheet[[#This Row],[Service Area]],PathwayLookup!E:F,2,0)</f>
        <v>Reablement &amp; Rehabilitation at home</v>
      </c>
      <c r="C488" t="s">
        <v>203</v>
      </c>
      <c r="D488" t="s">
        <v>729</v>
      </c>
      <c r="E488">
        <v>377</v>
      </c>
      <c r="F488">
        <v>434</v>
      </c>
      <c r="G488">
        <v>440</v>
      </c>
      <c r="H488">
        <v>440</v>
      </c>
      <c r="I488">
        <v>440</v>
      </c>
      <c r="J488">
        <v>440</v>
      </c>
      <c r="K488">
        <v>440</v>
      </c>
      <c r="L488">
        <v>440</v>
      </c>
      <c r="M488">
        <v>440</v>
      </c>
      <c r="N488">
        <v>440</v>
      </c>
      <c r="O488">
        <v>440</v>
      </c>
      <c r="P488">
        <v>440</v>
      </c>
      <c r="Q488">
        <v>1</v>
      </c>
      <c r="V488"/>
      <c r="W488"/>
      <c r="X488"/>
    </row>
    <row r="489" spans="1:24" x14ac:dyDescent="0.3">
      <c r="A489" t="str">
        <f>Table_Capacity_Community_frontsheet[[#This Row],[Name]]&amp;B489</f>
        <v>LeicesterReablement &amp; Rehabilitation in a bedded setting</v>
      </c>
      <c r="B489" t="str">
        <f>VLOOKUP(Table_Capacity_Community_frontsheet[[#This Row],[Service Area]],PathwayLookup!E:F,2,0)</f>
        <v>Reablement &amp; Rehabilitation in a bedded setting</v>
      </c>
      <c r="C489" t="s">
        <v>203</v>
      </c>
      <c r="D489" t="s">
        <v>723</v>
      </c>
      <c r="E489">
        <v>0</v>
      </c>
      <c r="F489">
        <v>0</v>
      </c>
      <c r="G489">
        <v>0</v>
      </c>
      <c r="H489">
        <v>0</v>
      </c>
      <c r="I489">
        <v>0</v>
      </c>
      <c r="J489">
        <v>0</v>
      </c>
      <c r="K489">
        <v>0</v>
      </c>
      <c r="L489">
        <v>0</v>
      </c>
      <c r="M489">
        <v>0</v>
      </c>
      <c r="N489">
        <v>0</v>
      </c>
      <c r="O489">
        <v>0</v>
      </c>
      <c r="P489">
        <v>0</v>
      </c>
      <c r="S489">
        <v>1</v>
      </c>
      <c r="V489"/>
      <c r="W489"/>
      <c r="X489"/>
    </row>
    <row r="490" spans="1:24" x14ac:dyDescent="0.3">
      <c r="A490" t="str">
        <f>Table_Capacity_Community_frontsheet[[#This Row],[Name]]&amp;B490</f>
        <v>LeicesterReablement &amp; Rehabilitation in a bedded setting</v>
      </c>
      <c r="B490" t="str">
        <f>VLOOKUP(Table_Capacity_Community_frontsheet[[#This Row],[Service Area]],PathwayLookup!E:F,2,0)</f>
        <v>Reablement &amp; Rehabilitation in a bedded setting</v>
      </c>
      <c r="C490" t="s">
        <v>203</v>
      </c>
      <c r="D490" t="s">
        <v>725</v>
      </c>
      <c r="E490">
        <v>0</v>
      </c>
      <c r="F490">
        <v>0</v>
      </c>
      <c r="G490">
        <v>0</v>
      </c>
      <c r="H490">
        <v>0</v>
      </c>
      <c r="I490">
        <v>0</v>
      </c>
      <c r="J490">
        <v>0</v>
      </c>
      <c r="K490">
        <v>0</v>
      </c>
      <c r="L490">
        <v>0</v>
      </c>
      <c r="M490">
        <v>0</v>
      </c>
      <c r="N490">
        <v>0</v>
      </c>
      <c r="O490">
        <v>0</v>
      </c>
      <c r="P490">
        <v>0</v>
      </c>
      <c r="Q490">
        <v>1</v>
      </c>
      <c r="V490"/>
      <c r="W490"/>
      <c r="X490"/>
    </row>
    <row r="491" spans="1:24" x14ac:dyDescent="0.3">
      <c r="A491" t="str">
        <f>Table_Capacity_Community_frontsheet[[#This Row],[Name]]&amp;B491</f>
        <v>LeicesterOther short-term social care</v>
      </c>
      <c r="B491" t="str">
        <f>VLOOKUP(Table_Capacity_Community_frontsheet[[#This Row],[Service Area]],PathwayLookup!E:F,2,0)</f>
        <v>Other short-term social care</v>
      </c>
      <c r="C491" t="s">
        <v>203</v>
      </c>
      <c r="D491" t="s">
        <v>708</v>
      </c>
      <c r="E491">
        <v>10</v>
      </c>
      <c r="F491">
        <v>10</v>
      </c>
      <c r="G491">
        <v>10</v>
      </c>
      <c r="H491">
        <v>10</v>
      </c>
      <c r="I491">
        <v>10</v>
      </c>
      <c r="J491">
        <v>10</v>
      </c>
      <c r="K491">
        <v>10</v>
      </c>
      <c r="L491">
        <v>10</v>
      </c>
      <c r="M491">
        <v>10</v>
      </c>
      <c r="N491">
        <v>10</v>
      </c>
      <c r="O491">
        <v>10</v>
      </c>
      <c r="P491">
        <v>10</v>
      </c>
      <c r="R491">
        <v>1</v>
      </c>
      <c r="V491"/>
      <c r="W491"/>
      <c r="X491"/>
    </row>
    <row r="492" spans="1:24" x14ac:dyDescent="0.3">
      <c r="A492" t="str">
        <f>Table_Capacity_Community_frontsheet[[#This Row],[Name]]&amp;B492</f>
        <v>LeicestershireSocial support (including VCS)</v>
      </c>
      <c r="B492" t="str">
        <f>VLOOKUP(Table_Capacity_Community_frontsheet[[#This Row],[Service Area]],PathwayLookup!E:F,2,0)</f>
        <v>Social support (including VCS)</v>
      </c>
      <c r="C492" t="s">
        <v>205</v>
      </c>
      <c r="D492" t="s">
        <v>704</v>
      </c>
      <c r="E492">
        <v>389</v>
      </c>
      <c r="F492">
        <v>389</v>
      </c>
      <c r="G492">
        <v>389</v>
      </c>
      <c r="H492">
        <v>389</v>
      </c>
      <c r="I492">
        <v>389</v>
      </c>
      <c r="J492">
        <v>389</v>
      </c>
      <c r="K492">
        <v>389</v>
      </c>
      <c r="L492">
        <v>389</v>
      </c>
      <c r="M492">
        <v>389</v>
      </c>
      <c r="N492">
        <v>389</v>
      </c>
      <c r="O492">
        <v>389</v>
      </c>
      <c r="P492">
        <v>389</v>
      </c>
      <c r="S492">
        <v>1</v>
      </c>
      <c r="V492"/>
      <c r="W492"/>
      <c r="X492"/>
    </row>
    <row r="493" spans="1:24" x14ac:dyDescent="0.3">
      <c r="A493" t="str">
        <f>Table_Capacity_Community_frontsheet[[#This Row],[Name]]&amp;B493</f>
        <v>LeicestershireUrgent Community Response</v>
      </c>
      <c r="B493" t="str">
        <f>VLOOKUP(Table_Capacity_Community_frontsheet[[#This Row],[Service Area]],PathwayLookup!E:F,2,0)</f>
        <v>Urgent Community Response</v>
      </c>
      <c r="C493" t="s">
        <v>205</v>
      </c>
      <c r="D493" t="s">
        <v>705</v>
      </c>
      <c r="E493">
        <v>4</v>
      </c>
      <c r="F493">
        <v>4</v>
      </c>
      <c r="G493">
        <v>4</v>
      </c>
      <c r="H493">
        <v>4</v>
      </c>
      <c r="I493">
        <v>4</v>
      </c>
      <c r="J493">
        <v>4</v>
      </c>
      <c r="K493">
        <v>4</v>
      </c>
      <c r="L493">
        <v>4</v>
      </c>
      <c r="M493">
        <v>4</v>
      </c>
      <c r="N493">
        <v>4</v>
      </c>
      <c r="O493">
        <v>4</v>
      </c>
      <c r="P493">
        <v>4</v>
      </c>
      <c r="S493">
        <v>1</v>
      </c>
      <c r="V493"/>
      <c r="W493"/>
      <c r="X493"/>
    </row>
    <row r="494" spans="1:24" x14ac:dyDescent="0.3">
      <c r="A494" t="str">
        <f>Table_Capacity_Community_frontsheet[[#This Row],[Name]]&amp;B494</f>
        <v>LeicestershireReablement &amp; Rehabilitation at home</v>
      </c>
      <c r="B494" t="str">
        <f>VLOOKUP(Table_Capacity_Community_frontsheet[[#This Row],[Service Area]],PathwayLookup!E:F,2,0)</f>
        <v>Reablement &amp; Rehabilitation at home</v>
      </c>
      <c r="C494" t="s">
        <v>205</v>
      </c>
      <c r="D494" t="s">
        <v>727</v>
      </c>
      <c r="E494">
        <v>110</v>
      </c>
      <c r="F494">
        <v>106</v>
      </c>
      <c r="G494">
        <v>128</v>
      </c>
      <c r="H494">
        <v>132</v>
      </c>
      <c r="I494">
        <v>110</v>
      </c>
      <c r="J494">
        <v>98</v>
      </c>
      <c r="K494">
        <v>117</v>
      </c>
      <c r="L494">
        <v>135</v>
      </c>
      <c r="M494">
        <v>171</v>
      </c>
      <c r="N494">
        <v>159</v>
      </c>
      <c r="O494">
        <v>151</v>
      </c>
      <c r="P494">
        <v>132</v>
      </c>
      <c r="R494">
        <v>1</v>
      </c>
      <c r="V494"/>
      <c r="W494"/>
      <c r="X494"/>
    </row>
    <row r="495" spans="1:24" x14ac:dyDescent="0.3">
      <c r="A495" t="str">
        <f>Table_Capacity_Community_frontsheet[[#This Row],[Name]]&amp;B495</f>
        <v>LeicestershireReablement &amp; Rehabilitation at home</v>
      </c>
      <c r="B495" t="str">
        <f>VLOOKUP(Table_Capacity_Community_frontsheet[[#This Row],[Service Area]],PathwayLookup!E:F,2,0)</f>
        <v>Reablement &amp; Rehabilitation at home</v>
      </c>
      <c r="C495" t="s">
        <v>205</v>
      </c>
      <c r="D495" t="s">
        <v>729</v>
      </c>
      <c r="E495">
        <v>585.28</v>
      </c>
      <c r="F495">
        <v>674.37</v>
      </c>
      <c r="G495">
        <v>694.43000000000006</v>
      </c>
      <c r="H495">
        <v>649.59</v>
      </c>
      <c r="I495">
        <v>650.18000000000006</v>
      </c>
      <c r="J495">
        <v>561.09</v>
      </c>
      <c r="K495">
        <v>547.52</v>
      </c>
      <c r="L495">
        <v>590</v>
      </c>
      <c r="M495">
        <v>604.16000000000008</v>
      </c>
      <c r="N495">
        <v>751.66</v>
      </c>
      <c r="O495">
        <v>579.97</v>
      </c>
      <c r="P495">
        <v>592.36</v>
      </c>
      <c r="Q495">
        <v>1</v>
      </c>
      <c r="V495"/>
      <c r="W495"/>
      <c r="X495"/>
    </row>
    <row r="496" spans="1:24" x14ac:dyDescent="0.3">
      <c r="A496" t="str">
        <f>Table_Capacity_Community_frontsheet[[#This Row],[Name]]&amp;B496</f>
        <v>LeicestershireReablement &amp; Rehabilitation in a bedded setting</v>
      </c>
      <c r="B496" t="str">
        <f>VLOOKUP(Table_Capacity_Community_frontsheet[[#This Row],[Service Area]],PathwayLookup!E:F,2,0)</f>
        <v>Reablement &amp; Rehabilitation in a bedded setting</v>
      </c>
      <c r="C496" t="s">
        <v>205</v>
      </c>
      <c r="D496" t="s">
        <v>723</v>
      </c>
      <c r="E496">
        <v>190</v>
      </c>
      <c r="F496">
        <v>158</v>
      </c>
      <c r="G496">
        <v>168</v>
      </c>
      <c r="H496">
        <v>178</v>
      </c>
      <c r="I496">
        <v>163</v>
      </c>
      <c r="J496">
        <v>163</v>
      </c>
      <c r="K496">
        <v>159</v>
      </c>
      <c r="L496">
        <v>144</v>
      </c>
      <c r="M496">
        <v>133</v>
      </c>
      <c r="N496">
        <v>127</v>
      </c>
      <c r="O496">
        <v>120</v>
      </c>
      <c r="P496">
        <v>113</v>
      </c>
      <c r="S496">
        <v>1</v>
      </c>
      <c r="V496"/>
      <c r="W496"/>
      <c r="X496"/>
    </row>
    <row r="497" spans="1:24" x14ac:dyDescent="0.3">
      <c r="A497" t="str">
        <f>Table_Capacity_Community_frontsheet[[#This Row],[Name]]&amp;B497</f>
        <v>LeicestershireReablement &amp; Rehabilitation in a bedded setting</v>
      </c>
      <c r="B497" t="str">
        <f>VLOOKUP(Table_Capacity_Community_frontsheet[[#This Row],[Service Area]],PathwayLookup!E:F,2,0)</f>
        <v>Reablement &amp; Rehabilitation in a bedded setting</v>
      </c>
      <c r="C497" t="s">
        <v>205</v>
      </c>
      <c r="D497" t="s">
        <v>725</v>
      </c>
      <c r="E497">
        <v>0</v>
      </c>
      <c r="F497">
        <v>0</v>
      </c>
      <c r="G497">
        <v>0</v>
      </c>
      <c r="H497">
        <v>0</v>
      </c>
      <c r="I497">
        <v>0</v>
      </c>
      <c r="J497">
        <v>0</v>
      </c>
      <c r="K497">
        <v>0</v>
      </c>
      <c r="L497">
        <v>0</v>
      </c>
      <c r="M497">
        <v>0</v>
      </c>
      <c r="N497">
        <v>0</v>
      </c>
      <c r="O497">
        <v>0</v>
      </c>
      <c r="P497">
        <v>0</v>
      </c>
      <c r="Q497">
        <v>1</v>
      </c>
      <c r="V497"/>
      <c r="W497"/>
      <c r="X497"/>
    </row>
    <row r="498" spans="1:24" x14ac:dyDescent="0.3">
      <c r="A498" t="str">
        <f>Table_Capacity_Community_frontsheet[[#This Row],[Name]]&amp;B498</f>
        <v>LeicestershireOther short-term social care</v>
      </c>
      <c r="B498" t="str">
        <f>VLOOKUP(Table_Capacity_Community_frontsheet[[#This Row],[Service Area]],PathwayLookup!E:F,2,0)</f>
        <v>Other short-term social care</v>
      </c>
      <c r="C498" t="s">
        <v>205</v>
      </c>
      <c r="D498" t="s">
        <v>708</v>
      </c>
      <c r="E498">
        <v>9</v>
      </c>
      <c r="F498">
        <v>7</v>
      </c>
      <c r="G498">
        <v>6</v>
      </c>
      <c r="H498">
        <v>6</v>
      </c>
      <c r="I498">
        <v>5</v>
      </c>
      <c r="J498">
        <v>4</v>
      </c>
      <c r="K498">
        <v>9</v>
      </c>
      <c r="L498">
        <v>4</v>
      </c>
      <c r="M498">
        <v>5</v>
      </c>
      <c r="N498">
        <v>7</v>
      </c>
      <c r="O498">
        <v>4</v>
      </c>
      <c r="P498">
        <v>5</v>
      </c>
      <c r="R498">
        <v>1</v>
      </c>
      <c r="V498"/>
      <c r="W498"/>
      <c r="X498"/>
    </row>
    <row r="499" spans="1:24" x14ac:dyDescent="0.3">
      <c r="A499" t="str">
        <f>Table_Capacity_Community_frontsheet[[#This Row],[Name]]&amp;B499</f>
        <v>LewishamSocial support (including VCS)</v>
      </c>
      <c r="B499" t="str">
        <f>VLOOKUP(Table_Capacity_Community_frontsheet[[#This Row],[Service Area]],PathwayLookup!E:F,2,0)</f>
        <v>Social support (including VCS)</v>
      </c>
      <c r="C499" t="s">
        <v>207</v>
      </c>
      <c r="D499" t="s">
        <v>704</v>
      </c>
      <c r="V499"/>
      <c r="W499"/>
      <c r="X499"/>
    </row>
    <row r="500" spans="1:24" x14ac:dyDescent="0.3">
      <c r="A500" t="str">
        <f>Table_Capacity_Community_frontsheet[[#This Row],[Name]]&amp;B500</f>
        <v>LewishamUrgent Community Response</v>
      </c>
      <c r="B500" t="str">
        <f>VLOOKUP(Table_Capacity_Community_frontsheet[[#This Row],[Service Area]],PathwayLookup!E:F,2,0)</f>
        <v>Urgent Community Response</v>
      </c>
      <c r="C500" t="s">
        <v>207</v>
      </c>
      <c r="D500" t="s">
        <v>705</v>
      </c>
      <c r="E500">
        <v>205</v>
      </c>
      <c r="F500">
        <v>205</v>
      </c>
      <c r="G500">
        <v>205</v>
      </c>
      <c r="H500">
        <v>205</v>
      </c>
      <c r="I500">
        <v>205</v>
      </c>
      <c r="J500">
        <v>205</v>
      </c>
      <c r="K500">
        <v>205</v>
      </c>
      <c r="L500">
        <v>205</v>
      </c>
      <c r="M500">
        <v>205</v>
      </c>
      <c r="N500">
        <v>205</v>
      </c>
      <c r="O500">
        <v>205</v>
      </c>
      <c r="P500">
        <v>205</v>
      </c>
      <c r="Q500">
        <v>1</v>
      </c>
      <c r="V500"/>
      <c r="W500"/>
      <c r="X500"/>
    </row>
    <row r="501" spans="1:24" x14ac:dyDescent="0.3">
      <c r="A501" t="str">
        <f>Table_Capacity_Community_frontsheet[[#This Row],[Name]]&amp;B501</f>
        <v>LewishamReablement &amp; Rehabilitation at home</v>
      </c>
      <c r="B501" t="str">
        <f>VLOOKUP(Table_Capacity_Community_frontsheet[[#This Row],[Service Area]],PathwayLookup!E:F,2,0)</f>
        <v>Reablement &amp; Rehabilitation at home</v>
      </c>
      <c r="C501" t="s">
        <v>207</v>
      </c>
      <c r="D501" t="s">
        <v>727</v>
      </c>
      <c r="E501">
        <v>30</v>
      </c>
      <c r="F501">
        <v>30</v>
      </c>
      <c r="G501">
        <v>30</v>
      </c>
      <c r="H501">
        <v>30</v>
      </c>
      <c r="I501">
        <v>30</v>
      </c>
      <c r="J501">
        <v>30</v>
      </c>
      <c r="K501">
        <v>30</v>
      </c>
      <c r="L501">
        <v>30</v>
      </c>
      <c r="M501">
        <v>30</v>
      </c>
      <c r="N501">
        <v>30</v>
      </c>
      <c r="O501">
        <v>30</v>
      </c>
      <c r="P501">
        <v>30</v>
      </c>
      <c r="Q501">
        <v>0.3</v>
      </c>
      <c r="R501">
        <v>0.7</v>
      </c>
      <c r="S501">
        <v>1</v>
      </c>
      <c r="V501"/>
      <c r="W501"/>
      <c r="X501"/>
    </row>
    <row r="502" spans="1:24" x14ac:dyDescent="0.3">
      <c r="A502" t="str">
        <f>Table_Capacity_Community_frontsheet[[#This Row],[Name]]&amp;B502</f>
        <v>LewishamReablement &amp; Rehabilitation at home</v>
      </c>
      <c r="B502" t="str">
        <f>VLOOKUP(Table_Capacity_Community_frontsheet[[#This Row],[Service Area]],PathwayLookup!E:F,2,0)</f>
        <v>Reablement &amp; Rehabilitation at home</v>
      </c>
      <c r="C502" t="s">
        <v>207</v>
      </c>
      <c r="D502" t="s">
        <v>729</v>
      </c>
      <c r="V502"/>
      <c r="W502"/>
      <c r="X502"/>
    </row>
    <row r="503" spans="1:24" x14ac:dyDescent="0.3">
      <c r="A503" t="str">
        <f>Table_Capacity_Community_frontsheet[[#This Row],[Name]]&amp;B503</f>
        <v>LewishamReablement &amp; Rehabilitation in a bedded setting</v>
      </c>
      <c r="B503" t="str">
        <f>VLOOKUP(Table_Capacity_Community_frontsheet[[#This Row],[Service Area]],PathwayLookup!E:F,2,0)</f>
        <v>Reablement &amp; Rehabilitation in a bedded setting</v>
      </c>
      <c r="C503" t="s">
        <v>207</v>
      </c>
      <c r="D503" t="s">
        <v>723</v>
      </c>
      <c r="V503"/>
      <c r="W503"/>
      <c r="X503"/>
    </row>
    <row r="504" spans="1:24" x14ac:dyDescent="0.3">
      <c r="A504" t="str">
        <f>Table_Capacity_Community_frontsheet[[#This Row],[Name]]&amp;B504</f>
        <v>LewishamReablement &amp; Rehabilitation in a bedded setting</v>
      </c>
      <c r="B504" t="str">
        <f>VLOOKUP(Table_Capacity_Community_frontsheet[[#This Row],[Service Area]],PathwayLookup!E:F,2,0)</f>
        <v>Reablement &amp; Rehabilitation in a bedded setting</v>
      </c>
      <c r="C504" t="s">
        <v>207</v>
      </c>
      <c r="D504" t="s">
        <v>725</v>
      </c>
      <c r="E504">
        <v>0</v>
      </c>
      <c r="F504">
        <v>0</v>
      </c>
      <c r="G504">
        <v>0</v>
      </c>
      <c r="H504">
        <v>0</v>
      </c>
      <c r="I504">
        <v>0</v>
      </c>
      <c r="J504">
        <v>0</v>
      </c>
      <c r="K504">
        <v>0</v>
      </c>
      <c r="L504">
        <v>0</v>
      </c>
      <c r="M504">
        <v>0</v>
      </c>
      <c r="N504">
        <v>0</v>
      </c>
      <c r="O504">
        <v>0</v>
      </c>
      <c r="P504">
        <v>0</v>
      </c>
      <c r="V504"/>
      <c r="W504"/>
      <c r="X504"/>
    </row>
    <row r="505" spans="1:24" x14ac:dyDescent="0.3">
      <c r="A505" t="str">
        <f>Table_Capacity_Community_frontsheet[[#This Row],[Name]]&amp;B505</f>
        <v>LewishamOther short-term social care</v>
      </c>
      <c r="B505" t="str">
        <f>VLOOKUP(Table_Capacity_Community_frontsheet[[#This Row],[Service Area]],PathwayLookup!E:F,2,0)</f>
        <v>Other short-term social care</v>
      </c>
      <c r="C505" t="s">
        <v>207</v>
      </c>
      <c r="D505" t="s">
        <v>708</v>
      </c>
      <c r="E505">
        <v>20</v>
      </c>
      <c r="F505">
        <v>20</v>
      </c>
      <c r="G505">
        <v>20</v>
      </c>
      <c r="H505">
        <v>20</v>
      </c>
      <c r="I505">
        <v>20</v>
      </c>
      <c r="J505">
        <v>20</v>
      </c>
      <c r="K505">
        <v>20</v>
      </c>
      <c r="L505">
        <v>20</v>
      </c>
      <c r="M505">
        <v>20</v>
      </c>
      <c r="N505">
        <v>20</v>
      </c>
      <c r="O505">
        <v>20</v>
      </c>
      <c r="P505">
        <v>20</v>
      </c>
      <c r="R505">
        <v>1</v>
      </c>
      <c r="V505"/>
      <c r="W505"/>
      <c r="X505"/>
    </row>
    <row r="506" spans="1:24" x14ac:dyDescent="0.3">
      <c r="A506" t="str">
        <f>Table_Capacity_Community_frontsheet[[#This Row],[Name]]&amp;B506</f>
        <v>LincolnshireSocial support (including VCS)</v>
      </c>
      <c r="B506" t="str">
        <f>VLOOKUP(Table_Capacity_Community_frontsheet[[#This Row],[Service Area]],PathwayLookup!E:F,2,0)</f>
        <v>Social support (including VCS)</v>
      </c>
      <c r="C506" t="s">
        <v>209</v>
      </c>
      <c r="D506" t="s">
        <v>704</v>
      </c>
      <c r="V506"/>
      <c r="W506"/>
      <c r="X506"/>
    </row>
    <row r="507" spans="1:24" x14ac:dyDescent="0.3">
      <c r="A507" t="str">
        <f>Table_Capacity_Community_frontsheet[[#This Row],[Name]]&amp;B507</f>
        <v>LincolnshireUrgent Community Response</v>
      </c>
      <c r="B507" t="str">
        <f>VLOOKUP(Table_Capacity_Community_frontsheet[[#This Row],[Service Area]],PathwayLookup!E:F,2,0)</f>
        <v>Urgent Community Response</v>
      </c>
      <c r="C507" t="s">
        <v>209</v>
      </c>
      <c r="D507" t="s">
        <v>705</v>
      </c>
      <c r="E507">
        <v>313</v>
      </c>
      <c r="F507">
        <v>324</v>
      </c>
      <c r="G507">
        <v>313</v>
      </c>
      <c r="H507">
        <v>324</v>
      </c>
      <c r="I507">
        <v>324</v>
      </c>
      <c r="J507">
        <v>313</v>
      </c>
      <c r="K507">
        <v>324</v>
      </c>
      <c r="L507">
        <v>313</v>
      </c>
      <c r="M507">
        <v>324</v>
      </c>
      <c r="N507">
        <v>324</v>
      </c>
      <c r="O507">
        <v>303</v>
      </c>
      <c r="P507">
        <v>324</v>
      </c>
      <c r="V507"/>
      <c r="W507"/>
      <c r="X507"/>
    </row>
    <row r="508" spans="1:24" x14ac:dyDescent="0.3">
      <c r="A508" t="str">
        <f>Table_Capacity_Community_frontsheet[[#This Row],[Name]]&amp;B508</f>
        <v>LincolnshireReablement &amp; Rehabilitation at home</v>
      </c>
      <c r="B508" t="str">
        <f>VLOOKUP(Table_Capacity_Community_frontsheet[[#This Row],[Service Area]],PathwayLookup!E:F,2,0)</f>
        <v>Reablement &amp; Rehabilitation at home</v>
      </c>
      <c r="C508" t="s">
        <v>209</v>
      </c>
      <c r="D508" t="s">
        <v>727</v>
      </c>
      <c r="E508">
        <v>87</v>
      </c>
      <c r="F508">
        <v>90</v>
      </c>
      <c r="G508">
        <v>87</v>
      </c>
      <c r="H508">
        <v>90</v>
      </c>
      <c r="I508">
        <v>90</v>
      </c>
      <c r="J508">
        <v>87</v>
      </c>
      <c r="K508">
        <v>90</v>
      </c>
      <c r="L508">
        <v>87</v>
      </c>
      <c r="M508">
        <v>90</v>
      </c>
      <c r="N508">
        <v>90</v>
      </c>
      <c r="O508">
        <v>84</v>
      </c>
      <c r="P508">
        <v>90</v>
      </c>
      <c r="V508"/>
      <c r="W508"/>
      <c r="X508"/>
    </row>
    <row r="509" spans="1:24" x14ac:dyDescent="0.3">
      <c r="A509" t="str">
        <f>Table_Capacity_Community_frontsheet[[#This Row],[Name]]&amp;B509</f>
        <v>LincolnshireReablement &amp; Rehabilitation at home</v>
      </c>
      <c r="B509" t="str">
        <f>VLOOKUP(Table_Capacity_Community_frontsheet[[#This Row],[Service Area]],PathwayLookup!E:F,2,0)</f>
        <v>Reablement &amp; Rehabilitation at home</v>
      </c>
      <c r="C509" t="s">
        <v>209</v>
      </c>
      <c r="D509" t="s">
        <v>729</v>
      </c>
      <c r="V509"/>
      <c r="W509"/>
      <c r="X509"/>
    </row>
    <row r="510" spans="1:24" x14ac:dyDescent="0.3">
      <c r="A510" t="str">
        <f>Table_Capacity_Community_frontsheet[[#This Row],[Name]]&amp;B510</f>
        <v>LincolnshireOther short-term social care</v>
      </c>
      <c r="B510" t="str">
        <f>VLOOKUP(Table_Capacity_Community_frontsheet[[#This Row],[Service Area]],PathwayLookup!E:F,2,0)</f>
        <v>Other short-term social care</v>
      </c>
      <c r="C510" t="s">
        <v>209</v>
      </c>
      <c r="D510" t="s">
        <v>708</v>
      </c>
      <c r="V510"/>
      <c r="W510"/>
      <c r="X510"/>
    </row>
    <row r="511" spans="1:24" x14ac:dyDescent="0.3">
      <c r="A511" t="str">
        <f>Table_Capacity_Community_frontsheet[[#This Row],[Name]]&amp;B511</f>
        <v>LincolnshireReablement &amp; Rehabilitation in a bedded setting</v>
      </c>
      <c r="B511" t="str">
        <f>VLOOKUP(Table_Capacity_Community_frontsheet[[#This Row],[Service Area]],PathwayLookup!E:F,2,0)</f>
        <v>Reablement &amp; Rehabilitation in a bedded setting</v>
      </c>
      <c r="C511" t="s">
        <v>209</v>
      </c>
      <c r="D511" t="s">
        <v>723</v>
      </c>
      <c r="E511">
        <v>52</v>
      </c>
      <c r="F511">
        <v>54</v>
      </c>
      <c r="G511">
        <v>52</v>
      </c>
      <c r="H511">
        <v>54</v>
      </c>
      <c r="I511">
        <v>54</v>
      </c>
      <c r="J511">
        <v>52</v>
      </c>
      <c r="K511">
        <v>54</v>
      </c>
      <c r="L511">
        <v>52</v>
      </c>
      <c r="M511">
        <v>54</v>
      </c>
      <c r="N511">
        <v>54</v>
      </c>
      <c r="O511">
        <v>50</v>
      </c>
      <c r="P511">
        <v>54</v>
      </c>
      <c r="V511"/>
      <c r="W511"/>
      <c r="X511"/>
    </row>
    <row r="512" spans="1:24" x14ac:dyDescent="0.3">
      <c r="A512" t="str">
        <f>Table_Capacity_Community_frontsheet[[#This Row],[Name]]&amp;B512</f>
        <v>LincolnshireReablement &amp; Rehabilitation in a bedded setting</v>
      </c>
      <c r="B512" t="str">
        <f>VLOOKUP(Table_Capacity_Community_frontsheet[[#This Row],[Service Area]],PathwayLookup!E:F,2,0)</f>
        <v>Reablement &amp; Rehabilitation in a bedded setting</v>
      </c>
      <c r="C512" t="s">
        <v>209</v>
      </c>
      <c r="D512" t="s">
        <v>725</v>
      </c>
      <c r="E512">
        <v>191</v>
      </c>
      <c r="F512">
        <v>197</v>
      </c>
      <c r="G512">
        <v>191</v>
      </c>
      <c r="H512">
        <v>197</v>
      </c>
      <c r="I512">
        <v>197</v>
      </c>
      <c r="J512">
        <v>191</v>
      </c>
      <c r="K512">
        <v>197</v>
      </c>
      <c r="L512">
        <v>191</v>
      </c>
      <c r="M512">
        <v>197</v>
      </c>
      <c r="N512">
        <v>197</v>
      </c>
      <c r="O512">
        <v>184</v>
      </c>
      <c r="P512">
        <v>197</v>
      </c>
      <c r="V512"/>
      <c r="W512"/>
      <c r="X512"/>
    </row>
    <row r="513" spans="1:24" x14ac:dyDescent="0.3">
      <c r="A513" t="str">
        <f>Table_Capacity_Community_frontsheet[[#This Row],[Name]]&amp;B513</f>
        <v>LiverpoolSocial support (including VCS)</v>
      </c>
      <c r="B513" t="str">
        <f>VLOOKUP(Table_Capacity_Community_frontsheet[[#This Row],[Service Area]],PathwayLookup!E:F,2,0)</f>
        <v>Social support (including VCS)</v>
      </c>
      <c r="C513" t="s">
        <v>211</v>
      </c>
      <c r="D513" t="s">
        <v>704</v>
      </c>
      <c r="V513"/>
      <c r="W513"/>
      <c r="X513"/>
    </row>
    <row r="514" spans="1:24" x14ac:dyDescent="0.3">
      <c r="A514" t="str">
        <f>Table_Capacity_Community_frontsheet[[#This Row],[Name]]&amp;B514</f>
        <v>LiverpoolUrgent Community Response</v>
      </c>
      <c r="B514" t="str">
        <f>VLOOKUP(Table_Capacity_Community_frontsheet[[#This Row],[Service Area]],PathwayLookup!E:F,2,0)</f>
        <v>Urgent Community Response</v>
      </c>
      <c r="C514" t="s">
        <v>211</v>
      </c>
      <c r="D514" t="s">
        <v>705</v>
      </c>
      <c r="V514"/>
      <c r="W514"/>
      <c r="X514"/>
    </row>
    <row r="515" spans="1:24" x14ac:dyDescent="0.3">
      <c r="A515" t="str">
        <f>Table_Capacity_Community_frontsheet[[#This Row],[Name]]&amp;B515</f>
        <v>LiverpoolReablement &amp; Rehabilitation at home</v>
      </c>
      <c r="B515" t="str">
        <f>VLOOKUP(Table_Capacity_Community_frontsheet[[#This Row],[Service Area]],PathwayLookup!E:F,2,0)</f>
        <v>Reablement &amp; Rehabilitation at home</v>
      </c>
      <c r="C515" t="s">
        <v>211</v>
      </c>
      <c r="D515" t="s">
        <v>727</v>
      </c>
      <c r="E515">
        <v>0</v>
      </c>
      <c r="F515">
        <v>0</v>
      </c>
      <c r="G515">
        <v>0</v>
      </c>
      <c r="H515">
        <v>0</v>
      </c>
      <c r="I515">
        <v>0</v>
      </c>
      <c r="J515">
        <v>0</v>
      </c>
      <c r="K515">
        <v>0</v>
      </c>
      <c r="L515">
        <v>0</v>
      </c>
      <c r="M515">
        <v>0</v>
      </c>
      <c r="N515">
        <v>0</v>
      </c>
      <c r="O515">
        <v>0</v>
      </c>
      <c r="P515">
        <v>0</v>
      </c>
      <c r="V515"/>
      <c r="W515"/>
      <c r="X515"/>
    </row>
    <row r="516" spans="1:24" x14ac:dyDescent="0.3">
      <c r="A516" t="str">
        <f>Table_Capacity_Community_frontsheet[[#This Row],[Name]]&amp;B516</f>
        <v>LiverpoolReablement &amp; Rehabilitation at home</v>
      </c>
      <c r="B516" t="str">
        <f>VLOOKUP(Table_Capacity_Community_frontsheet[[#This Row],[Service Area]],PathwayLookup!E:F,2,0)</f>
        <v>Reablement &amp; Rehabilitation at home</v>
      </c>
      <c r="C516" t="s">
        <v>211</v>
      </c>
      <c r="D516" t="s">
        <v>729</v>
      </c>
      <c r="E516">
        <v>194</v>
      </c>
      <c r="F516">
        <v>194</v>
      </c>
      <c r="G516">
        <v>194</v>
      </c>
      <c r="H516">
        <v>194</v>
      </c>
      <c r="I516">
        <v>194</v>
      </c>
      <c r="J516">
        <v>194</v>
      </c>
      <c r="K516">
        <v>194</v>
      </c>
      <c r="L516">
        <v>194</v>
      </c>
      <c r="M516">
        <v>194</v>
      </c>
      <c r="N516">
        <v>194</v>
      </c>
      <c r="O516">
        <v>194</v>
      </c>
      <c r="P516">
        <v>194</v>
      </c>
      <c r="Q516">
        <v>1</v>
      </c>
      <c r="V516"/>
      <c r="W516"/>
      <c r="X516"/>
    </row>
    <row r="517" spans="1:24" x14ac:dyDescent="0.3">
      <c r="A517" t="str">
        <f>Table_Capacity_Community_frontsheet[[#This Row],[Name]]&amp;B517</f>
        <v>LiverpoolReablement &amp; Rehabilitation in a bedded setting</v>
      </c>
      <c r="B517" t="str">
        <f>VLOOKUP(Table_Capacity_Community_frontsheet[[#This Row],[Service Area]],PathwayLookup!E:F,2,0)</f>
        <v>Reablement &amp; Rehabilitation in a bedded setting</v>
      </c>
      <c r="C517" t="s">
        <v>211</v>
      </c>
      <c r="D517" t="s">
        <v>723</v>
      </c>
      <c r="E517">
        <v>0</v>
      </c>
      <c r="F517">
        <v>0</v>
      </c>
      <c r="G517">
        <v>0</v>
      </c>
      <c r="H517">
        <v>0</v>
      </c>
      <c r="I517">
        <v>0</v>
      </c>
      <c r="J517">
        <v>0</v>
      </c>
      <c r="K517">
        <v>0</v>
      </c>
      <c r="L517">
        <v>0</v>
      </c>
      <c r="M517">
        <v>0</v>
      </c>
      <c r="N517">
        <v>0</v>
      </c>
      <c r="O517">
        <v>0</v>
      </c>
      <c r="P517">
        <v>0</v>
      </c>
      <c r="V517"/>
      <c r="W517"/>
      <c r="X517"/>
    </row>
    <row r="518" spans="1:24" x14ac:dyDescent="0.3">
      <c r="A518" t="str">
        <f>Table_Capacity_Community_frontsheet[[#This Row],[Name]]&amp;B518</f>
        <v>LiverpoolReablement &amp; Rehabilitation in a bedded setting</v>
      </c>
      <c r="B518" t="str">
        <f>VLOOKUP(Table_Capacity_Community_frontsheet[[#This Row],[Service Area]],PathwayLookup!E:F,2,0)</f>
        <v>Reablement &amp; Rehabilitation in a bedded setting</v>
      </c>
      <c r="C518" t="s">
        <v>211</v>
      </c>
      <c r="D518" t="s">
        <v>725</v>
      </c>
      <c r="E518">
        <v>0</v>
      </c>
      <c r="F518">
        <v>0</v>
      </c>
      <c r="G518">
        <v>0</v>
      </c>
      <c r="H518">
        <v>0</v>
      </c>
      <c r="I518">
        <v>0</v>
      </c>
      <c r="J518">
        <v>0</v>
      </c>
      <c r="K518">
        <v>0</v>
      </c>
      <c r="L518">
        <v>0</v>
      </c>
      <c r="M518">
        <v>0</v>
      </c>
      <c r="N518">
        <v>0</v>
      </c>
      <c r="O518">
        <v>0</v>
      </c>
      <c r="P518">
        <v>0</v>
      </c>
      <c r="V518"/>
      <c r="W518"/>
      <c r="X518"/>
    </row>
    <row r="519" spans="1:24" x14ac:dyDescent="0.3">
      <c r="A519" t="str">
        <f>Table_Capacity_Community_frontsheet[[#This Row],[Name]]&amp;B519</f>
        <v>LiverpoolOther short-term social care</v>
      </c>
      <c r="B519" t="str">
        <f>VLOOKUP(Table_Capacity_Community_frontsheet[[#This Row],[Service Area]],PathwayLookup!E:F,2,0)</f>
        <v>Other short-term social care</v>
      </c>
      <c r="C519" t="s">
        <v>211</v>
      </c>
      <c r="D519" t="s">
        <v>708</v>
      </c>
      <c r="V519"/>
      <c r="W519"/>
      <c r="X519"/>
    </row>
    <row r="520" spans="1:24" x14ac:dyDescent="0.3">
      <c r="A520" t="str">
        <f>Table_Capacity_Community_frontsheet[[#This Row],[Name]]&amp;B520</f>
        <v>LutonSocial support (including VCS)</v>
      </c>
      <c r="B520" t="str">
        <f>VLOOKUP(Table_Capacity_Community_frontsheet[[#This Row],[Service Area]],PathwayLookup!E:F,2,0)</f>
        <v>Social support (including VCS)</v>
      </c>
      <c r="C520" t="s">
        <v>213</v>
      </c>
      <c r="D520" t="s">
        <v>704</v>
      </c>
      <c r="V520"/>
      <c r="W520"/>
      <c r="X520"/>
    </row>
    <row r="521" spans="1:24" x14ac:dyDescent="0.3">
      <c r="A521" t="str">
        <f>Table_Capacity_Community_frontsheet[[#This Row],[Name]]&amp;B521</f>
        <v>LutonUrgent Community Response</v>
      </c>
      <c r="B521" t="str">
        <f>VLOOKUP(Table_Capacity_Community_frontsheet[[#This Row],[Service Area]],PathwayLookup!E:F,2,0)</f>
        <v>Urgent Community Response</v>
      </c>
      <c r="C521" t="s">
        <v>213</v>
      </c>
      <c r="D521" t="s">
        <v>705</v>
      </c>
      <c r="E521">
        <v>220</v>
      </c>
      <c r="F521">
        <v>220</v>
      </c>
      <c r="G521">
        <v>220</v>
      </c>
      <c r="H521">
        <v>240</v>
      </c>
      <c r="I521">
        <v>240</v>
      </c>
      <c r="J521">
        <v>240</v>
      </c>
      <c r="K521">
        <v>240</v>
      </c>
      <c r="L521">
        <v>240</v>
      </c>
      <c r="M521">
        <v>240</v>
      </c>
      <c r="N521">
        <v>240</v>
      </c>
      <c r="O521">
        <v>240</v>
      </c>
      <c r="P521">
        <v>240</v>
      </c>
      <c r="Q521">
        <v>1</v>
      </c>
      <c r="V521"/>
      <c r="W521"/>
      <c r="X521"/>
    </row>
    <row r="522" spans="1:24" x14ac:dyDescent="0.3">
      <c r="A522" t="str">
        <f>Table_Capacity_Community_frontsheet[[#This Row],[Name]]&amp;B522</f>
        <v>LutonReablement &amp; Rehabilitation at home</v>
      </c>
      <c r="B522" t="str">
        <f>VLOOKUP(Table_Capacity_Community_frontsheet[[#This Row],[Service Area]],PathwayLookup!E:F,2,0)</f>
        <v>Reablement &amp; Rehabilitation at home</v>
      </c>
      <c r="C522" t="s">
        <v>213</v>
      </c>
      <c r="D522" t="s">
        <v>727</v>
      </c>
      <c r="E522">
        <v>21</v>
      </c>
      <c r="F522">
        <v>21</v>
      </c>
      <c r="G522">
        <v>21</v>
      </c>
      <c r="H522">
        <v>21</v>
      </c>
      <c r="I522">
        <v>21</v>
      </c>
      <c r="J522">
        <v>21</v>
      </c>
      <c r="K522">
        <v>21</v>
      </c>
      <c r="L522">
        <v>21</v>
      </c>
      <c r="M522">
        <v>21</v>
      </c>
      <c r="N522">
        <v>21</v>
      </c>
      <c r="O522">
        <v>21</v>
      </c>
      <c r="P522">
        <v>21</v>
      </c>
      <c r="R522">
        <v>1</v>
      </c>
      <c r="V522"/>
      <c r="W522"/>
      <c r="X522"/>
    </row>
    <row r="523" spans="1:24" x14ac:dyDescent="0.3">
      <c r="A523" t="str">
        <f>Table_Capacity_Community_frontsheet[[#This Row],[Name]]&amp;B523</f>
        <v>LutonReablement &amp; Rehabilitation at home</v>
      </c>
      <c r="B523" t="str">
        <f>VLOOKUP(Table_Capacity_Community_frontsheet[[#This Row],[Service Area]],PathwayLookup!E:F,2,0)</f>
        <v>Reablement &amp; Rehabilitation at home</v>
      </c>
      <c r="C523" t="s">
        <v>213</v>
      </c>
      <c r="D523" t="s">
        <v>729</v>
      </c>
      <c r="E523">
        <v>230</v>
      </c>
      <c r="F523">
        <v>230</v>
      </c>
      <c r="G523">
        <v>220</v>
      </c>
      <c r="H523">
        <v>220</v>
      </c>
      <c r="I523">
        <v>230</v>
      </c>
      <c r="J523">
        <v>230</v>
      </c>
      <c r="K523">
        <v>230</v>
      </c>
      <c r="L523">
        <v>220</v>
      </c>
      <c r="M523">
        <v>220</v>
      </c>
      <c r="N523">
        <v>240</v>
      </c>
      <c r="O523">
        <v>230</v>
      </c>
      <c r="P523">
        <v>240</v>
      </c>
      <c r="Q523">
        <v>1</v>
      </c>
      <c r="V523"/>
      <c r="W523"/>
      <c r="X523"/>
    </row>
    <row r="524" spans="1:24" x14ac:dyDescent="0.3">
      <c r="A524" t="str">
        <f>Table_Capacity_Community_frontsheet[[#This Row],[Name]]&amp;B524</f>
        <v>LutonReablement &amp; Rehabilitation in a bedded setting</v>
      </c>
      <c r="B524" t="str">
        <f>VLOOKUP(Table_Capacity_Community_frontsheet[[#This Row],[Service Area]],PathwayLookup!E:F,2,0)</f>
        <v>Reablement &amp; Rehabilitation in a bedded setting</v>
      </c>
      <c r="C524" t="s">
        <v>213</v>
      </c>
      <c r="D524" t="s">
        <v>723</v>
      </c>
      <c r="V524"/>
      <c r="W524"/>
      <c r="X524"/>
    </row>
    <row r="525" spans="1:24" x14ac:dyDescent="0.3">
      <c r="A525" t="str">
        <f>Table_Capacity_Community_frontsheet[[#This Row],[Name]]&amp;B525</f>
        <v>LutonReablement &amp; Rehabilitation in a bedded setting</v>
      </c>
      <c r="B525" t="str">
        <f>VLOOKUP(Table_Capacity_Community_frontsheet[[#This Row],[Service Area]],PathwayLookup!E:F,2,0)</f>
        <v>Reablement &amp; Rehabilitation in a bedded setting</v>
      </c>
      <c r="C525" t="s">
        <v>213</v>
      </c>
      <c r="D525" t="s">
        <v>725</v>
      </c>
      <c r="V525"/>
      <c r="W525"/>
      <c r="X525"/>
    </row>
    <row r="526" spans="1:24" x14ac:dyDescent="0.3">
      <c r="A526" t="str">
        <f>Table_Capacity_Community_frontsheet[[#This Row],[Name]]&amp;B526</f>
        <v>LutonOther short-term social care</v>
      </c>
      <c r="B526" t="str">
        <f>VLOOKUP(Table_Capacity_Community_frontsheet[[#This Row],[Service Area]],PathwayLookup!E:F,2,0)</f>
        <v>Other short-term social care</v>
      </c>
      <c r="C526" t="s">
        <v>213</v>
      </c>
      <c r="D526" t="s">
        <v>708</v>
      </c>
      <c r="V526"/>
      <c r="W526"/>
      <c r="X526"/>
    </row>
    <row r="527" spans="1:24" x14ac:dyDescent="0.3">
      <c r="A527" t="str">
        <f>Table_Capacity_Community_frontsheet[[#This Row],[Name]]&amp;B527</f>
        <v>ManchesterSocial support (including VCS)</v>
      </c>
      <c r="B527" t="str">
        <f>VLOOKUP(Table_Capacity_Community_frontsheet[[#This Row],[Service Area]],PathwayLookup!E:F,2,0)</f>
        <v>Social support (including VCS)</v>
      </c>
      <c r="C527" t="s">
        <v>215</v>
      </c>
      <c r="D527" t="s">
        <v>704</v>
      </c>
      <c r="E527">
        <v>20</v>
      </c>
      <c r="F527">
        <v>20</v>
      </c>
      <c r="G527">
        <v>20</v>
      </c>
      <c r="H527">
        <v>20</v>
      </c>
      <c r="I527">
        <v>20</v>
      </c>
      <c r="J527">
        <v>20</v>
      </c>
      <c r="K527">
        <v>20</v>
      </c>
      <c r="L527">
        <v>20</v>
      </c>
      <c r="M527">
        <v>20</v>
      </c>
      <c r="N527">
        <v>20</v>
      </c>
      <c r="O527">
        <v>20</v>
      </c>
      <c r="P527">
        <v>20</v>
      </c>
      <c r="Q527">
        <v>0.2</v>
      </c>
      <c r="R527">
        <v>0.8</v>
      </c>
      <c r="V527"/>
      <c r="W527"/>
      <c r="X527"/>
    </row>
    <row r="528" spans="1:24" x14ac:dyDescent="0.3">
      <c r="A528" t="str">
        <f>Table_Capacity_Community_frontsheet[[#This Row],[Name]]&amp;B528</f>
        <v>ManchesterUrgent Community Response</v>
      </c>
      <c r="B528" t="str">
        <f>VLOOKUP(Table_Capacity_Community_frontsheet[[#This Row],[Service Area]],PathwayLookup!E:F,2,0)</f>
        <v>Urgent Community Response</v>
      </c>
      <c r="C528" t="s">
        <v>215</v>
      </c>
      <c r="D528" t="s">
        <v>705</v>
      </c>
      <c r="E528">
        <v>437</v>
      </c>
      <c r="F528">
        <v>437</v>
      </c>
      <c r="G528">
        <v>437</v>
      </c>
      <c r="H528">
        <v>437</v>
      </c>
      <c r="I528">
        <v>437</v>
      </c>
      <c r="J528">
        <v>437</v>
      </c>
      <c r="K528">
        <v>437</v>
      </c>
      <c r="L528">
        <v>437</v>
      </c>
      <c r="M528">
        <v>437</v>
      </c>
      <c r="N528">
        <v>437</v>
      </c>
      <c r="O528">
        <v>437</v>
      </c>
      <c r="P528">
        <v>437</v>
      </c>
      <c r="Q528">
        <v>0.8</v>
      </c>
      <c r="R528">
        <v>0.2</v>
      </c>
      <c r="V528"/>
      <c r="W528"/>
      <c r="X528"/>
    </row>
    <row r="529" spans="1:24" x14ac:dyDescent="0.3">
      <c r="A529" t="str">
        <f>Table_Capacity_Community_frontsheet[[#This Row],[Name]]&amp;B529</f>
        <v>ManchesterReablement &amp; Rehabilitation at home</v>
      </c>
      <c r="B529" t="str">
        <f>VLOOKUP(Table_Capacity_Community_frontsheet[[#This Row],[Service Area]],PathwayLookup!E:F,2,0)</f>
        <v>Reablement &amp; Rehabilitation at home</v>
      </c>
      <c r="C529" t="s">
        <v>215</v>
      </c>
      <c r="D529" t="s">
        <v>727</v>
      </c>
      <c r="E529">
        <v>28</v>
      </c>
      <c r="F529">
        <v>28</v>
      </c>
      <c r="G529">
        <v>28</v>
      </c>
      <c r="H529">
        <v>28</v>
      </c>
      <c r="I529">
        <v>28</v>
      </c>
      <c r="J529">
        <v>28</v>
      </c>
      <c r="K529">
        <v>28</v>
      </c>
      <c r="L529">
        <v>28</v>
      </c>
      <c r="M529">
        <v>28</v>
      </c>
      <c r="N529">
        <v>28</v>
      </c>
      <c r="O529">
        <v>28</v>
      </c>
      <c r="P529">
        <v>28</v>
      </c>
      <c r="Q529">
        <v>0.2</v>
      </c>
      <c r="R529">
        <v>0.8</v>
      </c>
      <c r="V529"/>
      <c r="W529"/>
      <c r="X529"/>
    </row>
    <row r="530" spans="1:24" x14ac:dyDescent="0.3">
      <c r="A530" t="str">
        <f>Table_Capacity_Community_frontsheet[[#This Row],[Name]]&amp;B530</f>
        <v>ManchesterReablement &amp; Rehabilitation at home</v>
      </c>
      <c r="B530" t="str">
        <f>VLOOKUP(Table_Capacity_Community_frontsheet[[#This Row],[Service Area]],PathwayLookup!E:F,2,0)</f>
        <v>Reablement &amp; Rehabilitation at home</v>
      </c>
      <c r="C530" t="s">
        <v>215</v>
      </c>
      <c r="D530" t="s">
        <v>729</v>
      </c>
      <c r="E530">
        <v>35</v>
      </c>
      <c r="F530">
        <v>35</v>
      </c>
      <c r="G530">
        <v>35</v>
      </c>
      <c r="H530">
        <v>35</v>
      </c>
      <c r="I530">
        <v>35</v>
      </c>
      <c r="J530">
        <v>35</v>
      </c>
      <c r="K530">
        <v>35</v>
      </c>
      <c r="L530">
        <v>35</v>
      </c>
      <c r="M530">
        <v>35</v>
      </c>
      <c r="N530">
        <v>35</v>
      </c>
      <c r="O530">
        <v>35</v>
      </c>
      <c r="P530">
        <v>35</v>
      </c>
      <c r="Q530">
        <v>1</v>
      </c>
      <c r="V530"/>
      <c r="W530"/>
      <c r="X530"/>
    </row>
    <row r="531" spans="1:24" x14ac:dyDescent="0.3">
      <c r="A531" t="str">
        <f>Table_Capacity_Community_frontsheet[[#This Row],[Name]]&amp;B531</f>
        <v>ManchesterReablement &amp; Rehabilitation in a bedded setting</v>
      </c>
      <c r="B531" t="str">
        <f>VLOOKUP(Table_Capacity_Community_frontsheet[[#This Row],[Service Area]],PathwayLookup!E:F,2,0)</f>
        <v>Reablement &amp; Rehabilitation in a bedded setting</v>
      </c>
      <c r="C531" t="s">
        <v>215</v>
      </c>
      <c r="D531" t="s">
        <v>723</v>
      </c>
      <c r="E531">
        <v>0</v>
      </c>
      <c r="F531">
        <v>0</v>
      </c>
      <c r="G531">
        <v>0</v>
      </c>
      <c r="H531">
        <v>0</v>
      </c>
      <c r="I531">
        <v>0</v>
      </c>
      <c r="J531">
        <v>0</v>
      </c>
      <c r="K531">
        <v>0</v>
      </c>
      <c r="L531">
        <v>0</v>
      </c>
      <c r="M531">
        <v>0</v>
      </c>
      <c r="N531">
        <v>0</v>
      </c>
      <c r="O531">
        <v>0</v>
      </c>
      <c r="P531">
        <v>0</v>
      </c>
      <c r="V531"/>
      <c r="W531"/>
      <c r="X531"/>
    </row>
    <row r="532" spans="1:24" x14ac:dyDescent="0.3">
      <c r="A532" t="str">
        <f>Table_Capacity_Community_frontsheet[[#This Row],[Name]]&amp;B532</f>
        <v>ManchesterReablement &amp; Rehabilitation in a bedded setting</v>
      </c>
      <c r="B532" t="str">
        <f>VLOOKUP(Table_Capacity_Community_frontsheet[[#This Row],[Service Area]],PathwayLookup!E:F,2,0)</f>
        <v>Reablement &amp; Rehabilitation in a bedded setting</v>
      </c>
      <c r="C532" t="s">
        <v>215</v>
      </c>
      <c r="D532" t="s">
        <v>725</v>
      </c>
      <c r="E532">
        <v>0</v>
      </c>
      <c r="F532">
        <v>0</v>
      </c>
      <c r="G532">
        <v>0</v>
      </c>
      <c r="H532">
        <v>0</v>
      </c>
      <c r="I532">
        <v>0</v>
      </c>
      <c r="J532">
        <v>0</v>
      </c>
      <c r="K532">
        <v>0</v>
      </c>
      <c r="L532">
        <v>0</v>
      </c>
      <c r="M532">
        <v>0</v>
      </c>
      <c r="N532">
        <v>0</v>
      </c>
      <c r="O532">
        <v>0</v>
      </c>
      <c r="P532">
        <v>0</v>
      </c>
      <c r="V532"/>
      <c r="W532"/>
      <c r="X532"/>
    </row>
    <row r="533" spans="1:24" x14ac:dyDescent="0.3">
      <c r="A533" t="str">
        <f>Table_Capacity_Community_frontsheet[[#This Row],[Name]]&amp;B533</f>
        <v>ManchesterOther short-term social care</v>
      </c>
      <c r="B533" t="str">
        <f>VLOOKUP(Table_Capacity_Community_frontsheet[[#This Row],[Service Area]],PathwayLookup!E:F,2,0)</f>
        <v>Other short-term social care</v>
      </c>
      <c r="C533" t="s">
        <v>215</v>
      </c>
      <c r="D533" t="s">
        <v>708</v>
      </c>
      <c r="E533">
        <v>1940</v>
      </c>
      <c r="F533">
        <v>1940</v>
      </c>
      <c r="G533">
        <v>1940</v>
      </c>
      <c r="H533">
        <v>1940</v>
      </c>
      <c r="I533">
        <v>1940</v>
      </c>
      <c r="J533">
        <v>1940</v>
      </c>
      <c r="K533">
        <v>1940</v>
      </c>
      <c r="L533">
        <v>1940</v>
      </c>
      <c r="M533">
        <v>1940</v>
      </c>
      <c r="N533">
        <v>1940</v>
      </c>
      <c r="O533">
        <v>1940</v>
      </c>
      <c r="P533">
        <v>1940</v>
      </c>
      <c r="Q533">
        <v>0.5</v>
      </c>
      <c r="R533">
        <v>0.5</v>
      </c>
      <c r="V533"/>
      <c r="W533"/>
      <c r="X533"/>
    </row>
    <row r="534" spans="1:24" x14ac:dyDescent="0.3">
      <c r="A534" t="str">
        <f>Table_Capacity_Community_frontsheet[[#This Row],[Name]]&amp;B534</f>
        <v>MedwaySocial support (including VCS)</v>
      </c>
      <c r="B534" t="str">
        <f>VLOOKUP(Table_Capacity_Community_frontsheet[[#This Row],[Service Area]],PathwayLookup!E:F,2,0)</f>
        <v>Social support (including VCS)</v>
      </c>
      <c r="C534" t="s">
        <v>217</v>
      </c>
      <c r="D534" t="s">
        <v>704</v>
      </c>
      <c r="E534">
        <v>341</v>
      </c>
      <c r="F534">
        <v>342</v>
      </c>
      <c r="G534">
        <v>341</v>
      </c>
      <c r="H534">
        <v>360</v>
      </c>
      <c r="I534">
        <v>360</v>
      </c>
      <c r="J534">
        <v>358</v>
      </c>
      <c r="K534">
        <v>360</v>
      </c>
      <c r="L534">
        <v>358</v>
      </c>
      <c r="M534">
        <v>360</v>
      </c>
      <c r="N534">
        <v>360</v>
      </c>
      <c r="O534">
        <v>341</v>
      </c>
      <c r="P534">
        <v>342</v>
      </c>
      <c r="Q534">
        <v>0</v>
      </c>
      <c r="R534">
        <v>0</v>
      </c>
      <c r="S534">
        <v>1</v>
      </c>
      <c r="V534"/>
      <c r="W534"/>
      <c r="X534"/>
    </row>
    <row r="535" spans="1:24" x14ac:dyDescent="0.3">
      <c r="A535" t="str">
        <f>Table_Capacity_Community_frontsheet[[#This Row],[Name]]&amp;B535</f>
        <v>MedwayUrgent Community Response</v>
      </c>
      <c r="B535" t="str">
        <f>VLOOKUP(Table_Capacity_Community_frontsheet[[#This Row],[Service Area]],PathwayLookup!E:F,2,0)</f>
        <v>Urgent Community Response</v>
      </c>
      <c r="C535" t="s">
        <v>217</v>
      </c>
      <c r="D535" t="s">
        <v>705</v>
      </c>
      <c r="E535">
        <v>3000</v>
      </c>
      <c r="F535">
        <v>3100</v>
      </c>
      <c r="G535">
        <v>3000</v>
      </c>
      <c r="H535">
        <v>3100</v>
      </c>
      <c r="I535">
        <v>3100</v>
      </c>
      <c r="J535">
        <v>3000</v>
      </c>
      <c r="K535">
        <v>3100</v>
      </c>
      <c r="L535">
        <v>3000</v>
      </c>
      <c r="M535">
        <v>3100</v>
      </c>
      <c r="N535">
        <v>3100</v>
      </c>
      <c r="O535">
        <v>2900</v>
      </c>
      <c r="P535">
        <v>3100</v>
      </c>
      <c r="Q535">
        <v>1</v>
      </c>
      <c r="R535">
        <v>0</v>
      </c>
      <c r="S535">
        <v>0</v>
      </c>
      <c r="V535"/>
      <c r="W535"/>
      <c r="X535"/>
    </row>
    <row r="536" spans="1:24" x14ac:dyDescent="0.3">
      <c r="A536" t="str">
        <f>Table_Capacity_Community_frontsheet[[#This Row],[Name]]&amp;B536</f>
        <v>MedwayReablement &amp; Rehabilitation at home</v>
      </c>
      <c r="B536" t="str">
        <f>VLOOKUP(Table_Capacity_Community_frontsheet[[#This Row],[Service Area]],PathwayLookup!E:F,2,0)</f>
        <v>Reablement &amp; Rehabilitation at home</v>
      </c>
      <c r="C536" t="s">
        <v>217</v>
      </c>
      <c r="D536" t="s">
        <v>727</v>
      </c>
      <c r="E536">
        <v>113</v>
      </c>
      <c r="F536">
        <v>117</v>
      </c>
      <c r="G536">
        <v>114</v>
      </c>
      <c r="H536">
        <v>118</v>
      </c>
      <c r="I536">
        <v>118</v>
      </c>
      <c r="J536">
        <v>113</v>
      </c>
      <c r="K536">
        <v>118</v>
      </c>
      <c r="L536">
        <v>113</v>
      </c>
      <c r="M536">
        <v>117</v>
      </c>
      <c r="N536">
        <v>117</v>
      </c>
      <c r="O536">
        <v>111</v>
      </c>
      <c r="P536">
        <v>118</v>
      </c>
      <c r="Q536">
        <v>0.99</v>
      </c>
      <c r="R536">
        <v>0.01</v>
      </c>
      <c r="S536">
        <v>0</v>
      </c>
      <c r="V536"/>
      <c r="W536"/>
      <c r="X536"/>
    </row>
    <row r="537" spans="1:24" x14ac:dyDescent="0.3">
      <c r="A537" t="str">
        <f>Table_Capacity_Community_frontsheet[[#This Row],[Name]]&amp;B537</f>
        <v>MedwayReablement &amp; Rehabilitation at home</v>
      </c>
      <c r="B537" t="str">
        <f>VLOOKUP(Table_Capacity_Community_frontsheet[[#This Row],[Service Area]],PathwayLookup!E:F,2,0)</f>
        <v>Reablement &amp; Rehabilitation at home</v>
      </c>
      <c r="C537" t="s">
        <v>217</v>
      </c>
      <c r="D537" t="s">
        <v>729</v>
      </c>
      <c r="E537">
        <v>0</v>
      </c>
      <c r="F537">
        <v>0</v>
      </c>
      <c r="G537">
        <v>0</v>
      </c>
      <c r="H537">
        <v>0</v>
      </c>
      <c r="I537">
        <v>0</v>
      </c>
      <c r="J537">
        <v>0</v>
      </c>
      <c r="K537">
        <v>0</v>
      </c>
      <c r="L537">
        <v>0</v>
      </c>
      <c r="M537">
        <v>0</v>
      </c>
      <c r="N537">
        <v>0</v>
      </c>
      <c r="O537">
        <v>0</v>
      </c>
      <c r="P537">
        <v>0</v>
      </c>
      <c r="Q537">
        <v>0</v>
      </c>
      <c r="R537">
        <v>0</v>
      </c>
      <c r="S537">
        <v>0</v>
      </c>
      <c r="V537"/>
      <c r="W537"/>
      <c r="X537"/>
    </row>
    <row r="538" spans="1:24" x14ac:dyDescent="0.3">
      <c r="A538" t="str">
        <f>Table_Capacity_Community_frontsheet[[#This Row],[Name]]&amp;B538</f>
        <v>MedwayReablement &amp; Rehabilitation in a bedded setting</v>
      </c>
      <c r="B538" t="str">
        <f>VLOOKUP(Table_Capacity_Community_frontsheet[[#This Row],[Service Area]],PathwayLookup!E:F,2,0)</f>
        <v>Reablement &amp; Rehabilitation in a bedded setting</v>
      </c>
      <c r="C538" t="s">
        <v>217</v>
      </c>
      <c r="D538" t="s">
        <v>723</v>
      </c>
      <c r="E538">
        <v>11</v>
      </c>
      <c r="F538">
        <v>12</v>
      </c>
      <c r="G538">
        <v>11</v>
      </c>
      <c r="H538">
        <v>12</v>
      </c>
      <c r="I538">
        <v>12</v>
      </c>
      <c r="J538">
        <v>11</v>
      </c>
      <c r="K538">
        <v>12</v>
      </c>
      <c r="L538">
        <v>11</v>
      </c>
      <c r="M538">
        <v>12</v>
      </c>
      <c r="N538">
        <v>12</v>
      </c>
      <c r="O538">
        <v>11</v>
      </c>
      <c r="P538">
        <v>12</v>
      </c>
      <c r="Q538">
        <v>1</v>
      </c>
      <c r="R538">
        <v>0</v>
      </c>
      <c r="S538">
        <v>0</v>
      </c>
      <c r="V538"/>
      <c r="W538"/>
      <c r="X538"/>
    </row>
    <row r="539" spans="1:24" x14ac:dyDescent="0.3">
      <c r="A539" t="str">
        <f>Table_Capacity_Community_frontsheet[[#This Row],[Name]]&amp;B539</f>
        <v>MedwayReablement &amp; Rehabilitation in a bedded setting</v>
      </c>
      <c r="B539" t="str">
        <f>VLOOKUP(Table_Capacity_Community_frontsheet[[#This Row],[Service Area]],PathwayLookup!E:F,2,0)</f>
        <v>Reablement &amp; Rehabilitation in a bedded setting</v>
      </c>
      <c r="C539" t="s">
        <v>217</v>
      </c>
      <c r="D539" t="s">
        <v>725</v>
      </c>
      <c r="E539">
        <v>0</v>
      </c>
      <c r="F539">
        <v>0</v>
      </c>
      <c r="G539">
        <v>0</v>
      </c>
      <c r="H539">
        <v>0</v>
      </c>
      <c r="I539">
        <v>0</v>
      </c>
      <c r="J539">
        <v>0</v>
      </c>
      <c r="K539">
        <v>0</v>
      </c>
      <c r="L539">
        <v>0</v>
      </c>
      <c r="M539">
        <v>0</v>
      </c>
      <c r="N539">
        <v>0</v>
      </c>
      <c r="O539">
        <v>0</v>
      </c>
      <c r="P539">
        <v>0</v>
      </c>
      <c r="Q539">
        <v>0</v>
      </c>
      <c r="R539">
        <v>0</v>
      </c>
      <c r="S539">
        <v>0</v>
      </c>
      <c r="V539"/>
      <c r="W539"/>
      <c r="X539"/>
    </row>
    <row r="540" spans="1:24" x14ac:dyDescent="0.3">
      <c r="A540" t="str">
        <f>Table_Capacity_Community_frontsheet[[#This Row],[Name]]&amp;B540</f>
        <v>MedwayOther short-term social care</v>
      </c>
      <c r="B540" t="str">
        <f>VLOOKUP(Table_Capacity_Community_frontsheet[[#This Row],[Service Area]],PathwayLookup!E:F,2,0)</f>
        <v>Other short-term social care</v>
      </c>
      <c r="C540" t="s">
        <v>217</v>
      </c>
      <c r="D540" t="s">
        <v>708</v>
      </c>
      <c r="E540">
        <v>9</v>
      </c>
      <c r="F540">
        <v>10</v>
      </c>
      <c r="G540">
        <v>18</v>
      </c>
      <c r="H540">
        <v>14</v>
      </c>
      <c r="I540">
        <v>21</v>
      </c>
      <c r="J540">
        <v>12</v>
      </c>
      <c r="K540">
        <v>13</v>
      </c>
      <c r="L540">
        <v>8</v>
      </c>
      <c r="M540">
        <v>17</v>
      </c>
      <c r="N540">
        <v>12</v>
      </c>
      <c r="O540">
        <v>12</v>
      </c>
      <c r="P540">
        <v>14</v>
      </c>
      <c r="Q540">
        <v>0</v>
      </c>
      <c r="R540">
        <v>1</v>
      </c>
      <c r="S540">
        <v>0</v>
      </c>
      <c r="V540"/>
      <c r="W540"/>
      <c r="X540"/>
    </row>
    <row r="541" spans="1:24" x14ac:dyDescent="0.3">
      <c r="A541" t="str">
        <f>Table_Capacity_Community_frontsheet[[#This Row],[Name]]&amp;B541</f>
        <v>MertonSocial support (including VCS)</v>
      </c>
      <c r="B541" t="str">
        <f>VLOOKUP(Table_Capacity_Community_frontsheet[[#This Row],[Service Area]],PathwayLookup!E:F,2,0)</f>
        <v>Social support (including VCS)</v>
      </c>
      <c r="C541" t="s">
        <v>219</v>
      </c>
      <c r="D541" t="s">
        <v>704</v>
      </c>
      <c r="E541">
        <v>13</v>
      </c>
      <c r="F541">
        <v>13</v>
      </c>
      <c r="G541">
        <v>13</v>
      </c>
      <c r="H541">
        <v>13</v>
      </c>
      <c r="I541">
        <v>13</v>
      </c>
      <c r="J541">
        <v>13</v>
      </c>
      <c r="K541">
        <v>13</v>
      </c>
      <c r="L541">
        <v>13</v>
      </c>
      <c r="M541">
        <v>13</v>
      </c>
      <c r="N541">
        <v>13</v>
      </c>
      <c r="O541">
        <v>13</v>
      </c>
      <c r="P541">
        <v>13</v>
      </c>
      <c r="V541"/>
      <c r="W541"/>
      <c r="X541"/>
    </row>
    <row r="542" spans="1:24" x14ac:dyDescent="0.3">
      <c r="A542" t="str">
        <f>Table_Capacity_Community_frontsheet[[#This Row],[Name]]&amp;B542</f>
        <v>MertonUrgent Community Response</v>
      </c>
      <c r="B542" t="str">
        <f>VLOOKUP(Table_Capacity_Community_frontsheet[[#This Row],[Service Area]],PathwayLookup!E:F,2,0)</f>
        <v>Urgent Community Response</v>
      </c>
      <c r="C542" t="s">
        <v>219</v>
      </c>
      <c r="D542" t="s">
        <v>705</v>
      </c>
      <c r="E542">
        <v>180</v>
      </c>
      <c r="F542">
        <v>180</v>
      </c>
      <c r="G542">
        <v>180</v>
      </c>
      <c r="H542">
        <v>180</v>
      </c>
      <c r="I542">
        <v>180</v>
      </c>
      <c r="J542">
        <v>180</v>
      </c>
      <c r="K542">
        <v>180</v>
      </c>
      <c r="L542">
        <v>180</v>
      </c>
      <c r="M542">
        <v>180</v>
      </c>
      <c r="N542">
        <v>180</v>
      </c>
      <c r="O542">
        <v>180</v>
      </c>
      <c r="P542">
        <v>180</v>
      </c>
      <c r="V542"/>
      <c r="W542"/>
      <c r="X542"/>
    </row>
    <row r="543" spans="1:24" x14ac:dyDescent="0.3">
      <c r="A543" t="str">
        <f>Table_Capacity_Community_frontsheet[[#This Row],[Name]]&amp;B543</f>
        <v>MertonReablement &amp; Rehabilitation at home</v>
      </c>
      <c r="B543" t="str">
        <f>VLOOKUP(Table_Capacity_Community_frontsheet[[#This Row],[Service Area]],PathwayLookup!E:F,2,0)</f>
        <v>Reablement &amp; Rehabilitation at home</v>
      </c>
      <c r="C543" t="s">
        <v>219</v>
      </c>
      <c r="D543" t="s">
        <v>727</v>
      </c>
      <c r="E543">
        <v>4</v>
      </c>
      <c r="F543">
        <v>4</v>
      </c>
      <c r="G543">
        <v>4</v>
      </c>
      <c r="H543">
        <v>4</v>
      </c>
      <c r="I543">
        <v>4</v>
      </c>
      <c r="J543">
        <v>4</v>
      </c>
      <c r="K543">
        <v>4</v>
      </c>
      <c r="L543">
        <v>4</v>
      </c>
      <c r="M543">
        <v>4</v>
      </c>
      <c r="N543">
        <v>4</v>
      </c>
      <c r="O543">
        <v>4</v>
      </c>
      <c r="P543">
        <v>4</v>
      </c>
      <c r="V543"/>
      <c r="W543"/>
      <c r="X543"/>
    </row>
    <row r="544" spans="1:24" x14ac:dyDescent="0.3">
      <c r="A544" t="str">
        <f>Table_Capacity_Community_frontsheet[[#This Row],[Name]]&amp;B544</f>
        <v>MertonReablement &amp; Rehabilitation at home</v>
      </c>
      <c r="B544" t="str">
        <f>VLOOKUP(Table_Capacity_Community_frontsheet[[#This Row],[Service Area]],PathwayLookup!E:F,2,0)</f>
        <v>Reablement &amp; Rehabilitation at home</v>
      </c>
      <c r="C544" t="s">
        <v>219</v>
      </c>
      <c r="D544" t="s">
        <v>729</v>
      </c>
      <c r="E544">
        <v>155</v>
      </c>
      <c r="F544">
        <v>177</v>
      </c>
      <c r="G544">
        <v>172</v>
      </c>
      <c r="H544">
        <v>208</v>
      </c>
      <c r="I544">
        <v>192</v>
      </c>
      <c r="J544">
        <v>172</v>
      </c>
      <c r="K544">
        <v>189</v>
      </c>
      <c r="L544">
        <v>183</v>
      </c>
      <c r="M544">
        <v>188</v>
      </c>
      <c r="N544">
        <v>194</v>
      </c>
      <c r="O544">
        <v>218</v>
      </c>
      <c r="P544">
        <v>238</v>
      </c>
      <c r="V544"/>
      <c r="W544"/>
      <c r="X544"/>
    </row>
    <row r="545" spans="1:24" x14ac:dyDescent="0.3">
      <c r="A545" t="str">
        <f>Table_Capacity_Community_frontsheet[[#This Row],[Name]]&amp;B545</f>
        <v>MertonReablement &amp; Rehabilitation in a bedded setting</v>
      </c>
      <c r="B545" t="str">
        <f>VLOOKUP(Table_Capacity_Community_frontsheet[[#This Row],[Service Area]],PathwayLookup!E:F,2,0)</f>
        <v>Reablement &amp; Rehabilitation in a bedded setting</v>
      </c>
      <c r="C545" t="s">
        <v>219</v>
      </c>
      <c r="D545" t="s">
        <v>723</v>
      </c>
      <c r="E545">
        <v>0</v>
      </c>
      <c r="F545">
        <v>0</v>
      </c>
      <c r="G545">
        <v>0</v>
      </c>
      <c r="H545">
        <v>0</v>
      </c>
      <c r="I545">
        <v>0</v>
      </c>
      <c r="J545">
        <v>0</v>
      </c>
      <c r="K545">
        <v>0</v>
      </c>
      <c r="L545">
        <v>0</v>
      </c>
      <c r="M545">
        <v>0</v>
      </c>
      <c r="N545">
        <v>0</v>
      </c>
      <c r="O545">
        <v>0</v>
      </c>
      <c r="P545">
        <v>0</v>
      </c>
      <c r="V545"/>
      <c r="W545"/>
      <c r="X545"/>
    </row>
    <row r="546" spans="1:24" x14ac:dyDescent="0.3">
      <c r="A546" t="str">
        <f>Table_Capacity_Community_frontsheet[[#This Row],[Name]]&amp;B546</f>
        <v>MertonReablement &amp; Rehabilitation in a bedded setting</v>
      </c>
      <c r="B546" t="str">
        <f>VLOOKUP(Table_Capacity_Community_frontsheet[[#This Row],[Service Area]],PathwayLookup!E:F,2,0)</f>
        <v>Reablement &amp; Rehabilitation in a bedded setting</v>
      </c>
      <c r="C546" t="s">
        <v>219</v>
      </c>
      <c r="D546" t="s">
        <v>725</v>
      </c>
      <c r="E546">
        <v>1</v>
      </c>
      <c r="F546">
        <v>1</v>
      </c>
      <c r="G546">
        <v>1</v>
      </c>
      <c r="H546">
        <v>1</v>
      </c>
      <c r="I546">
        <v>1</v>
      </c>
      <c r="J546">
        <v>1</v>
      </c>
      <c r="K546">
        <v>1</v>
      </c>
      <c r="L546">
        <v>1</v>
      </c>
      <c r="M546">
        <v>1</v>
      </c>
      <c r="N546">
        <v>1</v>
      </c>
      <c r="O546">
        <v>1</v>
      </c>
      <c r="P546">
        <v>1</v>
      </c>
      <c r="V546"/>
      <c r="W546"/>
      <c r="X546"/>
    </row>
    <row r="547" spans="1:24" x14ac:dyDescent="0.3">
      <c r="A547" t="str">
        <f>Table_Capacity_Community_frontsheet[[#This Row],[Name]]&amp;B547</f>
        <v>MertonOther short-term social care</v>
      </c>
      <c r="B547" t="str">
        <f>VLOOKUP(Table_Capacity_Community_frontsheet[[#This Row],[Service Area]],PathwayLookup!E:F,2,0)</f>
        <v>Other short-term social care</v>
      </c>
      <c r="C547" t="s">
        <v>219</v>
      </c>
      <c r="D547" t="s">
        <v>708</v>
      </c>
      <c r="E547">
        <v>0</v>
      </c>
      <c r="F547">
        <v>0</v>
      </c>
      <c r="G547">
        <v>0</v>
      </c>
      <c r="H547">
        <v>0</v>
      </c>
      <c r="I547">
        <v>0</v>
      </c>
      <c r="J547">
        <v>0</v>
      </c>
      <c r="K547">
        <v>0</v>
      </c>
      <c r="L547">
        <v>0</v>
      </c>
      <c r="M547">
        <v>0</v>
      </c>
      <c r="N547">
        <v>0</v>
      </c>
      <c r="O547">
        <v>0</v>
      </c>
      <c r="P547">
        <v>0</v>
      </c>
      <c r="V547"/>
      <c r="W547"/>
      <c r="X547"/>
    </row>
    <row r="548" spans="1:24" x14ac:dyDescent="0.3">
      <c r="A548" t="str">
        <f>Table_Capacity_Community_frontsheet[[#This Row],[Name]]&amp;B548</f>
        <v>MiddlesbroughSocial support (including VCS)</v>
      </c>
      <c r="B548" t="str">
        <f>VLOOKUP(Table_Capacity_Community_frontsheet[[#This Row],[Service Area]],PathwayLookup!E:F,2,0)</f>
        <v>Social support (including VCS)</v>
      </c>
      <c r="C548" t="s">
        <v>221</v>
      </c>
      <c r="D548" t="s">
        <v>704</v>
      </c>
      <c r="E548">
        <v>0</v>
      </c>
      <c r="F548">
        <v>0</v>
      </c>
      <c r="G548">
        <v>0</v>
      </c>
      <c r="H548">
        <v>0</v>
      </c>
      <c r="I548">
        <v>0</v>
      </c>
      <c r="J548">
        <v>0</v>
      </c>
      <c r="K548">
        <v>0</v>
      </c>
      <c r="L548">
        <v>0</v>
      </c>
      <c r="M548">
        <v>0</v>
      </c>
      <c r="N548">
        <v>0</v>
      </c>
      <c r="O548">
        <v>0</v>
      </c>
      <c r="P548">
        <v>0</v>
      </c>
      <c r="Q548">
        <v>0</v>
      </c>
      <c r="R548">
        <v>0</v>
      </c>
      <c r="S548">
        <v>0</v>
      </c>
      <c r="V548"/>
      <c r="W548"/>
      <c r="X548"/>
    </row>
    <row r="549" spans="1:24" x14ac:dyDescent="0.3">
      <c r="A549" t="str">
        <f>Table_Capacity_Community_frontsheet[[#This Row],[Name]]&amp;B549</f>
        <v>MiddlesbroughUrgent Community Response</v>
      </c>
      <c r="B549" t="str">
        <f>VLOOKUP(Table_Capacity_Community_frontsheet[[#This Row],[Service Area]],PathwayLookup!E:F,2,0)</f>
        <v>Urgent Community Response</v>
      </c>
      <c r="C549" t="s">
        <v>221</v>
      </c>
      <c r="D549" t="s">
        <v>705</v>
      </c>
      <c r="E549">
        <v>254</v>
      </c>
      <c r="F549">
        <v>254</v>
      </c>
      <c r="G549">
        <v>254</v>
      </c>
      <c r="H549">
        <v>267</v>
      </c>
      <c r="I549">
        <v>267</v>
      </c>
      <c r="J549">
        <v>267</v>
      </c>
      <c r="K549">
        <v>280</v>
      </c>
      <c r="L549">
        <v>280</v>
      </c>
      <c r="M549">
        <v>280</v>
      </c>
      <c r="N549">
        <v>280</v>
      </c>
      <c r="O549">
        <v>280</v>
      </c>
      <c r="P549">
        <v>280</v>
      </c>
      <c r="Q549">
        <v>1</v>
      </c>
      <c r="R549">
        <v>0</v>
      </c>
      <c r="S549">
        <v>0</v>
      </c>
      <c r="V549"/>
      <c r="W549"/>
      <c r="X549"/>
    </row>
    <row r="550" spans="1:24" x14ac:dyDescent="0.3">
      <c r="A550" t="str">
        <f>Table_Capacity_Community_frontsheet[[#This Row],[Name]]&amp;B550</f>
        <v>MiddlesbroughReablement &amp; Rehabilitation at home</v>
      </c>
      <c r="B550" t="str">
        <f>VLOOKUP(Table_Capacity_Community_frontsheet[[#This Row],[Service Area]],PathwayLookup!E:F,2,0)</f>
        <v>Reablement &amp; Rehabilitation at home</v>
      </c>
      <c r="C550" t="s">
        <v>221</v>
      </c>
      <c r="D550" t="s">
        <v>727</v>
      </c>
      <c r="E550">
        <v>14</v>
      </c>
      <c r="F550">
        <v>15</v>
      </c>
      <c r="G550">
        <v>14</v>
      </c>
      <c r="H550">
        <v>15</v>
      </c>
      <c r="I550">
        <v>15</v>
      </c>
      <c r="J550">
        <v>14</v>
      </c>
      <c r="K550">
        <v>15</v>
      </c>
      <c r="L550">
        <v>14</v>
      </c>
      <c r="M550">
        <v>15</v>
      </c>
      <c r="N550">
        <v>15</v>
      </c>
      <c r="O550">
        <v>14</v>
      </c>
      <c r="P550">
        <v>15</v>
      </c>
      <c r="Q550">
        <v>0</v>
      </c>
      <c r="R550">
        <v>1</v>
      </c>
      <c r="S550">
        <v>0</v>
      </c>
      <c r="V550"/>
      <c r="W550"/>
      <c r="X550"/>
    </row>
    <row r="551" spans="1:24" x14ac:dyDescent="0.3">
      <c r="A551" t="str">
        <f>Table_Capacity_Community_frontsheet[[#This Row],[Name]]&amp;B551</f>
        <v>MiddlesbroughReablement &amp; Rehabilitation at home</v>
      </c>
      <c r="B551" t="str">
        <f>VLOOKUP(Table_Capacity_Community_frontsheet[[#This Row],[Service Area]],PathwayLookup!E:F,2,0)</f>
        <v>Reablement &amp; Rehabilitation at home</v>
      </c>
      <c r="C551" t="s">
        <v>221</v>
      </c>
      <c r="D551" t="s">
        <v>729</v>
      </c>
      <c r="E551">
        <v>2</v>
      </c>
      <c r="F551">
        <v>2</v>
      </c>
      <c r="G551">
        <v>2</v>
      </c>
      <c r="H551">
        <v>2</v>
      </c>
      <c r="I551">
        <v>2</v>
      </c>
      <c r="J551">
        <v>2</v>
      </c>
      <c r="K551">
        <v>2</v>
      </c>
      <c r="L551">
        <v>2</v>
      </c>
      <c r="M551">
        <v>2</v>
      </c>
      <c r="N551">
        <v>2</v>
      </c>
      <c r="O551">
        <v>2</v>
      </c>
      <c r="P551">
        <v>3</v>
      </c>
      <c r="Q551">
        <v>1</v>
      </c>
      <c r="R551">
        <v>0</v>
      </c>
      <c r="S551">
        <v>0</v>
      </c>
      <c r="V551"/>
      <c r="W551"/>
      <c r="X551"/>
    </row>
    <row r="552" spans="1:24" x14ac:dyDescent="0.3">
      <c r="A552" t="str">
        <f>Table_Capacity_Community_frontsheet[[#This Row],[Name]]&amp;B552</f>
        <v>MiddlesbroughReablement &amp; Rehabilitation in a bedded setting</v>
      </c>
      <c r="B552" t="str">
        <f>VLOOKUP(Table_Capacity_Community_frontsheet[[#This Row],[Service Area]],PathwayLookup!E:F,2,0)</f>
        <v>Reablement &amp; Rehabilitation in a bedded setting</v>
      </c>
      <c r="C552" t="s">
        <v>221</v>
      </c>
      <c r="D552" t="s">
        <v>723</v>
      </c>
      <c r="E552">
        <v>11</v>
      </c>
      <c r="F552">
        <v>11</v>
      </c>
      <c r="G552">
        <v>13</v>
      </c>
      <c r="H552">
        <v>13</v>
      </c>
      <c r="I552">
        <v>13</v>
      </c>
      <c r="J552">
        <v>13</v>
      </c>
      <c r="K552">
        <v>13</v>
      </c>
      <c r="L552">
        <v>13</v>
      </c>
      <c r="M552">
        <v>13</v>
      </c>
      <c r="N552">
        <v>13</v>
      </c>
      <c r="O552">
        <v>13</v>
      </c>
      <c r="P552">
        <v>13</v>
      </c>
      <c r="Q552">
        <v>0</v>
      </c>
      <c r="R552">
        <v>1</v>
      </c>
      <c r="S552">
        <v>0</v>
      </c>
      <c r="V552"/>
      <c r="W552"/>
      <c r="X552"/>
    </row>
    <row r="553" spans="1:24" x14ac:dyDescent="0.3">
      <c r="A553" t="str">
        <f>Table_Capacity_Community_frontsheet[[#This Row],[Name]]&amp;B553</f>
        <v>MiddlesbroughReablement &amp; Rehabilitation in a bedded setting</v>
      </c>
      <c r="B553" t="str">
        <f>VLOOKUP(Table_Capacity_Community_frontsheet[[#This Row],[Service Area]],PathwayLookup!E:F,2,0)</f>
        <v>Reablement &amp; Rehabilitation in a bedded setting</v>
      </c>
      <c r="C553" t="s">
        <v>221</v>
      </c>
      <c r="D553" t="s">
        <v>725</v>
      </c>
      <c r="E553">
        <v>0</v>
      </c>
      <c r="F553">
        <v>0</v>
      </c>
      <c r="G553">
        <v>0</v>
      </c>
      <c r="H553">
        <v>0</v>
      </c>
      <c r="I553">
        <v>0</v>
      </c>
      <c r="J553">
        <v>0</v>
      </c>
      <c r="K553">
        <v>0</v>
      </c>
      <c r="L553">
        <v>0</v>
      </c>
      <c r="M553">
        <v>0</v>
      </c>
      <c r="N553">
        <v>0</v>
      </c>
      <c r="O553">
        <v>0</v>
      </c>
      <c r="P553">
        <v>0</v>
      </c>
      <c r="Q553">
        <v>0</v>
      </c>
      <c r="R553">
        <v>0</v>
      </c>
      <c r="S553">
        <v>0</v>
      </c>
      <c r="V553"/>
      <c r="W553"/>
      <c r="X553"/>
    </row>
    <row r="554" spans="1:24" x14ac:dyDescent="0.3">
      <c r="A554" t="str">
        <f>Table_Capacity_Community_frontsheet[[#This Row],[Name]]&amp;B554</f>
        <v>MiddlesbroughOther short-term social care</v>
      </c>
      <c r="B554" t="str">
        <f>VLOOKUP(Table_Capacity_Community_frontsheet[[#This Row],[Service Area]],PathwayLookup!E:F,2,0)</f>
        <v>Other short-term social care</v>
      </c>
      <c r="C554" t="s">
        <v>221</v>
      </c>
      <c r="D554" t="s">
        <v>708</v>
      </c>
      <c r="E554">
        <v>0</v>
      </c>
      <c r="F554">
        <v>0</v>
      </c>
      <c r="G554">
        <v>0</v>
      </c>
      <c r="H554">
        <v>0</v>
      </c>
      <c r="I554">
        <v>0</v>
      </c>
      <c r="J554">
        <v>0</v>
      </c>
      <c r="K554">
        <v>0</v>
      </c>
      <c r="L554">
        <v>0</v>
      </c>
      <c r="M554">
        <v>0</v>
      </c>
      <c r="N554">
        <v>0</v>
      </c>
      <c r="O554">
        <v>0</v>
      </c>
      <c r="P554">
        <v>0</v>
      </c>
      <c r="Q554">
        <v>0</v>
      </c>
      <c r="R554">
        <v>0</v>
      </c>
      <c r="S554">
        <v>0</v>
      </c>
      <c r="V554"/>
      <c r="W554"/>
      <c r="X554"/>
    </row>
    <row r="555" spans="1:24" x14ac:dyDescent="0.3">
      <c r="A555" t="str">
        <f>Table_Capacity_Community_frontsheet[[#This Row],[Name]]&amp;B555</f>
        <v>Milton KeynesSocial support (including VCS)</v>
      </c>
      <c r="B555" t="str">
        <f>VLOOKUP(Table_Capacity_Community_frontsheet[[#This Row],[Service Area]],PathwayLookup!E:F,2,0)</f>
        <v>Social support (including VCS)</v>
      </c>
      <c r="C555" t="s">
        <v>223</v>
      </c>
      <c r="D555" t="s">
        <v>704</v>
      </c>
      <c r="E555">
        <v>0</v>
      </c>
      <c r="F555">
        <v>0</v>
      </c>
      <c r="G555">
        <v>0</v>
      </c>
      <c r="H555">
        <v>0</v>
      </c>
      <c r="I555">
        <v>0</v>
      </c>
      <c r="J555">
        <v>0</v>
      </c>
      <c r="K555">
        <v>0</v>
      </c>
      <c r="L555">
        <v>0</v>
      </c>
      <c r="N555">
        <v>0</v>
      </c>
      <c r="O555">
        <v>0</v>
      </c>
      <c r="P555">
        <v>0</v>
      </c>
      <c r="V555"/>
      <c r="W555"/>
      <c r="X555"/>
    </row>
    <row r="556" spans="1:24" x14ac:dyDescent="0.3">
      <c r="A556" t="str">
        <f>Table_Capacity_Community_frontsheet[[#This Row],[Name]]&amp;B556</f>
        <v>Milton KeynesUrgent Community Response</v>
      </c>
      <c r="B556" t="str">
        <f>VLOOKUP(Table_Capacity_Community_frontsheet[[#This Row],[Service Area]],PathwayLookup!E:F,2,0)</f>
        <v>Urgent Community Response</v>
      </c>
      <c r="C556" t="s">
        <v>223</v>
      </c>
      <c r="D556" t="s">
        <v>705</v>
      </c>
      <c r="E556">
        <v>272</v>
      </c>
      <c r="F556">
        <v>286</v>
      </c>
      <c r="G556">
        <v>288</v>
      </c>
      <c r="H556">
        <v>280</v>
      </c>
      <c r="I556">
        <v>302</v>
      </c>
      <c r="J556">
        <v>325</v>
      </c>
      <c r="K556">
        <v>402</v>
      </c>
      <c r="L556">
        <v>386</v>
      </c>
      <c r="M556">
        <v>400</v>
      </c>
      <c r="N556">
        <v>416</v>
      </c>
      <c r="O556">
        <v>358</v>
      </c>
      <c r="P556">
        <v>356</v>
      </c>
      <c r="Q556">
        <v>1</v>
      </c>
      <c r="V556"/>
      <c r="W556"/>
      <c r="X556"/>
    </row>
    <row r="557" spans="1:24" x14ac:dyDescent="0.3">
      <c r="A557" t="str">
        <f>Table_Capacity_Community_frontsheet[[#This Row],[Name]]&amp;B557</f>
        <v>Milton KeynesReablement &amp; Rehabilitation at home</v>
      </c>
      <c r="B557" t="str">
        <f>VLOOKUP(Table_Capacity_Community_frontsheet[[#This Row],[Service Area]],PathwayLookup!E:F,2,0)</f>
        <v>Reablement &amp; Rehabilitation at home</v>
      </c>
      <c r="C557" t="s">
        <v>223</v>
      </c>
      <c r="D557" t="s">
        <v>727</v>
      </c>
      <c r="E557">
        <v>4</v>
      </c>
      <c r="F557">
        <v>4</v>
      </c>
      <c r="G557">
        <v>4</v>
      </c>
      <c r="H557">
        <v>4</v>
      </c>
      <c r="I557">
        <v>4</v>
      </c>
      <c r="J557">
        <v>4</v>
      </c>
      <c r="K557">
        <v>4</v>
      </c>
      <c r="L557">
        <v>4</v>
      </c>
      <c r="M557">
        <v>4</v>
      </c>
      <c r="N557">
        <v>4</v>
      </c>
      <c r="O557">
        <v>4</v>
      </c>
      <c r="P557">
        <v>4</v>
      </c>
      <c r="R557">
        <v>1</v>
      </c>
      <c r="V557"/>
      <c r="W557"/>
      <c r="X557"/>
    </row>
    <row r="558" spans="1:24" x14ac:dyDescent="0.3">
      <c r="A558" t="str">
        <f>Table_Capacity_Community_frontsheet[[#This Row],[Name]]&amp;B558</f>
        <v>Milton KeynesReablement &amp; Rehabilitation at home</v>
      </c>
      <c r="B558" t="str">
        <f>VLOOKUP(Table_Capacity_Community_frontsheet[[#This Row],[Service Area]],PathwayLookup!E:F,2,0)</f>
        <v>Reablement &amp; Rehabilitation at home</v>
      </c>
      <c r="C558" t="s">
        <v>223</v>
      </c>
      <c r="D558" t="s">
        <v>729</v>
      </c>
      <c r="E558">
        <v>0</v>
      </c>
      <c r="F558">
        <v>0</v>
      </c>
      <c r="G558">
        <v>0</v>
      </c>
      <c r="H558">
        <v>0</v>
      </c>
      <c r="I558">
        <v>0</v>
      </c>
      <c r="J558">
        <v>0</v>
      </c>
      <c r="K558">
        <v>0</v>
      </c>
      <c r="L558">
        <v>0</v>
      </c>
      <c r="M558">
        <v>0</v>
      </c>
      <c r="N558">
        <v>0</v>
      </c>
      <c r="O558">
        <v>0</v>
      </c>
      <c r="P558">
        <v>0</v>
      </c>
      <c r="V558"/>
      <c r="W558"/>
      <c r="X558"/>
    </row>
    <row r="559" spans="1:24" x14ac:dyDescent="0.3">
      <c r="A559" t="str">
        <f>Table_Capacity_Community_frontsheet[[#This Row],[Name]]&amp;B559</f>
        <v>Milton KeynesReablement &amp; Rehabilitation in a bedded setting</v>
      </c>
      <c r="B559" t="str">
        <f>VLOOKUP(Table_Capacity_Community_frontsheet[[#This Row],[Service Area]],PathwayLookup!E:F,2,0)</f>
        <v>Reablement &amp; Rehabilitation in a bedded setting</v>
      </c>
      <c r="C559" t="s">
        <v>223</v>
      </c>
      <c r="D559" t="s">
        <v>723</v>
      </c>
      <c r="E559">
        <v>1</v>
      </c>
      <c r="F559">
        <v>1</v>
      </c>
      <c r="G559">
        <v>1</v>
      </c>
      <c r="H559">
        <v>1</v>
      </c>
      <c r="I559">
        <v>1</v>
      </c>
      <c r="J559">
        <v>1</v>
      </c>
      <c r="K559">
        <v>1</v>
      </c>
      <c r="L559">
        <v>1</v>
      </c>
      <c r="M559">
        <v>1</v>
      </c>
      <c r="N559">
        <v>1</v>
      </c>
      <c r="O559">
        <v>1</v>
      </c>
      <c r="P559">
        <v>1</v>
      </c>
      <c r="R559">
        <v>1</v>
      </c>
      <c r="V559"/>
      <c r="W559"/>
      <c r="X559"/>
    </row>
    <row r="560" spans="1:24" x14ac:dyDescent="0.3">
      <c r="A560" t="str">
        <f>Table_Capacity_Community_frontsheet[[#This Row],[Name]]&amp;B560</f>
        <v>Milton KeynesReablement &amp; Rehabilitation in a bedded setting</v>
      </c>
      <c r="B560" t="str">
        <f>VLOOKUP(Table_Capacity_Community_frontsheet[[#This Row],[Service Area]],PathwayLookup!E:F,2,0)</f>
        <v>Reablement &amp; Rehabilitation in a bedded setting</v>
      </c>
      <c r="C560" t="s">
        <v>223</v>
      </c>
      <c r="D560" t="s">
        <v>725</v>
      </c>
      <c r="E560">
        <v>2</v>
      </c>
      <c r="F560">
        <v>2</v>
      </c>
      <c r="G560">
        <v>2</v>
      </c>
      <c r="H560">
        <v>2</v>
      </c>
      <c r="I560">
        <v>2</v>
      </c>
      <c r="J560">
        <v>2</v>
      </c>
      <c r="K560">
        <v>2</v>
      </c>
      <c r="L560">
        <v>2</v>
      </c>
      <c r="M560">
        <v>2</v>
      </c>
      <c r="N560">
        <v>2</v>
      </c>
      <c r="O560">
        <v>2</v>
      </c>
      <c r="P560">
        <v>2</v>
      </c>
      <c r="Q560">
        <v>1</v>
      </c>
      <c r="V560"/>
      <c r="W560"/>
      <c r="X560"/>
    </row>
    <row r="561" spans="1:24" x14ac:dyDescent="0.3">
      <c r="A561" t="str">
        <f>Table_Capacity_Community_frontsheet[[#This Row],[Name]]&amp;B561</f>
        <v>Milton KeynesOther short-term social care</v>
      </c>
      <c r="B561" t="str">
        <f>VLOOKUP(Table_Capacity_Community_frontsheet[[#This Row],[Service Area]],PathwayLookup!E:F,2,0)</f>
        <v>Other short-term social care</v>
      </c>
      <c r="C561" t="s">
        <v>223</v>
      </c>
      <c r="D561" t="s">
        <v>708</v>
      </c>
      <c r="E561">
        <v>30</v>
      </c>
      <c r="F561">
        <v>30</v>
      </c>
      <c r="G561">
        <v>30</v>
      </c>
      <c r="H561">
        <v>30</v>
      </c>
      <c r="I561">
        <v>30</v>
      </c>
      <c r="J561">
        <v>30</v>
      </c>
      <c r="K561">
        <v>30</v>
      </c>
      <c r="L561">
        <v>30</v>
      </c>
      <c r="M561">
        <v>30</v>
      </c>
      <c r="N561">
        <v>30</v>
      </c>
      <c r="O561">
        <v>30</v>
      </c>
      <c r="P561">
        <v>30</v>
      </c>
      <c r="R561">
        <v>1</v>
      </c>
      <c r="V561"/>
      <c r="W561"/>
      <c r="X561"/>
    </row>
    <row r="562" spans="1:24" x14ac:dyDescent="0.3">
      <c r="A562" t="str">
        <f>Table_Capacity_Community_frontsheet[[#This Row],[Name]]&amp;B562</f>
        <v>Newcastle upon TyneSocial support (including VCS)</v>
      </c>
      <c r="B562" t="str">
        <f>VLOOKUP(Table_Capacity_Community_frontsheet[[#This Row],[Service Area]],PathwayLookup!E:F,2,0)</f>
        <v>Social support (including VCS)</v>
      </c>
      <c r="C562" t="s">
        <v>225</v>
      </c>
      <c r="D562" t="s">
        <v>704</v>
      </c>
      <c r="E562">
        <v>2</v>
      </c>
      <c r="F562">
        <v>4</v>
      </c>
      <c r="G562">
        <v>6</v>
      </c>
      <c r="H562">
        <v>6</v>
      </c>
      <c r="I562">
        <v>8</v>
      </c>
      <c r="J562">
        <v>9</v>
      </c>
      <c r="K562">
        <v>10</v>
      </c>
      <c r="L562">
        <v>11</v>
      </c>
      <c r="M562">
        <v>12</v>
      </c>
      <c r="N562">
        <v>13</v>
      </c>
      <c r="O562">
        <v>14</v>
      </c>
      <c r="P562">
        <v>15</v>
      </c>
      <c r="Q562">
        <v>1</v>
      </c>
      <c r="V562"/>
      <c r="W562"/>
      <c r="X562"/>
    </row>
    <row r="563" spans="1:24" x14ac:dyDescent="0.3">
      <c r="A563" t="str">
        <f>Table_Capacity_Community_frontsheet[[#This Row],[Name]]&amp;B563</f>
        <v>Newcastle upon TyneUrgent Community Response</v>
      </c>
      <c r="B563" t="str">
        <f>VLOOKUP(Table_Capacity_Community_frontsheet[[#This Row],[Service Area]],PathwayLookup!E:F,2,0)</f>
        <v>Urgent Community Response</v>
      </c>
      <c r="C563" t="s">
        <v>225</v>
      </c>
      <c r="D563" t="s">
        <v>705</v>
      </c>
      <c r="E563">
        <v>1650</v>
      </c>
      <c r="F563">
        <v>1705</v>
      </c>
      <c r="G563">
        <v>1650</v>
      </c>
      <c r="H563">
        <v>1705</v>
      </c>
      <c r="I563">
        <v>1650</v>
      </c>
      <c r="J563">
        <v>1705</v>
      </c>
      <c r="K563">
        <v>1650</v>
      </c>
      <c r="L563">
        <v>1705</v>
      </c>
      <c r="M563">
        <v>1650</v>
      </c>
      <c r="N563">
        <v>1705</v>
      </c>
      <c r="O563">
        <v>1650</v>
      </c>
      <c r="P563">
        <v>1705</v>
      </c>
      <c r="Q563">
        <v>1</v>
      </c>
      <c r="R563">
        <v>0</v>
      </c>
      <c r="S563">
        <v>0</v>
      </c>
      <c r="V563"/>
      <c r="W563"/>
      <c r="X563"/>
    </row>
    <row r="564" spans="1:24" x14ac:dyDescent="0.3">
      <c r="A564" t="str">
        <f>Table_Capacity_Community_frontsheet[[#This Row],[Name]]&amp;B564</f>
        <v>Newcastle upon TyneReablement &amp; Rehabilitation at home</v>
      </c>
      <c r="B564" t="str">
        <f>VLOOKUP(Table_Capacity_Community_frontsheet[[#This Row],[Service Area]],PathwayLookup!E:F,2,0)</f>
        <v>Reablement &amp; Rehabilitation at home</v>
      </c>
      <c r="C564" t="s">
        <v>225</v>
      </c>
      <c r="D564" t="s">
        <v>727</v>
      </c>
      <c r="E564">
        <v>49</v>
      </c>
      <c r="F564">
        <v>53</v>
      </c>
      <c r="G564">
        <v>55</v>
      </c>
      <c r="H564">
        <v>73</v>
      </c>
      <c r="I564">
        <v>40</v>
      </c>
      <c r="J564">
        <v>25</v>
      </c>
      <c r="K564">
        <v>44</v>
      </c>
      <c r="L564">
        <v>67</v>
      </c>
      <c r="M564">
        <v>48</v>
      </c>
      <c r="N564">
        <v>62</v>
      </c>
      <c r="O564">
        <v>54</v>
      </c>
      <c r="P564">
        <v>51</v>
      </c>
      <c r="R564">
        <v>1</v>
      </c>
      <c r="V564"/>
      <c r="W564"/>
      <c r="X564"/>
    </row>
    <row r="565" spans="1:24" x14ac:dyDescent="0.3">
      <c r="A565" t="str">
        <f>Table_Capacity_Community_frontsheet[[#This Row],[Name]]&amp;B565</f>
        <v>Newcastle upon TyneReablement &amp; Rehabilitation at home</v>
      </c>
      <c r="B565" t="str">
        <f>VLOOKUP(Table_Capacity_Community_frontsheet[[#This Row],[Service Area]],PathwayLookup!E:F,2,0)</f>
        <v>Reablement &amp; Rehabilitation at home</v>
      </c>
      <c r="C565" t="s">
        <v>225</v>
      </c>
      <c r="D565" t="s">
        <v>729</v>
      </c>
      <c r="E565">
        <v>695</v>
      </c>
      <c r="F565">
        <v>717</v>
      </c>
      <c r="G565">
        <v>695</v>
      </c>
      <c r="H565">
        <v>717</v>
      </c>
      <c r="I565">
        <v>695</v>
      </c>
      <c r="J565">
        <v>717</v>
      </c>
      <c r="K565">
        <v>695</v>
      </c>
      <c r="L565">
        <v>717</v>
      </c>
      <c r="M565">
        <v>695</v>
      </c>
      <c r="N565">
        <v>717</v>
      </c>
      <c r="O565">
        <v>695</v>
      </c>
      <c r="P565">
        <v>717</v>
      </c>
      <c r="Q565">
        <v>1</v>
      </c>
      <c r="V565"/>
      <c r="W565"/>
      <c r="X565"/>
    </row>
    <row r="566" spans="1:24" x14ac:dyDescent="0.3">
      <c r="A566" t="str">
        <f>Table_Capacity_Community_frontsheet[[#This Row],[Name]]&amp;B566</f>
        <v>Newcastle upon TyneReablement &amp; Rehabilitation in a bedded setting</v>
      </c>
      <c r="B566" t="str">
        <f>VLOOKUP(Table_Capacity_Community_frontsheet[[#This Row],[Service Area]],PathwayLookup!E:F,2,0)</f>
        <v>Reablement &amp; Rehabilitation in a bedded setting</v>
      </c>
      <c r="C566" t="s">
        <v>225</v>
      </c>
      <c r="D566" t="s">
        <v>723</v>
      </c>
      <c r="E566">
        <v>0</v>
      </c>
      <c r="F566">
        <v>0</v>
      </c>
      <c r="G566">
        <v>0</v>
      </c>
      <c r="H566">
        <v>0</v>
      </c>
      <c r="I566">
        <v>0</v>
      </c>
      <c r="J566">
        <v>0</v>
      </c>
      <c r="K566">
        <v>0</v>
      </c>
      <c r="L566">
        <v>0</v>
      </c>
      <c r="M566">
        <v>0</v>
      </c>
      <c r="N566">
        <v>0</v>
      </c>
      <c r="O566">
        <v>0</v>
      </c>
      <c r="P566">
        <v>0</v>
      </c>
      <c r="Q566">
        <v>0</v>
      </c>
      <c r="R566">
        <v>0</v>
      </c>
      <c r="S566">
        <v>0</v>
      </c>
      <c r="V566"/>
      <c r="W566"/>
      <c r="X566"/>
    </row>
    <row r="567" spans="1:24" x14ac:dyDescent="0.3">
      <c r="A567" t="str">
        <f>Table_Capacity_Community_frontsheet[[#This Row],[Name]]&amp;B567</f>
        <v>Newcastle upon TyneReablement &amp; Rehabilitation in a bedded setting</v>
      </c>
      <c r="B567" t="str">
        <f>VLOOKUP(Table_Capacity_Community_frontsheet[[#This Row],[Service Area]],PathwayLookup!E:F,2,0)</f>
        <v>Reablement &amp; Rehabilitation in a bedded setting</v>
      </c>
      <c r="C567" t="s">
        <v>225</v>
      </c>
      <c r="D567" t="s">
        <v>725</v>
      </c>
      <c r="E567">
        <v>9</v>
      </c>
      <c r="F567">
        <v>9</v>
      </c>
      <c r="G567">
        <v>9</v>
      </c>
      <c r="H567">
        <v>9</v>
      </c>
      <c r="I567">
        <v>9</v>
      </c>
      <c r="J567">
        <v>9</v>
      </c>
      <c r="K567">
        <v>9</v>
      </c>
      <c r="L567">
        <v>9</v>
      </c>
      <c r="M567">
        <v>9</v>
      </c>
      <c r="N567">
        <v>9</v>
      </c>
      <c r="O567">
        <v>8</v>
      </c>
      <c r="P567">
        <v>9</v>
      </c>
      <c r="Q567">
        <v>0.33</v>
      </c>
      <c r="R567">
        <v>0.67</v>
      </c>
      <c r="V567"/>
      <c r="W567"/>
      <c r="X567"/>
    </row>
    <row r="568" spans="1:24" x14ac:dyDescent="0.3">
      <c r="A568" t="str">
        <f>Table_Capacity_Community_frontsheet[[#This Row],[Name]]&amp;B568</f>
        <v>Newcastle upon TyneOther short-term social care</v>
      </c>
      <c r="B568" t="str">
        <f>VLOOKUP(Table_Capacity_Community_frontsheet[[#This Row],[Service Area]],PathwayLookup!E:F,2,0)</f>
        <v>Other short-term social care</v>
      </c>
      <c r="C568" t="s">
        <v>225</v>
      </c>
      <c r="D568" t="s">
        <v>708</v>
      </c>
      <c r="E568">
        <v>0</v>
      </c>
      <c r="F568">
        <v>0</v>
      </c>
      <c r="G568">
        <v>0</v>
      </c>
      <c r="H568">
        <v>0</v>
      </c>
      <c r="I568">
        <v>0</v>
      </c>
      <c r="J568">
        <v>0</v>
      </c>
      <c r="K568">
        <v>0</v>
      </c>
      <c r="L568">
        <v>0</v>
      </c>
      <c r="M568">
        <v>0</v>
      </c>
      <c r="N568">
        <v>0</v>
      </c>
      <c r="O568">
        <v>0</v>
      </c>
      <c r="P568">
        <v>0</v>
      </c>
      <c r="Q568">
        <v>0</v>
      </c>
      <c r="R568">
        <v>0</v>
      </c>
      <c r="S568">
        <v>0</v>
      </c>
      <c r="V568"/>
      <c r="W568"/>
      <c r="X568"/>
    </row>
    <row r="569" spans="1:24" x14ac:dyDescent="0.3">
      <c r="A569" t="str">
        <f>Table_Capacity_Community_frontsheet[[#This Row],[Name]]&amp;B569</f>
        <v>NewhamSocial support (including VCS)</v>
      </c>
      <c r="B569" t="str">
        <f>VLOOKUP(Table_Capacity_Community_frontsheet[[#This Row],[Service Area]],PathwayLookup!E:F,2,0)</f>
        <v>Social support (including VCS)</v>
      </c>
      <c r="C569" t="s">
        <v>227</v>
      </c>
      <c r="D569" t="s">
        <v>704</v>
      </c>
      <c r="E569">
        <v>0</v>
      </c>
      <c r="F569">
        <v>0</v>
      </c>
      <c r="G569">
        <v>0</v>
      </c>
      <c r="H569">
        <v>0</v>
      </c>
      <c r="I569">
        <v>0</v>
      </c>
      <c r="J569">
        <v>0</v>
      </c>
      <c r="K569">
        <v>0</v>
      </c>
      <c r="L569">
        <v>0</v>
      </c>
      <c r="M569">
        <v>0</v>
      </c>
      <c r="N569">
        <v>0</v>
      </c>
      <c r="O569">
        <v>0</v>
      </c>
      <c r="P569">
        <v>0</v>
      </c>
      <c r="S569">
        <v>1</v>
      </c>
      <c r="V569"/>
      <c r="W569"/>
      <c r="X569"/>
    </row>
    <row r="570" spans="1:24" x14ac:dyDescent="0.3">
      <c r="A570" t="str">
        <f>Table_Capacity_Community_frontsheet[[#This Row],[Name]]&amp;B570</f>
        <v>NewhamUrgent Community Response</v>
      </c>
      <c r="B570" t="str">
        <f>VLOOKUP(Table_Capacity_Community_frontsheet[[#This Row],[Service Area]],PathwayLookup!E:F,2,0)</f>
        <v>Urgent Community Response</v>
      </c>
      <c r="C570" t="s">
        <v>227</v>
      </c>
      <c r="D570" t="s">
        <v>705</v>
      </c>
      <c r="E570">
        <v>103.68728627443036</v>
      </c>
      <c r="F570">
        <v>103.68728627443036</v>
      </c>
      <c r="G570">
        <v>103.68728627443036</v>
      </c>
      <c r="H570">
        <v>104.42879249331784</v>
      </c>
      <c r="I570">
        <v>104.42879249331784</v>
      </c>
      <c r="J570">
        <v>104.42879249331784</v>
      </c>
      <c r="K570">
        <v>100.7212613988805</v>
      </c>
      <c r="L570">
        <v>100.7212613988805</v>
      </c>
      <c r="M570">
        <v>100.7212613988805</v>
      </c>
      <c r="N570">
        <v>102.9457800555429</v>
      </c>
      <c r="O570">
        <v>102.9457800555429</v>
      </c>
      <c r="P570">
        <v>102.9457800555429</v>
      </c>
      <c r="S570">
        <v>1</v>
      </c>
      <c r="V570"/>
      <c r="W570"/>
      <c r="X570"/>
    </row>
    <row r="571" spans="1:24" x14ac:dyDescent="0.3">
      <c r="A571" t="str">
        <f>Table_Capacity_Community_frontsheet[[#This Row],[Name]]&amp;B571</f>
        <v>NewhamReablement &amp; Rehabilitation at home</v>
      </c>
      <c r="B571" t="str">
        <f>VLOOKUP(Table_Capacity_Community_frontsheet[[#This Row],[Service Area]],PathwayLookup!E:F,2,0)</f>
        <v>Reablement &amp; Rehabilitation at home</v>
      </c>
      <c r="C571" t="s">
        <v>227</v>
      </c>
      <c r="D571" t="s">
        <v>727</v>
      </c>
      <c r="E571">
        <v>7</v>
      </c>
      <c r="F571">
        <v>7</v>
      </c>
      <c r="G571">
        <v>7</v>
      </c>
      <c r="H571">
        <v>7</v>
      </c>
      <c r="I571">
        <v>7</v>
      </c>
      <c r="J571">
        <v>7</v>
      </c>
      <c r="K571">
        <v>7</v>
      </c>
      <c r="L571">
        <v>7</v>
      </c>
      <c r="M571">
        <v>7</v>
      </c>
      <c r="N571">
        <v>7</v>
      </c>
      <c r="O571">
        <v>7</v>
      </c>
      <c r="P571">
        <v>7</v>
      </c>
      <c r="S571">
        <v>1</v>
      </c>
      <c r="V571"/>
      <c r="W571"/>
      <c r="X571"/>
    </row>
    <row r="572" spans="1:24" x14ac:dyDescent="0.3">
      <c r="A572" t="str">
        <f>Table_Capacity_Community_frontsheet[[#This Row],[Name]]&amp;B572</f>
        <v>NewhamReablement &amp; Rehabilitation at home</v>
      </c>
      <c r="B572" t="str">
        <f>VLOOKUP(Table_Capacity_Community_frontsheet[[#This Row],[Service Area]],PathwayLookup!E:F,2,0)</f>
        <v>Reablement &amp; Rehabilitation at home</v>
      </c>
      <c r="C572" t="s">
        <v>227</v>
      </c>
      <c r="D572" t="s">
        <v>729</v>
      </c>
      <c r="E572">
        <v>7</v>
      </c>
      <c r="F572">
        <v>7</v>
      </c>
      <c r="G572">
        <v>7</v>
      </c>
      <c r="H572">
        <v>7</v>
      </c>
      <c r="I572">
        <v>7</v>
      </c>
      <c r="J572">
        <v>7</v>
      </c>
      <c r="K572">
        <v>7</v>
      </c>
      <c r="L572">
        <v>7</v>
      </c>
      <c r="M572">
        <v>7</v>
      </c>
      <c r="N572">
        <v>7</v>
      </c>
      <c r="O572">
        <v>7</v>
      </c>
      <c r="P572">
        <v>7</v>
      </c>
      <c r="S572">
        <v>1</v>
      </c>
      <c r="V572"/>
      <c r="W572"/>
      <c r="X572"/>
    </row>
    <row r="573" spans="1:24" x14ac:dyDescent="0.3">
      <c r="A573" t="str">
        <f>Table_Capacity_Community_frontsheet[[#This Row],[Name]]&amp;B573</f>
        <v>NewhamReablement &amp; Rehabilitation in a bedded setting</v>
      </c>
      <c r="B573" t="str">
        <f>VLOOKUP(Table_Capacity_Community_frontsheet[[#This Row],[Service Area]],PathwayLookup!E:F,2,0)</f>
        <v>Reablement &amp; Rehabilitation in a bedded setting</v>
      </c>
      <c r="C573" t="s">
        <v>227</v>
      </c>
      <c r="D573" t="s">
        <v>723</v>
      </c>
      <c r="E573">
        <v>0</v>
      </c>
      <c r="F573">
        <v>0</v>
      </c>
      <c r="G573">
        <v>0</v>
      </c>
      <c r="H573">
        <v>0</v>
      </c>
      <c r="I573">
        <v>0</v>
      </c>
      <c r="J573">
        <v>0</v>
      </c>
      <c r="K573">
        <v>0</v>
      </c>
      <c r="L573">
        <v>0</v>
      </c>
      <c r="M573">
        <v>0</v>
      </c>
      <c r="N573">
        <v>0</v>
      </c>
      <c r="O573">
        <v>0</v>
      </c>
      <c r="P573">
        <v>0</v>
      </c>
      <c r="S573">
        <v>1</v>
      </c>
      <c r="V573"/>
      <c r="W573"/>
      <c r="X573"/>
    </row>
    <row r="574" spans="1:24" x14ac:dyDescent="0.3">
      <c r="A574" t="str">
        <f>Table_Capacity_Community_frontsheet[[#This Row],[Name]]&amp;B574</f>
        <v>NewhamReablement &amp; Rehabilitation in a bedded setting</v>
      </c>
      <c r="B574" t="str">
        <f>VLOOKUP(Table_Capacity_Community_frontsheet[[#This Row],[Service Area]],PathwayLookup!E:F,2,0)</f>
        <v>Reablement &amp; Rehabilitation in a bedded setting</v>
      </c>
      <c r="C574" t="s">
        <v>227</v>
      </c>
      <c r="D574" t="s">
        <v>725</v>
      </c>
      <c r="E574">
        <v>14</v>
      </c>
      <c r="F574">
        <v>14</v>
      </c>
      <c r="G574">
        <v>14</v>
      </c>
      <c r="H574">
        <v>14</v>
      </c>
      <c r="I574">
        <v>14</v>
      </c>
      <c r="J574">
        <v>14</v>
      </c>
      <c r="K574">
        <v>14</v>
      </c>
      <c r="L574">
        <v>14</v>
      </c>
      <c r="M574">
        <v>14</v>
      </c>
      <c r="N574">
        <v>14</v>
      </c>
      <c r="O574">
        <v>14</v>
      </c>
      <c r="P574">
        <v>14</v>
      </c>
      <c r="S574">
        <v>1</v>
      </c>
      <c r="V574"/>
      <c r="W574"/>
      <c r="X574"/>
    </row>
    <row r="575" spans="1:24" x14ac:dyDescent="0.3">
      <c r="A575" t="str">
        <f>Table_Capacity_Community_frontsheet[[#This Row],[Name]]&amp;B575</f>
        <v>NewhamOther short-term social care</v>
      </c>
      <c r="B575" t="str">
        <f>VLOOKUP(Table_Capacity_Community_frontsheet[[#This Row],[Service Area]],PathwayLookup!E:F,2,0)</f>
        <v>Other short-term social care</v>
      </c>
      <c r="C575" t="s">
        <v>227</v>
      </c>
      <c r="D575" t="s">
        <v>708</v>
      </c>
      <c r="E575">
        <v>0</v>
      </c>
      <c r="F575">
        <v>0</v>
      </c>
      <c r="G575">
        <v>0</v>
      </c>
      <c r="H575">
        <v>0</v>
      </c>
      <c r="I575">
        <v>0</v>
      </c>
      <c r="J575">
        <v>0</v>
      </c>
      <c r="K575">
        <v>0</v>
      </c>
      <c r="L575">
        <v>0</v>
      </c>
      <c r="M575">
        <v>0</v>
      </c>
      <c r="N575">
        <v>0</v>
      </c>
      <c r="O575">
        <v>0</v>
      </c>
      <c r="P575">
        <v>0</v>
      </c>
      <c r="S575">
        <v>1</v>
      </c>
      <c r="V575"/>
      <c r="W575"/>
      <c r="X575"/>
    </row>
    <row r="576" spans="1:24" x14ac:dyDescent="0.3">
      <c r="A576" t="str">
        <f>Table_Capacity_Community_frontsheet[[#This Row],[Name]]&amp;B576</f>
        <v>NorfolkSocial support (including VCS)</v>
      </c>
      <c r="B576" t="str">
        <f>VLOOKUP(Table_Capacity_Community_frontsheet[[#This Row],[Service Area]],PathwayLookup!E:F,2,0)</f>
        <v>Social support (including VCS)</v>
      </c>
      <c r="C576" t="s">
        <v>229</v>
      </c>
      <c r="D576" t="s">
        <v>704</v>
      </c>
      <c r="E576">
        <v>162</v>
      </c>
      <c r="F576">
        <v>162</v>
      </c>
      <c r="G576">
        <v>162</v>
      </c>
      <c r="H576">
        <v>162</v>
      </c>
      <c r="I576">
        <v>162</v>
      </c>
      <c r="J576">
        <v>162</v>
      </c>
      <c r="K576">
        <v>162</v>
      </c>
      <c r="L576">
        <v>162</v>
      </c>
      <c r="M576">
        <v>162</v>
      </c>
      <c r="N576">
        <v>162</v>
      </c>
      <c r="O576">
        <v>162</v>
      </c>
      <c r="P576">
        <v>162</v>
      </c>
      <c r="Q576">
        <v>0</v>
      </c>
      <c r="R576">
        <v>1</v>
      </c>
      <c r="S576">
        <v>0</v>
      </c>
      <c r="V576"/>
      <c r="W576"/>
      <c r="X576"/>
    </row>
    <row r="577" spans="1:24" x14ac:dyDescent="0.3">
      <c r="A577" t="str">
        <f>Table_Capacity_Community_frontsheet[[#This Row],[Name]]&amp;B577</f>
        <v>NorfolkUrgent Community Response</v>
      </c>
      <c r="B577" t="str">
        <f>VLOOKUP(Table_Capacity_Community_frontsheet[[#This Row],[Service Area]],PathwayLookup!E:F,2,0)</f>
        <v>Urgent Community Response</v>
      </c>
      <c r="C577" t="s">
        <v>229</v>
      </c>
      <c r="D577" t="s">
        <v>705</v>
      </c>
      <c r="E577">
        <v>2973</v>
      </c>
      <c r="F577">
        <v>3068</v>
      </c>
      <c r="G577">
        <v>2988</v>
      </c>
      <c r="H577">
        <v>3028</v>
      </c>
      <c r="I577">
        <v>3144</v>
      </c>
      <c r="J577">
        <v>2860</v>
      </c>
      <c r="K577">
        <v>3057</v>
      </c>
      <c r="L577">
        <v>3008</v>
      </c>
      <c r="M577">
        <v>3068</v>
      </c>
      <c r="N577">
        <v>3059</v>
      </c>
      <c r="O577">
        <v>2880</v>
      </c>
      <c r="P577">
        <v>3063</v>
      </c>
      <c r="Q577">
        <v>0.66</v>
      </c>
      <c r="R577">
        <v>0.34</v>
      </c>
      <c r="S577">
        <v>0</v>
      </c>
      <c r="V577"/>
      <c r="W577"/>
      <c r="X577"/>
    </row>
    <row r="578" spans="1:24" x14ac:dyDescent="0.3">
      <c r="A578" t="str">
        <f>Table_Capacity_Community_frontsheet[[#This Row],[Name]]&amp;B578</f>
        <v>NorfolkReablement &amp; Rehabilitation at home</v>
      </c>
      <c r="B578" t="str">
        <f>VLOOKUP(Table_Capacity_Community_frontsheet[[#This Row],[Service Area]],PathwayLookup!E:F,2,0)</f>
        <v>Reablement &amp; Rehabilitation at home</v>
      </c>
      <c r="C578" t="s">
        <v>229</v>
      </c>
      <c r="D578" t="s">
        <v>727</v>
      </c>
      <c r="E578">
        <v>243</v>
      </c>
      <c r="F578">
        <v>243</v>
      </c>
      <c r="G578">
        <v>243</v>
      </c>
      <c r="H578">
        <v>243</v>
      </c>
      <c r="I578">
        <v>243</v>
      </c>
      <c r="J578">
        <v>243</v>
      </c>
      <c r="K578">
        <v>243</v>
      </c>
      <c r="L578">
        <v>243</v>
      </c>
      <c r="M578">
        <v>243</v>
      </c>
      <c r="N578">
        <v>243</v>
      </c>
      <c r="O578">
        <v>243</v>
      </c>
      <c r="P578">
        <v>243</v>
      </c>
      <c r="Q578">
        <v>0.23</v>
      </c>
      <c r="R578">
        <v>0.77</v>
      </c>
      <c r="S578">
        <v>0</v>
      </c>
      <c r="V578"/>
      <c r="W578"/>
      <c r="X578"/>
    </row>
    <row r="579" spans="1:24" x14ac:dyDescent="0.3">
      <c r="A579" t="str">
        <f>Table_Capacity_Community_frontsheet[[#This Row],[Name]]&amp;B579</f>
        <v>NorfolkReablement &amp; Rehabilitation at home</v>
      </c>
      <c r="B579" t="str">
        <f>VLOOKUP(Table_Capacity_Community_frontsheet[[#This Row],[Service Area]],PathwayLookup!E:F,2,0)</f>
        <v>Reablement &amp; Rehabilitation at home</v>
      </c>
      <c r="C579" t="s">
        <v>229</v>
      </c>
      <c r="D579" t="s">
        <v>729</v>
      </c>
      <c r="E579">
        <v>888</v>
      </c>
      <c r="F579">
        <v>916</v>
      </c>
      <c r="G579">
        <v>920</v>
      </c>
      <c r="H579">
        <v>931</v>
      </c>
      <c r="I579">
        <v>889</v>
      </c>
      <c r="J579">
        <v>930</v>
      </c>
      <c r="K579">
        <v>943</v>
      </c>
      <c r="L579">
        <v>889</v>
      </c>
      <c r="M579">
        <v>924</v>
      </c>
      <c r="N579">
        <v>954</v>
      </c>
      <c r="O579">
        <v>929</v>
      </c>
      <c r="P579">
        <v>947</v>
      </c>
      <c r="Q579">
        <v>0.79</v>
      </c>
      <c r="R579">
        <v>0.21</v>
      </c>
      <c r="S579">
        <v>0</v>
      </c>
      <c r="V579"/>
      <c r="W579"/>
      <c r="X579"/>
    </row>
    <row r="580" spans="1:24" x14ac:dyDescent="0.3">
      <c r="A580" t="str">
        <f>Table_Capacity_Community_frontsheet[[#This Row],[Name]]&amp;B580</f>
        <v>NorfolkReablement &amp; Rehabilitation in a bedded setting</v>
      </c>
      <c r="B580" t="str">
        <f>VLOOKUP(Table_Capacity_Community_frontsheet[[#This Row],[Service Area]],PathwayLookup!E:F,2,0)</f>
        <v>Reablement &amp; Rehabilitation in a bedded setting</v>
      </c>
      <c r="C580" t="s">
        <v>229</v>
      </c>
      <c r="D580" t="s">
        <v>723</v>
      </c>
      <c r="E580">
        <v>0</v>
      </c>
      <c r="F580">
        <v>0</v>
      </c>
      <c r="G580">
        <v>0</v>
      </c>
      <c r="H580">
        <v>0</v>
      </c>
      <c r="I580">
        <v>0</v>
      </c>
      <c r="J580">
        <v>0</v>
      </c>
      <c r="K580">
        <v>0</v>
      </c>
      <c r="L580">
        <v>0</v>
      </c>
      <c r="M580">
        <v>0</v>
      </c>
      <c r="N580">
        <v>0</v>
      </c>
      <c r="O580">
        <v>0</v>
      </c>
      <c r="P580">
        <v>0</v>
      </c>
      <c r="Q580">
        <v>0.23</v>
      </c>
      <c r="R580">
        <v>0.77</v>
      </c>
      <c r="S580">
        <v>0</v>
      </c>
      <c r="V580"/>
      <c r="W580"/>
      <c r="X580"/>
    </row>
    <row r="581" spans="1:24" x14ac:dyDescent="0.3">
      <c r="A581" t="str">
        <f>Table_Capacity_Community_frontsheet[[#This Row],[Name]]&amp;B581</f>
        <v>NorfolkReablement &amp; Rehabilitation in a bedded setting</v>
      </c>
      <c r="B581" t="str">
        <f>VLOOKUP(Table_Capacity_Community_frontsheet[[#This Row],[Service Area]],PathwayLookup!E:F,2,0)</f>
        <v>Reablement &amp; Rehabilitation in a bedded setting</v>
      </c>
      <c r="C581" t="s">
        <v>229</v>
      </c>
      <c r="D581" t="s">
        <v>725</v>
      </c>
      <c r="E581">
        <v>32</v>
      </c>
      <c r="F581">
        <v>32</v>
      </c>
      <c r="G581">
        <v>32</v>
      </c>
      <c r="H581">
        <v>78</v>
      </c>
      <c r="I581">
        <v>78</v>
      </c>
      <c r="J581">
        <v>78</v>
      </c>
      <c r="K581">
        <v>78</v>
      </c>
      <c r="L581">
        <v>78</v>
      </c>
      <c r="M581">
        <v>78</v>
      </c>
      <c r="N581">
        <v>78</v>
      </c>
      <c r="O581">
        <v>78</v>
      </c>
      <c r="P581">
        <v>78</v>
      </c>
      <c r="Q581">
        <v>1</v>
      </c>
      <c r="R581">
        <v>0</v>
      </c>
      <c r="S581">
        <v>0</v>
      </c>
      <c r="V581"/>
      <c r="W581"/>
      <c r="X581"/>
    </row>
    <row r="582" spans="1:24" x14ac:dyDescent="0.3">
      <c r="A582" t="str">
        <f>Table_Capacity_Community_frontsheet[[#This Row],[Name]]&amp;B582</f>
        <v>NorfolkOther short-term social care</v>
      </c>
      <c r="B582" t="str">
        <f>VLOOKUP(Table_Capacity_Community_frontsheet[[#This Row],[Service Area]],PathwayLookup!E:F,2,0)</f>
        <v>Other short-term social care</v>
      </c>
      <c r="C582" t="s">
        <v>229</v>
      </c>
      <c r="D582" t="s">
        <v>708</v>
      </c>
      <c r="E582">
        <v>37</v>
      </c>
      <c r="F582">
        <v>37</v>
      </c>
      <c r="G582">
        <v>37</v>
      </c>
      <c r="H582">
        <v>37</v>
      </c>
      <c r="I582">
        <v>37</v>
      </c>
      <c r="J582">
        <v>37</v>
      </c>
      <c r="K582">
        <v>37</v>
      </c>
      <c r="L582">
        <v>37</v>
      </c>
      <c r="M582">
        <v>37</v>
      </c>
      <c r="N582">
        <v>37</v>
      </c>
      <c r="O582">
        <v>37</v>
      </c>
      <c r="P582">
        <v>37</v>
      </c>
      <c r="Q582">
        <v>0</v>
      </c>
      <c r="R582">
        <v>1</v>
      </c>
      <c r="S582">
        <v>0</v>
      </c>
      <c r="V582"/>
      <c r="W582"/>
      <c r="X582"/>
    </row>
    <row r="583" spans="1:24" x14ac:dyDescent="0.3">
      <c r="A583" t="str">
        <f>Table_Capacity_Community_frontsheet[[#This Row],[Name]]&amp;B583</f>
        <v>North East LincolnshireSocial support (including VCS)</v>
      </c>
      <c r="B583" t="str">
        <f>VLOOKUP(Table_Capacity_Community_frontsheet[[#This Row],[Service Area]],PathwayLookup!E:F,2,0)</f>
        <v>Social support (including VCS)</v>
      </c>
      <c r="C583" t="s">
        <v>231</v>
      </c>
      <c r="D583" t="s">
        <v>704</v>
      </c>
      <c r="E583">
        <v>58</v>
      </c>
      <c r="F583">
        <v>58</v>
      </c>
      <c r="G583">
        <v>58</v>
      </c>
      <c r="H583">
        <v>58</v>
      </c>
      <c r="I583">
        <v>58</v>
      </c>
      <c r="J583">
        <v>58</v>
      </c>
      <c r="K583">
        <v>58</v>
      </c>
      <c r="L583">
        <v>58</v>
      </c>
      <c r="M583">
        <v>58</v>
      </c>
      <c r="N583">
        <v>58</v>
      </c>
      <c r="O583">
        <v>58</v>
      </c>
      <c r="P583">
        <v>58</v>
      </c>
      <c r="S583">
        <v>1</v>
      </c>
      <c r="V583"/>
      <c r="W583"/>
      <c r="X583"/>
    </row>
    <row r="584" spans="1:24" x14ac:dyDescent="0.3">
      <c r="A584" t="str">
        <f>Table_Capacity_Community_frontsheet[[#This Row],[Name]]&amp;B584</f>
        <v>North East LincolnshireUrgent Community Response</v>
      </c>
      <c r="B584" t="str">
        <f>VLOOKUP(Table_Capacity_Community_frontsheet[[#This Row],[Service Area]],PathwayLookup!E:F,2,0)</f>
        <v>Urgent Community Response</v>
      </c>
      <c r="C584" t="s">
        <v>231</v>
      </c>
      <c r="D584" t="s">
        <v>705</v>
      </c>
      <c r="E584">
        <v>500</v>
      </c>
      <c r="F584">
        <v>500</v>
      </c>
      <c r="G584">
        <v>500</v>
      </c>
      <c r="H584">
        <v>500</v>
      </c>
      <c r="I584">
        <v>500</v>
      </c>
      <c r="J584">
        <v>500</v>
      </c>
      <c r="K584">
        <v>500</v>
      </c>
      <c r="L584">
        <v>508</v>
      </c>
      <c r="M584">
        <v>508</v>
      </c>
      <c r="N584">
        <v>508</v>
      </c>
      <c r="O584">
        <v>508</v>
      </c>
      <c r="P584">
        <v>508</v>
      </c>
      <c r="S584">
        <v>1</v>
      </c>
      <c r="V584"/>
      <c r="W584"/>
      <c r="X584"/>
    </row>
    <row r="585" spans="1:24" x14ac:dyDescent="0.3">
      <c r="A585" t="str">
        <f>Table_Capacity_Community_frontsheet[[#This Row],[Name]]&amp;B585</f>
        <v>North East LincolnshireReablement &amp; Rehabilitation at home</v>
      </c>
      <c r="B585" t="str">
        <f>VLOOKUP(Table_Capacity_Community_frontsheet[[#This Row],[Service Area]],PathwayLookup!E:F,2,0)</f>
        <v>Reablement &amp; Rehabilitation at home</v>
      </c>
      <c r="C585" t="s">
        <v>231</v>
      </c>
      <c r="D585" t="s">
        <v>727</v>
      </c>
      <c r="E585">
        <v>21</v>
      </c>
      <c r="F585">
        <v>21</v>
      </c>
      <c r="G585">
        <v>21</v>
      </c>
      <c r="H585">
        <v>21</v>
      </c>
      <c r="I585">
        <v>21</v>
      </c>
      <c r="J585">
        <v>21</v>
      </c>
      <c r="K585">
        <v>21</v>
      </c>
      <c r="L585">
        <v>21</v>
      </c>
      <c r="M585">
        <v>21</v>
      </c>
      <c r="N585">
        <v>21</v>
      </c>
      <c r="O585">
        <v>21</v>
      </c>
      <c r="P585">
        <v>21</v>
      </c>
      <c r="S585">
        <v>1</v>
      </c>
      <c r="V585"/>
      <c r="W585"/>
      <c r="X585"/>
    </row>
    <row r="586" spans="1:24" x14ac:dyDescent="0.3">
      <c r="A586" t="str">
        <f>Table_Capacity_Community_frontsheet[[#This Row],[Name]]&amp;B586</f>
        <v>North East LincolnshireReablement &amp; Rehabilitation at home</v>
      </c>
      <c r="B586" t="str">
        <f>VLOOKUP(Table_Capacity_Community_frontsheet[[#This Row],[Service Area]],PathwayLookup!E:F,2,0)</f>
        <v>Reablement &amp; Rehabilitation at home</v>
      </c>
      <c r="C586" t="s">
        <v>231</v>
      </c>
      <c r="D586" t="s">
        <v>729</v>
      </c>
      <c r="E586">
        <v>0</v>
      </c>
      <c r="F586">
        <v>0</v>
      </c>
      <c r="G586">
        <v>0</v>
      </c>
      <c r="H586">
        <v>0</v>
      </c>
      <c r="I586">
        <v>0</v>
      </c>
      <c r="J586">
        <v>0</v>
      </c>
      <c r="K586">
        <v>0</v>
      </c>
      <c r="L586">
        <v>0</v>
      </c>
      <c r="M586">
        <v>0</v>
      </c>
      <c r="N586">
        <v>0</v>
      </c>
      <c r="O586">
        <v>0</v>
      </c>
      <c r="P586">
        <v>0</v>
      </c>
      <c r="S586">
        <v>1</v>
      </c>
      <c r="V586"/>
      <c r="W586"/>
      <c r="X586"/>
    </row>
    <row r="587" spans="1:24" x14ac:dyDescent="0.3">
      <c r="A587" t="str">
        <f>Table_Capacity_Community_frontsheet[[#This Row],[Name]]&amp;B587</f>
        <v>North East LincolnshireReablement &amp; Rehabilitation in a bedded setting</v>
      </c>
      <c r="B587" t="str">
        <f>VLOOKUP(Table_Capacity_Community_frontsheet[[#This Row],[Service Area]],PathwayLookup!E:F,2,0)</f>
        <v>Reablement &amp; Rehabilitation in a bedded setting</v>
      </c>
      <c r="C587" t="s">
        <v>231</v>
      </c>
      <c r="D587" t="s">
        <v>723</v>
      </c>
      <c r="E587">
        <v>8</v>
      </c>
      <c r="F587">
        <v>8</v>
      </c>
      <c r="G587">
        <v>8</v>
      </c>
      <c r="H587">
        <v>8</v>
      </c>
      <c r="I587">
        <v>8</v>
      </c>
      <c r="J587">
        <v>8</v>
      </c>
      <c r="K587">
        <v>8</v>
      </c>
      <c r="L587">
        <v>8</v>
      </c>
      <c r="M587">
        <v>8</v>
      </c>
      <c r="N587">
        <v>8</v>
      </c>
      <c r="O587">
        <v>8</v>
      </c>
      <c r="P587">
        <v>8</v>
      </c>
      <c r="S587">
        <v>1</v>
      </c>
      <c r="V587"/>
      <c r="W587"/>
      <c r="X587"/>
    </row>
    <row r="588" spans="1:24" x14ac:dyDescent="0.3">
      <c r="A588" t="str">
        <f>Table_Capacity_Community_frontsheet[[#This Row],[Name]]&amp;B588</f>
        <v>North East LincolnshireReablement &amp; Rehabilitation in a bedded setting</v>
      </c>
      <c r="B588" t="str">
        <f>VLOOKUP(Table_Capacity_Community_frontsheet[[#This Row],[Service Area]],PathwayLookup!E:F,2,0)</f>
        <v>Reablement &amp; Rehabilitation in a bedded setting</v>
      </c>
      <c r="C588" t="s">
        <v>231</v>
      </c>
      <c r="D588" t="s">
        <v>725</v>
      </c>
      <c r="E588">
        <v>0</v>
      </c>
      <c r="F588">
        <v>0</v>
      </c>
      <c r="G588">
        <v>0</v>
      </c>
      <c r="H588">
        <v>0</v>
      </c>
      <c r="I588">
        <v>0</v>
      </c>
      <c r="J588">
        <v>0</v>
      </c>
      <c r="K588">
        <v>0</v>
      </c>
      <c r="L588">
        <v>0</v>
      </c>
      <c r="M588">
        <v>0</v>
      </c>
      <c r="N588">
        <v>0</v>
      </c>
      <c r="O588">
        <v>0</v>
      </c>
      <c r="P588">
        <v>0</v>
      </c>
      <c r="S588">
        <v>1</v>
      </c>
      <c r="V588"/>
      <c r="W588"/>
      <c r="X588"/>
    </row>
    <row r="589" spans="1:24" x14ac:dyDescent="0.3">
      <c r="A589" t="str">
        <f>Table_Capacity_Community_frontsheet[[#This Row],[Name]]&amp;B589</f>
        <v>North East LincolnshireOther short-term social care</v>
      </c>
      <c r="B589" t="str">
        <f>VLOOKUP(Table_Capacity_Community_frontsheet[[#This Row],[Service Area]],PathwayLookup!E:F,2,0)</f>
        <v>Other short-term social care</v>
      </c>
      <c r="C589" t="s">
        <v>231</v>
      </c>
      <c r="D589" t="s">
        <v>708</v>
      </c>
      <c r="E589">
        <v>0</v>
      </c>
      <c r="F589">
        <v>0</v>
      </c>
      <c r="G589">
        <v>0</v>
      </c>
      <c r="H589">
        <v>0</v>
      </c>
      <c r="I589">
        <v>0</v>
      </c>
      <c r="J589">
        <v>0</v>
      </c>
      <c r="K589">
        <v>0</v>
      </c>
      <c r="L589">
        <v>0</v>
      </c>
      <c r="M589">
        <v>0</v>
      </c>
      <c r="N589">
        <v>0</v>
      </c>
      <c r="O589">
        <v>0</v>
      </c>
      <c r="P589">
        <v>0</v>
      </c>
      <c r="S589">
        <v>1</v>
      </c>
      <c r="V589"/>
      <c r="W589"/>
      <c r="X589"/>
    </row>
    <row r="590" spans="1:24" x14ac:dyDescent="0.3">
      <c r="A590" t="str">
        <f>Table_Capacity_Community_frontsheet[[#This Row],[Name]]&amp;B590</f>
        <v>North LincolnshireSocial support (including VCS)</v>
      </c>
      <c r="B590" t="str">
        <f>VLOOKUP(Table_Capacity_Community_frontsheet[[#This Row],[Service Area]],PathwayLookup!E:F,2,0)</f>
        <v>Social support (including VCS)</v>
      </c>
      <c r="C590" t="s">
        <v>233</v>
      </c>
      <c r="D590" t="s">
        <v>704</v>
      </c>
      <c r="E590">
        <v>0</v>
      </c>
      <c r="F590">
        <v>0</v>
      </c>
      <c r="G590">
        <v>0</v>
      </c>
      <c r="H590">
        <v>0</v>
      </c>
      <c r="I590">
        <v>5</v>
      </c>
      <c r="J590">
        <v>10</v>
      </c>
      <c r="K590">
        <v>15</v>
      </c>
      <c r="L590">
        <v>20</v>
      </c>
      <c r="M590">
        <v>25</v>
      </c>
      <c r="N590">
        <v>25</v>
      </c>
      <c r="O590">
        <v>25</v>
      </c>
      <c r="P590">
        <v>25</v>
      </c>
      <c r="R590">
        <v>1</v>
      </c>
      <c r="V590"/>
      <c r="W590"/>
      <c r="X590"/>
    </row>
    <row r="591" spans="1:24" x14ac:dyDescent="0.3">
      <c r="A591" t="str">
        <f>Table_Capacity_Community_frontsheet[[#This Row],[Name]]&amp;B591</f>
        <v>North LincolnshireUrgent Community Response</v>
      </c>
      <c r="B591" t="str">
        <f>VLOOKUP(Table_Capacity_Community_frontsheet[[#This Row],[Service Area]],PathwayLookup!E:F,2,0)</f>
        <v>Urgent Community Response</v>
      </c>
      <c r="C591" t="s">
        <v>233</v>
      </c>
      <c r="D591" t="s">
        <v>705</v>
      </c>
      <c r="E591">
        <v>420</v>
      </c>
      <c r="F591">
        <v>420</v>
      </c>
      <c r="G591">
        <v>420</v>
      </c>
      <c r="H591">
        <v>420</v>
      </c>
      <c r="I591">
        <v>420</v>
      </c>
      <c r="J591">
        <v>420</v>
      </c>
      <c r="K591">
        <v>462</v>
      </c>
      <c r="L591">
        <v>462</v>
      </c>
      <c r="M591">
        <v>462</v>
      </c>
      <c r="N591">
        <v>462</v>
      </c>
      <c r="O591">
        <v>462</v>
      </c>
      <c r="P591">
        <v>462</v>
      </c>
      <c r="Q591">
        <v>1</v>
      </c>
      <c r="V591"/>
      <c r="W591"/>
      <c r="X591"/>
    </row>
    <row r="592" spans="1:24" x14ac:dyDescent="0.3">
      <c r="A592" t="str">
        <f>Table_Capacity_Community_frontsheet[[#This Row],[Name]]&amp;B592</f>
        <v>North LincolnshireReablement &amp; Rehabilitation at home</v>
      </c>
      <c r="B592" t="str">
        <f>VLOOKUP(Table_Capacity_Community_frontsheet[[#This Row],[Service Area]],PathwayLookup!E:F,2,0)</f>
        <v>Reablement &amp; Rehabilitation at home</v>
      </c>
      <c r="C592" t="s">
        <v>233</v>
      </c>
      <c r="D592" t="s">
        <v>727</v>
      </c>
      <c r="E592">
        <v>58</v>
      </c>
      <c r="F592">
        <v>60</v>
      </c>
      <c r="G592">
        <v>58</v>
      </c>
      <c r="H592">
        <v>60</v>
      </c>
      <c r="I592">
        <v>60</v>
      </c>
      <c r="J592">
        <v>77</v>
      </c>
      <c r="K592">
        <v>79</v>
      </c>
      <c r="L592">
        <v>77</v>
      </c>
      <c r="M592">
        <v>79</v>
      </c>
      <c r="N592">
        <v>79</v>
      </c>
      <c r="O592">
        <v>73</v>
      </c>
      <c r="P592">
        <v>79</v>
      </c>
      <c r="Q592">
        <v>0.02</v>
      </c>
      <c r="R592">
        <v>0.98</v>
      </c>
      <c r="V592"/>
      <c r="W592"/>
      <c r="X592"/>
    </row>
    <row r="593" spans="1:24" x14ac:dyDescent="0.3">
      <c r="A593" t="str">
        <f>Table_Capacity_Community_frontsheet[[#This Row],[Name]]&amp;B593</f>
        <v>North LincolnshireReablement &amp; Rehabilitation at home</v>
      </c>
      <c r="B593" t="str">
        <f>VLOOKUP(Table_Capacity_Community_frontsheet[[#This Row],[Service Area]],PathwayLookup!E:F,2,0)</f>
        <v>Reablement &amp; Rehabilitation at home</v>
      </c>
      <c r="C593" t="s">
        <v>233</v>
      </c>
      <c r="D593" t="s">
        <v>729</v>
      </c>
      <c r="V593"/>
      <c r="W593"/>
      <c r="X593"/>
    </row>
    <row r="594" spans="1:24" x14ac:dyDescent="0.3">
      <c r="A594" t="str">
        <f>Table_Capacity_Community_frontsheet[[#This Row],[Name]]&amp;B594</f>
        <v>North LincolnshireReablement &amp; Rehabilitation in a bedded setting</v>
      </c>
      <c r="B594" t="str">
        <f>VLOOKUP(Table_Capacity_Community_frontsheet[[#This Row],[Service Area]],PathwayLookup!E:F,2,0)</f>
        <v>Reablement &amp; Rehabilitation in a bedded setting</v>
      </c>
      <c r="C594" t="s">
        <v>233</v>
      </c>
      <c r="D594" t="s">
        <v>723</v>
      </c>
      <c r="E594">
        <v>0</v>
      </c>
      <c r="F594">
        <v>0</v>
      </c>
      <c r="G594">
        <v>0</v>
      </c>
      <c r="H594">
        <v>0</v>
      </c>
      <c r="I594">
        <v>0</v>
      </c>
      <c r="J594">
        <v>0</v>
      </c>
      <c r="K594">
        <v>0</v>
      </c>
      <c r="L594">
        <v>0</v>
      </c>
      <c r="M594">
        <v>0</v>
      </c>
      <c r="N594">
        <v>0</v>
      </c>
      <c r="O594">
        <v>0</v>
      </c>
      <c r="P594">
        <v>0</v>
      </c>
      <c r="V594"/>
      <c r="W594"/>
      <c r="X594"/>
    </row>
    <row r="595" spans="1:24" x14ac:dyDescent="0.3">
      <c r="A595" t="str">
        <f>Table_Capacity_Community_frontsheet[[#This Row],[Name]]&amp;B595</f>
        <v>North LincolnshireReablement &amp; Rehabilitation in a bedded setting</v>
      </c>
      <c r="B595" t="str">
        <f>VLOOKUP(Table_Capacity_Community_frontsheet[[#This Row],[Service Area]],PathwayLookup!E:F,2,0)</f>
        <v>Reablement &amp; Rehabilitation in a bedded setting</v>
      </c>
      <c r="C595" t="s">
        <v>233</v>
      </c>
      <c r="D595" t="s">
        <v>725</v>
      </c>
      <c r="E595">
        <v>1</v>
      </c>
      <c r="F595">
        <v>1</v>
      </c>
      <c r="G595">
        <v>1</v>
      </c>
      <c r="H595">
        <v>1</v>
      </c>
      <c r="I595">
        <v>1</v>
      </c>
      <c r="J595">
        <v>1</v>
      </c>
      <c r="K595">
        <v>1</v>
      </c>
      <c r="L595">
        <v>1</v>
      </c>
      <c r="M595">
        <v>1</v>
      </c>
      <c r="N595">
        <v>1</v>
      </c>
      <c r="O595">
        <v>1</v>
      </c>
      <c r="P595">
        <v>1</v>
      </c>
      <c r="Q595">
        <v>1</v>
      </c>
      <c r="V595"/>
      <c r="W595"/>
      <c r="X595"/>
    </row>
    <row r="596" spans="1:24" x14ac:dyDescent="0.3">
      <c r="A596" t="str">
        <f>Table_Capacity_Community_frontsheet[[#This Row],[Name]]&amp;B596</f>
        <v>North LincolnshireOther short-term social care</v>
      </c>
      <c r="B596" t="str">
        <f>VLOOKUP(Table_Capacity_Community_frontsheet[[#This Row],[Service Area]],PathwayLookup!E:F,2,0)</f>
        <v>Other short-term social care</v>
      </c>
      <c r="C596" t="s">
        <v>233</v>
      </c>
      <c r="D596" t="s">
        <v>708</v>
      </c>
      <c r="V596"/>
      <c r="W596"/>
      <c r="X596"/>
    </row>
    <row r="597" spans="1:24" x14ac:dyDescent="0.3">
      <c r="A597" t="str">
        <f>Table_Capacity_Community_frontsheet[[#This Row],[Name]]&amp;B597</f>
        <v>North NorthamptonshireSocial support (including VCS)</v>
      </c>
      <c r="B597" t="str">
        <f>VLOOKUP(Table_Capacity_Community_frontsheet[[#This Row],[Service Area]],PathwayLookup!E:F,2,0)</f>
        <v>Social support (including VCS)</v>
      </c>
      <c r="C597" t="s">
        <v>235</v>
      </c>
      <c r="D597" t="s">
        <v>704</v>
      </c>
      <c r="E597">
        <v>25</v>
      </c>
      <c r="F597">
        <v>25</v>
      </c>
      <c r="G597">
        <v>25</v>
      </c>
      <c r="H597">
        <v>25</v>
      </c>
      <c r="I597">
        <v>25</v>
      </c>
      <c r="J597">
        <v>25</v>
      </c>
      <c r="K597">
        <v>25</v>
      </c>
      <c r="L597">
        <v>25</v>
      </c>
      <c r="M597">
        <v>25</v>
      </c>
      <c r="N597">
        <v>25</v>
      </c>
      <c r="O597">
        <v>25</v>
      </c>
      <c r="P597">
        <v>25</v>
      </c>
      <c r="V597"/>
      <c r="W597"/>
      <c r="X597"/>
    </row>
    <row r="598" spans="1:24" x14ac:dyDescent="0.3">
      <c r="A598" t="str">
        <f>Table_Capacity_Community_frontsheet[[#This Row],[Name]]&amp;B598</f>
        <v>North NorthamptonshireUrgent Community Response</v>
      </c>
      <c r="B598" t="str">
        <f>VLOOKUP(Table_Capacity_Community_frontsheet[[#This Row],[Service Area]],PathwayLookup!E:F,2,0)</f>
        <v>Urgent Community Response</v>
      </c>
      <c r="C598" t="s">
        <v>235</v>
      </c>
      <c r="D598" t="s">
        <v>705</v>
      </c>
      <c r="E598">
        <v>476</v>
      </c>
      <c r="F598">
        <v>500</v>
      </c>
      <c r="G598">
        <v>484</v>
      </c>
      <c r="H598">
        <v>515</v>
      </c>
      <c r="I598">
        <v>515</v>
      </c>
      <c r="J598">
        <v>506</v>
      </c>
      <c r="K598">
        <v>523</v>
      </c>
      <c r="L598">
        <v>513</v>
      </c>
      <c r="M598">
        <v>530</v>
      </c>
      <c r="N598">
        <v>538</v>
      </c>
      <c r="O598">
        <v>486</v>
      </c>
      <c r="P598">
        <v>538</v>
      </c>
      <c r="V598"/>
      <c r="W598"/>
      <c r="X598"/>
    </row>
    <row r="599" spans="1:24" x14ac:dyDescent="0.3">
      <c r="A599" t="str">
        <f>Table_Capacity_Community_frontsheet[[#This Row],[Name]]&amp;B599</f>
        <v>North NorthamptonshireReablement &amp; Rehabilitation at home</v>
      </c>
      <c r="B599" t="str">
        <f>VLOOKUP(Table_Capacity_Community_frontsheet[[#This Row],[Service Area]],PathwayLookup!E:F,2,0)</f>
        <v>Reablement &amp; Rehabilitation at home</v>
      </c>
      <c r="C599" t="s">
        <v>235</v>
      </c>
      <c r="D599" t="s">
        <v>727</v>
      </c>
      <c r="E599">
        <v>32</v>
      </c>
      <c r="F599">
        <v>32</v>
      </c>
      <c r="G599">
        <v>32</v>
      </c>
      <c r="H599">
        <v>32</v>
      </c>
      <c r="I599">
        <v>32</v>
      </c>
      <c r="J599">
        <v>32</v>
      </c>
      <c r="K599">
        <v>32</v>
      </c>
      <c r="L599">
        <v>32</v>
      </c>
      <c r="M599">
        <v>32</v>
      </c>
      <c r="N599">
        <v>32</v>
      </c>
      <c r="O599">
        <v>32</v>
      </c>
      <c r="P599">
        <v>32</v>
      </c>
      <c r="V599"/>
      <c r="W599"/>
      <c r="X599"/>
    </row>
    <row r="600" spans="1:24" x14ac:dyDescent="0.3">
      <c r="A600" t="str">
        <f>Table_Capacity_Community_frontsheet[[#This Row],[Name]]&amp;B600</f>
        <v>North NorthamptonshireReablement &amp; Rehabilitation at home</v>
      </c>
      <c r="B600" t="str">
        <f>VLOOKUP(Table_Capacity_Community_frontsheet[[#This Row],[Service Area]],PathwayLookup!E:F,2,0)</f>
        <v>Reablement &amp; Rehabilitation at home</v>
      </c>
      <c r="C600" t="s">
        <v>235</v>
      </c>
      <c r="D600" t="s">
        <v>729</v>
      </c>
      <c r="E600">
        <v>97</v>
      </c>
      <c r="F600">
        <v>107</v>
      </c>
      <c r="G600">
        <v>105</v>
      </c>
      <c r="H600">
        <v>100</v>
      </c>
      <c r="I600">
        <v>109</v>
      </c>
      <c r="J600">
        <v>101</v>
      </c>
      <c r="K600">
        <v>103</v>
      </c>
      <c r="L600">
        <v>105</v>
      </c>
      <c r="M600">
        <v>102</v>
      </c>
      <c r="N600">
        <v>107</v>
      </c>
      <c r="O600">
        <v>100</v>
      </c>
      <c r="P600">
        <v>102</v>
      </c>
      <c r="V600"/>
      <c r="W600"/>
      <c r="X600"/>
    </row>
    <row r="601" spans="1:24" x14ac:dyDescent="0.3">
      <c r="A601" t="str">
        <f>Table_Capacity_Community_frontsheet[[#This Row],[Name]]&amp;B601</f>
        <v>North NorthamptonshireReablement &amp; Rehabilitation in a bedded setting</v>
      </c>
      <c r="B601" t="str">
        <f>VLOOKUP(Table_Capacity_Community_frontsheet[[#This Row],[Service Area]],PathwayLookup!E:F,2,0)</f>
        <v>Reablement &amp; Rehabilitation in a bedded setting</v>
      </c>
      <c r="C601" t="s">
        <v>235</v>
      </c>
      <c r="D601" t="s">
        <v>723</v>
      </c>
      <c r="E601">
        <v>0</v>
      </c>
      <c r="F601">
        <v>0</v>
      </c>
      <c r="G601">
        <v>0</v>
      </c>
      <c r="H601">
        <v>0</v>
      </c>
      <c r="I601">
        <v>0</v>
      </c>
      <c r="J601">
        <v>0</v>
      </c>
      <c r="K601">
        <v>0</v>
      </c>
      <c r="L601">
        <v>0</v>
      </c>
      <c r="M601">
        <v>0</v>
      </c>
      <c r="N601">
        <v>0</v>
      </c>
      <c r="O601">
        <v>0</v>
      </c>
      <c r="P601">
        <v>0</v>
      </c>
      <c r="V601"/>
      <c r="W601"/>
      <c r="X601"/>
    </row>
    <row r="602" spans="1:24" x14ac:dyDescent="0.3">
      <c r="A602" t="str">
        <f>Table_Capacity_Community_frontsheet[[#This Row],[Name]]&amp;B602</f>
        <v>North NorthamptonshireReablement &amp; Rehabilitation in a bedded setting</v>
      </c>
      <c r="B602" t="str">
        <f>VLOOKUP(Table_Capacity_Community_frontsheet[[#This Row],[Service Area]],PathwayLookup!E:F,2,0)</f>
        <v>Reablement &amp; Rehabilitation in a bedded setting</v>
      </c>
      <c r="C602" t="s">
        <v>235</v>
      </c>
      <c r="D602" t="s">
        <v>725</v>
      </c>
      <c r="E602">
        <v>22</v>
      </c>
      <c r="F602">
        <v>22</v>
      </c>
      <c r="G602">
        <v>22</v>
      </c>
      <c r="H602">
        <v>22</v>
      </c>
      <c r="I602">
        <v>22</v>
      </c>
      <c r="J602">
        <v>22</v>
      </c>
      <c r="K602">
        <v>22</v>
      </c>
      <c r="L602">
        <v>22</v>
      </c>
      <c r="M602">
        <v>22</v>
      </c>
      <c r="N602">
        <v>22</v>
      </c>
      <c r="O602">
        <v>21</v>
      </c>
      <c r="P602">
        <v>22</v>
      </c>
      <c r="V602"/>
      <c r="W602"/>
      <c r="X602"/>
    </row>
    <row r="603" spans="1:24" x14ac:dyDescent="0.3">
      <c r="A603" t="str">
        <f>Table_Capacity_Community_frontsheet[[#This Row],[Name]]&amp;B603</f>
        <v>North NorthamptonshireOther short-term social care</v>
      </c>
      <c r="B603" t="str">
        <f>VLOOKUP(Table_Capacity_Community_frontsheet[[#This Row],[Service Area]],PathwayLookup!E:F,2,0)</f>
        <v>Other short-term social care</v>
      </c>
      <c r="C603" t="s">
        <v>235</v>
      </c>
      <c r="D603" t="s">
        <v>708</v>
      </c>
      <c r="E603">
        <v>0</v>
      </c>
      <c r="F603">
        <v>0</v>
      </c>
      <c r="G603">
        <v>0</v>
      </c>
      <c r="H603">
        <v>0</v>
      </c>
      <c r="I603">
        <v>0</v>
      </c>
      <c r="J603">
        <v>0</v>
      </c>
      <c r="K603">
        <v>0</v>
      </c>
      <c r="L603">
        <v>0</v>
      </c>
      <c r="M603">
        <v>0</v>
      </c>
      <c r="N603">
        <v>0</v>
      </c>
      <c r="O603">
        <v>0</v>
      </c>
      <c r="P603">
        <v>0</v>
      </c>
      <c r="V603"/>
      <c r="W603"/>
      <c r="X603"/>
    </row>
    <row r="604" spans="1:24" x14ac:dyDescent="0.3">
      <c r="A604" t="str">
        <f>Table_Capacity_Community_frontsheet[[#This Row],[Name]]&amp;B604</f>
        <v>North SomersetSocial support (including VCS)</v>
      </c>
      <c r="B604" t="str">
        <f>VLOOKUP(Table_Capacity_Community_frontsheet[[#This Row],[Service Area]],PathwayLookup!E:F,2,0)</f>
        <v>Social support (including VCS)</v>
      </c>
      <c r="C604" t="s">
        <v>237</v>
      </c>
      <c r="D604" t="s">
        <v>704</v>
      </c>
      <c r="E604">
        <v>9</v>
      </c>
      <c r="F604">
        <v>9</v>
      </c>
      <c r="G604">
        <v>9</v>
      </c>
      <c r="H604">
        <v>9</v>
      </c>
      <c r="I604">
        <v>9</v>
      </c>
      <c r="J604">
        <v>9</v>
      </c>
      <c r="K604">
        <v>9</v>
      </c>
      <c r="L604">
        <v>9</v>
      </c>
      <c r="M604">
        <v>9</v>
      </c>
      <c r="N604">
        <v>9</v>
      </c>
      <c r="O604">
        <v>9</v>
      </c>
      <c r="P604">
        <v>9</v>
      </c>
      <c r="Q604">
        <v>1</v>
      </c>
      <c r="V604"/>
      <c r="W604"/>
      <c r="X604"/>
    </row>
    <row r="605" spans="1:24" x14ac:dyDescent="0.3">
      <c r="A605" t="str">
        <f>Table_Capacity_Community_frontsheet[[#This Row],[Name]]&amp;B605</f>
        <v>North SomersetUrgent Community Response</v>
      </c>
      <c r="B605" t="str">
        <f>VLOOKUP(Table_Capacity_Community_frontsheet[[#This Row],[Service Area]],PathwayLookup!E:F,2,0)</f>
        <v>Urgent Community Response</v>
      </c>
      <c r="C605" t="s">
        <v>237</v>
      </c>
      <c r="D605" t="s">
        <v>705</v>
      </c>
      <c r="E605">
        <v>437</v>
      </c>
      <c r="F605">
        <v>446</v>
      </c>
      <c r="G605">
        <v>437</v>
      </c>
      <c r="H605">
        <v>446</v>
      </c>
      <c r="I605">
        <v>446</v>
      </c>
      <c r="J605">
        <v>437</v>
      </c>
      <c r="K605">
        <v>455</v>
      </c>
      <c r="L605">
        <v>447</v>
      </c>
      <c r="M605">
        <v>455</v>
      </c>
      <c r="N605">
        <v>465</v>
      </c>
      <c r="O605">
        <v>447</v>
      </c>
      <c r="P605">
        <v>465</v>
      </c>
      <c r="Q605">
        <v>0.9</v>
      </c>
      <c r="R605">
        <v>0.1</v>
      </c>
      <c r="V605"/>
      <c r="W605"/>
      <c r="X605"/>
    </row>
    <row r="606" spans="1:24" x14ac:dyDescent="0.3">
      <c r="A606" t="str">
        <f>Table_Capacity_Community_frontsheet[[#This Row],[Name]]&amp;B606</f>
        <v>North SomersetReablement &amp; Rehabilitation at home</v>
      </c>
      <c r="B606" t="str">
        <f>VLOOKUP(Table_Capacity_Community_frontsheet[[#This Row],[Service Area]],PathwayLookup!E:F,2,0)</f>
        <v>Reablement &amp; Rehabilitation at home</v>
      </c>
      <c r="C606" t="s">
        <v>237</v>
      </c>
      <c r="D606" t="s">
        <v>727</v>
      </c>
      <c r="E606">
        <v>17</v>
      </c>
      <c r="F606">
        <v>17</v>
      </c>
      <c r="G606">
        <v>17</v>
      </c>
      <c r="H606">
        <v>17</v>
      </c>
      <c r="I606">
        <v>69</v>
      </c>
      <c r="J606">
        <v>69</v>
      </c>
      <c r="K606">
        <v>69</v>
      </c>
      <c r="L606">
        <v>69</v>
      </c>
      <c r="M606">
        <v>69</v>
      </c>
      <c r="N606">
        <v>69</v>
      </c>
      <c r="O606">
        <v>69</v>
      </c>
      <c r="P606">
        <v>69</v>
      </c>
      <c r="R606">
        <v>1</v>
      </c>
      <c r="V606"/>
      <c r="W606"/>
      <c r="X606"/>
    </row>
    <row r="607" spans="1:24" x14ac:dyDescent="0.3">
      <c r="A607" t="str">
        <f>Table_Capacity_Community_frontsheet[[#This Row],[Name]]&amp;B607</f>
        <v>North SomersetReablement &amp; Rehabilitation at home</v>
      </c>
      <c r="B607" t="str">
        <f>VLOOKUP(Table_Capacity_Community_frontsheet[[#This Row],[Service Area]],PathwayLookup!E:F,2,0)</f>
        <v>Reablement &amp; Rehabilitation at home</v>
      </c>
      <c r="C607" t="s">
        <v>237</v>
      </c>
      <c r="D607" t="s">
        <v>729</v>
      </c>
      <c r="V607"/>
      <c r="W607"/>
      <c r="X607"/>
    </row>
    <row r="608" spans="1:24" x14ac:dyDescent="0.3">
      <c r="A608" t="str">
        <f>Table_Capacity_Community_frontsheet[[#This Row],[Name]]&amp;B608</f>
        <v>North SomersetReablement &amp; Rehabilitation in a bedded setting</v>
      </c>
      <c r="B608" t="str">
        <f>VLOOKUP(Table_Capacity_Community_frontsheet[[#This Row],[Service Area]],PathwayLookup!E:F,2,0)</f>
        <v>Reablement &amp; Rehabilitation in a bedded setting</v>
      </c>
      <c r="C608" t="s">
        <v>237</v>
      </c>
      <c r="D608" t="s">
        <v>723</v>
      </c>
      <c r="V608"/>
      <c r="W608"/>
      <c r="X608"/>
    </row>
    <row r="609" spans="1:24" x14ac:dyDescent="0.3">
      <c r="A609" t="str">
        <f>Table_Capacity_Community_frontsheet[[#This Row],[Name]]&amp;B609</f>
        <v>North SomersetReablement &amp; Rehabilitation in a bedded setting</v>
      </c>
      <c r="B609" t="str">
        <f>VLOOKUP(Table_Capacity_Community_frontsheet[[#This Row],[Service Area]],PathwayLookup!E:F,2,0)</f>
        <v>Reablement &amp; Rehabilitation in a bedded setting</v>
      </c>
      <c r="C609" t="s">
        <v>237</v>
      </c>
      <c r="D609" t="s">
        <v>725</v>
      </c>
      <c r="V609"/>
      <c r="W609"/>
      <c r="X609"/>
    </row>
    <row r="610" spans="1:24" x14ac:dyDescent="0.3">
      <c r="A610" t="str">
        <f>Table_Capacity_Community_frontsheet[[#This Row],[Name]]&amp;B610</f>
        <v>North SomersetOther short-term social care</v>
      </c>
      <c r="B610" t="str">
        <f>VLOOKUP(Table_Capacity_Community_frontsheet[[#This Row],[Service Area]],PathwayLookup!E:F,2,0)</f>
        <v>Other short-term social care</v>
      </c>
      <c r="C610" t="s">
        <v>237</v>
      </c>
      <c r="D610" t="s">
        <v>708</v>
      </c>
      <c r="E610">
        <v>13</v>
      </c>
      <c r="F610">
        <v>14</v>
      </c>
      <c r="G610">
        <v>13</v>
      </c>
      <c r="H610">
        <v>14</v>
      </c>
      <c r="I610">
        <v>14</v>
      </c>
      <c r="J610">
        <v>13</v>
      </c>
      <c r="K610">
        <v>14</v>
      </c>
      <c r="L610">
        <v>13</v>
      </c>
      <c r="M610">
        <v>14</v>
      </c>
      <c r="N610">
        <v>14</v>
      </c>
      <c r="O610">
        <v>13</v>
      </c>
      <c r="P610">
        <v>14</v>
      </c>
      <c r="R610">
        <v>1</v>
      </c>
      <c r="V610"/>
      <c r="W610"/>
      <c r="X610"/>
    </row>
    <row r="611" spans="1:24" x14ac:dyDescent="0.3">
      <c r="A611" t="str">
        <f>Table_Capacity_Community_frontsheet[[#This Row],[Name]]&amp;B611</f>
        <v>North TynesideSocial support (including VCS)</v>
      </c>
      <c r="B611" t="str">
        <f>VLOOKUP(Table_Capacity_Community_frontsheet[[#This Row],[Service Area]],PathwayLookup!E:F,2,0)</f>
        <v>Social support (including VCS)</v>
      </c>
      <c r="C611" t="s">
        <v>239</v>
      </c>
      <c r="D611" t="s">
        <v>704</v>
      </c>
      <c r="E611">
        <v>140</v>
      </c>
      <c r="F611">
        <v>140</v>
      </c>
      <c r="G611">
        <v>140</v>
      </c>
      <c r="H611">
        <v>140</v>
      </c>
      <c r="I611">
        <v>140</v>
      </c>
      <c r="J611">
        <v>140</v>
      </c>
      <c r="K611">
        <v>140</v>
      </c>
      <c r="L611">
        <v>140</v>
      </c>
      <c r="M611">
        <v>140</v>
      </c>
      <c r="N611">
        <v>140</v>
      </c>
      <c r="O611">
        <v>140</v>
      </c>
      <c r="P611">
        <v>140</v>
      </c>
      <c r="R611">
        <v>1</v>
      </c>
      <c r="V611"/>
      <c r="W611"/>
      <c r="X611"/>
    </row>
    <row r="612" spans="1:24" x14ac:dyDescent="0.3">
      <c r="A612" t="str">
        <f>Table_Capacity_Community_frontsheet[[#This Row],[Name]]&amp;B612</f>
        <v>North TynesideUrgent Community Response</v>
      </c>
      <c r="B612" t="str">
        <f>VLOOKUP(Table_Capacity_Community_frontsheet[[#This Row],[Service Area]],PathwayLookup!E:F,2,0)</f>
        <v>Urgent Community Response</v>
      </c>
      <c r="C612" t="s">
        <v>239</v>
      </c>
      <c r="D612" t="s">
        <v>705</v>
      </c>
      <c r="E612">
        <v>0</v>
      </c>
      <c r="F612">
        <v>0</v>
      </c>
      <c r="G612">
        <v>0</v>
      </c>
      <c r="H612">
        <v>0</v>
      </c>
      <c r="I612">
        <v>0</v>
      </c>
      <c r="J612">
        <v>0</v>
      </c>
      <c r="K612">
        <v>0</v>
      </c>
      <c r="L612">
        <v>0</v>
      </c>
      <c r="M612">
        <v>0</v>
      </c>
      <c r="N612">
        <v>0</v>
      </c>
      <c r="O612">
        <v>0</v>
      </c>
      <c r="P612">
        <v>0</v>
      </c>
      <c r="V612"/>
      <c r="W612"/>
      <c r="X612"/>
    </row>
    <row r="613" spans="1:24" x14ac:dyDescent="0.3">
      <c r="A613" t="str">
        <f>Table_Capacity_Community_frontsheet[[#This Row],[Name]]&amp;B613</f>
        <v>North TynesideReablement &amp; Rehabilitation at home</v>
      </c>
      <c r="B613" t="str">
        <f>VLOOKUP(Table_Capacity_Community_frontsheet[[#This Row],[Service Area]],PathwayLookup!E:F,2,0)</f>
        <v>Reablement &amp; Rehabilitation at home</v>
      </c>
      <c r="C613" t="s">
        <v>239</v>
      </c>
      <c r="D613" t="s">
        <v>727</v>
      </c>
      <c r="E613">
        <v>20</v>
      </c>
      <c r="F613">
        <v>20</v>
      </c>
      <c r="G613">
        <v>20</v>
      </c>
      <c r="H613">
        <v>20</v>
      </c>
      <c r="I613">
        <v>20</v>
      </c>
      <c r="J613">
        <v>20</v>
      </c>
      <c r="K613">
        <v>20</v>
      </c>
      <c r="L613">
        <v>20</v>
      </c>
      <c r="M613">
        <v>20</v>
      </c>
      <c r="N613">
        <v>20</v>
      </c>
      <c r="O613">
        <v>20</v>
      </c>
      <c r="P613">
        <v>20</v>
      </c>
      <c r="R613">
        <v>1</v>
      </c>
      <c r="V613"/>
      <c r="W613"/>
      <c r="X613"/>
    </row>
    <row r="614" spans="1:24" x14ac:dyDescent="0.3">
      <c r="A614" t="str">
        <f>Table_Capacity_Community_frontsheet[[#This Row],[Name]]&amp;B614</f>
        <v>North TynesideReablement &amp; Rehabilitation at home</v>
      </c>
      <c r="B614" t="str">
        <f>VLOOKUP(Table_Capacity_Community_frontsheet[[#This Row],[Service Area]],PathwayLookup!E:F,2,0)</f>
        <v>Reablement &amp; Rehabilitation at home</v>
      </c>
      <c r="C614" t="s">
        <v>239</v>
      </c>
      <c r="D614" t="s">
        <v>729</v>
      </c>
      <c r="E614">
        <v>9</v>
      </c>
      <c r="F614">
        <v>9</v>
      </c>
      <c r="G614">
        <v>9</v>
      </c>
      <c r="H614">
        <v>9</v>
      </c>
      <c r="I614">
        <v>9</v>
      </c>
      <c r="J614">
        <v>9</v>
      </c>
      <c r="K614">
        <v>9</v>
      </c>
      <c r="L614">
        <v>9</v>
      </c>
      <c r="M614">
        <v>9</v>
      </c>
      <c r="N614">
        <v>9</v>
      </c>
      <c r="O614">
        <v>9</v>
      </c>
      <c r="P614">
        <v>9</v>
      </c>
      <c r="R614">
        <v>1</v>
      </c>
      <c r="V614"/>
      <c r="W614"/>
      <c r="X614"/>
    </row>
    <row r="615" spans="1:24" x14ac:dyDescent="0.3">
      <c r="A615" t="str">
        <f>Table_Capacity_Community_frontsheet[[#This Row],[Name]]&amp;B615</f>
        <v>North TynesideReablement &amp; Rehabilitation in a bedded setting</v>
      </c>
      <c r="B615" t="str">
        <f>VLOOKUP(Table_Capacity_Community_frontsheet[[#This Row],[Service Area]],PathwayLookup!E:F,2,0)</f>
        <v>Reablement &amp; Rehabilitation in a bedded setting</v>
      </c>
      <c r="C615" t="s">
        <v>239</v>
      </c>
      <c r="D615" t="s">
        <v>723</v>
      </c>
      <c r="E615">
        <v>0</v>
      </c>
      <c r="F615">
        <v>0</v>
      </c>
      <c r="G615">
        <v>0</v>
      </c>
      <c r="H615">
        <v>0</v>
      </c>
      <c r="I615">
        <v>0</v>
      </c>
      <c r="J615">
        <v>0</v>
      </c>
      <c r="K615">
        <v>0</v>
      </c>
      <c r="L615">
        <v>0</v>
      </c>
      <c r="M615">
        <v>0</v>
      </c>
      <c r="N615">
        <v>0</v>
      </c>
      <c r="O615">
        <v>0</v>
      </c>
      <c r="P615">
        <v>0</v>
      </c>
      <c r="V615"/>
      <c r="W615"/>
      <c r="X615"/>
    </row>
    <row r="616" spans="1:24" x14ac:dyDescent="0.3">
      <c r="A616" t="str">
        <f>Table_Capacity_Community_frontsheet[[#This Row],[Name]]&amp;B616</f>
        <v>North TynesideReablement &amp; Rehabilitation in a bedded setting</v>
      </c>
      <c r="B616" t="str">
        <f>VLOOKUP(Table_Capacity_Community_frontsheet[[#This Row],[Service Area]],PathwayLookup!E:F,2,0)</f>
        <v>Reablement &amp; Rehabilitation in a bedded setting</v>
      </c>
      <c r="C616" t="s">
        <v>239</v>
      </c>
      <c r="D616" t="s">
        <v>725</v>
      </c>
      <c r="E616">
        <v>0</v>
      </c>
      <c r="F616">
        <v>0</v>
      </c>
      <c r="G616">
        <v>0</v>
      </c>
      <c r="H616">
        <v>0</v>
      </c>
      <c r="I616">
        <v>0</v>
      </c>
      <c r="J616">
        <v>0</v>
      </c>
      <c r="K616">
        <v>0</v>
      </c>
      <c r="L616">
        <v>0</v>
      </c>
      <c r="M616">
        <v>0</v>
      </c>
      <c r="N616">
        <v>0</v>
      </c>
      <c r="O616">
        <v>0</v>
      </c>
      <c r="P616">
        <v>0</v>
      </c>
      <c r="V616"/>
      <c r="W616"/>
      <c r="X616"/>
    </row>
    <row r="617" spans="1:24" x14ac:dyDescent="0.3">
      <c r="A617" t="str">
        <f>Table_Capacity_Community_frontsheet[[#This Row],[Name]]&amp;B617</f>
        <v>North TynesideOther short-term social care</v>
      </c>
      <c r="B617" t="str">
        <f>VLOOKUP(Table_Capacity_Community_frontsheet[[#This Row],[Service Area]],PathwayLookup!E:F,2,0)</f>
        <v>Other short-term social care</v>
      </c>
      <c r="C617" t="s">
        <v>239</v>
      </c>
      <c r="D617" t="s">
        <v>708</v>
      </c>
      <c r="E617">
        <v>0</v>
      </c>
      <c r="F617">
        <v>0</v>
      </c>
      <c r="G617">
        <v>0</v>
      </c>
      <c r="H617">
        <v>0</v>
      </c>
      <c r="I617">
        <v>0</v>
      </c>
      <c r="J617">
        <v>0</v>
      </c>
      <c r="K617">
        <v>0</v>
      </c>
      <c r="L617">
        <v>0</v>
      </c>
      <c r="M617">
        <v>0</v>
      </c>
      <c r="N617">
        <v>0</v>
      </c>
      <c r="O617">
        <v>0</v>
      </c>
      <c r="P617">
        <v>0</v>
      </c>
      <c r="V617"/>
      <c r="W617"/>
      <c r="X617"/>
    </row>
    <row r="618" spans="1:24" x14ac:dyDescent="0.3">
      <c r="A618" t="str">
        <f>Table_Capacity_Community_frontsheet[[#This Row],[Name]]&amp;B618</f>
        <v>North YorkshireSocial support (including VCS)</v>
      </c>
      <c r="B618" t="str">
        <f>VLOOKUP(Table_Capacity_Community_frontsheet[[#This Row],[Service Area]],PathwayLookup!E:F,2,0)</f>
        <v>Social support (including VCS)</v>
      </c>
      <c r="C618" t="s">
        <v>241</v>
      </c>
      <c r="D618" t="s">
        <v>704</v>
      </c>
      <c r="E618">
        <v>0</v>
      </c>
      <c r="F618">
        <v>0</v>
      </c>
      <c r="G618">
        <v>0</v>
      </c>
      <c r="H618">
        <v>0</v>
      </c>
      <c r="I618">
        <v>0</v>
      </c>
      <c r="J618">
        <v>0</v>
      </c>
      <c r="K618">
        <v>0</v>
      </c>
      <c r="L618">
        <v>0</v>
      </c>
      <c r="M618">
        <v>0</v>
      </c>
      <c r="N618">
        <v>0</v>
      </c>
      <c r="O618">
        <v>0</v>
      </c>
      <c r="P618">
        <v>0</v>
      </c>
      <c r="Q618">
        <v>0.2</v>
      </c>
      <c r="R618">
        <v>0.8</v>
      </c>
      <c r="V618"/>
      <c r="W618"/>
      <c r="X618"/>
    </row>
    <row r="619" spans="1:24" x14ac:dyDescent="0.3">
      <c r="A619" t="str">
        <f>Table_Capacity_Community_frontsheet[[#This Row],[Name]]&amp;B619</f>
        <v>North YorkshireUrgent Community Response</v>
      </c>
      <c r="B619" t="str">
        <f>VLOOKUP(Table_Capacity_Community_frontsheet[[#This Row],[Service Area]],PathwayLookup!E:F,2,0)</f>
        <v>Urgent Community Response</v>
      </c>
      <c r="C619" t="s">
        <v>241</v>
      </c>
      <c r="D619" t="s">
        <v>705</v>
      </c>
      <c r="E619">
        <v>205</v>
      </c>
      <c r="F619">
        <v>205</v>
      </c>
      <c r="G619">
        <v>205</v>
      </c>
      <c r="H619">
        <v>205</v>
      </c>
      <c r="I619">
        <v>240</v>
      </c>
      <c r="J619">
        <v>240</v>
      </c>
      <c r="K619">
        <v>240</v>
      </c>
      <c r="L619">
        <v>240</v>
      </c>
      <c r="M619">
        <v>240</v>
      </c>
      <c r="N619">
        <v>240</v>
      </c>
      <c r="O619">
        <v>240</v>
      </c>
      <c r="P619">
        <v>240</v>
      </c>
      <c r="Q619">
        <v>1</v>
      </c>
      <c r="V619"/>
      <c r="W619"/>
      <c r="X619"/>
    </row>
    <row r="620" spans="1:24" x14ac:dyDescent="0.3">
      <c r="A620" t="str">
        <f>Table_Capacity_Community_frontsheet[[#This Row],[Name]]&amp;B620</f>
        <v>North YorkshireReablement &amp; Rehabilitation at home</v>
      </c>
      <c r="B620" t="str">
        <f>VLOOKUP(Table_Capacity_Community_frontsheet[[#This Row],[Service Area]],PathwayLookup!E:F,2,0)</f>
        <v>Reablement &amp; Rehabilitation at home</v>
      </c>
      <c r="C620" t="s">
        <v>241</v>
      </c>
      <c r="D620" t="s">
        <v>727</v>
      </c>
      <c r="E620">
        <v>5</v>
      </c>
      <c r="F620">
        <v>5</v>
      </c>
      <c r="G620">
        <v>5</v>
      </c>
      <c r="H620">
        <v>5</v>
      </c>
      <c r="I620">
        <v>5</v>
      </c>
      <c r="J620">
        <v>5</v>
      </c>
      <c r="K620">
        <v>5</v>
      </c>
      <c r="L620">
        <v>5</v>
      </c>
      <c r="M620">
        <v>5</v>
      </c>
      <c r="N620">
        <v>5</v>
      </c>
      <c r="O620">
        <v>5</v>
      </c>
      <c r="P620">
        <v>5</v>
      </c>
      <c r="R620">
        <v>1</v>
      </c>
      <c r="V620"/>
      <c r="W620"/>
      <c r="X620"/>
    </row>
    <row r="621" spans="1:24" x14ac:dyDescent="0.3">
      <c r="A621" t="str">
        <f>Table_Capacity_Community_frontsheet[[#This Row],[Name]]&amp;B621</f>
        <v>North YorkshireReablement &amp; Rehabilitation at home</v>
      </c>
      <c r="B621" t="str">
        <f>VLOOKUP(Table_Capacity_Community_frontsheet[[#This Row],[Service Area]],PathwayLookup!E:F,2,0)</f>
        <v>Reablement &amp; Rehabilitation at home</v>
      </c>
      <c r="C621" t="s">
        <v>241</v>
      </c>
      <c r="D621" t="s">
        <v>729</v>
      </c>
      <c r="E621">
        <v>255</v>
      </c>
      <c r="F621">
        <v>255</v>
      </c>
      <c r="G621">
        <v>255</v>
      </c>
      <c r="H621">
        <v>255</v>
      </c>
      <c r="I621">
        <v>255</v>
      </c>
      <c r="J621">
        <v>255</v>
      </c>
      <c r="K621">
        <v>255</v>
      </c>
      <c r="L621">
        <v>255</v>
      </c>
      <c r="M621">
        <v>255</v>
      </c>
      <c r="N621">
        <v>255</v>
      </c>
      <c r="O621">
        <v>255</v>
      </c>
      <c r="P621">
        <v>255</v>
      </c>
      <c r="Q621">
        <v>1</v>
      </c>
      <c r="V621"/>
      <c r="W621"/>
      <c r="X621"/>
    </row>
    <row r="622" spans="1:24" x14ac:dyDescent="0.3">
      <c r="A622" t="str">
        <f>Table_Capacity_Community_frontsheet[[#This Row],[Name]]&amp;B622</f>
        <v>North YorkshireReablement &amp; Rehabilitation in a bedded setting</v>
      </c>
      <c r="B622" t="str">
        <f>VLOOKUP(Table_Capacity_Community_frontsheet[[#This Row],[Service Area]],PathwayLookup!E:F,2,0)</f>
        <v>Reablement &amp; Rehabilitation in a bedded setting</v>
      </c>
      <c r="C622" t="s">
        <v>241</v>
      </c>
      <c r="D622" t="s">
        <v>723</v>
      </c>
      <c r="E622">
        <v>23</v>
      </c>
      <c r="F622">
        <v>23</v>
      </c>
      <c r="G622">
        <v>23</v>
      </c>
      <c r="H622">
        <v>23</v>
      </c>
      <c r="I622">
        <v>23</v>
      </c>
      <c r="J622">
        <v>23</v>
      </c>
      <c r="K622">
        <v>23</v>
      </c>
      <c r="L622">
        <v>23</v>
      </c>
      <c r="M622">
        <v>23</v>
      </c>
      <c r="N622">
        <v>23</v>
      </c>
      <c r="O622">
        <v>23</v>
      </c>
      <c r="P622">
        <v>23</v>
      </c>
      <c r="R622">
        <v>1</v>
      </c>
      <c r="V622"/>
      <c r="W622"/>
      <c r="X622"/>
    </row>
    <row r="623" spans="1:24" x14ac:dyDescent="0.3">
      <c r="A623" t="str">
        <f>Table_Capacity_Community_frontsheet[[#This Row],[Name]]&amp;B623</f>
        <v>North YorkshireReablement &amp; Rehabilitation in a bedded setting</v>
      </c>
      <c r="B623" t="str">
        <f>VLOOKUP(Table_Capacity_Community_frontsheet[[#This Row],[Service Area]],PathwayLookup!E:F,2,0)</f>
        <v>Reablement &amp; Rehabilitation in a bedded setting</v>
      </c>
      <c r="C623" t="s">
        <v>241</v>
      </c>
      <c r="D623" t="s">
        <v>725</v>
      </c>
      <c r="E623">
        <v>4</v>
      </c>
      <c r="F623">
        <v>4</v>
      </c>
      <c r="G623">
        <v>4</v>
      </c>
      <c r="H623">
        <v>4</v>
      </c>
      <c r="I623">
        <v>4</v>
      </c>
      <c r="J623">
        <v>4</v>
      </c>
      <c r="K623">
        <v>4</v>
      </c>
      <c r="L623">
        <v>4</v>
      </c>
      <c r="M623">
        <v>4</v>
      </c>
      <c r="N623">
        <v>4</v>
      </c>
      <c r="O623">
        <v>4</v>
      </c>
      <c r="P623">
        <v>4</v>
      </c>
      <c r="Q623">
        <v>1</v>
      </c>
      <c r="V623"/>
      <c r="W623"/>
      <c r="X623"/>
    </row>
    <row r="624" spans="1:24" x14ac:dyDescent="0.3">
      <c r="A624" t="str">
        <f>Table_Capacity_Community_frontsheet[[#This Row],[Name]]&amp;B624</f>
        <v>North YorkshireOther short-term social care</v>
      </c>
      <c r="B624" t="str">
        <f>VLOOKUP(Table_Capacity_Community_frontsheet[[#This Row],[Service Area]],PathwayLookup!E:F,2,0)</f>
        <v>Other short-term social care</v>
      </c>
      <c r="C624" t="s">
        <v>241</v>
      </c>
      <c r="D624" t="s">
        <v>708</v>
      </c>
      <c r="E624">
        <v>6</v>
      </c>
      <c r="F624">
        <v>6</v>
      </c>
      <c r="G624">
        <v>6</v>
      </c>
      <c r="H624">
        <v>6</v>
      </c>
      <c r="I624">
        <v>6</v>
      </c>
      <c r="J624">
        <v>6</v>
      </c>
      <c r="K624">
        <v>6</v>
      </c>
      <c r="L624">
        <v>6</v>
      </c>
      <c r="M624">
        <v>6</v>
      </c>
      <c r="N624">
        <v>6</v>
      </c>
      <c r="O624">
        <v>6</v>
      </c>
      <c r="P624">
        <v>6</v>
      </c>
      <c r="R624">
        <v>1</v>
      </c>
      <c r="V624"/>
      <c r="W624"/>
      <c r="X624"/>
    </row>
    <row r="625" spans="1:24" x14ac:dyDescent="0.3">
      <c r="A625" t="str">
        <f>Table_Capacity_Community_frontsheet[[#This Row],[Name]]&amp;B625</f>
        <v>NorthumberlandSocial support (including VCS)</v>
      </c>
      <c r="B625" t="str">
        <f>VLOOKUP(Table_Capacity_Community_frontsheet[[#This Row],[Service Area]],PathwayLookup!E:F,2,0)</f>
        <v>Social support (including VCS)</v>
      </c>
      <c r="C625" t="s">
        <v>243</v>
      </c>
      <c r="D625" t="s">
        <v>704</v>
      </c>
      <c r="E625">
        <v>0</v>
      </c>
      <c r="F625">
        <v>0</v>
      </c>
      <c r="G625">
        <v>0</v>
      </c>
      <c r="H625">
        <v>0</v>
      </c>
      <c r="I625">
        <v>0</v>
      </c>
      <c r="J625">
        <v>0</v>
      </c>
      <c r="K625">
        <v>0</v>
      </c>
      <c r="L625">
        <v>0</v>
      </c>
      <c r="M625">
        <v>0</v>
      </c>
      <c r="N625">
        <v>0</v>
      </c>
      <c r="O625">
        <v>0</v>
      </c>
      <c r="P625">
        <v>0</v>
      </c>
      <c r="V625"/>
      <c r="W625"/>
      <c r="X625"/>
    </row>
    <row r="626" spans="1:24" x14ac:dyDescent="0.3">
      <c r="A626" t="str">
        <f>Table_Capacity_Community_frontsheet[[#This Row],[Name]]&amp;B626</f>
        <v>NorthumberlandUrgent Community Response</v>
      </c>
      <c r="B626" t="str">
        <f>VLOOKUP(Table_Capacity_Community_frontsheet[[#This Row],[Service Area]],PathwayLookup!E:F,2,0)</f>
        <v>Urgent Community Response</v>
      </c>
      <c r="C626" t="s">
        <v>243</v>
      </c>
      <c r="D626" t="s">
        <v>705</v>
      </c>
      <c r="E626">
        <v>178</v>
      </c>
      <c r="F626">
        <v>178</v>
      </c>
      <c r="G626">
        <v>178</v>
      </c>
      <c r="H626">
        <v>187</v>
      </c>
      <c r="I626">
        <v>187</v>
      </c>
      <c r="J626">
        <v>187</v>
      </c>
      <c r="K626">
        <v>190</v>
      </c>
      <c r="L626">
        <v>190</v>
      </c>
      <c r="M626">
        <v>295</v>
      </c>
      <c r="N626">
        <v>304</v>
      </c>
      <c r="O626">
        <v>304</v>
      </c>
      <c r="P626">
        <v>304</v>
      </c>
      <c r="V626"/>
      <c r="W626"/>
      <c r="X626"/>
    </row>
    <row r="627" spans="1:24" x14ac:dyDescent="0.3">
      <c r="A627" t="str">
        <f>Table_Capacity_Community_frontsheet[[#This Row],[Name]]&amp;B627</f>
        <v>NorthumberlandReablement &amp; Rehabilitation at home</v>
      </c>
      <c r="B627" t="str">
        <f>VLOOKUP(Table_Capacity_Community_frontsheet[[#This Row],[Service Area]],PathwayLookup!E:F,2,0)</f>
        <v>Reablement &amp; Rehabilitation at home</v>
      </c>
      <c r="C627" t="s">
        <v>243</v>
      </c>
      <c r="D627" t="s">
        <v>727</v>
      </c>
      <c r="E627">
        <v>62</v>
      </c>
      <c r="F627">
        <v>58</v>
      </c>
      <c r="G627">
        <v>60</v>
      </c>
      <c r="H627">
        <v>60</v>
      </c>
      <c r="I627">
        <v>60</v>
      </c>
      <c r="J627">
        <v>60</v>
      </c>
      <c r="K627">
        <v>60</v>
      </c>
      <c r="L627">
        <v>60</v>
      </c>
      <c r="M627">
        <v>60</v>
      </c>
      <c r="N627">
        <v>60</v>
      </c>
      <c r="O627">
        <v>60</v>
      </c>
      <c r="P627">
        <v>60</v>
      </c>
      <c r="V627"/>
      <c r="W627"/>
      <c r="X627"/>
    </row>
    <row r="628" spans="1:24" x14ac:dyDescent="0.3">
      <c r="A628" t="str">
        <f>Table_Capacity_Community_frontsheet[[#This Row],[Name]]&amp;B628</f>
        <v>NorthumberlandReablement &amp; Rehabilitation at home</v>
      </c>
      <c r="B628" t="str">
        <f>VLOOKUP(Table_Capacity_Community_frontsheet[[#This Row],[Service Area]],PathwayLookup!E:F,2,0)</f>
        <v>Reablement &amp; Rehabilitation at home</v>
      </c>
      <c r="C628" t="s">
        <v>243</v>
      </c>
      <c r="D628" t="s">
        <v>729</v>
      </c>
      <c r="E628">
        <v>342</v>
      </c>
      <c r="F628">
        <v>382</v>
      </c>
      <c r="G628">
        <v>360</v>
      </c>
      <c r="H628">
        <v>360</v>
      </c>
      <c r="I628">
        <v>360</v>
      </c>
      <c r="J628">
        <v>360</v>
      </c>
      <c r="K628">
        <v>360</v>
      </c>
      <c r="L628">
        <v>360</v>
      </c>
      <c r="M628">
        <v>360</v>
      </c>
      <c r="N628">
        <v>360</v>
      </c>
      <c r="O628">
        <v>360</v>
      </c>
      <c r="P628">
        <v>360</v>
      </c>
      <c r="V628"/>
      <c r="W628"/>
      <c r="X628"/>
    </row>
    <row r="629" spans="1:24" x14ac:dyDescent="0.3">
      <c r="A629" t="str">
        <f>Table_Capacity_Community_frontsheet[[#This Row],[Name]]&amp;B629</f>
        <v>NorthumberlandReablement &amp; Rehabilitation in a bedded setting</v>
      </c>
      <c r="B629" t="str">
        <f>VLOOKUP(Table_Capacity_Community_frontsheet[[#This Row],[Service Area]],PathwayLookup!E:F,2,0)</f>
        <v>Reablement &amp; Rehabilitation in a bedded setting</v>
      </c>
      <c r="C629" t="s">
        <v>243</v>
      </c>
      <c r="D629" t="s">
        <v>723</v>
      </c>
      <c r="E629">
        <v>0</v>
      </c>
      <c r="F629">
        <v>0</v>
      </c>
      <c r="G629">
        <v>0</v>
      </c>
      <c r="H629">
        <v>0</v>
      </c>
      <c r="I629">
        <v>0</v>
      </c>
      <c r="J629">
        <v>0</v>
      </c>
      <c r="K629">
        <v>0</v>
      </c>
      <c r="L629">
        <v>0</v>
      </c>
      <c r="M629">
        <v>0</v>
      </c>
      <c r="N629">
        <v>0</v>
      </c>
      <c r="O629">
        <v>0</v>
      </c>
      <c r="P629">
        <v>0</v>
      </c>
      <c r="V629"/>
      <c r="W629"/>
      <c r="X629"/>
    </row>
    <row r="630" spans="1:24" x14ac:dyDescent="0.3">
      <c r="A630" t="str">
        <f>Table_Capacity_Community_frontsheet[[#This Row],[Name]]&amp;B630</f>
        <v>NorthumberlandReablement &amp; Rehabilitation in a bedded setting</v>
      </c>
      <c r="B630" t="str">
        <f>VLOOKUP(Table_Capacity_Community_frontsheet[[#This Row],[Service Area]],PathwayLookup!E:F,2,0)</f>
        <v>Reablement &amp; Rehabilitation in a bedded setting</v>
      </c>
      <c r="C630" t="s">
        <v>243</v>
      </c>
      <c r="D630" t="s">
        <v>725</v>
      </c>
      <c r="E630">
        <v>0</v>
      </c>
      <c r="F630">
        <v>0</v>
      </c>
      <c r="G630">
        <v>0</v>
      </c>
      <c r="H630">
        <v>0</v>
      </c>
      <c r="I630">
        <v>0</v>
      </c>
      <c r="J630">
        <v>0</v>
      </c>
      <c r="K630">
        <v>0</v>
      </c>
      <c r="L630">
        <v>0</v>
      </c>
      <c r="M630">
        <v>20</v>
      </c>
      <c r="N630">
        <v>20</v>
      </c>
      <c r="O630">
        <v>20</v>
      </c>
      <c r="P630">
        <v>20</v>
      </c>
      <c r="V630"/>
      <c r="W630"/>
      <c r="X630"/>
    </row>
    <row r="631" spans="1:24" x14ac:dyDescent="0.3">
      <c r="A631" t="str">
        <f>Table_Capacity_Community_frontsheet[[#This Row],[Name]]&amp;B631</f>
        <v>NorthumberlandOther short-term social care</v>
      </c>
      <c r="B631" t="str">
        <f>VLOOKUP(Table_Capacity_Community_frontsheet[[#This Row],[Service Area]],PathwayLookup!E:F,2,0)</f>
        <v>Other short-term social care</v>
      </c>
      <c r="C631" t="s">
        <v>243</v>
      </c>
      <c r="D631" t="s">
        <v>708</v>
      </c>
      <c r="E631">
        <v>170</v>
      </c>
      <c r="F631">
        <v>170</v>
      </c>
      <c r="G631">
        <v>170</v>
      </c>
      <c r="H631">
        <v>170</v>
      </c>
      <c r="I631">
        <v>170</v>
      </c>
      <c r="J631">
        <v>170</v>
      </c>
      <c r="K631">
        <v>170</v>
      </c>
      <c r="L631">
        <v>170</v>
      </c>
      <c r="M631">
        <v>170</v>
      </c>
      <c r="N631">
        <v>170</v>
      </c>
      <c r="O631">
        <v>170</v>
      </c>
      <c r="P631">
        <v>170</v>
      </c>
      <c r="V631"/>
      <c r="W631"/>
      <c r="X631"/>
    </row>
    <row r="632" spans="1:24" x14ac:dyDescent="0.3">
      <c r="A632" t="str">
        <f>Table_Capacity_Community_frontsheet[[#This Row],[Name]]&amp;B632</f>
        <v>NottinghamSocial support (including VCS)</v>
      </c>
      <c r="B632" t="str">
        <f>VLOOKUP(Table_Capacity_Community_frontsheet[[#This Row],[Service Area]],PathwayLookup!E:F,2,0)</f>
        <v>Social support (including VCS)</v>
      </c>
      <c r="C632" t="s">
        <v>245</v>
      </c>
      <c r="D632" t="s">
        <v>704</v>
      </c>
      <c r="E632">
        <v>0</v>
      </c>
      <c r="F632">
        <v>0</v>
      </c>
      <c r="G632">
        <v>0</v>
      </c>
      <c r="H632">
        <v>0</v>
      </c>
      <c r="I632">
        <v>0</v>
      </c>
      <c r="J632">
        <v>0</v>
      </c>
      <c r="K632">
        <v>0</v>
      </c>
      <c r="L632">
        <v>0</v>
      </c>
      <c r="M632">
        <v>0</v>
      </c>
      <c r="N632">
        <v>0</v>
      </c>
      <c r="O632">
        <v>0</v>
      </c>
      <c r="P632">
        <v>0</v>
      </c>
      <c r="V632"/>
      <c r="W632"/>
      <c r="X632"/>
    </row>
    <row r="633" spans="1:24" x14ac:dyDescent="0.3">
      <c r="A633" t="str">
        <f>Table_Capacity_Community_frontsheet[[#This Row],[Name]]&amp;B633</f>
        <v>NottinghamUrgent Community Response</v>
      </c>
      <c r="B633" t="str">
        <f>VLOOKUP(Table_Capacity_Community_frontsheet[[#This Row],[Service Area]],PathwayLookup!E:F,2,0)</f>
        <v>Urgent Community Response</v>
      </c>
      <c r="C633" t="s">
        <v>245</v>
      </c>
      <c r="D633" t="s">
        <v>705</v>
      </c>
      <c r="E633">
        <v>0</v>
      </c>
      <c r="F633">
        <v>1</v>
      </c>
      <c r="G633">
        <v>2</v>
      </c>
      <c r="H633">
        <v>3</v>
      </c>
      <c r="I633">
        <v>4</v>
      </c>
      <c r="J633">
        <v>5</v>
      </c>
      <c r="K633">
        <v>6</v>
      </c>
      <c r="L633">
        <v>7</v>
      </c>
      <c r="M633">
        <v>8</v>
      </c>
      <c r="N633">
        <v>9</v>
      </c>
      <c r="O633">
        <v>10</v>
      </c>
      <c r="P633">
        <v>11</v>
      </c>
      <c r="Q633">
        <v>0.6</v>
      </c>
      <c r="R633">
        <v>0.4</v>
      </c>
      <c r="V633"/>
      <c r="W633"/>
      <c r="X633"/>
    </row>
    <row r="634" spans="1:24" x14ac:dyDescent="0.3">
      <c r="A634" t="str">
        <f>Table_Capacity_Community_frontsheet[[#This Row],[Name]]&amp;B634</f>
        <v>NottinghamReablement &amp; Rehabilitation at home</v>
      </c>
      <c r="B634" t="str">
        <f>VLOOKUP(Table_Capacity_Community_frontsheet[[#This Row],[Service Area]],PathwayLookup!E:F,2,0)</f>
        <v>Reablement &amp; Rehabilitation at home</v>
      </c>
      <c r="C634" t="s">
        <v>245</v>
      </c>
      <c r="D634" t="s">
        <v>727</v>
      </c>
      <c r="E634">
        <v>0</v>
      </c>
      <c r="F634">
        <v>0</v>
      </c>
      <c r="G634">
        <v>0</v>
      </c>
      <c r="H634">
        <v>0</v>
      </c>
      <c r="I634">
        <v>0</v>
      </c>
      <c r="J634">
        <v>0</v>
      </c>
      <c r="K634">
        <v>0</v>
      </c>
      <c r="L634">
        <v>0</v>
      </c>
      <c r="M634">
        <v>0</v>
      </c>
      <c r="N634">
        <v>0</v>
      </c>
      <c r="O634">
        <v>0</v>
      </c>
      <c r="P634">
        <v>0</v>
      </c>
      <c r="Q634">
        <v>0.6</v>
      </c>
      <c r="R634">
        <v>0.4</v>
      </c>
      <c r="V634"/>
      <c r="W634"/>
      <c r="X634"/>
    </row>
    <row r="635" spans="1:24" x14ac:dyDescent="0.3">
      <c r="A635" t="str">
        <f>Table_Capacity_Community_frontsheet[[#This Row],[Name]]&amp;B635</f>
        <v>NottinghamReablement &amp; Rehabilitation at home</v>
      </c>
      <c r="B635" t="str">
        <f>VLOOKUP(Table_Capacity_Community_frontsheet[[#This Row],[Service Area]],PathwayLookup!E:F,2,0)</f>
        <v>Reablement &amp; Rehabilitation at home</v>
      </c>
      <c r="C635" t="s">
        <v>245</v>
      </c>
      <c r="D635" t="s">
        <v>729</v>
      </c>
      <c r="E635">
        <v>91</v>
      </c>
      <c r="F635">
        <v>91</v>
      </c>
      <c r="G635">
        <v>91</v>
      </c>
      <c r="H635">
        <v>91</v>
      </c>
      <c r="I635">
        <v>91</v>
      </c>
      <c r="J635">
        <v>91</v>
      </c>
      <c r="K635">
        <v>91</v>
      </c>
      <c r="L635">
        <v>91</v>
      </c>
      <c r="M635">
        <v>91</v>
      </c>
      <c r="N635">
        <v>91</v>
      </c>
      <c r="O635">
        <v>91</v>
      </c>
      <c r="P635">
        <v>91</v>
      </c>
      <c r="Q635">
        <v>0.6</v>
      </c>
      <c r="R635">
        <v>0.4</v>
      </c>
      <c r="V635"/>
      <c r="W635"/>
      <c r="X635"/>
    </row>
    <row r="636" spans="1:24" x14ac:dyDescent="0.3">
      <c r="A636" t="str">
        <f>Table_Capacity_Community_frontsheet[[#This Row],[Name]]&amp;B636</f>
        <v>NottinghamReablement &amp; Rehabilitation in a bedded setting</v>
      </c>
      <c r="B636" t="str">
        <f>VLOOKUP(Table_Capacity_Community_frontsheet[[#This Row],[Service Area]],PathwayLookup!E:F,2,0)</f>
        <v>Reablement &amp; Rehabilitation in a bedded setting</v>
      </c>
      <c r="C636" t="s">
        <v>245</v>
      </c>
      <c r="D636" t="s">
        <v>723</v>
      </c>
      <c r="E636">
        <v>0</v>
      </c>
      <c r="F636">
        <v>0</v>
      </c>
      <c r="G636">
        <v>0</v>
      </c>
      <c r="H636">
        <v>0</v>
      </c>
      <c r="I636">
        <v>0</v>
      </c>
      <c r="J636">
        <v>0</v>
      </c>
      <c r="K636">
        <v>0</v>
      </c>
      <c r="L636">
        <v>0</v>
      </c>
      <c r="M636">
        <v>0</v>
      </c>
      <c r="N636">
        <v>0</v>
      </c>
      <c r="O636">
        <v>0</v>
      </c>
      <c r="P636">
        <v>0</v>
      </c>
      <c r="V636"/>
      <c r="W636"/>
      <c r="X636"/>
    </row>
    <row r="637" spans="1:24" x14ac:dyDescent="0.3">
      <c r="A637" t="str">
        <f>Table_Capacity_Community_frontsheet[[#This Row],[Name]]&amp;B637</f>
        <v>NottinghamReablement &amp; Rehabilitation in a bedded setting</v>
      </c>
      <c r="B637" t="str">
        <f>VLOOKUP(Table_Capacity_Community_frontsheet[[#This Row],[Service Area]],PathwayLookup!E:F,2,0)</f>
        <v>Reablement &amp; Rehabilitation in a bedded setting</v>
      </c>
      <c r="C637" t="s">
        <v>245</v>
      </c>
      <c r="D637" t="s">
        <v>725</v>
      </c>
      <c r="E637">
        <v>25</v>
      </c>
      <c r="F637">
        <v>25</v>
      </c>
      <c r="G637">
        <v>25</v>
      </c>
      <c r="H637">
        <v>25</v>
      </c>
      <c r="I637">
        <v>25</v>
      </c>
      <c r="J637">
        <v>25</v>
      </c>
      <c r="K637">
        <v>25</v>
      </c>
      <c r="L637">
        <v>25</v>
      </c>
      <c r="M637">
        <v>25</v>
      </c>
      <c r="N637">
        <v>25</v>
      </c>
      <c r="O637">
        <v>25</v>
      </c>
      <c r="P637">
        <v>25</v>
      </c>
      <c r="V637"/>
      <c r="W637"/>
      <c r="X637"/>
    </row>
    <row r="638" spans="1:24" x14ac:dyDescent="0.3">
      <c r="A638" t="str">
        <f>Table_Capacity_Community_frontsheet[[#This Row],[Name]]&amp;B638</f>
        <v>NottinghamOther short-term social care</v>
      </c>
      <c r="B638" t="str">
        <f>VLOOKUP(Table_Capacity_Community_frontsheet[[#This Row],[Service Area]],PathwayLookup!E:F,2,0)</f>
        <v>Other short-term social care</v>
      </c>
      <c r="C638" t="s">
        <v>245</v>
      </c>
      <c r="D638" t="s">
        <v>708</v>
      </c>
      <c r="E638">
        <v>9</v>
      </c>
      <c r="F638">
        <v>9</v>
      </c>
      <c r="G638">
        <v>9</v>
      </c>
      <c r="H638">
        <v>9</v>
      </c>
      <c r="I638">
        <v>9</v>
      </c>
      <c r="J638">
        <v>9</v>
      </c>
      <c r="K638">
        <v>9</v>
      </c>
      <c r="L638">
        <v>9</v>
      </c>
      <c r="M638">
        <v>9</v>
      </c>
      <c r="N638">
        <v>9</v>
      </c>
      <c r="O638">
        <v>9</v>
      </c>
      <c r="P638">
        <v>9</v>
      </c>
      <c r="Q638">
        <v>0.5</v>
      </c>
      <c r="R638">
        <v>0.5</v>
      </c>
      <c r="V638"/>
      <c r="W638"/>
      <c r="X638"/>
    </row>
    <row r="639" spans="1:24" x14ac:dyDescent="0.3">
      <c r="A639" t="str">
        <f>Table_Capacity_Community_frontsheet[[#This Row],[Name]]&amp;B639</f>
        <v>NottinghamshireSocial support (including VCS)</v>
      </c>
      <c r="B639" t="str">
        <f>VLOOKUP(Table_Capacity_Community_frontsheet[[#This Row],[Service Area]],PathwayLookup!E:F,2,0)</f>
        <v>Social support (including VCS)</v>
      </c>
      <c r="C639" t="s">
        <v>247</v>
      </c>
      <c r="D639" t="s">
        <v>704</v>
      </c>
      <c r="E639">
        <v>150</v>
      </c>
      <c r="F639">
        <v>150</v>
      </c>
      <c r="G639">
        <v>150</v>
      </c>
      <c r="H639">
        <v>150</v>
      </c>
      <c r="I639">
        <v>150</v>
      </c>
      <c r="J639">
        <v>150</v>
      </c>
      <c r="K639">
        <v>150</v>
      </c>
      <c r="L639">
        <v>150</v>
      </c>
      <c r="M639">
        <v>150</v>
      </c>
      <c r="N639">
        <v>150</v>
      </c>
      <c r="O639">
        <v>150</v>
      </c>
      <c r="P639">
        <v>150</v>
      </c>
      <c r="V639"/>
      <c r="W639"/>
      <c r="X639"/>
    </row>
    <row r="640" spans="1:24" x14ac:dyDescent="0.3">
      <c r="A640" t="str">
        <f>Table_Capacity_Community_frontsheet[[#This Row],[Name]]&amp;B640</f>
        <v>NottinghamshireUrgent Community Response</v>
      </c>
      <c r="B640" t="str">
        <f>VLOOKUP(Table_Capacity_Community_frontsheet[[#This Row],[Service Area]],PathwayLookup!E:F,2,0)</f>
        <v>Urgent Community Response</v>
      </c>
      <c r="C640" t="s">
        <v>247</v>
      </c>
      <c r="D640" t="s">
        <v>705</v>
      </c>
      <c r="E640">
        <v>0</v>
      </c>
      <c r="F640">
        <v>0</v>
      </c>
      <c r="G640">
        <v>0</v>
      </c>
      <c r="H640">
        <v>0</v>
      </c>
      <c r="I640">
        <v>0</v>
      </c>
      <c r="J640">
        <v>0</v>
      </c>
      <c r="K640">
        <v>0</v>
      </c>
      <c r="L640">
        <v>0</v>
      </c>
      <c r="M640">
        <v>0</v>
      </c>
      <c r="N640">
        <v>0</v>
      </c>
      <c r="O640">
        <v>0</v>
      </c>
      <c r="P640">
        <v>0</v>
      </c>
      <c r="Q640">
        <v>0.6</v>
      </c>
      <c r="R640">
        <v>0.4</v>
      </c>
      <c r="V640"/>
      <c r="W640"/>
      <c r="X640"/>
    </row>
    <row r="641" spans="1:24" x14ac:dyDescent="0.3">
      <c r="A641" t="str">
        <f>Table_Capacity_Community_frontsheet[[#This Row],[Name]]&amp;B641</f>
        <v>NottinghamshireReablement &amp; Rehabilitation at home</v>
      </c>
      <c r="B641" t="str">
        <f>VLOOKUP(Table_Capacity_Community_frontsheet[[#This Row],[Service Area]],PathwayLookup!E:F,2,0)</f>
        <v>Reablement &amp; Rehabilitation at home</v>
      </c>
      <c r="C641" t="s">
        <v>247</v>
      </c>
      <c r="D641" t="s">
        <v>727</v>
      </c>
      <c r="E641">
        <v>0</v>
      </c>
      <c r="F641">
        <v>0</v>
      </c>
      <c r="G641">
        <v>0</v>
      </c>
      <c r="H641">
        <v>0</v>
      </c>
      <c r="I641">
        <v>0</v>
      </c>
      <c r="J641">
        <v>0</v>
      </c>
      <c r="K641">
        <v>0</v>
      </c>
      <c r="L641">
        <v>0</v>
      </c>
      <c r="M641">
        <v>0</v>
      </c>
      <c r="N641">
        <v>0</v>
      </c>
      <c r="O641">
        <v>0</v>
      </c>
      <c r="P641">
        <v>0</v>
      </c>
      <c r="Q641">
        <v>0.6</v>
      </c>
      <c r="R641">
        <v>0.4</v>
      </c>
      <c r="V641"/>
      <c r="W641"/>
      <c r="X641"/>
    </row>
    <row r="642" spans="1:24" x14ac:dyDescent="0.3">
      <c r="A642" t="str">
        <f>Table_Capacity_Community_frontsheet[[#This Row],[Name]]&amp;B642</f>
        <v>NottinghamshireReablement &amp; Rehabilitation at home</v>
      </c>
      <c r="B642" t="str">
        <f>VLOOKUP(Table_Capacity_Community_frontsheet[[#This Row],[Service Area]],PathwayLookup!E:F,2,0)</f>
        <v>Reablement &amp; Rehabilitation at home</v>
      </c>
      <c r="C642" t="s">
        <v>247</v>
      </c>
      <c r="D642" t="s">
        <v>729</v>
      </c>
      <c r="E642">
        <v>139</v>
      </c>
      <c r="F642">
        <v>139</v>
      </c>
      <c r="G642">
        <v>139</v>
      </c>
      <c r="H642">
        <v>139</v>
      </c>
      <c r="I642">
        <v>139</v>
      </c>
      <c r="J642">
        <v>139</v>
      </c>
      <c r="K642">
        <v>139</v>
      </c>
      <c r="L642">
        <v>139</v>
      </c>
      <c r="M642">
        <v>139</v>
      </c>
      <c r="N642">
        <v>139</v>
      </c>
      <c r="O642">
        <v>139</v>
      </c>
      <c r="P642">
        <v>139</v>
      </c>
      <c r="Q642">
        <v>0.6</v>
      </c>
      <c r="R642">
        <v>0.4</v>
      </c>
      <c r="V642"/>
      <c r="W642"/>
      <c r="X642"/>
    </row>
    <row r="643" spans="1:24" x14ac:dyDescent="0.3">
      <c r="A643" t="str">
        <f>Table_Capacity_Community_frontsheet[[#This Row],[Name]]&amp;B643</f>
        <v>NottinghamshireReablement &amp; Rehabilitation in a bedded setting</v>
      </c>
      <c r="B643" t="str">
        <f>VLOOKUP(Table_Capacity_Community_frontsheet[[#This Row],[Service Area]],PathwayLookup!E:F,2,0)</f>
        <v>Reablement &amp; Rehabilitation in a bedded setting</v>
      </c>
      <c r="C643" t="s">
        <v>247</v>
      </c>
      <c r="D643" t="s">
        <v>723</v>
      </c>
      <c r="E643">
        <v>0</v>
      </c>
      <c r="F643">
        <v>0</v>
      </c>
      <c r="G643">
        <v>0</v>
      </c>
      <c r="H643">
        <v>0</v>
      </c>
      <c r="I643">
        <v>0</v>
      </c>
      <c r="J643">
        <v>0</v>
      </c>
      <c r="K643">
        <v>0</v>
      </c>
      <c r="L643">
        <v>0</v>
      </c>
      <c r="M643">
        <v>0</v>
      </c>
      <c r="N643">
        <v>0</v>
      </c>
      <c r="O643">
        <v>0</v>
      </c>
      <c r="P643">
        <v>0</v>
      </c>
      <c r="Q643">
        <v>0.9</v>
      </c>
      <c r="R643">
        <v>0.9</v>
      </c>
      <c r="V643"/>
      <c r="W643"/>
      <c r="X643"/>
    </row>
    <row r="644" spans="1:24" x14ac:dyDescent="0.3">
      <c r="A644" t="str">
        <f>Table_Capacity_Community_frontsheet[[#This Row],[Name]]&amp;B644</f>
        <v>NottinghamshireReablement &amp; Rehabilitation in a bedded setting</v>
      </c>
      <c r="B644" t="str">
        <f>VLOOKUP(Table_Capacity_Community_frontsheet[[#This Row],[Service Area]],PathwayLookup!E:F,2,0)</f>
        <v>Reablement &amp; Rehabilitation in a bedded setting</v>
      </c>
      <c r="C644" t="s">
        <v>247</v>
      </c>
      <c r="D644" t="s">
        <v>725</v>
      </c>
      <c r="E644">
        <v>41</v>
      </c>
      <c r="F644">
        <v>41</v>
      </c>
      <c r="G644">
        <v>41</v>
      </c>
      <c r="H644">
        <v>41</v>
      </c>
      <c r="I644">
        <v>41</v>
      </c>
      <c r="J644">
        <v>41</v>
      </c>
      <c r="K644">
        <v>41</v>
      </c>
      <c r="L644">
        <v>41</v>
      </c>
      <c r="M644">
        <v>41</v>
      </c>
      <c r="N644">
        <v>41</v>
      </c>
      <c r="O644">
        <v>41</v>
      </c>
      <c r="P644">
        <v>41</v>
      </c>
      <c r="Q644">
        <v>0.9</v>
      </c>
      <c r="R644">
        <v>0.9</v>
      </c>
      <c r="V644"/>
      <c r="W644"/>
      <c r="X644"/>
    </row>
    <row r="645" spans="1:24" x14ac:dyDescent="0.3">
      <c r="A645" t="str">
        <f>Table_Capacity_Community_frontsheet[[#This Row],[Name]]&amp;B645</f>
        <v>NottinghamshireOther short-term social care</v>
      </c>
      <c r="B645" t="str">
        <f>VLOOKUP(Table_Capacity_Community_frontsheet[[#This Row],[Service Area]],PathwayLookup!E:F,2,0)</f>
        <v>Other short-term social care</v>
      </c>
      <c r="C645" t="s">
        <v>247</v>
      </c>
      <c r="D645" t="s">
        <v>708</v>
      </c>
      <c r="E645">
        <v>19</v>
      </c>
      <c r="F645">
        <v>19</v>
      </c>
      <c r="G645">
        <v>19</v>
      </c>
      <c r="H645">
        <v>19</v>
      </c>
      <c r="I645">
        <v>19</v>
      </c>
      <c r="J645">
        <v>19</v>
      </c>
      <c r="K645">
        <v>19</v>
      </c>
      <c r="L645">
        <v>19</v>
      </c>
      <c r="M645">
        <v>19</v>
      </c>
      <c r="N645">
        <v>19</v>
      </c>
      <c r="O645">
        <v>19</v>
      </c>
      <c r="P645">
        <v>19</v>
      </c>
      <c r="Q645">
        <v>0.5</v>
      </c>
      <c r="R645">
        <v>0.5</v>
      </c>
      <c r="V645"/>
      <c r="W645"/>
      <c r="X645"/>
    </row>
    <row r="646" spans="1:24" x14ac:dyDescent="0.3">
      <c r="A646" t="str">
        <f>Table_Capacity_Community_frontsheet[[#This Row],[Name]]&amp;B646</f>
        <v>OldhamSocial support (including VCS)</v>
      </c>
      <c r="B646" t="str">
        <f>VLOOKUP(Table_Capacity_Community_frontsheet[[#This Row],[Service Area]],PathwayLookup!E:F,2,0)</f>
        <v>Social support (including VCS)</v>
      </c>
      <c r="C646" t="s">
        <v>249</v>
      </c>
      <c r="D646" t="s">
        <v>704</v>
      </c>
      <c r="E646">
        <v>35</v>
      </c>
      <c r="F646">
        <v>35</v>
      </c>
      <c r="G646">
        <v>35</v>
      </c>
      <c r="H646">
        <v>35</v>
      </c>
      <c r="I646">
        <v>35</v>
      </c>
      <c r="J646">
        <v>35</v>
      </c>
      <c r="K646">
        <v>35</v>
      </c>
      <c r="L646">
        <v>35</v>
      </c>
      <c r="M646">
        <v>35</v>
      </c>
      <c r="N646">
        <v>35</v>
      </c>
      <c r="O646">
        <v>35</v>
      </c>
      <c r="P646">
        <v>35</v>
      </c>
      <c r="Q646">
        <v>1</v>
      </c>
      <c r="V646"/>
      <c r="W646"/>
      <c r="X646"/>
    </row>
    <row r="647" spans="1:24" x14ac:dyDescent="0.3">
      <c r="A647" t="str">
        <f>Table_Capacity_Community_frontsheet[[#This Row],[Name]]&amp;B647</f>
        <v>OldhamUrgent Community Response</v>
      </c>
      <c r="B647" t="str">
        <f>VLOOKUP(Table_Capacity_Community_frontsheet[[#This Row],[Service Area]],PathwayLookup!E:F,2,0)</f>
        <v>Urgent Community Response</v>
      </c>
      <c r="C647" t="s">
        <v>249</v>
      </c>
      <c r="D647" t="s">
        <v>705</v>
      </c>
      <c r="E647">
        <v>235</v>
      </c>
      <c r="F647">
        <v>235</v>
      </c>
      <c r="G647">
        <v>235</v>
      </c>
      <c r="H647">
        <v>235</v>
      </c>
      <c r="I647">
        <v>235</v>
      </c>
      <c r="J647">
        <v>235</v>
      </c>
      <c r="K647">
        <v>235</v>
      </c>
      <c r="L647">
        <v>235</v>
      </c>
      <c r="M647">
        <v>235</v>
      </c>
      <c r="N647">
        <v>235</v>
      </c>
      <c r="O647">
        <v>235</v>
      </c>
      <c r="P647">
        <v>235</v>
      </c>
      <c r="R647">
        <v>1</v>
      </c>
      <c r="V647"/>
      <c r="W647"/>
      <c r="X647"/>
    </row>
    <row r="648" spans="1:24" x14ac:dyDescent="0.3">
      <c r="A648" t="str">
        <f>Table_Capacity_Community_frontsheet[[#This Row],[Name]]&amp;B648</f>
        <v>OldhamReablement &amp; Rehabilitation at home</v>
      </c>
      <c r="B648" t="str">
        <f>VLOOKUP(Table_Capacity_Community_frontsheet[[#This Row],[Service Area]],PathwayLookup!E:F,2,0)</f>
        <v>Reablement &amp; Rehabilitation at home</v>
      </c>
      <c r="C648" t="s">
        <v>249</v>
      </c>
      <c r="D648" t="s">
        <v>727</v>
      </c>
      <c r="E648">
        <v>22</v>
      </c>
      <c r="F648">
        <v>30</v>
      </c>
      <c r="G648">
        <v>25</v>
      </c>
      <c r="H648">
        <v>36</v>
      </c>
      <c r="I648">
        <v>34</v>
      </c>
      <c r="J648">
        <v>39</v>
      </c>
      <c r="K648">
        <v>26</v>
      </c>
      <c r="L648">
        <v>30</v>
      </c>
      <c r="M648">
        <v>50</v>
      </c>
      <c r="N648">
        <v>41</v>
      </c>
      <c r="O648">
        <v>20</v>
      </c>
      <c r="P648">
        <v>15</v>
      </c>
      <c r="Q648">
        <v>1</v>
      </c>
      <c r="V648"/>
      <c r="W648"/>
      <c r="X648"/>
    </row>
    <row r="649" spans="1:24" x14ac:dyDescent="0.3">
      <c r="A649" t="str">
        <f>Table_Capacity_Community_frontsheet[[#This Row],[Name]]&amp;B649</f>
        <v>OldhamReablement &amp; Rehabilitation at home</v>
      </c>
      <c r="B649" t="str">
        <f>VLOOKUP(Table_Capacity_Community_frontsheet[[#This Row],[Service Area]],PathwayLookup!E:F,2,0)</f>
        <v>Reablement &amp; Rehabilitation at home</v>
      </c>
      <c r="C649" t="s">
        <v>249</v>
      </c>
      <c r="D649" t="s">
        <v>729</v>
      </c>
      <c r="E649">
        <v>0</v>
      </c>
      <c r="F649">
        <v>0</v>
      </c>
      <c r="G649">
        <v>0</v>
      </c>
      <c r="H649">
        <v>0</v>
      </c>
      <c r="I649">
        <v>0</v>
      </c>
      <c r="J649">
        <v>0</v>
      </c>
      <c r="K649">
        <v>0</v>
      </c>
      <c r="L649">
        <v>0</v>
      </c>
      <c r="M649">
        <v>0</v>
      </c>
      <c r="N649">
        <v>0</v>
      </c>
      <c r="O649">
        <v>0</v>
      </c>
      <c r="P649">
        <v>0</v>
      </c>
      <c r="S649">
        <v>1</v>
      </c>
      <c r="V649"/>
      <c r="W649"/>
      <c r="X649"/>
    </row>
    <row r="650" spans="1:24" x14ac:dyDescent="0.3">
      <c r="A650" t="str">
        <f>Table_Capacity_Community_frontsheet[[#This Row],[Name]]&amp;B650</f>
        <v>OldhamReablement &amp; Rehabilitation in a bedded setting</v>
      </c>
      <c r="B650" t="str">
        <f>VLOOKUP(Table_Capacity_Community_frontsheet[[#This Row],[Service Area]],PathwayLookup!E:F,2,0)</f>
        <v>Reablement &amp; Rehabilitation in a bedded setting</v>
      </c>
      <c r="C650" t="s">
        <v>249</v>
      </c>
      <c r="D650" t="s">
        <v>723</v>
      </c>
      <c r="E650">
        <v>5</v>
      </c>
      <c r="F650">
        <v>5</v>
      </c>
      <c r="G650">
        <v>5</v>
      </c>
      <c r="H650">
        <v>5</v>
      </c>
      <c r="I650">
        <v>5</v>
      </c>
      <c r="J650">
        <v>5</v>
      </c>
      <c r="K650">
        <v>5</v>
      </c>
      <c r="L650">
        <v>5</v>
      </c>
      <c r="M650">
        <v>5</v>
      </c>
      <c r="N650">
        <v>5</v>
      </c>
      <c r="O650">
        <v>5</v>
      </c>
      <c r="P650">
        <v>5</v>
      </c>
      <c r="R650">
        <v>1</v>
      </c>
      <c r="V650"/>
      <c r="W650"/>
      <c r="X650"/>
    </row>
    <row r="651" spans="1:24" x14ac:dyDescent="0.3">
      <c r="A651" t="str">
        <f>Table_Capacity_Community_frontsheet[[#This Row],[Name]]&amp;B651</f>
        <v>OldhamReablement &amp; Rehabilitation in a bedded setting</v>
      </c>
      <c r="B651" t="str">
        <f>VLOOKUP(Table_Capacity_Community_frontsheet[[#This Row],[Service Area]],PathwayLookup!E:F,2,0)</f>
        <v>Reablement &amp; Rehabilitation in a bedded setting</v>
      </c>
      <c r="C651" t="s">
        <v>249</v>
      </c>
      <c r="D651" t="s">
        <v>725</v>
      </c>
      <c r="E651">
        <v>5</v>
      </c>
      <c r="F651">
        <v>5</v>
      </c>
      <c r="G651">
        <v>5</v>
      </c>
      <c r="H651">
        <v>5</v>
      </c>
      <c r="I651">
        <v>5</v>
      </c>
      <c r="J651">
        <v>5</v>
      </c>
      <c r="K651">
        <v>5</v>
      </c>
      <c r="L651">
        <v>5</v>
      </c>
      <c r="M651">
        <v>5</v>
      </c>
      <c r="N651">
        <v>5</v>
      </c>
      <c r="O651">
        <v>5</v>
      </c>
      <c r="P651">
        <v>5</v>
      </c>
      <c r="Q651">
        <v>1</v>
      </c>
      <c r="V651"/>
      <c r="W651"/>
      <c r="X651"/>
    </row>
    <row r="652" spans="1:24" x14ac:dyDescent="0.3">
      <c r="A652" t="str">
        <f>Table_Capacity_Community_frontsheet[[#This Row],[Name]]&amp;B652</f>
        <v>OldhamOther short-term social care</v>
      </c>
      <c r="B652" t="str">
        <f>VLOOKUP(Table_Capacity_Community_frontsheet[[#This Row],[Service Area]],PathwayLookup!E:F,2,0)</f>
        <v>Other short-term social care</v>
      </c>
      <c r="C652" t="s">
        <v>249</v>
      </c>
      <c r="D652" t="s">
        <v>708</v>
      </c>
      <c r="E652">
        <v>56</v>
      </c>
      <c r="F652">
        <v>56</v>
      </c>
      <c r="G652">
        <v>56</v>
      </c>
      <c r="H652">
        <v>56</v>
      </c>
      <c r="I652">
        <v>56</v>
      </c>
      <c r="J652">
        <v>56</v>
      </c>
      <c r="K652">
        <v>56</v>
      </c>
      <c r="L652">
        <v>56</v>
      </c>
      <c r="M652">
        <v>56</v>
      </c>
      <c r="N652">
        <v>56</v>
      </c>
      <c r="O652">
        <v>56</v>
      </c>
      <c r="P652">
        <v>56</v>
      </c>
      <c r="S652">
        <v>1</v>
      </c>
      <c r="V652"/>
      <c r="W652"/>
      <c r="X652"/>
    </row>
    <row r="653" spans="1:24" x14ac:dyDescent="0.3">
      <c r="A653" t="str">
        <f>Table_Capacity_Community_frontsheet[[#This Row],[Name]]&amp;B653</f>
        <v>OxfordshireSocial support (including VCS)</v>
      </c>
      <c r="B653" t="str">
        <f>VLOOKUP(Table_Capacity_Community_frontsheet[[#This Row],[Service Area]],PathwayLookup!E:F,2,0)</f>
        <v>Social support (including VCS)</v>
      </c>
      <c r="C653" t="s">
        <v>251</v>
      </c>
      <c r="D653" t="s">
        <v>704</v>
      </c>
      <c r="E653">
        <v>150</v>
      </c>
      <c r="F653">
        <v>155</v>
      </c>
      <c r="G653">
        <v>150</v>
      </c>
      <c r="H653">
        <v>155</v>
      </c>
      <c r="I653">
        <v>155</v>
      </c>
      <c r="J653">
        <v>150</v>
      </c>
      <c r="K653">
        <v>155</v>
      </c>
      <c r="L653">
        <v>150</v>
      </c>
      <c r="M653">
        <v>155</v>
      </c>
      <c r="N653">
        <v>155</v>
      </c>
      <c r="O653">
        <v>140</v>
      </c>
      <c r="P653">
        <v>155</v>
      </c>
      <c r="V653"/>
      <c r="W653"/>
      <c r="X653"/>
    </row>
    <row r="654" spans="1:24" x14ac:dyDescent="0.3">
      <c r="A654" t="str">
        <f>Table_Capacity_Community_frontsheet[[#This Row],[Name]]&amp;B654</f>
        <v>OxfordshireUrgent Community Response</v>
      </c>
      <c r="B654" t="str">
        <f>VLOOKUP(Table_Capacity_Community_frontsheet[[#This Row],[Service Area]],PathwayLookup!E:F,2,0)</f>
        <v>Urgent Community Response</v>
      </c>
      <c r="C654" t="s">
        <v>251</v>
      </c>
      <c r="D654" t="s">
        <v>705</v>
      </c>
      <c r="E654">
        <v>400</v>
      </c>
      <c r="F654">
        <v>413.33333333333326</v>
      </c>
      <c r="G654">
        <v>400</v>
      </c>
      <c r="H654">
        <v>413.33333333333326</v>
      </c>
      <c r="I654">
        <v>413.33333333333326</v>
      </c>
      <c r="J654">
        <v>400</v>
      </c>
      <c r="K654">
        <v>413.33333333333326</v>
      </c>
      <c r="L654">
        <v>400</v>
      </c>
      <c r="M654">
        <v>413.33333333333326</v>
      </c>
      <c r="N654">
        <v>413.33333333333326</v>
      </c>
      <c r="O654">
        <v>373.33333333333326</v>
      </c>
      <c r="P654">
        <v>413.33333333333326</v>
      </c>
      <c r="V654"/>
      <c r="W654"/>
      <c r="X654"/>
    </row>
    <row r="655" spans="1:24" x14ac:dyDescent="0.3">
      <c r="A655" t="str">
        <f>Table_Capacity_Community_frontsheet[[#This Row],[Name]]&amp;B655</f>
        <v>OxfordshireReablement &amp; Rehabilitation at home</v>
      </c>
      <c r="B655" t="str">
        <f>VLOOKUP(Table_Capacity_Community_frontsheet[[#This Row],[Service Area]],PathwayLookup!E:F,2,0)</f>
        <v>Reablement &amp; Rehabilitation at home</v>
      </c>
      <c r="C655" t="s">
        <v>251</v>
      </c>
      <c r="D655" t="s">
        <v>727</v>
      </c>
      <c r="E655">
        <v>27</v>
      </c>
      <c r="F655">
        <v>27.9</v>
      </c>
      <c r="G655">
        <v>27</v>
      </c>
      <c r="H655">
        <v>27.9</v>
      </c>
      <c r="I655">
        <v>27.9</v>
      </c>
      <c r="J655">
        <v>27</v>
      </c>
      <c r="K655">
        <v>27.9</v>
      </c>
      <c r="L655">
        <v>27</v>
      </c>
      <c r="M655">
        <v>27.9</v>
      </c>
      <c r="N655">
        <v>27.9</v>
      </c>
      <c r="O655">
        <v>25.2</v>
      </c>
      <c r="P655">
        <v>27.9</v>
      </c>
      <c r="V655"/>
      <c r="W655"/>
      <c r="X655"/>
    </row>
    <row r="656" spans="1:24" x14ac:dyDescent="0.3">
      <c r="A656" t="str">
        <f>Table_Capacity_Community_frontsheet[[#This Row],[Name]]&amp;B656</f>
        <v>OxfordshireReablement &amp; Rehabilitation at home</v>
      </c>
      <c r="B656" t="str">
        <f>VLOOKUP(Table_Capacity_Community_frontsheet[[#This Row],[Service Area]],PathwayLookup!E:F,2,0)</f>
        <v>Reablement &amp; Rehabilitation at home</v>
      </c>
      <c r="C656" t="s">
        <v>251</v>
      </c>
      <c r="D656" t="s">
        <v>729</v>
      </c>
      <c r="V656"/>
      <c r="W656"/>
      <c r="X656"/>
    </row>
    <row r="657" spans="1:24" x14ac:dyDescent="0.3">
      <c r="A657" t="str">
        <f>Table_Capacity_Community_frontsheet[[#This Row],[Name]]&amp;B657</f>
        <v>OxfordshireReablement &amp; Rehabilitation in a bedded setting</v>
      </c>
      <c r="B657" t="str">
        <f>VLOOKUP(Table_Capacity_Community_frontsheet[[#This Row],[Service Area]],PathwayLookup!E:F,2,0)</f>
        <v>Reablement &amp; Rehabilitation in a bedded setting</v>
      </c>
      <c r="C657" t="s">
        <v>251</v>
      </c>
      <c r="D657" t="s">
        <v>723</v>
      </c>
      <c r="E657">
        <v>0</v>
      </c>
      <c r="F657">
        <v>0</v>
      </c>
      <c r="G657">
        <v>0</v>
      </c>
      <c r="H657">
        <v>0</v>
      </c>
      <c r="I657">
        <v>0</v>
      </c>
      <c r="J657">
        <v>0</v>
      </c>
      <c r="K657">
        <v>0</v>
      </c>
      <c r="L657">
        <v>0</v>
      </c>
      <c r="M657">
        <v>0</v>
      </c>
      <c r="N657">
        <v>0</v>
      </c>
      <c r="O657">
        <v>0</v>
      </c>
      <c r="P657">
        <v>0</v>
      </c>
      <c r="V657"/>
      <c r="W657"/>
      <c r="X657"/>
    </row>
    <row r="658" spans="1:24" x14ac:dyDescent="0.3">
      <c r="A658" t="str">
        <f>Table_Capacity_Community_frontsheet[[#This Row],[Name]]&amp;B658</f>
        <v>OxfordshireReablement &amp; Rehabilitation in a bedded setting</v>
      </c>
      <c r="B658" t="str">
        <f>VLOOKUP(Table_Capacity_Community_frontsheet[[#This Row],[Service Area]],PathwayLookup!E:F,2,0)</f>
        <v>Reablement &amp; Rehabilitation in a bedded setting</v>
      </c>
      <c r="C658" t="s">
        <v>251</v>
      </c>
      <c r="D658" t="s">
        <v>725</v>
      </c>
      <c r="V658"/>
      <c r="W658"/>
      <c r="X658"/>
    </row>
    <row r="659" spans="1:24" x14ac:dyDescent="0.3">
      <c r="A659" t="str">
        <f>Table_Capacity_Community_frontsheet[[#This Row],[Name]]&amp;B659</f>
        <v>OxfordshireOther short-term social care</v>
      </c>
      <c r="B659" t="str">
        <f>VLOOKUP(Table_Capacity_Community_frontsheet[[#This Row],[Service Area]],PathwayLookup!E:F,2,0)</f>
        <v>Other short-term social care</v>
      </c>
      <c r="C659" t="s">
        <v>251</v>
      </c>
      <c r="D659" t="s">
        <v>708</v>
      </c>
      <c r="E659">
        <v>0</v>
      </c>
      <c r="F659">
        <v>0</v>
      </c>
      <c r="G659">
        <v>0</v>
      </c>
      <c r="H659">
        <v>0</v>
      </c>
      <c r="I659">
        <v>0</v>
      </c>
      <c r="J659">
        <v>0</v>
      </c>
      <c r="K659">
        <v>0</v>
      </c>
      <c r="L659">
        <v>0</v>
      </c>
      <c r="M659">
        <v>0</v>
      </c>
      <c r="N659">
        <v>0</v>
      </c>
      <c r="O659">
        <v>0</v>
      </c>
      <c r="P659">
        <v>0</v>
      </c>
      <c r="V659"/>
      <c r="W659"/>
      <c r="X659"/>
    </row>
    <row r="660" spans="1:24" x14ac:dyDescent="0.3">
      <c r="A660" t="str">
        <f>Table_Capacity_Community_frontsheet[[#This Row],[Name]]&amp;B660</f>
        <v>PeterboroughSocial support (including VCS)</v>
      </c>
      <c r="B660" t="str">
        <f>VLOOKUP(Table_Capacity_Community_frontsheet[[#This Row],[Service Area]],PathwayLookup!E:F,2,0)</f>
        <v>Social support (including VCS)</v>
      </c>
      <c r="C660" t="s">
        <v>253</v>
      </c>
      <c r="D660" t="s">
        <v>704</v>
      </c>
      <c r="E660">
        <v>0</v>
      </c>
      <c r="F660">
        <v>0</v>
      </c>
      <c r="G660">
        <v>0</v>
      </c>
      <c r="H660">
        <v>0</v>
      </c>
      <c r="I660">
        <v>0</v>
      </c>
      <c r="J660">
        <v>0</v>
      </c>
      <c r="K660">
        <v>0</v>
      </c>
      <c r="L660">
        <v>0</v>
      </c>
      <c r="M660">
        <v>0</v>
      </c>
      <c r="N660">
        <v>0</v>
      </c>
      <c r="O660">
        <v>0</v>
      </c>
      <c r="P660">
        <v>0</v>
      </c>
      <c r="Q660">
        <v>0</v>
      </c>
      <c r="R660">
        <v>0</v>
      </c>
      <c r="S660">
        <v>0</v>
      </c>
      <c r="V660"/>
      <c r="W660"/>
      <c r="X660"/>
    </row>
    <row r="661" spans="1:24" x14ac:dyDescent="0.3">
      <c r="A661" t="str">
        <f>Table_Capacity_Community_frontsheet[[#This Row],[Name]]&amp;B661</f>
        <v>PeterboroughUrgent Community Response</v>
      </c>
      <c r="B661" t="str">
        <f>VLOOKUP(Table_Capacity_Community_frontsheet[[#This Row],[Service Area]],PathwayLookup!E:F,2,0)</f>
        <v>Urgent Community Response</v>
      </c>
      <c r="C661" t="s">
        <v>253</v>
      </c>
      <c r="D661" t="s">
        <v>705</v>
      </c>
      <c r="E661">
        <v>366</v>
      </c>
      <c r="F661">
        <v>371</v>
      </c>
      <c r="G661">
        <v>399</v>
      </c>
      <c r="H661">
        <v>390</v>
      </c>
      <c r="I661">
        <v>345</v>
      </c>
      <c r="J661">
        <v>348</v>
      </c>
      <c r="K661">
        <v>369</v>
      </c>
      <c r="L661">
        <v>379</v>
      </c>
      <c r="M661">
        <v>382</v>
      </c>
      <c r="N661">
        <v>370</v>
      </c>
      <c r="O661">
        <v>343</v>
      </c>
      <c r="P661">
        <v>360</v>
      </c>
      <c r="Q661">
        <v>0.94</v>
      </c>
      <c r="R661">
        <v>0.06</v>
      </c>
      <c r="S661">
        <v>0</v>
      </c>
      <c r="V661"/>
      <c r="W661"/>
      <c r="X661"/>
    </row>
    <row r="662" spans="1:24" x14ac:dyDescent="0.3">
      <c r="A662" t="str">
        <f>Table_Capacity_Community_frontsheet[[#This Row],[Name]]&amp;B662</f>
        <v>PeterboroughReablement &amp; Rehabilitation at home</v>
      </c>
      <c r="B662" t="str">
        <f>VLOOKUP(Table_Capacity_Community_frontsheet[[#This Row],[Service Area]],PathwayLookup!E:F,2,0)</f>
        <v>Reablement &amp; Rehabilitation at home</v>
      </c>
      <c r="C662" t="s">
        <v>253</v>
      </c>
      <c r="D662" t="s">
        <v>727</v>
      </c>
      <c r="E662">
        <v>31</v>
      </c>
      <c r="F662">
        <v>36</v>
      </c>
      <c r="G662">
        <v>34</v>
      </c>
      <c r="H662">
        <v>45</v>
      </c>
      <c r="I662">
        <v>39</v>
      </c>
      <c r="J662">
        <v>27</v>
      </c>
      <c r="K662">
        <v>32</v>
      </c>
      <c r="L662">
        <v>50</v>
      </c>
      <c r="M662">
        <v>33</v>
      </c>
      <c r="N662">
        <v>47</v>
      </c>
      <c r="O662">
        <v>52</v>
      </c>
      <c r="P662">
        <v>33</v>
      </c>
      <c r="Q662">
        <v>0</v>
      </c>
      <c r="R662">
        <v>1</v>
      </c>
      <c r="S662">
        <v>0</v>
      </c>
      <c r="V662"/>
      <c r="W662"/>
      <c r="X662"/>
    </row>
    <row r="663" spans="1:24" x14ac:dyDescent="0.3">
      <c r="A663" t="str">
        <f>Table_Capacity_Community_frontsheet[[#This Row],[Name]]&amp;B663</f>
        <v>PeterboroughReablement &amp; Rehabilitation at home</v>
      </c>
      <c r="B663" t="str">
        <f>VLOOKUP(Table_Capacity_Community_frontsheet[[#This Row],[Service Area]],PathwayLookup!E:F,2,0)</f>
        <v>Reablement &amp; Rehabilitation at home</v>
      </c>
      <c r="C663" t="s">
        <v>253</v>
      </c>
      <c r="D663" t="s">
        <v>729</v>
      </c>
      <c r="E663">
        <v>239</v>
      </c>
      <c r="F663">
        <v>253</v>
      </c>
      <c r="G663">
        <v>255</v>
      </c>
      <c r="H663">
        <v>279</v>
      </c>
      <c r="I663">
        <v>269</v>
      </c>
      <c r="J663">
        <v>272</v>
      </c>
      <c r="K663">
        <v>295</v>
      </c>
      <c r="L663">
        <v>311</v>
      </c>
      <c r="M663">
        <v>329</v>
      </c>
      <c r="N663">
        <v>313</v>
      </c>
      <c r="O663">
        <v>296</v>
      </c>
      <c r="P663">
        <v>309</v>
      </c>
      <c r="Q663">
        <v>1</v>
      </c>
      <c r="R663">
        <v>0</v>
      </c>
      <c r="S663">
        <v>0</v>
      </c>
      <c r="V663"/>
      <c r="W663"/>
      <c r="X663"/>
    </row>
    <row r="664" spans="1:24" x14ac:dyDescent="0.3">
      <c r="A664" t="str">
        <f>Table_Capacity_Community_frontsheet[[#This Row],[Name]]&amp;B664</f>
        <v>PeterboroughReablement &amp; Rehabilitation in a bedded setting</v>
      </c>
      <c r="B664" t="str">
        <f>VLOOKUP(Table_Capacity_Community_frontsheet[[#This Row],[Service Area]],PathwayLookup!E:F,2,0)</f>
        <v>Reablement &amp; Rehabilitation in a bedded setting</v>
      </c>
      <c r="C664" t="s">
        <v>253</v>
      </c>
      <c r="D664" t="s">
        <v>723</v>
      </c>
      <c r="E664">
        <v>0</v>
      </c>
      <c r="F664">
        <v>0</v>
      </c>
      <c r="G664">
        <v>0</v>
      </c>
      <c r="H664">
        <v>0</v>
      </c>
      <c r="I664">
        <v>0</v>
      </c>
      <c r="J664">
        <v>0</v>
      </c>
      <c r="K664">
        <v>0</v>
      </c>
      <c r="L664">
        <v>0</v>
      </c>
      <c r="M664">
        <v>0</v>
      </c>
      <c r="N664">
        <v>0</v>
      </c>
      <c r="O664">
        <v>0</v>
      </c>
      <c r="P664">
        <v>0</v>
      </c>
      <c r="Q664">
        <v>0</v>
      </c>
      <c r="R664">
        <v>0</v>
      </c>
      <c r="S664">
        <v>0</v>
      </c>
      <c r="V664"/>
      <c r="W664"/>
      <c r="X664"/>
    </row>
    <row r="665" spans="1:24" x14ac:dyDescent="0.3">
      <c r="A665" t="str">
        <f>Table_Capacity_Community_frontsheet[[#This Row],[Name]]&amp;B665</f>
        <v>PeterboroughReablement &amp; Rehabilitation in a bedded setting</v>
      </c>
      <c r="B665" t="str">
        <f>VLOOKUP(Table_Capacity_Community_frontsheet[[#This Row],[Service Area]],PathwayLookup!E:F,2,0)</f>
        <v>Reablement &amp; Rehabilitation in a bedded setting</v>
      </c>
      <c r="C665" t="s">
        <v>253</v>
      </c>
      <c r="D665" t="s">
        <v>725</v>
      </c>
      <c r="E665">
        <v>4</v>
      </c>
      <c r="F665">
        <v>4</v>
      </c>
      <c r="G665">
        <v>2</v>
      </c>
      <c r="H665">
        <v>0</v>
      </c>
      <c r="I665">
        <v>2</v>
      </c>
      <c r="J665">
        <v>1</v>
      </c>
      <c r="K665">
        <v>1</v>
      </c>
      <c r="L665">
        <v>3</v>
      </c>
      <c r="M665">
        <v>2</v>
      </c>
      <c r="N665">
        <v>1</v>
      </c>
      <c r="O665">
        <v>0</v>
      </c>
      <c r="P665">
        <v>3</v>
      </c>
      <c r="Q665">
        <v>1</v>
      </c>
      <c r="R665">
        <v>0</v>
      </c>
      <c r="S665">
        <v>0</v>
      </c>
      <c r="V665"/>
      <c r="W665"/>
      <c r="X665"/>
    </row>
    <row r="666" spans="1:24" x14ac:dyDescent="0.3">
      <c r="A666" t="str">
        <f>Table_Capacity_Community_frontsheet[[#This Row],[Name]]&amp;B666</f>
        <v>PeterboroughOther short-term social care</v>
      </c>
      <c r="B666" t="str">
        <f>VLOOKUP(Table_Capacity_Community_frontsheet[[#This Row],[Service Area]],PathwayLookup!E:F,2,0)</f>
        <v>Other short-term social care</v>
      </c>
      <c r="C666" t="s">
        <v>253</v>
      </c>
      <c r="D666" t="s">
        <v>708</v>
      </c>
      <c r="E666">
        <v>0</v>
      </c>
      <c r="F666">
        <v>0</v>
      </c>
      <c r="G666">
        <v>0</v>
      </c>
      <c r="H666">
        <v>0</v>
      </c>
      <c r="I666">
        <v>0</v>
      </c>
      <c r="J666">
        <v>0</v>
      </c>
      <c r="K666">
        <v>0</v>
      </c>
      <c r="L666">
        <v>0</v>
      </c>
      <c r="M666">
        <v>0</v>
      </c>
      <c r="N666">
        <v>0</v>
      </c>
      <c r="O666">
        <v>0</v>
      </c>
      <c r="P666">
        <v>0</v>
      </c>
      <c r="Q666">
        <v>0</v>
      </c>
      <c r="R666">
        <v>0</v>
      </c>
      <c r="S666">
        <v>0</v>
      </c>
      <c r="V666"/>
      <c r="W666"/>
      <c r="X666"/>
    </row>
    <row r="667" spans="1:24" x14ac:dyDescent="0.3">
      <c r="A667" t="str">
        <f>Table_Capacity_Community_frontsheet[[#This Row],[Name]]&amp;B667</f>
        <v>PlymouthSocial support (including VCS)</v>
      </c>
      <c r="B667" t="str">
        <f>VLOOKUP(Table_Capacity_Community_frontsheet[[#This Row],[Service Area]],PathwayLookup!E:F,2,0)</f>
        <v>Social support (including VCS)</v>
      </c>
      <c r="C667" t="s">
        <v>255</v>
      </c>
      <c r="D667" t="s">
        <v>704</v>
      </c>
      <c r="V667"/>
      <c r="W667"/>
      <c r="X667"/>
    </row>
    <row r="668" spans="1:24" x14ac:dyDescent="0.3">
      <c r="A668" t="str">
        <f>Table_Capacity_Community_frontsheet[[#This Row],[Name]]&amp;B668</f>
        <v>PlymouthUrgent Community Response</v>
      </c>
      <c r="B668" t="str">
        <f>VLOOKUP(Table_Capacity_Community_frontsheet[[#This Row],[Service Area]],PathwayLookup!E:F,2,0)</f>
        <v>Urgent Community Response</v>
      </c>
      <c r="C668" t="s">
        <v>255</v>
      </c>
      <c r="D668" t="s">
        <v>705</v>
      </c>
      <c r="V668"/>
      <c r="W668"/>
      <c r="X668"/>
    </row>
    <row r="669" spans="1:24" x14ac:dyDescent="0.3">
      <c r="A669" t="str">
        <f>Table_Capacity_Community_frontsheet[[#This Row],[Name]]&amp;B669</f>
        <v>PlymouthReablement &amp; Rehabilitation at home</v>
      </c>
      <c r="B669" t="str">
        <f>VLOOKUP(Table_Capacity_Community_frontsheet[[#This Row],[Service Area]],PathwayLookup!E:F,2,0)</f>
        <v>Reablement &amp; Rehabilitation at home</v>
      </c>
      <c r="C669" t="s">
        <v>255</v>
      </c>
      <c r="D669" t="s">
        <v>727</v>
      </c>
      <c r="V669"/>
      <c r="W669"/>
      <c r="X669"/>
    </row>
    <row r="670" spans="1:24" x14ac:dyDescent="0.3">
      <c r="A670" t="str">
        <f>Table_Capacity_Community_frontsheet[[#This Row],[Name]]&amp;B670</f>
        <v>PlymouthReablement &amp; Rehabilitation at home</v>
      </c>
      <c r="B670" t="str">
        <f>VLOOKUP(Table_Capacity_Community_frontsheet[[#This Row],[Service Area]],PathwayLookup!E:F,2,0)</f>
        <v>Reablement &amp; Rehabilitation at home</v>
      </c>
      <c r="C670" t="s">
        <v>255</v>
      </c>
      <c r="D670" t="s">
        <v>729</v>
      </c>
      <c r="E670">
        <v>19</v>
      </c>
      <c r="F670">
        <v>20</v>
      </c>
      <c r="G670">
        <v>19</v>
      </c>
      <c r="H670">
        <v>20</v>
      </c>
      <c r="I670">
        <v>20</v>
      </c>
      <c r="J670">
        <v>19</v>
      </c>
      <c r="K670">
        <v>20</v>
      </c>
      <c r="L670">
        <v>19</v>
      </c>
      <c r="M670">
        <v>20</v>
      </c>
      <c r="N670">
        <v>20</v>
      </c>
      <c r="O670">
        <v>18</v>
      </c>
      <c r="P670">
        <v>20</v>
      </c>
      <c r="V670"/>
      <c r="W670"/>
      <c r="X670"/>
    </row>
    <row r="671" spans="1:24" x14ac:dyDescent="0.3">
      <c r="A671" t="str">
        <f>Table_Capacity_Community_frontsheet[[#This Row],[Name]]&amp;B671</f>
        <v>PlymouthReablement &amp; Rehabilitation in a bedded setting</v>
      </c>
      <c r="B671" t="str">
        <f>VLOOKUP(Table_Capacity_Community_frontsheet[[#This Row],[Service Area]],PathwayLookup!E:F,2,0)</f>
        <v>Reablement &amp; Rehabilitation in a bedded setting</v>
      </c>
      <c r="C671" t="s">
        <v>255</v>
      </c>
      <c r="D671" t="s">
        <v>723</v>
      </c>
      <c r="E671" t="s">
        <v>750</v>
      </c>
      <c r="F671" t="s">
        <v>750</v>
      </c>
      <c r="G671" t="s">
        <v>750</v>
      </c>
      <c r="H671" t="s">
        <v>750</v>
      </c>
      <c r="I671" t="s">
        <v>750</v>
      </c>
      <c r="J671" t="s">
        <v>750</v>
      </c>
      <c r="K671" t="s">
        <v>750</v>
      </c>
      <c r="L671" t="s">
        <v>750</v>
      </c>
      <c r="M671" t="s">
        <v>750</v>
      </c>
      <c r="N671" t="s">
        <v>750</v>
      </c>
      <c r="O671" t="s">
        <v>750</v>
      </c>
      <c r="P671" t="s">
        <v>750</v>
      </c>
      <c r="V671"/>
      <c r="W671"/>
      <c r="X671"/>
    </row>
    <row r="672" spans="1:24" x14ac:dyDescent="0.3">
      <c r="A672" t="str">
        <f>Table_Capacity_Community_frontsheet[[#This Row],[Name]]&amp;B672</f>
        <v>PlymouthReablement &amp; Rehabilitation in a bedded setting</v>
      </c>
      <c r="B672" t="str">
        <f>VLOOKUP(Table_Capacity_Community_frontsheet[[#This Row],[Service Area]],PathwayLookup!E:F,2,0)</f>
        <v>Reablement &amp; Rehabilitation in a bedded setting</v>
      </c>
      <c r="C672" t="s">
        <v>255</v>
      </c>
      <c r="D672" t="s">
        <v>725</v>
      </c>
      <c r="E672">
        <v>13</v>
      </c>
      <c r="F672">
        <v>13</v>
      </c>
      <c r="G672">
        <v>13</v>
      </c>
      <c r="H672">
        <v>13</v>
      </c>
      <c r="I672">
        <v>13</v>
      </c>
      <c r="J672">
        <v>13</v>
      </c>
      <c r="K672">
        <v>13</v>
      </c>
      <c r="L672">
        <v>13</v>
      </c>
      <c r="M672">
        <v>13</v>
      </c>
      <c r="N672">
        <v>13</v>
      </c>
      <c r="O672">
        <v>12</v>
      </c>
      <c r="P672">
        <v>13</v>
      </c>
      <c r="V672"/>
      <c r="W672"/>
      <c r="X672"/>
    </row>
    <row r="673" spans="1:24" x14ac:dyDescent="0.3">
      <c r="A673" t="str">
        <f>Table_Capacity_Community_frontsheet[[#This Row],[Name]]&amp;B673</f>
        <v>PlymouthOther short-term social care</v>
      </c>
      <c r="B673" t="str">
        <f>VLOOKUP(Table_Capacity_Community_frontsheet[[#This Row],[Service Area]],PathwayLookup!E:F,2,0)</f>
        <v>Other short-term social care</v>
      </c>
      <c r="C673" t="s">
        <v>255</v>
      </c>
      <c r="D673" t="s">
        <v>708</v>
      </c>
      <c r="V673"/>
      <c r="W673"/>
      <c r="X673"/>
    </row>
    <row r="674" spans="1:24" x14ac:dyDescent="0.3">
      <c r="A674" t="str">
        <f>Table_Capacity_Community_frontsheet[[#This Row],[Name]]&amp;B674</f>
        <v>PortsmouthSocial support (including VCS)</v>
      </c>
      <c r="B674" t="str">
        <f>VLOOKUP(Table_Capacity_Community_frontsheet[[#This Row],[Service Area]],PathwayLookup!E:F,2,0)</f>
        <v>Social support (including VCS)</v>
      </c>
      <c r="C674" t="s">
        <v>257</v>
      </c>
      <c r="D674" t="s">
        <v>704</v>
      </c>
      <c r="E674">
        <v>30</v>
      </c>
      <c r="F674">
        <v>29</v>
      </c>
      <c r="G674">
        <v>29</v>
      </c>
      <c r="H674">
        <v>29</v>
      </c>
      <c r="I674">
        <v>29</v>
      </c>
      <c r="J674">
        <v>29</v>
      </c>
      <c r="K674">
        <v>29</v>
      </c>
      <c r="L674">
        <v>31</v>
      </c>
      <c r="M674">
        <v>33</v>
      </c>
      <c r="N674">
        <v>33</v>
      </c>
      <c r="O674">
        <v>30</v>
      </c>
      <c r="P674">
        <v>29</v>
      </c>
      <c r="S674">
        <v>1</v>
      </c>
      <c r="V674"/>
      <c r="W674"/>
      <c r="X674"/>
    </row>
    <row r="675" spans="1:24" x14ac:dyDescent="0.3">
      <c r="A675" t="str">
        <f>Table_Capacity_Community_frontsheet[[#This Row],[Name]]&amp;B675</f>
        <v>PortsmouthUrgent Community Response</v>
      </c>
      <c r="B675" t="str">
        <f>VLOOKUP(Table_Capacity_Community_frontsheet[[#This Row],[Service Area]],PathwayLookup!E:F,2,0)</f>
        <v>Urgent Community Response</v>
      </c>
      <c r="C675" t="s">
        <v>257</v>
      </c>
      <c r="D675" t="s">
        <v>705</v>
      </c>
      <c r="E675">
        <v>401</v>
      </c>
      <c r="F675">
        <v>415</v>
      </c>
      <c r="G675">
        <v>391</v>
      </c>
      <c r="H675">
        <v>405</v>
      </c>
      <c r="I675">
        <v>405</v>
      </c>
      <c r="J675">
        <v>411</v>
      </c>
      <c r="K675">
        <v>435</v>
      </c>
      <c r="L675">
        <v>431</v>
      </c>
      <c r="M675">
        <v>445</v>
      </c>
      <c r="N675">
        <v>445</v>
      </c>
      <c r="O675">
        <v>407</v>
      </c>
      <c r="P675">
        <v>425</v>
      </c>
      <c r="S675">
        <v>1</v>
      </c>
      <c r="V675"/>
      <c r="W675"/>
      <c r="X675"/>
    </row>
    <row r="676" spans="1:24" x14ac:dyDescent="0.3">
      <c r="A676" t="str">
        <f>Table_Capacity_Community_frontsheet[[#This Row],[Name]]&amp;B676</f>
        <v>PortsmouthReablement &amp; Rehabilitation at home</v>
      </c>
      <c r="B676" t="str">
        <f>VLOOKUP(Table_Capacity_Community_frontsheet[[#This Row],[Service Area]],PathwayLookup!E:F,2,0)</f>
        <v>Reablement &amp; Rehabilitation at home</v>
      </c>
      <c r="C676" t="s">
        <v>257</v>
      </c>
      <c r="D676" t="s">
        <v>727</v>
      </c>
      <c r="E676">
        <v>30</v>
      </c>
      <c r="F676">
        <v>31</v>
      </c>
      <c r="G676">
        <v>30</v>
      </c>
      <c r="H676">
        <v>31</v>
      </c>
      <c r="I676">
        <v>31</v>
      </c>
      <c r="J676">
        <v>30</v>
      </c>
      <c r="K676">
        <v>31</v>
      </c>
      <c r="L676">
        <v>32</v>
      </c>
      <c r="M676">
        <v>35</v>
      </c>
      <c r="N676">
        <v>35</v>
      </c>
      <c r="O676">
        <v>31</v>
      </c>
      <c r="P676">
        <v>31</v>
      </c>
      <c r="S676">
        <v>1</v>
      </c>
      <c r="V676"/>
      <c r="W676"/>
      <c r="X676"/>
    </row>
    <row r="677" spans="1:24" x14ac:dyDescent="0.3">
      <c r="A677" t="str">
        <f>Table_Capacity_Community_frontsheet[[#This Row],[Name]]&amp;B677</f>
        <v>PortsmouthReablement &amp; Rehabilitation at home</v>
      </c>
      <c r="B677" t="str">
        <f>VLOOKUP(Table_Capacity_Community_frontsheet[[#This Row],[Service Area]],PathwayLookup!E:F,2,0)</f>
        <v>Reablement &amp; Rehabilitation at home</v>
      </c>
      <c r="C677" t="s">
        <v>257</v>
      </c>
      <c r="D677" t="s">
        <v>729</v>
      </c>
      <c r="E677">
        <v>30</v>
      </c>
      <c r="F677">
        <v>31</v>
      </c>
      <c r="G677">
        <v>30</v>
      </c>
      <c r="H677">
        <v>31</v>
      </c>
      <c r="I677">
        <v>31</v>
      </c>
      <c r="J677">
        <v>30</v>
      </c>
      <c r="K677">
        <v>31</v>
      </c>
      <c r="L677">
        <v>32</v>
      </c>
      <c r="M677">
        <v>35</v>
      </c>
      <c r="N677">
        <v>35</v>
      </c>
      <c r="O677">
        <v>31</v>
      </c>
      <c r="P677">
        <v>31</v>
      </c>
      <c r="S677">
        <v>1</v>
      </c>
      <c r="V677"/>
      <c r="W677"/>
      <c r="X677"/>
    </row>
    <row r="678" spans="1:24" x14ac:dyDescent="0.3">
      <c r="A678" t="str">
        <f>Table_Capacity_Community_frontsheet[[#This Row],[Name]]&amp;B678</f>
        <v>PortsmouthReablement &amp; Rehabilitation in a bedded setting</v>
      </c>
      <c r="B678" t="str">
        <f>VLOOKUP(Table_Capacity_Community_frontsheet[[#This Row],[Service Area]],PathwayLookup!E:F,2,0)</f>
        <v>Reablement &amp; Rehabilitation in a bedded setting</v>
      </c>
      <c r="C678" t="s">
        <v>257</v>
      </c>
      <c r="D678" t="s">
        <v>723</v>
      </c>
      <c r="E678">
        <v>0</v>
      </c>
      <c r="F678">
        <v>0</v>
      </c>
      <c r="G678">
        <v>0</v>
      </c>
      <c r="H678">
        <v>0</v>
      </c>
      <c r="I678">
        <v>0</v>
      </c>
      <c r="J678">
        <v>0</v>
      </c>
      <c r="K678">
        <v>0</v>
      </c>
      <c r="L678">
        <v>0</v>
      </c>
      <c r="M678">
        <v>0</v>
      </c>
      <c r="N678">
        <v>0</v>
      </c>
      <c r="O678">
        <v>0</v>
      </c>
      <c r="P678">
        <v>0</v>
      </c>
      <c r="V678"/>
      <c r="W678"/>
      <c r="X678"/>
    </row>
    <row r="679" spans="1:24" x14ac:dyDescent="0.3">
      <c r="A679" t="str">
        <f>Table_Capacity_Community_frontsheet[[#This Row],[Name]]&amp;B679</f>
        <v>PortsmouthReablement &amp; Rehabilitation in a bedded setting</v>
      </c>
      <c r="B679" t="str">
        <f>VLOOKUP(Table_Capacity_Community_frontsheet[[#This Row],[Service Area]],PathwayLookup!E:F,2,0)</f>
        <v>Reablement &amp; Rehabilitation in a bedded setting</v>
      </c>
      <c r="C679" t="s">
        <v>257</v>
      </c>
      <c r="D679" t="s">
        <v>725</v>
      </c>
      <c r="E679">
        <v>0</v>
      </c>
      <c r="F679">
        <v>0</v>
      </c>
      <c r="G679">
        <v>0</v>
      </c>
      <c r="H679">
        <v>0</v>
      </c>
      <c r="I679">
        <v>0</v>
      </c>
      <c r="J679">
        <v>0</v>
      </c>
      <c r="K679">
        <v>0</v>
      </c>
      <c r="L679">
        <v>0</v>
      </c>
      <c r="M679">
        <v>0</v>
      </c>
      <c r="N679">
        <v>0</v>
      </c>
      <c r="O679">
        <v>0</v>
      </c>
      <c r="P679">
        <v>0</v>
      </c>
      <c r="V679"/>
      <c r="W679"/>
      <c r="X679"/>
    </row>
    <row r="680" spans="1:24" x14ac:dyDescent="0.3">
      <c r="A680" t="str">
        <f>Table_Capacity_Community_frontsheet[[#This Row],[Name]]&amp;B680</f>
        <v>PortsmouthOther short-term social care</v>
      </c>
      <c r="B680" t="str">
        <f>VLOOKUP(Table_Capacity_Community_frontsheet[[#This Row],[Service Area]],PathwayLookup!E:F,2,0)</f>
        <v>Other short-term social care</v>
      </c>
      <c r="C680" t="s">
        <v>257</v>
      </c>
      <c r="D680" t="s">
        <v>708</v>
      </c>
      <c r="V680"/>
      <c r="W680"/>
      <c r="X680"/>
    </row>
    <row r="681" spans="1:24" x14ac:dyDescent="0.3">
      <c r="A681" t="str">
        <f>Table_Capacity_Community_frontsheet[[#This Row],[Name]]&amp;B681</f>
        <v>ReadingSocial support (including VCS)</v>
      </c>
      <c r="B681" t="str">
        <f>VLOOKUP(Table_Capacity_Community_frontsheet[[#This Row],[Service Area]],PathwayLookup!E:F,2,0)</f>
        <v>Social support (including VCS)</v>
      </c>
      <c r="C681" t="s">
        <v>259</v>
      </c>
      <c r="D681" t="s">
        <v>704</v>
      </c>
      <c r="E681">
        <v>69</v>
      </c>
      <c r="F681">
        <v>69</v>
      </c>
      <c r="G681">
        <v>69</v>
      </c>
      <c r="H681">
        <v>69</v>
      </c>
      <c r="I681">
        <v>69</v>
      </c>
      <c r="J681">
        <v>69</v>
      </c>
      <c r="K681">
        <v>69</v>
      </c>
      <c r="L681">
        <v>69</v>
      </c>
      <c r="M681">
        <v>69</v>
      </c>
      <c r="N681">
        <v>69</v>
      </c>
      <c r="O681">
        <v>69</v>
      </c>
      <c r="P681">
        <v>69</v>
      </c>
      <c r="V681"/>
      <c r="W681"/>
      <c r="X681"/>
    </row>
    <row r="682" spans="1:24" x14ac:dyDescent="0.3">
      <c r="A682" t="str">
        <f>Table_Capacity_Community_frontsheet[[#This Row],[Name]]&amp;B682</f>
        <v>ReadingUrgent Community Response</v>
      </c>
      <c r="B682" t="str">
        <f>VLOOKUP(Table_Capacity_Community_frontsheet[[#This Row],[Service Area]],PathwayLookup!E:F,2,0)</f>
        <v>Urgent Community Response</v>
      </c>
      <c r="C682" t="s">
        <v>259</v>
      </c>
      <c r="D682" t="s">
        <v>705</v>
      </c>
      <c r="E682">
        <v>170</v>
      </c>
      <c r="F682">
        <v>172</v>
      </c>
      <c r="G682">
        <v>158</v>
      </c>
      <c r="H682">
        <v>162</v>
      </c>
      <c r="I682">
        <v>158</v>
      </c>
      <c r="J682">
        <v>182</v>
      </c>
      <c r="K682">
        <v>188</v>
      </c>
      <c r="L682">
        <v>177</v>
      </c>
      <c r="M682">
        <v>221</v>
      </c>
      <c r="N682">
        <v>199</v>
      </c>
      <c r="O682">
        <v>162</v>
      </c>
      <c r="P682">
        <v>188</v>
      </c>
      <c r="V682"/>
      <c r="W682"/>
      <c r="X682"/>
    </row>
    <row r="683" spans="1:24" x14ac:dyDescent="0.3">
      <c r="A683" t="str">
        <f>Table_Capacity_Community_frontsheet[[#This Row],[Name]]&amp;B683</f>
        <v>ReadingReablement &amp; Rehabilitation at home</v>
      </c>
      <c r="B683" t="str">
        <f>VLOOKUP(Table_Capacity_Community_frontsheet[[#This Row],[Service Area]],PathwayLookup!E:F,2,0)</f>
        <v>Reablement &amp; Rehabilitation at home</v>
      </c>
      <c r="C683" t="s">
        <v>259</v>
      </c>
      <c r="D683" t="s">
        <v>727</v>
      </c>
      <c r="V683"/>
      <c r="W683"/>
      <c r="X683"/>
    </row>
    <row r="684" spans="1:24" x14ac:dyDescent="0.3">
      <c r="A684" t="str">
        <f>Table_Capacity_Community_frontsheet[[#This Row],[Name]]&amp;B684</f>
        <v>ReadingReablement &amp; Rehabilitation at home</v>
      </c>
      <c r="B684" t="str">
        <f>VLOOKUP(Table_Capacity_Community_frontsheet[[#This Row],[Service Area]],PathwayLookup!E:F,2,0)</f>
        <v>Reablement &amp; Rehabilitation at home</v>
      </c>
      <c r="C684" t="s">
        <v>259</v>
      </c>
      <c r="D684" t="s">
        <v>729</v>
      </c>
      <c r="E684">
        <v>164</v>
      </c>
      <c r="F684">
        <v>173</v>
      </c>
      <c r="G684">
        <v>137</v>
      </c>
      <c r="H684">
        <v>131</v>
      </c>
      <c r="I684">
        <v>157</v>
      </c>
      <c r="J684">
        <v>143</v>
      </c>
      <c r="K684">
        <v>152</v>
      </c>
      <c r="L684">
        <v>168</v>
      </c>
      <c r="M684">
        <v>127</v>
      </c>
      <c r="N684">
        <v>157</v>
      </c>
      <c r="O684">
        <v>152</v>
      </c>
      <c r="P684">
        <v>137</v>
      </c>
      <c r="V684"/>
      <c r="W684"/>
      <c r="X684"/>
    </row>
    <row r="685" spans="1:24" x14ac:dyDescent="0.3">
      <c r="A685" t="str">
        <f>Table_Capacity_Community_frontsheet[[#This Row],[Name]]&amp;B685</f>
        <v>ReadingReablement &amp; Rehabilitation in a bedded setting</v>
      </c>
      <c r="B685" t="str">
        <f>VLOOKUP(Table_Capacity_Community_frontsheet[[#This Row],[Service Area]],PathwayLookup!E:F,2,0)</f>
        <v>Reablement &amp; Rehabilitation in a bedded setting</v>
      </c>
      <c r="C685" t="s">
        <v>259</v>
      </c>
      <c r="D685" t="s">
        <v>723</v>
      </c>
      <c r="V685"/>
      <c r="W685"/>
      <c r="X685"/>
    </row>
    <row r="686" spans="1:24" x14ac:dyDescent="0.3">
      <c r="A686" t="str">
        <f>Table_Capacity_Community_frontsheet[[#This Row],[Name]]&amp;B686</f>
        <v>ReadingReablement &amp; Rehabilitation in a bedded setting</v>
      </c>
      <c r="B686" t="str">
        <f>VLOOKUP(Table_Capacity_Community_frontsheet[[#This Row],[Service Area]],PathwayLookup!E:F,2,0)</f>
        <v>Reablement &amp; Rehabilitation in a bedded setting</v>
      </c>
      <c r="C686" t="s">
        <v>259</v>
      </c>
      <c r="D686" t="s">
        <v>725</v>
      </c>
      <c r="E686">
        <v>1</v>
      </c>
      <c r="F686">
        <v>2</v>
      </c>
      <c r="G686">
        <v>1</v>
      </c>
      <c r="H686">
        <v>2</v>
      </c>
      <c r="I686">
        <v>1</v>
      </c>
      <c r="J686">
        <v>2</v>
      </c>
      <c r="K686">
        <v>1</v>
      </c>
      <c r="L686">
        <v>4</v>
      </c>
      <c r="M686">
        <v>2</v>
      </c>
      <c r="N686">
        <v>4</v>
      </c>
      <c r="O686">
        <v>2</v>
      </c>
      <c r="P686">
        <v>4</v>
      </c>
      <c r="V686"/>
      <c r="W686"/>
      <c r="X686"/>
    </row>
    <row r="687" spans="1:24" x14ac:dyDescent="0.3">
      <c r="A687" t="str">
        <f>Table_Capacity_Community_frontsheet[[#This Row],[Name]]&amp;B687</f>
        <v>ReadingOther short-term social care</v>
      </c>
      <c r="B687" t="str">
        <f>VLOOKUP(Table_Capacity_Community_frontsheet[[#This Row],[Service Area]],PathwayLookup!E:F,2,0)</f>
        <v>Other short-term social care</v>
      </c>
      <c r="C687" t="s">
        <v>259</v>
      </c>
      <c r="D687" t="s">
        <v>708</v>
      </c>
      <c r="V687"/>
      <c r="W687"/>
      <c r="X687"/>
    </row>
    <row r="688" spans="1:24" x14ac:dyDescent="0.3">
      <c r="A688" t="str">
        <f>Table_Capacity_Community_frontsheet[[#This Row],[Name]]&amp;B688</f>
        <v>RedbridgeSocial support (including VCS)</v>
      </c>
      <c r="B688" t="str">
        <f>VLOOKUP(Table_Capacity_Community_frontsheet[[#This Row],[Service Area]],PathwayLookup!E:F,2,0)</f>
        <v>Social support (including VCS)</v>
      </c>
      <c r="C688" t="s">
        <v>261</v>
      </c>
      <c r="D688" t="s">
        <v>704</v>
      </c>
      <c r="E688">
        <v>6</v>
      </c>
      <c r="F688">
        <v>6</v>
      </c>
      <c r="G688">
        <v>6</v>
      </c>
      <c r="H688">
        <v>6</v>
      </c>
      <c r="I688">
        <v>6</v>
      </c>
      <c r="J688">
        <v>6</v>
      </c>
      <c r="K688">
        <v>6</v>
      </c>
      <c r="L688">
        <v>6</v>
      </c>
      <c r="M688">
        <v>6</v>
      </c>
      <c r="N688">
        <v>6</v>
      </c>
      <c r="O688">
        <v>6</v>
      </c>
      <c r="P688">
        <v>6</v>
      </c>
      <c r="S688">
        <v>1</v>
      </c>
      <c r="V688"/>
      <c r="W688"/>
      <c r="X688"/>
    </row>
    <row r="689" spans="1:24" x14ac:dyDescent="0.3">
      <c r="A689" t="str">
        <f>Table_Capacity_Community_frontsheet[[#This Row],[Name]]&amp;B689</f>
        <v>RedbridgeUrgent Community Response</v>
      </c>
      <c r="B689" t="str">
        <f>VLOOKUP(Table_Capacity_Community_frontsheet[[#This Row],[Service Area]],PathwayLookup!E:F,2,0)</f>
        <v>Urgent Community Response</v>
      </c>
      <c r="C689" t="s">
        <v>261</v>
      </c>
      <c r="D689" t="s">
        <v>705</v>
      </c>
      <c r="E689">
        <v>137</v>
      </c>
      <c r="F689">
        <v>137</v>
      </c>
      <c r="G689">
        <v>137</v>
      </c>
      <c r="H689">
        <v>138</v>
      </c>
      <c r="I689">
        <v>138</v>
      </c>
      <c r="J689">
        <v>138</v>
      </c>
      <c r="K689">
        <v>134</v>
      </c>
      <c r="L689">
        <v>134</v>
      </c>
      <c r="M689">
        <v>134</v>
      </c>
      <c r="N689">
        <v>136</v>
      </c>
      <c r="O689">
        <v>136</v>
      </c>
      <c r="P689">
        <v>136</v>
      </c>
      <c r="Q689">
        <v>1</v>
      </c>
      <c r="V689"/>
      <c r="W689"/>
      <c r="X689"/>
    </row>
    <row r="690" spans="1:24" x14ac:dyDescent="0.3">
      <c r="A690" t="str">
        <f>Table_Capacity_Community_frontsheet[[#This Row],[Name]]&amp;B690</f>
        <v>RedbridgeReablement &amp; Rehabilitation at home</v>
      </c>
      <c r="B690" t="str">
        <f>VLOOKUP(Table_Capacity_Community_frontsheet[[#This Row],[Service Area]],PathwayLookup!E:F,2,0)</f>
        <v>Reablement &amp; Rehabilitation at home</v>
      </c>
      <c r="C690" t="s">
        <v>261</v>
      </c>
      <c r="D690" t="s">
        <v>727</v>
      </c>
      <c r="E690">
        <v>6</v>
      </c>
      <c r="F690">
        <v>4</v>
      </c>
      <c r="G690">
        <v>12</v>
      </c>
      <c r="H690">
        <v>13</v>
      </c>
      <c r="I690">
        <v>4</v>
      </c>
      <c r="J690">
        <v>4</v>
      </c>
      <c r="K690">
        <v>3</v>
      </c>
      <c r="L690">
        <v>10</v>
      </c>
      <c r="M690">
        <v>7</v>
      </c>
      <c r="N690">
        <v>8</v>
      </c>
      <c r="O690">
        <v>5</v>
      </c>
      <c r="P690">
        <v>5</v>
      </c>
      <c r="R690">
        <v>1</v>
      </c>
      <c r="V690"/>
      <c r="W690"/>
      <c r="X690"/>
    </row>
    <row r="691" spans="1:24" x14ac:dyDescent="0.3">
      <c r="A691" t="str">
        <f>Table_Capacity_Community_frontsheet[[#This Row],[Name]]&amp;B691</f>
        <v>RedbridgeReablement &amp; Rehabilitation at home</v>
      </c>
      <c r="B691" t="str">
        <f>VLOOKUP(Table_Capacity_Community_frontsheet[[#This Row],[Service Area]],PathwayLookup!E:F,2,0)</f>
        <v>Reablement &amp; Rehabilitation at home</v>
      </c>
      <c r="C691" t="s">
        <v>261</v>
      </c>
      <c r="D691" t="s">
        <v>729</v>
      </c>
      <c r="E691">
        <v>31</v>
      </c>
      <c r="F691">
        <v>31</v>
      </c>
      <c r="G691">
        <v>31</v>
      </c>
      <c r="H691">
        <v>31</v>
      </c>
      <c r="I691">
        <v>31</v>
      </c>
      <c r="J691">
        <v>31</v>
      </c>
      <c r="K691">
        <v>31</v>
      </c>
      <c r="L691">
        <v>31</v>
      </c>
      <c r="M691">
        <v>31</v>
      </c>
      <c r="N691">
        <v>31</v>
      </c>
      <c r="O691">
        <v>31</v>
      </c>
      <c r="P691">
        <v>31</v>
      </c>
      <c r="Q691">
        <v>1</v>
      </c>
      <c r="V691"/>
      <c r="W691"/>
      <c r="X691"/>
    </row>
    <row r="692" spans="1:24" x14ac:dyDescent="0.3">
      <c r="A692" t="str">
        <f>Table_Capacity_Community_frontsheet[[#This Row],[Name]]&amp;B692</f>
        <v>RedbridgeReablement &amp; Rehabilitation in a bedded setting</v>
      </c>
      <c r="B692" t="str">
        <f>VLOOKUP(Table_Capacity_Community_frontsheet[[#This Row],[Service Area]],PathwayLookup!E:F,2,0)</f>
        <v>Reablement &amp; Rehabilitation in a bedded setting</v>
      </c>
      <c r="C692" t="s">
        <v>261</v>
      </c>
      <c r="D692" t="s">
        <v>723</v>
      </c>
      <c r="E692">
        <v>0</v>
      </c>
      <c r="F692">
        <v>0</v>
      </c>
      <c r="G692">
        <v>0</v>
      </c>
      <c r="H692">
        <v>0</v>
      </c>
      <c r="I692">
        <v>0</v>
      </c>
      <c r="J692">
        <v>0</v>
      </c>
      <c r="K692">
        <v>0</v>
      </c>
      <c r="L692">
        <v>0</v>
      </c>
      <c r="M692">
        <v>0</v>
      </c>
      <c r="N692">
        <v>0</v>
      </c>
      <c r="O692">
        <v>0</v>
      </c>
      <c r="P692">
        <v>0</v>
      </c>
      <c r="Q692">
        <v>1</v>
      </c>
      <c r="V692"/>
      <c r="W692"/>
      <c r="X692"/>
    </row>
    <row r="693" spans="1:24" x14ac:dyDescent="0.3">
      <c r="A693" t="str">
        <f>Table_Capacity_Community_frontsheet[[#This Row],[Name]]&amp;B693</f>
        <v>RedbridgeReablement &amp; Rehabilitation in a bedded setting</v>
      </c>
      <c r="B693" t="str">
        <f>VLOOKUP(Table_Capacity_Community_frontsheet[[#This Row],[Service Area]],PathwayLookup!E:F,2,0)</f>
        <v>Reablement &amp; Rehabilitation in a bedded setting</v>
      </c>
      <c r="C693" t="s">
        <v>261</v>
      </c>
      <c r="D693" t="s">
        <v>725</v>
      </c>
      <c r="E693">
        <v>1.6</v>
      </c>
      <c r="F693">
        <v>1.5</v>
      </c>
      <c r="G693">
        <v>1.5</v>
      </c>
      <c r="H693">
        <v>1.5</v>
      </c>
      <c r="I693">
        <v>1.5</v>
      </c>
      <c r="J693">
        <v>1.5</v>
      </c>
      <c r="K693">
        <v>1.5</v>
      </c>
      <c r="L693">
        <v>1.6</v>
      </c>
      <c r="M693">
        <v>1.6</v>
      </c>
      <c r="N693">
        <v>1.6</v>
      </c>
      <c r="O693">
        <v>1.6</v>
      </c>
      <c r="P693">
        <v>1.6</v>
      </c>
      <c r="Q693">
        <v>1</v>
      </c>
      <c r="V693"/>
      <c r="W693"/>
      <c r="X693"/>
    </row>
    <row r="694" spans="1:24" x14ac:dyDescent="0.3">
      <c r="A694" t="str">
        <f>Table_Capacity_Community_frontsheet[[#This Row],[Name]]&amp;B694</f>
        <v>RedbridgeOther short-term social care</v>
      </c>
      <c r="B694" t="str">
        <f>VLOOKUP(Table_Capacity_Community_frontsheet[[#This Row],[Service Area]],PathwayLookup!E:F,2,0)</f>
        <v>Other short-term social care</v>
      </c>
      <c r="C694" t="s">
        <v>261</v>
      </c>
      <c r="D694" t="s">
        <v>708</v>
      </c>
      <c r="E694">
        <v>0</v>
      </c>
      <c r="G694">
        <v>0</v>
      </c>
      <c r="H694">
        <v>0</v>
      </c>
      <c r="I694">
        <v>0</v>
      </c>
      <c r="J694">
        <v>0</v>
      </c>
      <c r="K694">
        <v>0</v>
      </c>
      <c r="L694">
        <v>0</v>
      </c>
      <c r="M694">
        <v>0</v>
      </c>
      <c r="N694">
        <v>0</v>
      </c>
      <c r="O694">
        <v>0</v>
      </c>
      <c r="P694">
        <v>0</v>
      </c>
      <c r="Q694">
        <v>0</v>
      </c>
      <c r="R694">
        <v>0</v>
      </c>
      <c r="S694">
        <v>0</v>
      </c>
      <c r="V694"/>
      <c r="W694"/>
      <c r="X694"/>
    </row>
    <row r="695" spans="1:24" x14ac:dyDescent="0.3">
      <c r="A695" t="str">
        <f>Table_Capacity_Community_frontsheet[[#This Row],[Name]]&amp;B695</f>
        <v>Redcar and ClevelandSocial support (including VCS)</v>
      </c>
      <c r="B695" t="str">
        <f>VLOOKUP(Table_Capacity_Community_frontsheet[[#This Row],[Service Area]],PathwayLookup!E:F,2,0)</f>
        <v>Social support (including VCS)</v>
      </c>
      <c r="C695" t="s">
        <v>263</v>
      </c>
      <c r="D695" t="s">
        <v>704</v>
      </c>
      <c r="E695">
        <v>0</v>
      </c>
      <c r="F695">
        <v>0</v>
      </c>
      <c r="G695">
        <v>0</v>
      </c>
      <c r="H695">
        <v>0</v>
      </c>
      <c r="I695">
        <v>0</v>
      </c>
      <c r="J695">
        <v>0</v>
      </c>
      <c r="K695">
        <v>0</v>
      </c>
      <c r="L695">
        <v>0</v>
      </c>
      <c r="M695">
        <v>0</v>
      </c>
      <c r="N695">
        <v>0</v>
      </c>
      <c r="O695">
        <v>0</v>
      </c>
      <c r="P695">
        <v>0</v>
      </c>
      <c r="Q695">
        <v>0</v>
      </c>
      <c r="R695">
        <v>0</v>
      </c>
      <c r="S695">
        <v>0</v>
      </c>
      <c r="V695"/>
      <c r="W695"/>
      <c r="X695"/>
    </row>
    <row r="696" spans="1:24" x14ac:dyDescent="0.3">
      <c r="A696" t="str">
        <f>Table_Capacity_Community_frontsheet[[#This Row],[Name]]&amp;B696</f>
        <v>Redcar and ClevelandUrgent Community Response</v>
      </c>
      <c r="B696" t="str">
        <f>VLOOKUP(Table_Capacity_Community_frontsheet[[#This Row],[Service Area]],PathwayLookup!E:F,2,0)</f>
        <v>Urgent Community Response</v>
      </c>
      <c r="C696" t="s">
        <v>263</v>
      </c>
      <c r="D696" t="s">
        <v>705</v>
      </c>
      <c r="E696">
        <v>254</v>
      </c>
      <c r="F696">
        <v>254</v>
      </c>
      <c r="G696">
        <v>254</v>
      </c>
      <c r="H696">
        <v>267</v>
      </c>
      <c r="I696">
        <v>267</v>
      </c>
      <c r="J696">
        <v>267</v>
      </c>
      <c r="K696">
        <v>280</v>
      </c>
      <c r="L696">
        <v>280</v>
      </c>
      <c r="M696">
        <v>280</v>
      </c>
      <c r="N696">
        <v>280</v>
      </c>
      <c r="O696">
        <v>280</v>
      </c>
      <c r="P696">
        <v>280</v>
      </c>
      <c r="Q696">
        <v>1</v>
      </c>
      <c r="R696">
        <v>0</v>
      </c>
      <c r="S696">
        <v>0</v>
      </c>
      <c r="V696"/>
      <c r="W696"/>
      <c r="X696"/>
    </row>
    <row r="697" spans="1:24" x14ac:dyDescent="0.3">
      <c r="A697" t="str">
        <f>Table_Capacity_Community_frontsheet[[#This Row],[Name]]&amp;B697</f>
        <v>Redcar and ClevelandReablement &amp; Rehabilitation at home</v>
      </c>
      <c r="B697" t="str">
        <f>VLOOKUP(Table_Capacity_Community_frontsheet[[#This Row],[Service Area]],PathwayLookup!E:F,2,0)</f>
        <v>Reablement &amp; Rehabilitation at home</v>
      </c>
      <c r="C697" t="s">
        <v>263</v>
      </c>
      <c r="D697" t="s">
        <v>727</v>
      </c>
      <c r="E697">
        <v>7</v>
      </c>
      <c r="F697">
        <v>7</v>
      </c>
      <c r="G697">
        <v>7</v>
      </c>
      <c r="H697">
        <v>7</v>
      </c>
      <c r="I697">
        <v>7</v>
      </c>
      <c r="J697">
        <v>7</v>
      </c>
      <c r="K697">
        <v>7</v>
      </c>
      <c r="L697">
        <v>7</v>
      </c>
      <c r="M697">
        <v>7</v>
      </c>
      <c r="N697">
        <v>7</v>
      </c>
      <c r="O697">
        <v>7</v>
      </c>
      <c r="P697">
        <v>7</v>
      </c>
      <c r="Q697">
        <v>0</v>
      </c>
      <c r="R697">
        <v>1</v>
      </c>
      <c r="S697">
        <v>0</v>
      </c>
      <c r="V697"/>
      <c r="W697"/>
      <c r="X697"/>
    </row>
    <row r="698" spans="1:24" x14ac:dyDescent="0.3">
      <c r="A698" t="str">
        <f>Table_Capacity_Community_frontsheet[[#This Row],[Name]]&amp;B698</f>
        <v>Redcar and ClevelandReablement &amp; Rehabilitation at home</v>
      </c>
      <c r="B698" t="str">
        <f>VLOOKUP(Table_Capacity_Community_frontsheet[[#This Row],[Service Area]],PathwayLookup!E:F,2,0)</f>
        <v>Reablement &amp; Rehabilitation at home</v>
      </c>
      <c r="C698" t="s">
        <v>263</v>
      </c>
      <c r="D698" t="s">
        <v>729</v>
      </c>
      <c r="E698">
        <v>2</v>
      </c>
      <c r="F698">
        <v>2</v>
      </c>
      <c r="G698">
        <v>2</v>
      </c>
      <c r="H698">
        <v>2</v>
      </c>
      <c r="I698">
        <v>2</v>
      </c>
      <c r="J698">
        <v>2</v>
      </c>
      <c r="K698">
        <v>2</v>
      </c>
      <c r="L698">
        <v>2</v>
      </c>
      <c r="M698">
        <v>2</v>
      </c>
      <c r="N698">
        <v>2</v>
      </c>
      <c r="O698">
        <v>2</v>
      </c>
      <c r="P698">
        <v>3</v>
      </c>
      <c r="Q698">
        <v>1</v>
      </c>
      <c r="R698">
        <v>0</v>
      </c>
      <c r="S698">
        <v>0</v>
      </c>
      <c r="V698"/>
      <c r="W698"/>
      <c r="X698"/>
    </row>
    <row r="699" spans="1:24" x14ac:dyDescent="0.3">
      <c r="A699" t="str">
        <f>Table_Capacity_Community_frontsheet[[#This Row],[Name]]&amp;B699</f>
        <v>Redcar and ClevelandReablement &amp; Rehabilitation in a bedded setting</v>
      </c>
      <c r="B699" t="str">
        <f>VLOOKUP(Table_Capacity_Community_frontsheet[[#This Row],[Service Area]],PathwayLookup!E:F,2,0)</f>
        <v>Reablement &amp; Rehabilitation in a bedded setting</v>
      </c>
      <c r="C699" t="s">
        <v>263</v>
      </c>
      <c r="D699" t="s">
        <v>723</v>
      </c>
      <c r="E699">
        <v>6</v>
      </c>
      <c r="F699">
        <v>6</v>
      </c>
      <c r="G699">
        <v>6</v>
      </c>
      <c r="H699">
        <v>6</v>
      </c>
      <c r="I699">
        <v>6</v>
      </c>
      <c r="J699">
        <v>6</v>
      </c>
      <c r="K699">
        <v>6</v>
      </c>
      <c r="L699">
        <v>6</v>
      </c>
      <c r="M699">
        <v>6</v>
      </c>
      <c r="N699">
        <v>6</v>
      </c>
      <c r="O699">
        <v>6</v>
      </c>
      <c r="P699">
        <v>6</v>
      </c>
      <c r="Q699">
        <v>0</v>
      </c>
      <c r="R699">
        <v>1</v>
      </c>
      <c r="S699">
        <v>0</v>
      </c>
      <c r="V699"/>
      <c r="W699"/>
      <c r="X699"/>
    </row>
    <row r="700" spans="1:24" x14ac:dyDescent="0.3">
      <c r="A700" t="str">
        <f>Table_Capacity_Community_frontsheet[[#This Row],[Name]]&amp;B700</f>
        <v>Redcar and ClevelandReablement &amp; Rehabilitation in a bedded setting</v>
      </c>
      <c r="B700" t="str">
        <f>VLOOKUP(Table_Capacity_Community_frontsheet[[#This Row],[Service Area]],PathwayLookup!E:F,2,0)</f>
        <v>Reablement &amp; Rehabilitation in a bedded setting</v>
      </c>
      <c r="C700" t="s">
        <v>263</v>
      </c>
      <c r="D700" t="s">
        <v>725</v>
      </c>
      <c r="E700">
        <v>0</v>
      </c>
      <c r="F700">
        <v>0</v>
      </c>
      <c r="G700">
        <v>0</v>
      </c>
      <c r="H700">
        <v>0</v>
      </c>
      <c r="I700">
        <v>0</v>
      </c>
      <c r="J700">
        <v>0</v>
      </c>
      <c r="K700">
        <v>0</v>
      </c>
      <c r="L700">
        <v>0</v>
      </c>
      <c r="M700">
        <v>0</v>
      </c>
      <c r="N700">
        <v>0</v>
      </c>
      <c r="O700">
        <v>0</v>
      </c>
      <c r="P700">
        <v>0</v>
      </c>
      <c r="Q700">
        <v>0</v>
      </c>
      <c r="R700">
        <v>0</v>
      </c>
      <c r="S700">
        <v>0</v>
      </c>
      <c r="V700"/>
      <c r="W700"/>
      <c r="X700"/>
    </row>
    <row r="701" spans="1:24" x14ac:dyDescent="0.3">
      <c r="A701" t="str">
        <f>Table_Capacity_Community_frontsheet[[#This Row],[Name]]&amp;B701</f>
        <v>Redcar and ClevelandOther short-term social care</v>
      </c>
      <c r="B701" t="str">
        <f>VLOOKUP(Table_Capacity_Community_frontsheet[[#This Row],[Service Area]],PathwayLookup!E:F,2,0)</f>
        <v>Other short-term social care</v>
      </c>
      <c r="C701" t="s">
        <v>263</v>
      </c>
      <c r="D701" t="s">
        <v>708</v>
      </c>
      <c r="E701">
        <v>6</v>
      </c>
      <c r="F701">
        <v>6</v>
      </c>
      <c r="G701">
        <v>6</v>
      </c>
      <c r="H701">
        <v>6</v>
      </c>
      <c r="I701">
        <v>6</v>
      </c>
      <c r="J701">
        <v>6</v>
      </c>
      <c r="K701">
        <v>6</v>
      </c>
      <c r="L701">
        <v>6</v>
      </c>
      <c r="M701">
        <v>6</v>
      </c>
      <c r="N701">
        <v>6</v>
      </c>
      <c r="O701">
        <v>6</v>
      </c>
      <c r="P701">
        <v>6</v>
      </c>
      <c r="Q701">
        <v>0</v>
      </c>
      <c r="R701">
        <v>1</v>
      </c>
      <c r="S701">
        <v>0</v>
      </c>
      <c r="V701"/>
      <c r="W701"/>
      <c r="X701"/>
    </row>
    <row r="702" spans="1:24" x14ac:dyDescent="0.3">
      <c r="A702" t="str">
        <f>Table_Capacity_Community_frontsheet[[#This Row],[Name]]&amp;B702</f>
        <v>Richmond upon ThamesSocial support (including VCS)</v>
      </c>
      <c r="B702" t="str">
        <f>VLOOKUP(Table_Capacity_Community_frontsheet[[#This Row],[Service Area]],PathwayLookup!E:F,2,0)</f>
        <v>Social support (including VCS)</v>
      </c>
      <c r="C702" t="s">
        <v>265</v>
      </c>
      <c r="D702" t="s">
        <v>704</v>
      </c>
      <c r="E702">
        <v>35</v>
      </c>
      <c r="F702">
        <v>37</v>
      </c>
      <c r="G702">
        <v>35</v>
      </c>
      <c r="H702">
        <v>37</v>
      </c>
      <c r="I702">
        <v>37</v>
      </c>
      <c r="J702">
        <v>35</v>
      </c>
      <c r="K702">
        <v>37</v>
      </c>
      <c r="L702">
        <v>35</v>
      </c>
      <c r="M702">
        <v>37</v>
      </c>
      <c r="N702">
        <v>37</v>
      </c>
      <c r="O702">
        <v>34</v>
      </c>
      <c r="P702">
        <v>37</v>
      </c>
      <c r="Q702">
        <v>0</v>
      </c>
      <c r="R702">
        <v>1</v>
      </c>
      <c r="S702">
        <v>0</v>
      </c>
      <c r="V702"/>
      <c r="W702"/>
      <c r="X702"/>
    </row>
    <row r="703" spans="1:24" x14ac:dyDescent="0.3">
      <c r="A703" t="str">
        <f>Table_Capacity_Community_frontsheet[[#This Row],[Name]]&amp;B703</f>
        <v>Richmond upon ThamesUrgent Community Response</v>
      </c>
      <c r="B703" t="str">
        <f>VLOOKUP(Table_Capacity_Community_frontsheet[[#This Row],[Service Area]],PathwayLookup!E:F,2,0)</f>
        <v>Urgent Community Response</v>
      </c>
      <c r="C703" t="s">
        <v>265</v>
      </c>
      <c r="D703" t="s">
        <v>705</v>
      </c>
      <c r="E703">
        <v>51</v>
      </c>
      <c r="F703">
        <v>53</v>
      </c>
      <c r="G703">
        <v>51</v>
      </c>
      <c r="H703">
        <v>53</v>
      </c>
      <c r="I703">
        <v>53</v>
      </c>
      <c r="J703">
        <v>51</v>
      </c>
      <c r="K703">
        <v>53</v>
      </c>
      <c r="L703">
        <v>51</v>
      </c>
      <c r="M703">
        <v>53</v>
      </c>
      <c r="N703">
        <v>53</v>
      </c>
      <c r="O703">
        <v>50</v>
      </c>
      <c r="P703">
        <v>53</v>
      </c>
      <c r="Q703">
        <v>1</v>
      </c>
      <c r="R703">
        <v>0</v>
      </c>
      <c r="S703">
        <v>0</v>
      </c>
      <c r="V703"/>
      <c r="W703"/>
      <c r="X703"/>
    </row>
    <row r="704" spans="1:24" x14ac:dyDescent="0.3">
      <c r="A704" t="str">
        <f>Table_Capacity_Community_frontsheet[[#This Row],[Name]]&amp;B704</f>
        <v>Richmond upon ThamesReablement &amp; Rehabilitation at home</v>
      </c>
      <c r="B704" t="str">
        <f>VLOOKUP(Table_Capacity_Community_frontsheet[[#This Row],[Service Area]],PathwayLookup!E:F,2,0)</f>
        <v>Reablement &amp; Rehabilitation at home</v>
      </c>
      <c r="C704" t="s">
        <v>265</v>
      </c>
      <c r="D704" t="s">
        <v>727</v>
      </c>
      <c r="E704">
        <v>19</v>
      </c>
      <c r="F704">
        <v>19</v>
      </c>
      <c r="G704">
        <v>19</v>
      </c>
      <c r="H704">
        <v>19</v>
      </c>
      <c r="I704">
        <v>19</v>
      </c>
      <c r="J704">
        <v>19</v>
      </c>
      <c r="K704">
        <v>19</v>
      </c>
      <c r="L704">
        <v>19</v>
      </c>
      <c r="M704">
        <v>19</v>
      </c>
      <c r="N704">
        <v>19</v>
      </c>
      <c r="O704">
        <v>18</v>
      </c>
      <c r="P704">
        <v>19</v>
      </c>
      <c r="Q704">
        <v>0.15</v>
      </c>
      <c r="R704">
        <v>0.85</v>
      </c>
      <c r="S704">
        <v>0</v>
      </c>
      <c r="V704"/>
      <c r="W704"/>
      <c r="X704"/>
    </row>
    <row r="705" spans="1:24" x14ac:dyDescent="0.3">
      <c r="A705" t="str">
        <f>Table_Capacity_Community_frontsheet[[#This Row],[Name]]&amp;B705</f>
        <v>Richmond upon ThamesReablement &amp; Rehabilitation at home</v>
      </c>
      <c r="B705" t="str">
        <f>VLOOKUP(Table_Capacity_Community_frontsheet[[#This Row],[Service Area]],PathwayLookup!E:F,2,0)</f>
        <v>Reablement &amp; Rehabilitation at home</v>
      </c>
      <c r="C705" t="s">
        <v>265</v>
      </c>
      <c r="D705" t="s">
        <v>729</v>
      </c>
      <c r="E705">
        <v>185</v>
      </c>
      <c r="F705">
        <v>191</v>
      </c>
      <c r="G705">
        <v>185</v>
      </c>
      <c r="H705">
        <v>191</v>
      </c>
      <c r="I705">
        <v>191</v>
      </c>
      <c r="J705">
        <v>185</v>
      </c>
      <c r="K705">
        <v>191</v>
      </c>
      <c r="L705">
        <v>185</v>
      </c>
      <c r="M705">
        <v>191</v>
      </c>
      <c r="N705">
        <v>191</v>
      </c>
      <c r="O705">
        <v>179</v>
      </c>
      <c r="P705">
        <v>191</v>
      </c>
      <c r="Q705">
        <v>0.1</v>
      </c>
      <c r="R705">
        <v>0.9</v>
      </c>
      <c r="S705">
        <v>0</v>
      </c>
      <c r="V705"/>
      <c r="W705"/>
      <c r="X705"/>
    </row>
    <row r="706" spans="1:24" x14ac:dyDescent="0.3">
      <c r="A706" t="str">
        <f>Table_Capacity_Community_frontsheet[[#This Row],[Name]]&amp;B706</f>
        <v>Richmond upon ThamesReablement &amp; Rehabilitation in a bedded setting</v>
      </c>
      <c r="B706" t="str">
        <f>VLOOKUP(Table_Capacity_Community_frontsheet[[#This Row],[Service Area]],PathwayLookup!E:F,2,0)</f>
        <v>Reablement &amp; Rehabilitation in a bedded setting</v>
      </c>
      <c r="C706" t="s">
        <v>265</v>
      </c>
      <c r="D706" t="s">
        <v>723</v>
      </c>
      <c r="E706">
        <v>0</v>
      </c>
      <c r="F706">
        <v>0</v>
      </c>
      <c r="G706">
        <v>0</v>
      </c>
      <c r="H706">
        <v>0</v>
      </c>
      <c r="I706">
        <v>0</v>
      </c>
      <c r="J706">
        <v>0</v>
      </c>
      <c r="K706">
        <v>0</v>
      </c>
      <c r="L706">
        <v>0</v>
      </c>
      <c r="M706">
        <v>0</v>
      </c>
      <c r="N706">
        <v>0</v>
      </c>
      <c r="O706">
        <v>0</v>
      </c>
      <c r="P706">
        <v>0</v>
      </c>
      <c r="Q706">
        <v>0</v>
      </c>
      <c r="R706">
        <v>0</v>
      </c>
      <c r="S706">
        <v>0</v>
      </c>
      <c r="V706"/>
      <c r="W706"/>
      <c r="X706"/>
    </row>
    <row r="707" spans="1:24" x14ac:dyDescent="0.3">
      <c r="A707" t="str">
        <f>Table_Capacity_Community_frontsheet[[#This Row],[Name]]&amp;B707</f>
        <v>Richmond upon ThamesReablement &amp; Rehabilitation in a bedded setting</v>
      </c>
      <c r="B707" t="str">
        <f>VLOOKUP(Table_Capacity_Community_frontsheet[[#This Row],[Service Area]],PathwayLookup!E:F,2,0)</f>
        <v>Reablement &amp; Rehabilitation in a bedded setting</v>
      </c>
      <c r="C707" t="s">
        <v>265</v>
      </c>
      <c r="D707" t="s">
        <v>725</v>
      </c>
      <c r="E707">
        <v>1</v>
      </c>
      <c r="F707">
        <v>1</v>
      </c>
      <c r="G707">
        <v>1</v>
      </c>
      <c r="H707">
        <v>1</v>
      </c>
      <c r="I707">
        <v>1</v>
      </c>
      <c r="J707">
        <v>1</v>
      </c>
      <c r="K707">
        <v>1</v>
      </c>
      <c r="L707">
        <v>1</v>
      </c>
      <c r="M707">
        <v>1</v>
      </c>
      <c r="N707">
        <v>1</v>
      </c>
      <c r="O707">
        <v>1</v>
      </c>
      <c r="P707">
        <v>1</v>
      </c>
      <c r="Q707">
        <v>0.95</v>
      </c>
      <c r="R707">
        <v>0.05</v>
      </c>
      <c r="S707">
        <v>0</v>
      </c>
      <c r="V707"/>
      <c r="W707"/>
      <c r="X707"/>
    </row>
    <row r="708" spans="1:24" x14ac:dyDescent="0.3">
      <c r="A708" t="str">
        <f>Table_Capacity_Community_frontsheet[[#This Row],[Name]]&amp;B708</f>
        <v>Richmond upon ThamesOther short-term social care</v>
      </c>
      <c r="B708" t="str">
        <f>VLOOKUP(Table_Capacity_Community_frontsheet[[#This Row],[Service Area]],PathwayLookup!E:F,2,0)</f>
        <v>Other short-term social care</v>
      </c>
      <c r="C708" t="s">
        <v>265</v>
      </c>
      <c r="D708" t="s">
        <v>708</v>
      </c>
      <c r="E708">
        <v>4</v>
      </c>
      <c r="F708">
        <v>5</v>
      </c>
      <c r="G708">
        <v>4</v>
      </c>
      <c r="H708">
        <v>5</v>
      </c>
      <c r="I708">
        <v>5</v>
      </c>
      <c r="J708">
        <v>4</v>
      </c>
      <c r="K708">
        <v>5</v>
      </c>
      <c r="L708">
        <v>4</v>
      </c>
      <c r="M708">
        <v>5</v>
      </c>
      <c r="N708">
        <v>5</v>
      </c>
      <c r="O708">
        <v>4</v>
      </c>
      <c r="P708">
        <v>5</v>
      </c>
      <c r="Q708">
        <v>0</v>
      </c>
      <c r="R708">
        <v>1</v>
      </c>
      <c r="S708">
        <v>0</v>
      </c>
      <c r="V708"/>
      <c r="W708"/>
      <c r="X708"/>
    </row>
    <row r="709" spans="1:24" x14ac:dyDescent="0.3">
      <c r="A709" t="str">
        <f>Table_Capacity_Community_frontsheet[[#This Row],[Name]]&amp;B709</f>
        <v>RochdaleSocial support (including VCS)</v>
      </c>
      <c r="B709" t="str">
        <f>VLOOKUP(Table_Capacity_Community_frontsheet[[#This Row],[Service Area]],PathwayLookup!E:F,2,0)</f>
        <v>Social support (including VCS)</v>
      </c>
      <c r="C709" t="s">
        <v>267</v>
      </c>
      <c r="D709" t="s">
        <v>704</v>
      </c>
      <c r="E709">
        <v>25</v>
      </c>
      <c r="F709">
        <v>25</v>
      </c>
      <c r="G709">
        <v>25</v>
      </c>
      <c r="H709">
        <v>25</v>
      </c>
      <c r="I709">
        <v>25</v>
      </c>
      <c r="J709">
        <v>25</v>
      </c>
      <c r="K709">
        <v>25</v>
      </c>
      <c r="L709">
        <v>25</v>
      </c>
      <c r="M709">
        <v>25</v>
      </c>
      <c r="N709">
        <v>25</v>
      </c>
      <c r="O709">
        <v>25</v>
      </c>
      <c r="P709">
        <v>25</v>
      </c>
      <c r="Q709">
        <v>0</v>
      </c>
      <c r="R709">
        <v>1</v>
      </c>
      <c r="S709">
        <v>0</v>
      </c>
      <c r="V709"/>
      <c r="W709"/>
      <c r="X709"/>
    </row>
    <row r="710" spans="1:24" x14ac:dyDescent="0.3">
      <c r="A710" t="str">
        <f>Table_Capacity_Community_frontsheet[[#This Row],[Name]]&amp;B710</f>
        <v>RochdaleUrgent Community Response</v>
      </c>
      <c r="B710" t="str">
        <f>VLOOKUP(Table_Capacity_Community_frontsheet[[#This Row],[Service Area]],PathwayLookup!E:F,2,0)</f>
        <v>Urgent Community Response</v>
      </c>
      <c r="C710" t="s">
        <v>267</v>
      </c>
      <c r="D710" t="s">
        <v>705</v>
      </c>
      <c r="E710">
        <v>214</v>
      </c>
      <c r="F710">
        <v>214</v>
      </c>
      <c r="G710">
        <v>214</v>
      </c>
      <c r="H710">
        <v>214</v>
      </c>
      <c r="I710">
        <v>214</v>
      </c>
      <c r="J710">
        <v>214</v>
      </c>
      <c r="K710">
        <v>214</v>
      </c>
      <c r="L710">
        <v>214</v>
      </c>
      <c r="M710">
        <v>214</v>
      </c>
      <c r="N710">
        <v>214</v>
      </c>
      <c r="O710">
        <v>214</v>
      </c>
      <c r="P710">
        <v>214</v>
      </c>
      <c r="Q710">
        <v>1</v>
      </c>
      <c r="R710">
        <v>0</v>
      </c>
      <c r="S710">
        <v>0</v>
      </c>
      <c r="V710"/>
      <c r="W710"/>
      <c r="X710"/>
    </row>
    <row r="711" spans="1:24" x14ac:dyDescent="0.3">
      <c r="A711" t="str">
        <f>Table_Capacity_Community_frontsheet[[#This Row],[Name]]&amp;B711</f>
        <v>RochdaleReablement &amp; Rehabilitation at home</v>
      </c>
      <c r="B711" t="str">
        <f>VLOOKUP(Table_Capacity_Community_frontsheet[[#This Row],[Service Area]],PathwayLookup!E:F,2,0)</f>
        <v>Reablement &amp; Rehabilitation at home</v>
      </c>
      <c r="C711" t="s">
        <v>267</v>
      </c>
      <c r="D711" t="s">
        <v>727</v>
      </c>
      <c r="E711">
        <v>25</v>
      </c>
      <c r="F711">
        <v>25</v>
      </c>
      <c r="G711">
        <v>25</v>
      </c>
      <c r="H711">
        <v>25</v>
      </c>
      <c r="I711">
        <v>25</v>
      </c>
      <c r="J711">
        <v>25</v>
      </c>
      <c r="K711">
        <v>25</v>
      </c>
      <c r="L711">
        <v>25</v>
      </c>
      <c r="M711">
        <v>25</v>
      </c>
      <c r="N711">
        <v>25</v>
      </c>
      <c r="O711">
        <v>25</v>
      </c>
      <c r="P711">
        <v>25</v>
      </c>
      <c r="Q711">
        <v>0</v>
      </c>
      <c r="R711">
        <v>1</v>
      </c>
      <c r="S711">
        <v>0</v>
      </c>
      <c r="V711"/>
      <c r="W711"/>
      <c r="X711"/>
    </row>
    <row r="712" spans="1:24" x14ac:dyDescent="0.3">
      <c r="A712" t="str">
        <f>Table_Capacity_Community_frontsheet[[#This Row],[Name]]&amp;B712</f>
        <v>RochdaleReablement &amp; Rehabilitation at home</v>
      </c>
      <c r="B712" t="str">
        <f>VLOOKUP(Table_Capacity_Community_frontsheet[[#This Row],[Service Area]],PathwayLookup!E:F,2,0)</f>
        <v>Reablement &amp; Rehabilitation at home</v>
      </c>
      <c r="C712" t="s">
        <v>267</v>
      </c>
      <c r="D712" t="s">
        <v>729</v>
      </c>
      <c r="E712">
        <v>0</v>
      </c>
      <c r="F712">
        <v>0</v>
      </c>
      <c r="G712">
        <v>0</v>
      </c>
      <c r="H712">
        <v>0</v>
      </c>
      <c r="I712">
        <v>0</v>
      </c>
      <c r="J712">
        <v>0</v>
      </c>
      <c r="K712">
        <v>0</v>
      </c>
      <c r="L712">
        <v>0</v>
      </c>
      <c r="M712">
        <v>0</v>
      </c>
      <c r="N712">
        <v>0</v>
      </c>
      <c r="O712">
        <v>0</v>
      </c>
      <c r="P712">
        <v>0</v>
      </c>
      <c r="Q712">
        <v>0</v>
      </c>
      <c r="R712">
        <v>0</v>
      </c>
      <c r="S712">
        <v>0</v>
      </c>
      <c r="V712"/>
      <c r="W712"/>
      <c r="X712"/>
    </row>
    <row r="713" spans="1:24" x14ac:dyDescent="0.3">
      <c r="A713" t="str">
        <f>Table_Capacity_Community_frontsheet[[#This Row],[Name]]&amp;B713</f>
        <v>RochdaleReablement &amp; Rehabilitation in a bedded setting</v>
      </c>
      <c r="B713" t="str">
        <f>VLOOKUP(Table_Capacity_Community_frontsheet[[#This Row],[Service Area]],PathwayLookup!E:F,2,0)</f>
        <v>Reablement &amp; Rehabilitation in a bedded setting</v>
      </c>
      <c r="C713" t="s">
        <v>267</v>
      </c>
      <c r="D713" t="s">
        <v>723</v>
      </c>
      <c r="E713">
        <v>10</v>
      </c>
      <c r="F713">
        <v>10</v>
      </c>
      <c r="G713">
        <v>10</v>
      </c>
      <c r="H713">
        <v>10</v>
      </c>
      <c r="I713">
        <v>10</v>
      </c>
      <c r="J713">
        <v>10</v>
      </c>
      <c r="K713">
        <v>10</v>
      </c>
      <c r="L713">
        <v>10</v>
      </c>
      <c r="M713">
        <v>10</v>
      </c>
      <c r="N713">
        <v>10</v>
      </c>
      <c r="O713">
        <v>10</v>
      </c>
      <c r="P713">
        <v>10</v>
      </c>
      <c r="Q713">
        <v>1</v>
      </c>
      <c r="R713">
        <v>0</v>
      </c>
      <c r="S713">
        <v>0</v>
      </c>
      <c r="V713"/>
      <c r="W713"/>
      <c r="X713"/>
    </row>
    <row r="714" spans="1:24" x14ac:dyDescent="0.3">
      <c r="A714" t="str">
        <f>Table_Capacity_Community_frontsheet[[#This Row],[Name]]&amp;B714</f>
        <v>RochdaleReablement &amp; Rehabilitation in a bedded setting</v>
      </c>
      <c r="B714" t="str">
        <f>VLOOKUP(Table_Capacity_Community_frontsheet[[#This Row],[Service Area]],PathwayLookup!E:F,2,0)</f>
        <v>Reablement &amp; Rehabilitation in a bedded setting</v>
      </c>
      <c r="C714" t="s">
        <v>267</v>
      </c>
      <c r="D714" t="s">
        <v>725</v>
      </c>
      <c r="E714">
        <v>0</v>
      </c>
      <c r="F714">
        <v>0</v>
      </c>
      <c r="G714">
        <v>0</v>
      </c>
      <c r="H714">
        <v>0</v>
      </c>
      <c r="I714">
        <v>0</v>
      </c>
      <c r="J714">
        <v>0</v>
      </c>
      <c r="K714">
        <v>0</v>
      </c>
      <c r="L714">
        <v>0</v>
      </c>
      <c r="M714">
        <v>0</v>
      </c>
      <c r="N714">
        <v>0</v>
      </c>
      <c r="O714">
        <v>0</v>
      </c>
      <c r="P714">
        <v>0</v>
      </c>
      <c r="Q714">
        <v>0</v>
      </c>
      <c r="R714">
        <v>0</v>
      </c>
      <c r="S714">
        <v>0</v>
      </c>
      <c r="V714"/>
      <c r="W714"/>
      <c r="X714"/>
    </row>
    <row r="715" spans="1:24" x14ac:dyDescent="0.3">
      <c r="A715" t="str">
        <f>Table_Capacity_Community_frontsheet[[#This Row],[Name]]&amp;B715</f>
        <v>RochdaleOther short-term social care</v>
      </c>
      <c r="B715" t="str">
        <f>VLOOKUP(Table_Capacity_Community_frontsheet[[#This Row],[Service Area]],PathwayLookup!E:F,2,0)</f>
        <v>Other short-term social care</v>
      </c>
      <c r="C715" t="s">
        <v>267</v>
      </c>
      <c r="D715" t="s">
        <v>708</v>
      </c>
      <c r="E715">
        <v>5</v>
      </c>
      <c r="F715">
        <v>5</v>
      </c>
      <c r="G715">
        <v>5</v>
      </c>
      <c r="H715">
        <v>5</v>
      </c>
      <c r="I715">
        <v>5</v>
      </c>
      <c r="J715">
        <v>5</v>
      </c>
      <c r="K715">
        <v>5</v>
      </c>
      <c r="L715">
        <v>5</v>
      </c>
      <c r="M715">
        <v>5</v>
      </c>
      <c r="N715">
        <v>5</v>
      </c>
      <c r="O715">
        <v>5</v>
      </c>
      <c r="P715">
        <v>5</v>
      </c>
      <c r="Q715">
        <v>0</v>
      </c>
      <c r="R715">
        <v>1</v>
      </c>
      <c r="S715">
        <v>0</v>
      </c>
      <c r="V715"/>
      <c r="W715"/>
      <c r="X715"/>
    </row>
    <row r="716" spans="1:24" x14ac:dyDescent="0.3">
      <c r="A716" t="str">
        <f>Table_Capacity_Community_frontsheet[[#This Row],[Name]]&amp;B716</f>
        <v>RotherhamSocial support (including VCS)</v>
      </c>
      <c r="B716" t="str">
        <f>VLOOKUP(Table_Capacity_Community_frontsheet[[#This Row],[Service Area]],PathwayLookup!E:F,2,0)</f>
        <v>Social support (including VCS)</v>
      </c>
      <c r="C716" t="s">
        <v>269</v>
      </c>
      <c r="D716" t="s">
        <v>704</v>
      </c>
      <c r="E716">
        <v>3</v>
      </c>
      <c r="F716">
        <v>3</v>
      </c>
      <c r="G716">
        <v>3</v>
      </c>
      <c r="H716">
        <v>3</v>
      </c>
      <c r="I716">
        <v>3</v>
      </c>
      <c r="J716">
        <v>3</v>
      </c>
      <c r="K716">
        <v>3</v>
      </c>
      <c r="L716">
        <v>3</v>
      </c>
      <c r="M716">
        <v>3</v>
      </c>
      <c r="N716">
        <v>3</v>
      </c>
      <c r="O716">
        <v>3</v>
      </c>
      <c r="P716">
        <v>3</v>
      </c>
      <c r="Q716">
        <v>1</v>
      </c>
      <c r="R716">
        <v>0</v>
      </c>
      <c r="S716">
        <v>0</v>
      </c>
      <c r="V716"/>
      <c r="W716"/>
      <c r="X716"/>
    </row>
    <row r="717" spans="1:24" x14ac:dyDescent="0.3">
      <c r="A717" t="str">
        <f>Table_Capacity_Community_frontsheet[[#This Row],[Name]]&amp;B717</f>
        <v>RotherhamUrgent Community Response</v>
      </c>
      <c r="B717" t="str">
        <f>VLOOKUP(Table_Capacity_Community_frontsheet[[#This Row],[Service Area]],PathwayLookup!E:F,2,0)</f>
        <v>Urgent Community Response</v>
      </c>
      <c r="C717" t="s">
        <v>269</v>
      </c>
      <c r="D717" t="s">
        <v>705</v>
      </c>
      <c r="E717">
        <v>509</v>
      </c>
      <c r="F717">
        <v>508</v>
      </c>
      <c r="G717">
        <v>491</v>
      </c>
      <c r="H717">
        <v>493</v>
      </c>
      <c r="I717">
        <v>509</v>
      </c>
      <c r="J717">
        <v>492</v>
      </c>
      <c r="K717">
        <v>507</v>
      </c>
      <c r="L717">
        <v>492</v>
      </c>
      <c r="M717">
        <v>509</v>
      </c>
      <c r="N717">
        <v>508</v>
      </c>
      <c r="O717">
        <v>473</v>
      </c>
      <c r="P717">
        <v>509</v>
      </c>
      <c r="Q717">
        <v>1</v>
      </c>
      <c r="R717">
        <v>0</v>
      </c>
      <c r="S717">
        <v>0</v>
      </c>
      <c r="V717"/>
      <c r="W717"/>
      <c r="X717"/>
    </row>
    <row r="718" spans="1:24" x14ac:dyDescent="0.3">
      <c r="A718" t="str">
        <f>Table_Capacity_Community_frontsheet[[#This Row],[Name]]&amp;B718</f>
        <v>RotherhamReablement &amp; Rehabilitation at home</v>
      </c>
      <c r="B718" t="str">
        <f>VLOOKUP(Table_Capacity_Community_frontsheet[[#This Row],[Service Area]],PathwayLookup!E:F,2,0)</f>
        <v>Reablement &amp; Rehabilitation at home</v>
      </c>
      <c r="C718" t="s">
        <v>269</v>
      </c>
      <c r="D718" t="s">
        <v>727</v>
      </c>
      <c r="E718">
        <v>19</v>
      </c>
      <c r="F718">
        <v>22</v>
      </c>
      <c r="G718">
        <v>19</v>
      </c>
      <c r="H718">
        <v>20</v>
      </c>
      <c r="I718">
        <v>14</v>
      </c>
      <c r="J718">
        <v>20</v>
      </c>
      <c r="K718">
        <v>12</v>
      </c>
      <c r="L718">
        <v>17</v>
      </c>
      <c r="M718">
        <v>19</v>
      </c>
      <c r="N718">
        <v>20</v>
      </c>
      <c r="O718">
        <v>40</v>
      </c>
      <c r="P718">
        <v>36</v>
      </c>
      <c r="Q718">
        <v>0</v>
      </c>
      <c r="R718">
        <v>0</v>
      </c>
      <c r="S718">
        <v>1</v>
      </c>
      <c r="V718"/>
      <c r="W718"/>
      <c r="X718"/>
    </row>
    <row r="719" spans="1:24" x14ac:dyDescent="0.3">
      <c r="A719" t="str">
        <f>Table_Capacity_Community_frontsheet[[#This Row],[Name]]&amp;B719</f>
        <v>RotherhamReablement &amp; Rehabilitation at home</v>
      </c>
      <c r="B719" t="str">
        <f>VLOOKUP(Table_Capacity_Community_frontsheet[[#This Row],[Service Area]],PathwayLookup!E:F,2,0)</f>
        <v>Reablement &amp; Rehabilitation at home</v>
      </c>
      <c r="C719" t="s">
        <v>269</v>
      </c>
      <c r="D719" t="s">
        <v>729</v>
      </c>
      <c r="E719">
        <v>509</v>
      </c>
      <c r="F719">
        <v>509</v>
      </c>
      <c r="G719">
        <v>489</v>
      </c>
      <c r="H719">
        <v>509</v>
      </c>
      <c r="I719">
        <v>509</v>
      </c>
      <c r="J719">
        <v>493</v>
      </c>
      <c r="K719">
        <v>509</v>
      </c>
      <c r="L719">
        <v>493</v>
      </c>
      <c r="M719">
        <v>509</v>
      </c>
      <c r="N719">
        <v>509</v>
      </c>
      <c r="O719">
        <v>453</v>
      </c>
      <c r="P719">
        <v>509</v>
      </c>
      <c r="Q719">
        <v>1</v>
      </c>
      <c r="R719">
        <v>0</v>
      </c>
      <c r="S719">
        <v>0</v>
      </c>
      <c r="V719"/>
      <c r="W719"/>
      <c r="X719"/>
    </row>
    <row r="720" spans="1:24" x14ac:dyDescent="0.3">
      <c r="A720" t="str">
        <f>Table_Capacity_Community_frontsheet[[#This Row],[Name]]&amp;B720</f>
        <v>RotherhamReablement &amp; Rehabilitation in a bedded setting</v>
      </c>
      <c r="B720" t="str">
        <f>VLOOKUP(Table_Capacity_Community_frontsheet[[#This Row],[Service Area]],PathwayLookup!E:F,2,0)</f>
        <v>Reablement &amp; Rehabilitation in a bedded setting</v>
      </c>
      <c r="C720" t="s">
        <v>269</v>
      </c>
      <c r="D720" t="s">
        <v>723</v>
      </c>
      <c r="E720">
        <v>3</v>
      </c>
      <c r="F720">
        <v>8</v>
      </c>
      <c r="G720">
        <v>4</v>
      </c>
      <c r="H720">
        <v>5</v>
      </c>
      <c r="I720">
        <v>8</v>
      </c>
      <c r="J720">
        <v>11</v>
      </c>
      <c r="K720">
        <v>14</v>
      </c>
      <c r="L720">
        <v>9</v>
      </c>
      <c r="M720">
        <v>4</v>
      </c>
      <c r="N720">
        <v>10</v>
      </c>
      <c r="O720">
        <v>14</v>
      </c>
      <c r="P720">
        <v>11</v>
      </c>
      <c r="Q720">
        <v>0</v>
      </c>
      <c r="R720">
        <v>0</v>
      </c>
      <c r="S720">
        <v>1</v>
      </c>
      <c r="V720"/>
      <c r="W720"/>
      <c r="X720"/>
    </row>
    <row r="721" spans="1:24" x14ac:dyDescent="0.3">
      <c r="A721" t="str">
        <f>Table_Capacity_Community_frontsheet[[#This Row],[Name]]&amp;B721</f>
        <v>RotherhamReablement &amp; Rehabilitation in a bedded setting</v>
      </c>
      <c r="B721" t="str">
        <f>VLOOKUP(Table_Capacity_Community_frontsheet[[#This Row],[Service Area]],PathwayLookup!E:F,2,0)</f>
        <v>Reablement &amp; Rehabilitation in a bedded setting</v>
      </c>
      <c r="C721" t="s">
        <v>269</v>
      </c>
      <c r="D721" t="s">
        <v>725</v>
      </c>
      <c r="E721">
        <v>0</v>
      </c>
      <c r="F721">
        <v>0</v>
      </c>
      <c r="G721">
        <v>0</v>
      </c>
      <c r="H721">
        <v>0</v>
      </c>
      <c r="I721">
        <v>0</v>
      </c>
      <c r="J721">
        <v>0</v>
      </c>
      <c r="K721">
        <v>0</v>
      </c>
      <c r="L721">
        <v>0</v>
      </c>
      <c r="M721">
        <v>0</v>
      </c>
      <c r="N721">
        <v>0</v>
      </c>
      <c r="O721">
        <v>0</v>
      </c>
      <c r="P721">
        <v>0</v>
      </c>
      <c r="Q721">
        <v>1</v>
      </c>
      <c r="R721">
        <v>0</v>
      </c>
      <c r="S721">
        <v>0</v>
      </c>
      <c r="V721"/>
      <c r="W721"/>
      <c r="X721"/>
    </row>
    <row r="722" spans="1:24" x14ac:dyDescent="0.3">
      <c r="A722" t="str">
        <f>Table_Capacity_Community_frontsheet[[#This Row],[Name]]&amp;B722</f>
        <v>RotherhamOther short-term social care</v>
      </c>
      <c r="B722" t="str">
        <f>VLOOKUP(Table_Capacity_Community_frontsheet[[#This Row],[Service Area]],PathwayLookup!E:F,2,0)</f>
        <v>Other short-term social care</v>
      </c>
      <c r="C722" t="s">
        <v>269</v>
      </c>
      <c r="D722" t="s">
        <v>708</v>
      </c>
      <c r="E722">
        <v>0</v>
      </c>
      <c r="F722">
        <v>0</v>
      </c>
      <c r="G722">
        <v>0</v>
      </c>
      <c r="H722">
        <v>0</v>
      </c>
      <c r="I722">
        <v>0</v>
      </c>
      <c r="J722">
        <v>0</v>
      </c>
      <c r="K722">
        <v>0</v>
      </c>
      <c r="L722">
        <v>0</v>
      </c>
      <c r="M722">
        <v>0</v>
      </c>
      <c r="N722">
        <v>0</v>
      </c>
      <c r="O722">
        <v>0</v>
      </c>
      <c r="P722">
        <v>0</v>
      </c>
      <c r="Q722">
        <v>1</v>
      </c>
      <c r="R722">
        <v>0</v>
      </c>
      <c r="S722">
        <v>0</v>
      </c>
      <c r="V722"/>
      <c r="W722"/>
      <c r="X722"/>
    </row>
    <row r="723" spans="1:24" x14ac:dyDescent="0.3">
      <c r="A723" t="str">
        <f>Table_Capacity_Community_frontsheet[[#This Row],[Name]]&amp;B723</f>
        <v>RutlandSocial support (including VCS)</v>
      </c>
      <c r="B723" t="str">
        <f>VLOOKUP(Table_Capacity_Community_frontsheet[[#This Row],[Service Area]],PathwayLookup!E:F,2,0)</f>
        <v>Social support (including VCS)</v>
      </c>
      <c r="C723" t="s">
        <v>271</v>
      </c>
      <c r="D723" t="s">
        <v>704</v>
      </c>
      <c r="E723">
        <v>0</v>
      </c>
      <c r="F723">
        <v>0</v>
      </c>
      <c r="G723">
        <v>0</v>
      </c>
      <c r="H723">
        <v>0</v>
      </c>
      <c r="I723">
        <v>0</v>
      </c>
      <c r="J723">
        <v>0</v>
      </c>
      <c r="K723">
        <v>0</v>
      </c>
      <c r="L723">
        <v>0</v>
      </c>
      <c r="M723">
        <v>0</v>
      </c>
      <c r="N723">
        <v>0</v>
      </c>
      <c r="O723">
        <v>0</v>
      </c>
      <c r="P723">
        <v>0</v>
      </c>
      <c r="Q723">
        <v>0</v>
      </c>
      <c r="R723">
        <v>0</v>
      </c>
      <c r="S723">
        <v>0</v>
      </c>
      <c r="V723"/>
      <c r="W723"/>
      <c r="X723"/>
    </row>
    <row r="724" spans="1:24" x14ac:dyDescent="0.3">
      <c r="A724" t="str">
        <f>Table_Capacity_Community_frontsheet[[#This Row],[Name]]&amp;B724</f>
        <v>RutlandUrgent Community Response</v>
      </c>
      <c r="B724" t="str">
        <f>VLOOKUP(Table_Capacity_Community_frontsheet[[#This Row],[Service Area]],PathwayLookup!E:F,2,0)</f>
        <v>Urgent Community Response</v>
      </c>
      <c r="C724" t="s">
        <v>271</v>
      </c>
      <c r="D724" t="s">
        <v>705</v>
      </c>
      <c r="E724">
        <v>26</v>
      </c>
      <c r="F724">
        <v>26</v>
      </c>
      <c r="G724">
        <v>26</v>
      </c>
      <c r="H724">
        <v>26</v>
      </c>
      <c r="I724">
        <v>26</v>
      </c>
      <c r="J724">
        <v>26</v>
      </c>
      <c r="K724">
        <v>26</v>
      </c>
      <c r="L724">
        <v>26</v>
      </c>
      <c r="M724">
        <v>26</v>
      </c>
      <c r="N724">
        <v>26</v>
      </c>
      <c r="O724">
        <v>26</v>
      </c>
      <c r="P724">
        <v>26</v>
      </c>
      <c r="Q724">
        <v>1</v>
      </c>
      <c r="R724">
        <v>0</v>
      </c>
      <c r="S724">
        <v>0</v>
      </c>
      <c r="V724"/>
      <c r="W724"/>
      <c r="X724"/>
    </row>
    <row r="725" spans="1:24" x14ac:dyDescent="0.3">
      <c r="A725" t="str">
        <f>Table_Capacity_Community_frontsheet[[#This Row],[Name]]&amp;B725</f>
        <v>RutlandReablement &amp; Rehabilitation at home</v>
      </c>
      <c r="B725" t="str">
        <f>VLOOKUP(Table_Capacity_Community_frontsheet[[#This Row],[Service Area]],PathwayLookup!E:F,2,0)</f>
        <v>Reablement &amp; Rehabilitation at home</v>
      </c>
      <c r="C725" t="s">
        <v>271</v>
      </c>
      <c r="D725" t="s">
        <v>727</v>
      </c>
      <c r="E725">
        <v>3</v>
      </c>
      <c r="F725">
        <v>3</v>
      </c>
      <c r="G725">
        <v>3</v>
      </c>
      <c r="H725">
        <v>3</v>
      </c>
      <c r="I725">
        <v>3</v>
      </c>
      <c r="J725">
        <v>3</v>
      </c>
      <c r="K725">
        <v>3</v>
      </c>
      <c r="L725">
        <v>3</v>
      </c>
      <c r="M725">
        <v>3</v>
      </c>
      <c r="N725">
        <v>3</v>
      </c>
      <c r="O725">
        <v>3</v>
      </c>
      <c r="P725">
        <v>3</v>
      </c>
      <c r="Q725">
        <v>0</v>
      </c>
      <c r="R725">
        <v>1</v>
      </c>
      <c r="S725">
        <v>0</v>
      </c>
      <c r="V725"/>
      <c r="W725"/>
      <c r="X725"/>
    </row>
    <row r="726" spans="1:24" x14ac:dyDescent="0.3">
      <c r="A726" t="str">
        <f>Table_Capacity_Community_frontsheet[[#This Row],[Name]]&amp;B726</f>
        <v>RutlandReablement &amp; Rehabilitation at home</v>
      </c>
      <c r="B726" t="str">
        <f>VLOOKUP(Table_Capacity_Community_frontsheet[[#This Row],[Service Area]],PathwayLookup!E:F,2,0)</f>
        <v>Reablement &amp; Rehabilitation at home</v>
      </c>
      <c r="C726" t="s">
        <v>271</v>
      </c>
      <c r="D726" t="s">
        <v>729</v>
      </c>
      <c r="E726">
        <v>51</v>
      </c>
      <c r="F726">
        <v>51</v>
      </c>
      <c r="G726">
        <v>51</v>
      </c>
      <c r="H726">
        <v>51</v>
      </c>
      <c r="I726">
        <v>51</v>
      </c>
      <c r="J726">
        <v>51</v>
      </c>
      <c r="K726">
        <v>51</v>
      </c>
      <c r="L726">
        <v>51</v>
      </c>
      <c r="M726">
        <v>51</v>
      </c>
      <c r="N726">
        <v>51</v>
      </c>
      <c r="O726">
        <v>51</v>
      </c>
      <c r="P726">
        <v>51</v>
      </c>
      <c r="Q726">
        <v>1</v>
      </c>
      <c r="R726">
        <v>0</v>
      </c>
      <c r="S726">
        <v>0</v>
      </c>
      <c r="V726"/>
      <c r="W726"/>
      <c r="X726"/>
    </row>
    <row r="727" spans="1:24" x14ac:dyDescent="0.3">
      <c r="A727" t="str">
        <f>Table_Capacity_Community_frontsheet[[#This Row],[Name]]&amp;B727</f>
        <v>RutlandReablement &amp; Rehabilitation in a bedded setting</v>
      </c>
      <c r="B727" t="str">
        <f>VLOOKUP(Table_Capacity_Community_frontsheet[[#This Row],[Service Area]],PathwayLookup!E:F,2,0)</f>
        <v>Reablement &amp; Rehabilitation in a bedded setting</v>
      </c>
      <c r="C727" t="s">
        <v>271</v>
      </c>
      <c r="D727" t="s">
        <v>723</v>
      </c>
      <c r="E727">
        <v>0</v>
      </c>
      <c r="F727">
        <v>0</v>
      </c>
      <c r="G727">
        <v>0</v>
      </c>
      <c r="H727">
        <v>0</v>
      </c>
      <c r="I727">
        <v>0</v>
      </c>
      <c r="J727">
        <v>0</v>
      </c>
      <c r="K727">
        <v>0</v>
      </c>
      <c r="L727">
        <v>0</v>
      </c>
      <c r="M727">
        <v>0</v>
      </c>
      <c r="N727">
        <v>0</v>
      </c>
      <c r="O727">
        <v>0</v>
      </c>
      <c r="P727">
        <v>0</v>
      </c>
      <c r="Q727">
        <v>0</v>
      </c>
      <c r="R727">
        <v>0</v>
      </c>
      <c r="S727">
        <v>0</v>
      </c>
      <c r="V727"/>
      <c r="W727"/>
      <c r="X727"/>
    </row>
    <row r="728" spans="1:24" x14ac:dyDescent="0.3">
      <c r="A728" t="str">
        <f>Table_Capacity_Community_frontsheet[[#This Row],[Name]]&amp;B728</f>
        <v>RutlandReablement &amp; Rehabilitation in a bedded setting</v>
      </c>
      <c r="B728" t="str">
        <f>VLOOKUP(Table_Capacity_Community_frontsheet[[#This Row],[Service Area]],PathwayLookup!E:F,2,0)</f>
        <v>Reablement &amp; Rehabilitation in a bedded setting</v>
      </c>
      <c r="C728" t="s">
        <v>271</v>
      </c>
      <c r="D728" t="s">
        <v>725</v>
      </c>
      <c r="E728">
        <v>0</v>
      </c>
      <c r="F728">
        <v>0</v>
      </c>
      <c r="G728">
        <v>0</v>
      </c>
      <c r="H728">
        <v>0</v>
      </c>
      <c r="I728">
        <v>0</v>
      </c>
      <c r="J728">
        <v>0</v>
      </c>
      <c r="K728">
        <v>0</v>
      </c>
      <c r="L728">
        <v>0</v>
      </c>
      <c r="M728">
        <v>0</v>
      </c>
      <c r="N728">
        <v>0</v>
      </c>
      <c r="O728">
        <v>0</v>
      </c>
      <c r="P728">
        <v>0</v>
      </c>
      <c r="Q728">
        <v>0</v>
      </c>
      <c r="R728">
        <v>0</v>
      </c>
      <c r="S728">
        <v>0</v>
      </c>
      <c r="V728"/>
      <c r="W728"/>
      <c r="X728"/>
    </row>
    <row r="729" spans="1:24" x14ac:dyDescent="0.3">
      <c r="A729" t="str">
        <f>Table_Capacity_Community_frontsheet[[#This Row],[Name]]&amp;B729</f>
        <v>RutlandOther short-term social care</v>
      </c>
      <c r="B729" t="str">
        <f>VLOOKUP(Table_Capacity_Community_frontsheet[[#This Row],[Service Area]],PathwayLookup!E:F,2,0)</f>
        <v>Other short-term social care</v>
      </c>
      <c r="C729" t="s">
        <v>271</v>
      </c>
      <c r="D729" t="s">
        <v>708</v>
      </c>
      <c r="E729">
        <v>0</v>
      </c>
      <c r="F729">
        <v>0</v>
      </c>
      <c r="G729">
        <v>0</v>
      </c>
      <c r="H729">
        <v>0</v>
      </c>
      <c r="I729">
        <v>0</v>
      </c>
      <c r="J729">
        <v>0</v>
      </c>
      <c r="K729">
        <v>0</v>
      </c>
      <c r="L729">
        <v>0</v>
      </c>
      <c r="M729">
        <v>0</v>
      </c>
      <c r="N729">
        <v>0</v>
      </c>
      <c r="O729">
        <v>0</v>
      </c>
      <c r="P729">
        <v>0</v>
      </c>
      <c r="Q729">
        <v>0</v>
      </c>
      <c r="R729">
        <v>1</v>
      </c>
      <c r="S729">
        <v>0</v>
      </c>
      <c r="V729"/>
      <c r="W729"/>
      <c r="X729"/>
    </row>
    <row r="730" spans="1:24" x14ac:dyDescent="0.3">
      <c r="A730" t="str">
        <f>Table_Capacity_Community_frontsheet[[#This Row],[Name]]&amp;B730</f>
        <v>SalfordSocial support (including VCS)</v>
      </c>
      <c r="B730" t="str">
        <f>VLOOKUP(Table_Capacity_Community_frontsheet[[#This Row],[Service Area]],PathwayLookup!E:F,2,0)</f>
        <v>Social support (including VCS)</v>
      </c>
      <c r="C730" t="s">
        <v>273</v>
      </c>
      <c r="D730" t="s">
        <v>704</v>
      </c>
      <c r="E730">
        <v>0</v>
      </c>
      <c r="F730">
        <v>0</v>
      </c>
      <c r="G730">
        <v>0</v>
      </c>
      <c r="H730">
        <v>0</v>
      </c>
      <c r="I730">
        <v>0</v>
      </c>
      <c r="J730">
        <v>0</v>
      </c>
      <c r="K730">
        <v>0</v>
      </c>
      <c r="L730">
        <v>0</v>
      </c>
      <c r="M730">
        <v>0</v>
      </c>
      <c r="N730">
        <v>0</v>
      </c>
      <c r="O730">
        <v>0</v>
      </c>
      <c r="P730">
        <v>0</v>
      </c>
      <c r="S730">
        <v>1</v>
      </c>
      <c r="V730"/>
      <c r="W730"/>
      <c r="X730"/>
    </row>
    <row r="731" spans="1:24" x14ac:dyDescent="0.3">
      <c r="A731" t="str">
        <f>Table_Capacity_Community_frontsheet[[#This Row],[Name]]&amp;B731</f>
        <v>SalfordUrgent Community Response</v>
      </c>
      <c r="B731" t="str">
        <f>VLOOKUP(Table_Capacity_Community_frontsheet[[#This Row],[Service Area]],PathwayLookup!E:F,2,0)</f>
        <v>Urgent Community Response</v>
      </c>
      <c r="C731" t="s">
        <v>273</v>
      </c>
      <c r="D731" t="s">
        <v>705</v>
      </c>
      <c r="E731">
        <v>215</v>
      </c>
      <c r="F731">
        <v>215</v>
      </c>
      <c r="G731">
        <v>215</v>
      </c>
      <c r="H731">
        <v>215</v>
      </c>
      <c r="I731">
        <v>215</v>
      </c>
      <c r="J731">
        <v>215</v>
      </c>
      <c r="K731">
        <v>215</v>
      </c>
      <c r="L731">
        <v>215</v>
      </c>
      <c r="M731">
        <v>215</v>
      </c>
      <c r="N731">
        <v>215</v>
      </c>
      <c r="O731">
        <v>215</v>
      </c>
      <c r="P731">
        <v>215</v>
      </c>
      <c r="S731">
        <v>1</v>
      </c>
      <c r="V731"/>
      <c r="W731"/>
      <c r="X731"/>
    </row>
    <row r="732" spans="1:24" x14ac:dyDescent="0.3">
      <c r="A732" t="str">
        <f>Table_Capacity_Community_frontsheet[[#This Row],[Name]]&amp;B732</f>
        <v>SalfordReablement &amp; Rehabilitation at home</v>
      </c>
      <c r="B732" t="str">
        <f>VLOOKUP(Table_Capacity_Community_frontsheet[[#This Row],[Service Area]],PathwayLookup!E:F,2,0)</f>
        <v>Reablement &amp; Rehabilitation at home</v>
      </c>
      <c r="C732" t="s">
        <v>273</v>
      </c>
      <c r="D732" t="s">
        <v>727</v>
      </c>
      <c r="E732">
        <v>75</v>
      </c>
      <c r="F732">
        <v>75</v>
      </c>
      <c r="G732">
        <v>75</v>
      </c>
      <c r="H732">
        <v>75</v>
      </c>
      <c r="I732">
        <v>75</v>
      </c>
      <c r="J732">
        <v>75</v>
      </c>
      <c r="K732">
        <v>75</v>
      </c>
      <c r="L732">
        <v>75</v>
      </c>
      <c r="M732">
        <v>75</v>
      </c>
      <c r="N732">
        <v>75</v>
      </c>
      <c r="O732">
        <v>75</v>
      </c>
      <c r="P732">
        <v>75</v>
      </c>
      <c r="S732">
        <v>1</v>
      </c>
      <c r="V732"/>
      <c r="W732"/>
      <c r="X732"/>
    </row>
    <row r="733" spans="1:24" x14ac:dyDescent="0.3">
      <c r="A733" t="str">
        <f>Table_Capacity_Community_frontsheet[[#This Row],[Name]]&amp;B733</f>
        <v>SalfordReablement &amp; Rehabilitation at home</v>
      </c>
      <c r="B733" t="str">
        <f>VLOOKUP(Table_Capacity_Community_frontsheet[[#This Row],[Service Area]],PathwayLookup!E:F,2,0)</f>
        <v>Reablement &amp; Rehabilitation at home</v>
      </c>
      <c r="C733" t="s">
        <v>273</v>
      </c>
      <c r="D733" t="s">
        <v>729</v>
      </c>
      <c r="E733">
        <v>210</v>
      </c>
      <c r="F733">
        <v>210</v>
      </c>
      <c r="G733">
        <v>210</v>
      </c>
      <c r="H733">
        <v>210</v>
      </c>
      <c r="I733">
        <v>210</v>
      </c>
      <c r="J733">
        <v>210</v>
      </c>
      <c r="K733">
        <v>210</v>
      </c>
      <c r="L733">
        <v>210</v>
      </c>
      <c r="M733">
        <v>210</v>
      </c>
      <c r="N733">
        <v>210</v>
      </c>
      <c r="O733">
        <v>210</v>
      </c>
      <c r="P733">
        <v>210</v>
      </c>
      <c r="S733">
        <v>1</v>
      </c>
      <c r="V733"/>
      <c r="W733"/>
      <c r="X733"/>
    </row>
    <row r="734" spans="1:24" x14ac:dyDescent="0.3">
      <c r="A734" t="str">
        <f>Table_Capacity_Community_frontsheet[[#This Row],[Name]]&amp;B734</f>
        <v>SalfordReablement &amp; Rehabilitation in a bedded setting</v>
      </c>
      <c r="B734" t="str">
        <f>VLOOKUP(Table_Capacity_Community_frontsheet[[#This Row],[Service Area]],PathwayLookup!E:F,2,0)</f>
        <v>Reablement &amp; Rehabilitation in a bedded setting</v>
      </c>
      <c r="C734" t="s">
        <v>273</v>
      </c>
      <c r="D734" t="s">
        <v>723</v>
      </c>
      <c r="E734">
        <v>0</v>
      </c>
      <c r="F734">
        <v>0</v>
      </c>
      <c r="G734">
        <v>0</v>
      </c>
      <c r="H734">
        <v>0</v>
      </c>
      <c r="I734">
        <v>0</v>
      </c>
      <c r="J734">
        <v>0</v>
      </c>
      <c r="K734">
        <v>0</v>
      </c>
      <c r="L734">
        <v>0</v>
      </c>
      <c r="M734">
        <v>0</v>
      </c>
      <c r="N734">
        <v>0</v>
      </c>
      <c r="O734">
        <v>0</v>
      </c>
      <c r="P734">
        <v>0</v>
      </c>
      <c r="S734">
        <v>1</v>
      </c>
      <c r="V734"/>
      <c r="W734"/>
      <c r="X734"/>
    </row>
    <row r="735" spans="1:24" x14ac:dyDescent="0.3">
      <c r="A735" t="str">
        <f>Table_Capacity_Community_frontsheet[[#This Row],[Name]]&amp;B735</f>
        <v>SalfordReablement &amp; Rehabilitation in a bedded setting</v>
      </c>
      <c r="B735" t="str">
        <f>VLOOKUP(Table_Capacity_Community_frontsheet[[#This Row],[Service Area]],PathwayLookup!E:F,2,0)</f>
        <v>Reablement &amp; Rehabilitation in a bedded setting</v>
      </c>
      <c r="C735" t="s">
        <v>273</v>
      </c>
      <c r="D735" t="s">
        <v>725</v>
      </c>
      <c r="E735">
        <v>60</v>
      </c>
      <c r="F735">
        <v>62</v>
      </c>
      <c r="G735">
        <v>60</v>
      </c>
      <c r="H735">
        <v>62</v>
      </c>
      <c r="I735">
        <v>62</v>
      </c>
      <c r="J735">
        <v>60</v>
      </c>
      <c r="K735">
        <v>64</v>
      </c>
      <c r="L735">
        <v>64</v>
      </c>
      <c r="M735">
        <v>68</v>
      </c>
      <c r="N735">
        <v>69</v>
      </c>
      <c r="O735">
        <v>67</v>
      </c>
      <c r="P735">
        <v>73</v>
      </c>
      <c r="S735">
        <v>1</v>
      </c>
      <c r="V735"/>
      <c r="W735"/>
      <c r="X735"/>
    </row>
    <row r="736" spans="1:24" x14ac:dyDescent="0.3">
      <c r="A736" t="str">
        <f>Table_Capacity_Community_frontsheet[[#This Row],[Name]]&amp;B736</f>
        <v>SalfordOther short-term social care</v>
      </c>
      <c r="B736" t="str">
        <f>VLOOKUP(Table_Capacity_Community_frontsheet[[#This Row],[Service Area]],PathwayLookup!E:F,2,0)</f>
        <v>Other short-term social care</v>
      </c>
      <c r="C736" t="s">
        <v>273</v>
      </c>
      <c r="D736" t="s">
        <v>708</v>
      </c>
      <c r="E736">
        <v>0</v>
      </c>
      <c r="F736">
        <v>0</v>
      </c>
      <c r="G736">
        <v>0</v>
      </c>
      <c r="H736">
        <v>0</v>
      </c>
      <c r="I736">
        <v>0</v>
      </c>
      <c r="J736">
        <v>0</v>
      </c>
      <c r="K736">
        <v>0</v>
      </c>
      <c r="L736">
        <v>0</v>
      </c>
      <c r="M736">
        <v>0</v>
      </c>
      <c r="N736">
        <v>0</v>
      </c>
      <c r="O736">
        <v>0</v>
      </c>
      <c r="P736">
        <v>0</v>
      </c>
      <c r="S736">
        <v>1</v>
      </c>
      <c r="V736"/>
      <c r="W736"/>
      <c r="X736"/>
    </row>
    <row r="737" spans="1:24" x14ac:dyDescent="0.3">
      <c r="A737" t="str">
        <f>Table_Capacity_Community_frontsheet[[#This Row],[Name]]&amp;B737</f>
        <v>SandwellSocial support (including VCS)</v>
      </c>
      <c r="B737" t="str">
        <f>VLOOKUP(Table_Capacity_Community_frontsheet[[#This Row],[Service Area]],PathwayLookup!E:F,2,0)</f>
        <v>Social support (including VCS)</v>
      </c>
      <c r="C737" t="s">
        <v>275</v>
      </c>
      <c r="D737" t="s">
        <v>704</v>
      </c>
      <c r="V737"/>
      <c r="W737"/>
      <c r="X737"/>
    </row>
    <row r="738" spans="1:24" x14ac:dyDescent="0.3">
      <c r="A738" t="str">
        <f>Table_Capacity_Community_frontsheet[[#This Row],[Name]]&amp;B738</f>
        <v>SandwellUrgent Community Response</v>
      </c>
      <c r="B738" t="str">
        <f>VLOOKUP(Table_Capacity_Community_frontsheet[[#This Row],[Service Area]],PathwayLookup!E:F,2,0)</f>
        <v>Urgent Community Response</v>
      </c>
      <c r="C738" t="s">
        <v>275</v>
      </c>
      <c r="D738" t="s">
        <v>705</v>
      </c>
      <c r="E738">
        <v>1500</v>
      </c>
      <c r="F738">
        <v>1500</v>
      </c>
      <c r="G738">
        <v>1500</v>
      </c>
      <c r="H738">
        <v>1500</v>
      </c>
      <c r="I738">
        <v>1500</v>
      </c>
      <c r="J738">
        <v>1500</v>
      </c>
      <c r="K738">
        <v>1500</v>
      </c>
      <c r="L738">
        <v>1500</v>
      </c>
      <c r="M738">
        <v>1500</v>
      </c>
      <c r="N738">
        <v>1500</v>
      </c>
      <c r="O738">
        <v>1400</v>
      </c>
      <c r="P738">
        <v>1500</v>
      </c>
      <c r="Q738">
        <v>1</v>
      </c>
      <c r="V738"/>
      <c r="W738"/>
      <c r="X738"/>
    </row>
    <row r="739" spans="1:24" x14ac:dyDescent="0.3">
      <c r="A739" t="str">
        <f>Table_Capacity_Community_frontsheet[[#This Row],[Name]]&amp;B739</f>
        <v>SandwellReablement &amp; Rehabilitation at home</v>
      </c>
      <c r="B739" t="str">
        <f>VLOOKUP(Table_Capacity_Community_frontsheet[[#This Row],[Service Area]],PathwayLookup!E:F,2,0)</f>
        <v>Reablement &amp; Rehabilitation at home</v>
      </c>
      <c r="C739" t="s">
        <v>275</v>
      </c>
      <c r="D739" t="s">
        <v>727</v>
      </c>
      <c r="V739"/>
      <c r="W739"/>
      <c r="X739"/>
    </row>
    <row r="740" spans="1:24" x14ac:dyDescent="0.3">
      <c r="A740" t="str">
        <f>Table_Capacity_Community_frontsheet[[#This Row],[Name]]&amp;B740</f>
        <v>SandwellReablement &amp; Rehabilitation at home</v>
      </c>
      <c r="B740" t="str">
        <f>VLOOKUP(Table_Capacity_Community_frontsheet[[#This Row],[Service Area]],PathwayLookup!E:F,2,0)</f>
        <v>Reablement &amp; Rehabilitation at home</v>
      </c>
      <c r="C740" t="s">
        <v>275</v>
      </c>
      <c r="D740" t="s">
        <v>729</v>
      </c>
      <c r="E740">
        <v>37</v>
      </c>
      <c r="F740">
        <v>37</v>
      </c>
      <c r="G740">
        <v>37</v>
      </c>
      <c r="H740">
        <v>37</v>
      </c>
      <c r="I740">
        <v>37</v>
      </c>
      <c r="J740">
        <v>37</v>
      </c>
      <c r="K740">
        <v>37</v>
      </c>
      <c r="L740">
        <v>37</v>
      </c>
      <c r="M740">
        <v>37</v>
      </c>
      <c r="N740">
        <v>37</v>
      </c>
      <c r="O740">
        <v>37</v>
      </c>
      <c r="P740">
        <v>37</v>
      </c>
      <c r="Q740">
        <v>1</v>
      </c>
      <c r="V740"/>
      <c r="W740"/>
      <c r="X740"/>
    </row>
    <row r="741" spans="1:24" x14ac:dyDescent="0.3">
      <c r="A741" t="str">
        <f>Table_Capacity_Community_frontsheet[[#This Row],[Name]]&amp;B741</f>
        <v>SandwellReablement &amp; Rehabilitation in a bedded setting</v>
      </c>
      <c r="B741" t="str">
        <f>VLOOKUP(Table_Capacity_Community_frontsheet[[#This Row],[Service Area]],PathwayLookup!E:F,2,0)</f>
        <v>Reablement &amp; Rehabilitation in a bedded setting</v>
      </c>
      <c r="C741" t="s">
        <v>275</v>
      </c>
      <c r="D741" t="s">
        <v>723</v>
      </c>
      <c r="V741"/>
      <c r="W741"/>
      <c r="X741"/>
    </row>
    <row r="742" spans="1:24" x14ac:dyDescent="0.3">
      <c r="A742" t="str">
        <f>Table_Capacity_Community_frontsheet[[#This Row],[Name]]&amp;B742</f>
        <v>SandwellReablement &amp; Rehabilitation in a bedded setting</v>
      </c>
      <c r="B742" t="str">
        <f>VLOOKUP(Table_Capacity_Community_frontsheet[[#This Row],[Service Area]],PathwayLookup!E:F,2,0)</f>
        <v>Reablement &amp; Rehabilitation in a bedded setting</v>
      </c>
      <c r="C742" t="s">
        <v>275</v>
      </c>
      <c r="D742" t="s">
        <v>725</v>
      </c>
      <c r="E742">
        <v>21</v>
      </c>
      <c r="F742">
        <v>22</v>
      </c>
      <c r="G742">
        <v>23</v>
      </c>
      <c r="H742">
        <v>22</v>
      </c>
      <c r="I742">
        <v>23</v>
      </c>
      <c r="J742">
        <v>17</v>
      </c>
      <c r="K742">
        <v>18</v>
      </c>
      <c r="L742">
        <v>16</v>
      </c>
      <c r="M742">
        <v>21</v>
      </c>
      <c r="N742">
        <v>24</v>
      </c>
      <c r="O742">
        <v>17</v>
      </c>
      <c r="P742">
        <v>25</v>
      </c>
      <c r="Q742">
        <v>1</v>
      </c>
      <c r="V742"/>
      <c r="W742"/>
      <c r="X742"/>
    </row>
    <row r="743" spans="1:24" x14ac:dyDescent="0.3">
      <c r="A743" t="str">
        <f>Table_Capacity_Community_frontsheet[[#This Row],[Name]]&amp;B743</f>
        <v>SandwellOther short-term social care</v>
      </c>
      <c r="B743" t="str">
        <f>VLOOKUP(Table_Capacity_Community_frontsheet[[#This Row],[Service Area]],PathwayLookup!E:F,2,0)</f>
        <v>Other short-term social care</v>
      </c>
      <c r="C743" t="s">
        <v>275</v>
      </c>
      <c r="D743" t="s">
        <v>708</v>
      </c>
      <c r="V743"/>
      <c r="W743"/>
      <c r="X743"/>
    </row>
    <row r="744" spans="1:24" x14ac:dyDescent="0.3">
      <c r="A744" t="str">
        <f>Table_Capacity_Community_frontsheet[[#This Row],[Name]]&amp;B744</f>
        <v>SeftonSocial support (including VCS)</v>
      </c>
      <c r="B744" t="str">
        <f>VLOOKUP(Table_Capacity_Community_frontsheet[[#This Row],[Service Area]],PathwayLookup!E:F,2,0)</f>
        <v>Social support (including VCS)</v>
      </c>
      <c r="C744" t="s">
        <v>277</v>
      </c>
      <c r="D744" t="s">
        <v>704</v>
      </c>
      <c r="E744">
        <v>407</v>
      </c>
      <c r="F744">
        <v>421</v>
      </c>
      <c r="G744">
        <v>407</v>
      </c>
      <c r="H744">
        <v>421</v>
      </c>
      <c r="I744">
        <v>421</v>
      </c>
      <c r="J744">
        <v>407</v>
      </c>
      <c r="K744">
        <v>421</v>
      </c>
      <c r="L744">
        <v>407</v>
      </c>
      <c r="M744">
        <v>421</v>
      </c>
      <c r="N744">
        <v>421</v>
      </c>
      <c r="O744">
        <v>380</v>
      </c>
      <c r="P744">
        <v>421</v>
      </c>
      <c r="Q744">
        <v>0.5</v>
      </c>
      <c r="R744">
        <v>0.5</v>
      </c>
      <c r="V744"/>
      <c r="W744"/>
      <c r="X744"/>
    </row>
    <row r="745" spans="1:24" x14ac:dyDescent="0.3">
      <c r="A745" t="str">
        <f>Table_Capacity_Community_frontsheet[[#This Row],[Name]]&amp;B745</f>
        <v>SeftonUrgent Community Response</v>
      </c>
      <c r="B745" t="str">
        <f>VLOOKUP(Table_Capacity_Community_frontsheet[[#This Row],[Service Area]],PathwayLookup!E:F,2,0)</f>
        <v>Urgent Community Response</v>
      </c>
      <c r="C745" t="s">
        <v>277</v>
      </c>
      <c r="D745" t="s">
        <v>705</v>
      </c>
      <c r="E745">
        <v>340</v>
      </c>
      <c r="F745">
        <v>316</v>
      </c>
      <c r="G745">
        <v>350</v>
      </c>
      <c r="H745">
        <v>251</v>
      </c>
      <c r="I745">
        <v>255</v>
      </c>
      <c r="J745">
        <v>261</v>
      </c>
      <c r="K745">
        <v>312</v>
      </c>
      <c r="L745">
        <v>285</v>
      </c>
      <c r="M745">
        <v>340</v>
      </c>
      <c r="N745">
        <v>350</v>
      </c>
      <c r="O745">
        <v>190</v>
      </c>
      <c r="P745">
        <v>231</v>
      </c>
      <c r="Q745">
        <v>1</v>
      </c>
      <c r="V745"/>
      <c r="W745"/>
      <c r="X745"/>
    </row>
    <row r="746" spans="1:24" x14ac:dyDescent="0.3">
      <c r="A746" t="str">
        <f>Table_Capacity_Community_frontsheet[[#This Row],[Name]]&amp;B746</f>
        <v>SeftonReablement &amp; Rehabilitation at home</v>
      </c>
      <c r="B746" t="str">
        <f>VLOOKUP(Table_Capacity_Community_frontsheet[[#This Row],[Service Area]],PathwayLookup!E:F,2,0)</f>
        <v>Reablement &amp; Rehabilitation at home</v>
      </c>
      <c r="C746" t="s">
        <v>277</v>
      </c>
      <c r="D746" t="s">
        <v>727</v>
      </c>
      <c r="E746">
        <v>61</v>
      </c>
      <c r="F746">
        <v>60</v>
      </c>
      <c r="G746">
        <v>60</v>
      </c>
      <c r="H746">
        <v>75</v>
      </c>
      <c r="I746">
        <v>58</v>
      </c>
      <c r="J746">
        <v>72</v>
      </c>
      <c r="K746">
        <v>67</v>
      </c>
      <c r="L746">
        <v>66</v>
      </c>
      <c r="M746">
        <v>50</v>
      </c>
      <c r="N746">
        <v>77</v>
      </c>
      <c r="O746">
        <v>75</v>
      </c>
      <c r="P746">
        <v>87</v>
      </c>
      <c r="Q746">
        <v>0.5</v>
      </c>
      <c r="R746">
        <v>0.5</v>
      </c>
      <c r="V746"/>
      <c r="W746"/>
      <c r="X746"/>
    </row>
    <row r="747" spans="1:24" x14ac:dyDescent="0.3">
      <c r="A747" t="str">
        <f>Table_Capacity_Community_frontsheet[[#This Row],[Name]]&amp;B747</f>
        <v>SeftonReablement &amp; Rehabilitation at home</v>
      </c>
      <c r="B747" t="str">
        <f>VLOOKUP(Table_Capacity_Community_frontsheet[[#This Row],[Service Area]],PathwayLookup!E:F,2,0)</f>
        <v>Reablement &amp; Rehabilitation at home</v>
      </c>
      <c r="C747" t="s">
        <v>277</v>
      </c>
      <c r="D747" t="s">
        <v>729</v>
      </c>
      <c r="E747">
        <v>122</v>
      </c>
      <c r="F747">
        <v>142</v>
      </c>
      <c r="G747">
        <v>174</v>
      </c>
      <c r="H747">
        <v>142</v>
      </c>
      <c r="I747">
        <v>123</v>
      </c>
      <c r="J747">
        <v>128</v>
      </c>
      <c r="K747">
        <v>137</v>
      </c>
      <c r="L747">
        <v>155</v>
      </c>
      <c r="M747">
        <v>168</v>
      </c>
      <c r="N747">
        <v>204</v>
      </c>
      <c r="O747">
        <v>181</v>
      </c>
      <c r="P747">
        <v>233</v>
      </c>
      <c r="Q747">
        <v>0.9</v>
      </c>
      <c r="R747">
        <v>0.1</v>
      </c>
      <c r="V747"/>
      <c r="W747"/>
      <c r="X747"/>
    </row>
    <row r="748" spans="1:24" x14ac:dyDescent="0.3">
      <c r="A748" t="str">
        <f>Table_Capacity_Community_frontsheet[[#This Row],[Name]]&amp;B748</f>
        <v>SeftonReablement &amp; Rehabilitation in a bedded setting</v>
      </c>
      <c r="B748" t="str">
        <f>VLOOKUP(Table_Capacity_Community_frontsheet[[#This Row],[Service Area]],PathwayLookup!E:F,2,0)</f>
        <v>Reablement &amp; Rehabilitation in a bedded setting</v>
      </c>
      <c r="C748" t="s">
        <v>277</v>
      </c>
      <c r="D748" t="s">
        <v>723</v>
      </c>
      <c r="E748">
        <v>71</v>
      </c>
      <c r="F748">
        <v>64</v>
      </c>
      <c r="G748">
        <v>69</v>
      </c>
      <c r="H748">
        <v>73</v>
      </c>
      <c r="I748">
        <v>64</v>
      </c>
      <c r="J748">
        <v>74</v>
      </c>
      <c r="K748">
        <v>65</v>
      </c>
      <c r="L748">
        <v>71</v>
      </c>
      <c r="M748">
        <v>46</v>
      </c>
      <c r="N748">
        <v>72</v>
      </c>
      <c r="O748">
        <v>69</v>
      </c>
      <c r="P748">
        <v>80</v>
      </c>
      <c r="Q748">
        <v>0.9</v>
      </c>
      <c r="R748">
        <v>0.1</v>
      </c>
      <c r="V748"/>
      <c r="W748"/>
      <c r="X748"/>
    </row>
    <row r="749" spans="1:24" x14ac:dyDescent="0.3">
      <c r="A749" t="str">
        <f>Table_Capacity_Community_frontsheet[[#This Row],[Name]]&amp;B749</f>
        <v>SeftonReablement &amp; Rehabilitation in a bedded setting</v>
      </c>
      <c r="B749" t="str">
        <f>VLOOKUP(Table_Capacity_Community_frontsheet[[#This Row],[Service Area]],PathwayLookup!E:F,2,0)</f>
        <v>Reablement &amp; Rehabilitation in a bedded setting</v>
      </c>
      <c r="C749" t="s">
        <v>277</v>
      </c>
      <c r="D749" t="s">
        <v>725</v>
      </c>
      <c r="E749">
        <v>9</v>
      </c>
      <c r="F749">
        <v>11</v>
      </c>
      <c r="G749">
        <v>8</v>
      </c>
      <c r="H749">
        <v>10</v>
      </c>
      <c r="I749">
        <v>5</v>
      </c>
      <c r="J749">
        <v>7</v>
      </c>
      <c r="K749">
        <v>7</v>
      </c>
      <c r="L749">
        <v>7</v>
      </c>
      <c r="M749">
        <v>8</v>
      </c>
      <c r="N749">
        <v>11</v>
      </c>
      <c r="O749">
        <v>11</v>
      </c>
      <c r="P749">
        <v>9</v>
      </c>
      <c r="Q749">
        <v>1</v>
      </c>
      <c r="V749"/>
      <c r="W749"/>
      <c r="X749"/>
    </row>
    <row r="750" spans="1:24" x14ac:dyDescent="0.3">
      <c r="A750" t="str">
        <f>Table_Capacity_Community_frontsheet[[#This Row],[Name]]&amp;B750</f>
        <v>SeftonOther short-term social care</v>
      </c>
      <c r="B750" t="str">
        <f>VLOOKUP(Table_Capacity_Community_frontsheet[[#This Row],[Service Area]],PathwayLookup!E:F,2,0)</f>
        <v>Other short-term social care</v>
      </c>
      <c r="C750" t="s">
        <v>277</v>
      </c>
      <c r="D750" t="s">
        <v>708</v>
      </c>
      <c r="E750">
        <v>23</v>
      </c>
      <c r="F750">
        <v>19</v>
      </c>
      <c r="G750">
        <v>30</v>
      </c>
      <c r="H750">
        <v>29</v>
      </c>
      <c r="I750">
        <v>30</v>
      </c>
      <c r="J750">
        <v>26</v>
      </c>
      <c r="K750">
        <v>29</v>
      </c>
      <c r="L750">
        <v>34</v>
      </c>
      <c r="M750">
        <v>31</v>
      </c>
      <c r="N750">
        <v>20</v>
      </c>
      <c r="O750">
        <v>29</v>
      </c>
      <c r="P750">
        <v>27</v>
      </c>
      <c r="Q750">
        <v>0.5</v>
      </c>
      <c r="R750">
        <v>0.5</v>
      </c>
      <c r="V750"/>
      <c r="W750"/>
      <c r="X750"/>
    </row>
    <row r="751" spans="1:24" x14ac:dyDescent="0.3">
      <c r="A751" t="str">
        <f>Table_Capacity_Community_frontsheet[[#This Row],[Name]]&amp;B751</f>
        <v>SheffieldSocial support (including VCS)</v>
      </c>
      <c r="B751" t="str">
        <f>VLOOKUP(Table_Capacity_Community_frontsheet[[#This Row],[Service Area]],PathwayLookup!E:F,2,0)</f>
        <v>Social support (including VCS)</v>
      </c>
      <c r="C751" t="s">
        <v>279</v>
      </c>
      <c r="D751" t="s">
        <v>704</v>
      </c>
      <c r="E751">
        <v>55</v>
      </c>
      <c r="F751">
        <v>55</v>
      </c>
      <c r="G751">
        <v>55</v>
      </c>
      <c r="H751">
        <v>55</v>
      </c>
      <c r="I751">
        <v>55</v>
      </c>
      <c r="J751">
        <v>55</v>
      </c>
      <c r="K751">
        <v>55</v>
      </c>
      <c r="L751">
        <v>55</v>
      </c>
      <c r="M751">
        <v>55</v>
      </c>
      <c r="N751">
        <v>55</v>
      </c>
      <c r="O751">
        <v>55</v>
      </c>
      <c r="P751">
        <v>55</v>
      </c>
      <c r="Q751">
        <v>1</v>
      </c>
      <c r="V751"/>
      <c r="W751"/>
      <c r="X751"/>
    </row>
    <row r="752" spans="1:24" x14ac:dyDescent="0.3">
      <c r="A752" t="str">
        <f>Table_Capacity_Community_frontsheet[[#This Row],[Name]]&amp;B752</f>
        <v>SheffieldUrgent Community Response</v>
      </c>
      <c r="B752" t="str">
        <f>VLOOKUP(Table_Capacity_Community_frontsheet[[#This Row],[Service Area]],PathwayLookup!E:F,2,0)</f>
        <v>Urgent Community Response</v>
      </c>
      <c r="C752" t="s">
        <v>279</v>
      </c>
      <c r="D752" t="s">
        <v>705</v>
      </c>
      <c r="E752">
        <v>57</v>
      </c>
      <c r="F752">
        <v>57</v>
      </c>
      <c r="G752">
        <v>57</v>
      </c>
      <c r="H752">
        <v>57</v>
      </c>
      <c r="I752">
        <v>57</v>
      </c>
      <c r="J752">
        <v>57</v>
      </c>
      <c r="K752">
        <v>57</v>
      </c>
      <c r="L752">
        <v>57</v>
      </c>
      <c r="M752">
        <v>57</v>
      </c>
      <c r="N752">
        <v>57</v>
      </c>
      <c r="O752">
        <v>57</v>
      </c>
      <c r="P752">
        <v>57</v>
      </c>
      <c r="R752">
        <v>1</v>
      </c>
      <c r="V752"/>
      <c r="W752"/>
      <c r="X752"/>
    </row>
    <row r="753" spans="1:24" x14ac:dyDescent="0.3">
      <c r="A753" t="str">
        <f>Table_Capacity_Community_frontsheet[[#This Row],[Name]]&amp;B753</f>
        <v>SheffieldReablement &amp; Rehabilitation at home</v>
      </c>
      <c r="B753" t="str">
        <f>VLOOKUP(Table_Capacity_Community_frontsheet[[#This Row],[Service Area]],PathwayLookup!E:F,2,0)</f>
        <v>Reablement &amp; Rehabilitation at home</v>
      </c>
      <c r="C753" t="s">
        <v>279</v>
      </c>
      <c r="D753" t="s">
        <v>727</v>
      </c>
      <c r="E753">
        <v>0</v>
      </c>
      <c r="F753">
        <v>0</v>
      </c>
      <c r="G753">
        <v>0</v>
      </c>
      <c r="H753">
        <v>0</v>
      </c>
      <c r="I753">
        <v>0</v>
      </c>
      <c r="J753">
        <v>0</v>
      </c>
      <c r="K753">
        <v>0</v>
      </c>
      <c r="L753">
        <v>0</v>
      </c>
      <c r="M753">
        <v>0</v>
      </c>
      <c r="N753">
        <v>0</v>
      </c>
      <c r="O753">
        <v>0</v>
      </c>
      <c r="P753">
        <v>0</v>
      </c>
      <c r="V753"/>
      <c r="W753"/>
      <c r="X753"/>
    </row>
    <row r="754" spans="1:24" x14ac:dyDescent="0.3">
      <c r="A754" t="str">
        <f>Table_Capacity_Community_frontsheet[[#This Row],[Name]]&amp;B754</f>
        <v>SheffieldReablement &amp; Rehabilitation at home</v>
      </c>
      <c r="B754" t="str">
        <f>VLOOKUP(Table_Capacity_Community_frontsheet[[#This Row],[Service Area]],PathwayLookup!E:F,2,0)</f>
        <v>Reablement &amp; Rehabilitation at home</v>
      </c>
      <c r="C754" t="s">
        <v>279</v>
      </c>
      <c r="D754" t="s">
        <v>729</v>
      </c>
      <c r="E754">
        <v>0</v>
      </c>
      <c r="F754">
        <v>0</v>
      </c>
      <c r="G754">
        <v>0</v>
      </c>
      <c r="H754">
        <v>0</v>
      </c>
      <c r="I754">
        <v>0</v>
      </c>
      <c r="J754">
        <v>0</v>
      </c>
      <c r="K754">
        <v>0</v>
      </c>
      <c r="L754">
        <v>0</v>
      </c>
      <c r="M754">
        <v>0</v>
      </c>
      <c r="N754">
        <v>0</v>
      </c>
      <c r="O754">
        <v>0</v>
      </c>
      <c r="P754">
        <v>0</v>
      </c>
      <c r="V754"/>
      <c r="W754"/>
      <c r="X754"/>
    </row>
    <row r="755" spans="1:24" x14ac:dyDescent="0.3">
      <c r="A755" t="str">
        <f>Table_Capacity_Community_frontsheet[[#This Row],[Name]]&amp;B755</f>
        <v>SheffieldReablement &amp; Rehabilitation in a bedded setting</v>
      </c>
      <c r="B755" t="str">
        <f>VLOOKUP(Table_Capacity_Community_frontsheet[[#This Row],[Service Area]],PathwayLookup!E:F,2,0)</f>
        <v>Reablement &amp; Rehabilitation in a bedded setting</v>
      </c>
      <c r="C755" t="s">
        <v>279</v>
      </c>
      <c r="D755" t="s">
        <v>723</v>
      </c>
      <c r="E755">
        <v>38</v>
      </c>
      <c r="F755">
        <v>38</v>
      </c>
      <c r="G755">
        <v>38</v>
      </c>
      <c r="H755">
        <v>38</v>
      </c>
      <c r="I755">
        <v>38</v>
      </c>
      <c r="J755">
        <v>38</v>
      </c>
      <c r="K755">
        <v>38</v>
      </c>
      <c r="L755">
        <v>38</v>
      </c>
      <c r="M755">
        <v>38</v>
      </c>
      <c r="N755">
        <v>38</v>
      </c>
      <c r="O755">
        <v>38</v>
      </c>
      <c r="P755">
        <v>38</v>
      </c>
      <c r="Q755">
        <v>1</v>
      </c>
      <c r="V755"/>
      <c r="W755"/>
      <c r="X755"/>
    </row>
    <row r="756" spans="1:24" x14ac:dyDescent="0.3">
      <c r="A756" t="str">
        <f>Table_Capacity_Community_frontsheet[[#This Row],[Name]]&amp;B756</f>
        <v>SheffieldReablement &amp; Rehabilitation in a bedded setting</v>
      </c>
      <c r="B756" t="str">
        <f>VLOOKUP(Table_Capacity_Community_frontsheet[[#This Row],[Service Area]],PathwayLookup!E:F,2,0)</f>
        <v>Reablement &amp; Rehabilitation in a bedded setting</v>
      </c>
      <c r="C756" t="s">
        <v>279</v>
      </c>
      <c r="D756" t="s">
        <v>725</v>
      </c>
      <c r="E756">
        <v>0</v>
      </c>
      <c r="F756">
        <v>0</v>
      </c>
      <c r="G756">
        <v>0</v>
      </c>
      <c r="H756">
        <v>0</v>
      </c>
      <c r="I756">
        <v>0</v>
      </c>
      <c r="J756">
        <v>0</v>
      </c>
      <c r="K756">
        <v>0</v>
      </c>
      <c r="L756">
        <v>0</v>
      </c>
      <c r="M756">
        <v>0</v>
      </c>
      <c r="N756">
        <v>0</v>
      </c>
      <c r="O756">
        <v>0</v>
      </c>
      <c r="P756">
        <v>0</v>
      </c>
      <c r="V756"/>
      <c r="W756"/>
      <c r="X756"/>
    </row>
    <row r="757" spans="1:24" x14ac:dyDescent="0.3">
      <c r="A757" t="str">
        <f>Table_Capacity_Community_frontsheet[[#This Row],[Name]]&amp;B757</f>
        <v>SheffieldOther short-term social care</v>
      </c>
      <c r="B757" t="str">
        <f>VLOOKUP(Table_Capacity_Community_frontsheet[[#This Row],[Service Area]],PathwayLookup!E:F,2,0)</f>
        <v>Other short-term social care</v>
      </c>
      <c r="C757" t="s">
        <v>279</v>
      </c>
      <c r="D757" t="s">
        <v>708</v>
      </c>
      <c r="E757">
        <v>0</v>
      </c>
      <c r="F757">
        <v>0</v>
      </c>
      <c r="G757">
        <v>0</v>
      </c>
      <c r="H757">
        <v>0</v>
      </c>
      <c r="I757">
        <v>0</v>
      </c>
      <c r="J757">
        <v>0</v>
      </c>
      <c r="K757">
        <v>0</v>
      </c>
      <c r="L757">
        <v>0</v>
      </c>
      <c r="M757">
        <v>0</v>
      </c>
      <c r="N757">
        <v>0</v>
      </c>
      <c r="O757">
        <v>0</v>
      </c>
      <c r="P757">
        <v>0</v>
      </c>
      <c r="V757"/>
      <c r="W757"/>
      <c r="X757"/>
    </row>
    <row r="758" spans="1:24" x14ac:dyDescent="0.3">
      <c r="A758" t="str">
        <f>Table_Capacity_Community_frontsheet[[#This Row],[Name]]&amp;B758</f>
        <v>ShropshireSocial support (including VCS)</v>
      </c>
      <c r="B758" t="str">
        <f>VLOOKUP(Table_Capacity_Community_frontsheet[[#This Row],[Service Area]],PathwayLookup!E:F,2,0)</f>
        <v>Social support (including VCS)</v>
      </c>
      <c r="C758" t="s">
        <v>281</v>
      </c>
      <c r="D758" t="s">
        <v>704</v>
      </c>
      <c r="E758">
        <v>100</v>
      </c>
      <c r="F758">
        <v>100</v>
      </c>
      <c r="G758">
        <v>100</v>
      </c>
      <c r="H758">
        <v>100</v>
      </c>
      <c r="I758">
        <v>100</v>
      </c>
      <c r="J758">
        <v>100</v>
      </c>
      <c r="K758">
        <v>100</v>
      </c>
      <c r="L758">
        <v>100</v>
      </c>
      <c r="M758">
        <v>130</v>
      </c>
      <c r="N758">
        <v>130</v>
      </c>
      <c r="O758">
        <v>130</v>
      </c>
      <c r="P758">
        <v>130</v>
      </c>
      <c r="Q758">
        <v>0</v>
      </c>
      <c r="R758">
        <v>1</v>
      </c>
      <c r="S758">
        <v>0</v>
      </c>
      <c r="V758"/>
      <c r="W758"/>
      <c r="X758"/>
    </row>
    <row r="759" spans="1:24" x14ac:dyDescent="0.3">
      <c r="A759" t="str">
        <f>Table_Capacity_Community_frontsheet[[#This Row],[Name]]&amp;B759</f>
        <v>ShropshireUrgent Community Response</v>
      </c>
      <c r="B759" t="str">
        <f>VLOOKUP(Table_Capacity_Community_frontsheet[[#This Row],[Service Area]],PathwayLookup!E:F,2,0)</f>
        <v>Urgent Community Response</v>
      </c>
      <c r="C759" t="s">
        <v>281</v>
      </c>
      <c r="D759" t="s">
        <v>705</v>
      </c>
      <c r="E759">
        <v>31</v>
      </c>
      <c r="F759">
        <v>31</v>
      </c>
      <c r="G759">
        <v>31</v>
      </c>
      <c r="H759">
        <v>31</v>
      </c>
      <c r="I759">
        <v>31</v>
      </c>
      <c r="J759">
        <v>31</v>
      </c>
      <c r="K759">
        <v>31</v>
      </c>
      <c r="L759">
        <v>40</v>
      </c>
      <c r="M759">
        <v>45</v>
      </c>
      <c r="N759">
        <v>45</v>
      </c>
      <c r="O759">
        <v>45</v>
      </c>
      <c r="P759">
        <v>40</v>
      </c>
      <c r="Q759">
        <v>0</v>
      </c>
      <c r="R759">
        <v>1</v>
      </c>
      <c r="S759">
        <v>0</v>
      </c>
      <c r="V759"/>
      <c r="W759"/>
      <c r="X759"/>
    </row>
    <row r="760" spans="1:24" x14ac:dyDescent="0.3">
      <c r="A760" t="str">
        <f>Table_Capacity_Community_frontsheet[[#This Row],[Name]]&amp;B760</f>
        <v>ShropshireReablement &amp; Rehabilitation at home</v>
      </c>
      <c r="B760" t="str">
        <f>VLOOKUP(Table_Capacity_Community_frontsheet[[#This Row],[Service Area]],PathwayLookup!E:F,2,0)</f>
        <v>Reablement &amp; Rehabilitation at home</v>
      </c>
      <c r="C760" t="s">
        <v>281</v>
      </c>
      <c r="D760" t="s">
        <v>727</v>
      </c>
      <c r="E760">
        <v>102</v>
      </c>
      <c r="F760">
        <v>119</v>
      </c>
      <c r="G760">
        <v>103</v>
      </c>
      <c r="H760">
        <v>99</v>
      </c>
      <c r="I760">
        <v>106</v>
      </c>
      <c r="J760">
        <v>110</v>
      </c>
      <c r="K760">
        <v>107</v>
      </c>
      <c r="L760">
        <v>111</v>
      </c>
      <c r="M760">
        <v>113</v>
      </c>
      <c r="N760">
        <v>111</v>
      </c>
      <c r="O760">
        <v>92</v>
      </c>
      <c r="P760">
        <v>114</v>
      </c>
      <c r="Q760">
        <v>0</v>
      </c>
      <c r="R760">
        <v>1</v>
      </c>
      <c r="S760">
        <v>0</v>
      </c>
      <c r="V760"/>
      <c r="W760"/>
      <c r="X760"/>
    </row>
    <row r="761" spans="1:24" x14ac:dyDescent="0.3">
      <c r="A761" t="str">
        <f>Table_Capacity_Community_frontsheet[[#This Row],[Name]]&amp;B761</f>
        <v>ShropshireReablement &amp; Rehabilitation at home</v>
      </c>
      <c r="B761" t="str">
        <f>VLOOKUP(Table_Capacity_Community_frontsheet[[#This Row],[Service Area]],PathwayLookup!E:F,2,0)</f>
        <v>Reablement &amp; Rehabilitation at home</v>
      </c>
      <c r="C761" t="s">
        <v>281</v>
      </c>
      <c r="D761" t="s">
        <v>729</v>
      </c>
      <c r="E761">
        <v>0</v>
      </c>
      <c r="F761">
        <v>0</v>
      </c>
      <c r="G761">
        <v>0</v>
      </c>
      <c r="H761">
        <v>0</v>
      </c>
      <c r="I761">
        <v>0</v>
      </c>
      <c r="J761">
        <v>0</v>
      </c>
      <c r="K761">
        <v>0</v>
      </c>
      <c r="L761">
        <v>0</v>
      </c>
      <c r="M761">
        <v>0</v>
      </c>
      <c r="N761">
        <v>0</v>
      </c>
      <c r="O761">
        <v>0</v>
      </c>
      <c r="P761">
        <v>0</v>
      </c>
      <c r="Q761">
        <v>0</v>
      </c>
      <c r="R761">
        <v>1</v>
      </c>
      <c r="S761">
        <v>0</v>
      </c>
      <c r="V761"/>
      <c r="W761"/>
      <c r="X761"/>
    </row>
    <row r="762" spans="1:24" x14ac:dyDescent="0.3">
      <c r="A762" t="str">
        <f>Table_Capacity_Community_frontsheet[[#This Row],[Name]]&amp;B762</f>
        <v>ShropshireReablement &amp; Rehabilitation in a bedded setting</v>
      </c>
      <c r="B762" t="str">
        <f>VLOOKUP(Table_Capacity_Community_frontsheet[[#This Row],[Service Area]],PathwayLookup!E:F,2,0)</f>
        <v>Reablement &amp; Rehabilitation in a bedded setting</v>
      </c>
      <c r="C762" t="s">
        <v>281</v>
      </c>
      <c r="D762" t="s">
        <v>723</v>
      </c>
      <c r="E762">
        <v>0</v>
      </c>
      <c r="F762">
        <v>0</v>
      </c>
      <c r="G762">
        <v>0</v>
      </c>
      <c r="H762">
        <v>0</v>
      </c>
      <c r="I762">
        <v>0</v>
      </c>
      <c r="J762">
        <v>0</v>
      </c>
      <c r="K762">
        <v>0</v>
      </c>
      <c r="L762">
        <v>0</v>
      </c>
      <c r="M762">
        <v>0</v>
      </c>
      <c r="N762">
        <v>0</v>
      </c>
      <c r="O762">
        <v>0</v>
      </c>
      <c r="P762">
        <v>0</v>
      </c>
      <c r="Q762">
        <v>0</v>
      </c>
      <c r="R762">
        <v>1</v>
      </c>
      <c r="S762">
        <v>0</v>
      </c>
      <c r="V762"/>
      <c r="W762"/>
      <c r="X762"/>
    </row>
    <row r="763" spans="1:24" x14ac:dyDescent="0.3">
      <c r="A763" t="str">
        <f>Table_Capacity_Community_frontsheet[[#This Row],[Name]]&amp;B763</f>
        <v>ShropshireReablement &amp; Rehabilitation in a bedded setting</v>
      </c>
      <c r="B763" t="str">
        <f>VLOOKUP(Table_Capacity_Community_frontsheet[[#This Row],[Service Area]],PathwayLookup!E:F,2,0)</f>
        <v>Reablement &amp; Rehabilitation in a bedded setting</v>
      </c>
      <c r="C763" t="s">
        <v>281</v>
      </c>
      <c r="D763" t="s">
        <v>725</v>
      </c>
      <c r="E763">
        <v>0</v>
      </c>
      <c r="F763">
        <v>0</v>
      </c>
      <c r="G763">
        <v>0</v>
      </c>
      <c r="H763">
        <v>0</v>
      </c>
      <c r="I763">
        <v>0</v>
      </c>
      <c r="J763">
        <v>0</v>
      </c>
      <c r="K763">
        <v>0</v>
      </c>
      <c r="L763">
        <v>0</v>
      </c>
      <c r="M763">
        <v>0</v>
      </c>
      <c r="N763">
        <v>0</v>
      </c>
      <c r="O763">
        <v>0</v>
      </c>
      <c r="P763">
        <v>0</v>
      </c>
      <c r="Q763">
        <v>0</v>
      </c>
      <c r="R763">
        <v>1</v>
      </c>
      <c r="S763">
        <v>0</v>
      </c>
      <c r="V763"/>
      <c r="W763"/>
      <c r="X763"/>
    </row>
    <row r="764" spans="1:24" x14ac:dyDescent="0.3">
      <c r="A764" t="str">
        <f>Table_Capacity_Community_frontsheet[[#This Row],[Name]]&amp;B764</f>
        <v>ShropshireOther short-term social care</v>
      </c>
      <c r="B764" t="str">
        <f>VLOOKUP(Table_Capacity_Community_frontsheet[[#This Row],[Service Area]],PathwayLookup!E:F,2,0)</f>
        <v>Other short-term social care</v>
      </c>
      <c r="C764" t="s">
        <v>281</v>
      </c>
      <c r="D764" t="s">
        <v>708</v>
      </c>
      <c r="E764">
        <v>27</v>
      </c>
      <c r="F764">
        <v>27</v>
      </c>
      <c r="G764">
        <v>27</v>
      </c>
      <c r="H764">
        <v>27</v>
      </c>
      <c r="I764">
        <v>27</v>
      </c>
      <c r="J764">
        <v>27</v>
      </c>
      <c r="K764">
        <v>27</v>
      </c>
      <c r="L764">
        <v>27</v>
      </c>
      <c r="M764">
        <v>27</v>
      </c>
      <c r="N764">
        <v>27</v>
      </c>
      <c r="O764">
        <v>27</v>
      </c>
      <c r="P764">
        <v>27</v>
      </c>
      <c r="Q764">
        <v>0</v>
      </c>
      <c r="R764">
        <v>1</v>
      </c>
      <c r="S764">
        <v>0</v>
      </c>
      <c r="V764"/>
      <c r="W764"/>
      <c r="X764"/>
    </row>
    <row r="765" spans="1:24" x14ac:dyDescent="0.3">
      <c r="A765" t="str">
        <f>Table_Capacity_Community_frontsheet[[#This Row],[Name]]&amp;B765</f>
        <v>SloughSocial support (including VCS)</v>
      </c>
      <c r="B765" t="str">
        <f>VLOOKUP(Table_Capacity_Community_frontsheet[[#This Row],[Service Area]],PathwayLookup!E:F,2,0)</f>
        <v>Social support (including VCS)</v>
      </c>
      <c r="C765" t="s">
        <v>283</v>
      </c>
      <c r="D765" t="s">
        <v>704</v>
      </c>
      <c r="E765">
        <v>100</v>
      </c>
      <c r="F765">
        <v>100</v>
      </c>
      <c r="G765">
        <v>100</v>
      </c>
      <c r="H765">
        <v>100</v>
      </c>
      <c r="I765">
        <v>100</v>
      </c>
      <c r="J765">
        <v>100</v>
      </c>
      <c r="K765">
        <v>100</v>
      </c>
      <c r="L765">
        <v>100</v>
      </c>
      <c r="M765">
        <v>100</v>
      </c>
      <c r="N765">
        <v>100</v>
      </c>
      <c r="O765">
        <v>100</v>
      </c>
      <c r="P765">
        <v>100</v>
      </c>
      <c r="R765">
        <v>1</v>
      </c>
      <c r="V765"/>
      <c r="W765"/>
      <c r="X765"/>
    </row>
    <row r="766" spans="1:24" x14ac:dyDescent="0.3">
      <c r="A766" t="str">
        <f>Table_Capacity_Community_frontsheet[[#This Row],[Name]]&amp;B766</f>
        <v>SloughUrgent Community Response</v>
      </c>
      <c r="B766" t="str">
        <f>VLOOKUP(Table_Capacity_Community_frontsheet[[#This Row],[Service Area]],PathwayLookup!E:F,2,0)</f>
        <v>Urgent Community Response</v>
      </c>
      <c r="C766" t="s">
        <v>283</v>
      </c>
      <c r="D766" t="s">
        <v>705</v>
      </c>
      <c r="E766">
        <v>25</v>
      </c>
      <c r="F766">
        <v>25</v>
      </c>
      <c r="G766">
        <v>25</v>
      </c>
      <c r="H766">
        <v>25</v>
      </c>
      <c r="I766">
        <v>25</v>
      </c>
      <c r="J766">
        <v>25</v>
      </c>
      <c r="K766">
        <v>25</v>
      </c>
      <c r="L766">
        <v>25</v>
      </c>
      <c r="M766">
        <v>25</v>
      </c>
      <c r="N766">
        <v>25</v>
      </c>
      <c r="O766">
        <v>25</v>
      </c>
      <c r="P766">
        <v>25</v>
      </c>
      <c r="Q766">
        <v>1</v>
      </c>
      <c r="V766"/>
      <c r="W766"/>
      <c r="X766"/>
    </row>
    <row r="767" spans="1:24" x14ac:dyDescent="0.3">
      <c r="A767" t="str">
        <f>Table_Capacity_Community_frontsheet[[#This Row],[Name]]&amp;B767</f>
        <v>SloughReablement &amp; Rehabilitation at home</v>
      </c>
      <c r="B767" t="str">
        <f>VLOOKUP(Table_Capacity_Community_frontsheet[[#This Row],[Service Area]],PathwayLookup!E:F,2,0)</f>
        <v>Reablement &amp; Rehabilitation at home</v>
      </c>
      <c r="C767" t="s">
        <v>283</v>
      </c>
      <c r="D767" t="s">
        <v>727</v>
      </c>
      <c r="E767">
        <v>20</v>
      </c>
      <c r="F767">
        <v>20</v>
      </c>
      <c r="G767">
        <v>20</v>
      </c>
      <c r="H767">
        <v>20</v>
      </c>
      <c r="I767">
        <v>20</v>
      </c>
      <c r="J767">
        <v>20</v>
      </c>
      <c r="K767">
        <v>20</v>
      </c>
      <c r="L767">
        <v>20</v>
      </c>
      <c r="M767">
        <v>20</v>
      </c>
      <c r="N767">
        <v>20</v>
      </c>
      <c r="O767">
        <v>20</v>
      </c>
      <c r="P767">
        <v>20</v>
      </c>
      <c r="R767">
        <v>1</v>
      </c>
      <c r="V767"/>
      <c r="W767"/>
      <c r="X767"/>
    </row>
    <row r="768" spans="1:24" x14ac:dyDescent="0.3">
      <c r="A768" t="str">
        <f>Table_Capacity_Community_frontsheet[[#This Row],[Name]]&amp;B768</f>
        <v>SloughReablement &amp; Rehabilitation at home</v>
      </c>
      <c r="B768" t="str">
        <f>VLOOKUP(Table_Capacity_Community_frontsheet[[#This Row],[Service Area]],PathwayLookup!E:F,2,0)</f>
        <v>Reablement &amp; Rehabilitation at home</v>
      </c>
      <c r="C768" t="s">
        <v>283</v>
      </c>
      <c r="D768" t="s">
        <v>729</v>
      </c>
      <c r="V768"/>
      <c r="W768"/>
      <c r="X768"/>
    </row>
    <row r="769" spans="1:24" x14ac:dyDescent="0.3">
      <c r="A769" t="str">
        <f>Table_Capacity_Community_frontsheet[[#This Row],[Name]]&amp;B769</f>
        <v>SloughReablement &amp; Rehabilitation in a bedded setting</v>
      </c>
      <c r="B769" t="str">
        <f>VLOOKUP(Table_Capacity_Community_frontsheet[[#This Row],[Service Area]],PathwayLookup!E:F,2,0)</f>
        <v>Reablement &amp; Rehabilitation in a bedded setting</v>
      </c>
      <c r="C769" t="s">
        <v>283</v>
      </c>
      <c r="D769" t="s">
        <v>723</v>
      </c>
      <c r="E769">
        <v>4</v>
      </c>
      <c r="F769">
        <v>4</v>
      </c>
      <c r="G769">
        <v>4</v>
      </c>
      <c r="H769">
        <v>4</v>
      </c>
      <c r="I769">
        <v>4</v>
      </c>
      <c r="J769">
        <v>4</v>
      </c>
      <c r="K769">
        <v>4</v>
      </c>
      <c r="L769">
        <v>4</v>
      </c>
      <c r="M769">
        <v>4</v>
      </c>
      <c r="N769">
        <v>4</v>
      </c>
      <c r="O769">
        <v>4</v>
      </c>
      <c r="P769">
        <v>4</v>
      </c>
      <c r="Q769">
        <v>1</v>
      </c>
      <c r="V769"/>
      <c r="W769"/>
      <c r="X769"/>
    </row>
    <row r="770" spans="1:24" x14ac:dyDescent="0.3">
      <c r="A770" t="str">
        <f>Table_Capacity_Community_frontsheet[[#This Row],[Name]]&amp;B770</f>
        <v>SloughReablement &amp; Rehabilitation in a bedded setting</v>
      </c>
      <c r="B770" t="str">
        <f>VLOOKUP(Table_Capacity_Community_frontsheet[[#This Row],[Service Area]],PathwayLookup!E:F,2,0)</f>
        <v>Reablement &amp; Rehabilitation in a bedded setting</v>
      </c>
      <c r="C770" t="s">
        <v>283</v>
      </c>
      <c r="D770" t="s">
        <v>725</v>
      </c>
      <c r="V770"/>
      <c r="W770"/>
      <c r="X770"/>
    </row>
    <row r="771" spans="1:24" x14ac:dyDescent="0.3">
      <c r="A771" t="str">
        <f>Table_Capacity_Community_frontsheet[[#This Row],[Name]]&amp;B771</f>
        <v>SloughOther short-term social care</v>
      </c>
      <c r="B771" t="str">
        <f>VLOOKUP(Table_Capacity_Community_frontsheet[[#This Row],[Service Area]],PathwayLookup!E:F,2,0)</f>
        <v>Other short-term social care</v>
      </c>
      <c r="C771" t="s">
        <v>283</v>
      </c>
      <c r="D771" t="s">
        <v>708</v>
      </c>
      <c r="E771">
        <v>0</v>
      </c>
      <c r="F771">
        <v>0</v>
      </c>
      <c r="G771">
        <v>0</v>
      </c>
      <c r="H771">
        <v>0</v>
      </c>
      <c r="I771">
        <v>0</v>
      </c>
      <c r="J771">
        <v>0</v>
      </c>
      <c r="K771">
        <v>0</v>
      </c>
      <c r="L771">
        <v>0</v>
      </c>
      <c r="M771">
        <v>0</v>
      </c>
      <c r="N771">
        <v>0</v>
      </c>
      <c r="O771">
        <v>0</v>
      </c>
      <c r="P771">
        <v>0</v>
      </c>
      <c r="V771"/>
      <c r="W771"/>
      <c r="X771"/>
    </row>
    <row r="772" spans="1:24" x14ac:dyDescent="0.3">
      <c r="A772" t="str">
        <f>Table_Capacity_Community_frontsheet[[#This Row],[Name]]&amp;B772</f>
        <v>SolihullSocial support (including VCS)</v>
      </c>
      <c r="B772" t="str">
        <f>VLOOKUP(Table_Capacity_Community_frontsheet[[#This Row],[Service Area]],PathwayLookup!E:F,2,0)</f>
        <v>Social support (including VCS)</v>
      </c>
      <c r="C772" t="s">
        <v>285</v>
      </c>
      <c r="D772" t="s">
        <v>704</v>
      </c>
      <c r="E772">
        <v>168</v>
      </c>
      <c r="F772">
        <v>168</v>
      </c>
      <c r="G772">
        <v>168</v>
      </c>
      <c r="H772">
        <v>168</v>
      </c>
      <c r="I772">
        <v>168</v>
      </c>
      <c r="J772">
        <v>168</v>
      </c>
      <c r="K772">
        <v>168</v>
      </c>
      <c r="L772">
        <v>168</v>
      </c>
      <c r="M772">
        <v>168</v>
      </c>
      <c r="N772">
        <v>168</v>
      </c>
      <c r="O772">
        <v>166</v>
      </c>
      <c r="P772">
        <v>168</v>
      </c>
      <c r="R772">
        <v>1</v>
      </c>
      <c r="V772"/>
      <c r="W772"/>
      <c r="X772"/>
    </row>
    <row r="773" spans="1:24" x14ac:dyDescent="0.3">
      <c r="A773" t="str">
        <f>Table_Capacity_Community_frontsheet[[#This Row],[Name]]&amp;B773</f>
        <v>SolihullUrgent Community Response</v>
      </c>
      <c r="B773" t="str">
        <f>VLOOKUP(Table_Capacity_Community_frontsheet[[#This Row],[Service Area]],PathwayLookup!E:F,2,0)</f>
        <v>Urgent Community Response</v>
      </c>
      <c r="C773" t="s">
        <v>285</v>
      </c>
      <c r="D773" t="s">
        <v>705</v>
      </c>
      <c r="E773">
        <v>464</v>
      </c>
      <c r="F773">
        <v>464</v>
      </c>
      <c r="G773">
        <v>464</v>
      </c>
      <c r="H773">
        <v>464</v>
      </c>
      <c r="I773">
        <v>464</v>
      </c>
      <c r="J773">
        <v>480</v>
      </c>
      <c r="K773">
        <v>480</v>
      </c>
      <c r="L773">
        <v>480</v>
      </c>
      <c r="M773">
        <v>480</v>
      </c>
      <c r="N773">
        <v>480</v>
      </c>
      <c r="O773">
        <v>480</v>
      </c>
      <c r="P773">
        <v>480</v>
      </c>
      <c r="Q773">
        <v>1</v>
      </c>
      <c r="V773"/>
      <c r="W773"/>
      <c r="X773"/>
    </row>
    <row r="774" spans="1:24" x14ac:dyDescent="0.3">
      <c r="A774" t="str">
        <f>Table_Capacity_Community_frontsheet[[#This Row],[Name]]&amp;B774</f>
        <v>SolihullReablement &amp; Rehabilitation at home</v>
      </c>
      <c r="B774" t="str">
        <f>VLOOKUP(Table_Capacity_Community_frontsheet[[#This Row],[Service Area]],PathwayLookup!E:F,2,0)</f>
        <v>Reablement &amp; Rehabilitation at home</v>
      </c>
      <c r="C774" t="s">
        <v>285</v>
      </c>
      <c r="D774" t="s">
        <v>727</v>
      </c>
      <c r="E774">
        <v>30</v>
      </c>
      <c r="F774">
        <v>30</v>
      </c>
      <c r="G774">
        <v>30</v>
      </c>
      <c r="H774">
        <v>30</v>
      </c>
      <c r="I774">
        <v>30</v>
      </c>
      <c r="J774">
        <v>30</v>
      </c>
      <c r="K774">
        <v>30</v>
      </c>
      <c r="L774">
        <v>30</v>
      </c>
      <c r="M774">
        <v>30</v>
      </c>
      <c r="N774">
        <v>30</v>
      </c>
      <c r="O774">
        <v>30</v>
      </c>
      <c r="P774">
        <v>30</v>
      </c>
      <c r="R774">
        <v>1</v>
      </c>
      <c r="V774"/>
      <c r="W774"/>
      <c r="X774"/>
    </row>
    <row r="775" spans="1:24" x14ac:dyDescent="0.3">
      <c r="A775" t="str">
        <f>Table_Capacity_Community_frontsheet[[#This Row],[Name]]&amp;B775</f>
        <v>SolihullReablement &amp; Rehabilitation at home</v>
      </c>
      <c r="B775" t="str">
        <f>VLOOKUP(Table_Capacity_Community_frontsheet[[#This Row],[Service Area]],PathwayLookup!E:F,2,0)</f>
        <v>Reablement &amp; Rehabilitation at home</v>
      </c>
      <c r="C775" t="s">
        <v>285</v>
      </c>
      <c r="D775" t="s">
        <v>729</v>
      </c>
      <c r="E775">
        <v>80</v>
      </c>
      <c r="F775">
        <v>80</v>
      </c>
      <c r="G775">
        <v>80</v>
      </c>
      <c r="H775">
        <v>80</v>
      </c>
      <c r="I775">
        <v>80</v>
      </c>
      <c r="J775">
        <v>80</v>
      </c>
      <c r="K775">
        <v>80</v>
      </c>
      <c r="L775">
        <v>80</v>
      </c>
      <c r="M775">
        <v>80</v>
      </c>
      <c r="N775">
        <v>80</v>
      </c>
      <c r="O775">
        <v>73</v>
      </c>
      <c r="P775">
        <v>80</v>
      </c>
      <c r="Q775">
        <v>1</v>
      </c>
      <c r="V775"/>
      <c r="W775"/>
      <c r="X775"/>
    </row>
    <row r="776" spans="1:24" x14ac:dyDescent="0.3">
      <c r="A776" t="str">
        <f>Table_Capacity_Community_frontsheet[[#This Row],[Name]]&amp;B776</f>
        <v>SolihullReablement &amp; Rehabilitation in a bedded setting</v>
      </c>
      <c r="B776" t="str">
        <f>VLOOKUP(Table_Capacity_Community_frontsheet[[#This Row],[Service Area]],PathwayLookup!E:F,2,0)</f>
        <v>Reablement &amp; Rehabilitation in a bedded setting</v>
      </c>
      <c r="C776" t="s">
        <v>285</v>
      </c>
      <c r="D776" t="s">
        <v>723</v>
      </c>
      <c r="E776">
        <v>8</v>
      </c>
      <c r="F776">
        <v>8</v>
      </c>
      <c r="G776">
        <v>8</v>
      </c>
      <c r="H776">
        <v>8</v>
      </c>
      <c r="I776">
        <v>8</v>
      </c>
      <c r="J776">
        <v>8</v>
      </c>
      <c r="K776">
        <v>8</v>
      </c>
      <c r="L776">
        <v>8</v>
      </c>
      <c r="M776">
        <v>8</v>
      </c>
      <c r="N776">
        <v>8</v>
      </c>
      <c r="O776">
        <v>8</v>
      </c>
      <c r="P776">
        <v>8</v>
      </c>
      <c r="V776"/>
      <c r="W776"/>
      <c r="X776"/>
    </row>
    <row r="777" spans="1:24" x14ac:dyDescent="0.3">
      <c r="A777" t="str">
        <f>Table_Capacity_Community_frontsheet[[#This Row],[Name]]&amp;B777</f>
        <v>SolihullReablement &amp; Rehabilitation in a bedded setting</v>
      </c>
      <c r="B777" t="str">
        <f>VLOOKUP(Table_Capacity_Community_frontsheet[[#This Row],[Service Area]],PathwayLookup!E:F,2,0)</f>
        <v>Reablement &amp; Rehabilitation in a bedded setting</v>
      </c>
      <c r="C777" t="s">
        <v>285</v>
      </c>
      <c r="D777" t="s">
        <v>725</v>
      </c>
      <c r="V777"/>
      <c r="W777"/>
      <c r="X777"/>
    </row>
    <row r="778" spans="1:24" x14ac:dyDescent="0.3">
      <c r="A778" t="str">
        <f>Table_Capacity_Community_frontsheet[[#This Row],[Name]]&amp;B778</f>
        <v>SolihullOther short-term social care</v>
      </c>
      <c r="B778" t="str">
        <f>VLOOKUP(Table_Capacity_Community_frontsheet[[#This Row],[Service Area]],PathwayLookup!E:F,2,0)</f>
        <v>Other short-term social care</v>
      </c>
      <c r="C778" t="s">
        <v>285</v>
      </c>
      <c r="D778" t="s">
        <v>708</v>
      </c>
      <c r="V778"/>
      <c r="W778"/>
      <c r="X778"/>
    </row>
    <row r="779" spans="1:24" x14ac:dyDescent="0.3">
      <c r="A779" t="str">
        <f>Table_Capacity_Community_frontsheet[[#This Row],[Name]]&amp;B779</f>
        <v>SomersetSocial support (including VCS)</v>
      </c>
      <c r="B779" t="str">
        <f>VLOOKUP(Table_Capacity_Community_frontsheet[[#This Row],[Service Area]],PathwayLookup!E:F,2,0)</f>
        <v>Social support (including VCS)</v>
      </c>
      <c r="C779" t="s">
        <v>287</v>
      </c>
      <c r="D779" t="s">
        <v>704</v>
      </c>
      <c r="E779">
        <v>3</v>
      </c>
      <c r="F779">
        <v>4</v>
      </c>
      <c r="G779">
        <v>4</v>
      </c>
      <c r="H779">
        <v>4</v>
      </c>
      <c r="I779">
        <v>4</v>
      </c>
      <c r="J779">
        <v>4</v>
      </c>
      <c r="K779">
        <v>4</v>
      </c>
      <c r="L779">
        <v>4</v>
      </c>
      <c r="M779">
        <v>3</v>
      </c>
      <c r="N779">
        <v>4</v>
      </c>
      <c r="O779">
        <v>4</v>
      </c>
      <c r="P779">
        <v>4</v>
      </c>
      <c r="Q779">
        <v>0</v>
      </c>
      <c r="R779">
        <v>1</v>
      </c>
      <c r="S779">
        <v>0</v>
      </c>
      <c r="V779"/>
      <c r="W779"/>
      <c r="X779"/>
    </row>
    <row r="780" spans="1:24" x14ac:dyDescent="0.3">
      <c r="A780" t="str">
        <f>Table_Capacity_Community_frontsheet[[#This Row],[Name]]&amp;B780</f>
        <v>SomersetUrgent Community Response</v>
      </c>
      <c r="B780" t="str">
        <f>VLOOKUP(Table_Capacity_Community_frontsheet[[#This Row],[Service Area]],PathwayLookup!E:F,2,0)</f>
        <v>Urgent Community Response</v>
      </c>
      <c r="C780" t="s">
        <v>287</v>
      </c>
      <c r="D780" t="s">
        <v>705</v>
      </c>
      <c r="E780">
        <v>580</v>
      </c>
      <c r="F780">
        <v>595</v>
      </c>
      <c r="G780">
        <v>580</v>
      </c>
      <c r="H780">
        <v>595</v>
      </c>
      <c r="I780">
        <v>595</v>
      </c>
      <c r="J780">
        <v>580</v>
      </c>
      <c r="K780">
        <v>595</v>
      </c>
      <c r="L780">
        <v>580</v>
      </c>
      <c r="M780">
        <v>595</v>
      </c>
      <c r="N780">
        <v>595</v>
      </c>
      <c r="O780">
        <v>566</v>
      </c>
      <c r="P780">
        <v>595</v>
      </c>
      <c r="Q780">
        <v>1</v>
      </c>
      <c r="R780">
        <v>0</v>
      </c>
      <c r="S780">
        <v>0</v>
      </c>
      <c r="V780"/>
      <c r="W780"/>
      <c r="X780"/>
    </row>
    <row r="781" spans="1:24" x14ac:dyDescent="0.3">
      <c r="A781" t="str">
        <f>Table_Capacity_Community_frontsheet[[#This Row],[Name]]&amp;B781</f>
        <v>SomersetReablement &amp; Rehabilitation at home</v>
      </c>
      <c r="B781" t="str">
        <f>VLOOKUP(Table_Capacity_Community_frontsheet[[#This Row],[Service Area]],PathwayLookup!E:F,2,0)</f>
        <v>Reablement &amp; Rehabilitation at home</v>
      </c>
      <c r="C781" t="s">
        <v>287</v>
      </c>
      <c r="D781" t="s">
        <v>727</v>
      </c>
      <c r="E781">
        <v>0</v>
      </c>
      <c r="F781">
        <v>0</v>
      </c>
      <c r="G781">
        <v>0</v>
      </c>
      <c r="H781">
        <v>0</v>
      </c>
      <c r="I781">
        <v>0</v>
      </c>
      <c r="J781">
        <v>0</v>
      </c>
      <c r="K781">
        <v>0</v>
      </c>
      <c r="L781">
        <v>0</v>
      </c>
      <c r="M781">
        <v>0</v>
      </c>
      <c r="N781">
        <v>0</v>
      </c>
      <c r="O781">
        <v>0</v>
      </c>
      <c r="P781">
        <v>0</v>
      </c>
      <c r="V781"/>
      <c r="W781"/>
      <c r="X781"/>
    </row>
    <row r="782" spans="1:24" x14ac:dyDescent="0.3">
      <c r="A782" t="str">
        <f>Table_Capacity_Community_frontsheet[[#This Row],[Name]]&amp;B782</f>
        <v>SomersetReablement &amp; Rehabilitation at home</v>
      </c>
      <c r="B782" t="str">
        <f>VLOOKUP(Table_Capacity_Community_frontsheet[[#This Row],[Service Area]],PathwayLookup!E:F,2,0)</f>
        <v>Reablement &amp; Rehabilitation at home</v>
      </c>
      <c r="C782" t="s">
        <v>287</v>
      </c>
      <c r="D782" t="s">
        <v>729</v>
      </c>
      <c r="E782">
        <v>0</v>
      </c>
      <c r="F782">
        <v>0</v>
      </c>
      <c r="G782">
        <v>0</v>
      </c>
      <c r="H782">
        <v>0</v>
      </c>
      <c r="I782">
        <v>0</v>
      </c>
      <c r="J782">
        <v>0</v>
      </c>
      <c r="K782">
        <v>0</v>
      </c>
      <c r="L782">
        <v>0</v>
      </c>
      <c r="M782">
        <v>0</v>
      </c>
      <c r="N782">
        <v>0</v>
      </c>
      <c r="O782">
        <v>0</v>
      </c>
      <c r="P782">
        <v>0</v>
      </c>
      <c r="V782"/>
      <c r="W782"/>
      <c r="X782"/>
    </row>
    <row r="783" spans="1:24" x14ac:dyDescent="0.3">
      <c r="A783" t="str">
        <f>Table_Capacity_Community_frontsheet[[#This Row],[Name]]&amp;B783</f>
        <v>SomersetReablement &amp; Rehabilitation in a bedded setting</v>
      </c>
      <c r="B783" t="str">
        <f>VLOOKUP(Table_Capacity_Community_frontsheet[[#This Row],[Service Area]],PathwayLookup!E:F,2,0)</f>
        <v>Reablement &amp; Rehabilitation in a bedded setting</v>
      </c>
      <c r="C783" t="s">
        <v>287</v>
      </c>
      <c r="D783" t="s">
        <v>723</v>
      </c>
      <c r="E783">
        <v>0</v>
      </c>
      <c r="F783">
        <v>0</v>
      </c>
      <c r="G783">
        <v>0</v>
      </c>
      <c r="H783">
        <v>0</v>
      </c>
      <c r="I783">
        <v>0</v>
      </c>
      <c r="J783">
        <v>0</v>
      </c>
      <c r="K783">
        <v>0</v>
      </c>
      <c r="L783">
        <v>0</v>
      </c>
      <c r="M783">
        <v>0</v>
      </c>
      <c r="N783">
        <v>0</v>
      </c>
      <c r="O783">
        <v>0</v>
      </c>
      <c r="P783">
        <v>0</v>
      </c>
      <c r="V783"/>
      <c r="W783"/>
      <c r="X783"/>
    </row>
    <row r="784" spans="1:24" x14ac:dyDescent="0.3">
      <c r="A784" t="str">
        <f>Table_Capacity_Community_frontsheet[[#This Row],[Name]]&amp;B784</f>
        <v>SomersetReablement &amp; Rehabilitation in a bedded setting</v>
      </c>
      <c r="B784" t="str">
        <f>VLOOKUP(Table_Capacity_Community_frontsheet[[#This Row],[Service Area]],PathwayLookup!E:F,2,0)</f>
        <v>Reablement &amp; Rehabilitation in a bedded setting</v>
      </c>
      <c r="C784" t="s">
        <v>287</v>
      </c>
      <c r="D784" t="s">
        <v>725</v>
      </c>
      <c r="E784">
        <v>0</v>
      </c>
      <c r="F784">
        <v>0</v>
      </c>
      <c r="G784">
        <v>0</v>
      </c>
      <c r="H784">
        <v>0</v>
      </c>
      <c r="I784">
        <v>0</v>
      </c>
      <c r="J784">
        <v>0</v>
      </c>
      <c r="K784">
        <v>0</v>
      </c>
      <c r="L784">
        <v>0</v>
      </c>
      <c r="M784">
        <v>0</v>
      </c>
      <c r="N784">
        <v>0</v>
      </c>
      <c r="O784">
        <v>0</v>
      </c>
      <c r="P784">
        <v>0</v>
      </c>
      <c r="V784"/>
      <c r="W784"/>
      <c r="X784"/>
    </row>
    <row r="785" spans="1:24" x14ac:dyDescent="0.3">
      <c r="A785" t="str">
        <f>Table_Capacity_Community_frontsheet[[#This Row],[Name]]&amp;B785</f>
        <v>SomersetOther short-term social care</v>
      </c>
      <c r="B785" t="str">
        <f>VLOOKUP(Table_Capacity_Community_frontsheet[[#This Row],[Service Area]],PathwayLookup!E:F,2,0)</f>
        <v>Other short-term social care</v>
      </c>
      <c r="C785" t="s">
        <v>287</v>
      </c>
      <c r="D785" t="s">
        <v>708</v>
      </c>
      <c r="E785">
        <v>0</v>
      </c>
      <c r="F785">
        <v>0</v>
      </c>
      <c r="G785">
        <v>0</v>
      </c>
      <c r="H785">
        <v>0</v>
      </c>
      <c r="I785">
        <v>0</v>
      </c>
      <c r="J785">
        <v>0</v>
      </c>
      <c r="K785">
        <v>0</v>
      </c>
      <c r="L785">
        <v>0</v>
      </c>
      <c r="M785">
        <v>0</v>
      </c>
      <c r="N785">
        <v>0</v>
      </c>
      <c r="O785">
        <v>0</v>
      </c>
      <c r="P785">
        <v>0</v>
      </c>
      <c r="V785"/>
      <c r="W785"/>
      <c r="X785"/>
    </row>
    <row r="786" spans="1:24" x14ac:dyDescent="0.3">
      <c r="A786" t="str">
        <f>Table_Capacity_Community_frontsheet[[#This Row],[Name]]&amp;B786</f>
        <v>South GloucestershireSocial support (including VCS)</v>
      </c>
      <c r="B786" t="str">
        <f>VLOOKUP(Table_Capacity_Community_frontsheet[[#This Row],[Service Area]],PathwayLookup!E:F,2,0)</f>
        <v>Social support (including VCS)</v>
      </c>
      <c r="C786" t="s">
        <v>289</v>
      </c>
      <c r="D786" t="s">
        <v>704</v>
      </c>
      <c r="E786">
        <v>4</v>
      </c>
      <c r="F786">
        <v>4</v>
      </c>
      <c r="G786">
        <v>4</v>
      </c>
      <c r="H786">
        <v>4</v>
      </c>
      <c r="I786">
        <v>4</v>
      </c>
      <c r="J786">
        <v>4</v>
      </c>
      <c r="K786">
        <v>4</v>
      </c>
      <c r="L786">
        <v>4</v>
      </c>
      <c r="M786">
        <v>4</v>
      </c>
      <c r="N786">
        <v>4</v>
      </c>
      <c r="O786">
        <v>4</v>
      </c>
      <c r="P786">
        <v>4</v>
      </c>
      <c r="R786">
        <v>1</v>
      </c>
      <c r="V786"/>
      <c r="W786"/>
      <c r="X786"/>
    </row>
    <row r="787" spans="1:24" x14ac:dyDescent="0.3">
      <c r="A787" t="str">
        <f>Table_Capacity_Community_frontsheet[[#This Row],[Name]]&amp;B787</f>
        <v>South GloucestershireUrgent Community Response</v>
      </c>
      <c r="B787" t="str">
        <f>VLOOKUP(Table_Capacity_Community_frontsheet[[#This Row],[Service Area]],PathwayLookup!E:F,2,0)</f>
        <v>Urgent Community Response</v>
      </c>
      <c r="C787" t="s">
        <v>289</v>
      </c>
      <c r="D787" t="s">
        <v>705</v>
      </c>
      <c r="E787">
        <v>468</v>
      </c>
      <c r="F787">
        <v>477</v>
      </c>
      <c r="G787">
        <v>468</v>
      </c>
      <c r="H787">
        <v>477</v>
      </c>
      <c r="I787">
        <v>477</v>
      </c>
      <c r="J787">
        <v>468</v>
      </c>
      <c r="K787">
        <v>487</v>
      </c>
      <c r="L787">
        <v>478</v>
      </c>
      <c r="M787">
        <v>487</v>
      </c>
      <c r="N787">
        <v>496</v>
      </c>
      <c r="O787">
        <v>487</v>
      </c>
      <c r="P787">
        <v>496</v>
      </c>
      <c r="Q787">
        <v>0.9</v>
      </c>
      <c r="R787">
        <v>0.1</v>
      </c>
      <c r="V787"/>
      <c r="W787"/>
      <c r="X787"/>
    </row>
    <row r="788" spans="1:24" x14ac:dyDescent="0.3">
      <c r="A788" t="str">
        <f>Table_Capacity_Community_frontsheet[[#This Row],[Name]]&amp;B788</f>
        <v>South GloucestershireReablement &amp; Rehabilitation at home</v>
      </c>
      <c r="B788" t="str">
        <f>VLOOKUP(Table_Capacity_Community_frontsheet[[#This Row],[Service Area]],PathwayLookup!E:F,2,0)</f>
        <v>Reablement &amp; Rehabilitation at home</v>
      </c>
      <c r="C788" t="s">
        <v>289</v>
      </c>
      <c r="D788" t="s">
        <v>727</v>
      </c>
      <c r="E788">
        <v>126</v>
      </c>
      <c r="F788">
        <v>129</v>
      </c>
      <c r="G788">
        <v>143</v>
      </c>
      <c r="H788">
        <v>143</v>
      </c>
      <c r="I788">
        <v>143</v>
      </c>
      <c r="J788">
        <v>143</v>
      </c>
      <c r="K788">
        <v>131</v>
      </c>
      <c r="L788">
        <v>120</v>
      </c>
      <c r="M788">
        <v>111</v>
      </c>
      <c r="N788">
        <v>103</v>
      </c>
      <c r="O788">
        <v>96</v>
      </c>
      <c r="P788">
        <v>90</v>
      </c>
      <c r="R788">
        <v>1</v>
      </c>
      <c r="V788"/>
      <c r="W788"/>
      <c r="X788"/>
    </row>
    <row r="789" spans="1:24" x14ac:dyDescent="0.3">
      <c r="A789" t="str">
        <f>Table_Capacity_Community_frontsheet[[#This Row],[Name]]&amp;B789</f>
        <v>South GloucestershireReablement &amp; Rehabilitation at home</v>
      </c>
      <c r="B789" t="str">
        <f>VLOOKUP(Table_Capacity_Community_frontsheet[[#This Row],[Service Area]],PathwayLookup!E:F,2,0)</f>
        <v>Reablement &amp; Rehabilitation at home</v>
      </c>
      <c r="C789" t="s">
        <v>289</v>
      </c>
      <c r="D789" t="s">
        <v>729</v>
      </c>
      <c r="V789"/>
      <c r="W789"/>
      <c r="X789"/>
    </row>
    <row r="790" spans="1:24" x14ac:dyDescent="0.3">
      <c r="A790" t="str">
        <f>Table_Capacity_Community_frontsheet[[#This Row],[Name]]&amp;B790</f>
        <v>South GloucestershireReablement &amp; Rehabilitation in a bedded setting</v>
      </c>
      <c r="B790" t="str">
        <f>VLOOKUP(Table_Capacity_Community_frontsheet[[#This Row],[Service Area]],PathwayLookup!E:F,2,0)</f>
        <v>Reablement &amp; Rehabilitation in a bedded setting</v>
      </c>
      <c r="C790" t="s">
        <v>289</v>
      </c>
      <c r="D790" t="s">
        <v>723</v>
      </c>
      <c r="V790"/>
      <c r="W790"/>
      <c r="X790"/>
    </row>
    <row r="791" spans="1:24" x14ac:dyDescent="0.3">
      <c r="A791" t="str">
        <f>Table_Capacity_Community_frontsheet[[#This Row],[Name]]&amp;B791</f>
        <v>South GloucestershireReablement &amp; Rehabilitation in a bedded setting</v>
      </c>
      <c r="B791" t="str">
        <f>VLOOKUP(Table_Capacity_Community_frontsheet[[#This Row],[Service Area]],PathwayLookup!E:F,2,0)</f>
        <v>Reablement &amp; Rehabilitation in a bedded setting</v>
      </c>
      <c r="C791" t="s">
        <v>289</v>
      </c>
      <c r="D791" t="s">
        <v>725</v>
      </c>
      <c r="V791"/>
      <c r="W791"/>
      <c r="X791"/>
    </row>
    <row r="792" spans="1:24" x14ac:dyDescent="0.3">
      <c r="A792" t="str">
        <f>Table_Capacity_Community_frontsheet[[#This Row],[Name]]&amp;B792</f>
        <v>South GloucestershireOther short-term social care</v>
      </c>
      <c r="B792" t="str">
        <f>VLOOKUP(Table_Capacity_Community_frontsheet[[#This Row],[Service Area]],PathwayLookup!E:F,2,0)</f>
        <v>Other short-term social care</v>
      </c>
      <c r="C792" t="s">
        <v>289</v>
      </c>
      <c r="D792" t="s">
        <v>708</v>
      </c>
      <c r="V792"/>
      <c r="W792"/>
      <c r="X792"/>
    </row>
    <row r="793" spans="1:24" x14ac:dyDescent="0.3">
      <c r="A793" t="str">
        <f>Table_Capacity_Community_frontsheet[[#This Row],[Name]]&amp;B793</f>
        <v>South TynesideSocial support (including VCS)</v>
      </c>
      <c r="B793" t="str">
        <f>VLOOKUP(Table_Capacity_Community_frontsheet[[#This Row],[Service Area]],PathwayLookup!E:F,2,0)</f>
        <v>Social support (including VCS)</v>
      </c>
      <c r="C793" t="s">
        <v>291</v>
      </c>
      <c r="D793" t="s">
        <v>704</v>
      </c>
      <c r="E793">
        <v>0</v>
      </c>
      <c r="F793">
        <v>0</v>
      </c>
      <c r="G793">
        <v>0</v>
      </c>
      <c r="H793">
        <v>50</v>
      </c>
      <c r="I793">
        <v>75</v>
      </c>
      <c r="J793">
        <v>150</v>
      </c>
      <c r="K793">
        <v>150</v>
      </c>
      <c r="L793">
        <v>150</v>
      </c>
      <c r="M793">
        <v>150</v>
      </c>
      <c r="N793">
        <v>150</v>
      </c>
      <c r="O793">
        <v>150</v>
      </c>
      <c r="P793">
        <v>150</v>
      </c>
      <c r="S793">
        <v>1</v>
      </c>
      <c r="V793"/>
      <c r="W793"/>
      <c r="X793"/>
    </row>
    <row r="794" spans="1:24" x14ac:dyDescent="0.3">
      <c r="A794" t="str">
        <f>Table_Capacity_Community_frontsheet[[#This Row],[Name]]&amp;B794</f>
        <v>South TynesideUrgent Community Response</v>
      </c>
      <c r="B794" t="str">
        <f>VLOOKUP(Table_Capacity_Community_frontsheet[[#This Row],[Service Area]],PathwayLookup!E:F,2,0)</f>
        <v>Urgent Community Response</v>
      </c>
      <c r="C794" t="s">
        <v>291</v>
      </c>
      <c r="D794" t="s">
        <v>705</v>
      </c>
      <c r="E794">
        <v>35</v>
      </c>
      <c r="F794">
        <v>31</v>
      </c>
      <c r="G794">
        <v>25</v>
      </c>
      <c r="H794">
        <v>25</v>
      </c>
      <c r="I794">
        <v>25</v>
      </c>
      <c r="J794">
        <v>24</v>
      </c>
      <c r="K794">
        <v>24</v>
      </c>
      <c r="L794">
        <v>24</v>
      </c>
      <c r="M794">
        <v>24</v>
      </c>
      <c r="N794">
        <v>24</v>
      </c>
      <c r="O794">
        <v>24</v>
      </c>
      <c r="P794">
        <v>24</v>
      </c>
      <c r="S794">
        <v>1</v>
      </c>
      <c r="V794"/>
      <c r="W794"/>
      <c r="X794"/>
    </row>
    <row r="795" spans="1:24" x14ac:dyDescent="0.3">
      <c r="A795" t="str">
        <f>Table_Capacity_Community_frontsheet[[#This Row],[Name]]&amp;B795</f>
        <v>South TynesideReablement &amp; Rehabilitation at home</v>
      </c>
      <c r="B795" t="str">
        <f>VLOOKUP(Table_Capacity_Community_frontsheet[[#This Row],[Service Area]],PathwayLookup!E:F,2,0)</f>
        <v>Reablement &amp; Rehabilitation at home</v>
      </c>
      <c r="C795" t="s">
        <v>291</v>
      </c>
      <c r="D795" t="s">
        <v>727</v>
      </c>
      <c r="E795">
        <v>102</v>
      </c>
      <c r="F795">
        <v>134</v>
      </c>
      <c r="G795">
        <v>139</v>
      </c>
      <c r="H795">
        <v>142</v>
      </c>
      <c r="I795">
        <v>145</v>
      </c>
      <c r="J795">
        <v>149</v>
      </c>
      <c r="K795">
        <v>152</v>
      </c>
      <c r="L795">
        <v>155</v>
      </c>
      <c r="M795">
        <v>158</v>
      </c>
      <c r="N795">
        <v>161</v>
      </c>
      <c r="O795">
        <v>164</v>
      </c>
      <c r="P795">
        <v>167</v>
      </c>
      <c r="S795">
        <v>1</v>
      </c>
      <c r="V795"/>
      <c r="W795"/>
      <c r="X795"/>
    </row>
    <row r="796" spans="1:24" x14ac:dyDescent="0.3">
      <c r="A796" t="str">
        <f>Table_Capacity_Community_frontsheet[[#This Row],[Name]]&amp;B796</f>
        <v>South TynesideReablement &amp; Rehabilitation at home</v>
      </c>
      <c r="B796" t="str">
        <f>VLOOKUP(Table_Capacity_Community_frontsheet[[#This Row],[Service Area]],PathwayLookup!E:F,2,0)</f>
        <v>Reablement &amp; Rehabilitation at home</v>
      </c>
      <c r="C796" t="s">
        <v>291</v>
      </c>
      <c r="D796" t="s">
        <v>729</v>
      </c>
      <c r="E796">
        <v>0</v>
      </c>
      <c r="F796">
        <v>0</v>
      </c>
      <c r="G796">
        <v>0</v>
      </c>
      <c r="H796">
        <v>0</v>
      </c>
      <c r="I796">
        <v>0</v>
      </c>
      <c r="J796">
        <v>0</v>
      </c>
      <c r="K796">
        <v>0</v>
      </c>
      <c r="L796">
        <v>0</v>
      </c>
      <c r="M796">
        <v>0</v>
      </c>
      <c r="N796">
        <v>0</v>
      </c>
      <c r="O796">
        <v>0</v>
      </c>
      <c r="P796">
        <v>0</v>
      </c>
      <c r="S796">
        <v>0</v>
      </c>
      <c r="V796"/>
      <c r="W796"/>
      <c r="X796"/>
    </row>
    <row r="797" spans="1:24" x14ac:dyDescent="0.3">
      <c r="A797" t="str">
        <f>Table_Capacity_Community_frontsheet[[#This Row],[Name]]&amp;B797</f>
        <v>South TynesideReablement &amp; Rehabilitation in a bedded setting</v>
      </c>
      <c r="B797" t="str">
        <f>VLOOKUP(Table_Capacity_Community_frontsheet[[#This Row],[Service Area]],PathwayLookup!E:F,2,0)</f>
        <v>Reablement &amp; Rehabilitation in a bedded setting</v>
      </c>
      <c r="C797" t="s">
        <v>291</v>
      </c>
      <c r="D797" t="s">
        <v>723</v>
      </c>
      <c r="E797">
        <v>4</v>
      </c>
      <c r="F797">
        <v>4</v>
      </c>
      <c r="G797">
        <v>4</v>
      </c>
      <c r="H797">
        <v>4</v>
      </c>
      <c r="I797">
        <v>4</v>
      </c>
      <c r="J797">
        <v>4</v>
      </c>
      <c r="K797">
        <v>7</v>
      </c>
      <c r="L797">
        <v>7</v>
      </c>
      <c r="M797">
        <v>7</v>
      </c>
      <c r="N797">
        <v>7</v>
      </c>
      <c r="O797">
        <v>7</v>
      </c>
      <c r="P797">
        <v>7</v>
      </c>
      <c r="S797">
        <v>1</v>
      </c>
      <c r="V797"/>
      <c r="W797"/>
      <c r="X797"/>
    </row>
    <row r="798" spans="1:24" x14ac:dyDescent="0.3">
      <c r="A798" t="str">
        <f>Table_Capacity_Community_frontsheet[[#This Row],[Name]]&amp;B798</f>
        <v>South TynesideReablement &amp; Rehabilitation in a bedded setting</v>
      </c>
      <c r="B798" t="str">
        <f>VLOOKUP(Table_Capacity_Community_frontsheet[[#This Row],[Service Area]],PathwayLookup!E:F,2,0)</f>
        <v>Reablement &amp; Rehabilitation in a bedded setting</v>
      </c>
      <c r="C798" t="s">
        <v>291</v>
      </c>
      <c r="D798" t="s">
        <v>725</v>
      </c>
      <c r="E798">
        <v>0</v>
      </c>
      <c r="F798">
        <v>0</v>
      </c>
      <c r="G798">
        <v>0</v>
      </c>
      <c r="H798">
        <v>0</v>
      </c>
      <c r="I798">
        <v>0</v>
      </c>
      <c r="J798">
        <v>0</v>
      </c>
      <c r="K798">
        <v>31</v>
      </c>
      <c r="L798">
        <v>32</v>
      </c>
      <c r="M798">
        <v>32</v>
      </c>
      <c r="N798">
        <v>32</v>
      </c>
      <c r="O798">
        <v>32</v>
      </c>
      <c r="P798">
        <v>32</v>
      </c>
      <c r="S798">
        <v>0</v>
      </c>
      <c r="V798"/>
      <c r="W798"/>
      <c r="X798"/>
    </row>
    <row r="799" spans="1:24" x14ac:dyDescent="0.3">
      <c r="A799" t="str">
        <f>Table_Capacity_Community_frontsheet[[#This Row],[Name]]&amp;B799</f>
        <v>South TynesideOther short-term social care</v>
      </c>
      <c r="B799" t="str">
        <f>VLOOKUP(Table_Capacity_Community_frontsheet[[#This Row],[Service Area]],PathwayLookup!E:F,2,0)</f>
        <v>Other short-term social care</v>
      </c>
      <c r="C799" t="s">
        <v>291</v>
      </c>
      <c r="D799" t="s">
        <v>708</v>
      </c>
      <c r="E799">
        <v>5</v>
      </c>
      <c r="F799">
        <v>8</v>
      </c>
      <c r="G799">
        <v>13</v>
      </c>
      <c r="H799">
        <v>13</v>
      </c>
      <c r="I799">
        <v>13</v>
      </c>
      <c r="J799">
        <v>13</v>
      </c>
      <c r="K799">
        <v>13</v>
      </c>
      <c r="L799">
        <v>13</v>
      </c>
      <c r="M799">
        <v>12</v>
      </c>
      <c r="N799">
        <v>12</v>
      </c>
      <c r="O799">
        <v>12</v>
      </c>
      <c r="P799">
        <v>12</v>
      </c>
      <c r="S799">
        <v>1</v>
      </c>
      <c r="V799"/>
      <c r="W799"/>
      <c r="X799"/>
    </row>
    <row r="800" spans="1:24" x14ac:dyDescent="0.3">
      <c r="A800" t="str">
        <f>Table_Capacity_Community_frontsheet[[#This Row],[Name]]&amp;B800</f>
        <v>SouthamptonSocial support (including VCS)</v>
      </c>
      <c r="B800" t="str">
        <f>VLOOKUP(Table_Capacity_Community_frontsheet[[#This Row],[Service Area]],PathwayLookup!E:F,2,0)</f>
        <v>Social support (including VCS)</v>
      </c>
      <c r="C800" t="s">
        <v>293</v>
      </c>
      <c r="D800" t="s">
        <v>704</v>
      </c>
      <c r="E800">
        <v>205</v>
      </c>
      <c r="F800">
        <v>205</v>
      </c>
      <c r="G800">
        <v>205</v>
      </c>
      <c r="H800">
        <v>205</v>
      </c>
      <c r="I800">
        <v>205</v>
      </c>
      <c r="J800">
        <v>205</v>
      </c>
      <c r="K800">
        <v>142</v>
      </c>
      <c r="L800">
        <v>142</v>
      </c>
      <c r="M800">
        <v>142</v>
      </c>
      <c r="N800">
        <v>142</v>
      </c>
      <c r="O800">
        <v>142</v>
      </c>
      <c r="P800">
        <v>142</v>
      </c>
      <c r="Q800">
        <v>0.66</v>
      </c>
      <c r="R800">
        <v>0</v>
      </c>
      <c r="S800">
        <v>0.34</v>
      </c>
      <c r="V800"/>
      <c r="W800"/>
      <c r="X800"/>
    </row>
    <row r="801" spans="1:24" x14ac:dyDescent="0.3">
      <c r="A801" t="str">
        <f>Table_Capacity_Community_frontsheet[[#This Row],[Name]]&amp;B801</f>
        <v>SouthamptonUrgent Community Response</v>
      </c>
      <c r="B801" t="str">
        <f>VLOOKUP(Table_Capacity_Community_frontsheet[[#This Row],[Service Area]],PathwayLookup!E:F,2,0)</f>
        <v>Urgent Community Response</v>
      </c>
      <c r="C801" t="s">
        <v>293</v>
      </c>
      <c r="D801" t="s">
        <v>705</v>
      </c>
      <c r="E801">
        <v>217</v>
      </c>
      <c r="F801">
        <v>225</v>
      </c>
      <c r="G801">
        <v>217</v>
      </c>
      <c r="H801">
        <v>225</v>
      </c>
      <c r="I801">
        <v>225</v>
      </c>
      <c r="J801">
        <v>217</v>
      </c>
      <c r="K801">
        <v>225</v>
      </c>
      <c r="L801">
        <v>217</v>
      </c>
      <c r="M801">
        <v>224</v>
      </c>
      <c r="N801">
        <v>225</v>
      </c>
      <c r="O801">
        <v>203</v>
      </c>
      <c r="P801">
        <v>224</v>
      </c>
      <c r="Q801">
        <v>1</v>
      </c>
      <c r="R801">
        <v>0</v>
      </c>
      <c r="S801">
        <v>0</v>
      </c>
      <c r="V801"/>
      <c r="W801"/>
      <c r="X801"/>
    </row>
    <row r="802" spans="1:24" x14ac:dyDescent="0.3">
      <c r="A802" t="str">
        <f>Table_Capacity_Community_frontsheet[[#This Row],[Name]]&amp;B802</f>
        <v>SouthamptonReablement &amp; Rehabilitation at home</v>
      </c>
      <c r="B802" t="str">
        <f>VLOOKUP(Table_Capacity_Community_frontsheet[[#This Row],[Service Area]],PathwayLookup!E:F,2,0)</f>
        <v>Reablement &amp; Rehabilitation at home</v>
      </c>
      <c r="C802" t="s">
        <v>293</v>
      </c>
      <c r="D802" t="s">
        <v>727</v>
      </c>
      <c r="E802">
        <v>10</v>
      </c>
      <c r="F802">
        <v>10</v>
      </c>
      <c r="G802">
        <v>10</v>
      </c>
      <c r="H802">
        <v>11</v>
      </c>
      <c r="I802">
        <v>10</v>
      </c>
      <c r="J802">
        <v>10</v>
      </c>
      <c r="K802">
        <v>11</v>
      </c>
      <c r="L802">
        <v>10</v>
      </c>
      <c r="M802">
        <v>11</v>
      </c>
      <c r="N802">
        <v>10</v>
      </c>
      <c r="O802">
        <v>9</v>
      </c>
      <c r="P802">
        <v>10</v>
      </c>
      <c r="Q802">
        <v>0</v>
      </c>
      <c r="R802">
        <v>0</v>
      </c>
      <c r="S802">
        <v>1</v>
      </c>
      <c r="V802"/>
      <c r="W802"/>
      <c r="X802"/>
    </row>
    <row r="803" spans="1:24" x14ac:dyDescent="0.3">
      <c r="A803" t="str">
        <f>Table_Capacity_Community_frontsheet[[#This Row],[Name]]&amp;B803</f>
        <v>SouthamptonReablement &amp; Rehabilitation at home</v>
      </c>
      <c r="B803" t="str">
        <f>VLOOKUP(Table_Capacity_Community_frontsheet[[#This Row],[Service Area]],PathwayLookup!E:F,2,0)</f>
        <v>Reablement &amp; Rehabilitation at home</v>
      </c>
      <c r="C803" t="s">
        <v>293</v>
      </c>
      <c r="D803" t="s">
        <v>729</v>
      </c>
      <c r="E803">
        <v>143</v>
      </c>
      <c r="F803">
        <v>148</v>
      </c>
      <c r="G803">
        <v>143</v>
      </c>
      <c r="H803">
        <v>148</v>
      </c>
      <c r="I803">
        <v>148</v>
      </c>
      <c r="J803">
        <v>143</v>
      </c>
      <c r="K803">
        <v>148</v>
      </c>
      <c r="L803">
        <v>143</v>
      </c>
      <c r="M803">
        <v>148</v>
      </c>
      <c r="N803">
        <v>148</v>
      </c>
      <c r="O803">
        <v>133</v>
      </c>
      <c r="P803">
        <v>148</v>
      </c>
      <c r="Q803">
        <v>0</v>
      </c>
      <c r="R803">
        <v>0</v>
      </c>
      <c r="S803">
        <v>1</v>
      </c>
      <c r="V803"/>
      <c r="W803"/>
      <c r="X803"/>
    </row>
    <row r="804" spans="1:24" x14ac:dyDescent="0.3">
      <c r="A804" t="str">
        <f>Table_Capacity_Community_frontsheet[[#This Row],[Name]]&amp;B804</f>
        <v>SouthamptonReablement &amp; Rehabilitation in a bedded setting</v>
      </c>
      <c r="B804" t="str">
        <f>VLOOKUP(Table_Capacity_Community_frontsheet[[#This Row],[Service Area]],PathwayLookup!E:F,2,0)</f>
        <v>Reablement &amp; Rehabilitation in a bedded setting</v>
      </c>
      <c r="C804" t="s">
        <v>293</v>
      </c>
      <c r="D804" t="s">
        <v>723</v>
      </c>
      <c r="E804">
        <v>4</v>
      </c>
      <c r="F804">
        <v>4</v>
      </c>
      <c r="G804">
        <v>4</v>
      </c>
      <c r="H804">
        <v>4</v>
      </c>
      <c r="I804">
        <v>4</v>
      </c>
      <c r="J804">
        <v>4</v>
      </c>
      <c r="K804">
        <v>4</v>
      </c>
      <c r="L804">
        <v>4</v>
      </c>
      <c r="M804">
        <v>4</v>
      </c>
      <c r="N804">
        <v>4</v>
      </c>
      <c r="O804">
        <v>4</v>
      </c>
      <c r="P804">
        <v>4</v>
      </c>
      <c r="Q804">
        <v>0</v>
      </c>
      <c r="R804">
        <v>0</v>
      </c>
      <c r="S804">
        <v>1</v>
      </c>
      <c r="V804"/>
      <c r="W804"/>
      <c r="X804"/>
    </row>
    <row r="805" spans="1:24" x14ac:dyDescent="0.3">
      <c r="A805" t="str">
        <f>Table_Capacity_Community_frontsheet[[#This Row],[Name]]&amp;B805</f>
        <v>SouthamptonReablement &amp; Rehabilitation in a bedded setting</v>
      </c>
      <c r="B805" t="str">
        <f>VLOOKUP(Table_Capacity_Community_frontsheet[[#This Row],[Service Area]],PathwayLookup!E:F,2,0)</f>
        <v>Reablement &amp; Rehabilitation in a bedded setting</v>
      </c>
      <c r="C805" t="s">
        <v>293</v>
      </c>
      <c r="D805" t="s">
        <v>725</v>
      </c>
      <c r="E805">
        <v>54</v>
      </c>
      <c r="F805">
        <v>54</v>
      </c>
      <c r="G805">
        <v>54</v>
      </c>
      <c r="H805">
        <v>54</v>
      </c>
      <c r="I805">
        <v>54</v>
      </c>
      <c r="J805">
        <v>54</v>
      </c>
      <c r="K805">
        <v>54</v>
      </c>
      <c r="L805">
        <v>54</v>
      </c>
      <c r="M805">
        <v>54</v>
      </c>
      <c r="N805">
        <v>54</v>
      </c>
      <c r="O805">
        <v>54</v>
      </c>
      <c r="P805">
        <v>54</v>
      </c>
      <c r="Q805">
        <v>1</v>
      </c>
      <c r="R805">
        <v>0</v>
      </c>
      <c r="S805">
        <v>0</v>
      </c>
      <c r="V805"/>
      <c r="W805"/>
      <c r="X805"/>
    </row>
    <row r="806" spans="1:24" x14ac:dyDescent="0.3">
      <c r="A806" t="str">
        <f>Table_Capacity_Community_frontsheet[[#This Row],[Name]]&amp;B806</f>
        <v>SouthamptonOther short-term social care</v>
      </c>
      <c r="B806" t="str">
        <f>VLOOKUP(Table_Capacity_Community_frontsheet[[#This Row],[Service Area]],PathwayLookup!E:F,2,0)</f>
        <v>Other short-term social care</v>
      </c>
      <c r="C806" t="s">
        <v>293</v>
      </c>
      <c r="D806" t="s">
        <v>708</v>
      </c>
      <c r="E806">
        <v>0</v>
      </c>
      <c r="F806">
        <v>0</v>
      </c>
      <c r="G806">
        <v>0</v>
      </c>
      <c r="H806">
        <v>0</v>
      </c>
      <c r="I806">
        <v>0</v>
      </c>
      <c r="J806">
        <v>0</v>
      </c>
      <c r="K806">
        <v>0</v>
      </c>
      <c r="L806">
        <v>0</v>
      </c>
      <c r="M806">
        <v>0</v>
      </c>
      <c r="N806">
        <v>0</v>
      </c>
      <c r="O806">
        <v>0</v>
      </c>
      <c r="P806">
        <v>0</v>
      </c>
      <c r="Q806">
        <v>0</v>
      </c>
      <c r="R806">
        <v>0</v>
      </c>
      <c r="S806">
        <v>0</v>
      </c>
      <c r="V806"/>
      <c r="W806"/>
      <c r="X806"/>
    </row>
    <row r="807" spans="1:24" x14ac:dyDescent="0.3">
      <c r="A807" t="str">
        <f>Table_Capacity_Community_frontsheet[[#This Row],[Name]]&amp;B807</f>
        <v>Southend-on-SeaSocial support (including VCS)</v>
      </c>
      <c r="B807" t="str">
        <f>VLOOKUP(Table_Capacity_Community_frontsheet[[#This Row],[Service Area]],PathwayLookup!E:F,2,0)</f>
        <v>Social support (including VCS)</v>
      </c>
      <c r="C807" t="s">
        <v>295</v>
      </c>
      <c r="D807" t="s">
        <v>704</v>
      </c>
      <c r="E807">
        <v>0</v>
      </c>
      <c r="F807">
        <v>0</v>
      </c>
      <c r="G807">
        <v>0</v>
      </c>
      <c r="H807">
        <v>0</v>
      </c>
      <c r="I807">
        <v>0</v>
      </c>
      <c r="J807">
        <v>0</v>
      </c>
      <c r="K807">
        <v>0</v>
      </c>
      <c r="L807">
        <v>0</v>
      </c>
      <c r="M807">
        <v>0</v>
      </c>
      <c r="N807">
        <v>0</v>
      </c>
      <c r="O807">
        <v>0</v>
      </c>
      <c r="P807">
        <v>0</v>
      </c>
      <c r="V807"/>
      <c r="W807"/>
      <c r="X807"/>
    </row>
    <row r="808" spans="1:24" x14ac:dyDescent="0.3">
      <c r="A808" t="str">
        <f>Table_Capacity_Community_frontsheet[[#This Row],[Name]]&amp;B808</f>
        <v>Southend-on-SeaUrgent Community Response</v>
      </c>
      <c r="B808" t="str">
        <f>VLOOKUP(Table_Capacity_Community_frontsheet[[#This Row],[Service Area]],PathwayLookup!E:F,2,0)</f>
        <v>Urgent Community Response</v>
      </c>
      <c r="C808" t="s">
        <v>295</v>
      </c>
      <c r="D808" t="s">
        <v>705</v>
      </c>
      <c r="E808">
        <v>379</v>
      </c>
      <c r="F808">
        <v>379</v>
      </c>
      <c r="G808">
        <v>379</v>
      </c>
      <c r="H808">
        <v>379</v>
      </c>
      <c r="I808">
        <v>379</v>
      </c>
      <c r="J808">
        <v>379</v>
      </c>
      <c r="K808">
        <v>379</v>
      </c>
      <c r="L808">
        <v>379</v>
      </c>
      <c r="M808">
        <v>379</v>
      </c>
      <c r="N808">
        <v>379</v>
      </c>
      <c r="O808">
        <v>379</v>
      </c>
      <c r="P808">
        <v>379</v>
      </c>
      <c r="V808"/>
      <c r="W808"/>
      <c r="X808"/>
    </row>
    <row r="809" spans="1:24" x14ac:dyDescent="0.3">
      <c r="A809" t="str">
        <f>Table_Capacity_Community_frontsheet[[#This Row],[Name]]&amp;B809</f>
        <v>Southend-on-SeaReablement &amp; Rehabilitation at home</v>
      </c>
      <c r="B809" t="str">
        <f>VLOOKUP(Table_Capacity_Community_frontsheet[[#This Row],[Service Area]],PathwayLookup!E:F,2,0)</f>
        <v>Reablement &amp; Rehabilitation at home</v>
      </c>
      <c r="C809" t="s">
        <v>295</v>
      </c>
      <c r="D809" t="s">
        <v>727</v>
      </c>
      <c r="E809">
        <v>80</v>
      </c>
      <c r="F809">
        <v>77</v>
      </c>
      <c r="G809">
        <v>80</v>
      </c>
      <c r="H809">
        <v>80</v>
      </c>
      <c r="I809">
        <v>80</v>
      </c>
      <c r="J809">
        <v>80</v>
      </c>
      <c r="K809">
        <v>80</v>
      </c>
      <c r="L809">
        <v>80</v>
      </c>
      <c r="M809">
        <v>80</v>
      </c>
      <c r="N809">
        <v>80</v>
      </c>
      <c r="O809">
        <v>80</v>
      </c>
      <c r="P809">
        <v>80</v>
      </c>
      <c r="V809"/>
      <c r="W809"/>
      <c r="X809"/>
    </row>
    <row r="810" spans="1:24" x14ac:dyDescent="0.3">
      <c r="A810" t="str">
        <f>Table_Capacity_Community_frontsheet[[#This Row],[Name]]&amp;B810</f>
        <v>Southend-on-SeaReablement &amp; Rehabilitation at home</v>
      </c>
      <c r="B810" t="str">
        <f>VLOOKUP(Table_Capacity_Community_frontsheet[[#This Row],[Service Area]],PathwayLookup!E:F,2,0)</f>
        <v>Reablement &amp; Rehabilitation at home</v>
      </c>
      <c r="C810" t="s">
        <v>295</v>
      </c>
      <c r="D810" t="s">
        <v>729</v>
      </c>
      <c r="E810">
        <v>0</v>
      </c>
      <c r="F810">
        <v>0</v>
      </c>
      <c r="G810">
        <v>0</v>
      </c>
      <c r="H810">
        <v>0</v>
      </c>
      <c r="I810">
        <v>0</v>
      </c>
      <c r="J810">
        <v>0</v>
      </c>
      <c r="K810">
        <v>0</v>
      </c>
      <c r="L810">
        <v>0</v>
      </c>
      <c r="M810">
        <v>0</v>
      </c>
      <c r="N810">
        <v>0</v>
      </c>
      <c r="O810">
        <v>0</v>
      </c>
      <c r="P810">
        <v>0</v>
      </c>
      <c r="V810"/>
      <c r="W810"/>
      <c r="X810"/>
    </row>
    <row r="811" spans="1:24" x14ac:dyDescent="0.3">
      <c r="A811" t="str">
        <f>Table_Capacity_Community_frontsheet[[#This Row],[Name]]&amp;B811</f>
        <v>Southend-on-SeaOther short-term social care</v>
      </c>
      <c r="B811" t="str">
        <f>VLOOKUP(Table_Capacity_Community_frontsheet[[#This Row],[Service Area]],PathwayLookup!E:F,2,0)</f>
        <v>Other short-term social care</v>
      </c>
      <c r="C811" t="s">
        <v>295</v>
      </c>
      <c r="D811" t="s">
        <v>708</v>
      </c>
      <c r="E811">
        <v>0</v>
      </c>
      <c r="F811">
        <v>0</v>
      </c>
      <c r="G811">
        <v>0</v>
      </c>
      <c r="H811">
        <v>0</v>
      </c>
      <c r="I811">
        <v>0</v>
      </c>
      <c r="J811">
        <v>0</v>
      </c>
      <c r="K811">
        <v>0</v>
      </c>
      <c r="L811">
        <v>0</v>
      </c>
      <c r="M811">
        <v>0</v>
      </c>
      <c r="N811">
        <v>0</v>
      </c>
      <c r="O811">
        <v>0</v>
      </c>
      <c r="P811">
        <v>0</v>
      </c>
      <c r="V811"/>
      <c r="W811"/>
      <c r="X811"/>
    </row>
    <row r="812" spans="1:24" x14ac:dyDescent="0.3">
      <c r="A812" t="str">
        <f>Table_Capacity_Community_frontsheet[[#This Row],[Name]]&amp;B812</f>
        <v>Southend-on-SeaReablement &amp; Rehabilitation in a bedded setting</v>
      </c>
      <c r="B812" t="str">
        <f>VLOOKUP(Table_Capacity_Community_frontsheet[[#This Row],[Service Area]],PathwayLookup!E:F,2,0)</f>
        <v>Reablement &amp; Rehabilitation in a bedded setting</v>
      </c>
      <c r="C812" t="s">
        <v>295</v>
      </c>
      <c r="D812" t="s">
        <v>723</v>
      </c>
      <c r="E812">
        <v>4</v>
      </c>
      <c r="F812">
        <v>5</v>
      </c>
      <c r="G812">
        <v>2</v>
      </c>
      <c r="H812">
        <v>2</v>
      </c>
      <c r="I812">
        <v>2</v>
      </c>
      <c r="J812">
        <v>2</v>
      </c>
      <c r="K812">
        <v>2</v>
      </c>
      <c r="L812">
        <v>2</v>
      </c>
      <c r="M812">
        <v>2</v>
      </c>
      <c r="N812">
        <v>2</v>
      </c>
      <c r="O812">
        <v>2</v>
      </c>
      <c r="P812">
        <v>2</v>
      </c>
      <c r="V812"/>
      <c r="W812"/>
      <c r="X812"/>
    </row>
    <row r="813" spans="1:24" x14ac:dyDescent="0.3">
      <c r="A813" t="str">
        <f>Table_Capacity_Community_frontsheet[[#This Row],[Name]]&amp;B813</f>
        <v>Southend-on-SeaReablement &amp; Rehabilitation in a bedded setting</v>
      </c>
      <c r="B813" t="str">
        <f>VLOOKUP(Table_Capacity_Community_frontsheet[[#This Row],[Service Area]],PathwayLookup!E:F,2,0)</f>
        <v>Reablement &amp; Rehabilitation in a bedded setting</v>
      </c>
      <c r="C813" t="s">
        <v>295</v>
      </c>
      <c r="D813" t="s">
        <v>725</v>
      </c>
      <c r="E813">
        <v>0</v>
      </c>
      <c r="F813">
        <v>0</v>
      </c>
      <c r="G813">
        <v>0</v>
      </c>
      <c r="H813">
        <v>0</v>
      </c>
      <c r="I813">
        <v>0</v>
      </c>
      <c r="J813">
        <v>0</v>
      </c>
      <c r="K813">
        <v>0</v>
      </c>
      <c r="L813">
        <v>0</v>
      </c>
      <c r="M813">
        <v>0</v>
      </c>
      <c r="N813">
        <v>0</v>
      </c>
      <c r="O813">
        <v>0</v>
      </c>
      <c r="P813">
        <v>0</v>
      </c>
      <c r="V813"/>
      <c r="W813"/>
      <c r="X813"/>
    </row>
    <row r="814" spans="1:24" x14ac:dyDescent="0.3">
      <c r="A814" t="str">
        <f>Table_Capacity_Community_frontsheet[[#This Row],[Name]]&amp;B814</f>
        <v>SouthwarkSocial support (including VCS)</v>
      </c>
      <c r="B814" t="str">
        <f>VLOOKUP(Table_Capacity_Community_frontsheet[[#This Row],[Service Area]],PathwayLookup!E:F,2,0)</f>
        <v>Social support (including VCS)</v>
      </c>
      <c r="C814" t="s">
        <v>297</v>
      </c>
      <c r="D814" t="s">
        <v>704</v>
      </c>
      <c r="E814">
        <v>0</v>
      </c>
      <c r="F814">
        <v>0</v>
      </c>
      <c r="G814">
        <v>0</v>
      </c>
      <c r="H814">
        <v>0</v>
      </c>
      <c r="I814">
        <v>0</v>
      </c>
      <c r="J814">
        <v>0</v>
      </c>
      <c r="K814">
        <v>0</v>
      </c>
      <c r="L814">
        <v>0</v>
      </c>
      <c r="M814">
        <v>0</v>
      </c>
      <c r="N814">
        <v>0</v>
      </c>
      <c r="O814">
        <v>0</v>
      </c>
      <c r="P814">
        <v>0</v>
      </c>
      <c r="Q814">
        <v>0</v>
      </c>
      <c r="R814">
        <v>0</v>
      </c>
      <c r="S814">
        <v>0</v>
      </c>
      <c r="V814"/>
      <c r="W814"/>
      <c r="X814"/>
    </row>
    <row r="815" spans="1:24" x14ac:dyDescent="0.3">
      <c r="A815" t="str">
        <f>Table_Capacity_Community_frontsheet[[#This Row],[Name]]&amp;B815</f>
        <v>SouthwarkUrgent Community Response</v>
      </c>
      <c r="B815" t="str">
        <f>VLOOKUP(Table_Capacity_Community_frontsheet[[#This Row],[Service Area]],PathwayLookup!E:F,2,0)</f>
        <v>Urgent Community Response</v>
      </c>
      <c r="C815" t="s">
        <v>297</v>
      </c>
      <c r="D815" t="s">
        <v>705</v>
      </c>
      <c r="E815">
        <v>120</v>
      </c>
      <c r="F815">
        <v>120</v>
      </c>
      <c r="G815">
        <v>120</v>
      </c>
      <c r="H815">
        <v>120</v>
      </c>
      <c r="I815">
        <v>120</v>
      </c>
      <c r="J815">
        <v>120</v>
      </c>
      <c r="K815">
        <v>120</v>
      </c>
      <c r="L815">
        <v>120</v>
      </c>
      <c r="M815">
        <v>120</v>
      </c>
      <c r="N815">
        <v>120</v>
      </c>
      <c r="O815">
        <v>120</v>
      </c>
      <c r="P815">
        <v>120</v>
      </c>
      <c r="Q815">
        <v>1</v>
      </c>
      <c r="R815">
        <v>0</v>
      </c>
      <c r="S815">
        <v>0</v>
      </c>
      <c r="V815"/>
      <c r="W815"/>
      <c r="X815"/>
    </row>
    <row r="816" spans="1:24" x14ac:dyDescent="0.3">
      <c r="A816" t="str">
        <f>Table_Capacity_Community_frontsheet[[#This Row],[Name]]&amp;B816</f>
        <v>SouthwarkReablement &amp; Rehabilitation at home</v>
      </c>
      <c r="B816" t="str">
        <f>VLOOKUP(Table_Capacity_Community_frontsheet[[#This Row],[Service Area]],PathwayLookup!E:F,2,0)</f>
        <v>Reablement &amp; Rehabilitation at home</v>
      </c>
      <c r="C816" t="s">
        <v>297</v>
      </c>
      <c r="D816" t="s">
        <v>727</v>
      </c>
      <c r="E816">
        <v>39</v>
      </c>
      <c r="F816">
        <v>56</v>
      </c>
      <c r="G816">
        <v>56</v>
      </c>
      <c r="H816">
        <v>35</v>
      </c>
      <c r="I816">
        <v>21</v>
      </c>
      <c r="J816">
        <v>17</v>
      </c>
      <c r="K816">
        <v>23</v>
      </c>
      <c r="L816">
        <v>29</v>
      </c>
      <c r="M816">
        <v>22</v>
      </c>
      <c r="N816">
        <v>22</v>
      </c>
      <c r="O816">
        <v>22</v>
      </c>
      <c r="P816">
        <v>12</v>
      </c>
      <c r="Q816">
        <v>0</v>
      </c>
      <c r="R816">
        <v>1</v>
      </c>
      <c r="S816">
        <v>0</v>
      </c>
      <c r="V816"/>
      <c r="W816"/>
      <c r="X816"/>
    </row>
    <row r="817" spans="1:24" x14ac:dyDescent="0.3">
      <c r="A817" t="str">
        <f>Table_Capacity_Community_frontsheet[[#This Row],[Name]]&amp;B817</f>
        <v>SouthwarkReablement &amp; Rehabilitation at home</v>
      </c>
      <c r="B817" t="str">
        <f>VLOOKUP(Table_Capacity_Community_frontsheet[[#This Row],[Service Area]],PathwayLookup!E:F,2,0)</f>
        <v>Reablement &amp; Rehabilitation at home</v>
      </c>
      <c r="C817" t="s">
        <v>297</v>
      </c>
      <c r="D817" t="s">
        <v>729</v>
      </c>
      <c r="E817">
        <v>54</v>
      </c>
      <c r="F817">
        <v>54</v>
      </c>
      <c r="G817">
        <v>54</v>
      </c>
      <c r="H817">
        <v>54</v>
      </c>
      <c r="I817">
        <v>54</v>
      </c>
      <c r="J817">
        <v>54</v>
      </c>
      <c r="K817">
        <v>54</v>
      </c>
      <c r="L817">
        <v>54</v>
      </c>
      <c r="M817">
        <v>54</v>
      </c>
      <c r="N817">
        <v>54</v>
      </c>
      <c r="O817">
        <v>54</v>
      </c>
      <c r="P817">
        <v>54</v>
      </c>
      <c r="Q817">
        <v>1</v>
      </c>
      <c r="R817">
        <v>0</v>
      </c>
      <c r="S817">
        <v>0</v>
      </c>
      <c r="V817"/>
      <c r="W817"/>
      <c r="X817"/>
    </row>
    <row r="818" spans="1:24" x14ac:dyDescent="0.3">
      <c r="A818" t="str">
        <f>Table_Capacity_Community_frontsheet[[#This Row],[Name]]&amp;B818</f>
        <v>SouthwarkReablement &amp; Rehabilitation in a bedded setting</v>
      </c>
      <c r="B818" t="str">
        <f>VLOOKUP(Table_Capacity_Community_frontsheet[[#This Row],[Service Area]],PathwayLookup!E:F,2,0)</f>
        <v>Reablement &amp; Rehabilitation in a bedded setting</v>
      </c>
      <c r="C818" t="s">
        <v>297</v>
      </c>
      <c r="D818" t="s">
        <v>723</v>
      </c>
      <c r="E818">
        <v>0</v>
      </c>
      <c r="F818">
        <v>0</v>
      </c>
      <c r="G818">
        <v>0</v>
      </c>
      <c r="H818">
        <v>0</v>
      </c>
      <c r="I818">
        <v>0</v>
      </c>
      <c r="J818">
        <v>0</v>
      </c>
      <c r="K818">
        <v>0</v>
      </c>
      <c r="L818">
        <v>0</v>
      </c>
      <c r="M818">
        <v>0</v>
      </c>
      <c r="N818">
        <v>0</v>
      </c>
      <c r="O818">
        <v>0</v>
      </c>
      <c r="P818">
        <v>0</v>
      </c>
      <c r="Q818">
        <v>0</v>
      </c>
      <c r="R818">
        <v>0</v>
      </c>
      <c r="S818">
        <v>0</v>
      </c>
      <c r="V818"/>
      <c r="W818"/>
      <c r="X818"/>
    </row>
    <row r="819" spans="1:24" x14ac:dyDescent="0.3">
      <c r="A819" t="str">
        <f>Table_Capacity_Community_frontsheet[[#This Row],[Name]]&amp;B819</f>
        <v>SouthwarkReablement &amp; Rehabilitation in a bedded setting</v>
      </c>
      <c r="B819" t="str">
        <f>VLOOKUP(Table_Capacity_Community_frontsheet[[#This Row],[Service Area]],PathwayLookup!E:F,2,0)</f>
        <v>Reablement &amp; Rehabilitation in a bedded setting</v>
      </c>
      <c r="C819" t="s">
        <v>297</v>
      </c>
      <c r="D819" t="s">
        <v>725</v>
      </c>
      <c r="E819">
        <v>0</v>
      </c>
      <c r="F819">
        <v>0</v>
      </c>
      <c r="G819">
        <v>0</v>
      </c>
      <c r="H819">
        <v>0</v>
      </c>
      <c r="I819">
        <v>0</v>
      </c>
      <c r="J819">
        <v>0</v>
      </c>
      <c r="K819">
        <v>0</v>
      </c>
      <c r="L819">
        <v>0</v>
      </c>
      <c r="M819">
        <v>0</v>
      </c>
      <c r="N819">
        <v>0</v>
      </c>
      <c r="O819">
        <v>0</v>
      </c>
      <c r="P819">
        <v>0</v>
      </c>
      <c r="Q819">
        <v>0</v>
      </c>
      <c r="R819">
        <v>0</v>
      </c>
      <c r="S819">
        <v>0</v>
      </c>
      <c r="V819"/>
      <c r="W819"/>
      <c r="X819"/>
    </row>
    <row r="820" spans="1:24" x14ac:dyDescent="0.3">
      <c r="A820" t="str">
        <f>Table_Capacity_Community_frontsheet[[#This Row],[Name]]&amp;B820</f>
        <v>SouthwarkOther short-term social care</v>
      </c>
      <c r="B820" t="str">
        <f>VLOOKUP(Table_Capacity_Community_frontsheet[[#This Row],[Service Area]],PathwayLookup!E:F,2,0)</f>
        <v>Other short-term social care</v>
      </c>
      <c r="C820" t="s">
        <v>297</v>
      </c>
      <c r="D820" t="s">
        <v>708</v>
      </c>
      <c r="E820">
        <v>0</v>
      </c>
      <c r="F820">
        <v>0</v>
      </c>
      <c r="G820">
        <v>0</v>
      </c>
      <c r="H820">
        <v>0</v>
      </c>
      <c r="I820">
        <v>0</v>
      </c>
      <c r="J820">
        <v>0</v>
      </c>
      <c r="K820">
        <v>0</v>
      </c>
      <c r="L820">
        <v>0</v>
      </c>
      <c r="M820">
        <v>0</v>
      </c>
      <c r="N820">
        <v>0</v>
      </c>
      <c r="O820">
        <v>0</v>
      </c>
      <c r="P820">
        <v>0</v>
      </c>
      <c r="Q820">
        <v>0</v>
      </c>
      <c r="R820">
        <v>0</v>
      </c>
      <c r="S820">
        <v>0</v>
      </c>
      <c r="V820"/>
      <c r="W820"/>
      <c r="X820"/>
    </row>
    <row r="821" spans="1:24" x14ac:dyDescent="0.3">
      <c r="A821" t="str">
        <f>Table_Capacity_Community_frontsheet[[#This Row],[Name]]&amp;B821</f>
        <v>St. HelensSocial support (including VCS)</v>
      </c>
      <c r="B821" t="str">
        <f>VLOOKUP(Table_Capacity_Community_frontsheet[[#This Row],[Service Area]],PathwayLookup!E:F,2,0)</f>
        <v>Social support (including VCS)</v>
      </c>
      <c r="C821" t="s">
        <v>299</v>
      </c>
      <c r="D821" t="s">
        <v>704</v>
      </c>
      <c r="E821">
        <v>600</v>
      </c>
      <c r="F821">
        <v>600</v>
      </c>
      <c r="G821">
        <v>600</v>
      </c>
      <c r="H821">
        <v>600</v>
      </c>
      <c r="I821">
        <v>600</v>
      </c>
      <c r="J821">
        <v>600</v>
      </c>
      <c r="K821">
        <v>600</v>
      </c>
      <c r="L821">
        <v>600</v>
      </c>
      <c r="M821">
        <v>600</v>
      </c>
      <c r="N821">
        <v>600</v>
      </c>
      <c r="O821">
        <v>600</v>
      </c>
      <c r="P821">
        <v>600</v>
      </c>
      <c r="R821">
        <v>1</v>
      </c>
      <c r="V821"/>
      <c r="W821"/>
      <c r="X821"/>
    </row>
    <row r="822" spans="1:24" x14ac:dyDescent="0.3">
      <c r="A822" t="str">
        <f>Table_Capacity_Community_frontsheet[[#This Row],[Name]]&amp;B822</f>
        <v>St. HelensUrgent Community Response</v>
      </c>
      <c r="B822" t="str">
        <f>VLOOKUP(Table_Capacity_Community_frontsheet[[#This Row],[Service Area]],PathwayLookup!E:F,2,0)</f>
        <v>Urgent Community Response</v>
      </c>
      <c r="C822" t="s">
        <v>299</v>
      </c>
      <c r="D822" t="s">
        <v>705</v>
      </c>
      <c r="E822">
        <v>300</v>
      </c>
      <c r="F822">
        <v>310</v>
      </c>
      <c r="G822">
        <v>300</v>
      </c>
      <c r="H822">
        <v>310</v>
      </c>
      <c r="I822">
        <v>310</v>
      </c>
      <c r="J822">
        <v>300</v>
      </c>
      <c r="K822">
        <v>310</v>
      </c>
      <c r="L822">
        <v>300</v>
      </c>
      <c r="M822">
        <v>310</v>
      </c>
      <c r="N822">
        <v>310</v>
      </c>
      <c r="O822">
        <v>280</v>
      </c>
      <c r="P822">
        <v>310</v>
      </c>
      <c r="R822">
        <v>1</v>
      </c>
      <c r="V822"/>
      <c r="W822"/>
      <c r="X822"/>
    </row>
    <row r="823" spans="1:24" x14ac:dyDescent="0.3">
      <c r="A823" t="str">
        <f>Table_Capacity_Community_frontsheet[[#This Row],[Name]]&amp;B823</f>
        <v>St. HelensReablement &amp; Rehabilitation at home</v>
      </c>
      <c r="B823" t="str">
        <f>VLOOKUP(Table_Capacity_Community_frontsheet[[#This Row],[Service Area]],PathwayLookup!E:F,2,0)</f>
        <v>Reablement &amp; Rehabilitation at home</v>
      </c>
      <c r="C823" t="s">
        <v>299</v>
      </c>
      <c r="D823" t="s">
        <v>727</v>
      </c>
      <c r="E823">
        <v>49</v>
      </c>
      <c r="F823">
        <v>49</v>
      </c>
      <c r="G823">
        <v>49</v>
      </c>
      <c r="H823">
        <v>49</v>
      </c>
      <c r="I823">
        <v>49</v>
      </c>
      <c r="J823">
        <v>49</v>
      </c>
      <c r="K823">
        <v>49</v>
      </c>
      <c r="L823">
        <v>49</v>
      </c>
      <c r="M823">
        <v>49</v>
      </c>
      <c r="N823">
        <v>49</v>
      </c>
      <c r="O823">
        <v>49</v>
      </c>
      <c r="P823">
        <v>49</v>
      </c>
      <c r="R823">
        <v>1</v>
      </c>
      <c r="V823"/>
      <c r="W823"/>
      <c r="X823"/>
    </row>
    <row r="824" spans="1:24" x14ac:dyDescent="0.3">
      <c r="A824" t="str">
        <f>Table_Capacity_Community_frontsheet[[#This Row],[Name]]&amp;B824</f>
        <v>St. HelensReablement &amp; Rehabilitation at home</v>
      </c>
      <c r="B824" t="str">
        <f>VLOOKUP(Table_Capacity_Community_frontsheet[[#This Row],[Service Area]],PathwayLookup!E:F,2,0)</f>
        <v>Reablement &amp; Rehabilitation at home</v>
      </c>
      <c r="C824" t="s">
        <v>299</v>
      </c>
      <c r="D824" t="s">
        <v>729</v>
      </c>
      <c r="E824">
        <v>0</v>
      </c>
      <c r="F824">
        <v>0</v>
      </c>
      <c r="G824">
        <v>0</v>
      </c>
      <c r="H824">
        <v>0</v>
      </c>
      <c r="I824">
        <v>0</v>
      </c>
      <c r="J824">
        <v>0</v>
      </c>
      <c r="K824">
        <v>0</v>
      </c>
      <c r="L824">
        <v>0</v>
      </c>
      <c r="M824">
        <v>0</v>
      </c>
      <c r="N824">
        <v>0</v>
      </c>
      <c r="O824">
        <v>0</v>
      </c>
      <c r="P824">
        <v>0</v>
      </c>
      <c r="V824"/>
      <c r="W824"/>
      <c r="X824"/>
    </row>
    <row r="825" spans="1:24" x14ac:dyDescent="0.3">
      <c r="A825" t="str">
        <f>Table_Capacity_Community_frontsheet[[#This Row],[Name]]&amp;B825</f>
        <v>St. HelensReablement &amp; Rehabilitation in a bedded setting</v>
      </c>
      <c r="B825" t="str">
        <f>VLOOKUP(Table_Capacity_Community_frontsheet[[#This Row],[Service Area]],PathwayLookup!E:F,2,0)</f>
        <v>Reablement &amp; Rehabilitation in a bedded setting</v>
      </c>
      <c r="C825" t="s">
        <v>299</v>
      </c>
      <c r="D825" t="s">
        <v>723</v>
      </c>
      <c r="E825">
        <v>12</v>
      </c>
      <c r="F825">
        <v>12</v>
      </c>
      <c r="G825">
        <v>12</v>
      </c>
      <c r="H825">
        <v>12</v>
      </c>
      <c r="I825">
        <v>12</v>
      </c>
      <c r="J825">
        <v>12</v>
      </c>
      <c r="K825">
        <v>12</v>
      </c>
      <c r="L825">
        <v>12</v>
      </c>
      <c r="M825">
        <v>12</v>
      </c>
      <c r="N825">
        <v>12</v>
      </c>
      <c r="O825">
        <v>12</v>
      </c>
      <c r="P825">
        <v>12</v>
      </c>
      <c r="Q825">
        <v>0.72</v>
      </c>
      <c r="R825">
        <v>0.28000000000000003</v>
      </c>
      <c r="V825"/>
      <c r="W825"/>
      <c r="X825"/>
    </row>
    <row r="826" spans="1:24" x14ac:dyDescent="0.3">
      <c r="A826" t="str">
        <f>Table_Capacity_Community_frontsheet[[#This Row],[Name]]&amp;B826</f>
        <v>St. HelensReablement &amp; Rehabilitation in a bedded setting</v>
      </c>
      <c r="B826" t="str">
        <f>VLOOKUP(Table_Capacity_Community_frontsheet[[#This Row],[Service Area]],PathwayLookup!E:F,2,0)</f>
        <v>Reablement &amp; Rehabilitation in a bedded setting</v>
      </c>
      <c r="C826" t="s">
        <v>299</v>
      </c>
      <c r="D826" t="s">
        <v>725</v>
      </c>
      <c r="E826">
        <v>3</v>
      </c>
      <c r="F826">
        <v>3</v>
      </c>
      <c r="G826">
        <v>3</v>
      </c>
      <c r="H826">
        <v>3</v>
      </c>
      <c r="I826">
        <v>3</v>
      </c>
      <c r="J826">
        <v>3</v>
      </c>
      <c r="K826">
        <v>3</v>
      </c>
      <c r="L826">
        <v>3</v>
      </c>
      <c r="M826">
        <v>3</v>
      </c>
      <c r="N826">
        <v>3</v>
      </c>
      <c r="O826">
        <v>3</v>
      </c>
      <c r="P826">
        <v>3</v>
      </c>
      <c r="Q826">
        <v>1</v>
      </c>
      <c r="V826"/>
      <c r="W826"/>
      <c r="X826"/>
    </row>
    <row r="827" spans="1:24" x14ac:dyDescent="0.3">
      <c r="A827" t="str">
        <f>Table_Capacity_Community_frontsheet[[#This Row],[Name]]&amp;B827</f>
        <v>St. HelensOther short-term social care</v>
      </c>
      <c r="B827" t="str">
        <f>VLOOKUP(Table_Capacity_Community_frontsheet[[#This Row],[Service Area]],PathwayLookup!E:F,2,0)</f>
        <v>Other short-term social care</v>
      </c>
      <c r="C827" t="s">
        <v>299</v>
      </c>
      <c r="D827" t="s">
        <v>708</v>
      </c>
      <c r="E827">
        <v>0</v>
      </c>
      <c r="F827">
        <v>0</v>
      </c>
      <c r="G827">
        <v>0</v>
      </c>
      <c r="H827">
        <v>0</v>
      </c>
      <c r="I827">
        <v>0</v>
      </c>
      <c r="J827">
        <v>0</v>
      </c>
      <c r="K827">
        <v>0</v>
      </c>
      <c r="L827">
        <v>0</v>
      </c>
      <c r="M827">
        <v>0</v>
      </c>
      <c r="N827">
        <v>0</v>
      </c>
      <c r="O827">
        <v>0</v>
      </c>
      <c r="P827">
        <v>0</v>
      </c>
      <c r="V827"/>
      <c r="W827"/>
      <c r="X827"/>
    </row>
    <row r="828" spans="1:24" x14ac:dyDescent="0.3">
      <c r="A828" t="str">
        <f>Table_Capacity_Community_frontsheet[[#This Row],[Name]]&amp;B828</f>
        <v>StaffordshireSocial support (including VCS)</v>
      </c>
      <c r="B828" t="str">
        <f>VLOOKUP(Table_Capacity_Community_frontsheet[[#This Row],[Service Area]],PathwayLookup!E:F,2,0)</f>
        <v>Social support (including VCS)</v>
      </c>
      <c r="C828" t="s">
        <v>301</v>
      </c>
      <c r="D828" t="s">
        <v>704</v>
      </c>
      <c r="E828">
        <v>5008</v>
      </c>
      <c r="F828">
        <v>4999</v>
      </c>
      <c r="G828">
        <v>5087</v>
      </c>
      <c r="H828">
        <v>5100</v>
      </c>
      <c r="I828">
        <v>5112</v>
      </c>
      <c r="J828">
        <v>5125</v>
      </c>
      <c r="K828">
        <v>5137</v>
      </c>
      <c r="L828">
        <v>5150</v>
      </c>
      <c r="M828">
        <v>5162</v>
      </c>
      <c r="N828">
        <v>5175</v>
      </c>
      <c r="O828">
        <v>5187</v>
      </c>
      <c r="P828">
        <v>5200</v>
      </c>
      <c r="R828">
        <v>1</v>
      </c>
      <c r="V828"/>
      <c r="W828"/>
      <c r="X828"/>
    </row>
    <row r="829" spans="1:24" x14ac:dyDescent="0.3">
      <c r="A829" t="str">
        <f>Table_Capacity_Community_frontsheet[[#This Row],[Name]]&amp;B829</f>
        <v>StaffordshireUrgent Community Response</v>
      </c>
      <c r="B829" t="str">
        <f>VLOOKUP(Table_Capacity_Community_frontsheet[[#This Row],[Service Area]],PathwayLookup!E:F,2,0)</f>
        <v>Urgent Community Response</v>
      </c>
      <c r="C829" t="s">
        <v>301</v>
      </c>
      <c r="D829" t="s">
        <v>705</v>
      </c>
      <c r="E829">
        <v>554</v>
      </c>
      <c r="F829">
        <v>587</v>
      </c>
      <c r="G829">
        <v>625</v>
      </c>
      <c r="H829">
        <v>753</v>
      </c>
      <c r="I829">
        <v>676</v>
      </c>
      <c r="J829">
        <v>558</v>
      </c>
      <c r="K829">
        <v>648</v>
      </c>
      <c r="L829">
        <v>638</v>
      </c>
      <c r="M829">
        <v>823</v>
      </c>
      <c r="N829">
        <v>668</v>
      </c>
      <c r="O829">
        <v>495</v>
      </c>
      <c r="P829">
        <v>594</v>
      </c>
      <c r="Q829">
        <v>1</v>
      </c>
      <c r="V829"/>
      <c r="W829"/>
      <c r="X829"/>
    </row>
    <row r="830" spans="1:24" x14ac:dyDescent="0.3">
      <c r="A830" t="str">
        <f>Table_Capacity_Community_frontsheet[[#This Row],[Name]]&amp;B830</f>
        <v>StaffordshireReablement &amp; Rehabilitation at home</v>
      </c>
      <c r="B830" t="str">
        <f>VLOOKUP(Table_Capacity_Community_frontsheet[[#This Row],[Service Area]],PathwayLookup!E:F,2,0)</f>
        <v>Reablement &amp; Rehabilitation at home</v>
      </c>
      <c r="C830" t="s">
        <v>301</v>
      </c>
      <c r="D830" t="s">
        <v>727</v>
      </c>
      <c r="E830">
        <v>41</v>
      </c>
      <c r="F830">
        <v>56</v>
      </c>
      <c r="G830">
        <v>54</v>
      </c>
      <c r="H830">
        <v>63</v>
      </c>
      <c r="I830">
        <v>77</v>
      </c>
      <c r="J830">
        <v>72</v>
      </c>
      <c r="K830">
        <v>76</v>
      </c>
      <c r="L830">
        <v>57</v>
      </c>
      <c r="M830">
        <v>69</v>
      </c>
      <c r="N830">
        <v>68</v>
      </c>
      <c r="O830">
        <v>45</v>
      </c>
      <c r="P830">
        <v>76</v>
      </c>
      <c r="S830">
        <v>1</v>
      </c>
      <c r="V830"/>
      <c r="W830"/>
      <c r="X830"/>
    </row>
    <row r="831" spans="1:24" x14ac:dyDescent="0.3">
      <c r="A831" t="str">
        <f>Table_Capacity_Community_frontsheet[[#This Row],[Name]]&amp;B831</f>
        <v>StaffordshireReablement &amp; Rehabilitation at home</v>
      </c>
      <c r="B831" t="str">
        <f>VLOOKUP(Table_Capacity_Community_frontsheet[[#This Row],[Service Area]],PathwayLookup!E:F,2,0)</f>
        <v>Reablement &amp; Rehabilitation at home</v>
      </c>
      <c r="C831" t="s">
        <v>301</v>
      </c>
      <c r="D831" t="s">
        <v>729</v>
      </c>
      <c r="E831">
        <v>0</v>
      </c>
      <c r="V831"/>
      <c r="W831"/>
      <c r="X831"/>
    </row>
    <row r="832" spans="1:24" x14ac:dyDescent="0.3">
      <c r="A832" t="str">
        <f>Table_Capacity_Community_frontsheet[[#This Row],[Name]]&amp;B832</f>
        <v>StaffordshireReablement &amp; Rehabilitation in a bedded setting</v>
      </c>
      <c r="B832" t="str">
        <f>VLOOKUP(Table_Capacity_Community_frontsheet[[#This Row],[Service Area]],PathwayLookup!E:F,2,0)</f>
        <v>Reablement &amp; Rehabilitation in a bedded setting</v>
      </c>
      <c r="C832" t="s">
        <v>301</v>
      </c>
      <c r="D832" t="s">
        <v>723</v>
      </c>
      <c r="V832"/>
      <c r="W832"/>
      <c r="X832"/>
    </row>
    <row r="833" spans="1:24" x14ac:dyDescent="0.3">
      <c r="A833" t="str">
        <f>Table_Capacity_Community_frontsheet[[#This Row],[Name]]&amp;B833</f>
        <v>StaffordshireReablement &amp; Rehabilitation in a bedded setting</v>
      </c>
      <c r="B833" t="str">
        <f>VLOOKUP(Table_Capacity_Community_frontsheet[[#This Row],[Service Area]],PathwayLookup!E:F,2,0)</f>
        <v>Reablement &amp; Rehabilitation in a bedded setting</v>
      </c>
      <c r="C833" t="s">
        <v>301</v>
      </c>
      <c r="D833" t="s">
        <v>725</v>
      </c>
      <c r="V833"/>
      <c r="W833"/>
      <c r="X833"/>
    </row>
    <row r="834" spans="1:24" x14ac:dyDescent="0.3">
      <c r="A834" t="str">
        <f>Table_Capacity_Community_frontsheet[[#This Row],[Name]]&amp;B834</f>
        <v>StaffordshireOther short-term social care</v>
      </c>
      <c r="B834" t="str">
        <f>VLOOKUP(Table_Capacity_Community_frontsheet[[#This Row],[Service Area]],PathwayLookup!E:F,2,0)</f>
        <v>Other short-term social care</v>
      </c>
      <c r="C834" t="s">
        <v>301</v>
      </c>
      <c r="D834" t="s">
        <v>708</v>
      </c>
      <c r="E834">
        <v>2188</v>
      </c>
      <c r="F834">
        <v>2202</v>
      </c>
      <c r="G834">
        <v>2380</v>
      </c>
      <c r="H834">
        <v>2388</v>
      </c>
      <c r="I834">
        <v>2396</v>
      </c>
      <c r="J834">
        <v>2403</v>
      </c>
      <c r="K834">
        <v>2411</v>
      </c>
      <c r="L834">
        <v>2419</v>
      </c>
      <c r="M834">
        <v>2427</v>
      </c>
      <c r="N834">
        <v>2434</v>
      </c>
      <c r="O834">
        <v>2442</v>
      </c>
      <c r="P834">
        <v>2450</v>
      </c>
      <c r="R834">
        <v>1</v>
      </c>
      <c r="V834"/>
      <c r="W834"/>
      <c r="X834"/>
    </row>
    <row r="835" spans="1:24" x14ac:dyDescent="0.3">
      <c r="A835" t="str">
        <f>Table_Capacity_Community_frontsheet[[#This Row],[Name]]&amp;B835</f>
        <v>StockportSocial support (including VCS)</v>
      </c>
      <c r="B835" t="str">
        <f>VLOOKUP(Table_Capacity_Community_frontsheet[[#This Row],[Service Area]],PathwayLookup!E:F,2,0)</f>
        <v>Social support (including VCS)</v>
      </c>
      <c r="C835" t="s">
        <v>303</v>
      </c>
      <c r="D835" t="s">
        <v>704</v>
      </c>
      <c r="E835">
        <v>599</v>
      </c>
      <c r="F835">
        <v>550</v>
      </c>
      <c r="G835">
        <v>557</v>
      </c>
      <c r="H835">
        <v>485</v>
      </c>
      <c r="I835">
        <v>450</v>
      </c>
      <c r="J835">
        <v>501</v>
      </c>
      <c r="K835">
        <v>546</v>
      </c>
      <c r="L835">
        <v>584</v>
      </c>
      <c r="M835">
        <v>287</v>
      </c>
      <c r="N835">
        <v>483</v>
      </c>
      <c r="O835">
        <v>575</v>
      </c>
      <c r="P835">
        <v>698</v>
      </c>
      <c r="S835">
        <v>1</v>
      </c>
      <c r="V835"/>
      <c r="W835"/>
      <c r="X835"/>
    </row>
    <row r="836" spans="1:24" x14ac:dyDescent="0.3">
      <c r="A836" t="str">
        <f>Table_Capacity_Community_frontsheet[[#This Row],[Name]]&amp;B836</f>
        <v>StockportUrgent Community Response</v>
      </c>
      <c r="B836" t="str">
        <f>VLOOKUP(Table_Capacity_Community_frontsheet[[#This Row],[Service Area]],PathwayLookup!E:F,2,0)</f>
        <v>Urgent Community Response</v>
      </c>
      <c r="C836" t="s">
        <v>303</v>
      </c>
      <c r="D836" t="s">
        <v>705</v>
      </c>
      <c r="E836">
        <v>15</v>
      </c>
      <c r="F836">
        <v>10</v>
      </c>
      <c r="G836">
        <v>9</v>
      </c>
      <c r="H836">
        <v>18</v>
      </c>
      <c r="I836">
        <v>12</v>
      </c>
      <c r="J836">
        <v>12</v>
      </c>
      <c r="K836">
        <v>13</v>
      </c>
      <c r="L836">
        <v>26</v>
      </c>
      <c r="M836">
        <v>26</v>
      </c>
      <c r="N836">
        <v>14</v>
      </c>
      <c r="O836">
        <v>11</v>
      </c>
      <c r="P836">
        <v>16</v>
      </c>
      <c r="S836">
        <v>1</v>
      </c>
      <c r="V836"/>
      <c r="W836"/>
      <c r="X836"/>
    </row>
    <row r="837" spans="1:24" x14ac:dyDescent="0.3">
      <c r="A837" t="str">
        <f>Table_Capacity_Community_frontsheet[[#This Row],[Name]]&amp;B837</f>
        <v>StockportReablement &amp; Rehabilitation at home</v>
      </c>
      <c r="B837" t="str">
        <f>VLOOKUP(Table_Capacity_Community_frontsheet[[#This Row],[Service Area]],PathwayLookup!E:F,2,0)</f>
        <v>Reablement &amp; Rehabilitation at home</v>
      </c>
      <c r="C837" t="s">
        <v>303</v>
      </c>
      <c r="D837" t="s">
        <v>727</v>
      </c>
      <c r="E837">
        <v>17</v>
      </c>
      <c r="F837">
        <v>6</v>
      </c>
      <c r="G837">
        <v>11</v>
      </c>
      <c r="H837">
        <v>18</v>
      </c>
      <c r="I837">
        <v>12</v>
      </c>
      <c r="J837">
        <v>12</v>
      </c>
      <c r="K837">
        <v>14</v>
      </c>
      <c r="L837">
        <v>23</v>
      </c>
      <c r="M837">
        <v>18</v>
      </c>
      <c r="N837">
        <v>15</v>
      </c>
      <c r="O837">
        <v>11</v>
      </c>
      <c r="P837">
        <v>12</v>
      </c>
      <c r="S837">
        <v>1</v>
      </c>
      <c r="V837"/>
      <c r="W837"/>
      <c r="X837"/>
    </row>
    <row r="838" spans="1:24" x14ac:dyDescent="0.3">
      <c r="A838" t="str">
        <f>Table_Capacity_Community_frontsheet[[#This Row],[Name]]&amp;B838</f>
        <v>StockportReablement &amp; Rehabilitation at home</v>
      </c>
      <c r="B838" t="str">
        <f>VLOOKUP(Table_Capacity_Community_frontsheet[[#This Row],[Service Area]],PathwayLookup!E:F,2,0)</f>
        <v>Reablement &amp; Rehabilitation at home</v>
      </c>
      <c r="C838" t="s">
        <v>303</v>
      </c>
      <c r="D838" t="s">
        <v>729</v>
      </c>
      <c r="E838">
        <v>2</v>
      </c>
      <c r="F838">
        <v>2</v>
      </c>
      <c r="G838">
        <v>2</v>
      </c>
      <c r="H838">
        <v>3</v>
      </c>
      <c r="I838">
        <v>2</v>
      </c>
      <c r="J838">
        <v>2</v>
      </c>
      <c r="K838">
        <v>4</v>
      </c>
      <c r="L838">
        <v>5</v>
      </c>
      <c r="M838">
        <v>1</v>
      </c>
      <c r="N838">
        <v>2</v>
      </c>
      <c r="O838">
        <v>1</v>
      </c>
      <c r="P838">
        <v>1</v>
      </c>
      <c r="S838">
        <v>1</v>
      </c>
      <c r="V838"/>
      <c r="W838"/>
      <c r="X838"/>
    </row>
    <row r="839" spans="1:24" x14ac:dyDescent="0.3">
      <c r="A839" t="str">
        <f>Table_Capacity_Community_frontsheet[[#This Row],[Name]]&amp;B839</f>
        <v>StockportReablement &amp; Rehabilitation in a bedded setting</v>
      </c>
      <c r="B839" t="str">
        <f>VLOOKUP(Table_Capacity_Community_frontsheet[[#This Row],[Service Area]],PathwayLookup!E:F,2,0)</f>
        <v>Reablement &amp; Rehabilitation in a bedded setting</v>
      </c>
      <c r="C839" t="s">
        <v>303</v>
      </c>
      <c r="D839" t="s">
        <v>723</v>
      </c>
      <c r="E839">
        <v>0</v>
      </c>
      <c r="F839">
        <v>0</v>
      </c>
      <c r="G839">
        <v>0</v>
      </c>
      <c r="H839">
        <v>0</v>
      </c>
      <c r="I839">
        <v>0</v>
      </c>
      <c r="J839">
        <v>0</v>
      </c>
      <c r="K839">
        <v>0</v>
      </c>
      <c r="L839">
        <v>0</v>
      </c>
      <c r="M839">
        <v>0</v>
      </c>
      <c r="N839">
        <v>0</v>
      </c>
      <c r="O839">
        <v>0</v>
      </c>
      <c r="P839">
        <v>0</v>
      </c>
      <c r="S839">
        <v>1</v>
      </c>
      <c r="V839"/>
      <c r="W839"/>
      <c r="X839"/>
    </row>
    <row r="840" spans="1:24" x14ac:dyDescent="0.3">
      <c r="A840" t="str">
        <f>Table_Capacity_Community_frontsheet[[#This Row],[Name]]&amp;B840</f>
        <v>StockportReablement &amp; Rehabilitation in a bedded setting</v>
      </c>
      <c r="B840" t="str">
        <f>VLOOKUP(Table_Capacity_Community_frontsheet[[#This Row],[Service Area]],PathwayLookup!E:F,2,0)</f>
        <v>Reablement &amp; Rehabilitation in a bedded setting</v>
      </c>
      <c r="C840" t="s">
        <v>303</v>
      </c>
      <c r="D840" t="s">
        <v>725</v>
      </c>
      <c r="E840">
        <v>4</v>
      </c>
      <c r="F840">
        <v>4</v>
      </c>
      <c r="G840">
        <v>4</v>
      </c>
      <c r="H840">
        <v>4</v>
      </c>
      <c r="I840">
        <v>4</v>
      </c>
      <c r="J840">
        <v>4</v>
      </c>
      <c r="K840">
        <v>4</v>
      </c>
      <c r="L840">
        <v>4</v>
      </c>
      <c r="M840">
        <v>4</v>
      </c>
      <c r="N840">
        <v>4</v>
      </c>
      <c r="O840">
        <v>4</v>
      </c>
      <c r="P840">
        <v>4</v>
      </c>
      <c r="S840">
        <v>1</v>
      </c>
      <c r="V840"/>
      <c r="W840"/>
      <c r="X840"/>
    </row>
    <row r="841" spans="1:24" x14ac:dyDescent="0.3">
      <c r="A841" t="str">
        <f>Table_Capacity_Community_frontsheet[[#This Row],[Name]]&amp;B841</f>
        <v>StockportOther short-term social care</v>
      </c>
      <c r="B841" t="str">
        <f>VLOOKUP(Table_Capacity_Community_frontsheet[[#This Row],[Service Area]],PathwayLookup!E:F,2,0)</f>
        <v>Other short-term social care</v>
      </c>
      <c r="C841" t="s">
        <v>303</v>
      </c>
      <c r="D841" t="s">
        <v>708</v>
      </c>
      <c r="E841">
        <v>0</v>
      </c>
      <c r="F841">
        <v>0</v>
      </c>
      <c r="G841">
        <v>0</v>
      </c>
      <c r="H841">
        <v>0</v>
      </c>
      <c r="I841">
        <v>0</v>
      </c>
      <c r="J841">
        <v>0</v>
      </c>
      <c r="K841">
        <v>0</v>
      </c>
      <c r="L841">
        <v>0</v>
      </c>
      <c r="M841">
        <v>0</v>
      </c>
      <c r="N841">
        <v>0</v>
      </c>
      <c r="O841">
        <v>0</v>
      </c>
      <c r="P841">
        <v>0</v>
      </c>
      <c r="R841">
        <v>1</v>
      </c>
      <c r="V841"/>
      <c r="W841"/>
      <c r="X841"/>
    </row>
    <row r="842" spans="1:24" x14ac:dyDescent="0.3">
      <c r="A842" t="str">
        <f>Table_Capacity_Community_frontsheet[[#This Row],[Name]]&amp;B842</f>
        <v>Stockton-on-TeesSocial support (including VCS)</v>
      </c>
      <c r="B842" t="str">
        <f>VLOOKUP(Table_Capacity_Community_frontsheet[[#This Row],[Service Area]],PathwayLookup!E:F,2,0)</f>
        <v>Social support (including VCS)</v>
      </c>
      <c r="C842" t="s">
        <v>305</v>
      </c>
      <c r="D842" t="s">
        <v>704</v>
      </c>
      <c r="E842">
        <v>0</v>
      </c>
      <c r="F842">
        <v>0</v>
      </c>
      <c r="G842">
        <v>0</v>
      </c>
      <c r="H842">
        <v>0</v>
      </c>
      <c r="I842">
        <v>0</v>
      </c>
      <c r="J842">
        <v>0</v>
      </c>
      <c r="K842">
        <v>0</v>
      </c>
      <c r="L842">
        <v>0</v>
      </c>
      <c r="M842">
        <v>0</v>
      </c>
      <c r="N842">
        <v>0</v>
      </c>
      <c r="O842">
        <v>0</v>
      </c>
      <c r="P842">
        <v>0</v>
      </c>
      <c r="Q842">
        <v>0</v>
      </c>
      <c r="R842">
        <v>0</v>
      </c>
      <c r="S842">
        <v>0</v>
      </c>
      <c r="V842"/>
      <c r="W842"/>
      <c r="X842"/>
    </row>
    <row r="843" spans="1:24" x14ac:dyDescent="0.3">
      <c r="A843" t="str">
        <f>Table_Capacity_Community_frontsheet[[#This Row],[Name]]&amp;B843</f>
        <v>Stockton-on-TeesUrgent Community Response</v>
      </c>
      <c r="B843" t="str">
        <f>VLOOKUP(Table_Capacity_Community_frontsheet[[#This Row],[Service Area]],PathwayLookup!E:F,2,0)</f>
        <v>Urgent Community Response</v>
      </c>
      <c r="C843" t="s">
        <v>305</v>
      </c>
      <c r="D843" t="s">
        <v>705</v>
      </c>
      <c r="E843">
        <v>110</v>
      </c>
      <c r="F843">
        <v>90</v>
      </c>
      <c r="G843">
        <v>94</v>
      </c>
      <c r="H843">
        <v>105</v>
      </c>
      <c r="I843">
        <v>76</v>
      </c>
      <c r="J843">
        <v>60</v>
      </c>
      <c r="K843">
        <v>72</v>
      </c>
      <c r="L843">
        <v>78</v>
      </c>
      <c r="M843">
        <v>99</v>
      </c>
      <c r="N843">
        <v>56</v>
      </c>
      <c r="O843">
        <v>36</v>
      </c>
      <c r="P843">
        <v>34</v>
      </c>
      <c r="Q843">
        <v>1</v>
      </c>
      <c r="R843">
        <v>0</v>
      </c>
      <c r="S843">
        <v>0</v>
      </c>
      <c r="V843"/>
      <c r="W843"/>
      <c r="X843"/>
    </row>
    <row r="844" spans="1:24" x14ac:dyDescent="0.3">
      <c r="A844" t="str">
        <f>Table_Capacity_Community_frontsheet[[#This Row],[Name]]&amp;B844</f>
        <v>Stockton-on-TeesReablement &amp; Rehabilitation at home</v>
      </c>
      <c r="B844" t="str">
        <f>VLOOKUP(Table_Capacity_Community_frontsheet[[#This Row],[Service Area]],PathwayLookup!E:F,2,0)</f>
        <v>Reablement &amp; Rehabilitation at home</v>
      </c>
      <c r="C844" t="s">
        <v>305</v>
      </c>
      <c r="D844" t="s">
        <v>727</v>
      </c>
      <c r="E844">
        <v>25</v>
      </c>
      <c r="F844">
        <v>24</v>
      </c>
      <c r="G844">
        <v>31</v>
      </c>
      <c r="H844">
        <v>42</v>
      </c>
      <c r="I844">
        <v>27</v>
      </c>
      <c r="J844">
        <v>32</v>
      </c>
      <c r="K844">
        <v>33</v>
      </c>
      <c r="L844">
        <v>26</v>
      </c>
      <c r="M844">
        <v>38</v>
      </c>
      <c r="N844">
        <v>46</v>
      </c>
      <c r="O844">
        <v>29</v>
      </c>
      <c r="P844">
        <v>48</v>
      </c>
      <c r="Q844">
        <v>0.88</v>
      </c>
      <c r="R844">
        <v>0.12</v>
      </c>
      <c r="S844">
        <v>0</v>
      </c>
      <c r="V844"/>
      <c r="W844"/>
      <c r="X844"/>
    </row>
    <row r="845" spans="1:24" x14ac:dyDescent="0.3">
      <c r="A845" t="str">
        <f>Table_Capacity_Community_frontsheet[[#This Row],[Name]]&amp;B845</f>
        <v>Stockton-on-TeesReablement &amp; Rehabilitation at home</v>
      </c>
      <c r="B845" t="str">
        <f>VLOOKUP(Table_Capacity_Community_frontsheet[[#This Row],[Service Area]],PathwayLookup!E:F,2,0)</f>
        <v>Reablement &amp; Rehabilitation at home</v>
      </c>
      <c r="C845" t="s">
        <v>305</v>
      </c>
      <c r="D845" t="s">
        <v>729</v>
      </c>
      <c r="E845">
        <v>0</v>
      </c>
      <c r="F845">
        <v>0</v>
      </c>
      <c r="G845">
        <v>6</v>
      </c>
      <c r="H845">
        <v>0</v>
      </c>
      <c r="I845">
        <v>3</v>
      </c>
      <c r="J845">
        <v>3</v>
      </c>
      <c r="K845">
        <v>3</v>
      </c>
      <c r="L845">
        <v>0</v>
      </c>
      <c r="M845">
        <v>0</v>
      </c>
      <c r="N845">
        <v>1</v>
      </c>
      <c r="O845">
        <v>0</v>
      </c>
      <c r="P845">
        <v>0</v>
      </c>
      <c r="Q845">
        <v>1</v>
      </c>
      <c r="R845">
        <v>0</v>
      </c>
      <c r="S845">
        <v>0</v>
      </c>
      <c r="V845"/>
      <c r="W845"/>
      <c r="X845"/>
    </row>
    <row r="846" spans="1:24" x14ac:dyDescent="0.3">
      <c r="A846" t="str">
        <f>Table_Capacity_Community_frontsheet[[#This Row],[Name]]&amp;B846</f>
        <v>Stockton-on-TeesReablement &amp; Rehabilitation in a bedded setting</v>
      </c>
      <c r="B846" t="str">
        <f>VLOOKUP(Table_Capacity_Community_frontsheet[[#This Row],[Service Area]],PathwayLookup!E:F,2,0)</f>
        <v>Reablement &amp; Rehabilitation in a bedded setting</v>
      </c>
      <c r="C846" t="s">
        <v>305</v>
      </c>
      <c r="D846" t="s">
        <v>723</v>
      </c>
      <c r="E846">
        <v>4</v>
      </c>
      <c r="F846">
        <v>4</v>
      </c>
      <c r="G846">
        <v>4</v>
      </c>
      <c r="H846">
        <v>4</v>
      </c>
      <c r="I846">
        <v>4</v>
      </c>
      <c r="J846">
        <v>4</v>
      </c>
      <c r="K846">
        <v>4</v>
      </c>
      <c r="L846">
        <v>4</v>
      </c>
      <c r="M846">
        <v>4</v>
      </c>
      <c r="N846">
        <v>4</v>
      </c>
      <c r="O846">
        <v>4</v>
      </c>
      <c r="P846">
        <v>4</v>
      </c>
      <c r="Q846">
        <v>0</v>
      </c>
      <c r="R846">
        <v>1</v>
      </c>
      <c r="S846">
        <v>0</v>
      </c>
      <c r="V846"/>
      <c r="W846"/>
      <c r="X846"/>
    </row>
    <row r="847" spans="1:24" x14ac:dyDescent="0.3">
      <c r="A847" t="str">
        <f>Table_Capacity_Community_frontsheet[[#This Row],[Name]]&amp;B847</f>
        <v>Stockton-on-TeesReablement &amp; Rehabilitation in a bedded setting</v>
      </c>
      <c r="B847" t="str">
        <f>VLOOKUP(Table_Capacity_Community_frontsheet[[#This Row],[Service Area]],PathwayLookup!E:F,2,0)</f>
        <v>Reablement &amp; Rehabilitation in a bedded setting</v>
      </c>
      <c r="C847" t="s">
        <v>305</v>
      </c>
      <c r="D847" t="s">
        <v>725</v>
      </c>
      <c r="E847">
        <v>0</v>
      </c>
      <c r="F847">
        <v>0</v>
      </c>
      <c r="G847">
        <v>0</v>
      </c>
      <c r="H847">
        <v>0</v>
      </c>
      <c r="I847">
        <v>0</v>
      </c>
      <c r="J847">
        <v>0</v>
      </c>
      <c r="K847">
        <v>0</v>
      </c>
      <c r="L847">
        <v>0</v>
      </c>
      <c r="M847">
        <v>0</v>
      </c>
      <c r="N847">
        <v>0</v>
      </c>
      <c r="O847">
        <v>0</v>
      </c>
      <c r="P847">
        <v>0</v>
      </c>
      <c r="Q847">
        <v>0</v>
      </c>
      <c r="R847">
        <v>0</v>
      </c>
      <c r="S847">
        <v>0</v>
      </c>
      <c r="V847"/>
      <c r="W847"/>
      <c r="X847"/>
    </row>
    <row r="848" spans="1:24" x14ac:dyDescent="0.3">
      <c r="A848" t="str">
        <f>Table_Capacity_Community_frontsheet[[#This Row],[Name]]&amp;B848</f>
        <v>Stockton-on-TeesOther short-term social care</v>
      </c>
      <c r="B848" t="str">
        <f>VLOOKUP(Table_Capacity_Community_frontsheet[[#This Row],[Service Area]],PathwayLookup!E:F,2,0)</f>
        <v>Other short-term social care</v>
      </c>
      <c r="C848" t="s">
        <v>305</v>
      </c>
      <c r="D848" t="s">
        <v>708</v>
      </c>
      <c r="E848">
        <v>6</v>
      </c>
      <c r="F848">
        <v>6</v>
      </c>
      <c r="G848">
        <v>6</v>
      </c>
      <c r="H848">
        <v>6</v>
      </c>
      <c r="I848">
        <v>6</v>
      </c>
      <c r="J848">
        <v>6</v>
      </c>
      <c r="K848">
        <v>6</v>
      </c>
      <c r="L848">
        <v>6</v>
      </c>
      <c r="M848">
        <v>6</v>
      </c>
      <c r="N848">
        <v>6</v>
      </c>
      <c r="O848">
        <v>6</v>
      </c>
      <c r="P848">
        <v>6</v>
      </c>
      <c r="Q848">
        <v>1</v>
      </c>
      <c r="R848">
        <v>0</v>
      </c>
      <c r="S848">
        <v>0</v>
      </c>
      <c r="V848"/>
      <c r="W848"/>
      <c r="X848"/>
    </row>
    <row r="849" spans="1:24" x14ac:dyDescent="0.3">
      <c r="A849" t="str">
        <f>Table_Capacity_Community_frontsheet[[#This Row],[Name]]&amp;B849</f>
        <v>Stoke-on-TrentSocial support (including VCS)</v>
      </c>
      <c r="B849" t="str">
        <f>VLOOKUP(Table_Capacity_Community_frontsheet[[#This Row],[Service Area]],PathwayLookup!E:F,2,0)</f>
        <v>Social support (including VCS)</v>
      </c>
      <c r="C849" t="s">
        <v>307</v>
      </c>
      <c r="D849" t="s">
        <v>704</v>
      </c>
      <c r="V849"/>
      <c r="W849"/>
      <c r="X849"/>
    </row>
    <row r="850" spans="1:24" x14ac:dyDescent="0.3">
      <c r="A850" t="str">
        <f>Table_Capacity_Community_frontsheet[[#This Row],[Name]]&amp;B850</f>
        <v>Stoke-on-TrentUrgent Community Response</v>
      </c>
      <c r="B850" t="str">
        <f>VLOOKUP(Table_Capacity_Community_frontsheet[[#This Row],[Service Area]],PathwayLookup!E:F,2,0)</f>
        <v>Urgent Community Response</v>
      </c>
      <c r="C850" t="s">
        <v>307</v>
      </c>
      <c r="D850" t="s">
        <v>705</v>
      </c>
      <c r="E850">
        <v>554</v>
      </c>
      <c r="F850">
        <v>587</v>
      </c>
      <c r="G850">
        <v>625</v>
      </c>
      <c r="H850">
        <v>753</v>
      </c>
      <c r="I850">
        <v>676</v>
      </c>
      <c r="J850">
        <v>558</v>
      </c>
      <c r="K850">
        <v>648</v>
      </c>
      <c r="L850">
        <v>638</v>
      </c>
      <c r="M850">
        <v>823</v>
      </c>
      <c r="N850">
        <v>668</v>
      </c>
      <c r="O850">
        <v>495</v>
      </c>
      <c r="P850">
        <v>594</v>
      </c>
      <c r="V850"/>
      <c r="W850"/>
      <c r="X850"/>
    </row>
    <row r="851" spans="1:24" x14ac:dyDescent="0.3">
      <c r="A851" t="str">
        <f>Table_Capacity_Community_frontsheet[[#This Row],[Name]]&amp;B851</f>
        <v>Stoke-on-TrentReablement &amp; Rehabilitation at home</v>
      </c>
      <c r="B851" t="str">
        <f>VLOOKUP(Table_Capacity_Community_frontsheet[[#This Row],[Service Area]],PathwayLookup!E:F,2,0)</f>
        <v>Reablement &amp; Rehabilitation at home</v>
      </c>
      <c r="C851" t="s">
        <v>307</v>
      </c>
      <c r="D851" t="s">
        <v>727</v>
      </c>
      <c r="E851">
        <v>2</v>
      </c>
      <c r="F851">
        <v>3</v>
      </c>
      <c r="G851">
        <v>3</v>
      </c>
      <c r="H851">
        <v>9</v>
      </c>
      <c r="I851">
        <v>8</v>
      </c>
      <c r="J851">
        <v>5</v>
      </c>
      <c r="K851">
        <v>6</v>
      </c>
      <c r="L851">
        <v>5</v>
      </c>
      <c r="M851">
        <v>7</v>
      </c>
      <c r="N851">
        <v>9</v>
      </c>
      <c r="O851">
        <v>2</v>
      </c>
      <c r="P851">
        <v>5</v>
      </c>
      <c r="V851"/>
      <c r="W851"/>
      <c r="X851"/>
    </row>
    <row r="852" spans="1:24" x14ac:dyDescent="0.3">
      <c r="A852" t="str">
        <f>Table_Capacity_Community_frontsheet[[#This Row],[Name]]&amp;B852</f>
        <v>Stoke-on-TrentReablement &amp; Rehabilitation at home</v>
      </c>
      <c r="B852" t="str">
        <f>VLOOKUP(Table_Capacity_Community_frontsheet[[#This Row],[Service Area]],PathwayLookup!E:F,2,0)</f>
        <v>Reablement &amp; Rehabilitation at home</v>
      </c>
      <c r="C852" t="s">
        <v>307</v>
      </c>
      <c r="D852" t="s">
        <v>729</v>
      </c>
      <c r="V852"/>
      <c r="W852"/>
      <c r="X852"/>
    </row>
    <row r="853" spans="1:24" x14ac:dyDescent="0.3">
      <c r="A853" t="str">
        <f>Table_Capacity_Community_frontsheet[[#This Row],[Name]]&amp;B853</f>
        <v>Stoke-on-TrentReablement &amp; Rehabilitation in a bedded setting</v>
      </c>
      <c r="B853" t="str">
        <f>VLOOKUP(Table_Capacity_Community_frontsheet[[#This Row],[Service Area]],PathwayLookup!E:F,2,0)</f>
        <v>Reablement &amp; Rehabilitation in a bedded setting</v>
      </c>
      <c r="C853" t="s">
        <v>307</v>
      </c>
      <c r="D853" t="s">
        <v>723</v>
      </c>
      <c r="E853">
        <v>21</v>
      </c>
      <c r="F853">
        <v>21</v>
      </c>
      <c r="G853">
        <v>21</v>
      </c>
      <c r="H853">
        <v>21</v>
      </c>
      <c r="I853">
        <v>21</v>
      </c>
      <c r="J853">
        <v>21</v>
      </c>
      <c r="K853">
        <v>21</v>
      </c>
      <c r="L853">
        <v>21</v>
      </c>
      <c r="M853">
        <v>21</v>
      </c>
      <c r="N853">
        <v>21</v>
      </c>
      <c r="O853">
        <v>21</v>
      </c>
      <c r="P853">
        <v>21</v>
      </c>
      <c r="V853"/>
      <c r="W853"/>
      <c r="X853"/>
    </row>
    <row r="854" spans="1:24" x14ac:dyDescent="0.3">
      <c r="A854" t="str">
        <f>Table_Capacity_Community_frontsheet[[#This Row],[Name]]&amp;B854</f>
        <v>Stoke-on-TrentReablement &amp; Rehabilitation in a bedded setting</v>
      </c>
      <c r="B854" t="str">
        <f>VLOOKUP(Table_Capacity_Community_frontsheet[[#This Row],[Service Area]],PathwayLookup!E:F,2,0)</f>
        <v>Reablement &amp; Rehabilitation in a bedded setting</v>
      </c>
      <c r="C854" t="s">
        <v>307</v>
      </c>
      <c r="D854" t="s">
        <v>725</v>
      </c>
      <c r="V854"/>
      <c r="W854"/>
      <c r="X854"/>
    </row>
    <row r="855" spans="1:24" x14ac:dyDescent="0.3">
      <c r="A855" t="str">
        <f>Table_Capacity_Community_frontsheet[[#This Row],[Name]]&amp;B855</f>
        <v>Stoke-on-TrentOther short-term social care</v>
      </c>
      <c r="B855" t="str">
        <f>VLOOKUP(Table_Capacity_Community_frontsheet[[#This Row],[Service Area]],PathwayLookup!E:F,2,0)</f>
        <v>Other short-term social care</v>
      </c>
      <c r="C855" t="s">
        <v>307</v>
      </c>
      <c r="D855" t="s">
        <v>708</v>
      </c>
      <c r="V855"/>
      <c r="W855"/>
      <c r="X855"/>
    </row>
    <row r="856" spans="1:24" x14ac:dyDescent="0.3">
      <c r="A856" t="str">
        <f>Table_Capacity_Community_frontsheet[[#This Row],[Name]]&amp;B856</f>
        <v>SuffolkSocial support (including VCS)</v>
      </c>
      <c r="B856" t="str">
        <f>VLOOKUP(Table_Capacity_Community_frontsheet[[#This Row],[Service Area]],PathwayLookup!E:F,2,0)</f>
        <v>Social support (including VCS)</v>
      </c>
      <c r="C856" t="s">
        <v>309</v>
      </c>
      <c r="D856" t="s">
        <v>704</v>
      </c>
      <c r="V856"/>
      <c r="W856"/>
      <c r="X856"/>
    </row>
    <row r="857" spans="1:24" x14ac:dyDescent="0.3">
      <c r="A857" t="str">
        <f>Table_Capacity_Community_frontsheet[[#This Row],[Name]]&amp;B857</f>
        <v>SuffolkUrgent Community Response</v>
      </c>
      <c r="B857" t="str">
        <f>VLOOKUP(Table_Capacity_Community_frontsheet[[#This Row],[Service Area]],PathwayLookup!E:F,2,0)</f>
        <v>Urgent Community Response</v>
      </c>
      <c r="C857" t="s">
        <v>309</v>
      </c>
      <c r="D857" t="s">
        <v>705</v>
      </c>
      <c r="E857">
        <v>659</v>
      </c>
      <c r="F857">
        <v>701</v>
      </c>
      <c r="G857">
        <v>783</v>
      </c>
      <c r="H857">
        <v>747</v>
      </c>
      <c r="I857">
        <v>743</v>
      </c>
      <c r="J857">
        <v>705</v>
      </c>
      <c r="K857">
        <v>813</v>
      </c>
      <c r="L857">
        <v>833</v>
      </c>
      <c r="M857">
        <v>912</v>
      </c>
      <c r="N857">
        <v>877</v>
      </c>
      <c r="O857">
        <v>850</v>
      </c>
      <c r="P857">
        <v>902</v>
      </c>
      <c r="Q857">
        <v>0.98</v>
      </c>
      <c r="R857">
        <v>0.02</v>
      </c>
      <c r="V857"/>
      <c r="W857"/>
      <c r="X857"/>
    </row>
    <row r="858" spans="1:24" x14ac:dyDescent="0.3">
      <c r="A858" t="str">
        <f>Table_Capacity_Community_frontsheet[[#This Row],[Name]]&amp;B858</f>
        <v>SuffolkReablement &amp; Rehabilitation at home</v>
      </c>
      <c r="B858" t="str">
        <f>VLOOKUP(Table_Capacity_Community_frontsheet[[#This Row],[Service Area]],PathwayLookup!E:F,2,0)</f>
        <v>Reablement &amp; Rehabilitation at home</v>
      </c>
      <c r="C858" t="s">
        <v>309</v>
      </c>
      <c r="D858" t="s">
        <v>727</v>
      </c>
      <c r="E858">
        <v>105</v>
      </c>
      <c r="F858">
        <v>103</v>
      </c>
      <c r="G858">
        <v>104</v>
      </c>
      <c r="H858">
        <v>108</v>
      </c>
      <c r="I858">
        <v>104</v>
      </c>
      <c r="J858">
        <v>105</v>
      </c>
      <c r="K858">
        <v>104</v>
      </c>
      <c r="L858">
        <v>103</v>
      </c>
      <c r="M858">
        <v>105</v>
      </c>
      <c r="N858">
        <v>106</v>
      </c>
      <c r="O858">
        <v>106</v>
      </c>
      <c r="P858">
        <v>103</v>
      </c>
      <c r="Q858">
        <v>0.05</v>
      </c>
      <c r="R858">
        <v>0.95</v>
      </c>
      <c r="V858"/>
      <c r="W858"/>
      <c r="X858"/>
    </row>
    <row r="859" spans="1:24" x14ac:dyDescent="0.3">
      <c r="A859" t="str">
        <f>Table_Capacity_Community_frontsheet[[#This Row],[Name]]&amp;B859</f>
        <v>SuffolkReablement &amp; Rehabilitation at home</v>
      </c>
      <c r="B859" t="str">
        <f>VLOOKUP(Table_Capacity_Community_frontsheet[[#This Row],[Service Area]],PathwayLookup!E:F,2,0)</f>
        <v>Reablement &amp; Rehabilitation at home</v>
      </c>
      <c r="C859" t="s">
        <v>309</v>
      </c>
      <c r="D859" t="s">
        <v>729</v>
      </c>
      <c r="E859">
        <v>2992</v>
      </c>
      <c r="F859">
        <v>3256</v>
      </c>
      <c r="G859">
        <v>3137</v>
      </c>
      <c r="H859">
        <v>3107</v>
      </c>
      <c r="I859">
        <v>3285</v>
      </c>
      <c r="J859">
        <v>3224</v>
      </c>
      <c r="K859">
        <v>3234</v>
      </c>
      <c r="L859">
        <v>3359</v>
      </c>
      <c r="M859">
        <v>2856</v>
      </c>
      <c r="N859">
        <v>3355</v>
      </c>
      <c r="O859">
        <v>3126</v>
      </c>
      <c r="P859">
        <v>3422</v>
      </c>
      <c r="Q859">
        <v>1</v>
      </c>
      <c r="V859"/>
      <c r="W859"/>
      <c r="X859"/>
    </row>
    <row r="860" spans="1:24" x14ac:dyDescent="0.3">
      <c r="A860" t="str">
        <f>Table_Capacity_Community_frontsheet[[#This Row],[Name]]&amp;B860</f>
        <v>SuffolkReablement &amp; Rehabilitation in a bedded setting</v>
      </c>
      <c r="B860" t="str">
        <f>VLOOKUP(Table_Capacity_Community_frontsheet[[#This Row],[Service Area]],PathwayLookup!E:F,2,0)</f>
        <v>Reablement &amp; Rehabilitation in a bedded setting</v>
      </c>
      <c r="C860" t="s">
        <v>309</v>
      </c>
      <c r="D860" t="s">
        <v>723</v>
      </c>
      <c r="E860">
        <v>173</v>
      </c>
      <c r="F860">
        <v>173</v>
      </c>
      <c r="G860">
        <v>167</v>
      </c>
      <c r="H860">
        <v>173</v>
      </c>
      <c r="I860">
        <v>173</v>
      </c>
      <c r="J860">
        <v>167</v>
      </c>
      <c r="K860">
        <v>173</v>
      </c>
      <c r="L860">
        <v>167</v>
      </c>
      <c r="M860">
        <v>173</v>
      </c>
      <c r="N860">
        <v>173</v>
      </c>
      <c r="O860">
        <v>167</v>
      </c>
      <c r="P860">
        <v>173</v>
      </c>
      <c r="Q860">
        <v>0.05</v>
      </c>
      <c r="R860">
        <v>0.95</v>
      </c>
      <c r="V860"/>
      <c r="W860"/>
      <c r="X860"/>
    </row>
    <row r="861" spans="1:24" x14ac:dyDescent="0.3">
      <c r="A861" t="str">
        <f>Table_Capacity_Community_frontsheet[[#This Row],[Name]]&amp;B861</f>
        <v>SuffolkReablement &amp; Rehabilitation in a bedded setting</v>
      </c>
      <c r="B861" t="str">
        <f>VLOOKUP(Table_Capacity_Community_frontsheet[[#This Row],[Service Area]],PathwayLookup!E:F,2,0)</f>
        <v>Reablement &amp; Rehabilitation in a bedded setting</v>
      </c>
      <c r="C861" t="s">
        <v>309</v>
      </c>
      <c r="D861" t="s">
        <v>725</v>
      </c>
      <c r="E861">
        <v>8</v>
      </c>
      <c r="F861">
        <v>8</v>
      </c>
      <c r="G861">
        <v>8</v>
      </c>
      <c r="H861">
        <v>8</v>
      </c>
      <c r="I861">
        <v>8</v>
      </c>
      <c r="J861">
        <v>8</v>
      </c>
      <c r="K861">
        <v>8</v>
      </c>
      <c r="L861">
        <v>8</v>
      </c>
      <c r="M861">
        <v>8</v>
      </c>
      <c r="N861">
        <v>8</v>
      </c>
      <c r="O861">
        <v>8</v>
      </c>
      <c r="P861">
        <v>8</v>
      </c>
      <c r="Q861">
        <v>1</v>
      </c>
      <c r="V861"/>
      <c r="W861"/>
      <c r="X861"/>
    </row>
    <row r="862" spans="1:24" x14ac:dyDescent="0.3">
      <c r="A862" t="str">
        <f>Table_Capacity_Community_frontsheet[[#This Row],[Name]]&amp;B862</f>
        <v>SuffolkOther short-term social care</v>
      </c>
      <c r="B862" t="str">
        <f>VLOOKUP(Table_Capacity_Community_frontsheet[[#This Row],[Service Area]],PathwayLookup!E:F,2,0)</f>
        <v>Other short-term social care</v>
      </c>
      <c r="C862" t="s">
        <v>309</v>
      </c>
      <c r="D862" t="s">
        <v>708</v>
      </c>
      <c r="E862">
        <v>14</v>
      </c>
      <c r="F862">
        <v>13</v>
      </c>
      <c r="G862">
        <v>6</v>
      </c>
      <c r="H862">
        <v>7</v>
      </c>
      <c r="I862">
        <v>6</v>
      </c>
      <c r="J862">
        <v>11</v>
      </c>
      <c r="K862">
        <v>15</v>
      </c>
      <c r="L862">
        <v>10</v>
      </c>
      <c r="M862">
        <v>6</v>
      </c>
      <c r="N862">
        <v>20</v>
      </c>
      <c r="O862">
        <v>11</v>
      </c>
      <c r="P862">
        <v>9</v>
      </c>
      <c r="R862">
        <v>1</v>
      </c>
      <c r="V862"/>
      <c r="W862"/>
      <c r="X862"/>
    </row>
    <row r="863" spans="1:24" x14ac:dyDescent="0.3">
      <c r="A863" t="str">
        <f>Table_Capacity_Community_frontsheet[[#This Row],[Name]]&amp;B863</f>
        <v>SunderlandSocial support (including VCS)</v>
      </c>
      <c r="B863" t="str">
        <f>VLOOKUP(Table_Capacity_Community_frontsheet[[#This Row],[Service Area]],PathwayLookup!E:F,2,0)</f>
        <v>Social support (including VCS)</v>
      </c>
      <c r="C863" t="s">
        <v>311</v>
      </c>
      <c r="D863" t="s">
        <v>704</v>
      </c>
      <c r="E863">
        <v>150</v>
      </c>
      <c r="F863">
        <v>150</v>
      </c>
      <c r="G863">
        <v>150</v>
      </c>
      <c r="H863">
        <v>150</v>
      </c>
      <c r="I863">
        <v>150</v>
      </c>
      <c r="J863">
        <v>150</v>
      </c>
      <c r="K863">
        <v>150</v>
      </c>
      <c r="L863">
        <v>150</v>
      </c>
      <c r="M863">
        <v>150</v>
      </c>
      <c r="N863">
        <v>150</v>
      </c>
      <c r="O863">
        <v>150</v>
      </c>
      <c r="P863">
        <v>150</v>
      </c>
      <c r="Q863">
        <v>0.5</v>
      </c>
      <c r="R863">
        <v>0.5</v>
      </c>
      <c r="V863"/>
      <c r="W863"/>
      <c r="X863"/>
    </row>
    <row r="864" spans="1:24" x14ac:dyDescent="0.3">
      <c r="A864" t="str">
        <f>Table_Capacity_Community_frontsheet[[#This Row],[Name]]&amp;B864</f>
        <v>SunderlandUrgent Community Response</v>
      </c>
      <c r="B864" t="str">
        <f>VLOOKUP(Table_Capacity_Community_frontsheet[[#This Row],[Service Area]],PathwayLookup!E:F,2,0)</f>
        <v>Urgent Community Response</v>
      </c>
      <c r="C864" t="s">
        <v>311</v>
      </c>
      <c r="D864" t="s">
        <v>705</v>
      </c>
      <c r="E864">
        <v>495</v>
      </c>
      <c r="F864">
        <v>493</v>
      </c>
      <c r="G864">
        <v>447</v>
      </c>
      <c r="H864">
        <v>428</v>
      </c>
      <c r="I864">
        <v>362</v>
      </c>
      <c r="J864">
        <v>406</v>
      </c>
      <c r="K864">
        <v>475</v>
      </c>
      <c r="L864">
        <v>526</v>
      </c>
      <c r="M864">
        <v>673</v>
      </c>
      <c r="N864">
        <v>620</v>
      </c>
      <c r="O864">
        <v>540</v>
      </c>
      <c r="P864">
        <v>507</v>
      </c>
      <c r="Q864">
        <v>1</v>
      </c>
      <c r="V864"/>
      <c r="W864"/>
      <c r="X864"/>
    </row>
    <row r="865" spans="1:24" x14ac:dyDescent="0.3">
      <c r="A865" t="str">
        <f>Table_Capacity_Community_frontsheet[[#This Row],[Name]]&amp;B865</f>
        <v>SunderlandReablement &amp; Rehabilitation at home</v>
      </c>
      <c r="B865" t="str">
        <f>VLOOKUP(Table_Capacity_Community_frontsheet[[#This Row],[Service Area]],PathwayLookup!E:F,2,0)</f>
        <v>Reablement &amp; Rehabilitation at home</v>
      </c>
      <c r="C865" t="s">
        <v>311</v>
      </c>
      <c r="D865" t="s">
        <v>727</v>
      </c>
      <c r="E865">
        <v>43</v>
      </c>
      <c r="F865">
        <v>43</v>
      </c>
      <c r="G865">
        <v>43</v>
      </c>
      <c r="H865">
        <v>43</v>
      </c>
      <c r="I865">
        <v>43</v>
      </c>
      <c r="J865">
        <v>43</v>
      </c>
      <c r="K865">
        <v>43</v>
      </c>
      <c r="L865">
        <v>43</v>
      </c>
      <c r="M865">
        <v>43</v>
      </c>
      <c r="N865">
        <v>43</v>
      </c>
      <c r="O865">
        <v>43</v>
      </c>
      <c r="P865">
        <v>43</v>
      </c>
      <c r="R865">
        <v>1</v>
      </c>
      <c r="V865"/>
      <c r="W865"/>
      <c r="X865"/>
    </row>
    <row r="866" spans="1:24" x14ac:dyDescent="0.3">
      <c r="A866" t="str">
        <f>Table_Capacity_Community_frontsheet[[#This Row],[Name]]&amp;B866</f>
        <v>SunderlandReablement &amp; Rehabilitation at home</v>
      </c>
      <c r="B866" t="str">
        <f>VLOOKUP(Table_Capacity_Community_frontsheet[[#This Row],[Service Area]],PathwayLookup!E:F,2,0)</f>
        <v>Reablement &amp; Rehabilitation at home</v>
      </c>
      <c r="C866" t="s">
        <v>311</v>
      </c>
      <c r="D866" t="s">
        <v>729</v>
      </c>
      <c r="V866"/>
      <c r="W866"/>
      <c r="X866"/>
    </row>
    <row r="867" spans="1:24" x14ac:dyDescent="0.3">
      <c r="A867" t="str">
        <f>Table_Capacity_Community_frontsheet[[#This Row],[Name]]&amp;B867</f>
        <v>SunderlandReablement &amp; Rehabilitation in a bedded setting</v>
      </c>
      <c r="B867" t="str">
        <f>VLOOKUP(Table_Capacity_Community_frontsheet[[#This Row],[Service Area]],PathwayLookup!E:F,2,0)</f>
        <v>Reablement &amp; Rehabilitation in a bedded setting</v>
      </c>
      <c r="C867" t="s">
        <v>311</v>
      </c>
      <c r="D867" t="s">
        <v>723</v>
      </c>
      <c r="E867">
        <v>8</v>
      </c>
      <c r="F867">
        <v>8</v>
      </c>
      <c r="G867">
        <v>8</v>
      </c>
      <c r="H867">
        <v>8</v>
      </c>
      <c r="I867">
        <v>8</v>
      </c>
      <c r="J867">
        <v>8</v>
      </c>
      <c r="K867">
        <v>8</v>
      </c>
      <c r="L867">
        <v>8</v>
      </c>
      <c r="M867">
        <v>8</v>
      </c>
      <c r="N867">
        <v>8</v>
      </c>
      <c r="O867">
        <v>8</v>
      </c>
      <c r="P867">
        <v>8</v>
      </c>
      <c r="Q867">
        <v>0.5</v>
      </c>
      <c r="R867">
        <v>0.5</v>
      </c>
      <c r="V867"/>
      <c r="W867"/>
      <c r="X867"/>
    </row>
    <row r="868" spans="1:24" x14ac:dyDescent="0.3">
      <c r="A868" t="str">
        <f>Table_Capacity_Community_frontsheet[[#This Row],[Name]]&amp;B868</f>
        <v>SunderlandReablement &amp; Rehabilitation in a bedded setting</v>
      </c>
      <c r="B868" t="str">
        <f>VLOOKUP(Table_Capacity_Community_frontsheet[[#This Row],[Service Area]],PathwayLookup!E:F,2,0)</f>
        <v>Reablement &amp; Rehabilitation in a bedded setting</v>
      </c>
      <c r="C868" t="s">
        <v>311</v>
      </c>
      <c r="D868" t="s">
        <v>725</v>
      </c>
      <c r="V868"/>
      <c r="W868"/>
      <c r="X868"/>
    </row>
    <row r="869" spans="1:24" x14ac:dyDescent="0.3">
      <c r="A869" t="str">
        <f>Table_Capacity_Community_frontsheet[[#This Row],[Name]]&amp;B869</f>
        <v>SunderlandOther short-term social care</v>
      </c>
      <c r="B869" t="str">
        <f>VLOOKUP(Table_Capacity_Community_frontsheet[[#This Row],[Service Area]],PathwayLookup!E:F,2,0)</f>
        <v>Other short-term social care</v>
      </c>
      <c r="C869" t="s">
        <v>311</v>
      </c>
      <c r="D869" t="s">
        <v>708</v>
      </c>
      <c r="V869"/>
      <c r="W869"/>
      <c r="X869"/>
    </row>
    <row r="870" spans="1:24" x14ac:dyDescent="0.3">
      <c r="A870" t="str">
        <f>Table_Capacity_Community_frontsheet[[#This Row],[Name]]&amp;B870</f>
        <v>SurreySocial support (including VCS)</v>
      </c>
      <c r="B870" t="str">
        <f>VLOOKUP(Table_Capacity_Community_frontsheet[[#This Row],[Service Area]],PathwayLookup!E:F,2,0)</f>
        <v>Social support (including VCS)</v>
      </c>
      <c r="C870" t="s">
        <v>313</v>
      </c>
      <c r="D870" t="s">
        <v>704</v>
      </c>
      <c r="E870">
        <v>22</v>
      </c>
      <c r="F870">
        <v>23</v>
      </c>
      <c r="G870">
        <v>22</v>
      </c>
      <c r="H870">
        <v>23</v>
      </c>
      <c r="I870">
        <v>23</v>
      </c>
      <c r="J870">
        <v>22</v>
      </c>
      <c r="K870">
        <v>23</v>
      </c>
      <c r="L870">
        <v>22</v>
      </c>
      <c r="M870">
        <v>23</v>
      </c>
      <c r="N870">
        <v>23</v>
      </c>
      <c r="O870">
        <v>21</v>
      </c>
      <c r="P870">
        <v>23</v>
      </c>
      <c r="S870">
        <v>1</v>
      </c>
      <c r="V870"/>
      <c r="W870"/>
      <c r="X870"/>
    </row>
    <row r="871" spans="1:24" x14ac:dyDescent="0.3">
      <c r="A871" t="str">
        <f>Table_Capacity_Community_frontsheet[[#This Row],[Name]]&amp;B871</f>
        <v>SurreyUrgent Community Response</v>
      </c>
      <c r="B871" t="str">
        <f>VLOOKUP(Table_Capacity_Community_frontsheet[[#This Row],[Service Area]],PathwayLookup!E:F,2,0)</f>
        <v>Urgent Community Response</v>
      </c>
      <c r="C871" t="s">
        <v>313</v>
      </c>
      <c r="D871" t="s">
        <v>705</v>
      </c>
      <c r="E871">
        <v>406</v>
      </c>
      <c r="F871">
        <v>420</v>
      </c>
      <c r="G871">
        <v>406</v>
      </c>
      <c r="H871">
        <v>420</v>
      </c>
      <c r="I871">
        <v>420</v>
      </c>
      <c r="J871">
        <v>406</v>
      </c>
      <c r="K871">
        <v>420</v>
      </c>
      <c r="L871">
        <v>406</v>
      </c>
      <c r="M871">
        <v>420</v>
      </c>
      <c r="N871">
        <v>420</v>
      </c>
      <c r="O871">
        <v>379</v>
      </c>
      <c r="P871">
        <v>420</v>
      </c>
      <c r="S871">
        <v>1</v>
      </c>
      <c r="V871"/>
      <c r="W871"/>
      <c r="X871"/>
    </row>
    <row r="872" spans="1:24" x14ac:dyDescent="0.3">
      <c r="A872" t="str">
        <f>Table_Capacity_Community_frontsheet[[#This Row],[Name]]&amp;B872</f>
        <v>SurreyReablement &amp; Rehabilitation at home</v>
      </c>
      <c r="B872" t="str">
        <f>VLOOKUP(Table_Capacity_Community_frontsheet[[#This Row],[Service Area]],PathwayLookup!E:F,2,0)</f>
        <v>Reablement &amp; Rehabilitation at home</v>
      </c>
      <c r="C872" t="s">
        <v>313</v>
      </c>
      <c r="D872" t="s">
        <v>727</v>
      </c>
      <c r="E872">
        <v>173</v>
      </c>
      <c r="F872">
        <v>178</v>
      </c>
      <c r="G872">
        <v>173</v>
      </c>
      <c r="H872">
        <v>178</v>
      </c>
      <c r="I872">
        <v>178</v>
      </c>
      <c r="J872">
        <v>173</v>
      </c>
      <c r="K872">
        <v>178</v>
      </c>
      <c r="L872">
        <v>173</v>
      </c>
      <c r="M872">
        <v>178</v>
      </c>
      <c r="N872">
        <v>178</v>
      </c>
      <c r="O872">
        <v>161</v>
      </c>
      <c r="P872">
        <v>178</v>
      </c>
      <c r="S872">
        <v>1</v>
      </c>
      <c r="V872"/>
      <c r="W872"/>
      <c r="X872"/>
    </row>
    <row r="873" spans="1:24" x14ac:dyDescent="0.3">
      <c r="A873" t="str">
        <f>Table_Capacity_Community_frontsheet[[#This Row],[Name]]&amp;B873</f>
        <v>SurreyReablement &amp; Rehabilitation at home</v>
      </c>
      <c r="B873" t="str">
        <f>VLOOKUP(Table_Capacity_Community_frontsheet[[#This Row],[Service Area]],PathwayLookup!E:F,2,0)</f>
        <v>Reablement &amp; Rehabilitation at home</v>
      </c>
      <c r="C873" t="s">
        <v>313</v>
      </c>
      <c r="D873" t="s">
        <v>729</v>
      </c>
      <c r="E873">
        <v>0</v>
      </c>
      <c r="F873">
        <v>0</v>
      </c>
      <c r="G873">
        <v>0</v>
      </c>
      <c r="H873">
        <v>0</v>
      </c>
      <c r="I873">
        <v>0</v>
      </c>
      <c r="J873">
        <v>0</v>
      </c>
      <c r="K873">
        <v>0</v>
      </c>
      <c r="L873">
        <v>0</v>
      </c>
      <c r="M873">
        <v>0</v>
      </c>
      <c r="N873">
        <v>0</v>
      </c>
      <c r="O873">
        <v>0</v>
      </c>
      <c r="P873">
        <v>0</v>
      </c>
      <c r="V873"/>
      <c r="W873"/>
      <c r="X873"/>
    </row>
    <row r="874" spans="1:24" x14ac:dyDescent="0.3">
      <c r="A874" t="str">
        <f>Table_Capacity_Community_frontsheet[[#This Row],[Name]]&amp;B874</f>
        <v>SurreyReablement &amp; Rehabilitation in a bedded setting</v>
      </c>
      <c r="B874" t="str">
        <f>VLOOKUP(Table_Capacity_Community_frontsheet[[#This Row],[Service Area]],PathwayLookup!E:F,2,0)</f>
        <v>Reablement &amp; Rehabilitation in a bedded setting</v>
      </c>
      <c r="C874" t="s">
        <v>313</v>
      </c>
      <c r="D874" t="s">
        <v>723</v>
      </c>
      <c r="E874">
        <v>0</v>
      </c>
      <c r="F874">
        <v>0</v>
      </c>
      <c r="G874">
        <v>0</v>
      </c>
      <c r="H874">
        <v>0</v>
      </c>
      <c r="I874">
        <v>0</v>
      </c>
      <c r="J874">
        <v>0</v>
      </c>
      <c r="K874">
        <v>0</v>
      </c>
      <c r="L874">
        <v>0</v>
      </c>
      <c r="M874">
        <v>0</v>
      </c>
      <c r="N874">
        <v>0</v>
      </c>
      <c r="O874">
        <v>0</v>
      </c>
      <c r="P874">
        <v>0</v>
      </c>
      <c r="V874"/>
      <c r="W874"/>
      <c r="X874"/>
    </row>
    <row r="875" spans="1:24" x14ac:dyDescent="0.3">
      <c r="A875" t="str">
        <f>Table_Capacity_Community_frontsheet[[#This Row],[Name]]&amp;B875</f>
        <v>SurreyReablement &amp; Rehabilitation in a bedded setting</v>
      </c>
      <c r="B875" t="str">
        <f>VLOOKUP(Table_Capacity_Community_frontsheet[[#This Row],[Service Area]],PathwayLookup!E:F,2,0)</f>
        <v>Reablement &amp; Rehabilitation in a bedded setting</v>
      </c>
      <c r="C875" t="s">
        <v>313</v>
      </c>
      <c r="D875" t="s">
        <v>725</v>
      </c>
      <c r="E875">
        <v>70</v>
      </c>
      <c r="F875">
        <v>72</v>
      </c>
      <c r="G875">
        <v>70</v>
      </c>
      <c r="H875">
        <v>72</v>
      </c>
      <c r="I875">
        <v>72</v>
      </c>
      <c r="J875">
        <v>70</v>
      </c>
      <c r="K875">
        <v>72</v>
      </c>
      <c r="L875">
        <v>70</v>
      </c>
      <c r="M875">
        <v>72</v>
      </c>
      <c r="N875">
        <v>72</v>
      </c>
      <c r="O875">
        <v>65</v>
      </c>
      <c r="P875">
        <v>72</v>
      </c>
      <c r="S875">
        <v>1</v>
      </c>
      <c r="V875"/>
      <c r="W875"/>
      <c r="X875"/>
    </row>
    <row r="876" spans="1:24" x14ac:dyDescent="0.3">
      <c r="A876" t="str">
        <f>Table_Capacity_Community_frontsheet[[#This Row],[Name]]&amp;B876</f>
        <v>SurreyOther short-term social care</v>
      </c>
      <c r="B876" t="str">
        <f>VLOOKUP(Table_Capacity_Community_frontsheet[[#This Row],[Service Area]],PathwayLookup!E:F,2,0)</f>
        <v>Other short-term social care</v>
      </c>
      <c r="C876" t="s">
        <v>313</v>
      </c>
      <c r="D876" t="s">
        <v>708</v>
      </c>
      <c r="E876">
        <v>82</v>
      </c>
      <c r="F876">
        <v>85</v>
      </c>
      <c r="G876">
        <v>82</v>
      </c>
      <c r="H876">
        <v>85</v>
      </c>
      <c r="I876">
        <v>85</v>
      </c>
      <c r="J876">
        <v>82</v>
      </c>
      <c r="K876">
        <v>85</v>
      </c>
      <c r="L876">
        <v>82</v>
      </c>
      <c r="M876">
        <v>85</v>
      </c>
      <c r="N876">
        <v>85</v>
      </c>
      <c r="O876">
        <v>76</v>
      </c>
      <c r="P876">
        <v>85</v>
      </c>
      <c r="S876">
        <v>1</v>
      </c>
      <c r="V876"/>
      <c r="W876"/>
      <c r="X876"/>
    </row>
    <row r="877" spans="1:24" x14ac:dyDescent="0.3">
      <c r="A877" t="str">
        <f>Table_Capacity_Community_frontsheet[[#This Row],[Name]]&amp;B877</f>
        <v>SuttonSocial support (including VCS)</v>
      </c>
      <c r="B877" t="str">
        <f>VLOOKUP(Table_Capacity_Community_frontsheet[[#This Row],[Service Area]],PathwayLookup!E:F,2,0)</f>
        <v>Social support (including VCS)</v>
      </c>
      <c r="C877" t="s">
        <v>315</v>
      </c>
      <c r="D877" t="s">
        <v>704</v>
      </c>
      <c r="E877">
        <v>0</v>
      </c>
      <c r="F877">
        <v>0</v>
      </c>
      <c r="G877">
        <v>0</v>
      </c>
      <c r="H877">
        <v>0</v>
      </c>
      <c r="I877">
        <v>0</v>
      </c>
      <c r="J877">
        <v>0</v>
      </c>
      <c r="K877">
        <v>0</v>
      </c>
      <c r="L877">
        <v>0</v>
      </c>
      <c r="M877">
        <v>0</v>
      </c>
      <c r="N877">
        <v>0</v>
      </c>
      <c r="O877">
        <v>0</v>
      </c>
      <c r="P877">
        <v>0</v>
      </c>
      <c r="V877"/>
      <c r="W877"/>
      <c r="X877"/>
    </row>
    <row r="878" spans="1:24" x14ac:dyDescent="0.3">
      <c r="A878" t="str">
        <f>Table_Capacity_Community_frontsheet[[#This Row],[Name]]&amp;B878</f>
        <v>SuttonUrgent Community Response</v>
      </c>
      <c r="B878" t="str">
        <f>VLOOKUP(Table_Capacity_Community_frontsheet[[#This Row],[Service Area]],PathwayLookup!E:F,2,0)</f>
        <v>Urgent Community Response</v>
      </c>
      <c r="C878" t="s">
        <v>315</v>
      </c>
      <c r="D878" t="s">
        <v>705</v>
      </c>
      <c r="E878">
        <v>450</v>
      </c>
      <c r="F878">
        <v>450</v>
      </c>
      <c r="G878">
        <v>450</v>
      </c>
      <c r="H878">
        <v>450</v>
      </c>
      <c r="I878">
        <v>450</v>
      </c>
      <c r="J878">
        <v>450</v>
      </c>
      <c r="K878">
        <v>450</v>
      </c>
      <c r="L878">
        <v>450</v>
      </c>
      <c r="M878">
        <v>450</v>
      </c>
      <c r="N878">
        <v>450</v>
      </c>
      <c r="O878">
        <v>450</v>
      </c>
      <c r="P878">
        <v>450</v>
      </c>
      <c r="Q878">
        <v>1</v>
      </c>
      <c r="V878"/>
      <c r="W878"/>
      <c r="X878"/>
    </row>
    <row r="879" spans="1:24" x14ac:dyDescent="0.3">
      <c r="A879" t="str">
        <f>Table_Capacity_Community_frontsheet[[#This Row],[Name]]&amp;B879</f>
        <v>SuttonReablement &amp; Rehabilitation at home</v>
      </c>
      <c r="B879" t="str">
        <f>VLOOKUP(Table_Capacity_Community_frontsheet[[#This Row],[Service Area]],PathwayLookup!E:F,2,0)</f>
        <v>Reablement &amp; Rehabilitation at home</v>
      </c>
      <c r="C879" t="s">
        <v>315</v>
      </c>
      <c r="D879" t="s">
        <v>727</v>
      </c>
      <c r="E879">
        <v>55</v>
      </c>
      <c r="F879">
        <v>55</v>
      </c>
      <c r="G879">
        <v>55</v>
      </c>
      <c r="H879">
        <v>55</v>
      </c>
      <c r="I879">
        <v>55</v>
      </c>
      <c r="J879">
        <v>55</v>
      </c>
      <c r="K879">
        <v>55</v>
      </c>
      <c r="L879">
        <v>55</v>
      </c>
      <c r="M879">
        <v>55</v>
      </c>
      <c r="N879">
        <v>55</v>
      </c>
      <c r="O879">
        <v>55</v>
      </c>
      <c r="P879">
        <v>55</v>
      </c>
      <c r="Q879">
        <v>0.36</v>
      </c>
      <c r="R879">
        <v>0.64</v>
      </c>
      <c r="V879"/>
      <c r="W879"/>
      <c r="X879"/>
    </row>
    <row r="880" spans="1:24" x14ac:dyDescent="0.3">
      <c r="A880" t="str">
        <f>Table_Capacity_Community_frontsheet[[#This Row],[Name]]&amp;B880</f>
        <v>SuttonReablement &amp; Rehabilitation at home</v>
      </c>
      <c r="B880" t="str">
        <f>VLOOKUP(Table_Capacity_Community_frontsheet[[#This Row],[Service Area]],PathwayLookup!E:F,2,0)</f>
        <v>Reablement &amp; Rehabilitation at home</v>
      </c>
      <c r="C880" t="s">
        <v>315</v>
      </c>
      <c r="D880" t="s">
        <v>729</v>
      </c>
      <c r="E880">
        <v>0</v>
      </c>
      <c r="F880">
        <v>0</v>
      </c>
      <c r="G880">
        <v>0</v>
      </c>
      <c r="H880">
        <v>0</v>
      </c>
      <c r="I880">
        <v>0</v>
      </c>
      <c r="J880">
        <v>0</v>
      </c>
      <c r="K880">
        <v>0</v>
      </c>
      <c r="L880">
        <v>0</v>
      </c>
      <c r="M880">
        <v>0</v>
      </c>
      <c r="N880">
        <v>0</v>
      </c>
      <c r="O880">
        <v>0</v>
      </c>
      <c r="P880">
        <v>0</v>
      </c>
      <c r="V880"/>
      <c r="W880"/>
      <c r="X880"/>
    </row>
    <row r="881" spans="1:24" x14ac:dyDescent="0.3">
      <c r="A881" t="str">
        <f>Table_Capacity_Community_frontsheet[[#This Row],[Name]]&amp;B881</f>
        <v>SuttonReablement &amp; Rehabilitation in a bedded setting</v>
      </c>
      <c r="B881" t="str">
        <f>VLOOKUP(Table_Capacity_Community_frontsheet[[#This Row],[Service Area]],PathwayLookup!E:F,2,0)</f>
        <v>Reablement &amp; Rehabilitation in a bedded setting</v>
      </c>
      <c r="C881" t="s">
        <v>315</v>
      </c>
      <c r="D881" t="s">
        <v>723</v>
      </c>
      <c r="E881">
        <v>0</v>
      </c>
      <c r="F881">
        <v>0</v>
      </c>
      <c r="G881">
        <v>0</v>
      </c>
      <c r="H881">
        <v>0</v>
      </c>
      <c r="I881">
        <v>0</v>
      </c>
      <c r="J881">
        <v>0</v>
      </c>
      <c r="K881">
        <v>0</v>
      </c>
      <c r="L881">
        <v>0</v>
      </c>
      <c r="M881">
        <v>0</v>
      </c>
      <c r="N881">
        <v>0</v>
      </c>
      <c r="O881">
        <v>0</v>
      </c>
      <c r="P881">
        <v>0</v>
      </c>
      <c r="V881"/>
      <c r="W881"/>
      <c r="X881"/>
    </row>
    <row r="882" spans="1:24" x14ac:dyDescent="0.3">
      <c r="A882" t="str">
        <f>Table_Capacity_Community_frontsheet[[#This Row],[Name]]&amp;B882</f>
        <v>SuttonReablement &amp; Rehabilitation in a bedded setting</v>
      </c>
      <c r="B882" t="str">
        <f>VLOOKUP(Table_Capacity_Community_frontsheet[[#This Row],[Service Area]],PathwayLookup!E:F,2,0)</f>
        <v>Reablement &amp; Rehabilitation in a bedded setting</v>
      </c>
      <c r="C882" t="s">
        <v>315</v>
      </c>
      <c r="D882" t="s">
        <v>725</v>
      </c>
      <c r="E882">
        <v>2</v>
      </c>
      <c r="F882">
        <v>2</v>
      </c>
      <c r="G882">
        <v>2</v>
      </c>
      <c r="H882">
        <v>2</v>
      </c>
      <c r="I882">
        <v>2</v>
      </c>
      <c r="J882">
        <v>2</v>
      </c>
      <c r="K882">
        <v>2</v>
      </c>
      <c r="L882">
        <v>2</v>
      </c>
      <c r="M882">
        <v>2</v>
      </c>
      <c r="N882">
        <v>2</v>
      </c>
      <c r="O882">
        <v>2</v>
      </c>
      <c r="P882">
        <v>2</v>
      </c>
      <c r="Q882">
        <v>1</v>
      </c>
      <c r="V882"/>
      <c r="W882"/>
      <c r="X882"/>
    </row>
    <row r="883" spans="1:24" x14ac:dyDescent="0.3">
      <c r="A883" t="str">
        <f>Table_Capacity_Community_frontsheet[[#This Row],[Name]]&amp;B883</f>
        <v>SuttonOther short-term social care</v>
      </c>
      <c r="B883" t="str">
        <f>VLOOKUP(Table_Capacity_Community_frontsheet[[#This Row],[Service Area]],PathwayLookup!E:F,2,0)</f>
        <v>Other short-term social care</v>
      </c>
      <c r="C883" t="s">
        <v>315</v>
      </c>
      <c r="D883" t="s">
        <v>708</v>
      </c>
      <c r="E883">
        <v>12</v>
      </c>
      <c r="F883">
        <v>12</v>
      </c>
      <c r="G883">
        <v>12</v>
      </c>
      <c r="H883">
        <v>12</v>
      </c>
      <c r="I883">
        <v>12</v>
      </c>
      <c r="J883">
        <v>12</v>
      </c>
      <c r="K883">
        <v>12</v>
      </c>
      <c r="L883">
        <v>12</v>
      </c>
      <c r="M883">
        <v>12</v>
      </c>
      <c r="N883">
        <v>12</v>
      </c>
      <c r="O883">
        <v>12</v>
      </c>
      <c r="P883">
        <v>12</v>
      </c>
      <c r="R883">
        <v>1</v>
      </c>
      <c r="V883"/>
      <c r="W883"/>
      <c r="X883"/>
    </row>
    <row r="884" spans="1:24" x14ac:dyDescent="0.3">
      <c r="A884" t="str">
        <f>Table_Capacity_Community_frontsheet[[#This Row],[Name]]&amp;B884</f>
        <v>SwindonSocial support (including VCS)</v>
      </c>
      <c r="B884" t="str">
        <f>VLOOKUP(Table_Capacity_Community_frontsheet[[#This Row],[Service Area]],PathwayLookup!E:F,2,0)</f>
        <v>Social support (including VCS)</v>
      </c>
      <c r="C884" t="s">
        <v>317</v>
      </c>
      <c r="D884" t="s">
        <v>704</v>
      </c>
      <c r="E884">
        <v>0</v>
      </c>
      <c r="F884">
        <v>0</v>
      </c>
      <c r="G884">
        <v>0</v>
      </c>
      <c r="H884">
        <v>0</v>
      </c>
      <c r="I884">
        <v>0</v>
      </c>
      <c r="J884">
        <v>0</v>
      </c>
      <c r="K884">
        <v>0</v>
      </c>
      <c r="L884">
        <v>0</v>
      </c>
      <c r="M884">
        <v>0</v>
      </c>
      <c r="N884">
        <v>0</v>
      </c>
      <c r="O884">
        <v>0</v>
      </c>
      <c r="P884">
        <v>0</v>
      </c>
      <c r="Q884">
        <v>1</v>
      </c>
      <c r="V884"/>
      <c r="W884"/>
      <c r="X884"/>
    </row>
    <row r="885" spans="1:24" x14ac:dyDescent="0.3">
      <c r="A885" t="str">
        <f>Table_Capacity_Community_frontsheet[[#This Row],[Name]]&amp;B885</f>
        <v>SwindonUrgent Community Response</v>
      </c>
      <c r="B885" t="str">
        <f>VLOOKUP(Table_Capacity_Community_frontsheet[[#This Row],[Service Area]],PathwayLookup!E:F,2,0)</f>
        <v>Urgent Community Response</v>
      </c>
      <c r="C885" t="s">
        <v>317</v>
      </c>
      <c r="D885" t="s">
        <v>705</v>
      </c>
      <c r="E885">
        <v>628</v>
      </c>
      <c r="F885">
        <v>737</v>
      </c>
      <c r="G885">
        <v>690</v>
      </c>
      <c r="H885">
        <v>767</v>
      </c>
      <c r="I885">
        <v>970</v>
      </c>
      <c r="J885">
        <v>790</v>
      </c>
      <c r="K885">
        <v>922</v>
      </c>
      <c r="L885">
        <v>949</v>
      </c>
      <c r="M885">
        <v>1078</v>
      </c>
      <c r="N885">
        <v>1095</v>
      </c>
      <c r="O885">
        <v>915</v>
      </c>
      <c r="P885">
        <v>955</v>
      </c>
      <c r="Q885">
        <v>1</v>
      </c>
      <c r="V885"/>
      <c r="W885"/>
      <c r="X885"/>
    </row>
    <row r="886" spans="1:24" x14ac:dyDescent="0.3">
      <c r="A886" t="str">
        <f>Table_Capacity_Community_frontsheet[[#This Row],[Name]]&amp;B886</f>
        <v>SwindonReablement &amp; Rehabilitation at home</v>
      </c>
      <c r="B886" t="str">
        <f>VLOOKUP(Table_Capacity_Community_frontsheet[[#This Row],[Service Area]],PathwayLookup!E:F,2,0)</f>
        <v>Reablement &amp; Rehabilitation at home</v>
      </c>
      <c r="C886" t="s">
        <v>317</v>
      </c>
      <c r="D886" t="s">
        <v>727</v>
      </c>
      <c r="E886">
        <v>16</v>
      </c>
      <c r="F886">
        <v>16</v>
      </c>
      <c r="G886">
        <v>20</v>
      </c>
      <c r="H886">
        <v>22</v>
      </c>
      <c r="I886">
        <v>23</v>
      </c>
      <c r="J886">
        <v>23</v>
      </c>
      <c r="K886">
        <v>23</v>
      </c>
      <c r="L886">
        <v>23</v>
      </c>
      <c r="M886">
        <v>23</v>
      </c>
      <c r="N886">
        <v>23</v>
      </c>
      <c r="O886">
        <v>23</v>
      </c>
      <c r="P886">
        <v>23</v>
      </c>
      <c r="R886">
        <v>1</v>
      </c>
      <c r="V886"/>
      <c r="W886"/>
      <c r="X886"/>
    </row>
    <row r="887" spans="1:24" x14ac:dyDescent="0.3">
      <c r="A887" t="str">
        <f>Table_Capacity_Community_frontsheet[[#This Row],[Name]]&amp;B887</f>
        <v>SwindonReablement &amp; Rehabilitation at home</v>
      </c>
      <c r="B887" t="str">
        <f>VLOOKUP(Table_Capacity_Community_frontsheet[[#This Row],[Service Area]],PathwayLookup!E:F,2,0)</f>
        <v>Reablement &amp; Rehabilitation at home</v>
      </c>
      <c r="C887" t="s">
        <v>317</v>
      </c>
      <c r="D887" t="s">
        <v>729</v>
      </c>
      <c r="E887">
        <v>159</v>
      </c>
      <c r="F887">
        <v>185</v>
      </c>
      <c r="G887">
        <v>175</v>
      </c>
      <c r="H887">
        <v>191</v>
      </c>
      <c r="I887">
        <v>213</v>
      </c>
      <c r="J887">
        <v>239</v>
      </c>
      <c r="K887">
        <v>173</v>
      </c>
      <c r="L887">
        <v>200</v>
      </c>
      <c r="M887">
        <v>173</v>
      </c>
      <c r="N887">
        <v>203</v>
      </c>
      <c r="O887">
        <v>187</v>
      </c>
      <c r="P887">
        <v>231</v>
      </c>
      <c r="Q887">
        <v>1</v>
      </c>
      <c r="V887"/>
      <c r="W887"/>
      <c r="X887"/>
    </row>
    <row r="888" spans="1:24" x14ac:dyDescent="0.3">
      <c r="A888" t="str">
        <f>Table_Capacity_Community_frontsheet[[#This Row],[Name]]&amp;B888</f>
        <v>SwindonReablement &amp; Rehabilitation in a bedded setting</v>
      </c>
      <c r="B888" t="str">
        <f>VLOOKUP(Table_Capacity_Community_frontsheet[[#This Row],[Service Area]],PathwayLookup!E:F,2,0)</f>
        <v>Reablement &amp; Rehabilitation in a bedded setting</v>
      </c>
      <c r="C888" t="s">
        <v>317</v>
      </c>
      <c r="D888" t="s">
        <v>723</v>
      </c>
      <c r="E888">
        <v>1</v>
      </c>
      <c r="F888">
        <v>1</v>
      </c>
      <c r="G888">
        <v>1</v>
      </c>
      <c r="H888">
        <v>1</v>
      </c>
      <c r="I888">
        <v>1</v>
      </c>
      <c r="J888">
        <v>1</v>
      </c>
      <c r="K888">
        <v>1</v>
      </c>
      <c r="L888">
        <v>1</v>
      </c>
      <c r="M888">
        <v>1</v>
      </c>
      <c r="N888">
        <v>1</v>
      </c>
      <c r="O888">
        <v>1</v>
      </c>
      <c r="P888">
        <v>1</v>
      </c>
      <c r="R888">
        <v>1</v>
      </c>
      <c r="V888"/>
      <c r="W888"/>
      <c r="X888"/>
    </row>
    <row r="889" spans="1:24" x14ac:dyDescent="0.3">
      <c r="A889" t="str">
        <f>Table_Capacity_Community_frontsheet[[#This Row],[Name]]&amp;B889</f>
        <v>SwindonReablement &amp; Rehabilitation in a bedded setting</v>
      </c>
      <c r="B889" t="str">
        <f>VLOOKUP(Table_Capacity_Community_frontsheet[[#This Row],[Service Area]],PathwayLookup!E:F,2,0)</f>
        <v>Reablement &amp; Rehabilitation in a bedded setting</v>
      </c>
      <c r="C889" t="s">
        <v>317</v>
      </c>
      <c r="D889" t="s">
        <v>725</v>
      </c>
      <c r="E889">
        <v>0</v>
      </c>
      <c r="F889">
        <v>0</v>
      </c>
      <c r="G889">
        <v>0</v>
      </c>
      <c r="H889">
        <v>0</v>
      </c>
      <c r="I889">
        <v>0</v>
      </c>
      <c r="J889">
        <v>0</v>
      </c>
      <c r="K889">
        <v>0</v>
      </c>
      <c r="L889">
        <v>0</v>
      </c>
      <c r="M889">
        <v>0</v>
      </c>
      <c r="N889">
        <v>0</v>
      </c>
      <c r="O889">
        <v>0</v>
      </c>
      <c r="P889">
        <v>0</v>
      </c>
      <c r="Q889">
        <v>1</v>
      </c>
      <c r="V889"/>
      <c r="W889"/>
      <c r="X889"/>
    </row>
    <row r="890" spans="1:24" x14ac:dyDescent="0.3">
      <c r="A890" t="str">
        <f>Table_Capacity_Community_frontsheet[[#This Row],[Name]]&amp;B890</f>
        <v>SwindonOther short-term social care</v>
      </c>
      <c r="B890" t="str">
        <f>VLOOKUP(Table_Capacity_Community_frontsheet[[#This Row],[Service Area]],PathwayLookup!E:F,2,0)</f>
        <v>Other short-term social care</v>
      </c>
      <c r="C890" t="s">
        <v>317</v>
      </c>
      <c r="D890" t="s">
        <v>708</v>
      </c>
      <c r="E890">
        <v>40</v>
      </c>
      <c r="F890">
        <v>40</v>
      </c>
      <c r="G890">
        <v>40</v>
      </c>
      <c r="H890">
        <v>40</v>
      </c>
      <c r="I890">
        <v>40</v>
      </c>
      <c r="J890">
        <v>40</v>
      </c>
      <c r="K890">
        <v>40</v>
      </c>
      <c r="L890">
        <v>40</v>
      </c>
      <c r="M890">
        <v>40</v>
      </c>
      <c r="N890">
        <v>40</v>
      </c>
      <c r="O890">
        <v>40</v>
      </c>
      <c r="P890">
        <v>40</v>
      </c>
      <c r="R890">
        <v>1</v>
      </c>
      <c r="V890"/>
      <c r="W890"/>
      <c r="X890"/>
    </row>
    <row r="891" spans="1:24" x14ac:dyDescent="0.3">
      <c r="A891" t="str">
        <f>Table_Capacity_Community_frontsheet[[#This Row],[Name]]&amp;B891</f>
        <v>TamesideSocial support (including VCS)</v>
      </c>
      <c r="B891" t="str">
        <f>VLOOKUP(Table_Capacity_Community_frontsheet[[#This Row],[Service Area]],PathwayLookup!E:F,2,0)</f>
        <v>Social support (including VCS)</v>
      </c>
      <c r="C891" t="s">
        <v>319</v>
      </c>
      <c r="D891" t="s">
        <v>704</v>
      </c>
      <c r="E891">
        <v>48</v>
      </c>
      <c r="F891">
        <v>48</v>
      </c>
      <c r="G891">
        <v>48</v>
      </c>
      <c r="H891">
        <v>48</v>
      </c>
      <c r="I891">
        <v>48</v>
      </c>
      <c r="J891">
        <v>48</v>
      </c>
      <c r="K891">
        <v>48</v>
      </c>
      <c r="L891">
        <v>48</v>
      </c>
      <c r="M891">
        <v>48</v>
      </c>
      <c r="N891">
        <v>48</v>
      </c>
      <c r="O891">
        <v>48</v>
      </c>
      <c r="P891">
        <v>48</v>
      </c>
      <c r="R891">
        <v>1</v>
      </c>
      <c r="V891"/>
      <c r="W891"/>
      <c r="X891"/>
    </row>
    <row r="892" spans="1:24" x14ac:dyDescent="0.3">
      <c r="A892" t="str">
        <f>Table_Capacity_Community_frontsheet[[#This Row],[Name]]&amp;B892</f>
        <v>TamesideUrgent Community Response</v>
      </c>
      <c r="B892" t="str">
        <f>VLOOKUP(Table_Capacity_Community_frontsheet[[#This Row],[Service Area]],PathwayLookup!E:F,2,0)</f>
        <v>Urgent Community Response</v>
      </c>
      <c r="C892" t="s">
        <v>319</v>
      </c>
      <c r="D892" t="s">
        <v>705</v>
      </c>
      <c r="E892">
        <v>159</v>
      </c>
      <c r="F892">
        <v>174</v>
      </c>
      <c r="G892">
        <v>174</v>
      </c>
      <c r="H892">
        <v>174</v>
      </c>
      <c r="I892">
        <v>189</v>
      </c>
      <c r="J892">
        <v>189</v>
      </c>
      <c r="K892">
        <v>189</v>
      </c>
      <c r="L892">
        <v>194</v>
      </c>
      <c r="M892">
        <v>199</v>
      </c>
      <c r="N892">
        <v>199</v>
      </c>
      <c r="O892">
        <v>194</v>
      </c>
      <c r="P892">
        <v>189</v>
      </c>
      <c r="Q892">
        <v>1</v>
      </c>
      <c r="V892"/>
      <c r="W892"/>
      <c r="X892"/>
    </row>
    <row r="893" spans="1:24" x14ac:dyDescent="0.3">
      <c r="A893" t="str">
        <f>Table_Capacity_Community_frontsheet[[#This Row],[Name]]&amp;B893</f>
        <v>TamesideReablement &amp; Rehabilitation at home</v>
      </c>
      <c r="B893" t="str">
        <f>VLOOKUP(Table_Capacity_Community_frontsheet[[#This Row],[Service Area]],PathwayLookup!E:F,2,0)</f>
        <v>Reablement &amp; Rehabilitation at home</v>
      </c>
      <c r="C893" t="s">
        <v>319</v>
      </c>
      <c r="D893" t="s">
        <v>727</v>
      </c>
      <c r="E893">
        <v>0</v>
      </c>
      <c r="F893">
        <v>0</v>
      </c>
      <c r="G893">
        <v>0</v>
      </c>
      <c r="H893">
        <v>0</v>
      </c>
      <c r="I893">
        <v>0</v>
      </c>
      <c r="J893">
        <v>0</v>
      </c>
      <c r="K893">
        <v>0</v>
      </c>
      <c r="L893">
        <v>0</v>
      </c>
      <c r="M893">
        <v>0</v>
      </c>
      <c r="N893">
        <v>0</v>
      </c>
      <c r="O893">
        <v>0</v>
      </c>
      <c r="P893">
        <v>0</v>
      </c>
      <c r="R893">
        <v>1</v>
      </c>
      <c r="V893"/>
      <c r="W893"/>
      <c r="X893"/>
    </row>
    <row r="894" spans="1:24" x14ac:dyDescent="0.3">
      <c r="A894" t="str">
        <f>Table_Capacity_Community_frontsheet[[#This Row],[Name]]&amp;B894</f>
        <v>TamesideReablement &amp; Rehabilitation at home</v>
      </c>
      <c r="B894" t="str">
        <f>VLOOKUP(Table_Capacity_Community_frontsheet[[#This Row],[Service Area]],PathwayLookup!E:F,2,0)</f>
        <v>Reablement &amp; Rehabilitation at home</v>
      </c>
      <c r="C894" t="s">
        <v>319</v>
      </c>
      <c r="D894" t="s">
        <v>729</v>
      </c>
      <c r="E894">
        <v>40</v>
      </c>
      <c r="F894">
        <v>40</v>
      </c>
      <c r="G894">
        <v>40</v>
      </c>
      <c r="H894">
        <v>40</v>
      </c>
      <c r="I894">
        <v>40</v>
      </c>
      <c r="J894">
        <v>40</v>
      </c>
      <c r="K894">
        <v>40</v>
      </c>
      <c r="L894">
        <v>40</v>
      </c>
      <c r="M894">
        <v>40</v>
      </c>
      <c r="N894">
        <v>40</v>
      </c>
      <c r="O894">
        <v>40</v>
      </c>
      <c r="P894">
        <v>40</v>
      </c>
      <c r="V894"/>
      <c r="W894"/>
      <c r="X894"/>
    </row>
    <row r="895" spans="1:24" x14ac:dyDescent="0.3">
      <c r="A895" t="str">
        <f>Table_Capacity_Community_frontsheet[[#This Row],[Name]]&amp;B895</f>
        <v>TamesideReablement &amp; Rehabilitation in a bedded setting</v>
      </c>
      <c r="B895" t="str">
        <f>VLOOKUP(Table_Capacity_Community_frontsheet[[#This Row],[Service Area]],PathwayLookup!E:F,2,0)</f>
        <v>Reablement &amp; Rehabilitation in a bedded setting</v>
      </c>
      <c r="C895" t="s">
        <v>319</v>
      </c>
      <c r="D895" t="s">
        <v>723</v>
      </c>
      <c r="E895">
        <v>0</v>
      </c>
      <c r="F895">
        <v>0</v>
      </c>
      <c r="G895">
        <v>0</v>
      </c>
      <c r="H895">
        <v>0</v>
      </c>
      <c r="I895">
        <v>0</v>
      </c>
      <c r="J895">
        <v>0</v>
      </c>
      <c r="K895">
        <v>0</v>
      </c>
      <c r="L895">
        <v>0</v>
      </c>
      <c r="M895">
        <v>0</v>
      </c>
      <c r="N895">
        <v>0</v>
      </c>
      <c r="O895">
        <v>0</v>
      </c>
      <c r="P895">
        <v>0</v>
      </c>
      <c r="V895"/>
      <c r="W895"/>
      <c r="X895"/>
    </row>
    <row r="896" spans="1:24" x14ac:dyDescent="0.3">
      <c r="A896" t="str">
        <f>Table_Capacity_Community_frontsheet[[#This Row],[Name]]&amp;B896</f>
        <v>TamesideReablement &amp; Rehabilitation in a bedded setting</v>
      </c>
      <c r="B896" t="str">
        <f>VLOOKUP(Table_Capacity_Community_frontsheet[[#This Row],[Service Area]],PathwayLookup!E:F,2,0)</f>
        <v>Reablement &amp; Rehabilitation in a bedded setting</v>
      </c>
      <c r="C896" t="s">
        <v>319</v>
      </c>
      <c r="D896" t="s">
        <v>725</v>
      </c>
      <c r="E896">
        <v>0</v>
      </c>
      <c r="F896">
        <v>0</v>
      </c>
      <c r="G896">
        <v>0</v>
      </c>
      <c r="H896">
        <v>0</v>
      </c>
      <c r="I896">
        <v>0</v>
      </c>
      <c r="J896">
        <v>0</v>
      </c>
      <c r="K896">
        <v>0</v>
      </c>
      <c r="L896">
        <v>0</v>
      </c>
      <c r="M896">
        <v>0</v>
      </c>
      <c r="N896">
        <v>0</v>
      </c>
      <c r="O896">
        <v>0</v>
      </c>
      <c r="P896">
        <v>0</v>
      </c>
      <c r="V896"/>
      <c r="W896"/>
      <c r="X896"/>
    </row>
    <row r="897" spans="1:24" x14ac:dyDescent="0.3">
      <c r="A897" t="str">
        <f>Table_Capacity_Community_frontsheet[[#This Row],[Name]]&amp;B897</f>
        <v>TamesideOther short-term social care</v>
      </c>
      <c r="B897" t="str">
        <f>VLOOKUP(Table_Capacity_Community_frontsheet[[#This Row],[Service Area]],PathwayLookup!E:F,2,0)</f>
        <v>Other short-term social care</v>
      </c>
      <c r="C897" t="s">
        <v>319</v>
      </c>
      <c r="D897" t="s">
        <v>708</v>
      </c>
      <c r="E897">
        <v>9</v>
      </c>
      <c r="F897">
        <v>10</v>
      </c>
      <c r="G897">
        <v>9</v>
      </c>
      <c r="H897">
        <v>10</v>
      </c>
      <c r="I897">
        <v>10</v>
      </c>
      <c r="J897">
        <v>9</v>
      </c>
      <c r="K897">
        <v>10</v>
      </c>
      <c r="L897">
        <v>9</v>
      </c>
      <c r="M897">
        <v>10</v>
      </c>
      <c r="N897">
        <v>10</v>
      </c>
      <c r="O897">
        <v>9</v>
      </c>
      <c r="P897">
        <v>10</v>
      </c>
      <c r="R897">
        <v>1</v>
      </c>
      <c r="V897"/>
      <c r="W897"/>
      <c r="X897"/>
    </row>
    <row r="898" spans="1:24" x14ac:dyDescent="0.3">
      <c r="A898" t="str">
        <f>Table_Capacity_Community_frontsheet[[#This Row],[Name]]&amp;B898</f>
        <v>Telford and WrekinSocial support (including VCS)</v>
      </c>
      <c r="B898" t="str">
        <f>VLOOKUP(Table_Capacity_Community_frontsheet[[#This Row],[Service Area]],PathwayLookup!E:F,2,0)</f>
        <v>Social support (including VCS)</v>
      </c>
      <c r="C898" t="s">
        <v>321</v>
      </c>
      <c r="D898" t="s">
        <v>704</v>
      </c>
      <c r="V898"/>
      <c r="W898"/>
      <c r="X898"/>
    </row>
    <row r="899" spans="1:24" x14ac:dyDescent="0.3">
      <c r="A899" t="str">
        <f>Table_Capacity_Community_frontsheet[[#This Row],[Name]]&amp;B899</f>
        <v>Telford and WrekinUrgent Community Response</v>
      </c>
      <c r="B899" t="str">
        <f>VLOOKUP(Table_Capacity_Community_frontsheet[[#This Row],[Service Area]],PathwayLookup!E:F,2,0)</f>
        <v>Urgent Community Response</v>
      </c>
      <c r="C899" t="s">
        <v>321</v>
      </c>
      <c r="D899" t="s">
        <v>705</v>
      </c>
      <c r="V899"/>
      <c r="W899"/>
      <c r="X899"/>
    </row>
    <row r="900" spans="1:24" x14ac:dyDescent="0.3">
      <c r="A900" t="str">
        <f>Table_Capacity_Community_frontsheet[[#This Row],[Name]]&amp;B900</f>
        <v>Telford and WrekinReablement &amp; Rehabilitation at home</v>
      </c>
      <c r="B900" t="str">
        <f>VLOOKUP(Table_Capacity_Community_frontsheet[[#This Row],[Service Area]],PathwayLookup!E:F,2,0)</f>
        <v>Reablement &amp; Rehabilitation at home</v>
      </c>
      <c r="C900" t="s">
        <v>321</v>
      </c>
      <c r="D900" t="s">
        <v>727</v>
      </c>
      <c r="E900">
        <v>4</v>
      </c>
      <c r="F900">
        <v>4</v>
      </c>
      <c r="G900">
        <v>4</v>
      </c>
      <c r="H900">
        <v>4</v>
      </c>
      <c r="I900">
        <v>4</v>
      </c>
      <c r="J900">
        <v>4</v>
      </c>
      <c r="K900">
        <v>4</v>
      </c>
      <c r="L900">
        <v>4</v>
      </c>
      <c r="M900">
        <v>4</v>
      </c>
      <c r="N900">
        <v>4</v>
      </c>
      <c r="O900">
        <v>4</v>
      </c>
      <c r="P900">
        <v>4</v>
      </c>
      <c r="V900"/>
      <c r="W900"/>
      <c r="X900"/>
    </row>
    <row r="901" spans="1:24" x14ac:dyDescent="0.3">
      <c r="A901" t="str">
        <f>Table_Capacity_Community_frontsheet[[#This Row],[Name]]&amp;B901</f>
        <v>Telford and WrekinReablement &amp; Rehabilitation at home</v>
      </c>
      <c r="B901" t="str">
        <f>VLOOKUP(Table_Capacity_Community_frontsheet[[#This Row],[Service Area]],PathwayLookup!E:F,2,0)</f>
        <v>Reablement &amp; Rehabilitation at home</v>
      </c>
      <c r="C901" t="s">
        <v>321</v>
      </c>
      <c r="D901" t="s">
        <v>729</v>
      </c>
      <c r="V901"/>
      <c r="W901"/>
      <c r="X901"/>
    </row>
    <row r="902" spans="1:24" x14ac:dyDescent="0.3">
      <c r="A902" t="str">
        <f>Table_Capacity_Community_frontsheet[[#This Row],[Name]]&amp;B902</f>
        <v>Telford and WrekinReablement &amp; Rehabilitation in a bedded setting</v>
      </c>
      <c r="B902" t="str">
        <f>VLOOKUP(Table_Capacity_Community_frontsheet[[#This Row],[Service Area]],PathwayLookup!E:F,2,0)</f>
        <v>Reablement &amp; Rehabilitation in a bedded setting</v>
      </c>
      <c r="C902" t="s">
        <v>321</v>
      </c>
      <c r="D902" t="s">
        <v>723</v>
      </c>
      <c r="E902">
        <v>4</v>
      </c>
      <c r="F902">
        <v>4</v>
      </c>
      <c r="G902">
        <v>4</v>
      </c>
      <c r="H902">
        <v>4</v>
      </c>
      <c r="I902">
        <v>4</v>
      </c>
      <c r="J902">
        <v>4</v>
      </c>
      <c r="K902">
        <v>4</v>
      </c>
      <c r="L902">
        <v>4</v>
      </c>
      <c r="M902">
        <v>4</v>
      </c>
      <c r="N902">
        <v>4</v>
      </c>
      <c r="O902">
        <v>4</v>
      </c>
      <c r="P902">
        <v>4</v>
      </c>
      <c r="V902"/>
      <c r="W902"/>
      <c r="X902"/>
    </row>
    <row r="903" spans="1:24" x14ac:dyDescent="0.3">
      <c r="A903" t="str">
        <f>Table_Capacity_Community_frontsheet[[#This Row],[Name]]&amp;B903</f>
        <v>Telford and WrekinReablement &amp; Rehabilitation in a bedded setting</v>
      </c>
      <c r="B903" t="str">
        <f>VLOOKUP(Table_Capacity_Community_frontsheet[[#This Row],[Service Area]],PathwayLookup!E:F,2,0)</f>
        <v>Reablement &amp; Rehabilitation in a bedded setting</v>
      </c>
      <c r="C903" t="s">
        <v>321</v>
      </c>
      <c r="D903" t="s">
        <v>725</v>
      </c>
      <c r="V903"/>
      <c r="W903"/>
      <c r="X903"/>
    </row>
    <row r="904" spans="1:24" x14ac:dyDescent="0.3">
      <c r="A904" t="str">
        <f>Table_Capacity_Community_frontsheet[[#This Row],[Name]]&amp;B904</f>
        <v>Telford and WrekinOther short-term social care</v>
      </c>
      <c r="B904" t="str">
        <f>VLOOKUP(Table_Capacity_Community_frontsheet[[#This Row],[Service Area]],PathwayLookup!E:F,2,0)</f>
        <v>Other short-term social care</v>
      </c>
      <c r="C904" t="s">
        <v>321</v>
      </c>
      <c r="D904" t="s">
        <v>708</v>
      </c>
      <c r="V904"/>
      <c r="W904"/>
      <c r="X904"/>
    </row>
    <row r="905" spans="1:24" x14ac:dyDescent="0.3">
      <c r="A905" t="str">
        <f>Table_Capacity_Community_frontsheet[[#This Row],[Name]]&amp;B905</f>
        <v>ThurrockSocial support (including VCS)</v>
      </c>
      <c r="B905" t="str">
        <f>VLOOKUP(Table_Capacity_Community_frontsheet[[#This Row],[Service Area]],PathwayLookup!E:F,2,0)</f>
        <v>Social support (including VCS)</v>
      </c>
      <c r="C905" t="s">
        <v>323</v>
      </c>
      <c r="D905" t="s">
        <v>704</v>
      </c>
      <c r="E905">
        <v>5</v>
      </c>
      <c r="F905">
        <v>5</v>
      </c>
      <c r="G905">
        <v>5</v>
      </c>
      <c r="H905">
        <v>4</v>
      </c>
      <c r="I905">
        <v>4</v>
      </c>
      <c r="J905">
        <v>4</v>
      </c>
      <c r="K905">
        <v>4</v>
      </c>
      <c r="L905">
        <v>4</v>
      </c>
      <c r="M905">
        <v>4</v>
      </c>
      <c r="N905">
        <v>5</v>
      </c>
      <c r="O905">
        <v>5</v>
      </c>
      <c r="P905">
        <v>5</v>
      </c>
      <c r="V905"/>
      <c r="W905"/>
      <c r="X905"/>
    </row>
    <row r="906" spans="1:24" x14ac:dyDescent="0.3">
      <c r="A906" t="str">
        <f>Table_Capacity_Community_frontsheet[[#This Row],[Name]]&amp;B906</f>
        <v>ThurrockUrgent Community Response</v>
      </c>
      <c r="B906" t="str">
        <f>VLOOKUP(Table_Capacity_Community_frontsheet[[#This Row],[Service Area]],PathwayLookup!E:F,2,0)</f>
        <v>Urgent Community Response</v>
      </c>
      <c r="C906" t="s">
        <v>323</v>
      </c>
      <c r="D906" t="s">
        <v>705</v>
      </c>
      <c r="E906">
        <v>91</v>
      </c>
      <c r="F906">
        <v>84</v>
      </c>
      <c r="G906">
        <v>95</v>
      </c>
      <c r="H906">
        <v>103</v>
      </c>
      <c r="I906">
        <v>83</v>
      </c>
      <c r="J906">
        <v>90</v>
      </c>
      <c r="K906">
        <v>82</v>
      </c>
      <c r="L906">
        <v>85</v>
      </c>
      <c r="M906">
        <v>78</v>
      </c>
      <c r="N906">
        <v>91</v>
      </c>
      <c r="O906">
        <v>83</v>
      </c>
      <c r="P906">
        <v>91</v>
      </c>
      <c r="V906"/>
      <c r="W906"/>
      <c r="X906"/>
    </row>
    <row r="907" spans="1:24" x14ac:dyDescent="0.3">
      <c r="A907" t="str">
        <f>Table_Capacity_Community_frontsheet[[#This Row],[Name]]&amp;B907</f>
        <v>ThurrockReablement &amp; Rehabilitation at home</v>
      </c>
      <c r="B907" t="str">
        <f>VLOOKUP(Table_Capacity_Community_frontsheet[[#This Row],[Service Area]],PathwayLookup!E:F,2,0)</f>
        <v>Reablement &amp; Rehabilitation at home</v>
      </c>
      <c r="C907" t="s">
        <v>323</v>
      </c>
      <c r="D907" t="s">
        <v>727</v>
      </c>
      <c r="V907"/>
      <c r="W907"/>
      <c r="X907"/>
    </row>
    <row r="908" spans="1:24" x14ac:dyDescent="0.3">
      <c r="A908" t="str">
        <f>Table_Capacity_Community_frontsheet[[#This Row],[Name]]&amp;B908</f>
        <v>ThurrockReablement &amp; Rehabilitation at home</v>
      </c>
      <c r="B908" t="str">
        <f>VLOOKUP(Table_Capacity_Community_frontsheet[[#This Row],[Service Area]],PathwayLookup!E:F,2,0)</f>
        <v>Reablement &amp; Rehabilitation at home</v>
      </c>
      <c r="C908" t="s">
        <v>323</v>
      </c>
      <c r="D908" t="s">
        <v>729</v>
      </c>
      <c r="V908"/>
      <c r="W908"/>
      <c r="X908"/>
    </row>
    <row r="909" spans="1:24" x14ac:dyDescent="0.3">
      <c r="A909" t="str">
        <f>Table_Capacity_Community_frontsheet[[#This Row],[Name]]&amp;B909</f>
        <v>ThurrockReablement &amp; Rehabilitation in a bedded setting</v>
      </c>
      <c r="B909" t="str">
        <f>VLOOKUP(Table_Capacity_Community_frontsheet[[#This Row],[Service Area]],PathwayLookup!E:F,2,0)</f>
        <v>Reablement &amp; Rehabilitation in a bedded setting</v>
      </c>
      <c r="C909" t="s">
        <v>323</v>
      </c>
      <c r="D909" t="s">
        <v>723</v>
      </c>
      <c r="E909">
        <v>1</v>
      </c>
      <c r="F909">
        <v>1</v>
      </c>
      <c r="G909">
        <v>1</v>
      </c>
      <c r="H909">
        <v>1</v>
      </c>
      <c r="I909">
        <v>1</v>
      </c>
      <c r="J909">
        <v>1</v>
      </c>
      <c r="K909">
        <v>1</v>
      </c>
      <c r="L909">
        <v>1</v>
      </c>
      <c r="M909">
        <v>1</v>
      </c>
      <c r="N909">
        <v>1</v>
      </c>
      <c r="O909">
        <v>1</v>
      </c>
      <c r="P909">
        <v>1</v>
      </c>
      <c r="V909"/>
      <c r="W909"/>
      <c r="X909"/>
    </row>
    <row r="910" spans="1:24" x14ac:dyDescent="0.3">
      <c r="A910" t="str">
        <f>Table_Capacity_Community_frontsheet[[#This Row],[Name]]&amp;B910</f>
        <v>ThurrockReablement &amp; Rehabilitation in a bedded setting</v>
      </c>
      <c r="B910" t="str">
        <f>VLOOKUP(Table_Capacity_Community_frontsheet[[#This Row],[Service Area]],PathwayLookup!E:F,2,0)</f>
        <v>Reablement &amp; Rehabilitation in a bedded setting</v>
      </c>
      <c r="C910" t="s">
        <v>323</v>
      </c>
      <c r="D910" t="s">
        <v>725</v>
      </c>
      <c r="V910"/>
      <c r="W910"/>
      <c r="X910"/>
    </row>
    <row r="911" spans="1:24" x14ac:dyDescent="0.3">
      <c r="A911" t="str">
        <f>Table_Capacity_Community_frontsheet[[#This Row],[Name]]&amp;B911</f>
        <v>ThurrockOther short-term social care</v>
      </c>
      <c r="B911" t="str">
        <f>VLOOKUP(Table_Capacity_Community_frontsheet[[#This Row],[Service Area]],PathwayLookup!E:F,2,0)</f>
        <v>Other short-term social care</v>
      </c>
      <c r="C911" t="s">
        <v>323</v>
      </c>
      <c r="D911" t="s">
        <v>708</v>
      </c>
      <c r="V911"/>
      <c r="W911"/>
      <c r="X911"/>
    </row>
    <row r="912" spans="1:24" x14ac:dyDescent="0.3">
      <c r="A912" t="str">
        <f>Table_Capacity_Community_frontsheet[[#This Row],[Name]]&amp;B912</f>
        <v>TorbaySocial support (including VCS)</v>
      </c>
      <c r="B912" t="str">
        <f>VLOOKUP(Table_Capacity_Community_frontsheet[[#This Row],[Service Area]],PathwayLookup!E:F,2,0)</f>
        <v>Social support (including VCS)</v>
      </c>
      <c r="C912" t="s">
        <v>325</v>
      </c>
      <c r="D912" t="s">
        <v>704</v>
      </c>
      <c r="E912">
        <v>58</v>
      </c>
      <c r="F912">
        <v>58</v>
      </c>
      <c r="G912">
        <v>58</v>
      </c>
      <c r="H912">
        <v>58</v>
      </c>
      <c r="I912">
        <v>58</v>
      </c>
      <c r="J912">
        <v>58</v>
      </c>
      <c r="K912">
        <v>58</v>
      </c>
      <c r="L912">
        <v>58</v>
      </c>
      <c r="M912">
        <v>58</v>
      </c>
      <c r="N912">
        <v>58</v>
      </c>
      <c r="O912">
        <v>58</v>
      </c>
      <c r="P912">
        <v>58</v>
      </c>
      <c r="R912">
        <v>1</v>
      </c>
      <c r="V912"/>
      <c r="W912"/>
      <c r="X912"/>
    </row>
    <row r="913" spans="1:24" x14ac:dyDescent="0.3">
      <c r="A913" t="str">
        <f>Table_Capacity_Community_frontsheet[[#This Row],[Name]]&amp;B913</f>
        <v>TorbayUrgent Community Response</v>
      </c>
      <c r="B913" t="str">
        <f>VLOOKUP(Table_Capacity_Community_frontsheet[[#This Row],[Service Area]],PathwayLookup!E:F,2,0)</f>
        <v>Urgent Community Response</v>
      </c>
      <c r="C913" t="s">
        <v>325</v>
      </c>
      <c r="D913" t="s">
        <v>705</v>
      </c>
      <c r="E913">
        <v>37</v>
      </c>
      <c r="F913">
        <v>37</v>
      </c>
      <c r="G913">
        <v>37</v>
      </c>
      <c r="H913">
        <v>37</v>
      </c>
      <c r="I913">
        <v>37</v>
      </c>
      <c r="J913">
        <v>37</v>
      </c>
      <c r="K913">
        <v>37</v>
      </c>
      <c r="L913">
        <v>37</v>
      </c>
      <c r="M913">
        <v>37</v>
      </c>
      <c r="N913">
        <v>37</v>
      </c>
      <c r="O913">
        <v>37</v>
      </c>
      <c r="P913">
        <v>37</v>
      </c>
      <c r="R913">
        <v>1</v>
      </c>
      <c r="V913"/>
      <c r="W913"/>
      <c r="X913"/>
    </row>
    <row r="914" spans="1:24" x14ac:dyDescent="0.3">
      <c r="A914" t="str">
        <f>Table_Capacity_Community_frontsheet[[#This Row],[Name]]&amp;B914</f>
        <v>TorbayReablement &amp; Rehabilitation at home</v>
      </c>
      <c r="B914" t="str">
        <f>VLOOKUP(Table_Capacity_Community_frontsheet[[#This Row],[Service Area]],PathwayLookup!E:F,2,0)</f>
        <v>Reablement &amp; Rehabilitation at home</v>
      </c>
      <c r="C914" t="s">
        <v>325</v>
      </c>
      <c r="D914" t="s">
        <v>727</v>
      </c>
      <c r="E914">
        <v>58</v>
      </c>
      <c r="F914">
        <v>58</v>
      </c>
      <c r="G914">
        <v>58</v>
      </c>
      <c r="H914">
        <v>58</v>
      </c>
      <c r="I914">
        <v>58</v>
      </c>
      <c r="J914">
        <v>58</v>
      </c>
      <c r="K914">
        <v>58</v>
      </c>
      <c r="L914">
        <v>58</v>
      </c>
      <c r="M914">
        <v>58</v>
      </c>
      <c r="N914">
        <v>58</v>
      </c>
      <c r="O914">
        <v>58</v>
      </c>
      <c r="P914">
        <v>58</v>
      </c>
      <c r="R914">
        <v>1</v>
      </c>
      <c r="V914"/>
      <c r="W914"/>
      <c r="X914"/>
    </row>
    <row r="915" spans="1:24" x14ac:dyDescent="0.3">
      <c r="A915" t="str">
        <f>Table_Capacity_Community_frontsheet[[#This Row],[Name]]&amp;B915</f>
        <v>TorbayReablement &amp; Rehabilitation at home</v>
      </c>
      <c r="B915" t="str">
        <f>VLOOKUP(Table_Capacity_Community_frontsheet[[#This Row],[Service Area]],PathwayLookup!E:F,2,0)</f>
        <v>Reablement &amp; Rehabilitation at home</v>
      </c>
      <c r="C915" t="s">
        <v>325</v>
      </c>
      <c r="D915" t="s">
        <v>729</v>
      </c>
      <c r="V915"/>
      <c r="W915"/>
      <c r="X915"/>
    </row>
    <row r="916" spans="1:24" x14ac:dyDescent="0.3">
      <c r="A916" t="str">
        <f>Table_Capacity_Community_frontsheet[[#This Row],[Name]]&amp;B916</f>
        <v>TorbayReablement &amp; Rehabilitation in a bedded setting</v>
      </c>
      <c r="B916" t="str">
        <f>VLOOKUP(Table_Capacity_Community_frontsheet[[#This Row],[Service Area]],PathwayLookup!E:F,2,0)</f>
        <v>Reablement &amp; Rehabilitation in a bedded setting</v>
      </c>
      <c r="C916" t="s">
        <v>325</v>
      </c>
      <c r="D916" t="s">
        <v>723</v>
      </c>
      <c r="V916"/>
      <c r="W916"/>
      <c r="X916"/>
    </row>
    <row r="917" spans="1:24" x14ac:dyDescent="0.3">
      <c r="A917" t="str">
        <f>Table_Capacity_Community_frontsheet[[#This Row],[Name]]&amp;B917</f>
        <v>TorbayReablement &amp; Rehabilitation in a bedded setting</v>
      </c>
      <c r="B917" t="str">
        <f>VLOOKUP(Table_Capacity_Community_frontsheet[[#This Row],[Service Area]],PathwayLookup!E:F,2,0)</f>
        <v>Reablement &amp; Rehabilitation in a bedded setting</v>
      </c>
      <c r="C917" t="s">
        <v>325</v>
      </c>
      <c r="D917" t="s">
        <v>725</v>
      </c>
      <c r="E917">
        <v>11</v>
      </c>
      <c r="F917">
        <v>11</v>
      </c>
      <c r="G917">
        <v>11</v>
      </c>
      <c r="H917">
        <v>11</v>
      </c>
      <c r="I917">
        <v>11</v>
      </c>
      <c r="J917">
        <v>11</v>
      </c>
      <c r="K917">
        <v>11</v>
      </c>
      <c r="L917">
        <v>11</v>
      </c>
      <c r="M917">
        <v>11</v>
      </c>
      <c r="N917">
        <v>11</v>
      </c>
      <c r="O917">
        <v>11</v>
      </c>
      <c r="P917">
        <v>11</v>
      </c>
      <c r="R917">
        <v>1</v>
      </c>
      <c r="V917"/>
      <c r="W917"/>
      <c r="X917"/>
    </row>
    <row r="918" spans="1:24" x14ac:dyDescent="0.3">
      <c r="A918" t="str">
        <f>Table_Capacity_Community_frontsheet[[#This Row],[Name]]&amp;B918</f>
        <v>TorbayOther short-term social care</v>
      </c>
      <c r="B918" t="str">
        <f>VLOOKUP(Table_Capacity_Community_frontsheet[[#This Row],[Service Area]],PathwayLookup!E:F,2,0)</f>
        <v>Other short-term social care</v>
      </c>
      <c r="C918" t="s">
        <v>325</v>
      </c>
      <c r="D918" t="s">
        <v>708</v>
      </c>
      <c r="V918"/>
      <c r="W918"/>
      <c r="X918"/>
    </row>
    <row r="919" spans="1:24" x14ac:dyDescent="0.3">
      <c r="A919" t="str">
        <f>Table_Capacity_Community_frontsheet[[#This Row],[Name]]&amp;B919</f>
        <v>Tower HamletsSocial support (including VCS)</v>
      </c>
      <c r="B919" t="str">
        <f>VLOOKUP(Table_Capacity_Community_frontsheet[[#This Row],[Service Area]],PathwayLookup!E:F,2,0)</f>
        <v>Social support (including VCS)</v>
      </c>
      <c r="C919" t="s">
        <v>327</v>
      </c>
      <c r="D919" t="s">
        <v>704</v>
      </c>
      <c r="E919">
        <v>0</v>
      </c>
      <c r="F919">
        <v>0</v>
      </c>
      <c r="G919">
        <v>0</v>
      </c>
      <c r="H919">
        <v>0</v>
      </c>
      <c r="I919">
        <v>0</v>
      </c>
      <c r="J919">
        <v>0</v>
      </c>
      <c r="K919">
        <v>0</v>
      </c>
      <c r="L919">
        <v>0</v>
      </c>
      <c r="M919">
        <v>0</v>
      </c>
      <c r="N919">
        <v>0</v>
      </c>
      <c r="O919">
        <v>0</v>
      </c>
      <c r="P919">
        <v>0</v>
      </c>
      <c r="V919"/>
      <c r="W919"/>
      <c r="X919"/>
    </row>
    <row r="920" spans="1:24" x14ac:dyDescent="0.3">
      <c r="A920" t="str">
        <f>Table_Capacity_Community_frontsheet[[#This Row],[Name]]&amp;B920</f>
        <v>Tower HamletsUrgent Community Response</v>
      </c>
      <c r="B920" t="str">
        <f>VLOOKUP(Table_Capacity_Community_frontsheet[[#This Row],[Service Area]],PathwayLookup!E:F,2,0)</f>
        <v>Urgent Community Response</v>
      </c>
      <c r="C920" t="s">
        <v>327</v>
      </c>
      <c r="D920" t="s">
        <v>705</v>
      </c>
      <c r="E920">
        <v>81.284264013778554</v>
      </c>
      <c r="F920">
        <v>81.284264013778554</v>
      </c>
      <c r="G920">
        <v>81.284264013778554</v>
      </c>
      <c r="H920">
        <v>81.865557916141682</v>
      </c>
      <c r="I920">
        <v>81.865557916141682</v>
      </c>
      <c r="J920">
        <v>81.865557916141682</v>
      </c>
      <c r="K920">
        <v>78.95908840432601</v>
      </c>
      <c r="L920">
        <v>78.95908840432601</v>
      </c>
      <c r="M920">
        <v>78.95908840432601</v>
      </c>
      <c r="N920">
        <v>80.702970111415411</v>
      </c>
      <c r="O920">
        <v>80.702970111415411</v>
      </c>
      <c r="P920">
        <v>80.702970111415411</v>
      </c>
      <c r="V920"/>
      <c r="W920"/>
      <c r="X920"/>
    </row>
    <row r="921" spans="1:24" x14ac:dyDescent="0.3">
      <c r="A921" t="str">
        <f>Table_Capacity_Community_frontsheet[[#This Row],[Name]]&amp;B921</f>
        <v>Tower HamletsReablement &amp; Rehabilitation at home</v>
      </c>
      <c r="B921" t="str">
        <f>VLOOKUP(Table_Capacity_Community_frontsheet[[#This Row],[Service Area]],PathwayLookup!E:F,2,0)</f>
        <v>Reablement &amp; Rehabilitation at home</v>
      </c>
      <c r="C921" t="s">
        <v>327</v>
      </c>
      <c r="D921" t="s">
        <v>727</v>
      </c>
      <c r="E921">
        <v>58</v>
      </c>
      <c r="F921">
        <v>84</v>
      </c>
      <c r="G921">
        <v>65</v>
      </c>
      <c r="H921">
        <v>61</v>
      </c>
      <c r="I921">
        <v>66</v>
      </c>
      <c r="J921">
        <v>56</v>
      </c>
      <c r="K921">
        <v>95</v>
      </c>
      <c r="L921">
        <v>68</v>
      </c>
      <c r="M921">
        <v>47</v>
      </c>
      <c r="N921">
        <v>84</v>
      </c>
      <c r="O921">
        <v>62</v>
      </c>
      <c r="P921">
        <v>92</v>
      </c>
      <c r="V921"/>
      <c r="W921"/>
      <c r="X921"/>
    </row>
    <row r="922" spans="1:24" x14ac:dyDescent="0.3">
      <c r="A922" t="str">
        <f>Table_Capacity_Community_frontsheet[[#This Row],[Name]]&amp;B922</f>
        <v>Tower HamletsReablement &amp; Rehabilitation at home</v>
      </c>
      <c r="B922" t="str">
        <f>VLOOKUP(Table_Capacity_Community_frontsheet[[#This Row],[Service Area]],PathwayLookup!E:F,2,0)</f>
        <v>Reablement &amp; Rehabilitation at home</v>
      </c>
      <c r="C922" t="s">
        <v>327</v>
      </c>
      <c r="D922" t="s">
        <v>729</v>
      </c>
      <c r="E922">
        <v>100</v>
      </c>
      <c r="F922">
        <v>100</v>
      </c>
      <c r="G922">
        <v>100</v>
      </c>
      <c r="H922">
        <v>100</v>
      </c>
      <c r="I922">
        <v>100</v>
      </c>
      <c r="J922">
        <v>100</v>
      </c>
      <c r="K922">
        <v>100</v>
      </c>
      <c r="L922">
        <v>100</v>
      </c>
      <c r="M922">
        <v>100</v>
      </c>
      <c r="N922">
        <v>100</v>
      </c>
      <c r="O922">
        <v>100</v>
      </c>
      <c r="P922">
        <v>100</v>
      </c>
      <c r="V922"/>
      <c r="W922"/>
      <c r="X922"/>
    </row>
    <row r="923" spans="1:24" x14ac:dyDescent="0.3">
      <c r="A923" t="str">
        <f>Table_Capacity_Community_frontsheet[[#This Row],[Name]]&amp;B923</f>
        <v>Tower HamletsOther short-term social care</v>
      </c>
      <c r="B923" t="str">
        <f>VLOOKUP(Table_Capacity_Community_frontsheet[[#This Row],[Service Area]],PathwayLookup!E:F,2,0)</f>
        <v>Other short-term social care</v>
      </c>
      <c r="C923" t="s">
        <v>327</v>
      </c>
      <c r="D923" t="s">
        <v>708</v>
      </c>
      <c r="E923">
        <v>58</v>
      </c>
      <c r="F923">
        <v>78</v>
      </c>
      <c r="G923">
        <v>62</v>
      </c>
      <c r="H923">
        <v>94</v>
      </c>
      <c r="I923">
        <v>135</v>
      </c>
      <c r="J923">
        <v>133</v>
      </c>
      <c r="K923">
        <v>114</v>
      </c>
      <c r="L923">
        <v>140</v>
      </c>
      <c r="M923">
        <v>116</v>
      </c>
      <c r="N923">
        <v>113</v>
      </c>
      <c r="O923">
        <v>95</v>
      </c>
      <c r="P923">
        <v>136</v>
      </c>
      <c r="V923"/>
      <c r="W923"/>
      <c r="X923"/>
    </row>
    <row r="924" spans="1:24" x14ac:dyDescent="0.3">
      <c r="A924" t="str">
        <f>Table_Capacity_Community_frontsheet[[#This Row],[Name]]&amp;B924</f>
        <v>Tower HamletsReablement &amp; Rehabilitation in a bedded setting</v>
      </c>
      <c r="B924" t="str">
        <f>VLOOKUP(Table_Capacity_Community_frontsheet[[#This Row],[Service Area]],PathwayLookup!E:F,2,0)</f>
        <v>Reablement &amp; Rehabilitation in a bedded setting</v>
      </c>
      <c r="C924" t="s">
        <v>327</v>
      </c>
      <c r="D924" t="s">
        <v>723</v>
      </c>
      <c r="E924">
        <v>0</v>
      </c>
      <c r="F924">
        <v>0</v>
      </c>
      <c r="G924">
        <v>0</v>
      </c>
      <c r="H924">
        <v>0</v>
      </c>
      <c r="I924">
        <v>0</v>
      </c>
      <c r="J924">
        <v>0</v>
      </c>
      <c r="K924">
        <v>0</v>
      </c>
      <c r="L924">
        <v>0</v>
      </c>
      <c r="M924">
        <v>0</v>
      </c>
      <c r="N924">
        <v>0</v>
      </c>
      <c r="O924">
        <v>0</v>
      </c>
      <c r="P924">
        <v>0</v>
      </c>
      <c r="V924"/>
      <c r="W924"/>
      <c r="X924"/>
    </row>
    <row r="925" spans="1:24" x14ac:dyDescent="0.3">
      <c r="A925" t="str">
        <f>Table_Capacity_Community_frontsheet[[#This Row],[Name]]&amp;B925</f>
        <v>Tower HamletsReablement &amp; Rehabilitation in a bedded setting</v>
      </c>
      <c r="B925" t="str">
        <f>VLOOKUP(Table_Capacity_Community_frontsheet[[#This Row],[Service Area]],PathwayLookup!E:F,2,0)</f>
        <v>Reablement &amp; Rehabilitation in a bedded setting</v>
      </c>
      <c r="C925" t="s">
        <v>327</v>
      </c>
      <c r="D925" t="s">
        <v>725</v>
      </c>
      <c r="E925">
        <v>0</v>
      </c>
      <c r="F925">
        <v>0</v>
      </c>
      <c r="G925">
        <v>0</v>
      </c>
      <c r="H925">
        <v>0</v>
      </c>
      <c r="I925">
        <v>0</v>
      </c>
      <c r="J925">
        <v>0</v>
      </c>
      <c r="K925">
        <v>0</v>
      </c>
      <c r="L925">
        <v>0</v>
      </c>
      <c r="M925">
        <v>0</v>
      </c>
      <c r="N925">
        <v>0</v>
      </c>
      <c r="O925">
        <v>0</v>
      </c>
      <c r="P925">
        <v>0</v>
      </c>
      <c r="V925"/>
      <c r="W925"/>
      <c r="X925"/>
    </row>
    <row r="926" spans="1:24" x14ac:dyDescent="0.3">
      <c r="A926" t="str">
        <f>Table_Capacity_Community_frontsheet[[#This Row],[Name]]&amp;B926</f>
        <v>TraffordSocial support (including VCS)</v>
      </c>
      <c r="B926" t="str">
        <f>VLOOKUP(Table_Capacity_Community_frontsheet[[#This Row],[Service Area]],PathwayLookup!E:F,2,0)</f>
        <v>Social support (including VCS)</v>
      </c>
      <c r="C926" t="s">
        <v>329</v>
      </c>
      <c r="D926" t="s">
        <v>704</v>
      </c>
      <c r="E926">
        <v>30</v>
      </c>
      <c r="F926">
        <v>30</v>
      </c>
      <c r="G926">
        <v>30</v>
      </c>
      <c r="H926">
        <v>30</v>
      </c>
      <c r="I926">
        <v>30</v>
      </c>
      <c r="J926">
        <v>30</v>
      </c>
      <c r="K926">
        <v>30</v>
      </c>
      <c r="L926">
        <v>32</v>
      </c>
      <c r="M926">
        <v>33</v>
      </c>
      <c r="N926">
        <v>33</v>
      </c>
      <c r="O926">
        <v>32</v>
      </c>
      <c r="P926">
        <v>30</v>
      </c>
      <c r="R926">
        <v>1</v>
      </c>
      <c r="V926"/>
      <c r="W926"/>
      <c r="X926"/>
    </row>
    <row r="927" spans="1:24" x14ac:dyDescent="0.3">
      <c r="A927" t="str">
        <f>Table_Capacity_Community_frontsheet[[#This Row],[Name]]&amp;B927</f>
        <v>TraffordUrgent Community Response</v>
      </c>
      <c r="B927" t="str">
        <f>VLOOKUP(Table_Capacity_Community_frontsheet[[#This Row],[Service Area]],PathwayLookup!E:F,2,0)</f>
        <v>Urgent Community Response</v>
      </c>
      <c r="C927" t="s">
        <v>329</v>
      </c>
      <c r="D927" t="s">
        <v>705</v>
      </c>
      <c r="E927">
        <v>216</v>
      </c>
      <c r="F927">
        <v>300</v>
      </c>
      <c r="G927">
        <v>296</v>
      </c>
      <c r="H927">
        <v>348</v>
      </c>
      <c r="I927">
        <v>276</v>
      </c>
      <c r="J927">
        <v>425</v>
      </c>
      <c r="K927">
        <v>516</v>
      </c>
      <c r="L927">
        <v>456</v>
      </c>
      <c r="M927">
        <v>588</v>
      </c>
      <c r="N927">
        <v>492</v>
      </c>
      <c r="O927">
        <v>396</v>
      </c>
      <c r="P927">
        <v>426</v>
      </c>
      <c r="Q927">
        <v>1</v>
      </c>
      <c r="V927"/>
      <c r="W927"/>
      <c r="X927"/>
    </row>
    <row r="928" spans="1:24" x14ac:dyDescent="0.3">
      <c r="A928" t="str">
        <f>Table_Capacity_Community_frontsheet[[#This Row],[Name]]&amp;B928</f>
        <v>TraffordReablement &amp; Rehabilitation at home</v>
      </c>
      <c r="B928" t="str">
        <f>VLOOKUP(Table_Capacity_Community_frontsheet[[#This Row],[Service Area]],PathwayLookup!E:F,2,0)</f>
        <v>Reablement &amp; Rehabilitation at home</v>
      </c>
      <c r="C928" t="s">
        <v>329</v>
      </c>
      <c r="D928" t="s">
        <v>727</v>
      </c>
      <c r="E928">
        <v>15</v>
      </c>
      <c r="F928">
        <v>15</v>
      </c>
      <c r="G928">
        <v>15</v>
      </c>
      <c r="H928">
        <v>15</v>
      </c>
      <c r="I928">
        <v>15</v>
      </c>
      <c r="J928">
        <v>15</v>
      </c>
      <c r="K928">
        <v>15</v>
      </c>
      <c r="L928">
        <v>15</v>
      </c>
      <c r="M928">
        <v>15</v>
      </c>
      <c r="N928">
        <v>15</v>
      </c>
      <c r="O928">
        <v>15</v>
      </c>
      <c r="P928">
        <v>15</v>
      </c>
      <c r="Q928">
        <v>0.2</v>
      </c>
      <c r="R928">
        <v>0.8</v>
      </c>
      <c r="S928">
        <v>1</v>
      </c>
      <c r="V928"/>
      <c r="W928"/>
      <c r="X928"/>
    </row>
    <row r="929" spans="1:24" x14ac:dyDescent="0.3">
      <c r="A929" t="str">
        <f>Table_Capacity_Community_frontsheet[[#This Row],[Name]]&amp;B929</f>
        <v>TraffordReablement &amp; Rehabilitation at home</v>
      </c>
      <c r="B929" t="str">
        <f>VLOOKUP(Table_Capacity_Community_frontsheet[[#This Row],[Service Area]],PathwayLookup!E:F,2,0)</f>
        <v>Reablement &amp; Rehabilitation at home</v>
      </c>
      <c r="C929" t="s">
        <v>329</v>
      </c>
      <c r="D929" t="s">
        <v>729</v>
      </c>
      <c r="V929"/>
      <c r="W929"/>
      <c r="X929"/>
    </row>
    <row r="930" spans="1:24" x14ac:dyDescent="0.3">
      <c r="A930" t="str">
        <f>Table_Capacity_Community_frontsheet[[#This Row],[Name]]&amp;B930</f>
        <v>TraffordReablement &amp; Rehabilitation in a bedded setting</v>
      </c>
      <c r="B930" t="str">
        <f>VLOOKUP(Table_Capacity_Community_frontsheet[[#This Row],[Service Area]],PathwayLookup!E:F,2,0)</f>
        <v>Reablement &amp; Rehabilitation in a bedded setting</v>
      </c>
      <c r="C930" t="s">
        <v>329</v>
      </c>
      <c r="D930" t="s">
        <v>723</v>
      </c>
      <c r="E930">
        <v>5</v>
      </c>
      <c r="F930">
        <v>5</v>
      </c>
      <c r="G930">
        <v>5</v>
      </c>
      <c r="H930">
        <v>5</v>
      </c>
      <c r="I930">
        <v>5</v>
      </c>
      <c r="J930">
        <v>5</v>
      </c>
      <c r="K930">
        <v>5</v>
      </c>
      <c r="L930">
        <v>5</v>
      </c>
      <c r="M930">
        <v>5</v>
      </c>
      <c r="N930">
        <v>5</v>
      </c>
      <c r="O930">
        <v>5</v>
      </c>
      <c r="P930">
        <v>5</v>
      </c>
      <c r="R930">
        <v>1</v>
      </c>
      <c r="V930"/>
      <c r="W930"/>
      <c r="X930"/>
    </row>
    <row r="931" spans="1:24" x14ac:dyDescent="0.3">
      <c r="A931" t="str">
        <f>Table_Capacity_Community_frontsheet[[#This Row],[Name]]&amp;B931</f>
        <v>TraffordReablement &amp; Rehabilitation in a bedded setting</v>
      </c>
      <c r="B931" t="str">
        <f>VLOOKUP(Table_Capacity_Community_frontsheet[[#This Row],[Service Area]],PathwayLookup!E:F,2,0)</f>
        <v>Reablement &amp; Rehabilitation in a bedded setting</v>
      </c>
      <c r="C931" t="s">
        <v>329</v>
      </c>
      <c r="D931" t="s">
        <v>725</v>
      </c>
      <c r="V931"/>
      <c r="W931"/>
      <c r="X931"/>
    </row>
    <row r="932" spans="1:24" x14ac:dyDescent="0.3">
      <c r="A932" t="str">
        <f>Table_Capacity_Community_frontsheet[[#This Row],[Name]]&amp;B932</f>
        <v>TraffordOther short-term social care</v>
      </c>
      <c r="B932" t="str">
        <f>VLOOKUP(Table_Capacity_Community_frontsheet[[#This Row],[Service Area]],PathwayLookup!E:F,2,0)</f>
        <v>Other short-term social care</v>
      </c>
      <c r="C932" t="s">
        <v>329</v>
      </c>
      <c r="D932" t="s">
        <v>708</v>
      </c>
      <c r="V932"/>
      <c r="W932"/>
      <c r="X932"/>
    </row>
    <row r="933" spans="1:24" x14ac:dyDescent="0.3">
      <c r="A933" t="str">
        <f>Table_Capacity_Community_frontsheet[[#This Row],[Name]]&amp;B933</f>
        <v>WakefieldSocial support (including VCS)</v>
      </c>
      <c r="B933" t="str">
        <f>VLOOKUP(Table_Capacity_Community_frontsheet[[#This Row],[Service Area]],PathwayLookup!E:F,2,0)</f>
        <v>Social support (including VCS)</v>
      </c>
      <c r="C933" t="s">
        <v>331</v>
      </c>
      <c r="D933" t="s">
        <v>704</v>
      </c>
      <c r="E933">
        <v>28</v>
      </c>
      <c r="F933">
        <v>26</v>
      </c>
      <c r="G933">
        <v>26</v>
      </c>
      <c r="H933">
        <v>33</v>
      </c>
      <c r="I933">
        <v>28</v>
      </c>
      <c r="J933">
        <v>34</v>
      </c>
      <c r="K933">
        <v>27</v>
      </c>
      <c r="L933">
        <v>48</v>
      </c>
      <c r="M933">
        <v>28</v>
      </c>
      <c r="N933">
        <v>33</v>
      </c>
      <c r="O933">
        <v>28</v>
      </c>
      <c r="P933">
        <v>27</v>
      </c>
      <c r="V933"/>
      <c r="W933"/>
      <c r="X933"/>
    </row>
    <row r="934" spans="1:24" x14ac:dyDescent="0.3">
      <c r="A934" t="str">
        <f>Table_Capacity_Community_frontsheet[[#This Row],[Name]]&amp;B934</f>
        <v>WakefieldUrgent Community Response</v>
      </c>
      <c r="B934" t="str">
        <f>VLOOKUP(Table_Capacity_Community_frontsheet[[#This Row],[Service Area]],PathwayLookup!E:F,2,0)</f>
        <v>Urgent Community Response</v>
      </c>
      <c r="C934" t="s">
        <v>331</v>
      </c>
      <c r="D934" t="s">
        <v>705</v>
      </c>
      <c r="E934">
        <v>1720</v>
      </c>
      <c r="F934">
        <v>1720</v>
      </c>
      <c r="G934">
        <v>1720</v>
      </c>
      <c r="H934">
        <v>1720</v>
      </c>
      <c r="I934">
        <v>1720</v>
      </c>
      <c r="J934">
        <v>1720</v>
      </c>
      <c r="K934">
        <v>1720</v>
      </c>
      <c r="L934">
        <v>1720</v>
      </c>
      <c r="M934">
        <v>1720</v>
      </c>
      <c r="N934">
        <v>1720</v>
      </c>
      <c r="O934">
        <v>1720</v>
      </c>
      <c r="P934">
        <v>1720</v>
      </c>
      <c r="V934"/>
      <c r="W934"/>
      <c r="X934"/>
    </row>
    <row r="935" spans="1:24" x14ac:dyDescent="0.3">
      <c r="A935" t="str">
        <f>Table_Capacity_Community_frontsheet[[#This Row],[Name]]&amp;B935</f>
        <v>WakefieldReablement &amp; Rehabilitation at home</v>
      </c>
      <c r="B935" t="str">
        <f>VLOOKUP(Table_Capacity_Community_frontsheet[[#This Row],[Service Area]],PathwayLookup!E:F,2,0)</f>
        <v>Reablement &amp; Rehabilitation at home</v>
      </c>
      <c r="C935" t="s">
        <v>331</v>
      </c>
      <c r="D935" t="s">
        <v>727</v>
      </c>
      <c r="E935">
        <v>13</v>
      </c>
      <c r="F935">
        <v>10</v>
      </c>
      <c r="G935">
        <v>13</v>
      </c>
      <c r="H935">
        <v>13</v>
      </c>
      <c r="I935">
        <v>19</v>
      </c>
      <c r="J935">
        <v>13</v>
      </c>
      <c r="K935">
        <v>13</v>
      </c>
      <c r="L935">
        <v>10</v>
      </c>
      <c r="M935">
        <v>12</v>
      </c>
      <c r="N935">
        <v>18</v>
      </c>
      <c r="O935">
        <v>14</v>
      </c>
      <c r="P935">
        <v>19</v>
      </c>
      <c r="V935"/>
      <c r="W935"/>
      <c r="X935"/>
    </row>
    <row r="936" spans="1:24" x14ac:dyDescent="0.3">
      <c r="A936" t="str">
        <f>Table_Capacity_Community_frontsheet[[#This Row],[Name]]&amp;B936</f>
        <v>WakefieldReablement &amp; Rehabilitation at home</v>
      </c>
      <c r="B936" t="str">
        <f>VLOOKUP(Table_Capacity_Community_frontsheet[[#This Row],[Service Area]],PathwayLookup!E:F,2,0)</f>
        <v>Reablement &amp; Rehabilitation at home</v>
      </c>
      <c r="C936" t="s">
        <v>331</v>
      </c>
      <c r="D936" t="s">
        <v>729</v>
      </c>
      <c r="E936">
        <v>196</v>
      </c>
      <c r="F936">
        <v>204</v>
      </c>
      <c r="G936">
        <v>198</v>
      </c>
      <c r="H936">
        <v>198</v>
      </c>
      <c r="I936">
        <v>198</v>
      </c>
      <c r="J936">
        <v>198</v>
      </c>
      <c r="K936">
        <v>198</v>
      </c>
      <c r="L936">
        <v>198</v>
      </c>
      <c r="M936">
        <v>198</v>
      </c>
      <c r="N936">
        <v>198</v>
      </c>
      <c r="O936">
        <v>198</v>
      </c>
      <c r="P936">
        <v>198</v>
      </c>
      <c r="V936"/>
      <c r="W936"/>
      <c r="X936"/>
    </row>
    <row r="937" spans="1:24" x14ac:dyDescent="0.3">
      <c r="A937" t="str">
        <f>Table_Capacity_Community_frontsheet[[#This Row],[Name]]&amp;B937</f>
        <v>WakefieldReablement &amp; Rehabilitation in a bedded setting</v>
      </c>
      <c r="B937" t="str">
        <f>VLOOKUP(Table_Capacity_Community_frontsheet[[#This Row],[Service Area]],PathwayLookup!E:F,2,0)</f>
        <v>Reablement &amp; Rehabilitation in a bedded setting</v>
      </c>
      <c r="C937" t="s">
        <v>331</v>
      </c>
      <c r="D937" t="s">
        <v>723</v>
      </c>
      <c r="E937">
        <v>2</v>
      </c>
      <c r="F937">
        <v>2</v>
      </c>
      <c r="G937">
        <v>2</v>
      </c>
      <c r="H937">
        <v>2</v>
      </c>
      <c r="I937">
        <v>2</v>
      </c>
      <c r="J937">
        <v>2</v>
      </c>
      <c r="K937">
        <v>2</v>
      </c>
      <c r="L937">
        <v>2</v>
      </c>
      <c r="M937">
        <v>2</v>
      </c>
      <c r="N937">
        <v>2</v>
      </c>
      <c r="O937">
        <v>2</v>
      </c>
      <c r="P937">
        <v>2</v>
      </c>
      <c r="V937"/>
      <c r="W937"/>
      <c r="X937"/>
    </row>
    <row r="938" spans="1:24" x14ac:dyDescent="0.3">
      <c r="A938" t="str">
        <f>Table_Capacity_Community_frontsheet[[#This Row],[Name]]&amp;B938</f>
        <v>WakefieldReablement &amp; Rehabilitation in a bedded setting</v>
      </c>
      <c r="B938" t="str">
        <f>VLOOKUP(Table_Capacity_Community_frontsheet[[#This Row],[Service Area]],PathwayLookup!E:F,2,0)</f>
        <v>Reablement &amp; Rehabilitation in a bedded setting</v>
      </c>
      <c r="C938" t="s">
        <v>331</v>
      </c>
      <c r="D938" t="s">
        <v>725</v>
      </c>
      <c r="E938">
        <v>36</v>
      </c>
      <c r="F938">
        <v>36</v>
      </c>
      <c r="G938">
        <v>36</v>
      </c>
      <c r="H938">
        <v>36</v>
      </c>
      <c r="I938">
        <v>36</v>
      </c>
      <c r="J938">
        <v>36</v>
      </c>
      <c r="K938">
        <v>36</v>
      </c>
      <c r="L938">
        <v>36</v>
      </c>
      <c r="M938">
        <v>36</v>
      </c>
      <c r="N938">
        <v>36</v>
      </c>
      <c r="O938">
        <v>36</v>
      </c>
      <c r="P938">
        <v>36</v>
      </c>
      <c r="V938"/>
      <c r="W938"/>
      <c r="X938"/>
    </row>
    <row r="939" spans="1:24" x14ac:dyDescent="0.3">
      <c r="A939" t="str">
        <f>Table_Capacity_Community_frontsheet[[#This Row],[Name]]&amp;B939</f>
        <v>WakefieldOther short-term social care</v>
      </c>
      <c r="B939" t="str">
        <f>VLOOKUP(Table_Capacity_Community_frontsheet[[#This Row],[Service Area]],PathwayLookup!E:F,2,0)</f>
        <v>Other short-term social care</v>
      </c>
      <c r="C939" t="s">
        <v>331</v>
      </c>
      <c r="D939" t="s">
        <v>708</v>
      </c>
      <c r="E939">
        <v>27</v>
      </c>
      <c r="F939">
        <v>27</v>
      </c>
      <c r="G939">
        <v>27</v>
      </c>
      <c r="H939">
        <v>27</v>
      </c>
      <c r="I939">
        <v>27</v>
      </c>
      <c r="J939">
        <v>27</v>
      </c>
      <c r="K939">
        <v>27</v>
      </c>
      <c r="L939">
        <v>27</v>
      </c>
      <c r="M939">
        <v>27</v>
      </c>
      <c r="N939">
        <v>27</v>
      </c>
      <c r="O939">
        <v>27</v>
      </c>
      <c r="P939">
        <v>27</v>
      </c>
      <c r="V939"/>
      <c r="W939"/>
      <c r="X939"/>
    </row>
    <row r="940" spans="1:24" x14ac:dyDescent="0.3">
      <c r="A940" t="str">
        <f>Table_Capacity_Community_frontsheet[[#This Row],[Name]]&amp;B940</f>
        <v>WalsallSocial support (including VCS)</v>
      </c>
      <c r="B940" t="str">
        <f>VLOOKUP(Table_Capacity_Community_frontsheet[[#This Row],[Service Area]],PathwayLookup!E:F,2,0)</f>
        <v>Social support (including VCS)</v>
      </c>
      <c r="C940" t="s">
        <v>333</v>
      </c>
      <c r="D940" t="s">
        <v>704</v>
      </c>
      <c r="V940"/>
      <c r="W940"/>
      <c r="X940"/>
    </row>
    <row r="941" spans="1:24" x14ac:dyDescent="0.3">
      <c r="A941" t="str">
        <f>Table_Capacity_Community_frontsheet[[#This Row],[Name]]&amp;B941</f>
        <v>WalsallUrgent Community Response</v>
      </c>
      <c r="B941" t="str">
        <f>VLOOKUP(Table_Capacity_Community_frontsheet[[#This Row],[Service Area]],PathwayLookup!E:F,2,0)</f>
        <v>Urgent Community Response</v>
      </c>
      <c r="C941" t="s">
        <v>333</v>
      </c>
      <c r="D941" t="s">
        <v>705</v>
      </c>
      <c r="V941"/>
      <c r="W941"/>
      <c r="X941"/>
    </row>
    <row r="942" spans="1:24" x14ac:dyDescent="0.3">
      <c r="A942" t="str">
        <f>Table_Capacity_Community_frontsheet[[#This Row],[Name]]&amp;B942</f>
        <v>WalsallReablement &amp; Rehabilitation at home</v>
      </c>
      <c r="B942" t="str">
        <f>VLOOKUP(Table_Capacity_Community_frontsheet[[#This Row],[Service Area]],PathwayLookup!E:F,2,0)</f>
        <v>Reablement &amp; Rehabilitation at home</v>
      </c>
      <c r="C942" t="s">
        <v>333</v>
      </c>
      <c r="D942" t="s">
        <v>727</v>
      </c>
      <c r="E942">
        <v>10</v>
      </c>
      <c r="F942">
        <v>12</v>
      </c>
      <c r="G942">
        <v>5</v>
      </c>
      <c r="H942">
        <v>5</v>
      </c>
      <c r="I942">
        <v>8</v>
      </c>
      <c r="J942">
        <v>10</v>
      </c>
      <c r="K942">
        <v>12</v>
      </c>
      <c r="L942">
        <v>8</v>
      </c>
      <c r="M942">
        <v>10</v>
      </c>
      <c r="N942">
        <v>12</v>
      </c>
      <c r="O942">
        <v>5</v>
      </c>
      <c r="P942">
        <v>8</v>
      </c>
      <c r="S942">
        <v>1</v>
      </c>
      <c r="V942"/>
      <c r="W942"/>
      <c r="X942"/>
    </row>
    <row r="943" spans="1:24" x14ac:dyDescent="0.3">
      <c r="A943" t="str">
        <f>Table_Capacity_Community_frontsheet[[#This Row],[Name]]&amp;B943</f>
        <v>WalsallReablement &amp; Rehabilitation at home</v>
      </c>
      <c r="B943" t="str">
        <f>VLOOKUP(Table_Capacity_Community_frontsheet[[#This Row],[Service Area]],PathwayLookup!E:F,2,0)</f>
        <v>Reablement &amp; Rehabilitation at home</v>
      </c>
      <c r="C943" t="s">
        <v>333</v>
      </c>
      <c r="D943" t="s">
        <v>729</v>
      </c>
      <c r="E943">
        <v>31</v>
      </c>
      <c r="F943">
        <v>35</v>
      </c>
      <c r="G943">
        <v>20</v>
      </c>
      <c r="H943">
        <v>20</v>
      </c>
      <c r="I943">
        <v>28</v>
      </c>
      <c r="J943">
        <v>32</v>
      </c>
      <c r="K943">
        <v>35</v>
      </c>
      <c r="L943">
        <v>26</v>
      </c>
      <c r="M943">
        <v>31</v>
      </c>
      <c r="N943">
        <v>35</v>
      </c>
      <c r="O943">
        <v>20</v>
      </c>
      <c r="P943">
        <v>28</v>
      </c>
      <c r="S943">
        <v>1</v>
      </c>
      <c r="V943"/>
      <c r="W943"/>
      <c r="X943"/>
    </row>
    <row r="944" spans="1:24" x14ac:dyDescent="0.3">
      <c r="A944" t="str">
        <f>Table_Capacity_Community_frontsheet[[#This Row],[Name]]&amp;B944</f>
        <v>WalsallReablement &amp; Rehabilitation in a bedded setting</v>
      </c>
      <c r="B944" t="str">
        <f>VLOOKUP(Table_Capacity_Community_frontsheet[[#This Row],[Service Area]],PathwayLookup!E:F,2,0)</f>
        <v>Reablement &amp; Rehabilitation in a bedded setting</v>
      </c>
      <c r="C944" t="s">
        <v>333</v>
      </c>
      <c r="D944" t="s">
        <v>723</v>
      </c>
      <c r="V944"/>
      <c r="W944"/>
      <c r="X944"/>
    </row>
    <row r="945" spans="1:24" x14ac:dyDescent="0.3">
      <c r="A945" t="str">
        <f>Table_Capacity_Community_frontsheet[[#This Row],[Name]]&amp;B945</f>
        <v>WalsallReablement &amp; Rehabilitation in a bedded setting</v>
      </c>
      <c r="B945" t="str">
        <f>VLOOKUP(Table_Capacity_Community_frontsheet[[#This Row],[Service Area]],PathwayLookup!E:F,2,0)</f>
        <v>Reablement &amp; Rehabilitation in a bedded setting</v>
      </c>
      <c r="C945" t="s">
        <v>333</v>
      </c>
      <c r="D945" t="s">
        <v>725</v>
      </c>
      <c r="E945">
        <v>1</v>
      </c>
      <c r="F945">
        <v>1</v>
      </c>
      <c r="G945">
        <v>1</v>
      </c>
      <c r="H945">
        <v>1</v>
      </c>
      <c r="I945">
        <v>1</v>
      </c>
      <c r="J945">
        <v>1</v>
      </c>
      <c r="K945">
        <v>1</v>
      </c>
      <c r="L945">
        <v>1</v>
      </c>
      <c r="M945">
        <v>1</v>
      </c>
      <c r="N945">
        <v>1</v>
      </c>
      <c r="O945">
        <v>1</v>
      </c>
      <c r="P945">
        <v>1</v>
      </c>
      <c r="S945">
        <v>1</v>
      </c>
      <c r="V945"/>
      <c r="W945"/>
      <c r="X945"/>
    </row>
    <row r="946" spans="1:24" x14ac:dyDescent="0.3">
      <c r="A946" t="str">
        <f>Table_Capacity_Community_frontsheet[[#This Row],[Name]]&amp;B946</f>
        <v>WalsallOther short-term social care</v>
      </c>
      <c r="B946" t="str">
        <f>VLOOKUP(Table_Capacity_Community_frontsheet[[#This Row],[Service Area]],PathwayLookup!E:F,2,0)</f>
        <v>Other short-term social care</v>
      </c>
      <c r="C946" t="s">
        <v>333</v>
      </c>
      <c r="D946" t="s">
        <v>708</v>
      </c>
      <c r="E946">
        <v>1</v>
      </c>
      <c r="F946">
        <v>1</v>
      </c>
      <c r="G946">
        <v>1</v>
      </c>
      <c r="H946">
        <v>1</v>
      </c>
      <c r="I946">
        <v>1</v>
      </c>
      <c r="J946">
        <v>1</v>
      </c>
      <c r="K946">
        <v>1</v>
      </c>
      <c r="L946">
        <v>1</v>
      </c>
      <c r="M946">
        <v>1</v>
      </c>
      <c r="N946">
        <v>1</v>
      </c>
      <c r="O946">
        <v>1</v>
      </c>
      <c r="P946">
        <v>1</v>
      </c>
      <c r="S946">
        <v>1</v>
      </c>
      <c r="V946"/>
      <c r="W946"/>
      <c r="X946"/>
    </row>
    <row r="947" spans="1:24" x14ac:dyDescent="0.3">
      <c r="A947" t="str">
        <f>Table_Capacity_Community_frontsheet[[#This Row],[Name]]&amp;B947</f>
        <v>Waltham ForestSocial support (including VCS)</v>
      </c>
      <c r="B947" t="str">
        <f>VLOOKUP(Table_Capacity_Community_frontsheet[[#This Row],[Service Area]],PathwayLookup!E:F,2,0)</f>
        <v>Social support (including VCS)</v>
      </c>
      <c r="C947" t="s">
        <v>335</v>
      </c>
      <c r="D947" t="s">
        <v>704</v>
      </c>
      <c r="E947">
        <v>100</v>
      </c>
      <c r="F947">
        <v>100</v>
      </c>
      <c r="G947">
        <v>100</v>
      </c>
      <c r="H947">
        <v>100</v>
      </c>
      <c r="I947">
        <v>100</v>
      </c>
      <c r="J947">
        <v>100</v>
      </c>
      <c r="K947">
        <v>100</v>
      </c>
      <c r="L947">
        <v>100</v>
      </c>
      <c r="M947">
        <v>100</v>
      </c>
      <c r="N947">
        <v>100</v>
      </c>
      <c r="O947">
        <v>100</v>
      </c>
      <c r="P947">
        <v>100</v>
      </c>
      <c r="V947"/>
      <c r="W947"/>
      <c r="X947"/>
    </row>
    <row r="948" spans="1:24" x14ac:dyDescent="0.3">
      <c r="A948" t="str">
        <f>Table_Capacity_Community_frontsheet[[#This Row],[Name]]&amp;B948</f>
        <v>Waltham ForestUrgent Community Response</v>
      </c>
      <c r="B948" t="str">
        <f>VLOOKUP(Table_Capacity_Community_frontsheet[[#This Row],[Service Area]],PathwayLookup!E:F,2,0)</f>
        <v>Urgent Community Response</v>
      </c>
      <c r="C948" t="s">
        <v>335</v>
      </c>
      <c r="D948" t="s">
        <v>705</v>
      </c>
      <c r="E948">
        <v>112.95440945845716</v>
      </c>
      <c r="F948">
        <v>112.95440945845716</v>
      </c>
      <c r="G948">
        <v>112.95440945845716</v>
      </c>
      <c r="H948">
        <v>113.76218831036506</v>
      </c>
      <c r="I948">
        <v>113.76218831036506</v>
      </c>
      <c r="J948">
        <v>113.76218831036506</v>
      </c>
      <c r="K948">
        <v>109.72329405082549</v>
      </c>
      <c r="L948">
        <v>109.72329405082549</v>
      </c>
      <c r="M948">
        <v>109.72329405082549</v>
      </c>
      <c r="N948">
        <v>112.14663060654922</v>
      </c>
      <c r="O948">
        <v>112.14663060654922</v>
      </c>
      <c r="P948">
        <v>112.14663060654922</v>
      </c>
      <c r="V948"/>
      <c r="W948"/>
      <c r="X948"/>
    </row>
    <row r="949" spans="1:24" x14ac:dyDescent="0.3">
      <c r="A949" t="str">
        <f>Table_Capacity_Community_frontsheet[[#This Row],[Name]]&amp;B949</f>
        <v>Waltham ForestReablement &amp; Rehabilitation at home</v>
      </c>
      <c r="B949" t="str">
        <f>VLOOKUP(Table_Capacity_Community_frontsheet[[#This Row],[Service Area]],PathwayLookup!E:F,2,0)</f>
        <v>Reablement &amp; Rehabilitation at home</v>
      </c>
      <c r="C949" t="s">
        <v>335</v>
      </c>
      <c r="D949" t="s">
        <v>727</v>
      </c>
      <c r="E949">
        <v>125</v>
      </c>
      <c r="F949">
        <v>130</v>
      </c>
      <c r="G949">
        <v>100</v>
      </c>
      <c r="H949">
        <v>135</v>
      </c>
      <c r="I949">
        <v>120</v>
      </c>
      <c r="J949">
        <v>130</v>
      </c>
      <c r="K949">
        <v>135</v>
      </c>
      <c r="L949">
        <v>130</v>
      </c>
      <c r="M949">
        <v>100</v>
      </c>
      <c r="N949">
        <v>120</v>
      </c>
      <c r="O949">
        <v>115</v>
      </c>
      <c r="P949">
        <v>95</v>
      </c>
      <c r="V949"/>
      <c r="W949"/>
      <c r="X949"/>
    </row>
    <row r="950" spans="1:24" x14ac:dyDescent="0.3">
      <c r="A950" t="str">
        <f>Table_Capacity_Community_frontsheet[[#This Row],[Name]]&amp;B950</f>
        <v>Waltham ForestReablement &amp; Rehabilitation at home</v>
      </c>
      <c r="B950" t="str">
        <f>VLOOKUP(Table_Capacity_Community_frontsheet[[#This Row],[Service Area]],PathwayLookup!E:F,2,0)</f>
        <v>Reablement &amp; Rehabilitation at home</v>
      </c>
      <c r="C950" t="s">
        <v>335</v>
      </c>
      <c r="D950" t="s">
        <v>729</v>
      </c>
      <c r="E950">
        <v>90</v>
      </c>
      <c r="F950">
        <v>90</v>
      </c>
      <c r="G950">
        <v>90</v>
      </c>
      <c r="H950">
        <v>90</v>
      </c>
      <c r="I950">
        <v>90</v>
      </c>
      <c r="J950">
        <v>90</v>
      </c>
      <c r="K950">
        <v>90</v>
      </c>
      <c r="L950">
        <v>90</v>
      </c>
      <c r="M950">
        <v>90</v>
      </c>
      <c r="N950">
        <v>90</v>
      </c>
      <c r="O950">
        <v>90</v>
      </c>
      <c r="P950">
        <v>90</v>
      </c>
      <c r="V950"/>
      <c r="W950"/>
      <c r="X950"/>
    </row>
    <row r="951" spans="1:24" x14ac:dyDescent="0.3">
      <c r="A951" t="str">
        <f>Table_Capacity_Community_frontsheet[[#This Row],[Name]]&amp;B951</f>
        <v>Waltham ForestReablement &amp; Rehabilitation in a bedded setting</v>
      </c>
      <c r="B951" t="str">
        <f>VLOOKUP(Table_Capacity_Community_frontsheet[[#This Row],[Service Area]],PathwayLookup!E:F,2,0)</f>
        <v>Reablement &amp; Rehabilitation in a bedded setting</v>
      </c>
      <c r="C951" t="s">
        <v>335</v>
      </c>
      <c r="D951" t="s">
        <v>723</v>
      </c>
      <c r="E951">
        <v>9</v>
      </c>
      <c r="F951">
        <v>9</v>
      </c>
      <c r="G951">
        <v>9</v>
      </c>
      <c r="H951">
        <v>9</v>
      </c>
      <c r="I951">
        <v>9</v>
      </c>
      <c r="J951">
        <v>9</v>
      </c>
      <c r="K951">
        <v>9</v>
      </c>
      <c r="L951">
        <v>9</v>
      </c>
      <c r="M951">
        <v>9</v>
      </c>
      <c r="N951">
        <v>9</v>
      </c>
      <c r="O951">
        <v>9</v>
      </c>
      <c r="P951">
        <v>9</v>
      </c>
      <c r="V951"/>
      <c r="W951"/>
      <c r="X951"/>
    </row>
    <row r="952" spans="1:24" x14ac:dyDescent="0.3">
      <c r="A952" t="str">
        <f>Table_Capacity_Community_frontsheet[[#This Row],[Name]]&amp;B952</f>
        <v>Waltham ForestReablement &amp; Rehabilitation in a bedded setting</v>
      </c>
      <c r="B952" t="str">
        <f>VLOOKUP(Table_Capacity_Community_frontsheet[[#This Row],[Service Area]],PathwayLookup!E:F,2,0)</f>
        <v>Reablement &amp; Rehabilitation in a bedded setting</v>
      </c>
      <c r="C952" t="s">
        <v>335</v>
      </c>
      <c r="D952" t="s">
        <v>725</v>
      </c>
      <c r="E952">
        <v>28</v>
      </c>
      <c r="F952">
        <v>28</v>
      </c>
      <c r="G952">
        <v>28</v>
      </c>
      <c r="H952">
        <v>28</v>
      </c>
      <c r="I952">
        <v>28</v>
      </c>
      <c r="J952">
        <v>28</v>
      </c>
      <c r="K952">
        <v>32</v>
      </c>
      <c r="L952">
        <v>32</v>
      </c>
      <c r="M952">
        <v>32</v>
      </c>
      <c r="N952">
        <v>32</v>
      </c>
      <c r="O952">
        <v>32</v>
      </c>
      <c r="P952">
        <v>32</v>
      </c>
      <c r="V952"/>
      <c r="W952"/>
      <c r="X952"/>
    </row>
    <row r="953" spans="1:24" x14ac:dyDescent="0.3">
      <c r="A953" t="str">
        <f>Table_Capacity_Community_frontsheet[[#This Row],[Name]]&amp;B953</f>
        <v>Waltham ForestOther short-term social care</v>
      </c>
      <c r="B953" t="str">
        <f>VLOOKUP(Table_Capacity_Community_frontsheet[[#This Row],[Service Area]],PathwayLookup!E:F,2,0)</f>
        <v>Other short-term social care</v>
      </c>
      <c r="C953" t="s">
        <v>335</v>
      </c>
      <c r="D953" t="s">
        <v>708</v>
      </c>
      <c r="E953">
        <v>95</v>
      </c>
      <c r="F953">
        <v>100</v>
      </c>
      <c r="G953">
        <v>105</v>
      </c>
      <c r="H953">
        <v>100</v>
      </c>
      <c r="I953">
        <v>95</v>
      </c>
      <c r="J953">
        <v>90</v>
      </c>
      <c r="K953">
        <v>80</v>
      </c>
      <c r="L953">
        <v>80</v>
      </c>
      <c r="M953">
        <v>90</v>
      </c>
      <c r="N953">
        <v>90</v>
      </c>
      <c r="O953">
        <v>90</v>
      </c>
      <c r="P953">
        <v>90</v>
      </c>
      <c r="V953"/>
      <c r="W953"/>
      <c r="X953"/>
    </row>
    <row r="954" spans="1:24" x14ac:dyDescent="0.3">
      <c r="A954" t="str">
        <f>Table_Capacity_Community_frontsheet[[#This Row],[Name]]&amp;B954</f>
        <v>WandsworthSocial support (including VCS)</v>
      </c>
      <c r="B954" t="str">
        <f>VLOOKUP(Table_Capacity_Community_frontsheet[[#This Row],[Service Area]],PathwayLookup!E:F,2,0)</f>
        <v>Social support (including VCS)</v>
      </c>
      <c r="C954" t="s">
        <v>337</v>
      </c>
      <c r="D954" t="s">
        <v>704</v>
      </c>
      <c r="E954">
        <v>38</v>
      </c>
      <c r="F954">
        <v>39</v>
      </c>
      <c r="G954">
        <v>38</v>
      </c>
      <c r="H954">
        <v>39</v>
      </c>
      <c r="I954">
        <v>39</v>
      </c>
      <c r="J954">
        <v>38</v>
      </c>
      <c r="K954">
        <v>39</v>
      </c>
      <c r="L954">
        <v>38</v>
      </c>
      <c r="M954">
        <v>39</v>
      </c>
      <c r="N954">
        <v>39</v>
      </c>
      <c r="O954">
        <v>36</v>
      </c>
      <c r="P954">
        <v>39</v>
      </c>
      <c r="Q954">
        <v>0</v>
      </c>
      <c r="R954">
        <v>1</v>
      </c>
      <c r="S954">
        <v>0</v>
      </c>
      <c r="V954"/>
      <c r="W954"/>
      <c r="X954"/>
    </row>
    <row r="955" spans="1:24" x14ac:dyDescent="0.3">
      <c r="A955" t="str">
        <f>Table_Capacity_Community_frontsheet[[#This Row],[Name]]&amp;B955</f>
        <v>WandsworthUrgent Community Response</v>
      </c>
      <c r="B955" t="str">
        <f>VLOOKUP(Table_Capacity_Community_frontsheet[[#This Row],[Service Area]],PathwayLookup!E:F,2,0)</f>
        <v>Urgent Community Response</v>
      </c>
      <c r="C955" t="s">
        <v>337</v>
      </c>
      <c r="D955" t="s">
        <v>705</v>
      </c>
      <c r="E955">
        <v>109</v>
      </c>
      <c r="F955">
        <v>112</v>
      </c>
      <c r="G955">
        <v>109</v>
      </c>
      <c r="H955">
        <v>112</v>
      </c>
      <c r="I955">
        <v>112</v>
      </c>
      <c r="J955">
        <v>109</v>
      </c>
      <c r="K955">
        <v>112</v>
      </c>
      <c r="L955">
        <v>109</v>
      </c>
      <c r="M955">
        <v>112</v>
      </c>
      <c r="N955">
        <v>112</v>
      </c>
      <c r="O955">
        <v>105</v>
      </c>
      <c r="P955">
        <v>112</v>
      </c>
      <c r="Q955">
        <v>1</v>
      </c>
      <c r="R955">
        <v>0</v>
      </c>
      <c r="S955">
        <v>0</v>
      </c>
      <c r="V955"/>
      <c r="W955"/>
      <c r="X955"/>
    </row>
    <row r="956" spans="1:24" x14ac:dyDescent="0.3">
      <c r="A956" t="str">
        <f>Table_Capacity_Community_frontsheet[[#This Row],[Name]]&amp;B956</f>
        <v>WandsworthReablement &amp; Rehabilitation at home</v>
      </c>
      <c r="B956" t="str">
        <f>VLOOKUP(Table_Capacity_Community_frontsheet[[#This Row],[Service Area]],PathwayLookup!E:F,2,0)</f>
        <v>Reablement &amp; Rehabilitation at home</v>
      </c>
      <c r="C956" t="s">
        <v>337</v>
      </c>
      <c r="D956" t="s">
        <v>727</v>
      </c>
      <c r="E956">
        <v>39</v>
      </c>
      <c r="F956">
        <v>40</v>
      </c>
      <c r="G956">
        <v>39</v>
      </c>
      <c r="H956">
        <v>40</v>
      </c>
      <c r="I956">
        <v>40</v>
      </c>
      <c r="J956">
        <v>39</v>
      </c>
      <c r="K956">
        <v>40</v>
      </c>
      <c r="L956">
        <v>39</v>
      </c>
      <c r="M956">
        <v>40</v>
      </c>
      <c r="N956">
        <v>40</v>
      </c>
      <c r="O956">
        <v>38</v>
      </c>
      <c r="P956">
        <v>40</v>
      </c>
      <c r="Q956">
        <v>0.9</v>
      </c>
      <c r="R956">
        <v>0</v>
      </c>
      <c r="S956">
        <v>0</v>
      </c>
      <c r="V956"/>
      <c r="W956"/>
      <c r="X956"/>
    </row>
    <row r="957" spans="1:24" x14ac:dyDescent="0.3">
      <c r="A957" t="str">
        <f>Table_Capacity_Community_frontsheet[[#This Row],[Name]]&amp;B957</f>
        <v>WandsworthReablement &amp; Rehabilitation at home</v>
      </c>
      <c r="B957" t="str">
        <f>VLOOKUP(Table_Capacity_Community_frontsheet[[#This Row],[Service Area]],PathwayLookup!E:F,2,0)</f>
        <v>Reablement &amp; Rehabilitation at home</v>
      </c>
      <c r="C957" t="s">
        <v>337</v>
      </c>
      <c r="D957" t="s">
        <v>729</v>
      </c>
      <c r="E957">
        <v>228</v>
      </c>
      <c r="F957">
        <v>235</v>
      </c>
      <c r="G957">
        <v>228</v>
      </c>
      <c r="H957">
        <v>235</v>
      </c>
      <c r="I957">
        <v>235</v>
      </c>
      <c r="J957">
        <v>228</v>
      </c>
      <c r="K957">
        <v>235</v>
      </c>
      <c r="L957">
        <v>228</v>
      </c>
      <c r="M957">
        <v>235</v>
      </c>
      <c r="N957">
        <v>235</v>
      </c>
      <c r="O957">
        <v>220</v>
      </c>
      <c r="P957">
        <v>235</v>
      </c>
      <c r="Q957">
        <v>0.95</v>
      </c>
      <c r="R957">
        <v>0.05</v>
      </c>
      <c r="S957">
        <v>0</v>
      </c>
      <c r="V957"/>
      <c r="W957"/>
      <c r="X957"/>
    </row>
    <row r="958" spans="1:24" x14ac:dyDescent="0.3">
      <c r="A958" t="str">
        <f>Table_Capacity_Community_frontsheet[[#This Row],[Name]]&amp;B958</f>
        <v>WandsworthReablement &amp; Rehabilitation in a bedded setting</v>
      </c>
      <c r="B958" t="str">
        <f>VLOOKUP(Table_Capacity_Community_frontsheet[[#This Row],[Service Area]],PathwayLookup!E:F,2,0)</f>
        <v>Reablement &amp; Rehabilitation in a bedded setting</v>
      </c>
      <c r="C958" t="s">
        <v>337</v>
      </c>
      <c r="D958" t="s">
        <v>723</v>
      </c>
      <c r="E958">
        <v>0</v>
      </c>
      <c r="F958">
        <v>0</v>
      </c>
      <c r="G958">
        <v>0</v>
      </c>
      <c r="H958">
        <v>0</v>
      </c>
      <c r="I958">
        <v>0</v>
      </c>
      <c r="J958">
        <v>0</v>
      </c>
      <c r="K958">
        <v>0</v>
      </c>
      <c r="L958">
        <v>0</v>
      </c>
      <c r="M958">
        <v>0</v>
      </c>
      <c r="N958">
        <v>0</v>
      </c>
      <c r="O958">
        <v>0</v>
      </c>
      <c r="P958">
        <v>0</v>
      </c>
      <c r="Q958">
        <v>0</v>
      </c>
      <c r="R958">
        <v>0</v>
      </c>
      <c r="S958">
        <v>0</v>
      </c>
      <c r="V958"/>
      <c r="W958"/>
      <c r="X958"/>
    </row>
    <row r="959" spans="1:24" x14ac:dyDescent="0.3">
      <c r="A959" t="str">
        <f>Table_Capacity_Community_frontsheet[[#This Row],[Name]]&amp;B959</f>
        <v>WandsworthReablement &amp; Rehabilitation in a bedded setting</v>
      </c>
      <c r="B959" t="str">
        <f>VLOOKUP(Table_Capacity_Community_frontsheet[[#This Row],[Service Area]],PathwayLookup!E:F,2,0)</f>
        <v>Reablement &amp; Rehabilitation in a bedded setting</v>
      </c>
      <c r="C959" t="s">
        <v>337</v>
      </c>
      <c r="D959" t="s">
        <v>725</v>
      </c>
      <c r="E959">
        <v>0</v>
      </c>
      <c r="F959">
        <v>0</v>
      </c>
      <c r="G959">
        <v>0</v>
      </c>
      <c r="H959">
        <v>0</v>
      </c>
      <c r="I959">
        <v>0</v>
      </c>
      <c r="J959">
        <v>0</v>
      </c>
      <c r="K959">
        <v>0</v>
      </c>
      <c r="L959">
        <v>0</v>
      </c>
      <c r="M959">
        <v>0</v>
      </c>
      <c r="N959">
        <v>0</v>
      </c>
      <c r="O959">
        <v>0</v>
      </c>
      <c r="P959">
        <v>0</v>
      </c>
      <c r="Q959">
        <v>0</v>
      </c>
      <c r="R959">
        <v>0</v>
      </c>
      <c r="S959">
        <v>0</v>
      </c>
      <c r="V959"/>
      <c r="W959"/>
      <c r="X959"/>
    </row>
    <row r="960" spans="1:24" x14ac:dyDescent="0.3">
      <c r="A960" t="str">
        <f>Table_Capacity_Community_frontsheet[[#This Row],[Name]]&amp;B960</f>
        <v>WandsworthOther short-term social care</v>
      </c>
      <c r="B960" t="str">
        <f>VLOOKUP(Table_Capacity_Community_frontsheet[[#This Row],[Service Area]],PathwayLookup!E:F,2,0)</f>
        <v>Other short-term social care</v>
      </c>
      <c r="C960" t="s">
        <v>337</v>
      </c>
      <c r="D960" t="s">
        <v>708</v>
      </c>
      <c r="E960">
        <v>10</v>
      </c>
      <c r="F960">
        <v>10</v>
      </c>
      <c r="G960">
        <v>10</v>
      </c>
      <c r="H960">
        <v>10</v>
      </c>
      <c r="I960">
        <v>10</v>
      </c>
      <c r="J960">
        <v>10</v>
      </c>
      <c r="K960">
        <v>10</v>
      </c>
      <c r="L960">
        <v>10</v>
      </c>
      <c r="M960">
        <v>10</v>
      </c>
      <c r="N960">
        <v>10</v>
      </c>
      <c r="O960">
        <v>10</v>
      </c>
      <c r="P960">
        <v>10</v>
      </c>
      <c r="Q960">
        <v>0</v>
      </c>
      <c r="R960">
        <v>1</v>
      </c>
      <c r="S960">
        <v>0</v>
      </c>
      <c r="V960"/>
      <c r="W960"/>
      <c r="X960"/>
    </row>
    <row r="961" spans="1:24" x14ac:dyDescent="0.3">
      <c r="A961" t="str">
        <f>Table_Capacity_Community_frontsheet[[#This Row],[Name]]&amp;B961</f>
        <v>WarringtonSocial support (including VCS)</v>
      </c>
      <c r="B961" t="str">
        <f>VLOOKUP(Table_Capacity_Community_frontsheet[[#This Row],[Service Area]],PathwayLookup!E:F,2,0)</f>
        <v>Social support (including VCS)</v>
      </c>
      <c r="C961" t="s">
        <v>339</v>
      </c>
      <c r="D961" t="s">
        <v>704</v>
      </c>
      <c r="E961">
        <v>281</v>
      </c>
      <c r="F961">
        <v>281</v>
      </c>
      <c r="G961">
        <v>281</v>
      </c>
      <c r="H961">
        <v>281</v>
      </c>
      <c r="I961">
        <v>281</v>
      </c>
      <c r="J961">
        <v>281</v>
      </c>
      <c r="K961">
        <v>281</v>
      </c>
      <c r="L961">
        <v>281</v>
      </c>
      <c r="M961">
        <v>301</v>
      </c>
      <c r="N961">
        <v>301</v>
      </c>
      <c r="O961">
        <v>301</v>
      </c>
      <c r="P961">
        <v>301</v>
      </c>
      <c r="S961">
        <v>1</v>
      </c>
      <c r="V961"/>
      <c r="W961"/>
      <c r="X961"/>
    </row>
    <row r="962" spans="1:24" x14ac:dyDescent="0.3">
      <c r="A962" t="str">
        <f>Table_Capacity_Community_frontsheet[[#This Row],[Name]]&amp;B962</f>
        <v>WarringtonUrgent Community Response</v>
      </c>
      <c r="B962" t="str">
        <f>VLOOKUP(Table_Capacity_Community_frontsheet[[#This Row],[Service Area]],PathwayLookup!E:F,2,0)</f>
        <v>Urgent Community Response</v>
      </c>
      <c r="C962" t="s">
        <v>339</v>
      </c>
      <c r="D962" t="s">
        <v>705</v>
      </c>
      <c r="E962">
        <v>234</v>
      </c>
      <c r="F962">
        <v>234</v>
      </c>
      <c r="G962">
        <v>234</v>
      </c>
      <c r="H962">
        <v>260</v>
      </c>
      <c r="I962">
        <v>260</v>
      </c>
      <c r="J962">
        <v>260</v>
      </c>
      <c r="K962">
        <v>270</v>
      </c>
      <c r="L962">
        <v>270</v>
      </c>
      <c r="M962">
        <v>270</v>
      </c>
      <c r="N962">
        <v>280</v>
      </c>
      <c r="O962">
        <v>280</v>
      </c>
      <c r="P962">
        <v>280</v>
      </c>
      <c r="S962">
        <v>1</v>
      </c>
      <c r="V962"/>
      <c r="W962"/>
      <c r="X962"/>
    </row>
    <row r="963" spans="1:24" x14ac:dyDescent="0.3">
      <c r="A963" t="str">
        <f>Table_Capacity_Community_frontsheet[[#This Row],[Name]]&amp;B963</f>
        <v>WarringtonReablement &amp; Rehabilitation at home</v>
      </c>
      <c r="B963" t="str">
        <f>VLOOKUP(Table_Capacity_Community_frontsheet[[#This Row],[Service Area]],PathwayLookup!E:F,2,0)</f>
        <v>Reablement &amp; Rehabilitation at home</v>
      </c>
      <c r="C963" t="s">
        <v>339</v>
      </c>
      <c r="D963" t="s">
        <v>727</v>
      </c>
      <c r="E963">
        <v>27</v>
      </c>
      <c r="F963">
        <v>29</v>
      </c>
      <c r="G963">
        <v>35</v>
      </c>
      <c r="H963">
        <v>36</v>
      </c>
      <c r="I963">
        <v>33</v>
      </c>
      <c r="J963">
        <v>48</v>
      </c>
      <c r="K963">
        <v>55</v>
      </c>
      <c r="L963">
        <v>65</v>
      </c>
      <c r="M963">
        <v>74</v>
      </c>
      <c r="N963">
        <v>75</v>
      </c>
      <c r="O963">
        <v>88</v>
      </c>
      <c r="P963">
        <v>71</v>
      </c>
      <c r="S963">
        <v>1</v>
      </c>
      <c r="V963"/>
      <c r="W963"/>
      <c r="X963"/>
    </row>
    <row r="964" spans="1:24" x14ac:dyDescent="0.3">
      <c r="A964" t="str">
        <f>Table_Capacity_Community_frontsheet[[#This Row],[Name]]&amp;B964</f>
        <v>WarringtonReablement &amp; Rehabilitation at home</v>
      </c>
      <c r="B964" t="str">
        <f>VLOOKUP(Table_Capacity_Community_frontsheet[[#This Row],[Service Area]],PathwayLookup!E:F,2,0)</f>
        <v>Reablement &amp; Rehabilitation at home</v>
      </c>
      <c r="C964" t="s">
        <v>339</v>
      </c>
      <c r="D964" t="s">
        <v>729</v>
      </c>
      <c r="E964">
        <v>0</v>
      </c>
      <c r="F964">
        <v>0</v>
      </c>
      <c r="G964">
        <v>0</v>
      </c>
      <c r="H964">
        <v>0</v>
      </c>
      <c r="I964">
        <v>0</v>
      </c>
      <c r="J964">
        <v>0</v>
      </c>
      <c r="K964">
        <v>0</v>
      </c>
      <c r="L964">
        <v>0</v>
      </c>
      <c r="M964">
        <v>0</v>
      </c>
      <c r="N964">
        <v>0</v>
      </c>
      <c r="O964">
        <v>0</v>
      </c>
      <c r="P964">
        <v>0</v>
      </c>
      <c r="S964">
        <v>0</v>
      </c>
      <c r="V964"/>
      <c r="W964"/>
      <c r="X964"/>
    </row>
    <row r="965" spans="1:24" x14ac:dyDescent="0.3">
      <c r="A965" t="str">
        <f>Table_Capacity_Community_frontsheet[[#This Row],[Name]]&amp;B965</f>
        <v>WarringtonReablement &amp; Rehabilitation in a bedded setting</v>
      </c>
      <c r="B965" t="str">
        <f>VLOOKUP(Table_Capacity_Community_frontsheet[[#This Row],[Service Area]],PathwayLookup!E:F,2,0)</f>
        <v>Reablement &amp; Rehabilitation in a bedded setting</v>
      </c>
      <c r="C965" t="s">
        <v>339</v>
      </c>
      <c r="D965" t="s">
        <v>723</v>
      </c>
      <c r="E965">
        <v>3</v>
      </c>
      <c r="F965">
        <v>3</v>
      </c>
      <c r="G965">
        <v>3</v>
      </c>
      <c r="H965">
        <v>3</v>
      </c>
      <c r="I965">
        <v>3</v>
      </c>
      <c r="J965">
        <v>3</v>
      </c>
      <c r="K965">
        <v>3</v>
      </c>
      <c r="L965">
        <v>3</v>
      </c>
      <c r="M965">
        <v>3</v>
      </c>
      <c r="N965">
        <v>3</v>
      </c>
      <c r="O965">
        <v>3</v>
      </c>
      <c r="P965">
        <v>3</v>
      </c>
      <c r="S965">
        <v>1</v>
      </c>
      <c r="V965"/>
      <c r="W965"/>
      <c r="X965"/>
    </row>
    <row r="966" spans="1:24" x14ac:dyDescent="0.3">
      <c r="A966" t="str">
        <f>Table_Capacity_Community_frontsheet[[#This Row],[Name]]&amp;B966</f>
        <v>WarringtonReablement &amp; Rehabilitation in a bedded setting</v>
      </c>
      <c r="B966" t="str">
        <f>VLOOKUP(Table_Capacity_Community_frontsheet[[#This Row],[Service Area]],PathwayLookup!E:F,2,0)</f>
        <v>Reablement &amp; Rehabilitation in a bedded setting</v>
      </c>
      <c r="C966" t="s">
        <v>339</v>
      </c>
      <c r="D966" t="s">
        <v>725</v>
      </c>
      <c r="E966">
        <v>1</v>
      </c>
      <c r="F966">
        <v>3</v>
      </c>
      <c r="G966">
        <v>2</v>
      </c>
      <c r="H966">
        <v>3</v>
      </c>
      <c r="I966">
        <v>3</v>
      </c>
      <c r="J966">
        <v>3</v>
      </c>
      <c r="K966">
        <v>3</v>
      </c>
      <c r="L966">
        <v>3</v>
      </c>
      <c r="M966">
        <v>3</v>
      </c>
      <c r="N966">
        <v>3</v>
      </c>
      <c r="O966">
        <v>3</v>
      </c>
      <c r="P966">
        <v>3</v>
      </c>
      <c r="S966">
        <v>1</v>
      </c>
      <c r="V966"/>
      <c r="W966"/>
      <c r="X966"/>
    </row>
    <row r="967" spans="1:24" x14ac:dyDescent="0.3">
      <c r="A967" t="str">
        <f>Table_Capacity_Community_frontsheet[[#This Row],[Name]]&amp;B967</f>
        <v>WarringtonOther short-term social care</v>
      </c>
      <c r="B967" t="str">
        <f>VLOOKUP(Table_Capacity_Community_frontsheet[[#This Row],[Service Area]],PathwayLookup!E:F,2,0)</f>
        <v>Other short-term social care</v>
      </c>
      <c r="C967" t="s">
        <v>339</v>
      </c>
      <c r="D967" t="s">
        <v>708</v>
      </c>
      <c r="E967">
        <v>20</v>
      </c>
      <c r="F967">
        <v>20</v>
      </c>
      <c r="G967">
        <v>20</v>
      </c>
      <c r="H967">
        <v>20</v>
      </c>
      <c r="I967">
        <v>20</v>
      </c>
      <c r="J967">
        <v>20</v>
      </c>
      <c r="K967">
        <v>20</v>
      </c>
      <c r="L967">
        <v>20</v>
      </c>
      <c r="M967">
        <v>20</v>
      </c>
      <c r="N967">
        <v>20</v>
      </c>
      <c r="O967">
        <v>20</v>
      </c>
      <c r="P967">
        <v>20</v>
      </c>
      <c r="R967">
        <v>1</v>
      </c>
      <c r="V967"/>
      <c r="W967"/>
      <c r="X967"/>
    </row>
    <row r="968" spans="1:24" x14ac:dyDescent="0.3">
      <c r="A968" t="str">
        <f>Table_Capacity_Community_frontsheet[[#This Row],[Name]]&amp;B968</f>
        <v>WarwickshireSocial support (including VCS)</v>
      </c>
      <c r="B968" t="str">
        <f>VLOOKUP(Table_Capacity_Community_frontsheet[[#This Row],[Service Area]],PathwayLookup!E:F,2,0)</f>
        <v>Social support (including VCS)</v>
      </c>
      <c r="C968" t="s">
        <v>341</v>
      </c>
      <c r="D968" t="s">
        <v>704</v>
      </c>
      <c r="E968">
        <v>0</v>
      </c>
      <c r="F968">
        <v>0</v>
      </c>
      <c r="G968">
        <v>0</v>
      </c>
      <c r="H968">
        <v>0</v>
      </c>
      <c r="I968">
        <v>0</v>
      </c>
      <c r="J968">
        <v>0</v>
      </c>
      <c r="K968">
        <v>0</v>
      </c>
      <c r="L968">
        <v>0</v>
      </c>
      <c r="M968">
        <v>0</v>
      </c>
      <c r="N968">
        <v>0</v>
      </c>
      <c r="O968">
        <v>0</v>
      </c>
      <c r="P968">
        <v>0</v>
      </c>
      <c r="V968"/>
      <c r="W968"/>
      <c r="X968"/>
    </row>
    <row r="969" spans="1:24" x14ac:dyDescent="0.3">
      <c r="A969" t="str">
        <f>Table_Capacity_Community_frontsheet[[#This Row],[Name]]&amp;B969</f>
        <v>WarwickshireUrgent Community Response</v>
      </c>
      <c r="B969" t="str">
        <f>VLOOKUP(Table_Capacity_Community_frontsheet[[#This Row],[Service Area]],PathwayLookup!E:F,2,0)</f>
        <v>Urgent Community Response</v>
      </c>
      <c r="C969" t="s">
        <v>341</v>
      </c>
      <c r="D969" t="s">
        <v>705</v>
      </c>
      <c r="E969">
        <v>1095</v>
      </c>
      <c r="F969">
        <v>1131</v>
      </c>
      <c r="G969">
        <v>1095</v>
      </c>
      <c r="H969">
        <v>1129</v>
      </c>
      <c r="I969">
        <v>1129</v>
      </c>
      <c r="J969">
        <v>1092</v>
      </c>
      <c r="K969">
        <v>1137</v>
      </c>
      <c r="L969">
        <v>1101</v>
      </c>
      <c r="M969">
        <v>1137</v>
      </c>
      <c r="N969">
        <v>1163</v>
      </c>
      <c r="O969">
        <v>1050</v>
      </c>
      <c r="P969">
        <v>1163</v>
      </c>
      <c r="Q969">
        <v>1</v>
      </c>
      <c r="V969"/>
      <c r="W969"/>
      <c r="X969"/>
    </row>
    <row r="970" spans="1:24" x14ac:dyDescent="0.3">
      <c r="A970" t="str">
        <f>Table_Capacity_Community_frontsheet[[#This Row],[Name]]&amp;B970</f>
        <v>WarwickshireReablement &amp; Rehabilitation at home</v>
      </c>
      <c r="B970" t="str">
        <f>VLOOKUP(Table_Capacity_Community_frontsheet[[#This Row],[Service Area]],PathwayLookup!E:F,2,0)</f>
        <v>Reablement &amp; Rehabilitation at home</v>
      </c>
      <c r="C970" t="s">
        <v>341</v>
      </c>
      <c r="D970" t="s">
        <v>727</v>
      </c>
      <c r="E970">
        <v>24</v>
      </c>
      <c r="F970">
        <v>25</v>
      </c>
      <c r="G970">
        <v>24</v>
      </c>
      <c r="H970">
        <v>25</v>
      </c>
      <c r="I970">
        <v>25</v>
      </c>
      <c r="J970">
        <v>24</v>
      </c>
      <c r="K970">
        <v>25</v>
      </c>
      <c r="L970">
        <v>24</v>
      </c>
      <c r="M970">
        <v>25</v>
      </c>
      <c r="N970">
        <v>25</v>
      </c>
      <c r="O970">
        <v>22</v>
      </c>
      <c r="P970">
        <v>25</v>
      </c>
      <c r="R970">
        <v>1</v>
      </c>
      <c r="V970"/>
      <c r="W970"/>
      <c r="X970"/>
    </row>
    <row r="971" spans="1:24" x14ac:dyDescent="0.3">
      <c r="A971" t="str">
        <f>Table_Capacity_Community_frontsheet[[#This Row],[Name]]&amp;B971</f>
        <v>WarwickshireReablement &amp; Rehabilitation at home</v>
      </c>
      <c r="B971" t="str">
        <f>VLOOKUP(Table_Capacity_Community_frontsheet[[#This Row],[Service Area]],PathwayLookup!E:F,2,0)</f>
        <v>Reablement &amp; Rehabilitation at home</v>
      </c>
      <c r="C971" t="s">
        <v>341</v>
      </c>
      <c r="D971" t="s">
        <v>729</v>
      </c>
      <c r="E971">
        <v>0</v>
      </c>
      <c r="F971">
        <v>0</v>
      </c>
      <c r="G971">
        <v>0</v>
      </c>
      <c r="H971">
        <v>0</v>
      </c>
      <c r="I971">
        <v>0</v>
      </c>
      <c r="J971">
        <v>0</v>
      </c>
      <c r="K971">
        <v>0</v>
      </c>
      <c r="L971">
        <v>0</v>
      </c>
      <c r="M971">
        <v>0</v>
      </c>
      <c r="N971">
        <v>0</v>
      </c>
      <c r="O971">
        <v>0</v>
      </c>
      <c r="P971">
        <v>0</v>
      </c>
      <c r="V971"/>
      <c r="W971"/>
      <c r="X971"/>
    </row>
    <row r="972" spans="1:24" x14ac:dyDescent="0.3">
      <c r="A972" t="str">
        <f>Table_Capacity_Community_frontsheet[[#This Row],[Name]]&amp;B972</f>
        <v>WarwickshireReablement &amp; Rehabilitation in a bedded setting</v>
      </c>
      <c r="B972" t="str">
        <f>VLOOKUP(Table_Capacity_Community_frontsheet[[#This Row],[Service Area]],PathwayLookup!E:F,2,0)</f>
        <v>Reablement &amp; Rehabilitation in a bedded setting</v>
      </c>
      <c r="C972" t="s">
        <v>341</v>
      </c>
      <c r="D972" t="s">
        <v>723</v>
      </c>
      <c r="E972">
        <v>0</v>
      </c>
      <c r="F972">
        <v>0</v>
      </c>
      <c r="G972">
        <v>0</v>
      </c>
      <c r="H972">
        <v>0</v>
      </c>
      <c r="I972">
        <v>0</v>
      </c>
      <c r="J972">
        <v>0</v>
      </c>
      <c r="K972">
        <v>0</v>
      </c>
      <c r="L972">
        <v>0</v>
      </c>
      <c r="M972">
        <v>0</v>
      </c>
      <c r="N972">
        <v>0</v>
      </c>
      <c r="O972">
        <v>0</v>
      </c>
      <c r="P972">
        <v>0</v>
      </c>
      <c r="V972"/>
      <c r="W972"/>
      <c r="X972"/>
    </row>
    <row r="973" spans="1:24" x14ac:dyDescent="0.3">
      <c r="A973" t="str">
        <f>Table_Capacity_Community_frontsheet[[#This Row],[Name]]&amp;B973</f>
        <v>WarwickshireReablement &amp; Rehabilitation in a bedded setting</v>
      </c>
      <c r="B973" t="str">
        <f>VLOOKUP(Table_Capacity_Community_frontsheet[[#This Row],[Service Area]],PathwayLookup!E:F,2,0)</f>
        <v>Reablement &amp; Rehabilitation in a bedded setting</v>
      </c>
      <c r="C973" t="s">
        <v>341</v>
      </c>
      <c r="D973" t="s">
        <v>725</v>
      </c>
      <c r="E973">
        <v>0</v>
      </c>
      <c r="F973">
        <v>0</v>
      </c>
      <c r="G973">
        <v>0</v>
      </c>
      <c r="H973">
        <v>0</v>
      </c>
      <c r="I973">
        <v>0</v>
      </c>
      <c r="J973">
        <v>0</v>
      </c>
      <c r="K973">
        <v>0</v>
      </c>
      <c r="L973">
        <v>0</v>
      </c>
      <c r="M973">
        <v>0</v>
      </c>
      <c r="N973">
        <v>0</v>
      </c>
      <c r="O973">
        <v>0</v>
      </c>
      <c r="P973">
        <v>0</v>
      </c>
      <c r="V973"/>
      <c r="W973"/>
      <c r="X973"/>
    </row>
    <row r="974" spans="1:24" x14ac:dyDescent="0.3">
      <c r="A974" t="str">
        <f>Table_Capacity_Community_frontsheet[[#This Row],[Name]]&amp;B974</f>
        <v>WarwickshireOther short-term social care</v>
      </c>
      <c r="B974" t="str">
        <f>VLOOKUP(Table_Capacity_Community_frontsheet[[#This Row],[Service Area]],PathwayLookup!E:F,2,0)</f>
        <v>Other short-term social care</v>
      </c>
      <c r="C974" t="s">
        <v>341</v>
      </c>
      <c r="D974" t="s">
        <v>708</v>
      </c>
      <c r="E974">
        <v>0</v>
      </c>
      <c r="F974">
        <v>0</v>
      </c>
      <c r="G974">
        <v>0</v>
      </c>
      <c r="H974">
        <v>0</v>
      </c>
      <c r="I974">
        <v>0</v>
      </c>
      <c r="J974">
        <v>0</v>
      </c>
      <c r="K974">
        <v>0</v>
      </c>
      <c r="L974">
        <v>0</v>
      </c>
      <c r="M974">
        <v>0</v>
      </c>
      <c r="N974">
        <v>0</v>
      </c>
      <c r="O974">
        <v>0</v>
      </c>
      <c r="P974">
        <v>0</v>
      </c>
      <c r="V974"/>
      <c r="W974"/>
      <c r="X974"/>
    </row>
    <row r="975" spans="1:24" x14ac:dyDescent="0.3">
      <c r="A975" t="str">
        <f>Table_Capacity_Community_frontsheet[[#This Row],[Name]]&amp;B975</f>
        <v>West BerkshireSocial support (including VCS)</v>
      </c>
      <c r="B975" t="str">
        <f>VLOOKUP(Table_Capacity_Community_frontsheet[[#This Row],[Service Area]],PathwayLookup!E:F,2,0)</f>
        <v>Social support (including VCS)</v>
      </c>
      <c r="C975" t="s">
        <v>343</v>
      </c>
      <c r="D975" t="s">
        <v>704</v>
      </c>
      <c r="E975">
        <v>0</v>
      </c>
      <c r="F975">
        <v>0</v>
      </c>
      <c r="G975">
        <v>0</v>
      </c>
      <c r="H975">
        <v>0</v>
      </c>
      <c r="I975">
        <v>0</v>
      </c>
      <c r="J975">
        <v>0</v>
      </c>
      <c r="K975">
        <v>0</v>
      </c>
      <c r="L975">
        <v>0</v>
      </c>
      <c r="M975">
        <v>0</v>
      </c>
      <c r="N975">
        <v>0</v>
      </c>
      <c r="O975">
        <v>0</v>
      </c>
      <c r="P975">
        <v>0</v>
      </c>
      <c r="Q975">
        <v>0</v>
      </c>
      <c r="R975">
        <v>0</v>
      </c>
      <c r="S975">
        <v>0</v>
      </c>
      <c r="V975"/>
      <c r="W975"/>
      <c r="X975"/>
    </row>
    <row r="976" spans="1:24" x14ac:dyDescent="0.3">
      <c r="A976" t="str">
        <f>Table_Capacity_Community_frontsheet[[#This Row],[Name]]&amp;B976</f>
        <v>West BerkshireUrgent Community Response</v>
      </c>
      <c r="B976" t="str">
        <f>VLOOKUP(Table_Capacity_Community_frontsheet[[#This Row],[Service Area]],PathwayLookup!E:F,2,0)</f>
        <v>Urgent Community Response</v>
      </c>
      <c r="C976" t="s">
        <v>343</v>
      </c>
      <c r="D976" t="s">
        <v>705</v>
      </c>
      <c r="E976">
        <v>183</v>
      </c>
      <c r="F976">
        <v>180</v>
      </c>
      <c r="G976">
        <v>189</v>
      </c>
      <c r="H976">
        <v>184</v>
      </c>
      <c r="I976">
        <v>173</v>
      </c>
      <c r="J976">
        <v>185</v>
      </c>
      <c r="K976">
        <v>211</v>
      </c>
      <c r="L976">
        <v>212</v>
      </c>
      <c r="M976">
        <v>240</v>
      </c>
      <c r="N976">
        <v>219</v>
      </c>
      <c r="O976">
        <v>200</v>
      </c>
      <c r="P976">
        <v>221</v>
      </c>
      <c r="Q976">
        <v>0</v>
      </c>
      <c r="R976">
        <v>0</v>
      </c>
      <c r="S976">
        <v>1</v>
      </c>
      <c r="V976"/>
      <c r="W976"/>
      <c r="X976"/>
    </row>
    <row r="977" spans="1:24" x14ac:dyDescent="0.3">
      <c r="A977" t="str">
        <f>Table_Capacity_Community_frontsheet[[#This Row],[Name]]&amp;B977</f>
        <v>West BerkshireReablement &amp; Rehabilitation at home</v>
      </c>
      <c r="B977" t="str">
        <f>VLOOKUP(Table_Capacity_Community_frontsheet[[#This Row],[Service Area]],PathwayLookup!E:F,2,0)</f>
        <v>Reablement &amp; Rehabilitation at home</v>
      </c>
      <c r="C977" t="s">
        <v>343</v>
      </c>
      <c r="D977" t="s">
        <v>727</v>
      </c>
      <c r="E977">
        <v>0</v>
      </c>
      <c r="F977">
        <v>0</v>
      </c>
      <c r="G977">
        <v>0</v>
      </c>
      <c r="H977">
        <v>0</v>
      </c>
      <c r="I977">
        <v>0</v>
      </c>
      <c r="J977">
        <v>0</v>
      </c>
      <c r="K977">
        <v>0</v>
      </c>
      <c r="L977">
        <v>0</v>
      </c>
      <c r="M977">
        <v>0</v>
      </c>
      <c r="N977">
        <v>0</v>
      </c>
      <c r="O977">
        <v>0</v>
      </c>
      <c r="P977">
        <v>0</v>
      </c>
      <c r="Q977">
        <v>0</v>
      </c>
      <c r="R977">
        <v>0</v>
      </c>
      <c r="S977">
        <v>0</v>
      </c>
      <c r="V977"/>
      <c r="W977"/>
      <c r="X977"/>
    </row>
    <row r="978" spans="1:24" x14ac:dyDescent="0.3">
      <c r="A978" t="str">
        <f>Table_Capacity_Community_frontsheet[[#This Row],[Name]]&amp;B978</f>
        <v>West BerkshireReablement &amp; Rehabilitation at home</v>
      </c>
      <c r="B978" t="str">
        <f>VLOOKUP(Table_Capacity_Community_frontsheet[[#This Row],[Service Area]],PathwayLookup!E:F,2,0)</f>
        <v>Reablement &amp; Rehabilitation at home</v>
      </c>
      <c r="C978" t="s">
        <v>343</v>
      </c>
      <c r="D978" t="s">
        <v>729</v>
      </c>
      <c r="E978">
        <v>85</v>
      </c>
      <c r="F978">
        <v>116</v>
      </c>
      <c r="G978">
        <v>102</v>
      </c>
      <c r="H978">
        <v>102</v>
      </c>
      <c r="I978">
        <v>103</v>
      </c>
      <c r="J978">
        <v>107</v>
      </c>
      <c r="K978">
        <v>134</v>
      </c>
      <c r="L978">
        <v>103</v>
      </c>
      <c r="M978">
        <v>118</v>
      </c>
      <c r="N978">
        <v>104</v>
      </c>
      <c r="O978">
        <v>109</v>
      </c>
      <c r="P978">
        <v>109</v>
      </c>
      <c r="Q978">
        <v>1</v>
      </c>
      <c r="R978">
        <v>0</v>
      </c>
      <c r="S978">
        <v>0</v>
      </c>
      <c r="V978"/>
      <c r="W978"/>
      <c r="X978"/>
    </row>
    <row r="979" spans="1:24" x14ac:dyDescent="0.3">
      <c r="A979" t="str">
        <f>Table_Capacity_Community_frontsheet[[#This Row],[Name]]&amp;B979</f>
        <v>West BerkshireReablement &amp; Rehabilitation in a bedded setting</v>
      </c>
      <c r="B979" t="str">
        <f>VLOOKUP(Table_Capacity_Community_frontsheet[[#This Row],[Service Area]],PathwayLookup!E:F,2,0)</f>
        <v>Reablement &amp; Rehabilitation in a bedded setting</v>
      </c>
      <c r="C979" t="s">
        <v>343</v>
      </c>
      <c r="D979" t="s">
        <v>723</v>
      </c>
      <c r="E979">
        <v>0</v>
      </c>
      <c r="F979">
        <v>0</v>
      </c>
      <c r="G979">
        <v>0</v>
      </c>
      <c r="H979">
        <v>0</v>
      </c>
      <c r="I979">
        <v>0</v>
      </c>
      <c r="J979">
        <v>0</v>
      </c>
      <c r="K979">
        <v>0</v>
      </c>
      <c r="L979">
        <v>0</v>
      </c>
      <c r="M979">
        <v>0</v>
      </c>
      <c r="N979">
        <v>0</v>
      </c>
      <c r="O979">
        <v>0</v>
      </c>
      <c r="P979">
        <v>0</v>
      </c>
      <c r="Q979">
        <v>0</v>
      </c>
      <c r="R979">
        <v>0</v>
      </c>
      <c r="S979">
        <v>0</v>
      </c>
      <c r="V979"/>
      <c r="W979"/>
      <c r="X979"/>
    </row>
    <row r="980" spans="1:24" x14ac:dyDescent="0.3">
      <c r="A980" t="str">
        <f>Table_Capacity_Community_frontsheet[[#This Row],[Name]]&amp;B980</f>
        <v>West BerkshireReablement &amp; Rehabilitation in a bedded setting</v>
      </c>
      <c r="B980" t="str">
        <f>VLOOKUP(Table_Capacity_Community_frontsheet[[#This Row],[Service Area]],PathwayLookup!E:F,2,0)</f>
        <v>Reablement &amp; Rehabilitation in a bedded setting</v>
      </c>
      <c r="C980" t="s">
        <v>343</v>
      </c>
      <c r="D980" t="s">
        <v>725</v>
      </c>
      <c r="E980">
        <v>30</v>
      </c>
      <c r="F980">
        <v>24</v>
      </c>
      <c r="G980">
        <v>25</v>
      </c>
      <c r="H980">
        <v>23</v>
      </c>
      <c r="I980">
        <v>27</v>
      </c>
      <c r="J980">
        <v>24</v>
      </c>
      <c r="K980">
        <v>28</v>
      </c>
      <c r="L980">
        <v>24</v>
      </c>
      <c r="M980">
        <v>34</v>
      </c>
      <c r="N980">
        <v>34</v>
      </c>
      <c r="O980">
        <v>19</v>
      </c>
      <c r="P980">
        <v>27</v>
      </c>
      <c r="Q980">
        <v>0</v>
      </c>
      <c r="S980">
        <v>1</v>
      </c>
      <c r="V980"/>
      <c r="W980"/>
      <c r="X980"/>
    </row>
    <row r="981" spans="1:24" x14ac:dyDescent="0.3">
      <c r="A981" t="str">
        <f>Table_Capacity_Community_frontsheet[[#This Row],[Name]]&amp;B981</f>
        <v>West BerkshireOther short-term social care</v>
      </c>
      <c r="B981" t="str">
        <f>VLOOKUP(Table_Capacity_Community_frontsheet[[#This Row],[Service Area]],PathwayLookup!E:F,2,0)</f>
        <v>Other short-term social care</v>
      </c>
      <c r="C981" t="s">
        <v>343</v>
      </c>
      <c r="D981" t="s">
        <v>708</v>
      </c>
      <c r="E981">
        <v>13.426875000000004</v>
      </c>
      <c r="F981">
        <v>23.017499999999998</v>
      </c>
      <c r="G981">
        <v>13.426875000000004</v>
      </c>
      <c r="H981">
        <v>9.5906249999999993</v>
      </c>
      <c r="I981">
        <v>11.508749999999999</v>
      </c>
      <c r="J981">
        <v>11.508749999999999</v>
      </c>
      <c r="K981">
        <v>13.426875000000004</v>
      </c>
      <c r="L981">
        <v>7.6725000000000003</v>
      </c>
      <c r="M981">
        <v>19.181249999999999</v>
      </c>
      <c r="N981">
        <v>5.7543749999999996</v>
      </c>
      <c r="O981">
        <v>5.7543749999999996</v>
      </c>
      <c r="P981">
        <v>21.099374999999998</v>
      </c>
      <c r="Q981">
        <v>0</v>
      </c>
      <c r="R981">
        <v>1</v>
      </c>
      <c r="S981">
        <v>0</v>
      </c>
      <c r="V981"/>
      <c r="W981"/>
      <c r="X981"/>
    </row>
    <row r="982" spans="1:24" x14ac:dyDescent="0.3">
      <c r="A982" t="str">
        <f>Table_Capacity_Community_frontsheet[[#This Row],[Name]]&amp;B982</f>
        <v>West NorthamptonshireSocial support (including VCS)</v>
      </c>
      <c r="B982" t="str">
        <f>VLOOKUP(Table_Capacity_Community_frontsheet[[#This Row],[Service Area]],PathwayLookup!E:F,2,0)</f>
        <v>Social support (including VCS)</v>
      </c>
      <c r="C982" t="s">
        <v>345</v>
      </c>
      <c r="D982" t="s">
        <v>704</v>
      </c>
      <c r="E982">
        <v>25</v>
      </c>
      <c r="F982">
        <v>25</v>
      </c>
      <c r="G982">
        <v>25</v>
      </c>
      <c r="H982">
        <v>25</v>
      </c>
      <c r="I982">
        <v>25</v>
      </c>
      <c r="J982">
        <v>25</v>
      </c>
      <c r="K982">
        <v>25</v>
      </c>
      <c r="L982">
        <v>25</v>
      </c>
      <c r="M982">
        <v>25</v>
      </c>
      <c r="N982">
        <v>25</v>
      </c>
      <c r="O982">
        <v>25</v>
      </c>
      <c r="P982">
        <v>25</v>
      </c>
      <c r="Q982">
        <v>1</v>
      </c>
      <c r="V982"/>
      <c r="W982"/>
      <c r="X982"/>
    </row>
    <row r="983" spans="1:24" x14ac:dyDescent="0.3">
      <c r="A983" t="str">
        <f>Table_Capacity_Community_frontsheet[[#This Row],[Name]]&amp;B983</f>
        <v>West NorthamptonshireUrgent Community Response</v>
      </c>
      <c r="B983" t="str">
        <f>VLOOKUP(Table_Capacity_Community_frontsheet[[#This Row],[Service Area]],PathwayLookup!E:F,2,0)</f>
        <v>Urgent Community Response</v>
      </c>
      <c r="C983" t="s">
        <v>345</v>
      </c>
      <c r="D983" t="s">
        <v>705</v>
      </c>
      <c r="E983">
        <v>496</v>
      </c>
      <c r="F983">
        <v>520</v>
      </c>
      <c r="G983">
        <v>503</v>
      </c>
      <c r="H983">
        <v>536</v>
      </c>
      <c r="I983">
        <v>536</v>
      </c>
      <c r="J983">
        <v>526</v>
      </c>
      <c r="K983">
        <v>544</v>
      </c>
      <c r="L983">
        <v>534</v>
      </c>
      <c r="M983">
        <v>552</v>
      </c>
      <c r="N983">
        <v>560</v>
      </c>
      <c r="O983">
        <v>506</v>
      </c>
      <c r="P983">
        <v>560</v>
      </c>
      <c r="R983">
        <v>1</v>
      </c>
      <c r="V983"/>
      <c r="W983"/>
      <c r="X983"/>
    </row>
    <row r="984" spans="1:24" x14ac:dyDescent="0.3">
      <c r="A984" t="str">
        <f>Table_Capacity_Community_frontsheet[[#This Row],[Name]]&amp;B984</f>
        <v>West NorthamptonshireReablement &amp; Rehabilitation at home</v>
      </c>
      <c r="B984" t="str">
        <f>VLOOKUP(Table_Capacity_Community_frontsheet[[#This Row],[Service Area]],PathwayLookup!E:F,2,0)</f>
        <v>Reablement &amp; Rehabilitation at home</v>
      </c>
      <c r="C984" t="s">
        <v>345</v>
      </c>
      <c r="D984" t="s">
        <v>727</v>
      </c>
      <c r="E984">
        <v>15</v>
      </c>
      <c r="F984">
        <v>15</v>
      </c>
      <c r="G984">
        <v>15</v>
      </c>
      <c r="H984">
        <v>15</v>
      </c>
      <c r="I984">
        <v>15</v>
      </c>
      <c r="J984">
        <v>15</v>
      </c>
      <c r="K984">
        <v>15</v>
      </c>
      <c r="L984">
        <v>15</v>
      </c>
      <c r="M984">
        <v>15</v>
      </c>
      <c r="N984">
        <v>15</v>
      </c>
      <c r="O984">
        <v>15</v>
      </c>
      <c r="P984">
        <v>15</v>
      </c>
      <c r="Q984">
        <v>1</v>
      </c>
      <c r="V984"/>
      <c r="W984"/>
      <c r="X984"/>
    </row>
    <row r="985" spans="1:24" x14ac:dyDescent="0.3">
      <c r="A985" t="str">
        <f>Table_Capacity_Community_frontsheet[[#This Row],[Name]]&amp;B985</f>
        <v>West NorthamptonshireReablement &amp; Rehabilitation at home</v>
      </c>
      <c r="B985" t="str">
        <f>VLOOKUP(Table_Capacity_Community_frontsheet[[#This Row],[Service Area]],PathwayLookup!E:F,2,0)</f>
        <v>Reablement &amp; Rehabilitation at home</v>
      </c>
      <c r="C985" t="s">
        <v>345</v>
      </c>
      <c r="D985" t="s">
        <v>729</v>
      </c>
      <c r="E985">
        <v>0</v>
      </c>
      <c r="F985">
        <v>0</v>
      </c>
      <c r="G985">
        <v>0</v>
      </c>
      <c r="H985">
        <v>0</v>
      </c>
      <c r="I985">
        <v>0</v>
      </c>
      <c r="J985">
        <v>0</v>
      </c>
      <c r="K985">
        <v>0</v>
      </c>
      <c r="L985">
        <v>0</v>
      </c>
      <c r="M985">
        <v>0</v>
      </c>
      <c r="N985">
        <v>0</v>
      </c>
      <c r="O985">
        <v>0</v>
      </c>
      <c r="P985">
        <v>0</v>
      </c>
      <c r="R985">
        <v>1</v>
      </c>
      <c r="V985"/>
      <c r="W985"/>
      <c r="X985"/>
    </row>
    <row r="986" spans="1:24" x14ac:dyDescent="0.3">
      <c r="A986" t="str">
        <f>Table_Capacity_Community_frontsheet[[#This Row],[Name]]&amp;B986</f>
        <v>West NorthamptonshireReablement &amp; Rehabilitation in a bedded setting</v>
      </c>
      <c r="B986" t="str">
        <f>VLOOKUP(Table_Capacity_Community_frontsheet[[#This Row],[Service Area]],PathwayLookup!E:F,2,0)</f>
        <v>Reablement &amp; Rehabilitation in a bedded setting</v>
      </c>
      <c r="C986" t="s">
        <v>345</v>
      </c>
      <c r="D986" t="s">
        <v>723</v>
      </c>
      <c r="R986">
        <v>1</v>
      </c>
      <c r="V986"/>
      <c r="W986"/>
      <c r="X986"/>
    </row>
    <row r="987" spans="1:24" x14ac:dyDescent="0.3">
      <c r="A987" t="str">
        <f>Table_Capacity_Community_frontsheet[[#This Row],[Name]]&amp;B987</f>
        <v>West NorthamptonshireReablement &amp; Rehabilitation in a bedded setting</v>
      </c>
      <c r="B987" t="str">
        <f>VLOOKUP(Table_Capacity_Community_frontsheet[[#This Row],[Service Area]],PathwayLookup!E:F,2,0)</f>
        <v>Reablement &amp; Rehabilitation in a bedded setting</v>
      </c>
      <c r="C987" t="s">
        <v>345</v>
      </c>
      <c r="D987" t="s">
        <v>725</v>
      </c>
      <c r="E987">
        <v>3</v>
      </c>
      <c r="F987">
        <v>3</v>
      </c>
      <c r="G987">
        <v>3</v>
      </c>
      <c r="H987">
        <v>3</v>
      </c>
      <c r="I987">
        <v>3</v>
      </c>
      <c r="J987">
        <v>3</v>
      </c>
      <c r="K987">
        <v>3</v>
      </c>
      <c r="L987">
        <v>3</v>
      </c>
      <c r="M987">
        <v>3</v>
      </c>
      <c r="N987">
        <v>3</v>
      </c>
      <c r="O987">
        <v>3</v>
      </c>
      <c r="P987">
        <v>3</v>
      </c>
      <c r="Q987">
        <v>1</v>
      </c>
      <c r="V987"/>
      <c r="W987"/>
      <c r="X987"/>
    </row>
    <row r="988" spans="1:24" x14ac:dyDescent="0.3">
      <c r="A988" t="str">
        <f>Table_Capacity_Community_frontsheet[[#This Row],[Name]]&amp;B988</f>
        <v>West NorthamptonshireOther short-term social care</v>
      </c>
      <c r="B988" t="str">
        <f>VLOOKUP(Table_Capacity_Community_frontsheet[[#This Row],[Service Area]],PathwayLookup!E:F,2,0)</f>
        <v>Other short-term social care</v>
      </c>
      <c r="C988" t="s">
        <v>345</v>
      </c>
      <c r="D988" t="s">
        <v>708</v>
      </c>
      <c r="S988">
        <v>1</v>
      </c>
      <c r="V988"/>
      <c r="W988"/>
      <c r="X988"/>
    </row>
    <row r="989" spans="1:24" x14ac:dyDescent="0.3">
      <c r="A989" t="str">
        <f>Table_Capacity_Community_frontsheet[[#This Row],[Name]]&amp;B989</f>
        <v>West SussexSocial support (including VCS)</v>
      </c>
      <c r="B989" t="str">
        <f>VLOOKUP(Table_Capacity_Community_frontsheet[[#This Row],[Service Area]],PathwayLookup!E:F,2,0)</f>
        <v>Social support (including VCS)</v>
      </c>
      <c r="C989" t="s">
        <v>347</v>
      </c>
      <c r="D989" t="s">
        <v>704</v>
      </c>
      <c r="E989">
        <v>0</v>
      </c>
      <c r="F989">
        <v>0</v>
      </c>
      <c r="G989">
        <v>0</v>
      </c>
      <c r="H989">
        <v>0</v>
      </c>
      <c r="I989">
        <v>0</v>
      </c>
      <c r="J989">
        <v>0</v>
      </c>
      <c r="K989">
        <v>0</v>
      </c>
      <c r="L989">
        <v>0</v>
      </c>
      <c r="M989">
        <v>0</v>
      </c>
      <c r="N989">
        <v>0</v>
      </c>
      <c r="O989">
        <v>0</v>
      </c>
      <c r="P989">
        <v>0</v>
      </c>
      <c r="V989"/>
      <c r="W989"/>
      <c r="X989"/>
    </row>
    <row r="990" spans="1:24" x14ac:dyDescent="0.3">
      <c r="A990" t="str">
        <f>Table_Capacity_Community_frontsheet[[#This Row],[Name]]&amp;B990</f>
        <v>West SussexUrgent Community Response</v>
      </c>
      <c r="B990" t="str">
        <f>VLOOKUP(Table_Capacity_Community_frontsheet[[#This Row],[Service Area]],PathwayLookup!E:F,2,0)</f>
        <v>Urgent Community Response</v>
      </c>
      <c r="C990" t="s">
        <v>347</v>
      </c>
      <c r="D990" t="s">
        <v>705</v>
      </c>
      <c r="E990">
        <v>663</v>
      </c>
      <c r="F990">
        <v>663</v>
      </c>
      <c r="G990">
        <v>663</v>
      </c>
      <c r="H990">
        <v>663</v>
      </c>
      <c r="I990">
        <v>663</v>
      </c>
      <c r="J990">
        <v>663</v>
      </c>
      <c r="K990">
        <v>663</v>
      </c>
      <c r="L990">
        <v>663</v>
      </c>
      <c r="M990">
        <v>663</v>
      </c>
      <c r="N990">
        <v>663</v>
      </c>
      <c r="O990">
        <v>663</v>
      </c>
      <c r="P990">
        <v>663</v>
      </c>
      <c r="Q990">
        <v>1</v>
      </c>
      <c r="V990"/>
      <c r="W990"/>
      <c r="X990"/>
    </row>
    <row r="991" spans="1:24" x14ac:dyDescent="0.3">
      <c r="A991" t="str">
        <f>Table_Capacity_Community_frontsheet[[#This Row],[Name]]&amp;B991</f>
        <v>West SussexReablement &amp; Rehabilitation at home</v>
      </c>
      <c r="B991" t="str">
        <f>VLOOKUP(Table_Capacity_Community_frontsheet[[#This Row],[Service Area]],PathwayLookup!E:F,2,0)</f>
        <v>Reablement &amp; Rehabilitation at home</v>
      </c>
      <c r="C991" t="s">
        <v>347</v>
      </c>
      <c r="D991" t="s">
        <v>727</v>
      </c>
      <c r="E991">
        <v>0</v>
      </c>
      <c r="F991">
        <v>0</v>
      </c>
      <c r="G991">
        <v>0</v>
      </c>
      <c r="H991">
        <v>0</v>
      </c>
      <c r="I991">
        <v>0</v>
      </c>
      <c r="J991">
        <v>0</v>
      </c>
      <c r="K991">
        <v>0</v>
      </c>
      <c r="L991">
        <v>0</v>
      </c>
      <c r="M991">
        <v>0</v>
      </c>
      <c r="N991">
        <v>0</v>
      </c>
      <c r="O991">
        <v>0</v>
      </c>
      <c r="P991">
        <v>0</v>
      </c>
      <c r="V991"/>
      <c r="W991"/>
      <c r="X991"/>
    </row>
    <row r="992" spans="1:24" x14ac:dyDescent="0.3">
      <c r="A992" t="str">
        <f>Table_Capacity_Community_frontsheet[[#This Row],[Name]]&amp;B992</f>
        <v>West SussexReablement &amp; Rehabilitation at home</v>
      </c>
      <c r="B992" t="str">
        <f>VLOOKUP(Table_Capacity_Community_frontsheet[[#This Row],[Service Area]],PathwayLookup!E:F,2,0)</f>
        <v>Reablement &amp; Rehabilitation at home</v>
      </c>
      <c r="C992" t="s">
        <v>347</v>
      </c>
      <c r="D992" t="s">
        <v>729</v>
      </c>
      <c r="E992">
        <v>2183</v>
      </c>
      <c r="F992">
        <v>2183</v>
      </c>
      <c r="G992">
        <v>2183</v>
      </c>
      <c r="H992">
        <v>2183</v>
      </c>
      <c r="I992">
        <v>2183</v>
      </c>
      <c r="J992">
        <v>2183</v>
      </c>
      <c r="K992">
        <v>2183</v>
      </c>
      <c r="L992">
        <v>2183</v>
      </c>
      <c r="M992">
        <v>2183</v>
      </c>
      <c r="N992">
        <v>2183</v>
      </c>
      <c r="O992">
        <v>2183</v>
      </c>
      <c r="P992">
        <v>2183</v>
      </c>
      <c r="Q992">
        <v>1</v>
      </c>
      <c r="V992"/>
      <c r="W992"/>
      <c r="X992"/>
    </row>
    <row r="993" spans="1:24" x14ac:dyDescent="0.3">
      <c r="A993" t="str">
        <f>Table_Capacity_Community_frontsheet[[#This Row],[Name]]&amp;B993</f>
        <v>West SussexReablement &amp; Rehabilitation in a bedded setting</v>
      </c>
      <c r="B993" t="str">
        <f>VLOOKUP(Table_Capacity_Community_frontsheet[[#This Row],[Service Area]],PathwayLookup!E:F,2,0)</f>
        <v>Reablement &amp; Rehabilitation in a bedded setting</v>
      </c>
      <c r="C993" t="s">
        <v>347</v>
      </c>
      <c r="D993" t="s">
        <v>723</v>
      </c>
      <c r="E993">
        <v>0</v>
      </c>
      <c r="F993">
        <v>0</v>
      </c>
      <c r="G993">
        <v>0</v>
      </c>
      <c r="H993">
        <v>0</v>
      </c>
      <c r="I993">
        <v>0</v>
      </c>
      <c r="J993">
        <v>0</v>
      </c>
      <c r="K993">
        <v>0</v>
      </c>
      <c r="L993">
        <v>0</v>
      </c>
      <c r="M993">
        <v>0</v>
      </c>
      <c r="N993">
        <v>0</v>
      </c>
      <c r="O993">
        <v>0</v>
      </c>
      <c r="P993">
        <v>0</v>
      </c>
      <c r="V993"/>
      <c r="W993"/>
      <c r="X993"/>
    </row>
    <row r="994" spans="1:24" x14ac:dyDescent="0.3">
      <c r="A994" t="str">
        <f>Table_Capacity_Community_frontsheet[[#This Row],[Name]]&amp;B994</f>
        <v>West SussexReablement &amp; Rehabilitation in a bedded setting</v>
      </c>
      <c r="B994" t="str">
        <f>VLOOKUP(Table_Capacity_Community_frontsheet[[#This Row],[Service Area]],PathwayLookup!E:F,2,0)</f>
        <v>Reablement &amp; Rehabilitation in a bedded setting</v>
      </c>
      <c r="C994" t="s">
        <v>347</v>
      </c>
      <c r="D994" t="s">
        <v>725</v>
      </c>
      <c r="E994">
        <v>0</v>
      </c>
      <c r="F994">
        <v>0</v>
      </c>
      <c r="G994">
        <v>0</v>
      </c>
      <c r="H994">
        <v>0</v>
      </c>
      <c r="I994">
        <v>0</v>
      </c>
      <c r="J994">
        <v>0</v>
      </c>
      <c r="K994">
        <v>0</v>
      </c>
      <c r="L994">
        <v>0</v>
      </c>
      <c r="M994">
        <v>0</v>
      </c>
      <c r="N994">
        <v>0</v>
      </c>
      <c r="O994">
        <v>0</v>
      </c>
      <c r="P994">
        <v>0</v>
      </c>
      <c r="V994"/>
      <c r="W994"/>
      <c r="X994"/>
    </row>
    <row r="995" spans="1:24" x14ac:dyDescent="0.3">
      <c r="A995" t="str">
        <f>Table_Capacity_Community_frontsheet[[#This Row],[Name]]&amp;B995</f>
        <v>West SussexOther short-term social care</v>
      </c>
      <c r="B995" t="str">
        <f>VLOOKUP(Table_Capacity_Community_frontsheet[[#This Row],[Service Area]],PathwayLookup!E:F,2,0)</f>
        <v>Other short-term social care</v>
      </c>
      <c r="C995" t="s">
        <v>347</v>
      </c>
      <c r="D995" t="s">
        <v>708</v>
      </c>
      <c r="E995">
        <v>0</v>
      </c>
      <c r="F995">
        <v>0</v>
      </c>
      <c r="G995">
        <v>0</v>
      </c>
      <c r="H995">
        <v>0</v>
      </c>
      <c r="I995">
        <v>0</v>
      </c>
      <c r="J995">
        <v>0</v>
      </c>
      <c r="K995">
        <v>0</v>
      </c>
      <c r="L995">
        <v>0</v>
      </c>
      <c r="M995">
        <v>0</v>
      </c>
      <c r="N995">
        <v>0</v>
      </c>
      <c r="O995">
        <v>0</v>
      </c>
      <c r="P995">
        <v>0</v>
      </c>
      <c r="V995"/>
      <c r="W995"/>
      <c r="X995"/>
    </row>
    <row r="996" spans="1:24" x14ac:dyDescent="0.3">
      <c r="A996" t="str">
        <f>Table_Capacity_Community_frontsheet[[#This Row],[Name]]&amp;B996</f>
        <v>WestminsterSocial support (including VCS)</v>
      </c>
      <c r="B996" t="str">
        <f>VLOOKUP(Table_Capacity_Community_frontsheet[[#This Row],[Service Area]],PathwayLookup!E:F,2,0)</f>
        <v>Social support (including VCS)</v>
      </c>
      <c r="C996" t="s">
        <v>349</v>
      </c>
      <c r="D996" t="s">
        <v>704</v>
      </c>
      <c r="E996">
        <v>31</v>
      </c>
      <c r="F996">
        <v>31</v>
      </c>
      <c r="G996">
        <v>31</v>
      </c>
      <c r="H996">
        <v>31</v>
      </c>
      <c r="I996">
        <v>31</v>
      </c>
      <c r="J996">
        <v>31</v>
      </c>
      <c r="K996">
        <v>31</v>
      </c>
      <c r="L996">
        <v>31</v>
      </c>
      <c r="M996">
        <v>31</v>
      </c>
      <c r="N996">
        <v>31</v>
      </c>
      <c r="O996">
        <v>31</v>
      </c>
      <c r="P996">
        <v>31</v>
      </c>
      <c r="R996">
        <v>1</v>
      </c>
      <c r="V996"/>
      <c r="W996"/>
      <c r="X996"/>
    </row>
    <row r="997" spans="1:24" x14ac:dyDescent="0.3">
      <c r="A997" t="str">
        <f>Table_Capacity_Community_frontsheet[[#This Row],[Name]]&amp;B997</f>
        <v>WestminsterUrgent Community Response</v>
      </c>
      <c r="B997" t="str">
        <f>VLOOKUP(Table_Capacity_Community_frontsheet[[#This Row],[Service Area]],PathwayLookup!E:F,2,0)</f>
        <v>Urgent Community Response</v>
      </c>
      <c r="C997" t="s">
        <v>349</v>
      </c>
      <c r="D997" t="s">
        <v>705</v>
      </c>
      <c r="E997">
        <v>78</v>
      </c>
      <c r="F997">
        <v>71</v>
      </c>
      <c r="G997">
        <v>81</v>
      </c>
      <c r="H997">
        <v>94</v>
      </c>
      <c r="I997">
        <v>96</v>
      </c>
      <c r="J997">
        <v>106</v>
      </c>
      <c r="K997">
        <v>107</v>
      </c>
      <c r="L997">
        <v>94</v>
      </c>
      <c r="M997">
        <v>113</v>
      </c>
      <c r="N997">
        <v>97</v>
      </c>
      <c r="O997">
        <v>105</v>
      </c>
      <c r="P997">
        <v>119</v>
      </c>
      <c r="Q997">
        <v>1</v>
      </c>
      <c r="V997"/>
      <c r="W997"/>
      <c r="X997"/>
    </row>
    <row r="998" spans="1:24" x14ac:dyDescent="0.3">
      <c r="A998" t="str">
        <f>Table_Capacity_Community_frontsheet[[#This Row],[Name]]&amp;B998</f>
        <v>WestminsterReablement &amp; Rehabilitation at home</v>
      </c>
      <c r="B998" t="str">
        <f>VLOOKUP(Table_Capacity_Community_frontsheet[[#This Row],[Service Area]],PathwayLookup!E:F,2,0)</f>
        <v>Reablement &amp; Rehabilitation at home</v>
      </c>
      <c r="C998" t="s">
        <v>349</v>
      </c>
      <c r="D998" t="s">
        <v>727</v>
      </c>
      <c r="E998">
        <v>91</v>
      </c>
      <c r="F998">
        <v>145</v>
      </c>
      <c r="G998">
        <v>99</v>
      </c>
      <c r="H998">
        <v>61</v>
      </c>
      <c r="I998">
        <v>71</v>
      </c>
      <c r="J998">
        <v>91</v>
      </c>
      <c r="K998">
        <v>93</v>
      </c>
      <c r="L998">
        <v>111</v>
      </c>
      <c r="M998">
        <v>56</v>
      </c>
      <c r="N998">
        <v>80</v>
      </c>
      <c r="O998">
        <v>66</v>
      </c>
      <c r="P998">
        <v>76</v>
      </c>
      <c r="R998">
        <v>1</v>
      </c>
      <c r="V998"/>
      <c r="W998"/>
      <c r="X998"/>
    </row>
    <row r="999" spans="1:24" x14ac:dyDescent="0.3">
      <c r="A999" t="str">
        <f>Table_Capacity_Community_frontsheet[[#This Row],[Name]]&amp;B999</f>
        <v>WestminsterReablement &amp; Rehabilitation at home</v>
      </c>
      <c r="B999" t="str">
        <f>VLOOKUP(Table_Capacity_Community_frontsheet[[#This Row],[Service Area]],PathwayLookup!E:F,2,0)</f>
        <v>Reablement &amp; Rehabilitation at home</v>
      </c>
      <c r="C999" t="s">
        <v>349</v>
      </c>
      <c r="D999" t="s">
        <v>729</v>
      </c>
      <c r="E999">
        <v>0</v>
      </c>
      <c r="F999">
        <v>0</v>
      </c>
      <c r="G999">
        <v>0</v>
      </c>
      <c r="H999">
        <v>0</v>
      </c>
      <c r="I999">
        <v>0</v>
      </c>
      <c r="J999">
        <v>0</v>
      </c>
      <c r="K999">
        <v>0</v>
      </c>
      <c r="L999">
        <v>0</v>
      </c>
      <c r="M999">
        <v>0</v>
      </c>
      <c r="N999">
        <v>0</v>
      </c>
      <c r="O999">
        <v>0</v>
      </c>
      <c r="P999">
        <v>0</v>
      </c>
      <c r="V999"/>
      <c r="W999"/>
      <c r="X999"/>
    </row>
    <row r="1000" spans="1:24" x14ac:dyDescent="0.3">
      <c r="A1000" t="str">
        <f>Table_Capacity_Community_frontsheet[[#This Row],[Name]]&amp;B1000</f>
        <v>WestminsterReablement &amp; Rehabilitation in a bedded setting</v>
      </c>
      <c r="B1000" t="str">
        <f>VLOOKUP(Table_Capacity_Community_frontsheet[[#This Row],[Service Area]],PathwayLookup!E:F,2,0)</f>
        <v>Reablement &amp; Rehabilitation in a bedded setting</v>
      </c>
      <c r="C1000" t="s">
        <v>349</v>
      </c>
      <c r="D1000" t="s">
        <v>723</v>
      </c>
      <c r="E1000">
        <v>0</v>
      </c>
      <c r="F1000">
        <v>0</v>
      </c>
      <c r="G1000">
        <v>0</v>
      </c>
      <c r="H1000">
        <v>0</v>
      </c>
      <c r="I1000">
        <v>0</v>
      </c>
      <c r="J1000">
        <v>0</v>
      </c>
      <c r="K1000">
        <v>0</v>
      </c>
      <c r="L1000">
        <v>0</v>
      </c>
      <c r="M1000">
        <v>0</v>
      </c>
      <c r="N1000">
        <v>0</v>
      </c>
      <c r="O1000">
        <v>0</v>
      </c>
      <c r="P1000">
        <v>0</v>
      </c>
      <c r="R1000">
        <v>1</v>
      </c>
      <c r="V1000"/>
      <c r="W1000"/>
      <c r="X1000"/>
    </row>
    <row r="1001" spans="1:24" x14ac:dyDescent="0.3">
      <c r="A1001" t="str">
        <f>Table_Capacity_Community_frontsheet[[#This Row],[Name]]&amp;B1001</f>
        <v>WestminsterReablement &amp; Rehabilitation in a bedded setting</v>
      </c>
      <c r="B1001" t="str">
        <f>VLOOKUP(Table_Capacity_Community_frontsheet[[#This Row],[Service Area]],PathwayLookup!E:F,2,0)</f>
        <v>Reablement &amp; Rehabilitation in a bedded setting</v>
      </c>
      <c r="C1001" t="s">
        <v>349</v>
      </c>
      <c r="D1001" t="s">
        <v>725</v>
      </c>
      <c r="E1001">
        <v>330</v>
      </c>
      <c r="F1001">
        <v>341</v>
      </c>
      <c r="G1001">
        <v>330</v>
      </c>
      <c r="H1001">
        <v>341</v>
      </c>
      <c r="I1001">
        <v>341</v>
      </c>
      <c r="J1001">
        <v>330</v>
      </c>
      <c r="K1001">
        <v>341</v>
      </c>
      <c r="L1001">
        <v>330</v>
      </c>
      <c r="M1001">
        <v>341</v>
      </c>
      <c r="N1001">
        <v>341</v>
      </c>
      <c r="O1001">
        <v>308</v>
      </c>
      <c r="P1001">
        <v>341</v>
      </c>
      <c r="Q1001">
        <v>1</v>
      </c>
      <c r="V1001"/>
      <c r="W1001"/>
      <c r="X1001"/>
    </row>
    <row r="1002" spans="1:24" x14ac:dyDescent="0.3">
      <c r="A1002" t="str">
        <f>Table_Capacity_Community_frontsheet[[#This Row],[Name]]&amp;B1002</f>
        <v>WestminsterOther short-term social care</v>
      </c>
      <c r="B1002" t="str">
        <f>VLOOKUP(Table_Capacity_Community_frontsheet[[#This Row],[Service Area]],PathwayLookup!E:F,2,0)</f>
        <v>Other short-term social care</v>
      </c>
      <c r="C1002" t="s">
        <v>349</v>
      </c>
      <c r="D1002" t="s">
        <v>708</v>
      </c>
      <c r="E1002">
        <v>0</v>
      </c>
      <c r="F1002">
        <v>0</v>
      </c>
      <c r="G1002">
        <v>0</v>
      </c>
      <c r="H1002">
        <v>0</v>
      </c>
      <c r="I1002">
        <v>0</v>
      </c>
      <c r="J1002">
        <v>0</v>
      </c>
      <c r="K1002">
        <v>0</v>
      </c>
      <c r="L1002">
        <v>0</v>
      </c>
      <c r="M1002">
        <v>0</v>
      </c>
      <c r="N1002">
        <v>0</v>
      </c>
      <c r="O1002">
        <v>0</v>
      </c>
      <c r="P1002">
        <v>0</v>
      </c>
      <c r="V1002"/>
      <c r="W1002"/>
      <c r="X1002"/>
    </row>
    <row r="1003" spans="1:24" x14ac:dyDescent="0.3">
      <c r="A1003" t="str">
        <f>Table_Capacity_Community_frontsheet[[#This Row],[Name]]&amp;B1003</f>
        <v>Westmorland and FurnessSocial support (including VCS)</v>
      </c>
      <c r="B1003" t="str">
        <f>VLOOKUP(Table_Capacity_Community_frontsheet[[#This Row],[Service Area]],PathwayLookup!E:F,2,0)</f>
        <v>Social support (including VCS)</v>
      </c>
      <c r="C1003" t="s">
        <v>351</v>
      </c>
      <c r="D1003" t="s">
        <v>704</v>
      </c>
      <c r="V1003"/>
      <c r="W1003"/>
      <c r="X1003"/>
    </row>
    <row r="1004" spans="1:24" x14ac:dyDescent="0.3">
      <c r="A1004" t="str">
        <f>Table_Capacity_Community_frontsheet[[#This Row],[Name]]&amp;B1004</f>
        <v>Westmorland and FurnessUrgent Community Response</v>
      </c>
      <c r="B1004" t="str">
        <f>VLOOKUP(Table_Capacity_Community_frontsheet[[#This Row],[Service Area]],PathwayLookup!E:F,2,0)</f>
        <v>Urgent Community Response</v>
      </c>
      <c r="C1004" t="s">
        <v>351</v>
      </c>
      <c r="D1004" t="s">
        <v>705</v>
      </c>
      <c r="E1004">
        <v>200</v>
      </c>
      <c r="F1004">
        <v>200</v>
      </c>
      <c r="G1004">
        <v>200</v>
      </c>
      <c r="H1004">
        <v>200</v>
      </c>
      <c r="I1004">
        <v>200</v>
      </c>
      <c r="J1004">
        <v>200</v>
      </c>
      <c r="K1004">
        <v>240</v>
      </c>
      <c r="L1004">
        <v>240</v>
      </c>
      <c r="M1004">
        <v>240</v>
      </c>
      <c r="N1004">
        <v>240</v>
      </c>
      <c r="O1004">
        <v>240</v>
      </c>
      <c r="P1004">
        <v>240</v>
      </c>
      <c r="Q1004">
        <v>1</v>
      </c>
      <c r="V1004"/>
      <c r="W1004"/>
      <c r="X1004"/>
    </row>
    <row r="1005" spans="1:24" x14ac:dyDescent="0.3">
      <c r="A1005" t="str">
        <f>Table_Capacity_Community_frontsheet[[#This Row],[Name]]&amp;B1005</f>
        <v>Westmorland and FurnessReablement &amp; Rehabilitation at home</v>
      </c>
      <c r="B1005" t="str">
        <f>VLOOKUP(Table_Capacity_Community_frontsheet[[#This Row],[Service Area]],PathwayLookup!E:F,2,0)</f>
        <v>Reablement &amp; Rehabilitation at home</v>
      </c>
      <c r="C1005" t="s">
        <v>351</v>
      </c>
      <c r="D1005" t="s">
        <v>727</v>
      </c>
      <c r="E1005">
        <v>80</v>
      </c>
      <c r="F1005">
        <v>80</v>
      </c>
      <c r="G1005">
        <v>80</v>
      </c>
      <c r="H1005">
        <v>80</v>
      </c>
      <c r="I1005">
        <v>90</v>
      </c>
      <c r="J1005">
        <v>90</v>
      </c>
      <c r="K1005">
        <v>90</v>
      </c>
      <c r="L1005">
        <v>90</v>
      </c>
      <c r="M1005">
        <v>90</v>
      </c>
      <c r="N1005">
        <v>100</v>
      </c>
      <c r="O1005">
        <v>100</v>
      </c>
      <c r="P1005">
        <v>100</v>
      </c>
      <c r="R1005">
        <v>1</v>
      </c>
      <c r="V1005"/>
      <c r="W1005"/>
      <c r="X1005"/>
    </row>
    <row r="1006" spans="1:24" x14ac:dyDescent="0.3">
      <c r="A1006" t="str">
        <f>Table_Capacity_Community_frontsheet[[#This Row],[Name]]&amp;B1006</f>
        <v>Westmorland and FurnessReablement &amp; Rehabilitation at home</v>
      </c>
      <c r="B1006" t="str">
        <f>VLOOKUP(Table_Capacity_Community_frontsheet[[#This Row],[Service Area]],PathwayLookup!E:F,2,0)</f>
        <v>Reablement &amp; Rehabilitation at home</v>
      </c>
      <c r="C1006" t="s">
        <v>351</v>
      </c>
      <c r="D1006" t="s">
        <v>729</v>
      </c>
      <c r="E1006">
        <v>240</v>
      </c>
      <c r="F1006">
        <v>240</v>
      </c>
      <c r="G1006">
        <v>240</v>
      </c>
      <c r="H1006">
        <v>240</v>
      </c>
      <c r="I1006">
        <v>240</v>
      </c>
      <c r="J1006">
        <v>240</v>
      </c>
      <c r="K1006">
        <v>240</v>
      </c>
      <c r="L1006">
        <v>240</v>
      </c>
      <c r="M1006">
        <v>240</v>
      </c>
      <c r="N1006">
        <v>240</v>
      </c>
      <c r="O1006">
        <v>240</v>
      </c>
      <c r="P1006">
        <v>240</v>
      </c>
      <c r="Q1006">
        <v>1</v>
      </c>
      <c r="V1006"/>
      <c r="W1006"/>
      <c r="X1006"/>
    </row>
    <row r="1007" spans="1:24" x14ac:dyDescent="0.3">
      <c r="A1007" t="str">
        <f>Table_Capacity_Community_frontsheet[[#This Row],[Name]]&amp;B1007</f>
        <v>Westmorland and FurnessReablement &amp; Rehabilitation in a bedded setting</v>
      </c>
      <c r="B1007" t="str">
        <f>VLOOKUP(Table_Capacity_Community_frontsheet[[#This Row],[Service Area]],PathwayLookup!E:F,2,0)</f>
        <v>Reablement &amp; Rehabilitation in a bedded setting</v>
      </c>
      <c r="C1007" t="s">
        <v>351</v>
      </c>
      <c r="D1007" t="s">
        <v>723</v>
      </c>
      <c r="V1007"/>
      <c r="W1007"/>
      <c r="X1007"/>
    </row>
    <row r="1008" spans="1:24" x14ac:dyDescent="0.3">
      <c r="A1008" t="str">
        <f>Table_Capacity_Community_frontsheet[[#This Row],[Name]]&amp;B1008</f>
        <v>Westmorland and FurnessReablement &amp; Rehabilitation in a bedded setting</v>
      </c>
      <c r="B1008" t="str">
        <f>VLOOKUP(Table_Capacity_Community_frontsheet[[#This Row],[Service Area]],PathwayLookup!E:F,2,0)</f>
        <v>Reablement &amp; Rehabilitation in a bedded setting</v>
      </c>
      <c r="C1008" t="s">
        <v>351</v>
      </c>
      <c r="D1008" t="s">
        <v>725</v>
      </c>
      <c r="E1008">
        <v>15</v>
      </c>
      <c r="F1008">
        <v>15</v>
      </c>
      <c r="G1008">
        <v>15</v>
      </c>
      <c r="H1008">
        <v>15</v>
      </c>
      <c r="I1008">
        <v>15</v>
      </c>
      <c r="J1008">
        <v>15</v>
      </c>
      <c r="K1008">
        <v>23</v>
      </c>
      <c r="L1008">
        <v>23</v>
      </c>
      <c r="M1008">
        <v>23</v>
      </c>
      <c r="N1008">
        <v>23</v>
      </c>
      <c r="O1008">
        <v>23</v>
      </c>
      <c r="P1008">
        <v>23</v>
      </c>
      <c r="Q1008">
        <v>1</v>
      </c>
      <c r="V1008"/>
      <c r="W1008"/>
      <c r="X1008"/>
    </row>
    <row r="1009" spans="1:24" x14ac:dyDescent="0.3">
      <c r="A1009" t="str">
        <f>Table_Capacity_Community_frontsheet[[#This Row],[Name]]&amp;B1009</f>
        <v>Westmorland and FurnessOther short-term social care</v>
      </c>
      <c r="B1009" t="str">
        <f>VLOOKUP(Table_Capacity_Community_frontsheet[[#This Row],[Service Area]],PathwayLookup!E:F,2,0)</f>
        <v>Other short-term social care</v>
      </c>
      <c r="C1009" t="s">
        <v>351</v>
      </c>
      <c r="D1009" t="s">
        <v>708</v>
      </c>
      <c r="E1009">
        <v>40</v>
      </c>
      <c r="F1009">
        <v>40</v>
      </c>
      <c r="G1009">
        <v>40</v>
      </c>
      <c r="H1009">
        <v>40</v>
      </c>
      <c r="I1009">
        <v>40</v>
      </c>
      <c r="J1009">
        <v>40</v>
      </c>
      <c r="K1009">
        <v>40</v>
      </c>
      <c r="L1009">
        <v>40</v>
      </c>
      <c r="M1009">
        <v>40</v>
      </c>
      <c r="N1009">
        <v>40</v>
      </c>
      <c r="O1009">
        <v>40</v>
      </c>
      <c r="P1009">
        <v>40</v>
      </c>
      <c r="Q1009">
        <v>0.8</v>
      </c>
      <c r="R1009">
        <v>0.2</v>
      </c>
      <c r="V1009"/>
      <c r="W1009"/>
      <c r="X1009"/>
    </row>
    <row r="1010" spans="1:24" x14ac:dyDescent="0.3">
      <c r="A1010" t="str">
        <f>Table_Capacity_Community_frontsheet[[#This Row],[Name]]&amp;B1010</f>
        <v>WiganSocial support (including VCS)</v>
      </c>
      <c r="B1010" t="str">
        <f>VLOOKUP(Table_Capacity_Community_frontsheet[[#This Row],[Service Area]],PathwayLookup!E:F,2,0)</f>
        <v>Social support (including VCS)</v>
      </c>
      <c r="C1010" t="s">
        <v>353</v>
      </c>
      <c r="D1010" t="s">
        <v>704</v>
      </c>
      <c r="E1010">
        <v>11</v>
      </c>
      <c r="F1010">
        <v>11</v>
      </c>
      <c r="G1010">
        <v>11</v>
      </c>
      <c r="H1010">
        <v>11</v>
      </c>
      <c r="I1010">
        <v>11</v>
      </c>
      <c r="J1010">
        <v>11</v>
      </c>
      <c r="K1010">
        <v>11</v>
      </c>
      <c r="L1010">
        <v>11</v>
      </c>
      <c r="M1010">
        <v>11</v>
      </c>
      <c r="N1010">
        <v>11</v>
      </c>
      <c r="O1010">
        <v>11</v>
      </c>
      <c r="P1010">
        <v>11</v>
      </c>
      <c r="S1010">
        <v>1</v>
      </c>
    </row>
    <row r="1011" spans="1:24" x14ac:dyDescent="0.3">
      <c r="A1011" t="str">
        <f>Table_Capacity_Community_frontsheet[[#This Row],[Name]]&amp;B1011</f>
        <v>WiganUrgent Community Response</v>
      </c>
      <c r="B1011" t="str">
        <f>VLOOKUP(Table_Capacity_Community_frontsheet[[#This Row],[Service Area]],PathwayLookup!E:F,2,0)</f>
        <v>Urgent Community Response</v>
      </c>
      <c r="C1011" t="s">
        <v>353</v>
      </c>
      <c r="D1011" t="s">
        <v>705</v>
      </c>
      <c r="E1011">
        <v>30</v>
      </c>
      <c r="F1011">
        <v>30</v>
      </c>
      <c r="G1011">
        <v>30</v>
      </c>
      <c r="H1011">
        <v>30</v>
      </c>
      <c r="I1011">
        <v>30</v>
      </c>
      <c r="J1011">
        <v>30</v>
      </c>
      <c r="K1011">
        <v>30</v>
      </c>
      <c r="L1011">
        <v>30</v>
      </c>
      <c r="M1011">
        <v>30</v>
      </c>
      <c r="N1011">
        <v>30</v>
      </c>
      <c r="O1011">
        <v>30</v>
      </c>
      <c r="P1011">
        <v>30</v>
      </c>
      <c r="R1011">
        <v>1</v>
      </c>
    </row>
    <row r="1012" spans="1:24" x14ac:dyDescent="0.3">
      <c r="A1012" t="str">
        <f>Table_Capacity_Community_frontsheet[[#This Row],[Name]]&amp;B1012</f>
        <v>WiganReablement &amp; Rehabilitation at home</v>
      </c>
      <c r="B1012" t="str">
        <f>VLOOKUP(Table_Capacity_Community_frontsheet[[#This Row],[Service Area]],PathwayLookup!E:F,2,0)</f>
        <v>Reablement &amp; Rehabilitation at home</v>
      </c>
      <c r="C1012" t="s">
        <v>353</v>
      </c>
      <c r="D1012" t="s">
        <v>727</v>
      </c>
      <c r="E1012">
        <v>58</v>
      </c>
      <c r="F1012">
        <v>58</v>
      </c>
      <c r="G1012">
        <v>58</v>
      </c>
      <c r="H1012">
        <v>58</v>
      </c>
      <c r="I1012">
        <v>58</v>
      </c>
      <c r="J1012">
        <v>58</v>
      </c>
      <c r="K1012">
        <v>58</v>
      </c>
      <c r="L1012">
        <v>58</v>
      </c>
      <c r="M1012">
        <v>58</v>
      </c>
      <c r="N1012">
        <v>58</v>
      </c>
      <c r="O1012">
        <v>58</v>
      </c>
      <c r="P1012">
        <v>58</v>
      </c>
      <c r="Q1012">
        <v>1</v>
      </c>
    </row>
    <row r="1013" spans="1:24" x14ac:dyDescent="0.3">
      <c r="A1013" t="str">
        <f>Table_Capacity_Community_frontsheet[[#This Row],[Name]]&amp;B1013</f>
        <v>WiganReablement &amp; Rehabilitation at home</v>
      </c>
      <c r="B1013" t="str">
        <f>VLOOKUP(Table_Capacity_Community_frontsheet[[#This Row],[Service Area]],PathwayLookup!E:F,2,0)</f>
        <v>Reablement &amp; Rehabilitation at home</v>
      </c>
      <c r="C1013" t="s">
        <v>353</v>
      </c>
      <c r="D1013" t="s">
        <v>729</v>
      </c>
      <c r="R1013">
        <v>1</v>
      </c>
    </row>
    <row r="1014" spans="1:24" x14ac:dyDescent="0.3">
      <c r="A1014" t="str">
        <f>Table_Capacity_Community_frontsheet[[#This Row],[Name]]&amp;B1014</f>
        <v>WiganReablement &amp; Rehabilitation in a bedded setting</v>
      </c>
      <c r="B1014" t="str">
        <f>VLOOKUP(Table_Capacity_Community_frontsheet[[#This Row],[Service Area]],PathwayLookup!E:F,2,0)</f>
        <v>Reablement &amp; Rehabilitation in a bedded setting</v>
      </c>
      <c r="C1014" t="s">
        <v>353</v>
      </c>
      <c r="D1014" t="s">
        <v>723</v>
      </c>
      <c r="E1014">
        <v>4</v>
      </c>
      <c r="F1014">
        <v>4</v>
      </c>
      <c r="G1014">
        <v>4</v>
      </c>
      <c r="H1014">
        <v>4</v>
      </c>
      <c r="I1014">
        <v>4</v>
      </c>
      <c r="J1014">
        <v>4</v>
      </c>
      <c r="K1014">
        <v>4</v>
      </c>
      <c r="L1014">
        <v>4</v>
      </c>
      <c r="M1014">
        <v>4</v>
      </c>
      <c r="N1014">
        <v>4</v>
      </c>
      <c r="O1014">
        <v>4</v>
      </c>
      <c r="P1014">
        <v>4</v>
      </c>
      <c r="Q1014">
        <v>0.77</v>
      </c>
      <c r="R1014">
        <v>0.23</v>
      </c>
    </row>
    <row r="1015" spans="1:24" x14ac:dyDescent="0.3">
      <c r="A1015" t="str">
        <f>Table_Capacity_Community_frontsheet[[#This Row],[Name]]&amp;B1015</f>
        <v>WiganReablement &amp; Rehabilitation in a bedded setting</v>
      </c>
      <c r="B1015" t="str">
        <f>VLOOKUP(Table_Capacity_Community_frontsheet[[#This Row],[Service Area]],PathwayLookup!E:F,2,0)</f>
        <v>Reablement &amp; Rehabilitation in a bedded setting</v>
      </c>
      <c r="C1015" t="s">
        <v>353</v>
      </c>
      <c r="D1015" t="s">
        <v>725</v>
      </c>
      <c r="S1015">
        <v>1</v>
      </c>
    </row>
    <row r="1016" spans="1:24" x14ac:dyDescent="0.3">
      <c r="A1016" t="str">
        <f>Table_Capacity_Community_frontsheet[[#This Row],[Name]]&amp;B1016</f>
        <v>WiganOther short-term social care</v>
      </c>
      <c r="B1016" t="str">
        <f>VLOOKUP(Table_Capacity_Community_frontsheet[[#This Row],[Service Area]],PathwayLookup!E:F,2,0)</f>
        <v>Other short-term social care</v>
      </c>
      <c r="C1016" t="s">
        <v>353</v>
      </c>
      <c r="D1016" t="s">
        <v>708</v>
      </c>
      <c r="S1016">
        <v>1</v>
      </c>
    </row>
    <row r="1017" spans="1:24" x14ac:dyDescent="0.3">
      <c r="A1017" t="str">
        <f>Table_Capacity_Community_frontsheet[[#This Row],[Name]]&amp;B1017</f>
        <v>WiltshireSocial support (including VCS)</v>
      </c>
      <c r="B1017" t="str">
        <f>VLOOKUP(Table_Capacity_Community_frontsheet[[#This Row],[Service Area]],PathwayLookup!E:F,2,0)</f>
        <v>Social support (including VCS)</v>
      </c>
      <c r="C1017" t="s">
        <v>355</v>
      </c>
      <c r="D1017" t="s">
        <v>704</v>
      </c>
      <c r="E1017">
        <v>20787</v>
      </c>
      <c r="F1017">
        <v>25883</v>
      </c>
      <c r="G1017">
        <v>25775</v>
      </c>
      <c r="H1017">
        <v>20594</v>
      </c>
      <c r="I1017">
        <v>20534</v>
      </c>
      <c r="J1017">
        <v>25775</v>
      </c>
      <c r="K1017">
        <v>25775</v>
      </c>
      <c r="L1017">
        <v>25775</v>
      </c>
      <c r="M1017">
        <v>25775</v>
      </c>
      <c r="N1017">
        <v>25775</v>
      </c>
      <c r="O1017">
        <v>25775</v>
      </c>
      <c r="P1017">
        <v>25775</v>
      </c>
      <c r="Q1017">
        <v>0.3</v>
      </c>
      <c r="R1017">
        <v>0.7</v>
      </c>
    </row>
    <row r="1018" spans="1:24" x14ac:dyDescent="0.3">
      <c r="A1018" t="str">
        <f>Table_Capacity_Community_frontsheet[[#This Row],[Name]]&amp;B1018</f>
        <v>WiltshireUrgent Community Response</v>
      </c>
      <c r="B1018" t="str">
        <f>VLOOKUP(Table_Capacity_Community_frontsheet[[#This Row],[Service Area]],PathwayLookup!E:F,2,0)</f>
        <v>Urgent Community Response</v>
      </c>
      <c r="C1018" t="s">
        <v>355</v>
      </c>
      <c r="D1018" t="s">
        <v>705</v>
      </c>
      <c r="E1018">
        <v>900</v>
      </c>
      <c r="F1018">
        <v>900</v>
      </c>
      <c r="G1018">
        <v>900</v>
      </c>
      <c r="H1018">
        <v>900</v>
      </c>
      <c r="I1018">
        <v>900</v>
      </c>
      <c r="J1018">
        <v>900</v>
      </c>
      <c r="K1018">
        <v>900</v>
      </c>
      <c r="L1018">
        <v>900</v>
      </c>
      <c r="M1018">
        <v>900</v>
      </c>
      <c r="N1018">
        <v>900</v>
      </c>
      <c r="O1018">
        <v>900</v>
      </c>
      <c r="P1018">
        <v>900</v>
      </c>
      <c r="S1018">
        <v>1</v>
      </c>
    </row>
    <row r="1019" spans="1:24" x14ac:dyDescent="0.3">
      <c r="A1019" t="str">
        <f>Table_Capacity_Community_frontsheet[[#This Row],[Name]]&amp;B1019</f>
        <v>WiltshireReablement &amp; Rehabilitation at home</v>
      </c>
      <c r="B1019" t="str">
        <f>VLOOKUP(Table_Capacity_Community_frontsheet[[#This Row],[Service Area]],PathwayLookup!E:F,2,0)</f>
        <v>Reablement &amp; Rehabilitation at home</v>
      </c>
      <c r="C1019" t="s">
        <v>355</v>
      </c>
      <c r="D1019" t="s">
        <v>727</v>
      </c>
      <c r="E1019">
        <v>228</v>
      </c>
      <c r="F1019">
        <v>228</v>
      </c>
      <c r="G1019">
        <v>228</v>
      </c>
      <c r="H1019">
        <v>228</v>
      </c>
      <c r="I1019">
        <v>228</v>
      </c>
      <c r="J1019">
        <v>228</v>
      </c>
      <c r="K1019">
        <v>228</v>
      </c>
      <c r="L1019">
        <v>228</v>
      </c>
      <c r="M1019">
        <v>228</v>
      </c>
      <c r="N1019">
        <v>228</v>
      </c>
      <c r="O1019">
        <v>228</v>
      </c>
      <c r="P1019">
        <v>228</v>
      </c>
      <c r="R1019">
        <v>1</v>
      </c>
    </row>
    <row r="1020" spans="1:24" x14ac:dyDescent="0.3">
      <c r="A1020" t="str">
        <f>Table_Capacity_Community_frontsheet[[#This Row],[Name]]&amp;B1020</f>
        <v>WiltshireReablement &amp; Rehabilitation at home</v>
      </c>
      <c r="B1020" t="str">
        <f>VLOOKUP(Table_Capacity_Community_frontsheet[[#This Row],[Service Area]],PathwayLookup!E:F,2,0)</f>
        <v>Reablement &amp; Rehabilitation at home</v>
      </c>
      <c r="C1020" t="s">
        <v>355</v>
      </c>
      <c r="D1020" t="s">
        <v>729</v>
      </c>
    </row>
    <row r="1021" spans="1:24" x14ac:dyDescent="0.3">
      <c r="A1021" t="str">
        <f>Table_Capacity_Community_frontsheet[[#This Row],[Name]]&amp;B1021</f>
        <v>WiltshireReablement &amp; Rehabilitation in a bedded setting</v>
      </c>
      <c r="B1021" t="str">
        <f>VLOOKUP(Table_Capacity_Community_frontsheet[[#This Row],[Service Area]],PathwayLookup!E:F,2,0)</f>
        <v>Reablement &amp; Rehabilitation in a bedded setting</v>
      </c>
      <c r="C1021" t="s">
        <v>355</v>
      </c>
      <c r="D1021" t="s">
        <v>723</v>
      </c>
    </row>
    <row r="1022" spans="1:24" x14ac:dyDescent="0.3">
      <c r="A1022" t="str">
        <f>Table_Capacity_Community_frontsheet[[#This Row],[Name]]&amp;B1022</f>
        <v>WiltshireReablement &amp; Rehabilitation in a bedded setting</v>
      </c>
      <c r="B1022" t="str">
        <f>VLOOKUP(Table_Capacity_Community_frontsheet[[#This Row],[Service Area]],PathwayLookup!E:F,2,0)</f>
        <v>Reablement &amp; Rehabilitation in a bedded setting</v>
      </c>
      <c r="C1022" t="s">
        <v>355</v>
      </c>
      <c r="D1022" t="s">
        <v>725</v>
      </c>
      <c r="E1022">
        <v>10</v>
      </c>
      <c r="F1022">
        <v>10</v>
      </c>
      <c r="G1022">
        <v>10</v>
      </c>
      <c r="H1022">
        <v>10</v>
      </c>
      <c r="I1022">
        <v>10</v>
      </c>
      <c r="J1022">
        <v>10</v>
      </c>
      <c r="K1022">
        <v>10</v>
      </c>
      <c r="L1022">
        <v>10</v>
      </c>
      <c r="M1022">
        <v>10</v>
      </c>
      <c r="N1022">
        <v>10</v>
      </c>
      <c r="O1022">
        <v>10</v>
      </c>
      <c r="P1022">
        <v>10</v>
      </c>
      <c r="S1022">
        <v>1</v>
      </c>
    </row>
    <row r="1023" spans="1:24" x14ac:dyDescent="0.3">
      <c r="A1023" t="str">
        <f>Table_Capacity_Community_frontsheet[[#This Row],[Name]]&amp;B1023</f>
        <v>WiltshireOther short-term social care</v>
      </c>
      <c r="B1023" t="str">
        <f>VLOOKUP(Table_Capacity_Community_frontsheet[[#This Row],[Service Area]],PathwayLookup!E:F,2,0)</f>
        <v>Other short-term social care</v>
      </c>
      <c r="C1023" t="s">
        <v>355</v>
      </c>
      <c r="D1023" t="s">
        <v>708</v>
      </c>
      <c r="E1023">
        <v>50</v>
      </c>
      <c r="F1023">
        <v>50</v>
      </c>
      <c r="G1023">
        <v>50</v>
      </c>
      <c r="H1023">
        <v>50</v>
      </c>
      <c r="I1023">
        <v>50</v>
      </c>
      <c r="J1023">
        <v>50</v>
      </c>
      <c r="K1023">
        <v>50</v>
      </c>
      <c r="L1023">
        <v>50</v>
      </c>
      <c r="M1023">
        <v>50</v>
      </c>
      <c r="N1023">
        <v>50</v>
      </c>
      <c r="O1023">
        <v>50</v>
      </c>
      <c r="P1023">
        <v>50</v>
      </c>
      <c r="R1023">
        <v>1</v>
      </c>
    </row>
    <row r="1024" spans="1:24" x14ac:dyDescent="0.3">
      <c r="A1024" t="str">
        <f>Table_Capacity_Community_frontsheet[[#This Row],[Name]]&amp;B1024</f>
        <v>Windsor and MaidenheadSocial support (including VCS)</v>
      </c>
      <c r="B1024" t="str">
        <f>VLOOKUP(Table_Capacity_Community_frontsheet[[#This Row],[Service Area]],PathwayLookup!E:F,2,0)</f>
        <v>Social support (including VCS)</v>
      </c>
      <c r="C1024" t="s">
        <v>357</v>
      </c>
      <c r="D1024" t="s">
        <v>704</v>
      </c>
      <c r="E1024">
        <v>97</v>
      </c>
      <c r="F1024">
        <v>97</v>
      </c>
      <c r="G1024">
        <v>97</v>
      </c>
      <c r="H1024">
        <v>97</v>
      </c>
      <c r="I1024">
        <v>97</v>
      </c>
      <c r="J1024">
        <v>97</v>
      </c>
      <c r="K1024">
        <v>97</v>
      </c>
      <c r="L1024">
        <v>97</v>
      </c>
      <c r="M1024">
        <v>97</v>
      </c>
      <c r="N1024">
        <v>97</v>
      </c>
      <c r="O1024">
        <v>97</v>
      </c>
      <c r="P1024">
        <v>97</v>
      </c>
      <c r="Q1024">
        <v>0</v>
      </c>
      <c r="R1024">
        <v>0.5</v>
      </c>
      <c r="S1024">
        <v>0.5</v>
      </c>
    </row>
    <row r="1025" spans="1:19" x14ac:dyDescent="0.3">
      <c r="A1025" t="str">
        <f>Table_Capacity_Community_frontsheet[[#This Row],[Name]]&amp;B1025</f>
        <v>Windsor and MaidenheadUrgent Community Response</v>
      </c>
      <c r="B1025" t="str">
        <f>VLOOKUP(Table_Capacity_Community_frontsheet[[#This Row],[Service Area]],PathwayLookup!E:F,2,0)</f>
        <v>Urgent Community Response</v>
      </c>
      <c r="C1025" t="s">
        <v>357</v>
      </c>
      <c r="D1025" t="s">
        <v>705</v>
      </c>
      <c r="E1025">
        <v>87</v>
      </c>
      <c r="F1025">
        <v>87</v>
      </c>
      <c r="G1025">
        <v>87</v>
      </c>
      <c r="H1025">
        <v>87</v>
      </c>
      <c r="I1025">
        <v>87</v>
      </c>
      <c r="J1025">
        <v>87</v>
      </c>
      <c r="K1025">
        <v>87</v>
      </c>
      <c r="L1025">
        <v>87</v>
      </c>
      <c r="M1025">
        <v>87</v>
      </c>
      <c r="N1025">
        <v>87</v>
      </c>
      <c r="O1025">
        <v>87</v>
      </c>
      <c r="P1025">
        <v>87</v>
      </c>
      <c r="Q1025">
        <v>1</v>
      </c>
      <c r="R1025">
        <v>0</v>
      </c>
      <c r="S1025">
        <v>0</v>
      </c>
    </row>
    <row r="1026" spans="1:19" x14ac:dyDescent="0.3">
      <c r="A1026" t="str">
        <f>Table_Capacity_Community_frontsheet[[#This Row],[Name]]&amp;B1026</f>
        <v>Windsor and MaidenheadReablement &amp; Rehabilitation at home</v>
      </c>
      <c r="B1026" t="str">
        <f>VLOOKUP(Table_Capacity_Community_frontsheet[[#This Row],[Service Area]],PathwayLookup!E:F,2,0)</f>
        <v>Reablement &amp; Rehabilitation at home</v>
      </c>
      <c r="C1026" t="s">
        <v>357</v>
      </c>
      <c r="D1026" t="s">
        <v>727</v>
      </c>
      <c r="E1026">
        <v>57</v>
      </c>
      <c r="F1026">
        <v>57</v>
      </c>
      <c r="G1026">
        <v>57</v>
      </c>
      <c r="H1026">
        <v>57</v>
      </c>
      <c r="I1026">
        <v>57</v>
      </c>
      <c r="J1026">
        <v>57</v>
      </c>
      <c r="K1026">
        <v>57</v>
      </c>
      <c r="L1026">
        <v>57</v>
      </c>
      <c r="M1026">
        <v>57</v>
      </c>
      <c r="N1026">
        <v>57</v>
      </c>
      <c r="O1026">
        <v>57</v>
      </c>
      <c r="P1026">
        <v>57</v>
      </c>
      <c r="Q1026">
        <v>0</v>
      </c>
      <c r="R1026">
        <v>0.9</v>
      </c>
      <c r="S1026">
        <v>0.1</v>
      </c>
    </row>
    <row r="1027" spans="1:19" x14ac:dyDescent="0.3">
      <c r="A1027" t="str">
        <f>Table_Capacity_Community_frontsheet[[#This Row],[Name]]&amp;B1027</f>
        <v>Windsor and MaidenheadReablement &amp; Rehabilitation at home</v>
      </c>
      <c r="B1027" t="str">
        <f>VLOOKUP(Table_Capacity_Community_frontsheet[[#This Row],[Service Area]],PathwayLookup!E:F,2,0)</f>
        <v>Reablement &amp; Rehabilitation at home</v>
      </c>
      <c r="C1027" t="s">
        <v>357</v>
      </c>
      <c r="D1027" t="s">
        <v>729</v>
      </c>
    </row>
    <row r="1028" spans="1:19" x14ac:dyDescent="0.3">
      <c r="A1028" t="str">
        <f>Table_Capacity_Community_frontsheet[[#This Row],[Name]]&amp;B1028</f>
        <v>Windsor and MaidenheadReablement &amp; Rehabilitation in a bedded setting</v>
      </c>
      <c r="B1028" t="str">
        <f>VLOOKUP(Table_Capacity_Community_frontsheet[[#This Row],[Service Area]],PathwayLookup!E:F,2,0)</f>
        <v>Reablement &amp; Rehabilitation in a bedded setting</v>
      </c>
      <c r="C1028" t="s">
        <v>357</v>
      </c>
      <c r="D1028" t="s">
        <v>723</v>
      </c>
      <c r="E1028">
        <v>2</v>
      </c>
      <c r="F1028">
        <v>2</v>
      </c>
      <c r="G1028">
        <v>2</v>
      </c>
      <c r="H1028">
        <v>2</v>
      </c>
      <c r="I1028">
        <v>2</v>
      </c>
      <c r="J1028">
        <v>2</v>
      </c>
      <c r="K1028">
        <v>2</v>
      </c>
      <c r="L1028">
        <v>2</v>
      </c>
      <c r="M1028">
        <v>2</v>
      </c>
      <c r="N1028">
        <v>2</v>
      </c>
      <c r="O1028">
        <v>2</v>
      </c>
      <c r="P1028">
        <v>2</v>
      </c>
      <c r="Q1028">
        <v>0.9</v>
      </c>
      <c r="R1028">
        <v>0</v>
      </c>
      <c r="S1028">
        <v>0.1</v>
      </c>
    </row>
    <row r="1029" spans="1:19" x14ac:dyDescent="0.3">
      <c r="A1029" t="str">
        <f>Table_Capacity_Community_frontsheet[[#This Row],[Name]]&amp;B1029</f>
        <v>Windsor and MaidenheadReablement &amp; Rehabilitation in a bedded setting</v>
      </c>
      <c r="B1029" t="str">
        <f>VLOOKUP(Table_Capacity_Community_frontsheet[[#This Row],[Service Area]],PathwayLookup!E:F,2,0)</f>
        <v>Reablement &amp; Rehabilitation in a bedded setting</v>
      </c>
      <c r="C1029" t="s">
        <v>357</v>
      </c>
      <c r="D1029" t="s">
        <v>725</v>
      </c>
    </row>
    <row r="1030" spans="1:19" x14ac:dyDescent="0.3">
      <c r="A1030" t="str">
        <f>Table_Capacity_Community_frontsheet[[#This Row],[Name]]&amp;B1030</f>
        <v>Windsor and MaidenheadOther short-term social care</v>
      </c>
      <c r="B1030" t="str">
        <f>VLOOKUP(Table_Capacity_Community_frontsheet[[#This Row],[Service Area]],PathwayLookup!E:F,2,0)</f>
        <v>Other short-term social care</v>
      </c>
      <c r="C1030" t="s">
        <v>357</v>
      </c>
      <c r="D1030" t="s">
        <v>708</v>
      </c>
      <c r="E1030">
        <v>1</v>
      </c>
      <c r="F1030">
        <v>1</v>
      </c>
      <c r="G1030">
        <v>1</v>
      </c>
      <c r="H1030">
        <v>1</v>
      </c>
      <c r="I1030">
        <v>1</v>
      </c>
      <c r="J1030">
        <v>1</v>
      </c>
      <c r="K1030">
        <v>1</v>
      </c>
      <c r="L1030">
        <v>1</v>
      </c>
      <c r="M1030">
        <v>1</v>
      </c>
      <c r="N1030">
        <v>1</v>
      </c>
      <c r="O1030">
        <v>1</v>
      </c>
      <c r="P1030">
        <v>1</v>
      </c>
      <c r="Q1030">
        <v>0</v>
      </c>
      <c r="R1030">
        <v>0</v>
      </c>
      <c r="S1030">
        <v>1</v>
      </c>
    </row>
    <row r="1031" spans="1:19" x14ac:dyDescent="0.3">
      <c r="A1031" t="str">
        <f>Table_Capacity_Community_frontsheet[[#This Row],[Name]]&amp;B1031</f>
        <v>WirralSocial support (including VCS)</v>
      </c>
      <c r="B1031" t="str">
        <f>VLOOKUP(Table_Capacity_Community_frontsheet[[#This Row],[Service Area]],PathwayLookup!E:F,2,0)</f>
        <v>Social support (including VCS)</v>
      </c>
      <c r="C1031" t="s">
        <v>359</v>
      </c>
      <c r="D1031" t="s">
        <v>704</v>
      </c>
      <c r="E1031">
        <v>0</v>
      </c>
      <c r="F1031">
        <v>0</v>
      </c>
      <c r="G1031">
        <v>0</v>
      </c>
      <c r="H1031">
        <v>0</v>
      </c>
      <c r="I1031">
        <v>0</v>
      </c>
      <c r="J1031">
        <v>0</v>
      </c>
      <c r="K1031">
        <v>0</v>
      </c>
      <c r="L1031">
        <v>0</v>
      </c>
      <c r="M1031">
        <v>0</v>
      </c>
      <c r="N1031">
        <v>0</v>
      </c>
      <c r="O1031">
        <v>0</v>
      </c>
      <c r="P1031">
        <v>0</v>
      </c>
    </row>
    <row r="1032" spans="1:19" x14ac:dyDescent="0.3">
      <c r="A1032" t="str">
        <f>Table_Capacity_Community_frontsheet[[#This Row],[Name]]&amp;B1032</f>
        <v>WirralUrgent Community Response</v>
      </c>
      <c r="B1032" t="str">
        <f>VLOOKUP(Table_Capacity_Community_frontsheet[[#This Row],[Service Area]],PathwayLookup!E:F,2,0)</f>
        <v>Urgent Community Response</v>
      </c>
      <c r="C1032" t="s">
        <v>359</v>
      </c>
      <c r="D1032" t="s">
        <v>705</v>
      </c>
      <c r="E1032">
        <v>220</v>
      </c>
      <c r="F1032">
        <v>220</v>
      </c>
      <c r="G1032">
        <v>220</v>
      </c>
      <c r="H1032">
        <v>220</v>
      </c>
      <c r="I1032">
        <v>220</v>
      </c>
      <c r="J1032">
        <v>220</v>
      </c>
      <c r="K1032">
        <v>220</v>
      </c>
      <c r="L1032">
        <v>220</v>
      </c>
      <c r="M1032">
        <v>220</v>
      </c>
      <c r="N1032">
        <v>220</v>
      </c>
      <c r="O1032">
        <v>220</v>
      </c>
      <c r="P1032">
        <v>220</v>
      </c>
      <c r="Q1032">
        <v>1</v>
      </c>
    </row>
    <row r="1033" spans="1:19" x14ac:dyDescent="0.3">
      <c r="A1033" t="str">
        <f>Table_Capacity_Community_frontsheet[[#This Row],[Name]]&amp;B1033</f>
        <v>WirralReablement &amp; Rehabilitation at home</v>
      </c>
      <c r="B1033" t="str">
        <f>VLOOKUP(Table_Capacity_Community_frontsheet[[#This Row],[Service Area]],PathwayLookup!E:F,2,0)</f>
        <v>Reablement &amp; Rehabilitation at home</v>
      </c>
      <c r="C1033" t="s">
        <v>359</v>
      </c>
      <c r="D1033" t="s">
        <v>727</v>
      </c>
      <c r="E1033">
        <v>68</v>
      </c>
      <c r="F1033">
        <v>68</v>
      </c>
      <c r="G1033">
        <v>68</v>
      </c>
      <c r="H1033">
        <v>68</v>
      </c>
      <c r="I1033">
        <v>68</v>
      </c>
      <c r="J1033">
        <v>68</v>
      </c>
      <c r="K1033">
        <v>68</v>
      </c>
      <c r="L1033">
        <v>68</v>
      </c>
      <c r="M1033">
        <v>68</v>
      </c>
      <c r="N1033">
        <v>68</v>
      </c>
      <c r="O1033">
        <v>68</v>
      </c>
      <c r="P1033">
        <v>68</v>
      </c>
      <c r="S1033">
        <v>1</v>
      </c>
    </row>
    <row r="1034" spans="1:19" x14ac:dyDescent="0.3">
      <c r="A1034" t="str">
        <f>Table_Capacity_Community_frontsheet[[#This Row],[Name]]&amp;B1034</f>
        <v>WirralReablement &amp; Rehabilitation at home</v>
      </c>
      <c r="B1034" t="str">
        <f>VLOOKUP(Table_Capacity_Community_frontsheet[[#This Row],[Service Area]],PathwayLookup!E:F,2,0)</f>
        <v>Reablement &amp; Rehabilitation at home</v>
      </c>
      <c r="C1034" t="s">
        <v>359</v>
      </c>
      <c r="D1034" t="s">
        <v>729</v>
      </c>
      <c r="E1034">
        <v>0</v>
      </c>
      <c r="F1034">
        <v>0</v>
      </c>
      <c r="G1034">
        <v>0</v>
      </c>
      <c r="H1034">
        <v>0</v>
      </c>
      <c r="I1034">
        <v>0</v>
      </c>
      <c r="J1034">
        <v>0</v>
      </c>
      <c r="K1034">
        <v>0</v>
      </c>
      <c r="L1034">
        <v>0</v>
      </c>
      <c r="M1034">
        <v>0</v>
      </c>
      <c r="N1034">
        <v>0</v>
      </c>
      <c r="O1034">
        <v>0</v>
      </c>
      <c r="P1034">
        <v>0</v>
      </c>
    </row>
    <row r="1035" spans="1:19" x14ac:dyDescent="0.3">
      <c r="A1035" t="str">
        <f>Table_Capacity_Community_frontsheet[[#This Row],[Name]]&amp;B1035</f>
        <v>WirralReablement &amp; Rehabilitation in a bedded setting</v>
      </c>
      <c r="B1035" t="str">
        <f>VLOOKUP(Table_Capacity_Community_frontsheet[[#This Row],[Service Area]],PathwayLookup!E:F,2,0)</f>
        <v>Reablement &amp; Rehabilitation in a bedded setting</v>
      </c>
      <c r="C1035" t="s">
        <v>359</v>
      </c>
      <c r="D1035" t="s">
        <v>723</v>
      </c>
      <c r="E1035">
        <v>0</v>
      </c>
      <c r="F1035">
        <v>0</v>
      </c>
      <c r="G1035">
        <v>0</v>
      </c>
      <c r="H1035">
        <v>0</v>
      </c>
      <c r="I1035">
        <v>0</v>
      </c>
      <c r="J1035">
        <v>0</v>
      </c>
      <c r="K1035">
        <v>0</v>
      </c>
      <c r="L1035">
        <v>0</v>
      </c>
      <c r="M1035">
        <v>0</v>
      </c>
      <c r="N1035">
        <v>0</v>
      </c>
      <c r="O1035">
        <v>0</v>
      </c>
      <c r="P1035">
        <v>0</v>
      </c>
    </row>
    <row r="1036" spans="1:19" x14ac:dyDescent="0.3">
      <c r="A1036" t="str">
        <f>Table_Capacity_Community_frontsheet[[#This Row],[Name]]&amp;B1036</f>
        <v>WirralReablement &amp; Rehabilitation in a bedded setting</v>
      </c>
      <c r="B1036" t="str">
        <f>VLOOKUP(Table_Capacity_Community_frontsheet[[#This Row],[Service Area]],PathwayLookup!E:F,2,0)</f>
        <v>Reablement &amp; Rehabilitation in a bedded setting</v>
      </c>
      <c r="C1036" t="s">
        <v>359</v>
      </c>
      <c r="D1036" t="s">
        <v>725</v>
      </c>
      <c r="E1036">
        <v>0</v>
      </c>
      <c r="F1036">
        <v>0</v>
      </c>
      <c r="G1036">
        <v>0</v>
      </c>
      <c r="H1036">
        <v>0</v>
      </c>
      <c r="I1036">
        <v>0</v>
      </c>
      <c r="J1036">
        <v>0</v>
      </c>
      <c r="K1036">
        <v>0</v>
      </c>
      <c r="L1036">
        <v>0</v>
      </c>
      <c r="M1036">
        <v>0</v>
      </c>
      <c r="N1036">
        <v>0</v>
      </c>
      <c r="O1036">
        <v>0</v>
      </c>
      <c r="P1036">
        <v>0</v>
      </c>
    </row>
    <row r="1037" spans="1:19" x14ac:dyDescent="0.3">
      <c r="A1037" t="str">
        <f>Table_Capacity_Community_frontsheet[[#This Row],[Name]]&amp;B1037</f>
        <v>WirralOther short-term social care</v>
      </c>
      <c r="B1037" t="str">
        <f>VLOOKUP(Table_Capacity_Community_frontsheet[[#This Row],[Service Area]],PathwayLookup!E:F,2,0)</f>
        <v>Other short-term social care</v>
      </c>
      <c r="C1037" t="s">
        <v>359</v>
      </c>
      <c r="D1037" t="s">
        <v>708</v>
      </c>
      <c r="E1037">
        <v>0</v>
      </c>
      <c r="F1037">
        <v>0</v>
      </c>
      <c r="G1037">
        <v>0</v>
      </c>
      <c r="H1037">
        <v>0</v>
      </c>
      <c r="I1037">
        <v>0</v>
      </c>
      <c r="J1037">
        <v>0</v>
      </c>
      <c r="K1037">
        <v>0</v>
      </c>
      <c r="L1037">
        <v>0</v>
      </c>
      <c r="M1037">
        <v>0</v>
      </c>
      <c r="N1037">
        <v>0</v>
      </c>
      <c r="O1037">
        <v>0</v>
      </c>
      <c r="P1037">
        <v>0</v>
      </c>
    </row>
    <row r="1038" spans="1:19" x14ac:dyDescent="0.3">
      <c r="A1038" t="str">
        <f>Table_Capacity_Community_frontsheet[[#This Row],[Name]]&amp;B1038</f>
        <v>WokinghamSocial support (including VCS)</v>
      </c>
      <c r="B1038" t="str">
        <f>VLOOKUP(Table_Capacity_Community_frontsheet[[#This Row],[Service Area]],PathwayLookup!E:F,2,0)</f>
        <v>Social support (including VCS)</v>
      </c>
      <c r="C1038" t="s">
        <v>361</v>
      </c>
      <c r="D1038" t="s">
        <v>704</v>
      </c>
      <c r="E1038">
        <v>25</v>
      </c>
      <c r="F1038">
        <v>25</v>
      </c>
      <c r="G1038">
        <v>25</v>
      </c>
      <c r="H1038">
        <v>25</v>
      </c>
      <c r="I1038">
        <v>25</v>
      </c>
      <c r="J1038">
        <v>25</v>
      </c>
      <c r="K1038">
        <v>40</v>
      </c>
      <c r="L1038">
        <v>40</v>
      </c>
      <c r="M1038">
        <v>40</v>
      </c>
      <c r="N1038">
        <v>40</v>
      </c>
      <c r="O1038">
        <v>40</v>
      </c>
      <c r="P1038">
        <v>40</v>
      </c>
    </row>
    <row r="1039" spans="1:19" x14ac:dyDescent="0.3">
      <c r="A1039" t="str">
        <f>Table_Capacity_Community_frontsheet[[#This Row],[Name]]&amp;B1039</f>
        <v>WokinghamUrgent Community Response</v>
      </c>
      <c r="B1039" t="str">
        <f>VLOOKUP(Table_Capacity_Community_frontsheet[[#This Row],[Service Area]],PathwayLookup!E:F,2,0)</f>
        <v>Urgent Community Response</v>
      </c>
      <c r="C1039" t="s">
        <v>361</v>
      </c>
      <c r="D1039" t="s">
        <v>705</v>
      </c>
      <c r="E1039">
        <v>202</v>
      </c>
      <c r="F1039">
        <v>192</v>
      </c>
      <c r="G1039">
        <v>201</v>
      </c>
      <c r="H1039">
        <v>198</v>
      </c>
      <c r="I1039">
        <v>209</v>
      </c>
      <c r="J1039">
        <v>215</v>
      </c>
      <c r="K1039">
        <v>214</v>
      </c>
      <c r="L1039">
        <v>217</v>
      </c>
      <c r="M1039">
        <v>275</v>
      </c>
      <c r="N1039">
        <v>249</v>
      </c>
      <c r="O1039">
        <v>205</v>
      </c>
      <c r="P1039">
        <v>218</v>
      </c>
    </row>
    <row r="1040" spans="1:19" x14ac:dyDescent="0.3">
      <c r="A1040" t="str">
        <f>Table_Capacity_Community_frontsheet[[#This Row],[Name]]&amp;B1040</f>
        <v>WokinghamReablement &amp; Rehabilitation at home</v>
      </c>
      <c r="B1040" t="str">
        <f>VLOOKUP(Table_Capacity_Community_frontsheet[[#This Row],[Service Area]],PathwayLookup!E:F,2,0)</f>
        <v>Reablement &amp; Rehabilitation at home</v>
      </c>
      <c r="C1040" t="s">
        <v>361</v>
      </c>
      <c r="D1040" t="s">
        <v>727</v>
      </c>
      <c r="E1040">
        <v>0</v>
      </c>
      <c r="F1040">
        <v>0</v>
      </c>
      <c r="G1040">
        <v>0</v>
      </c>
      <c r="H1040">
        <v>0</v>
      </c>
      <c r="I1040">
        <v>0</v>
      </c>
      <c r="J1040">
        <v>0</v>
      </c>
      <c r="K1040">
        <v>0</v>
      </c>
      <c r="L1040">
        <v>0</v>
      </c>
      <c r="M1040">
        <v>0</v>
      </c>
      <c r="N1040">
        <v>0</v>
      </c>
      <c r="O1040">
        <v>0</v>
      </c>
      <c r="P1040">
        <v>0</v>
      </c>
    </row>
    <row r="1041" spans="1:18" x14ac:dyDescent="0.3">
      <c r="A1041" t="str">
        <f>Table_Capacity_Community_frontsheet[[#This Row],[Name]]&amp;B1041</f>
        <v>WokinghamReablement &amp; Rehabilitation at home</v>
      </c>
      <c r="B1041" t="str">
        <f>VLOOKUP(Table_Capacity_Community_frontsheet[[#This Row],[Service Area]],PathwayLookup!E:F,2,0)</f>
        <v>Reablement &amp; Rehabilitation at home</v>
      </c>
      <c r="C1041" t="s">
        <v>361</v>
      </c>
      <c r="D1041" t="s">
        <v>729</v>
      </c>
      <c r="E1041">
        <v>89</v>
      </c>
      <c r="F1041">
        <v>88</v>
      </c>
      <c r="G1041">
        <v>85</v>
      </c>
      <c r="H1041">
        <v>87</v>
      </c>
      <c r="I1041">
        <v>117</v>
      </c>
      <c r="J1041">
        <v>122</v>
      </c>
      <c r="K1041">
        <v>118</v>
      </c>
      <c r="L1041">
        <v>107</v>
      </c>
      <c r="M1041">
        <v>87</v>
      </c>
      <c r="N1041">
        <v>100</v>
      </c>
      <c r="O1041">
        <v>112</v>
      </c>
      <c r="P1041">
        <v>93</v>
      </c>
    </row>
    <row r="1042" spans="1:18" x14ac:dyDescent="0.3">
      <c r="A1042" t="str">
        <f>Table_Capacity_Community_frontsheet[[#This Row],[Name]]&amp;B1042</f>
        <v>WokinghamOther short-term social care</v>
      </c>
      <c r="B1042" t="str">
        <f>VLOOKUP(Table_Capacity_Community_frontsheet[[#This Row],[Service Area]],PathwayLookup!E:F,2,0)</f>
        <v>Other short-term social care</v>
      </c>
      <c r="C1042" t="s">
        <v>361</v>
      </c>
      <c r="D1042" t="s">
        <v>708</v>
      </c>
      <c r="E1042">
        <v>0</v>
      </c>
      <c r="F1042">
        <v>0</v>
      </c>
      <c r="G1042">
        <v>0</v>
      </c>
      <c r="H1042">
        <v>0</v>
      </c>
      <c r="I1042">
        <v>0</v>
      </c>
      <c r="J1042">
        <v>0</v>
      </c>
      <c r="K1042">
        <v>0</v>
      </c>
      <c r="L1042">
        <v>0</v>
      </c>
      <c r="M1042">
        <v>0</v>
      </c>
      <c r="N1042">
        <v>0</v>
      </c>
      <c r="O1042">
        <v>0</v>
      </c>
      <c r="P1042">
        <v>0</v>
      </c>
    </row>
    <row r="1043" spans="1:18" x14ac:dyDescent="0.3">
      <c r="A1043" t="str">
        <f>Table_Capacity_Community_frontsheet[[#This Row],[Name]]&amp;B1043</f>
        <v>WokinghamReablement &amp; Rehabilitation in a bedded setting</v>
      </c>
      <c r="B1043" t="str">
        <f>VLOOKUP(Table_Capacity_Community_frontsheet[[#This Row],[Service Area]],PathwayLookup!E:F,2,0)</f>
        <v>Reablement &amp; Rehabilitation in a bedded setting</v>
      </c>
      <c r="C1043" t="s">
        <v>361</v>
      </c>
      <c r="D1043" t="s">
        <v>723</v>
      </c>
      <c r="E1043">
        <v>4</v>
      </c>
      <c r="F1043">
        <v>4</v>
      </c>
      <c r="G1043">
        <v>4</v>
      </c>
      <c r="H1043">
        <v>4</v>
      </c>
      <c r="I1043">
        <v>4</v>
      </c>
      <c r="J1043">
        <v>4</v>
      </c>
      <c r="K1043">
        <v>4</v>
      </c>
      <c r="L1043">
        <v>4</v>
      </c>
      <c r="M1043">
        <v>4</v>
      </c>
      <c r="N1043">
        <v>4</v>
      </c>
      <c r="O1043">
        <v>4</v>
      </c>
      <c r="P1043">
        <v>4</v>
      </c>
    </row>
    <row r="1044" spans="1:18" x14ac:dyDescent="0.3">
      <c r="A1044" t="str">
        <f>Table_Capacity_Community_frontsheet[[#This Row],[Name]]&amp;B1044</f>
        <v>WokinghamReablement &amp; Rehabilitation in a bedded setting</v>
      </c>
      <c r="B1044" t="str">
        <f>VLOOKUP(Table_Capacity_Community_frontsheet[[#This Row],[Service Area]],PathwayLookup!E:F,2,0)</f>
        <v>Reablement &amp; Rehabilitation in a bedded setting</v>
      </c>
      <c r="C1044" t="s">
        <v>361</v>
      </c>
      <c r="D1044" t="s">
        <v>725</v>
      </c>
      <c r="E1044">
        <v>16</v>
      </c>
      <c r="F1044">
        <v>16</v>
      </c>
      <c r="G1044">
        <v>16</v>
      </c>
      <c r="H1044">
        <v>16</v>
      </c>
      <c r="I1044">
        <v>16</v>
      </c>
      <c r="J1044">
        <v>16</v>
      </c>
      <c r="K1044">
        <v>16</v>
      </c>
      <c r="L1044">
        <v>16</v>
      </c>
      <c r="M1044">
        <v>16</v>
      </c>
      <c r="N1044">
        <v>16</v>
      </c>
      <c r="O1044">
        <v>16</v>
      </c>
      <c r="P1044">
        <v>16</v>
      </c>
    </row>
    <row r="1045" spans="1:18" x14ac:dyDescent="0.3">
      <c r="A1045" t="str">
        <f>Table_Capacity_Community_frontsheet[[#This Row],[Name]]&amp;B1045</f>
        <v>WolverhamptonSocial support (including VCS)</v>
      </c>
      <c r="B1045" t="str">
        <f>VLOOKUP(Table_Capacity_Community_frontsheet[[#This Row],[Service Area]],PathwayLookup!E:F,2,0)</f>
        <v>Social support (including VCS)</v>
      </c>
      <c r="C1045" t="s">
        <v>363</v>
      </c>
      <c r="D1045" t="s">
        <v>704</v>
      </c>
    </row>
    <row r="1046" spans="1:18" x14ac:dyDescent="0.3">
      <c r="A1046" t="str">
        <f>Table_Capacity_Community_frontsheet[[#This Row],[Name]]&amp;B1046</f>
        <v>WolverhamptonUrgent Community Response</v>
      </c>
      <c r="B1046" t="str">
        <f>VLOOKUP(Table_Capacity_Community_frontsheet[[#This Row],[Service Area]],PathwayLookup!E:F,2,0)</f>
        <v>Urgent Community Response</v>
      </c>
      <c r="C1046" t="s">
        <v>363</v>
      </c>
      <c r="D1046" t="s">
        <v>705</v>
      </c>
      <c r="E1046">
        <v>169.5</v>
      </c>
      <c r="F1046">
        <v>169.5</v>
      </c>
      <c r="G1046">
        <v>161</v>
      </c>
      <c r="H1046">
        <v>195</v>
      </c>
      <c r="I1046">
        <v>228</v>
      </c>
      <c r="J1046">
        <v>184</v>
      </c>
      <c r="K1046">
        <v>145</v>
      </c>
      <c r="L1046">
        <v>156</v>
      </c>
      <c r="M1046">
        <v>125</v>
      </c>
      <c r="N1046">
        <v>148</v>
      </c>
      <c r="O1046">
        <v>170</v>
      </c>
      <c r="P1046">
        <v>183</v>
      </c>
      <c r="Q1046">
        <v>0.9</v>
      </c>
      <c r="R1046">
        <v>0.1</v>
      </c>
    </row>
    <row r="1047" spans="1:18" x14ac:dyDescent="0.3">
      <c r="A1047" t="str">
        <f>Table_Capacity_Community_frontsheet[[#This Row],[Name]]&amp;B1047</f>
        <v>WolverhamptonReablement &amp; Rehabilitation at home</v>
      </c>
      <c r="B1047" t="str">
        <f>VLOOKUP(Table_Capacity_Community_frontsheet[[#This Row],[Service Area]],PathwayLookup!E:F,2,0)</f>
        <v>Reablement &amp; Rehabilitation at home</v>
      </c>
      <c r="C1047" t="s">
        <v>363</v>
      </c>
      <c r="D1047" t="s">
        <v>727</v>
      </c>
      <c r="E1047">
        <v>0</v>
      </c>
      <c r="F1047">
        <v>0</v>
      </c>
      <c r="G1047">
        <v>0</v>
      </c>
      <c r="H1047">
        <v>0</v>
      </c>
      <c r="I1047">
        <v>0</v>
      </c>
      <c r="J1047">
        <v>0</v>
      </c>
      <c r="K1047">
        <v>0</v>
      </c>
      <c r="L1047">
        <v>0</v>
      </c>
      <c r="M1047">
        <v>0</v>
      </c>
      <c r="N1047">
        <v>0</v>
      </c>
      <c r="O1047">
        <v>0</v>
      </c>
      <c r="P1047">
        <v>0</v>
      </c>
    </row>
    <row r="1048" spans="1:18" x14ac:dyDescent="0.3">
      <c r="A1048" t="str">
        <f>Table_Capacity_Community_frontsheet[[#This Row],[Name]]&amp;B1048</f>
        <v>WolverhamptonReablement &amp; Rehabilitation at home</v>
      </c>
      <c r="B1048" t="str">
        <f>VLOOKUP(Table_Capacity_Community_frontsheet[[#This Row],[Service Area]],PathwayLookup!E:F,2,0)</f>
        <v>Reablement &amp; Rehabilitation at home</v>
      </c>
      <c r="C1048" t="s">
        <v>363</v>
      </c>
      <c r="D1048" t="s">
        <v>729</v>
      </c>
      <c r="E1048">
        <v>594</v>
      </c>
      <c r="F1048">
        <v>598</v>
      </c>
      <c r="G1048">
        <v>604</v>
      </c>
      <c r="H1048">
        <v>620</v>
      </c>
      <c r="I1048">
        <v>567</v>
      </c>
      <c r="J1048">
        <v>586</v>
      </c>
      <c r="K1048">
        <v>688</v>
      </c>
      <c r="L1048">
        <v>660</v>
      </c>
      <c r="M1048">
        <v>752</v>
      </c>
      <c r="N1048">
        <v>843</v>
      </c>
      <c r="O1048">
        <v>556</v>
      </c>
      <c r="P1048">
        <v>671</v>
      </c>
      <c r="Q1048">
        <v>0.9</v>
      </c>
      <c r="R1048">
        <v>0.1</v>
      </c>
    </row>
    <row r="1049" spans="1:18" x14ac:dyDescent="0.3">
      <c r="A1049" t="str">
        <f>Table_Capacity_Community_frontsheet[[#This Row],[Name]]&amp;B1049</f>
        <v>WolverhamptonReablement &amp; Rehabilitation in a bedded setting</v>
      </c>
      <c r="B1049" t="str">
        <f>VLOOKUP(Table_Capacity_Community_frontsheet[[#This Row],[Service Area]],PathwayLookup!E:F,2,0)</f>
        <v>Reablement &amp; Rehabilitation in a bedded setting</v>
      </c>
      <c r="C1049" t="s">
        <v>363</v>
      </c>
      <c r="D1049" t="s">
        <v>723</v>
      </c>
    </row>
    <row r="1050" spans="1:18" x14ac:dyDescent="0.3">
      <c r="A1050" t="str">
        <f>Table_Capacity_Community_frontsheet[[#This Row],[Name]]&amp;B1050</f>
        <v>WolverhamptonReablement &amp; Rehabilitation in a bedded setting</v>
      </c>
      <c r="B1050" t="str">
        <f>VLOOKUP(Table_Capacity_Community_frontsheet[[#This Row],[Service Area]],PathwayLookup!E:F,2,0)</f>
        <v>Reablement &amp; Rehabilitation in a bedded setting</v>
      </c>
      <c r="C1050" t="s">
        <v>363</v>
      </c>
      <c r="D1050" t="s">
        <v>725</v>
      </c>
    </row>
    <row r="1051" spans="1:18" x14ac:dyDescent="0.3">
      <c r="A1051" t="str">
        <f>Table_Capacity_Community_frontsheet[[#This Row],[Name]]&amp;B1051</f>
        <v>WolverhamptonOther short-term social care</v>
      </c>
      <c r="B1051" t="str">
        <f>VLOOKUP(Table_Capacity_Community_frontsheet[[#This Row],[Service Area]],PathwayLookup!E:F,2,0)</f>
        <v>Other short-term social care</v>
      </c>
      <c r="C1051" t="s">
        <v>363</v>
      </c>
      <c r="D1051" t="s">
        <v>708</v>
      </c>
      <c r="E1051">
        <v>434</v>
      </c>
      <c r="F1051">
        <v>517</v>
      </c>
      <c r="G1051">
        <v>491</v>
      </c>
      <c r="H1051">
        <v>525</v>
      </c>
      <c r="I1051">
        <v>535</v>
      </c>
      <c r="J1051">
        <v>482</v>
      </c>
      <c r="K1051">
        <v>516</v>
      </c>
      <c r="L1051">
        <v>512</v>
      </c>
      <c r="M1051">
        <v>455</v>
      </c>
      <c r="N1051">
        <v>528</v>
      </c>
      <c r="O1051">
        <v>510</v>
      </c>
      <c r="P1051">
        <v>509</v>
      </c>
      <c r="Q1051">
        <v>1</v>
      </c>
      <c r="R1051">
        <v>0</v>
      </c>
    </row>
    <row r="1052" spans="1:18" x14ac:dyDescent="0.3">
      <c r="A1052" t="str">
        <f>Table_Capacity_Community_frontsheet[[#This Row],[Name]]&amp;B1052</f>
        <v>WorcestershireSocial support (including VCS)</v>
      </c>
      <c r="B1052" t="str">
        <f>VLOOKUP(Table_Capacity_Community_frontsheet[[#This Row],[Service Area]],PathwayLookup!E:F,2,0)</f>
        <v>Social support (including VCS)</v>
      </c>
      <c r="C1052" t="s">
        <v>365</v>
      </c>
      <c r="D1052" t="s">
        <v>704</v>
      </c>
      <c r="E1052">
        <v>0</v>
      </c>
      <c r="F1052">
        <v>0</v>
      </c>
      <c r="G1052">
        <v>0</v>
      </c>
      <c r="H1052">
        <v>0</v>
      </c>
      <c r="I1052">
        <v>0</v>
      </c>
      <c r="J1052">
        <v>0</v>
      </c>
      <c r="K1052">
        <v>0</v>
      </c>
      <c r="L1052">
        <v>0</v>
      </c>
      <c r="M1052">
        <v>0</v>
      </c>
      <c r="N1052">
        <v>0</v>
      </c>
      <c r="O1052">
        <v>0</v>
      </c>
      <c r="P1052">
        <v>0</v>
      </c>
    </row>
    <row r="1053" spans="1:18" x14ac:dyDescent="0.3">
      <c r="A1053" t="str">
        <f>Table_Capacity_Community_frontsheet[[#This Row],[Name]]&amp;B1053</f>
        <v>WorcestershireUrgent Community Response</v>
      </c>
      <c r="B1053" t="str">
        <f>VLOOKUP(Table_Capacity_Community_frontsheet[[#This Row],[Service Area]],PathwayLookup!E:F,2,0)</f>
        <v>Urgent Community Response</v>
      </c>
      <c r="C1053" t="s">
        <v>365</v>
      </c>
      <c r="D1053" t="s">
        <v>705</v>
      </c>
      <c r="E1053">
        <v>1192</v>
      </c>
      <c r="F1053">
        <v>1192</v>
      </c>
      <c r="G1053">
        <v>1192</v>
      </c>
      <c r="H1053">
        <v>1202</v>
      </c>
      <c r="I1053">
        <v>1202</v>
      </c>
      <c r="J1053">
        <v>1202</v>
      </c>
      <c r="K1053">
        <v>1202</v>
      </c>
      <c r="L1053">
        <v>1202</v>
      </c>
      <c r="M1053">
        <v>1202</v>
      </c>
      <c r="N1053">
        <v>1192</v>
      </c>
      <c r="O1053">
        <v>1192</v>
      </c>
      <c r="P1053">
        <v>1192</v>
      </c>
    </row>
    <row r="1054" spans="1:18" x14ac:dyDescent="0.3">
      <c r="A1054" t="str">
        <f>Table_Capacity_Community_frontsheet[[#This Row],[Name]]&amp;B1054</f>
        <v>WorcestershireReablement &amp; Rehabilitation at home</v>
      </c>
      <c r="B1054" t="str">
        <f>VLOOKUP(Table_Capacity_Community_frontsheet[[#This Row],[Service Area]],PathwayLookup!E:F,2,0)</f>
        <v>Reablement &amp; Rehabilitation at home</v>
      </c>
      <c r="C1054" t="s">
        <v>365</v>
      </c>
      <c r="D1054" t="s">
        <v>727</v>
      </c>
      <c r="E1054">
        <v>0</v>
      </c>
      <c r="F1054">
        <v>0</v>
      </c>
      <c r="G1054">
        <v>0</v>
      </c>
      <c r="H1054">
        <v>0</v>
      </c>
      <c r="I1054">
        <v>0</v>
      </c>
      <c r="J1054">
        <v>0</v>
      </c>
      <c r="K1054">
        <v>0</v>
      </c>
      <c r="L1054">
        <v>0</v>
      </c>
      <c r="M1054">
        <v>0</v>
      </c>
      <c r="N1054">
        <v>0</v>
      </c>
      <c r="O1054">
        <v>0</v>
      </c>
      <c r="P1054">
        <v>0</v>
      </c>
    </row>
    <row r="1055" spans="1:18" x14ac:dyDescent="0.3">
      <c r="A1055" t="str">
        <f>Table_Capacity_Community_frontsheet[[#This Row],[Name]]&amp;B1055</f>
        <v>WorcestershireReablement &amp; Rehabilitation at home</v>
      </c>
      <c r="B1055" t="str">
        <f>VLOOKUP(Table_Capacity_Community_frontsheet[[#This Row],[Service Area]],PathwayLookup!E:F,2,0)</f>
        <v>Reablement &amp; Rehabilitation at home</v>
      </c>
      <c r="C1055" t="s">
        <v>365</v>
      </c>
      <c r="D1055" t="s">
        <v>729</v>
      </c>
      <c r="E1055">
        <v>80</v>
      </c>
      <c r="F1055">
        <v>80</v>
      </c>
      <c r="G1055">
        <v>80</v>
      </c>
      <c r="H1055">
        <v>80</v>
      </c>
      <c r="I1055">
        <v>80</v>
      </c>
      <c r="J1055">
        <v>80</v>
      </c>
      <c r="K1055">
        <v>80</v>
      </c>
      <c r="L1055">
        <v>80</v>
      </c>
      <c r="M1055">
        <v>80</v>
      </c>
      <c r="N1055">
        <v>80</v>
      </c>
      <c r="O1055">
        <v>80</v>
      </c>
      <c r="P1055">
        <v>80</v>
      </c>
    </row>
    <row r="1056" spans="1:18" x14ac:dyDescent="0.3">
      <c r="A1056" t="str">
        <f>Table_Capacity_Community_frontsheet[[#This Row],[Name]]&amp;B1056</f>
        <v>WorcestershireReablement &amp; Rehabilitation in a bedded setting</v>
      </c>
      <c r="B1056" t="str">
        <f>VLOOKUP(Table_Capacity_Community_frontsheet[[#This Row],[Service Area]],PathwayLookup!E:F,2,0)</f>
        <v>Reablement &amp; Rehabilitation in a bedded setting</v>
      </c>
      <c r="C1056" t="s">
        <v>365</v>
      </c>
      <c r="D1056" t="s">
        <v>723</v>
      </c>
      <c r="E1056">
        <v>0</v>
      </c>
      <c r="F1056">
        <v>0</v>
      </c>
      <c r="G1056">
        <v>0</v>
      </c>
      <c r="H1056">
        <v>0</v>
      </c>
      <c r="I1056">
        <v>0</v>
      </c>
      <c r="J1056">
        <v>0</v>
      </c>
      <c r="K1056">
        <v>0</v>
      </c>
      <c r="L1056">
        <v>0</v>
      </c>
      <c r="M1056">
        <v>0</v>
      </c>
      <c r="N1056">
        <v>0</v>
      </c>
      <c r="O1056">
        <v>0</v>
      </c>
      <c r="P1056">
        <v>0</v>
      </c>
    </row>
    <row r="1057" spans="1:17" x14ac:dyDescent="0.3">
      <c r="A1057" t="str">
        <f>Table_Capacity_Community_frontsheet[[#This Row],[Name]]&amp;B1057</f>
        <v>WorcestershireReablement &amp; Rehabilitation in a bedded setting</v>
      </c>
      <c r="B1057" t="str">
        <f>VLOOKUP(Table_Capacity_Community_frontsheet[[#This Row],[Service Area]],PathwayLookup!E:F,2,0)</f>
        <v>Reablement &amp; Rehabilitation in a bedded setting</v>
      </c>
      <c r="C1057" t="s">
        <v>365</v>
      </c>
      <c r="D1057" t="s">
        <v>725</v>
      </c>
      <c r="E1057">
        <v>0</v>
      </c>
      <c r="F1057">
        <v>0</v>
      </c>
      <c r="G1057">
        <v>0</v>
      </c>
      <c r="H1057">
        <v>0</v>
      </c>
      <c r="I1057">
        <v>0</v>
      </c>
      <c r="J1057">
        <v>0</v>
      </c>
      <c r="K1057">
        <v>0</v>
      </c>
      <c r="L1057">
        <v>0</v>
      </c>
      <c r="M1057">
        <v>0</v>
      </c>
      <c r="N1057">
        <v>0</v>
      </c>
      <c r="O1057">
        <v>0</v>
      </c>
      <c r="P1057">
        <v>0</v>
      </c>
    </row>
    <row r="1058" spans="1:17" x14ac:dyDescent="0.3">
      <c r="A1058" t="str">
        <f>Table_Capacity_Community_frontsheet[[#This Row],[Name]]&amp;B1058</f>
        <v>WorcestershireOther short-term social care</v>
      </c>
      <c r="B1058" t="str">
        <f>VLOOKUP(Table_Capacity_Community_frontsheet[[#This Row],[Service Area]],PathwayLookup!E:F,2,0)</f>
        <v>Other short-term social care</v>
      </c>
      <c r="C1058" t="s">
        <v>365</v>
      </c>
      <c r="D1058" t="s">
        <v>708</v>
      </c>
      <c r="E1058">
        <v>0</v>
      </c>
      <c r="F1058">
        <v>0</v>
      </c>
      <c r="G1058">
        <v>0</v>
      </c>
      <c r="H1058">
        <v>0</v>
      </c>
      <c r="I1058">
        <v>0</v>
      </c>
      <c r="J1058">
        <v>0</v>
      </c>
      <c r="K1058">
        <v>0</v>
      </c>
      <c r="L1058">
        <v>0</v>
      </c>
      <c r="M1058">
        <v>0</v>
      </c>
      <c r="N1058">
        <v>0</v>
      </c>
      <c r="O1058">
        <v>0</v>
      </c>
      <c r="P1058">
        <v>0</v>
      </c>
    </row>
    <row r="1059" spans="1:17" x14ac:dyDescent="0.3">
      <c r="A1059" t="str">
        <f>Table_Capacity_Community_frontsheet[[#This Row],[Name]]&amp;B1059</f>
        <v>YorkSocial support (including VCS)</v>
      </c>
      <c r="B1059" t="str">
        <f>VLOOKUP(Table_Capacity_Community_frontsheet[[#This Row],[Service Area]],PathwayLookup!E:F,2,0)</f>
        <v>Social support (including VCS)</v>
      </c>
      <c r="C1059" t="s">
        <v>368</v>
      </c>
      <c r="D1059" t="s">
        <v>704</v>
      </c>
    </row>
    <row r="1060" spans="1:17" x14ac:dyDescent="0.3">
      <c r="A1060" t="str">
        <f>Table_Capacity_Community_frontsheet[[#This Row],[Name]]&amp;B1060</f>
        <v>YorkUrgent Community Response</v>
      </c>
      <c r="B1060" t="str">
        <f>VLOOKUP(Table_Capacity_Community_frontsheet[[#This Row],[Service Area]],PathwayLookup!E:F,2,0)</f>
        <v>Urgent Community Response</v>
      </c>
      <c r="C1060" t="s">
        <v>368</v>
      </c>
      <c r="D1060" t="s">
        <v>705</v>
      </c>
      <c r="E1060">
        <v>42</v>
      </c>
      <c r="F1060">
        <v>46</v>
      </c>
      <c r="G1060">
        <v>44</v>
      </c>
      <c r="H1060">
        <v>44</v>
      </c>
      <c r="I1060">
        <v>43</v>
      </c>
      <c r="J1060">
        <v>47</v>
      </c>
      <c r="K1060">
        <v>47</v>
      </c>
      <c r="L1060">
        <v>46</v>
      </c>
      <c r="M1060">
        <v>42</v>
      </c>
      <c r="N1060">
        <v>47</v>
      </c>
      <c r="O1060">
        <v>44</v>
      </c>
      <c r="P1060">
        <v>47</v>
      </c>
      <c r="Q1060">
        <v>1</v>
      </c>
    </row>
    <row r="1061" spans="1:17" x14ac:dyDescent="0.3">
      <c r="A1061" t="str">
        <f>Table_Capacity_Community_frontsheet[[#This Row],[Name]]&amp;B1061</f>
        <v>YorkReablement &amp; Rehabilitation at home</v>
      </c>
      <c r="B1061" t="str">
        <f>VLOOKUP(Table_Capacity_Community_frontsheet[[#This Row],[Service Area]],PathwayLookup!E:F,2,0)</f>
        <v>Reablement &amp; Rehabilitation at home</v>
      </c>
      <c r="C1061" t="s">
        <v>368</v>
      </c>
      <c r="D1061" t="s">
        <v>727</v>
      </c>
    </row>
    <row r="1062" spans="1:17" x14ac:dyDescent="0.3">
      <c r="A1062" t="str">
        <f>Table_Capacity_Community_frontsheet[[#This Row],[Name]]&amp;B1062</f>
        <v>YorkReablement &amp; Rehabilitation at home</v>
      </c>
      <c r="B1062" t="str">
        <f>VLOOKUP(Table_Capacity_Community_frontsheet[[#This Row],[Service Area]],PathwayLookup!E:F,2,0)</f>
        <v>Reablement &amp; Rehabilitation at home</v>
      </c>
      <c r="C1062" t="s">
        <v>368</v>
      </c>
      <c r="D1062" t="s">
        <v>729</v>
      </c>
      <c r="E1062">
        <v>155</v>
      </c>
      <c r="F1062">
        <v>166</v>
      </c>
      <c r="G1062">
        <v>161</v>
      </c>
      <c r="H1062">
        <v>160</v>
      </c>
      <c r="I1062">
        <v>157</v>
      </c>
      <c r="J1062">
        <v>172</v>
      </c>
      <c r="K1062">
        <v>184</v>
      </c>
      <c r="L1062">
        <v>182</v>
      </c>
      <c r="M1062">
        <v>168</v>
      </c>
      <c r="N1062">
        <v>184</v>
      </c>
      <c r="O1062">
        <v>173</v>
      </c>
      <c r="P1062">
        <v>185</v>
      </c>
      <c r="Q1062">
        <v>1</v>
      </c>
    </row>
    <row r="1063" spans="1:17" x14ac:dyDescent="0.3">
      <c r="A1063" t="str">
        <f>Table_Capacity_Community_frontsheet[[#This Row],[Name]]&amp;B1063</f>
        <v>YorkReablement &amp; Rehabilitation in a bedded setting</v>
      </c>
      <c r="B1063" t="str">
        <f>VLOOKUP(Table_Capacity_Community_frontsheet[[#This Row],[Service Area]],PathwayLookup!E:F,2,0)</f>
        <v>Reablement &amp; Rehabilitation in a bedded setting</v>
      </c>
      <c r="C1063" t="s">
        <v>368</v>
      </c>
      <c r="D1063" t="s">
        <v>723</v>
      </c>
    </row>
    <row r="1064" spans="1:17" x14ac:dyDescent="0.3">
      <c r="A1064" t="str">
        <f>Table_Capacity_Community_frontsheet[[#This Row],[Name]]&amp;B1064</f>
        <v>YorkReablement &amp; Rehabilitation in a bedded setting</v>
      </c>
      <c r="B1064" t="str">
        <f>VLOOKUP(Table_Capacity_Community_frontsheet[[#This Row],[Service Area]],PathwayLookup!E:F,2,0)</f>
        <v>Reablement &amp; Rehabilitation in a bedded setting</v>
      </c>
      <c r="C1064" t="s">
        <v>368</v>
      </c>
      <c r="D1064" t="s">
        <v>725</v>
      </c>
    </row>
    <row r="1065" spans="1:17" x14ac:dyDescent="0.3">
      <c r="A1065" t="str">
        <f>Table_Capacity_Community_frontsheet[[#This Row],[Name]]&amp;B1065</f>
        <v>YorkOther short-term social care</v>
      </c>
      <c r="B1065" t="str">
        <f>VLOOKUP(Table_Capacity_Community_frontsheet[[#This Row],[Service Area]],PathwayLookup!E:F,2,0)</f>
        <v>Other short-term social care</v>
      </c>
      <c r="C1065" t="s">
        <v>368</v>
      </c>
      <c r="D1065" t="s">
        <v>708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EFBF-D23D-4D03-ACEB-45F413E82E29}">
  <sheetPr codeName="Sheet6">
    <tabColor rgb="FFFBFFCD"/>
  </sheetPr>
  <dimension ref="A1:BO123"/>
  <sheetViews>
    <sheetView showGridLines="0" topLeftCell="A6" zoomScaleNormal="90" workbookViewId="0">
      <selection activeCell="H17" sqref="H17"/>
    </sheetView>
  </sheetViews>
  <sheetFormatPr defaultColWidth="0" defaultRowHeight="14.4" x14ac:dyDescent="0.3"/>
  <cols>
    <col min="1" max="1" width="4.33203125" customWidth="1"/>
    <col min="2" max="2" width="6" hidden="1" customWidth="1"/>
    <col min="3" max="3" width="29.109375" hidden="1" customWidth="1"/>
    <col min="4" max="6" width="27.44140625" customWidth="1"/>
    <col min="7" max="11" width="11.6640625" customWidth="1"/>
    <col min="12" max="12" width="52.6640625" customWidth="1"/>
    <col min="13" max="13" width="11.6640625" customWidth="1"/>
    <col min="14" max="14" width="52.6640625" customWidth="1"/>
    <col min="15" max="15" width="23.5546875" customWidth="1"/>
    <col min="16" max="18" width="9.109375" customWidth="1"/>
    <col min="19" max="16384" width="9.109375" hidden="1"/>
  </cols>
  <sheetData>
    <row r="1" spans="2:67" ht="15" thickBot="1" x14ac:dyDescent="0.35"/>
    <row r="2" spans="2:67" ht="18.600000000000001" thickBot="1" x14ac:dyDescent="0.4">
      <c r="D2" s="327" t="str">
        <f>'2. Cover'!B154</f>
        <v>Better Care Fund 2023-25 Quarter 2 Quarterly Reporting Template</v>
      </c>
      <c r="E2" s="328"/>
      <c r="F2" s="329"/>
    </row>
    <row r="3" spans="2:67" x14ac:dyDescent="0.3">
      <c r="D3" s="244" t="s">
        <v>7614</v>
      </c>
      <c r="E3" s="244"/>
      <c r="F3" s="244"/>
      <c r="AP3" t="s">
        <v>7615</v>
      </c>
      <c r="AW3">
        <v>4</v>
      </c>
      <c r="AX3">
        <v>5</v>
      </c>
      <c r="AY3">
        <v>3</v>
      </c>
      <c r="AZ3">
        <v>4</v>
      </c>
      <c r="BA3">
        <v>5</v>
      </c>
      <c r="BB3">
        <v>3</v>
      </c>
      <c r="BC3">
        <v>5</v>
      </c>
      <c r="BD3">
        <v>4</v>
      </c>
      <c r="BE3">
        <v>0</v>
      </c>
      <c r="BF3">
        <v>0</v>
      </c>
      <c r="BG3">
        <v>0</v>
      </c>
      <c r="BH3">
        <v>0</v>
      </c>
      <c r="BI3">
        <v>0</v>
      </c>
      <c r="BO3">
        <v>4</v>
      </c>
    </row>
    <row r="4" spans="2:67" x14ac:dyDescent="0.3">
      <c r="AP4" t="s">
        <v>7616</v>
      </c>
      <c r="AR4" t="s">
        <v>774</v>
      </c>
      <c r="AS4" t="s">
        <v>776</v>
      </c>
      <c r="AT4" t="s">
        <v>779</v>
      </c>
      <c r="AU4" t="s">
        <v>780</v>
      </c>
      <c r="AV4" t="s">
        <v>7617</v>
      </c>
      <c r="AW4" t="s">
        <v>7618</v>
      </c>
      <c r="AX4" t="s">
        <v>7619</v>
      </c>
      <c r="AY4" t="s">
        <v>7620</v>
      </c>
      <c r="AZ4" t="s">
        <v>7621</v>
      </c>
      <c r="BA4" t="s">
        <v>7622</v>
      </c>
      <c r="BB4" t="s">
        <v>7623</v>
      </c>
      <c r="BC4" t="s">
        <v>7624</v>
      </c>
      <c r="BD4" t="s">
        <v>7625</v>
      </c>
      <c r="BO4" t="s">
        <v>1386</v>
      </c>
    </row>
    <row r="5" spans="2:67" ht="18" x14ac:dyDescent="0.35">
      <c r="D5" t="s">
        <v>396</v>
      </c>
      <c r="F5" s="265" t="str">
        <f>IF('Backsheet for muncher'!D9="&lt;Please select a Health and Wellbeing Board&gt;","Please select in '2. Cover' sheet",'Backsheet for muncher'!D9)</f>
        <v>Hillingdon</v>
      </c>
      <c r="G5" s="265"/>
      <c r="H5" s="265"/>
      <c r="I5" s="52" t="str">
        <f>IF(F5="Please select in '2. Cover' sheet", "    Select HWB in '2. Cover' tab","")</f>
        <v/>
      </c>
      <c r="J5" s="52"/>
      <c r="K5" s="52"/>
      <c r="AP5" t="s">
        <v>369</v>
      </c>
      <c r="AQ5" t="s">
        <v>7626</v>
      </c>
      <c r="AR5" t="s">
        <v>369</v>
      </c>
      <c r="AS5" t="s">
        <v>369</v>
      </c>
      <c r="AT5" t="s">
        <v>369</v>
      </c>
      <c r="AU5" t="s">
        <v>369</v>
      </c>
      <c r="AV5" t="s">
        <v>369</v>
      </c>
      <c r="AW5" t="s">
        <v>369</v>
      </c>
      <c r="AX5" t="s">
        <v>369</v>
      </c>
      <c r="AY5" t="s">
        <v>369</v>
      </c>
      <c r="AZ5" t="s">
        <v>369</v>
      </c>
      <c r="BA5" t="s">
        <v>369</v>
      </c>
      <c r="BB5" t="s">
        <v>369</v>
      </c>
      <c r="BC5" t="s">
        <v>369</v>
      </c>
      <c r="BD5" t="s">
        <v>369</v>
      </c>
      <c r="BO5" t="s">
        <v>369</v>
      </c>
    </row>
    <row r="6" spans="2:67" x14ac:dyDescent="0.3">
      <c r="AO6">
        <v>1</v>
      </c>
      <c r="AP6" t="s">
        <v>800</v>
      </c>
      <c r="AQ6" t="s">
        <v>7618</v>
      </c>
      <c r="AR6" t="s">
        <v>1006</v>
      </c>
      <c r="AS6" t="s">
        <v>69</v>
      </c>
      <c r="AT6" t="s">
        <v>1119</v>
      </c>
      <c r="AU6" t="s">
        <v>7627</v>
      </c>
      <c r="AV6" t="s">
        <v>861</v>
      </c>
      <c r="AW6" t="s">
        <v>2108</v>
      </c>
      <c r="AX6" t="s">
        <v>843</v>
      </c>
      <c r="AY6" t="s">
        <v>7628</v>
      </c>
      <c r="AZ6" t="s">
        <v>7629</v>
      </c>
      <c r="BA6" t="s">
        <v>807</v>
      </c>
      <c r="BB6" t="s">
        <v>7630</v>
      </c>
      <c r="BC6" t="s">
        <v>7631</v>
      </c>
      <c r="BD6" t="s">
        <v>7632</v>
      </c>
      <c r="BO6" t="s">
        <v>1386</v>
      </c>
    </row>
    <row r="7" spans="2:67" x14ac:dyDescent="0.3">
      <c r="D7" s="326" t="s">
        <v>7633</v>
      </c>
      <c r="E7" s="326"/>
      <c r="F7" s="326"/>
      <c r="G7" s="326"/>
      <c r="H7" s="326"/>
      <c r="I7" s="326"/>
      <c r="J7" s="326"/>
      <c r="K7" s="326"/>
      <c r="L7" s="326"/>
      <c r="AO7">
        <v>2</v>
      </c>
      <c r="AP7" t="s">
        <v>842</v>
      </c>
      <c r="AQ7" t="s">
        <v>7619</v>
      </c>
      <c r="AR7" t="s">
        <v>823</v>
      </c>
      <c r="AS7" t="s">
        <v>7634</v>
      </c>
      <c r="AT7" t="s">
        <v>1107</v>
      </c>
      <c r="AU7" t="s">
        <v>7635</v>
      </c>
      <c r="AV7" t="s">
        <v>797</v>
      </c>
      <c r="AW7" t="s">
        <v>903</v>
      </c>
      <c r="AX7" t="s">
        <v>7636</v>
      </c>
      <c r="AY7" t="s">
        <v>812</v>
      </c>
      <c r="AZ7" t="s">
        <v>7637</v>
      </c>
      <c r="BA7" t="s">
        <v>917</v>
      </c>
      <c r="BB7" t="s">
        <v>7638</v>
      </c>
      <c r="BC7" t="s">
        <v>7639</v>
      </c>
      <c r="BD7" t="s">
        <v>7640</v>
      </c>
      <c r="BO7" t="s">
        <v>5039</v>
      </c>
    </row>
    <row r="8" spans="2:67" ht="34.5" customHeight="1" x14ac:dyDescent="0.3">
      <c r="D8" s="326" t="s">
        <v>7641</v>
      </c>
      <c r="E8" s="326"/>
      <c r="F8" s="326"/>
      <c r="G8" s="326"/>
      <c r="H8" s="326"/>
      <c r="I8" s="326"/>
      <c r="J8" s="326"/>
      <c r="K8" s="326"/>
      <c r="L8" s="326"/>
      <c r="AO8">
        <v>3</v>
      </c>
      <c r="AP8" t="s">
        <v>1106</v>
      </c>
      <c r="AQ8" t="s">
        <v>7620</v>
      </c>
      <c r="AR8" t="s">
        <v>3118</v>
      </c>
      <c r="AS8" t="s">
        <v>794</v>
      </c>
      <c r="AT8" t="s">
        <v>832</v>
      </c>
      <c r="AW8" t="s">
        <v>812</v>
      </c>
      <c r="AX8" t="s">
        <v>1594</v>
      </c>
      <c r="AZ8" t="s">
        <v>812</v>
      </c>
      <c r="BA8" t="s">
        <v>7642</v>
      </c>
      <c r="BC8" t="s">
        <v>7643</v>
      </c>
      <c r="BD8" t="s">
        <v>7644</v>
      </c>
    </row>
    <row r="9" spans="2:67" ht="121.5" customHeight="1" x14ac:dyDescent="0.3">
      <c r="D9" s="326" t="s">
        <v>7645</v>
      </c>
      <c r="E9" s="326"/>
      <c r="F9" s="326"/>
      <c r="G9" s="326"/>
      <c r="H9" s="326"/>
      <c r="I9" s="326"/>
      <c r="J9" s="326"/>
      <c r="K9" s="326"/>
      <c r="L9" s="326"/>
      <c r="AO9">
        <v>4</v>
      </c>
      <c r="AP9" t="s">
        <v>1113</v>
      </c>
      <c r="AQ9" t="s">
        <v>7621</v>
      </c>
      <c r="AR9" t="s">
        <v>792</v>
      </c>
      <c r="AS9" t="s">
        <v>794</v>
      </c>
      <c r="AT9" t="s">
        <v>1090</v>
      </c>
      <c r="AX9" t="s">
        <v>812</v>
      </c>
      <c r="BA9" t="s">
        <v>812</v>
      </c>
      <c r="BC9" t="s">
        <v>7646</v>
      </c>
      <c r="BO9" t="s">
        <v>7647</v>
      </c>
    </row>
    <row r="10" spans="2:67" x14ac:dyDescent="0.3">
      <c r="D10" s="326" t="s">
        <v>7648</v>
      </c>
      <c r="E10" s="326"/>
      <c r="F10" s="326"/>
      <c r="G10" s="326"/>
      <c r="H10" s="326"/>
      <c r="I10" s="326"/>
      <c r="J10" s="326"/>
      <c r="K10" s="326"/>
      <c r="L10" s="326"/>
      <c r="AO10">
        <v>5</v>
      </c>
      <c r="AP10" t="s">
        <v>806</v>
      </c>
      <c r="AQ10" t="s">
        <v>7622</v>
      </c>
      <c r="AT10" t="s">
        <v>795</v>
      </c>
    </row>
    <row r="11" spans="2:67" ht="8.25" customHeight="1" x14ac:dyDescent="0.3">
      <c r="AO11">
        <v>6</v>
      </c>
      <c r="AP11" t="s">
        <v>7649</v>
      </c>
      <c r="AQ11" t="s">
        <v>7623</v>
      </c>
      <c r="AT11" t="s">
        <v>825</v>
      </c>
    </row>
    <row r="12" spans="2:67" x14ac:dyDescent="0.3">
      <c r="AO12">
        <v>7</v>
      </c>
      <c r="AP12" t="s">
        <v>5266</v>
      </c>
      <c r="AQ12" t="s">
        <v>7624</v>
      </c>
      <c r="AT12" t="s">
        <v>804</v>
      </c>
    </row>
    <row r="13" spans="2:67" ht="80.25" customHeight="1" x14ac:dyDescent="0.3">
      <c r="D13" s="42" t="s">
        <v>754</v>
      </c>
      <c r="E13" s="42" t="s">
        <v>755</v>
      </c>
      <c r="F13" s="42" t="s">
        <v>756</v>
      </c>
      <c r="G13" s="42" t="s">
        <v>757</v>
      </c>
      <c r="H13" s="42" t="s">
        <v>7650</v>
      </c>
      <c r="I13" s="42" t="s">
        <v>7651</v>
      </c>
      <c r="J13" s="42" t="s">
        <v>761</v>
      </c>
      <c r="K13" s="42" t="s">
        <v>7652</v>
      </c>
      <c r="L13" s="42" t="s">
        <v>7653</v>
      </c>
      <c r="M13" s="42" t="s">
        <v>7654</v>
      </c>
      <c r="N13" s="42" t="s">
        <v>7655</v>
      </c>
      <c r="O13" s="42" t="s">
        <v>7656</v>
      </c>
      <c r="AO13">
        <v>8</v>
      </c>
      <c r="AP13" t="s">
        <v>7657</v>
      </c>
      <c r="AQ13" t="s">
        <v>7625</v>
      </c>
    </row>
    <row r="14" spans="2:67" ht="45" customHeight="1" x14ac:dyDescent="0.3">
      <c r="B14">
        <v>1</v>
      </c>
      <c r="C14" s="14" t="str">
        <f>IF(OR(E14="Administration",E14="Contigency",E14="Other"),E14,E14&amp;F14)</f>
        <v>Other</v>
      </c>
      <c r="D14" s="63" t="str">
        <f>IFERROR(VLOOKUP($B14&amp;$F$5,dfplnexp!$A:$H,4,0),"")</f>
        <v>Addressing non-health social issues</v>
      </c>
      <c r="E14" s="63" t="str">
        <f>IFERROR(VLOOKUP($B14&amp;$F$5,dfplnexp!$A:$H,5,0),"")</f>
        <v>Other</v>
      </c>
      <c r="F14" s="63" t="str">
        <f>IF(IFERROR(VLOOKUP($B14&amp;$F$5,dfplnexp!$A:$H,6,0),"")=0,"",IFERROR(VLOOKUP($B14&amp;$F$5,dfplnexp!$A:$H,6,0),""))</f>
        <v>(blank)</v>
      </c>
      <c r="G14" s="64">
        <f>IFERROR(VLOOKUP($B14&amp;$F$5,dfplnexp!$A:$I,8,0),"")</f>
        <v>4000</v>
      </c>
      <c r="H14" s="46"/>
      <c r="I14" s="49"/>
      <c r="J14" s="64" t="str">
        <f>IF(D14="","",IFERROR(VLOOKUP(C14,units!A:D,4,0),"N/A"))</f>
        <v>N/A</v>
      </c>
      <c r="K14" s="46"/>
      <c r="L14" s="43"/>
      <c r="M14" s="43"/>
      <c r="N14" s="43"/>
      <c r="O14" s="43"/>
      <c r="AO14">
        <v>9</v>
      </c>
      <c r="AP14" t="s">
        <v>7658</v>
      </c>
      <c r="AQ14" t="s">
        <v>7659</v>
      </c>
    </row>
    <row r="15" spans="2:67" ht="45" customHeight="1" x14ac:dyDescent="0.3">
      <c r="B15">
        <f>1+B14</f>
        <v>2</v>
      </c>
      <c r="C15" s="14" t="str">
        <f>IF(OR(E15="Administration",E15="Contigency",E15="Other"),E15,E15&amp;F15)</f>
        <v>Bed Based Intermediate Care ServicesStep down (discharge to assess pathway 2)</v>
      </c>
      <c r="D15" s="65" t="str">
        <f>IFERROR(VLOOKUP($B15&amp;$F$5,dfplnexp!$A:$H,4,0),"")</f>
        <v>Bed-based step-down</v>
      </c>
      <c r="E15" s="65" t="str">
        <f>IFERROR(VLOOKUP($B15&amp;$F$5,dfplnexp!$A:$H,5,0),"")</f>
        <v>Bed Based Intermediate Care Services</v>
      </c>
      <c r="F15" s="65" t="str">
        <f>IF(IFERROR(VLOOKUP($B15&amp;$F$5,dfplnexp!$A:$H,6,0),"")=0,"",IFERROR(VLOOKUP($B15&amp;$F$5,dfplnexp!$A:$H,6,0),""))</f>
        <v>Step down (discharge to assess pathway 2)</v>
      </c>
      <c r="G15" s="66">
        <f>IFERROR(VLOOKUP($B15&amp;$F$5,dfplnexp!$A:$I,8,0),"")</f>
        <v>286034</v>
      </c>
      <c r="H15" s="47"/>
      <c r="I15" s="50"/>
      <c r="J15" s="66" t="str">
        <f>IF(D15="","",IFERROR(VLOOKUP(C15,units!A:D,4,0),"N/A"))</f>
        <v>Number of beds</v>
      </c>
      <c r="K15" s="47"/>
      <c r="L15" s="44"/>
      <c r="M15" s="44"/>
      <c r="N15" s="44"/>
      <c r="O15" s="44"/>
      <c r="AO15">
        <v>10</v>
      </c>
      <c r="AP15" t="s">
        <v>7660</v>
      </c>
      <c r="AQ15" t="s">
        <v>7661</v>
      </c>
    </row>
    <row r="16" spans="2:67" ht="45" customHeight="1" x14ac:dyDescent="0.3">
      <c r="B16">
        <f t="shared" ref="B16:B79" si="0">1+B15</f>
        <v>3</v>
      </c>
      <c r="C16" s="14" t="str">
        <f>IF(OR(E16="Administration",E16="Contigency",E16="Other"),E16,E16&amp;F16)</f>
        <v>Residential Placements(blank)</v>
      </c>
      <c r="D16" s="65" t="str">
        <f>IFERROR(VLOOKUP($B16&amp;$F$5,dfplnexp!$A:$H,4,0),"")</f>
        <v>Bed-based step-down</v>
      </c>
      <c r="E16" s="65" t="str">
        <f>IFERROR(VLOOKUP($B16&amp;$F$5,dfplnexp!$A:$H,5,0),"")</f>
        <v>Residential Placements</v>
      </c>
      <c r="F16" s="65" t="str">
        <f>IF(IFERROR(VLOOKUP($B16&amp;$F$5,dfplnexp!$A:$H,6,0),"")=0,"",IFERROR(VLOOKUP($B16&amp;$F$5,dfplnexp!$A:$H,6,0),""))</f>
        <v>(blank)</v>
      </c>
      <c r="G16" s="66">
        <f>IFERROR(VLOOKUP($B16&amp;$F$5,dfplnexp!$A:$I,8,0),"")</f>
        <v>59400</v>
      </c>
      <c r="H16" s="47"/>
      <c r="I16" s="50"/>
      <c r="J16" s="66" t="str">
        <f>IF(D16="","",IFERROR(VLOOKUP(C16,units!A:D,4,0),"N/A"))</f>
        <v>N/A</v>
      </c>
      <c r="K16" s="47"/>
      <c r="L16" s="44"/>
      <c r="M16" s="44"/>
      <c r="N16" s="44"/>
      <c r="O16" s="44"/>
      <c r="AO16">
        <v>11</v>
      </c>
      <c r="AP16" t="s">
        <v>7662</v>
      </c>
    </row>
    <row r="17" spans="2:43" ht="45" customHeight="1" x14ac:dyDescent="0.3">
      <c r="B17">
        <f t="shared" si="0"/>
        <v>4</v>
      </c>
      <c r="C17" s="14" t="str">
        <f t="shared" ref="C17:C80" si="1">IF(OR(E17="Administration",E17="Contigency",E17="Other"),E17,E17&amp;F17)</f>
        <v>Home Care or Domiciliary CareDomiciliary care packages</v>
      </c>
      <c r="D17" s="65" t="str">
        <f>IFERROR(VLOOKUP($B17&amp;$F$5,dfplnexp!$A:$H,4,0),"")</f>
        <v>Discharge-related homecare</v>
      </c>
      <c r="E17" s="65" t="str">
        <f>IFERROR(VLOOKUP($B17&amp;$F$5,dfplnexp!$A:$H,5,0),"")</f>
        <v>Home Care or Domiciliary Care</v>
      </c>
      <c r="F17" s="65" t="str">
        <f>IF(IFERROR(VLOOKUP($B17&amp;$F$5,dfplnexp!$A:$H,6,0),"")=0,"",IFERROR(VLOOKUP($B17&amp;$F$5,dfplnexp!$A:$H,6,0),""))</f>
        <v>Domiciliary care packages</v>
      </c>
      <c r="G17" s="66">
        <f>IFERROR(VLOOKUP($B17&amp;$F$5,dfplnexp!$A:$I,8,0),"")</f>
        <v>196200</v>
      </c>
      <c r="H17" s="47"/>
      <c r="I17" s="50"/>
      <c r="J17" s="66" t="str">
        <f>IF(D17="","",IFERROR(VLOOKUP(C17,units!A:D,4,0),"N/A"))</f>
        <v>Hours of care</v>
      </c>
      <c r="K17" s="47"/>
      <c r="L17" s="44"/>
      <c r="M17" s="44"/>
      <c r="N17" s="44"/>
      <c r="O17" s="44"/>
      <c r="AO17">
        <v>12</v>
      </c>
      <c r="AP17" t="s">
        <v>812</v>
      </c>
      <c r="AQ17" t="s">
        <v>7663</v>
      </c>
    </row>
    <row r="18" spans="2:43" ht="45" customHeight="1" x14ac:dyDescent="0.3">
      <c r="B18">
        <f t="shared" si="0"/>
        <v>5</v>
      </c>
      <c r="C18" s="14" t="str">
        <f t="shared" si="1"/>
        <v>Residential PlacementsCare home</v>
      </c>
      <c r="D18" s="65" t="str">
        <f>IFERROR(VLOOKUP($B18&amp;$F$5,dfplnexp!$A:$H,4,0),"")</f>
        <v>Discharge-related placements</v>
      </c>
      <c r="E18" s="65" t="str">
        <f>IFERROR(VLOOKUP($B18&amp;$F$5,dfplnexp!$A:$H,5,0),"")</f>
        <v>Residential Placements</v>
      </c>
      <c r="F18" s="65" t="str">
        <f>IF(IFERROR(VLOOKUP($B18&amp;$F$5,dfplnexp!$A:$H,6,0),"")=0,"",IFERROR(VLOOKUP($B18&amp;$F$5,dfplnexp!$A:$H,6,0),""))</f>
        <v>Care home</v>
      </c>
      <c r="G18" s="66">
        <f>IFERROR(VLOOKUP($B18&amp;$F$5,dfplnexp!$A:$I,8,0),"")</f>
        <v>158636</v>
      </c>
      <c r="H18" s="47"/>
      <c r="I18" s="50"/>
      <c r="J18" s="66" t="str">
        <f>IF(D18="","",IFERROR(VLOOKUP(C18,units!A:D,4,0),"N/A"))</f>
        <v>Number of beds</v>
      </c>
      <c r="K18" s="47"/>
      <c r="L18" s="44"/>
      <c r="M18" s="44"/>
      <c r="N18" s="44"/>
      <c r="O18" s="44"/>
    </row>
    <row r="19" spans="2:43" ht="45" customHeight="1" x14ac:dyDescent="0.3">
      <c r="B19">
        <f t="shared" si="0"/>
        <v>6</v>
      </c>
      <c r="C19" s="14" t="str">
        <f t="shared" si="1"/>
        <v>Residential PlacementsNursing home</v>
      </c>
      <c r="D19" s="65" t="str">
        <f>IFERROR(VLOOKUP($B19&amp;$F$5,dfplnexp!$A:$H,4,0),"")</f>
        <v>Discharge-related placements</v>
      </c>
      <c r="E19" s="65" t="str">
        <f>IFERROR(VLOOKUP($B19&amp;$F$5,dfplnexp!$A:$H,5,0),"")</f>
        <v>Residential Placements</v>
      </c>
      <c r="F19" s="65" t="str">
        <f>IF(IFERROR(VLOOKUP($B19&amp;$F$5,dfplnexp!$A:$H,6,0),"")=0,"",IFERROR(VLOOKUP($B19&amp;$F$5,dfplnexp!$A:$H,6,0),""))</f>
        <v>Nursing home</v>
      </c>
      <c r="G19" s="66">
        <f>IFERROR(VLOOKUP($B19&amp;$F$5,dfplnexp!$A:$I,8,0),"")</f>
        <v>226720</v>
      </c>
      <c r="H19" s="47"/>
      <c r="I19" s="50"/>
      <c r="J19" s="66" t="str">
        <f>IF(D19="","",IFERROR(VLOOKUP(C19,units!A:D,4,0),"N/A"))</f>
        <v>Number of beds</v>
      </c>
      <c r="K19" s="47"/>
      <c r="L19" s="44"/>
      <c r="M19" s="44"/>
      <c r="N19" s="44"/>
      <c r="O19" s="44"/>
    </row>
    <row r="20" spans="2:43" ht="45" customHeight="1" x14ac:dyDescent="0.3">
      <c r="B20">
        <f t="shared" si="0"/>
        <v>7</v>
      </c>
      <c r="C20" s="14" t="str">
        <f t="shared" si="1"/>
        <v>Improve retention of existing workforceRetention bonuses for existing care staff</v>
      </c>
      <c r="D20" s="65" t="str">
        <f>IFERROR(VLOOKUP($B20&amp;$F$5,dfplnexp!$A:$H,4,0),"")</f>
        <v>Homecare capacity</v>
      </c>
      <c r="E20" s="65" t="str">
        <f>IFERROR(VLOOKUP($B20&amp;$F$5,dfplnexp!$A:$H,5,0),"")</f>
        <v>Improve retention of existing workforce</v>
      </c>
      <c r="F20" s="65" t="str">
        <f>IF(IFERROR(VLOOKUP($B20&amp;$F$5,dfplnexp!$A:$H,6,0),"")=0,"",IFERROR(VLOOKUP($B20&amp;$F$5,dfplnexp!$A:$H,6,0),""))</f>
        <v>Retention bonuses for existing care staff</v>
      </c>
      <c r="G20" s="66">
        <f>IFERROR(VLOOKUP($B20&amp;$F$5,dfplnexp!$A:$I,8,0),"")</f>
        <v>151600</v>
      </c>
      <c r="H20" s="47"/>
      <c r="I20" s="50"/>
      <c r="J20" s="66" t="str">
        <f>IF(D20="","",IFERROR(VLOOKUP(C20,units!A:D,4,0),"N/A"))</f>
        <v>number of staff</v>
      </c>
      <c r="K20" s="47"/>
      <c r="L20" s="44"/>
      <c r="M20" s="44"/>
      <c r="N20" s="44"/>
      <c r="O20" s="44"/>
    </row>
    <row r="21" spans="2:43" ht="45" customHeight="1" x14ac:dyDescent="0.3">
      <c r="B21">
        <f t="shared" si="0"/>
        <v>8</v>
      </c>
      <c r="C21" s="14" t="str">
        <f t="shared" si="1"/>
        <v>Local recruitment initiatives(blank)</v>
      </c>
      <c r="D21" s="65" t="str">
        <f>IFERROR(VLOOKUP($B21&amp;$F$5,dfplnexp!$A:$H,4,0),"")</f>
        <v>Homecare capacity</v>
      </c>
      <c r="E21" s="65" t="str">
        <f>IFERROR(VLOOKUP($B21&amp;$F$5,dfplnexp!$A:$H,5,0),"")</f>
        <v>Local recruitment initiatives</v>
      </c>
      <c r="F21" s="65" t="str">
        <f>IF(IFERROR(VLOOKUP($B21&amp;$F$5,dfplnexp!$A:$H,6,0),"")=0,"",IFERROR(VLOOKUP($B21&amp;$F$5,dfplnexp!$A:$H,6,0),""))</f>
        <v>(blank)</v>
      </c>
      <c r="G21" s="66">
        <f>IFERROR(VLOOKUP($B21&amp;$F$5,dfplnexp!$A:$I,8,0),"")</f>
        <v>225000</v>
      </c>
      <c r="H21" s="47"/>
      <c r="I21" s="50"/>
      <c r="J21" s="66" t="str">
        <f>IF(D21="","",IFERROR(VLOOKUP(C21,units!A:D,4,0),"N/A"))</f>
        <v>N/A</v>
      </c>
      <c r="K21" s="47"/>
      <c r="L21" s="44"/>
      <c r="M21" s="44"/>
      <c r="N21" s="44"/>
      <c r="O21" s="44"/>
    </row>
    <row r="22" spans="2:43" ht="45" customHeight="1" x14ac:dyDescent="0.3">
      <c r="B22">
        <f t="shared" si="0"/>
        <v>9</v>
      </c>
      <c r="C22" s="14" t="str">
        <f t="shared" si="1"/>
        <v>Other</v>
      </c>
      <c r="D22" s="65" t="str">
        <f>IFERROR(VLOOKUP($B22&amp;$F$5,dfplnexp!$A:$H,4,0),"")</f>
        <v xml:space="preserve">Housing support </v>
      </c>
      <c r="E22" s="65" t="str">
        <f>IFERROR(VLOOKUP($B22&amp;$F$5,dfplnexp!$A:$H,5,0),"")</f>
        <v>Other</v>
      </c>
      <c r="F22" s="65" t="str">
        <f>IF(IFERROR(VLOOKUP($B22&amp;$F$5,dfplnexp!$A:$H,6,0),"")=0,"",IFERROR(VLOOKUP($B22&amp;$F$5,dfplnexp!$A:$H,6,0),""))</f>
        <v>(blank)</v>
      </c>
      <c r="G22" s="66">
        <f>IFERROR(VLOOKUP($B22&amp;$F$5,dfplnexp!$A:$I,8,0),"")</f>
        <v>9785</v>
      </c>
      <c r="H22" s="47"/>
      <c r="I22" s="50"/>
      <c r="J22" s="66" t="str">
        <f>IF(D22="","",IFERROR(VLOOKUP(C22,units!A:D,4,0),"N/A"))</f>
        <v>N/A</v>
      </c>
      <c r="K22" s="47"/>
      <c r="L22" s="44"/>
      <c r="M22" s="44"/>
      <c r="N22" s="44"/>
      <c r="O22" s="44"/>
    </row>
    <row r="23" spans="2:43" ht="45" customHeight="1" x14ac:dyDescent="0.3">
      <c r="B23">
        <f t="shared" si="0"/>
        <v>10</v>
      </c>
      <c r="C23" s="14" t="str">
        <f t="shared" si="1"/>
        <v>Other</v>
      </c>
      <c r="D23" s="65" t="str">
        <f>IFERROR(VLOOKUP($B23&amp;$F$5,dfplnexp!$A:$H,4,0),"")</f>
        <v>Improving MH discharge flow</v>
      </c>
      <c r="E23" s="65" t="str">
        <f>IFERROR(VLOOKUP($B23&amp;$F$5,dfplnexp!$A:$H,5,0),"")</f>
        <v>Other</v>
      </c>
      <c r="F23" s="65" t="str">
        <f>IF(IFERROR(VLOOKUP($B23&amp;$F$5,dfplnexp!$A:$H,6,0),"")=0,"",IFERROR(VLOOKUP($B23&amp;$F$5,dfplnexp!$A:$H,6,0),""))</f>
        <v>(blank)</v>
      </c>
      <c r="G23" s="66">
        <f>IFERROR(VLOOKUP($B23&amp;$F$5,dfplnexp!$A:$I,8,0),"")</f>
        <v>54488</v>
      </c>
      <c r="H23" s="47"/>
      <c r="I23" s="50"/>
      <c r="J23" s="66" t="str">
        <f>IF(D23="","",IFERROR(VLOOKUP(C23,units!A:D,4,0),"N/A"))</f>
        <v>N/A</v>
      </c>
      <c r="K23" s="47"/>
      <c r="L23" s="44"/>
      <c r="M23" s="44"/>
      <c r="N23" s="44"/>
      <c r="O23" s="44"/>
    </row>
    <row r="24" spans="2:43" ht="45" customHeight="1" x14ac:dyDescent="0.3">
      <c r="B24">
        <f t="shared" si="0"/>
        <v>11</v>
      </c>
      <c r="C24" s="14" t="str">
        <f t="shared" si="1"/>
        <v>Reablement in a Person’s Own Home(blank)</v>
      </c>
      <c r="D24" s="65" t="str">
        <f>IFERROR(VLOOKUP($B24&amp;$F$5,dfplnexp!$A:$H,4,0),"")</f>
        <v>Increased community-based capacity</v>
      </c>
      <c r="E24" s="65" t="str">
        <f>IFERROR(VLOOKUP($B24&amp;$F$5,dfplnexp!$A:$H,5,0),"")</f>
        <v>Reablement in a Person’s Own Home</v>
      </c>
      <c r="F24" s="65" t="str">
        <f>IF(IFERROR(VLOOKUP($B24&amp;$F$5,dfplnexp!$A:$H,6,0),"")=0,"",IFERROR(VLOOKUP($B24&amp;$F$5,dfplnexp!$A:$H,6,0),""))</f>
        <v>(blank)</v>
      </c>
      <c r="G24" s="66">
        <f>IFERROR(VLOOKUP($B24&amp;$F$5,dfplnexp!$A:$I,8,0),"")</f>
        <v>486525</v>
      </c>
      <c r="H24" s="47"/>
      <c r="I24" s="50"/>
      <c r="J24" s="66" t="str">
        <f>IF(D24="","",IFERROR(VLOOKUP(C24,units!A:D,4,0),"N/A"))</f>
        <v>N/A</v>
      </c>
      <c r="K24" s="47"/>
      <c r="L24" s="44"/>
      <c r="M24" s="44"/>
      <c r="N24" s="44"/>
      <c r="O24" s="44"/>
    </row>
    <row r="25" spans="2:43" ht="45" customHeight="1" x14ac:dyDescent="0.3">
      <c r="B25">
        <f t="shared" si="0"/>
        <v>12</v>
      </c>
      <c r="C25" s="14" t="str">
        <f t="shared" si="1"/>
        <v>Other</v>
      </c>
      <c r="D25" s="65" t="str">
        <f>IFERROR(VLOOKUP($B25&amp;$F$5,dfplnexp!$A:$H,4,0),"")</f>
        <v>Market Quality</v>
      </c>
      <c r="E25" s="65" t="str">
        <f>IFERROR(VLOOKUP($B25&amp;$F$5,dfplnexp!$A:$H,5,0),"")</f>
        <v>Other</v>
      </c>
      <c r="F25" s="65" t="str">
        <f>IF(IFERROR(VLOOKUP($B25&amp;$F$5,dfplnexp!$A:$H,6,0),"")=0,"",IFERROR(VLOOKUP($B25&amp;$F$5,dfplnexp!$A:$H,6,0),""))</f>
        <v>(blank)</v>
      </c>
      <c r="G25" s="66">
        <f>IFERROR(VLOOKUP($B25&amp;$F$5,dfplnexp!$A:$I,8,0),"")</f>
        <v>111755</v>
      </c>
      <c r="H25" s="47"/>
      <c r="I25" s="50"/>
      <c r="J25" s="66" t="str">
        <f>IF(D25="","",IFERROR(VLOOKUP(C25,units!A:D,4,0),"N/A"))</f>
        <v>N/A</v>
      </c>
      <c r="K25" s="47"/>
      <c r="L25" s="44"/>
      <c r="M25" s="44"/>
      <c r="N25" s="44"/>
      <c r="O25" s="44"/>
    </row>
    <row r="26" spans="2:43" ht="45" customHeight="1" x14ac:dyDescent="0.3">
      <c r="B26">
        <f t="shared" si="0"/>
        <v>13</v>
      </c>
      <c r="C26" s="14" t="str">
        <f t="shared" si="1"/>
        <v>Other</v>
      </c>
      <c r="D26" s="65" t="str">
        <f>IFERROR(VLOOKUP($B26&amp;$F$5,dfplnexp!$A:$H,4,0),"")</f>
        <v>Step-down in-reach</v>
      </c>
      <c r="E26" s="65" t="str">
        <f>IFERROR(VLOOKUP($B26&amp;$F$5,dfplnexp!$A:$H,5,0),"")</f>
        <v>Other</v>
      </c>
      <c r="F26" s="65" t="str">
        <f>IF(IFERROR(VLOOKUP($B26&amp;$F$5,dfplnexp!$A:$H,6,0),"")=0,"",IFERROR(VLOOKUP($B26&amp;$F$5,dfplnexp!$A:$H,6,0),""))</f>
        <v>(blank)</v>
      </c>
      <c r="G26" s="66">
        <f>IFERROR(VLOOKUP($B26&amp;$F$5,dfplnexp!$A:$I,8,0),"")</f>
        <v>15000</v>
      </c>
      <c r="H26" s="47"/>
      <c r="I26" s="50"/>
      <c r="J26" s="66" t="str">
        <f>IF(D26="","",IFERROR(VLOOKUP(C26,units!A:D,4,0),"N/A"))</f>
        <v>N/A</v>
      </c>
      <c r="K26" s="47"/>
      <c r="L26" s="44"/>
      <c r="M26" s="44"/>
      <c r="N26" s="44"/>
      <c r="O26" s="44"/>
    </row>
    <row r="27" spans="2:43" ht="45" customHeight="1" x14ac:dyDescent="0.3">
      <c r="B27">
        <f t="shared" si="0"/>
        <v>14</v>
      </c>
      <c r="C27" s="14" t="str">
        <f t="shared" si="1"/>
        <v/>
      </c>
      <c r="D27" s="65" t="str">
        <f>IFERROR(VLOOKUP($B27&amp;$F$5,dfplnexp!$A:$H,4,0),"")</f>
        <v/>
      </c>
      <c r="E27" s="65" t="str">
        <f>IFERROR(VLOOKUP($B27&amp;$F$5,dfplnexp!$A:$H,5,0),"")</f>
        <v/>
      </c>
      <c r="F27" s="65" t="str">
        <f>IF(IFERROR(VLOOKUP($B27&amp;$F$5,dfplnexp!$A:$H,6,0),"")=0,"",IFERROR(VLOOKUP($B27&amp;$F$5,dfplnexp!$A:$H,6,0),""))</f>
        <v/>
      </c>
      <c r="G27" s="66" t="str">
        <f>IFERROR(VLOOKUP($B27&amp;$F$5,dfplnexp!$A:$I,8,0),"")</f>
        <v/>
      </c>
      <c r="H27" s="47"/>
      <c r="I27" s="50"/>
      <c r="J27" s="66" t="str">
        <f>IF(D27="","",IFERROR(VLOOKUP(C27,units!A:D,4,0),"N/A"))</f>
        <v/>
      </c>
      <c r="K27" s="47"/>
      <c r="L27" s="44"/>
      <c r="M27" s="44"/>
      <c r="N27" s="44"/>
      <c r="O27" s="44"/>
    </row>
    <row r="28" spans="2:43" ht="45" customHeight="1" x14ac:dyDescent="0.3">
      <c r="B28">
        <f t="shared" si="0"/>
        <v>15</v>
      </c>
      <c r="C28" s="14" t="str">
        <f t="shared" si="1"/>
        <v/>
      </c>
      <c r="D28" s="65" t="str">
        <f>IFERROR(VLOOKUP($B28&amp;$F$5,dfplnexp!$A:$H,4,0),"")</f>
        <v/>
      </c>
      <c r="E28" s="65" t="str">
        <f>IFERROR(VLOOKUP($B28&amp;$F$5,dfplnexp!$A:$H,5,0),"")</f>
        <v/>
      </c>
      <c r="F28" s="65" t="str">
        <f>IF(IFERROR(VLOOKUP($B28&amp;$F$5,dfplnexp!$A:$H,6,0),"")=0,"",IFERROR(VLOOKUP($B28&amp;$F$5,dfplnexp!$A:$H,6,0),""))</f>
        <v/>
      </c>
      <c r="G28" s="66" t="str">
        <f>IFERROR(VLOOKUP($B28&amp;$F$5,dfplnexp!$A:$I,8,0),"")</f>
        <v/>
      </c>
      <c r="H28" s="47"/>
      <c r="I28" s="50"/>
      <c r="J28" s="66" t="str">
        <f>IF(D28="","",IFERROR(VLOOKUP(C28,units!A:D,4,0),"N/A"))</f>
        <v/>
      </c>
      <c r="K28" s="47"/>
      <c r="L28" s="44"/>
      <c r="M28" s="44"/>
      <c r="N28" s="44"/>
      <c r="O28" s="44"/>
    </row>
    <row r="29" spans="2:43" ht="45" customHeight="1" x14ac:dyDescent="0.3">
      <c r="B29">
        <f t="shared" si="0"/>
        <v>16</v>
      </c>
      <c r="C29" s="14" t="str">
        <f t="shared" si="1"/>
        <v/>
      </c>
      <c r="D29" s="65" t="str">
        <f>IFERROR(VLOOKUP($B29&amp;$F$5,dfplnexp!$A:$H,4,0),"")</f>
        <v/>
      </c>
      <c r="E29" s="65" t="str">
        <f>IFERROR(VLOOKUP($B29&amp;$F$5,dfplnexp!$A:$H,5,0),"")</f>
        <v/>
      </c>
      <c r="F29" s="65" t="str">
        <f>IF(IFERROR(VLOOKUP($B29&amp;$F$5,dfplnexp!$A:$H,6,0),"")=0,"",IFERROR(VLOOKUP($B29&amp;$F$5,dfplnexp!$A:$H,6,0),""))</f>
        <v/>
      </c>
      <c r="G29" s="66" t="str">
        <f>IFERROR(VLOOKUP($B29&amp;$F$5,dfplnexp!$A:$I,8,0),"")</f>
        <v/>
      </c>
      <c r="H29" s="47"/>
      <c r="I29" s="50"/>
      <c r="J29" s="66" t="str">
        <f>IF(D29="","",IFERROR(VLOOKUP(C29,units!A:D,4,0),"N/A"))</f>
        <v/>
      </c>
      <c r="K29" s="47"/>
      <c r="L29" s="44"/>
      <c r="M29" s="44"/>
      <c r="N29" s="44"/>
      <c r="O29" s="44"/>
    </row>
    <row r="30" spans="2:43" ht="45" customHeight="1" x14ac:dyDescent="0.3">
      <c r="B30">
        <f t="shared" si="0"/>
        <v>17</v>
      </c>
      <c r="C30" s="14" t="str">
        <f t="shared" si="1"/>
        <v/>
      </c>
      <c r="D30" s="65" t="str">
        <f>IFERROR(VLOOKUP($B30&amp;$F$5,dfplnexp!$A:$H,4,0),"")</f>
        <v/>
      </c>
      <c r="E30" s="65" t="str">
        <f>IFERROR(VLOOKUP($B30&amp;$F$5,dfplnexp!$A:$H,5,0),"")</f>
        <v/>
      </c>
      <c r="F30" s="65" t="str">
        <f>IF(IFERROR(VLOOKUP($B30&amp;$F$5,dfplnexp!$A:$H,6,0),"")=0,"",IFERROR(VLOOKUP($B30&amp;$F$5,dfplnexp!$A:$H,6,0),""))</f>
        <v/>
      </c>
      <c r="G30" s="66" t="str">
        <f>IFERROR(VLOOKUP($B30&amp;$F$5,dfplnexp!$A:$I,8,0),"")</f>
        <v/>
      </c>
      <c r="H30" s="47"/>
      <c r="I30" s="50"/>
      <c r="J30" s="66" t="str">
        <f>IF(D30="","",IFERROR(VLOOKUP(C30,units!A:D,4,0),"N/A"))</f>
        <v/>
      </c>
      <c r="K30" s="47"/>
      <c r="L30" s="44"/>
      <c r="M30" s="44"/>
      <c r="N30" s="44"/>
      <c r="O30" s="44"/>
    </row>
    <row r="31" spans="2:43" ht="45" customHeight="1" x14ac:dyDescent="0.3">
      <c r="B31">
        <f t="shared" si="0"/>
        <v>18</v>
      </c>
      <c r="C31" s="14" t="str">
        <f t="shared" si="1"/>
        <v/>
      </c>
      <c r="D31" s="65" t="str">
        <f>IFERROR(VLOOKUP($B31&amp;$F$5,dfplnexp!$A:$H,4,0),"")</f>
        <v/>
      </c>
      <c r="E31" s="65" t="str">
        <f>IFERROR(VLOOKUP($B31&amp;$F$5,dfplnexp!$A:$H,5,0),"")</f>
        <v/>
      </c>
      <c r="F31" s="65" t="str">
        <f>IF(IFERROR(VLOOKUP($B31&amp;$F$5,dfplnexp!$A:$H,6,0),"")=0,"",IFERROR(VLOOKUP($B31&amp;$F$5,dfplnexp!$A:$H,6,0),""))</f>
        <v/>
      </c>
      <c r="G31" s="66" t="str">
        <f>IFERROR(VLOOKUP($B31&amp;$F$5,dfplnexp!$A:$I,8,0),"")</f>
        <v/>
      </c>
      <c r="H31" s="47"/>
      <c r="I31" s="50"/>
      <c r="J31" s="66" t="str">
        <f>IF(D31="","",IFERROR(VLOOKUP(C31,units!A:D,4,0),"N/A"))</f>
        <v/>
      </c>
      <c r="K31" s="47"/>
      <c r="L31" s="44"/>
      <c r="M31" s="44"/>
      <c r="N31" s="44"/>
      <c r="O31" s="44"/>
    </row>
    <row r="32" spans="2:43" ht="45" customHeight="1" x14ac:dyDescent="0.3">
      <c r="B32">
        <f t="shared" si="0"/>
        <v>19</v>
      </c>
      <c r="C32" s="14" t="str">
        <f t="shared" si="1"/>
        <v/>
      </c>
      <c r="D32" s="65" t="str">
        <f>IFERROR(VLOOKUP($B32&amp;$F$5,dfplnexp!$A:$H,4,0),"")</f>
        <v/>
      </c>
      <c r="E32" s="65" t="str">
        <f>IFERROR(VLOOKUP($B32&amp;$F$5,dfplnexp!$A:$H,5,0),"")</f>
        <v/>
      </c>
      <c r="F32" s="65" t="str">
        <f>IF(IFERROR(VLOOKUP($B32&amp;$F$5,dfplnexp!$A:$H,6,0),"")=0,"",IFERROR(VLOOKUP($B32&amp;$F$5,dfplnexp!$A:$H,6,0),""))</f>
        <v/>
      </c>
      <c r="G32" s="66" t="str">
        <f>IFERROR(VLOOKUP($B32&amp;$F$5,dfplnexp!$A:$I,8,0),"")</f>
        <v/>
      </c>
      <c r="H32" s="47"/>
      <c r="I32" s="50"/>
      <c r="J32" s="66" t="str">
        <f>IF(D32="","",IFERROR(VLOOKUP(C32,units!A:D,4,0),"N/A"))</f>
        <v/>
      </c>
      <c r="K32" s="47"/>
      <c r="L32" s="44"/>
      <c r="M32" s="44"/>
      <c r="N32" s="44"/>
      <c r="O32" s="44"/>
    </row>
    <row r="33" spans="2:15" ht="45" customHeight="1" x14ac:dyDescent="0.3">
      <c r="B33">
        <f t="shared" si="0"/>
        <v>20</v>
      </c>
      <c r="C33" s="14" t="str">
        <f t="shared" si="1"/>
        <v/>
      </c>
      <c r="D33" s="65" t="str">
        <f>IFERROR(VLOOKUP($B33&amp;$F$5,dfplnexp!$A:$H,4,0),"")</f>
        <v/>
      </c>
      <c r="E33" s="65" t="str">
        <f>IFERROR(VLOOKUP($B33&amp;$F$5,dfplnexp!$A:$H,5,0),"")</f>
        <v/>
      </c>
      <c r="F33" s="65" t="str">
        <f>IF(IFERROR(VLOOKUP($B33&amp;$F$5,dfplnexp!$A:$H,6,0),"")=0,"",IFERROR(VLOOKUP($B33&amp;$F$5,dfplnexp!$A:$H,6,0),""))</f>
        <v/>
      </c>
      <c r="G33" s="66" t="str">
        <f>IFERROR(VLOOKUP($B33&amp;$F$5,dfplnexp!$A:$I,8,0),"")</f>
        <v/>
      </c>
      <c r="H33" s="47"/>
      <c r="I33" s="50"/>
      <c r="J33" s="66" t="str">
        <f>IF(D33="","",IFERROR(VLOOKUP(C33,units!A:D,4,0),"N/A"))</f>
        <v/>
      </c>
      <c r="K33" s="47"/>
      <c r="L33" s="44"/>
      <c r="M33" s="44"/>
      <c r="N33" s="44"/>
      <c r="O33" s="44"/>
    </row>
    <row r="34" spans="2:15" ht="45" customHeight="1" x14ac:dyDescent="0.3">
      <c r="B34">
        <f t="shared" si="0"/>
        <v>21</v>
      </c>
      <c r="C34" s="14" t="str">
        <f t="shared" si="1"/>
        <v/>
      </c>
      <c r="D34" s="65" t="str">
        <f>IFERROR(VLOOKUP($B34&amp;$F$5,dfplnexp!$A:$H,4,0),"")</f>
        <v/>
      </c>
      <c r="E34" s="65" t="str">
        <f>IFERROR(VLOOKUP($B34&amp;$F$5,dfplnexp!$A:$H,5,0),"")</f>
        <v/>
      </c>
      <c r="F34" s="65" t="str">
        <f>IF(IFERROR(VLOOKUP($B34&amp;$F$5,dfplnexp!$A:$H,6,0),"")=0,"",IFERROR(VLOOKUP($B34&amp;$F$5,dfplnexp!$A:$H,6,0),""))</f>
        <v/>
      </c>
      <c r="G34" s="66" t="str">
        <f>IFERROR(VLOOKUP($B34&amp;$F$5,dfplnexp!$A:$I,8,0),"")</f>
        <v/>
      </c>
      <c r="H34" s="47"/>
      <c r="I34" s="50"/>
      <c r="J34" s="66" t="str">
        <f>IF(D34="","",IFERROR(VLOOKUP(C34,units!A:D,4,0),"N/A"))</f>
        <v/>
      </c>
      <c r="K34" s="47"/>
      <c r="L34" s="44"/>
      <c r="M34" s="44"/>
      <c r="N34" s="44"/>
      <c r="O34" s="44"/>
    </row>
    <row r="35" spans="2:15" ht="45" customHeight="1" x14ac:dyDescent="0.3">
      <c r="B35">
        <f t="shared" si="0"/>
        <v>22</v>
      </c>
      <c r="C35" s="14" t="str">
        <f t="shared" si="1"/>
        <v/>
      </c>
      <c r="D35" s="65" t="str">
        <f>IFERROR(VLOOKUP($B35&amp;$F$5,dfplnexp!$A:$H,4,0),"")</f>
        <v/>
      </c>
      <c r="E35" s="65" t="str">
        <f>IFERROR(VLOOKUP($B35&amp;$F$5,dfplnexp!$A:$H,5,0),"")</f>
        <v/>
      </c>
      <c r="F35" s="65" t="str">
        <f>IF(IFERROR(VLOOKUP($B35&amp;$F$5,dfplnexp!$A:$H,6,0),"")=0,"",IFERROR(VLOOKUP($B35&amp;$F$5,dfplnexp!$A:$H,6,0),""))</f>
        <v/>
      </c>
      <c r="G35" s="66" t="str">
        <f>IFERROR(VLOOKUP($B35&amp;$F$5,dfplnexp!$A:$I,8,0),"")</f>
        <v/>
      </c>
      <c r="H35" s="47"/>
      <c r="I35" s="50"/>
      <c r="J35" s="66" t="str">
        <f>IF(D35="","",IFERROR(VLOOKUP(C35,units!A:D,4,0),"N/A"))</f>
        <v/>
      </c>
      <c r="K35" s="47"/>
      <c r="L35" s="44"/>
      <c r="M35" s="44"/>
      <c r="N35" s="44"/>
      <c r="O35" s="44"/>
    </row>
    <row r="36" spans="2:15" ht="45" customHeight="1" x14ac:dyDescent="0.3">
      <c r="B36">
        <f t="shared" si="0"/>
        <v>23</v>
      </c>
      <c r="C36" s="14" t="str">
        <f t="shared" si="1"/>
        <v/>
      </c>
      <c r="D36" s="65" t="str">
        <f>IFERROR(VLOOKUP($B36&amp;$F$5,dfplnexp!$A:$H,4,0),"")</f>
        <v/>
      </c>
      <c r="E36" s="65" t="str">
        <f>IFERROR(VLOOKUP($B36&amp;$F$5,dfplnexp!$A:$H,5,0),"")</f>
        <v/>
      </c>
      <c r="F36" s="65" t="str">
        <f>IF(IFERROR(VLOOKUP($B36&amp;$F$5,dfplnexp!$A:$H,6,0),"")=0,"",IFERROR(VLOOKUP($B36&amp;$F$5,dfplnexp!$A:$H,6,0),""))</f>
        <v/>
      </c>
      <c r="G36" s="66" t="str">
        <f>IFERROR(VLOOKUP($B36&amp;$F$5,dfplnexp!$A:$I,8,0),"")</f>
        <v/>
      </c>
      <c r="H36" s="47"/>
      <c r="I36" s="50"/>
      <c r="J36" s="66" t="str">
        <f>IF(D36="","",IFERROR(VLOOKUP(C36,units!A:D,4,0),"N/A"))</f>
        <v/>
      </c>
      <c r="K36" s="47"/>
      <c r="L36" s="44"/>
      <c r="M36" s="44"/>
      <c r="N36" s="44"/>
      <c r="O36" s="44"/>
    </row>
    <row r="37" spans="2:15" ht="45" customHeight="1" x14ac:dyDescent="0.3">
      <c r="B37">
        <f t="shared" si="0"/>
        <v>24</v>
      </c>
      <c r="C37" s="14" t="str">
        <f t="shared" si="1"/>
        <v/>
      </c>
      <c r="D37" s="65" t="str">
        <f>IFERROR(VLOOKUP($B37&amp;$F$5,dfplnexp!$A:$H,4,0),"")</f>
        <v/>
      </c>
      <c r="E37" s="65" t="str">
        <f>IFERROR(VLOOKUP($B37&amp;$F$5,dfplnexp!$A:$H,5,0),"")</f>
        <v/>
      </c>
      <c r="F37" s="65" t="str">
        <f>IF(IFERROR(VLOOKUP($B37&amp;$F$5,dfplnexp!$A:$H,6,0),"")=0,"",IFERROR(VLOOKUP($B37&amp;$F$5,dfplnexp!$A:$H,6,0),""))</f>
        <v/>
      </c>
      <c r="G37" s="66" t="str">
        <f>IFERROR(VLOOKUP($B37&amp;$F$5,dfplnexp!$A:$I,8,0),"")</f>
        <v/>
      </c>
      <c r="H37" s="47"/>
      <c r="I37" s="50"/>
      <c r="J37" s="66" t="str">
        <f>IF(D37="","",IFERROR(VLOOKUP(C37,units!A:D,4,0),"N/A"))</f>
        <v/>
      </c>
      <c r="K37" s="47"/>
      <c r="L37" s="44"/>
      <c r="M37" s="44"/>
      <c r="N37" s="44"/>
      <c r="O37" s="44"/>
    </row>
    <row r="38" spans="2:15" ht="45" customHeight="1" x14ac:dyDescent="0.3">
      <c r="B38">
        <f t="shared" si="0"/>
        <v>25</v>
      </c>
      <c r="C38" s="14" t="str">
        <f t="shared" si="1"/>
        <v/>
      </c>
      <c r="D38" s="65" t="str">
        <f>IFERROR(VLOOKUP($B38&amp;$F$5,dfplnexp!$A:$H,4,0),"")</f>
        <v/>
      </c>
      <c r="E38" s="65" t="str">
        <f>IFERROR(VLOOKUP($B38&amp;$F$5,dfplnexp!$A:$H,5,0),"")</f>
        <v/>
      </c>
      <c r="F38" s="65" t="str">
        <f>IF(IFERROR(VLOOKUP($B38&amp;$F$5,dfplnexp!$A:$H,6,0),"")=0,"",IFERROR(VLOOKUP($B38&amp;$F$5,dfplnexp!$A:$H,6,0),""))</f>
        <v/>
      </c>
      <c r="G38" s="66" t="str">
        <f>IFERROR(VLOOKUP($B38&amp;$F$5,dfplnexp!$A:$I,8,0),"")</f>
        <v/>
      </c>
      <c r="H38" s="47"/>
      <c r="I38" s="50"/>
      <c r="J38" s="66" t="str">
        <f>IF(D38="","",IFERROR(VLOOKUP(C38,units!A:D,4,0),"N/A"))</f>
        <v/>
      </c>
      <c r="K38" s="47"/>
      <c r="L38" s="44"/>
      <c r="M38" s="44"/>
      <c r="N38" s="44"/>
      <c r="O38" s="44"/>
    </row>
    <row r="39" spans="2:15" ht="45" customHeight="1" x14ac:dyDescent="0.3">
      <c r="B39">
        <f t="shared" si="0"/>
        <v>26</v>
      </c>
      <c r="C39" s="14" t="str">
        <f t="shared" si="1"/>
        <v/>
      </c>
      <c r="D39" s="65" t="str">
        <f>IFERROR(VLOOKUP($B39&amp;$F$5,dfplnexp!$A:$H,4,0),"")</f>
        <v/>
      </c>
      <c r="E39" s="65" t="str">
        <f>IFERROR(VLOOKUP($B39&amp;$F$5,dfplnexp!$A:$H,5,0),"")</f>
        <v/>
      </c>
      <c r="F39" s="65" t="str">
        <f>IF(IFERROR(VLOOKUP($B39&amp;$F$5,dfplnexp!$A:$H,6,0),"")=0,"",IFERROR(VLOOKUP($B39&amp;$F$5,dfplnexp!$A:$H,6,0),""))</f>
        <v/>
      </c>
      <c r="G39" s="66" t="str">
        <f>IFERROR(VLOOKUP($B39&amp;$F$5,dfplnexp!$A:$I,8,0),"")</f>
        <v/>
      </c>
      <c r="H39" s="47"/>
      <c r="I39" s="50"/>
      <c r="J39" s="66" t="str">
        <f>IF(D39="","",IFERROR(VLOOKUP(C39,units!A:D,4,0),"N/A"))</f>
        <v/>
      </c>
      <c r="K39" s="47"/>
      <c r="L39" s="44"/>
      <c r="M39" s="44"/>
      <c r="N39" s="44"/>
      <c r="O39" s="44"/>
    </row>
    <row r="40" spans="2:15" ht="45" customHeight="1" x14ac:dyDescent="0.3">
      <c r="B40">
        <f t="shared" si="0"/>
        <v>27</v>
      </c>
      <c r="C40" s="14" t="str">
        <f t="shared" si="1"/>
        <v/>
      </c>
      <c r="D40" s="65" t="str">
        <f>IFERROR(VLOOKUP($B40&amp;$F$5,dfplnexp!$A:$H,4,0),"")</f>
        <v/>
      </c>
      <c r="E40" s="65" t="str">
        <f>IFERROR(VLOOKUP($B40&amp;$F$5,dfplnexp!$A:$H,5,0),"")</f>
        <v/>
      </c>
      <c r="F40" s="65" t="str">
        <f>IF(IFERROR(VLOOKUP($B40&amp;$F$5,dfplnexp!$A:$H,6,0),"")=0,"",IFERROR(VLOOKUP($B40&amp;$F$5,dfplnexp!$A:$H,6,0),""))</f>
        <v/>
      </c>
      <c r="G40" s="66" t="str">
        <f>IFERROR(VLOOKUP($B40&amp;$F$5,dfplnexp!$A:$I,8,0),"")</f>
        <v/>
      </c>
      <c r="H40" s="47"/>
      <c r="I40" s="50"/>
      <c r="J40" s="66" t="str">
        <f>IF(D40="","",IFERROR(VLOOKUP(C40,units!A:D,4,0),"N/A"))</f>
        <v/>
      </c>
      <c r="K40" s="47"/>
      <c r="L40" s="44"/>
      <c r="M40" s="44"/>
      <c r="N40" s="44"/>
      <c r="O40" s="44"/>
    </row>
    <row r="41" spans="2:15" ht="45" customHeight="1" x14ac:dyDescent="0.3">
      <c r="B41">
        <f t="shared" si="0"/>
        <v>28</v>
      </c>
      <c r="C41" s="14" t="str">
        <f t="shared" si="1"/>
        <v/>
      </c>
      <c r="D41" s="65" t="str">
        <f>IFERROR(VLOOKUP($B41&amp;$F$5,dfplnexp!$A:$H,4,0),"")</f>
        <v/>
      </c>
      <c r="E41" s="65" t="str">
        <f>IFERROR(VLOOKUP($B41&amp;$F$5,dfplnexp!$A:$H,5,0),"")</f>
        <v/>
      </c>
      <c r="F41" s="65" t="str">
        <f>IF(IFERROR(VLOOKUP($B41&amp;$F$5,dfplnexp!$A:$H,6,0),"")=0,"",IFERROR(VLOOKUP($B41&amp;$F$5,dfplnexp!$A:$H,6,0),""))</f>
        <v/>
      </c>
      <c r="G41" s="66" t="str">
        <f>IFERROR(VLOOKUP($B41&amp;$F$5,dfplnexp!$A:$I,8,0),"")</f>
        <v/>
      </c>
      <c r="H41" s="47"/>
      <c r="I41" s="50"/>
      <c r="J41" s="66" t="str">
        <f>IF(D41="","",IFERROR(VLOOKUP(C41,units!A:D,4,0),"N/A"))</f>
        <v/>
      </c>
      <c r="K41" s="47"/>
      <c r="L41" s="44"/>
      <c r="M41" s="44"/>
      <c r="N41" s="44"/>
      <c r="O41" s="44"/>
    </row>
    <row r="42" spans="2:15" ht="45" customHeight="1" x14ac:dyDescent="0.3">
      <c r="B42">
        <f t="shared" si="0"/>
        <v>29</v>
      </c>
      <c r="C42" s="14" t="str">
        <f t="shared" si="1"/>
        <v/>
      </c>
      <c r="D42" s="65" t="str">
        <f>IFERROR(VLOOKUP($B42&amp;$F$5,dfplnexp!$A:$H,4,0),"")</f>
        <v/>
      </c>
      <c r="E42" s="65" t="str">
        <f>IFERROR(VLOOKUP($B42&amp;$F$5,dfplnexp!$A:$H,5,0),"")</f>
        <v/>
      </c>
      <c r="F42" s="65" t="str">
        <f>IF(IFERROR(VLOOKUP($B42&amp;$F$5,dfplnexp!$A:$H,6,0),"")=0,"",IFERROR(VLOOKUP($B42&amp;$F$5,dfplnexp!$A:$H,6,0),""))</f>
        <v/>
      </c>
      <c r="G42" s="66" t="str">
        <f>IFERROR(VLOOKUP($B42&amp;$F$5,dfplnexp!$A:$I,8,0),"")</f>
        <v/>
      </c>
      <c r="H42" s="47"/>
      <c r="I42" s="50"/>
      <c r="J42" s="66" t="str">
        <f>IF(D42="","",IFERROR(VLOOKUP(C42,units!A:D,4,0),"N/A"))</f>
        <v/>
      </c>
      <c r="K42" s="47"/>
      <c r="L42" s="44"/>
      <c r="M42" s="44"/>
      <c r="N42" s="44"/>
      <c r="O42" s="44"/>
    </row>
    <row r="43" spans="2:15" ht="45" customHeight="1" x14ac:dyDescent="0.3">
      <c r="B43">
        <f t="shared" si="0"/>
        <v>30</v>
      </c>
      <c r="C43" s="14" t="str">
        <f t="shared" si="1"/>
        <v/>
      </c>
      <c r="D43" s="65" t="str">
        <f>IFERROR(VLOOKUP($B43&amp;$F$5,dfplnexp!$A:$H,4,0),"")</f>
        <v/>
      </c>
      <c r="E43" s="65" t="str">
        <f>IFERROR(VLOOKUP($B43&amp;$F$5,dfplnexp!$A:$H,5,0),"")</f>
        <v/>
      </c>
      <c r="F43" s="65" t="str">
        <f>IF(IFERROR(VLOOKUP($B43&amp;$F$5,dfplnexp!$A:$H,6,0),"")=0,"",IFERROR(VLOOKUP($B43&amp;$F$5,dfplnexp!$A:$H,6,0),""))</f>
        <v/>
      </c>
      <c r="G43" s="66" t="str">
        <f>IFERROR(VLOOKUP($B43&amp;$F$5,dfplnexp!$A:$I,8,0),"")</f>
        <v/>
      </c>
      <c r="H43" s="47"/>
      <c r="I43" s="50"/>
      <c r="J43" s="66" t="str">
        <f>IF(D43="","",IFERROR(VLOOKUP(C43,units!A:D,4,0),"N/A"))</f>
        <v/>
      </c>
      <c r="K43" s="47"/>
      <c r="L43" s="44"/>
      <c r="M43" s="44"/>
      <c r="N43" s="44"/>
      <c r="O43" s="44"/>
    </row>
    <row r="44" spans="2:15" ht="45" customHeight="1" x14ac:dyDescent="0.3">
      <c r="B44">
        <f t="shared" si="0"/>
        <v>31</v>
      </c>
      <c r="C44" s="14" t="str">
        <f t="shared" si="1"/>
        <v/>
      </c>
      <c r="D44" s="65" t="str">
        <f>IFERROR(VLOOKUP($B44&amp;$F$5,dfplnexp!$A:$H,4,0),"")</f>
        <v/>
      </c>
      <c r="E44" s="65" t="str">
        <f>IFERROR(VLOOKUP($B44&amp;$F$5,dfplnexp!$A:$H,5,0),"")</f>
        <v/>
      </c>
      <c r="F44" s="65" t="str">
        <f>IF(IFERROR(VLOOKUP($B44&amp;$F$5,dfplnexp!$A:$H,6,0),"")=0,"",IFERROR(VLOOKUP($B44&amp;$F$5,dfplnexp!$A:$H,6,0),""))</f>
        <v/>
      </c>
      <c r="G44" s="66" t="str">
        <f>IFERROR(VLOOKUP($B44&amp;$F$5,dfplnexp!$A:$I,8,0),"")</f>
        <v/>
      </c>
      <c r="H44" s="47"/>
      <c r="I44" s="50"/>
      <c r="J44" s="66" t="str">
        <f>IF(D44="","",IFERROR(VLOOKUP(C44,units!A:D,4,0),"N/A"))</f>
        <v/>
      </c>
      <c r="K44" s="47"/>
      <c r="L44" s="44"/>
      <c r="M44" s="44"/>
      <c r="N44" s="44"/>
      <c r="O44" s="44"/>
    </row>
    <row r="45" spans="2:15" ht="45" customHeight="1" x14ac:dyDescent="0.3">
      <c r="B45">
        <f t="shared" si="0"/>
        <v>32</v>
      </c>
      <c r="C45" s="14" t="str">
        <f t="shared" si="1"/>
        <v/>
      </c>
      <c r="D45" s="65" t="str">
        <f>IFERROR(VLOOKUP($B45&amp;$F$5,dfplnexp!$A:$H,4,0),"")</f>
        <v/>
      </c>
      <c r="E45" s="65" t="str">
        <f>IFERROR(VLOOKUP($B45&amp;$F$5,dfplnexp!$A:$H,5,0),"")</f>
        <v/>
      </c>
      <c r="F45" s="65" t="str">
        <f>IF(IFERROR(VLOOKUP($B45&amp;$F$5,dfplnexp!$A:$H,6,0),"")=0,"",IFERROR(VLOOKUP($B45&amp;$F$5,dfplnexp!$A:$H,6,0),""))</f>
        <v/>
      </c>
      <c r="G45" s="66" t="str">
        <f>IFERROR(VLOOKUP($B45&amp;$F$5,dfplnexp!$A:$I,8,0),"")</f>
        <v/>
      </c>
      <c r="H45" s="47"/>
      <c r="I45" s="50"/>
      <c r="J45" s="66" t="str">
        <f>IF(D45="","",IFERROR(VLOOKUP(C45,units!A:D,4,0),"N/A"))</f>
        <v/>
      </c>
      <c r="K45" s="47"/>
      <c r="L45" s="44"/>
      <c r="M45" s="44"/>
      <c r="N45" s="44"/>
      <c r="O45" s="44"/>
    </row>
    <row r="46" spans="2:15" ht="45" customHeight="1" x14ac:dyDescent="0.3">
      <c r="B46">
        <f t="shared" si="0"/>
        <v>33</v>
      </c>
      <c r="C46" s="14" t="str">
        <f t="shared" si="1"/>
        <v/>
      </c>
      <c r="D46" s="65" t="str">
        <f>IFERROR(VLOOKUP($B46&amp;$F$5,dfplnexp!$A:$H,4,0),"")</f>
        <v/>
      </c>
      <c r="E46" s="65" t="str">
        <f>IFERROR(VLOOKUP($B46&amp;$F$5,dfplnexp!$A:$H,5,0),"")</f>
        <v/>
      </c>
      <c r="F46" s="65" t="str">
        <f>IF(IFERROR(VLOOKUP($B46&amp;$F$5,dfplnexp!$A:$H,6,0),"")=0,"",IFERROR(VLOOKUP($B46&amp;$F$5,dfplnexp!$A:$H,6,0),""))</f>
        <v/>
      </c>
      <c r="G46" s="66" t="str">
        <f>IFERROR(VLOOKUP($B46&amp;$F$5,dfplnexp!$A:$I,8,0),"")</f>
        <v/>
      </c>
      <c r="H46" s="47"/>
      <c r="I46" s="50"/>
      <c r="J46" s="66" t="str">
        <f>IF(D46="","",IFERROR(VLOOKUP(C46,units!A:D,4,0),"N/A"))</f>
        <v/>
      </c>
      <c r="K46" s="47"/>
      <c r="L46" s="44"/>
      <c r="M46" s="44"/>
      <c r="N46" s="44"/>
      <c r="O46" s="44"/>
    </row>
    <row r="47" spans="2:15" ht="45" customHeight="1" x14ac:dyDescent="0.3">
      <c r="B47">
        <f t="shared" si="0"/>
        <v>34</v>
      </c>
      <c r="C47" s="14" t="str">
        <f t="shared" si="1"/>
        <v/>
      </c>
      <c r="D47" s="65" t="str">
        <f>IFERROR(VLOOKUP($B47&amp;$F$5,dfplnexp!$A:$H,4,0),"")</f>
        <v/>
      </c>
      <c r="E47" s="65" t="str">
        <f>IFERROR(VLOOKUP($B47&amp;$F$5,dfplnexp!$A:$H,5,0),"")</f>
        <v/>
      </c>
      <c r="F47" s="65" t="str">
        <f>IF(IFERROR(VLOOKUP($B47&amp;$F$5,dfplnexp!$A:$H,6,0),"")=0,"",IFERROR(VLOOKUP($B47&amp;$F$5,dfplnexp!$A:$H,6,0),""))</f>
        <v/>
      </c>
      <c r="G47" s="66" t="str">
        <f>IFERROR(VLOOKUP($B47&amp;$F$5,dfplnexp!$A:$I,8,0),"")</f>
        <v/>
      </c>
      <c r="H47" s="47"/>
      <c r="I47" s="50"/>
      <c r="J47" s="66" t="str">
        <f>IF(D47="","",IFERROR(VLOOKUP(C47,units!A:D,4,0),"N/A"))</f>
        <v/>
      </c>
      <c r="K47" s="47"/>
      <c r="L47" s="44"/>
      <c r="M47" s="44"/>
      <c r="N47" s="44"/>
      <c r="O47" s="44"/>
    </row>
    <row r="48" spans="2:15" ht="45" customHeight="1" x14ac:dyDescent="0.3">
      <c r="B48">
        <f t="shared" si="0"/>
        <v>35</v>
      </c>
      <c r="C48" s="14" t="str">
        <f t="shared" si="1"/>
        <v/>
      </c>
      <c r="D48" s="65" t="str">
        <f>IFERROR(VLOOKUP($B48&amp;$F$5,dfplnexp!$A:$H,4,0),"")</f>
        <v/>
      </c>
      <c r="E48" s="65" t="str">
        <f>IFERROR(VLOOKUP($B48&amp;$F$5,dfplnexp!$A:$H,5,0),"")</f>
        <v/>
      </c>
      <c r="F48" s="65" t="str">
        <f>IF(IFERROR(VLOOKUP($B48&amp;$F$5,dfplnexp!$A:$H,6,0),"")=0,"",IFERROR(VLOOKUP($B48&amp;$F$5,dfplnexp!$A:$H,6,0),""))</f>
        <v/>
      </c>
      <c r="G48" s="66" t="str">
        <f>IFERROR(VLOOKUP($B48&amp;$F$5,dfplnexp!$A:$I,8,0),"")</f>
        <v/>
      </c>
      <c r="H48" s="47"/>
      <c r="I48" s="50"/>
      <c r="J48" s="66" t="str">
        <f>IF(D48="","",IFERROR(VLOOKUP(C48,units!A:D,4,0),"N/A"))</f>
        <v/>
      </c>
      <c r="K48" s="47"/>
      <c r="L48" s="44"/>
      <c r="M48" s="44"/>
      <c r="N48" s="44"/>
      <c r="O48" s="44"/>
    </row>
    <row r="49" spans="2:15" ht="45" customHeight="1" x14ac:dyDescent="0.3">
      <c r="B49">
        <f t="shared" si="0"/>
        <v>36</v>
      </c>
      <c r="C49" s="14" t="str">
        <f t="shared" si="1"/>
        <v/>
      </c>
      <c r="D49" s="65" t="str">
        <f>IFERROR(VLOOKUP($B49&amp;$F$5,dfplnexp!$A:$H,4,0),"")</f>
        <v/>
      </c>
      <c r="E49" s="65" t="str">
        <f>IFERROR(VLOOKUP($B49&amp;$F$5,dfplnexp!$A:$H,5,0),"")</f>
        <v/>
      </c>
      <c r="F49" s="65" t="str">
        <f>IF(IFERROR(VLOOKUP($B49&amp;$F$5,dfplnexp!$A:$H,6,0),"")=0,"",IFERROR(VLOOKUP($B49&amp;$F$5,dfplnexp!$A:$H,6,0),""))</f>
        <v/>
      </c>
      <c r="G49" s="66" t="str">
        <f>IFERROR(VLOOKUP($B49&amp;$F$5,dfplnexp!$A:$I,8,0),"")</f>
        <v/>
      </c>
      <c r="H49" s="47"/>
      <c r="I49" s="50"/>
      <c r="J49" s="66" t="str">
        <f>IF(D49="","",IFERROR(VLOOKUP(C49,units!A:D,4,0),"N/A"))</f>
        <v/>
      </c>
      <c r="K49" s="47"/>
      <c r="L49" s="44"/>
      <c r="M49" s="44"/>
      <c r="N49" s="44"/>
      <c r="O49" s="44"/>
    </row>
    <row r="50" spans="2:15" ht="45" customHeight="1" x14ac:dyDescent="0.3">
      <c r="B50">
        <f t="shared" si="0"/>
        <v>37</v>
      </c>
      <c r="C50" s="14" t="str">
        <f t="shared" si="1"/>
        <v/>
      </c>
      <c r="D50" s="65" t="str">
        <f>IFERROR(VLOOKUP($B50&amp;$F$5,dfplnexp!$A:$H,4,0),"")</f>
        <v/>
      </c>
      <c r="E50" s="65" t="str">
        <f>IFERROR(VLOOKUP($B50&amp;$F$5,dfplnexp!$A:$H,5,0),"")</f>
        <v/>
      </c>
      <c r="F50" s="65" t="str">
        <f>IF(IFERROR(VLOOKUP($B50&amp;$F$5,dfplnexp!$A:$H,6,0),"")=0,"",IFERROR(VLOOKUP($B50&amp;$F$5,dfplnexp!$A:$H,6,0),""))</f>
        <v/>
      </c>
      <c r="G50" s="66" t="str">
        <f>IFERROR(VLOOKUP($B50&amp;$F$5,dfplnexp!$A:$I,8,0),"")</f>
        <v/>
      </c>
      <c r="H50" s="47"/>
      <c r="I50" s="50"/>
      <c r="J50" s="66" t="str">
        <f>IF(D50="","",IFERROR(VLOOKUP(C50,units!A:D,4,0),"N/A"))</f>
        <v/>
      </c>
      <c r="K50" s="47"/>
      <c r="L50" s="44"/>
      <c r="M50" s="44"/>
      <c r="N50" s="44"/>
      <c r="O50" s="44"/>
    </row>
    <row r="51" spans="2:15" ht="45" customHeight="1" x14ac:dyDescent="0.3">
      <c r="B51">
        <f t="shared" si="0"/>
        <v>38</v>
      </c>
      <c r="C51" s="14" t="str">
        <f t="shared" si="1"/>
        <v/>
      </c>
      <c r="D51" s="65" t="str">
        <f>IFERROR(VLOOKUP($B51&amp;$F$5,dfplnexp!$A:$H,4,0),"")</f>
        <v/>
      </c>
      <c r="E51" s="65" t="str">
        <f>IFERROR(VLOOKUP($B51&amp;$F$5,dfplnexp!$A:$H,5,0),"")</f>
        <v/>
      </c>
      <c r="F51" s="65" t="str">
        <f>IF(IFERROR(VLOOKUP($B51&amp;$F$5,dfplnexp!$A:$H,6,0),"")=0,"",IFERROR(VLOOKUP($B51&amp;$F$5,dfplnexp!$A:$H,6,0),""))</f>
        <v/>
      </c>
      <c r="G51" s="66" t="str">
        <f>IFERROR(VLOOKUP($B51&amp;$F$5,dfplnexp!$A:$I,8,0),"")</f>
        <v/>
      </c>
      <c r="H51" s="47"/>
      <c r="I51" s="50"/>
      <c r="J51" s="66" t="str">
        <f>IF(D51="","",IFERROR(VLOOKUP(C51,units!A:D,4,0),"N/A"))</f>
        <v/>
      </c>
      <c r="K51" s="47"/>
      <c r="L51" s="44"/>
      <c r="M51" s="44"/>
      <c r="N51" s="44"/>
      <c r="O51" s="44"/>
    </row>
    <row r="52" spans="2:15" ht="45" customHeight="1" x14ac:dyDescent="0.3">
      <c r="B52">
        <f t="shared" si="0"/>
        <v>39</v>
      </c>
      <c r="C52" s="14" t="str">
        <f t="shared" si="1"/>
        <v/>
      </c>
      <c r="D52" s="65" t="str">
        <f>IFERROR(VLOOKUP($B52&amp;$F$5,dfplnexp!$A:$H,4,0),"")</f>
        <v/>
      </c>
      <c r="E52" s="65" t="str">
        <f>IFERROR(VLOOKUP($B52&amp;$F$5,dfplnexp!$A:$H,5,0),"")</f>
        <v/>
      </c>
      <c r="F52" s="65" t="str">
        <f>IF(IFERROR(VLOOKUP($B52&amp;$F$5,dfplnexp!$A:$H,6,0),"")=0,"",IFERROR(VLOOKUP($B52&amp;$F$5,dfplnexp!$A:$H,6,0),""))</f>
        <v/>
      </c>
      <c r="G52" s="66" t="str">
        <f>IFERROR(VLOOKUP($B52&amp;$F$5,dfplnexp!$A:$I,8,0),"")</f>
        <v/>
      </c>
      <c r="H52" s="47"/>
      <c r="I52" s="50"/>
      <c r="J52" s="66" t="str">
        <f>IF(D52="","",IFERROR(VLOOKUP(C52,units!A:D,4,0),"N/A"))</f>
        <v/>
      </c>
      <c r="K52" s="47"/>
      <c r="L52" s="44"/>
      <c r="M52" s="44"/>
      <c r="N52" s="44"/>
      <c r="O52" s="44"/>
    </row>
    <row r="53" spans="2:15" ht="45" customHeight="1" x14ac:dyDescent="0.3">
      <c r="B53">
        <f t="shared" si="0"/>
        <v>40</v>
      </c>
      <c r="C53" s="14" t="str">
        <f t="shared" si="1"/>
        <v/>
      </c>
      <c r="D53" s="65" t="str">
        <f>IFERROR(VLOOKUP($B53&amp;$F$5,dfplnexp!$A:$H,4,0),"")</f>
        <v/>
      </c>
      <c r="E53" s="65" t="str">
        <f>IFERROR(VLOOKUP($B53&amp;$F$5,dfplnexp!$A:$H,5,0),"")</f>
        <v/>
      </c>
      <c r="F53" s="65" t="str">
        <f>IF(IFERROR(VLOOKUP($B53&amp;$F$5,dfplnexp!$A:$H,6,0),"")=0,"",IFERROR(VLOOKUP($B53&amp;$F$5,dfplnexp!$A:$H,6,0),""))</f>
        <v/>
      </c>
      <c r="G53" s="66" t="str">
        <f>IFERROR(VLOOKUP($B53&amp;$F$5,dfplnexp!$A:$I,8,0),"")</f>
        <v/>
      </c>
      <c r="H53" s="47"/>
      <c r="I53" s="50"/>
      <c r="J53" s="66" t="str">
        <f>IF(D53="","",IFERROR(VLOOKUP(C53,units!A:D,4,0),"N/A"))</f>
        <v/>
      </c>
      <c r="K53" s="47"/>
      <c r="L53" s="44"/>
      <c r="M53" s="44"/>
      <c r="N53" s="44"/>
      <c r="O53" s="44"/>
    </row>
    <row r="54" spans="2:15" ht="45" customHeight="1" x14ac:dyDescent="0.3">
      <c r="B54">
        <f t="shared" si="0"/>
        <v>41</v>
      </c>
      <c r="C54" s="14" t="str">
        <f t="shared" si="1"/>
        <v/>
      </c>
      <c r="D54" s="65" t="str">
        <f>IFERROR(VLOOKUP($B54&amp;$F$5,dfplnexp!$A:$H,4,0),"")</f>
        <v/>
      </c>
      <c r="E54" s="65" t="str">
        <f>IFERROR(VLOOKUP($B54&amp;$F$5,dfplnexp!$A:$H,5,0),"")</f>
        <v/>
      </c>
      <c r="F54" s="65" t="str">
        <f>IF(IFERROR(VLOOKUP($B54&amp;$F$5,dfplnexp!$A:$H,6,0),"")=0,"",IFERROR(VLOOKUP($B54&amp;$F$5,dfplnexp!$A:$H,6,0),""))</f>
        <v/>
      </c>
      <c r="G54" s="66" t="str">
        <f>IFERROR(VLOOKUP($B54&amp;$F$5,dfplnexp!$A:$I,8,0),"")</f>
        <v/>
      </c>
      <c r="H54" s="47"/>
      <c r="I54" s="50"/>
      <c r="J54" s="66" t="str">
        <f>IF(D54="","",IFERROR(VLOOKUP(C54,units!A:D,4,0),"N/A"))</f>
        <v/>
      </c>
      <c r="K54" s="47"/>
      <c r="L54" s="44"/>
      <c r="M54" s="44"/>
      <c r="N54" s="44"/>
      <c r="O54" s="44"/>
    </row>
    <row r="55" spans="2:15" ht="45" customHeight="1" x14ac:dyDescent="0.3">
      <c r="B55">
        <f t="shared" si="0"/>
        <v>42</v>
      </c>
      <c r="C55" s="14" t="str">
        <f t="shared" si="1"/>
        <v/>
      </c>
      <c r="D55" s="65" t="str">
        <f>IFERROR(VLOOKUP($B55&amp;$F$5,dfplnexp!$A:$H,4,0),"")</f>
        <v/>
      </c>
      <c r="E55" s="65" t="str">
        <f>IFERROR(VLOOKUP($B55&amp;$F$5,dfplnexp!$A:$H,5,0),"")</f>
        <v/>
      </c>
      <c r="F55" s="65" t="str">
        <f>IF(IFERROR(VLOOKUP($B55&amp;$F$5,dfplnexp!$A:$H,6,0),"")=0,"",IFERROR(VLOOKUP($B55&amp;$F$5,dfplnexp!$A:$H,6,0),""))</f>
        <v/>
      </c>
      <c r="G55" s="66" t="str">
        <f>IFERROR(VLOOKUP($B55&amp;$F$5,dfplnexp!$A:$I,8,0),"")</f>
        <v/>
      </c>
      <c r="H55" s="47"/>
      <c r="I55" s="50"/>
      <c r="J55" s="66" t="str">
        <f>IF(D55="","",IFERROR(VLOOKUP(C55,units!A:D,4,0),"N/A"))</f>
        <v/>
      </c>
      <c r="K55" s="47"/>
      <c r="L55" s="44"/>
      <c r="M55" s="44"/>
      <c r="N55" s="44"/>
      <c r="O55" s="44"/>
    </row>
    <row r="56" spans="2:15" ht="45" customHeight="1" x14ac:dyDescent="0.3">
      <c r="B56">
        <f t="shared" si="0"/>
        <v>43</v>
      </c>
      <c r="C56" s="14" t="str">
        <f t="shared" si="1"/>
        <v/>
      </c>
      <c r="D56" s="65" t="str">
        <f>IFERROR(VLOOKUP($B56&amp;$F$5,dfplnexp!$A:$H,4,0),"")</f>
        <v/>
      </c>
      <c r="E56" s="65" t="str">
        <f>IFERROR(VLOOKUP($B56&amp;$F$5,dfplnexp!$A:$H,5,0),"")</f>
        <v/>
      </c>
      <c r="F56" s="65" t="str">
        <f>IF(IFERROR(VLOOKUP($B56&amp;$F$5,dfplnexp!$A:$H,6,0),"")=0,"",IFERROR(VLOOKUP($B56&amp;$F$5,dfplnexp!$A:$H,6,0),""))</f>
        <v/>
      </c>
      <c r="G56" s="66" t="str">
        <f>IFERROR(VLOOKUP($B56&amp;$F$5,dfplnexp!$A:$I,8,0),"")</f>
        <v/>
      </c>
      <c r="H56" s="47"/>
      <c r="I56" s="50"/>
      <c r="J56" s="66" t="str">
        <f>IF(D56="","",IFERROR(VLOOKUP(C56,units!A:D,4,0),"N/A"))</f>
        <v/>
      </c>
      <c r="K56" s="47"/>
      <c r="L56" s="44"/>
      <c r="M56" s="44"/>
      <c r="N56" s="44"/>
      <c r="O56" s="44"/>
    </row>
    <row r="57" spans="2:15" ht="45" customHeight="1" x14ac:dyDescent="0.3">
      <c r="B57">
        <f t="shared" si="0"/>
        <v>44</v>
      </c>
      <c r="C57" s="14" t="str">
        <f t="shared" si="1"/>
        <v/>
      </c>
      <c r="D57" s="65" t="str">
        <f>IFERROR(VLOOKUP($B57&amp;$F$5,dfplnexp!$A:$H,4,0),"")</f>
        <v/>
      </c>
      <c r="E57" s="65" t="str">
        <f>IFERROR(VLOOKUP($B57&amp;$F$5,dfplnexp!$A:$H,5,0),"")</f>
        <v/>
      </c>
      <c r="F57" s="65" t="str">
        <f>IF(IFERROR(VLOOKUP($B57&amp;$F$5,dfplnexp!$A:$H,6,0),"")=0,"",IFERROR(VLOOKUP($B57&amp;$F$5,dfplnexp!$A:$H,6,0),""))</f>
        <v/>
      </c>
      <c r="G57" s="66" t="str">
        <f>IFERROR(VLOOKUP($B57&amp;$F$5,dfplnexp!$A:$I,8,0),"")</f>
        <v/>
      </c>
      <c r="H57" s="47"/>
      <c r="I57" s="50"/>
      <c r="J57" s="66" t="str">
        <f>IF(D57="","",IFERROR(VLOOKUP(C57,units!A:D,4,0),"N/A"))</f>
        <v/>
      </c>
      <c r="K57" s="47"/>
      <c r="L57" s="44"/>
      <c r="M57" s="44"/>
      <c r="N57" s="44"/>
      <c r="O57" s="44"/>
    </row>
    <row r="58" spans="2:15" ht="45" customHeight="1" x14ac:dyDescent="0.3">
      <c r="B58">
        <f t="shared" si="0"/>
        <v>45</v>
      </c>
      <c r="C58" s="14" t="str">
        <f t="shared" si="1"/>
        <v/>
      </c>
      <c r="D58" s="65" t="str">
        <f>IFERROR(VLOOKUP($B58&amp;$F$5,dfplnexp!$A:$H,4,0),"")</f>
        <v/>
      </c>
      <c r="E58" s="65" t="str">
        <f>IFERROR(VLOOKUP($B58&amp;$F$5,dfplnexp!$A:$H,5,0),"")</f>
        <v/>
      </c>
      <c r="F58" s="65" t="str">
        <f>IF(IFERROR(VLOOKUP($B58&amp;$F$5,dfplnexp!$A:$H,6,0),"")=0,"",IFERROR(VLOOKUP($B58&amp;$F$5,dfplnexp!$A:$H,6,0),""))</f>
        <v/>
      </c>
      <c r="G58" s="66" t="str">
        <f>IFERROR(VLOOKUP($B58&amp;$F$5,dfplnexp!$A:$I,8,0),"")</f>
        <v/>
      </c>
      <c r="H58" s="47"/>
      <c r="I58" s="50"/>
      <c r="J58" s="66" t="str">
        <f>IF(D58="","",IFERROR(VLOOKUP(C58,units!A:D,4,0),"N/A"))</f>
        <v/>
      </c>
      <c r="K58" s="47"/>
      <c r="L58" s="44"/>
      <c r="M58" s="44"/>
      <c r="N58" s="44"/>
      <c r="O58" s="44"/>
    </row>
    <row r="59" spans="2:15" ht="45" customHeight="1" x14ac:dyDescent="0.3">
      <c r="B59">
        <f t="shared" si="0"/>
        <v>46</v>
      </c>
      <c r="C59" s="14" t="str">
        <f t="shared" si="1"/>
        <v/>
      </c>
      <c r="D59" s="65" t="str">
        <f>IFERROR(VLOOKUP($B59&amp;$F$5,dfplnexp!$A:$H,4,0),"")</f>
        <v/>
      </c>
      <c r="E59" s="65" t="str">
        <f>IFERROR(VLOOKUP($B59&amp;$F$5,dfplnexp!$A:$H,5,0),"")</f>
        <v/>
      </c>
      <c r="F59" s="65" t="str">
        <f>IF(IFERROR(VLOOKUP($B59&amp;$F$5,dfplnexp!$A:$H,6,0),"")=0,"",IFERROR(VLOOKUP($B59&amp;$F$5,dfplnexp!$A:$H,6,0),""))</f>
        <v/>
      </c>
      <c r="G59" s="66" t="str">
        <f>IFERROR(VLOOKUP($B59&amp;$F$5,dfplnexp!$A:$I,8,0),"")</f>
        <v/>
      </c>
      <c r="H59" s="47"/>
      <c r="I59" s="50"/>
      <c r="J59" s="66" t="str">
        <f>IF(D59="","",IFERROR(VLOOKUP(C59,units!A:D,4,0),"N/A"))</f>
        <v/>
      </c>
      <c r="K59" s="47"/>
      <c r="L59" s="44"/>
      <c r="M59" s="44"/>
      <c r="N59" s="44"/>
      <c r="O59" s="44"/>
    </row>
    <row r="60" spans="2:15" ht="45" customHeight="1" x14ac:dyDescent="0.3">
      <c r="B60">
        <f t="shared" si="0"/>
        <v>47</v>
      </c>
      <c r="C60" s="14" t="str">
        <f t="shared" si="1"/>
        <v/>
      </c>
      <c r="D60" s="65" t="str">
        <f>IFERROR(VLOOKUP($B60&amp;$F$5,dfplnexp!$A:$H,4,0),"")</f>
        <v/>
      </c>
      <c r="E60" s="65" t="str">
        <f>IFERROR(VLOOKUP($B60&amp;$F$5,dfplnexp!$A:$H,5,0),"")</f>
        <v/>
      </c>
      <c r="F60" s="65" t="str">
        <f>IF(IFERROR(VLOOKUP($B60&amp;$F$5,dfplnexp!$A:$H,6,0),"")=0,"",IFERROR(VLOOKUP($B60&amp;$F$5,dfplnexp!$A:$H,6,0),""))</f>
        <v/>
      </c>
      <c r="G60" s="66" t="str">
        <f>IFERROR(VLOOKUP($B60&amp;$F$5,dfplnexp!$A:$I,8,0),"")</f>
        <v/>
      </c>
      <c r="H60" s="47"/>
      <c r="I60" s="50"/>
      <c r="J60" s="66" t="str">
        <f>IF(D60="","",IFERROR(VLOOKUP(C60,units!A:D,4,0),"N/A"))</f>
        <v/>
      </c>
      <c r="K60" s="47"/>
      <c r="L60" s="44"/>
      <c r="M60" s="44"/>
      <c r="N60" s="44"/>
      <c r="O60" s="44"/>
    </row>
    <row r="61" spans="2:15" ht="45" customHeight="1" x14ac:dyDescent="0.3">
      <c r="B61">
        <f t="shared" si="0"/>
        <v>48</v>
      </c>
      <c r="C61" s="14" t="str">
        <f t="shared" si="1"/>
        <v/>
      </c>
      <c r="D61" s="65" t="str">
        <f>IFERROR(VLOOKUP($B61&amp;$F$5,dfplnexp!$A:$H,4,0),"")</f>
        <v/>
      </c>
      <c r="E61" s="65" t="str">
        <f>IFERROR(VLOOKUP($B61&amp;$F$5,dfplnexp!$A:$H,5,0),"")</f>
        <v/>
      </c>
      <c r="F61" s="65" t="str">
        <f>IF(IFERROR(VLOOKUP($B61&amp;$F$5,dfplnexp!$A:$H,6,0),"")=0,"",IFERROR(VLOOKUP($B61&amp;$F$5,dfplnexp!$A:$H,6,0),""))</f>
        <v/>
      </c>
      <c r="G61" s="66" t="str">
        <f>IFERROR(VLOOKUP($B61&amp;$F$5,dfplnexp!$A:$I,8,0),"")</f>
        <v/>
      </c>
      <c r="H61" s="47"/>
      <c r="I61" s="50"/>
      <c r="J61" s="66" t="str">
        <f>IF(D61="","",IFERROR(VLOOKUP(C61,units!A:D,4,0),"N/A"))</f>
        <v/>
      </c>
      <c r="K61" s="47"/>
      <c r="L61" s="44"/>
      <c r="M61" s="44"/>
      <c r="N61" s="44"/>
      <c r="O61" s="44"/>
    </row>
    <row r="62" spans="2:15" ht="45" customHeight="1" x14ac:dyDescent="0.3">
      <c r="B62">
        <f t="shared" si="0"/>
        <v>49</v>
      </c>
      <c r="C62" s="14" t="str">
        <f t="shared" si="1"/>
        <v/>
      </c>
      <c r="D62" s="65" t="str">
        <f>IFERROR(VLOOKUP($B62&amp;$F$5,dfplnexp!$A:$H,4,0),"")</f>
        <v/>
      </c>
      <c r="E62" s="65" t="str">
        <f>IFERROR(VLOOKUP($B62&amp;$F$5,dfplnexp!$A:$H,5,0),"")</f>
        <v/>
      </c>
      <c r="F62" s="65" t="str">
        <f>IF(IFERROR(VLOOKUP($B62&amp;$F$5,dfplnexp!$A:$H,6,0),"")=0,"",IFERROR(VLOOKUP($B62&amp;$F$5,dfplnexp!$A:$H,6,0),""))</f>
        <v/>
      </c>
      <c r="G62" s="66" t="str">
        <f>IFERROR(VLOOKUP($B62&amp;$F$5,dfplnexp!$A:$I,8,0),"")</f>
        <v/>
      </c>
      <c r="H62" s="47"/>
      <c r="I62" s="50"/>
      <c r="J62" s="66" t="str">
        <f>IF(D62="","",IFERROR(VLOOKUP(C62,units!A:D,4,0),"N/A"))</f>
        <v/>
      </c>
      <c r="K62" s="47"/>
      <c r="L62" s="44"/>
      <c r="M62" s="44"/>
      <c r="N62" s="44"/>
      <c r="O62" s="44"/>
    </row>
    <row r="63" spans="2:15" ht="45" customHeight="1" x14ac:dyDescent="0.3">
      <c r="B63">
        <f t="shared" si="0"/>
        <v>50</v>
      </c>
      <c r="C63" s="14" t="str">
        <f t="shared" si="1"/>
        <v/>
      </c>
      <c r="D63" s="65" t="str">
        <f>IFERROR(VLOOKUP($B63&amp;$F$5,dfplnexp!$A:$H,4,0),"")</f>
        <v/>
      </c>
      <c r="E63" s="65" t="str">
        <f>IFERROR(VLOOKUP($B63&amp;$F$5,dfplnexp!$A:$H,5,0),"")</f>
        <v/>
      </c>
      <c r="F63" s="65" t="str">
        <f>IF(IFERROR(VLOOKUP($B63&amp;$F$5,dfplnexp!$A:$H,6,0),"")=0,"",IFERROR(VLOOKUP($B63&amp;$F$5,dfplnexp!$A:$H,6,0),""))</f>
        <v/>
      </c>
      <c r="G63" s="66" t="str">
        <f>IFERROR(VLOOKUP($B63&amp;$F$5,dfplnexp!$A:$I,8,0),"")</f>
        <v/>
      </c>
      <c r="H63" s="47"/>
      <c r="I63" s="50"/>
      <c r="J63" s="66" t="str">
        <f>IF(D63="","",IFERROR(VLOOKUP(C63,units!A:D,4,0),"N/A"))</f>
        <v/>
      </c>
      <c r="K63" s="47"/>
      <c r="L63" s="44"/>
      <c r="M63" s="44"/>
      <c r="N63" s="44"/>
      <c r="O63" s="44"/>
    </row>
    <row r="64" spans="2:15" ht="45" customHeight="1" x14ac:dyDescent="0.3">
      <c r="B64">
        <f t="shared" si="0"/>
        <v>51</v>
      </c>
      <c r="C64" s="14" t="str">
        <f t="shared" si="1"/>
        <v/>
      </c>
      <c r="D64" s="65" t="str">
        <f>IFERROR(VLOOKUP($B64&amp;$F$5,dfplnexp!$A:$H,4,0),"")</f>
        <v/>
      </c>
      <c r="E64" s="65" t="str">
        <f>IFERROR(VLOOKUP($B64&amp;$F$5,dfplnexp!$A:$H,5,0),"")</f>
        <v/>
      </c>
      <c r="F64" s="65" t="str">
        <f>IF(IFERROR(VLOOKUP($B64&amp;$F$5,dfplnexp!$A:$H,6,0),"")=0,"",IFERROR(VLOOKUP($B64&amp;$F$5,dfplnexp!$A:$H,6,0),""))</f>
        <v/>
      </c>
      <c r="G64" s="66" t="str">
        <f>IFERROR(VLOOKUP($B64&amp;$F$5,dfplnexp!$A:$I,8,0),"")</f>
        <v/>
      </c>
      <c r="H64" s="47"/>
      <c r="I64" s="50"/>
      <c r="J64" s="66" t="str">
        <f>IF(D64="","",IFERROR(VLOOKUP(C64,units!A:D,4,0),"N/A"))</f>
        <v/>
      </c>
      <c r="K64" s="47"/>
      <c r="L64" s="44"/>
      <c r="M64" s="44"/>
      <c r="N64" s="44"/>
      <c r="O64" s="44"/>
    </row>
    <row r="65" spans="2:15" ht="45" customHeight="1" x14ac:dyDescent="0.3">
      <c r="B65">
        <f t="shared" si="0"/>
        <v>52</v>
      </c>
      <c r="C65" s="14" t="str">
        <f t="shared" si="1"/>
        <v/>
      </c>
      <c r="D65" s="65" t="str">
        <f>IFERROR(VLOOKUP($B65&amp;$F$5,dfplnexp!$A:$H,4,0),"")</f>
        <v/>
      </c>
      <c r="E65" s="65" t="str">
        <f>IFERROR(VLOOKUP($B65&amp;$F$5,dfplnexp!$A:$H,5,0),"")</f>
        <v/>
      </c>
      <c r="F65" s="65" t="str">
        <f>IF(IFERROR(VLOOKUP($B65&amp;$F$5,dfplnexp!$A:$H,6,0),"")=0,"",IFERROR(VLOOKUP($B65&amp;$F$5,dfplnexp!$A:$H,6,0),""))</f>
        <v/>
      </c>
      <c r="G65" s="66" t="str">
        <f>IFERROR(VLOOKUP($B65&amp;$F$5,dfplnexp!$A:$I,8,0),"")</f>
        <v/>
      </c>
      <c r="H65" s="47"/>
      <c r="I65" s="50"/>
      <c r="J65" s="66" t="str">
        <f>IF(D65="","",IFERROR(VLOOKUP(C65,units!A:D,4,0),"N/A"))</f>
        <v/>
      </c>
      <c r="K65" s="47"/>
      <c r="L65" s="44"/>
      <c r="M65" s="44"/>
      <c r="N65" s="44"/>
      <c r="O65" s="44"/>
    </row>
    <row r="66" spans="2:15" ht="45" customHeight="1" x14ac:dyDescent="0.3">
      <c r="B66">
        <f t="shared" si="0"/>
        <v>53</v>
      </c>
      <c r="C66" s="14" t="str">
        <f t="shared" si="1"/>
        <v/>
      </c>
      <c r="D66" s="65" t="str">
        <f>IFERROR(VLOOKUP($B66&amp;$F$5,dfplnexp!$A:$H,4,0),"")</f>
        <v/>
      </c>
      <c r="E66" s="65" t="str">
        <f>IFERROR(VLOOKUP($B66&amp;$F$5,dfplnexp!$A:$H,5,0),"")</f>
        <v/>
      </c>
      <c r="F66" s="65" t="str">
        <f>IF(IFERROR(VLOOKUP($B66&amp;$F$5,dfplnexp!$A:$H,6,0),"")=0,"",IFERROR(VLOOKUP($B66&amp;$F$5,dfplnexp!$A:$H,6,0),""))</f>
        <v/>
      </c>
      <c r="G66" s="66" t="str">
        <f>IFERROR(VLOOKUP($B66&amp;$F$5,dfplnexp!$A:$I,8,0),"")</f>
        <v/>
      </c>
      <c r="H66" s="47"/>
      <c r="I66" s="50"/>
      <c r="J66" s="66" t="str">
        <f>IF(D66="","",IFERROR(VLOOKUP(C66,units!A:D,4,0),"N/A"))</f>
        <v/>
      </c>
      <c r="K66" s="47"/>
      <c r="L66" s="44"/>
      <c r="M66" s="44"/>
      <c r="N66" s="44"/>
      <c r="O66" s="44"/>
    </row>
    <row r="67" spans="2:15" ht="45" customHeight="1" x14ac:dyDescent="0.3">
      <c r="B67">
        <f t="shared" si="0"/>
        <v>54</v>
      </c>
      <c r="C67" s="14" t="str">
        <f t="shared" si="1"/>
        <v/>
      </c>
      <c r="D67" s="65" t="str">
        <f>IFERROR(VLOOKUP($B67&amp;$F$5,dfplnexp!$A:$H,4,0),"")</f>
        <v/>
      </c>
      <c r="E67" s="65" t="str">
        <f>IFERROR(VLOOKUP($B67&amp;$F$5,dfplnexp!$A:$H,5,0),"")</f>
        <v/>
      </c>
      <c r="F67" s="65" t="str">
        <f>IF(IFERROR(VLOOKUP($B67&amp;$F$5,dfplnexp!$A:$H,6,0),"")=0,"",IFERROR(VLOOKUP($B67&amp;$F$5,dfplnexp!$A:$H,6,0),""))</f>
        <v/>
      </c>
      <c r="G67" s="66" t="str">
        <f>IFERROR(VLOOKUP($B67&amp;$F$5,dfplnexp!$A:$I,8,0),"")</f>
        <v/>
      </c>
      <c r="H67" s="47"/>
      <c r="I67" s="50"/>
      <c r="J67" s="66" t="str">
        <f>IF(D67="","",IFERROR(VLOOKUP(C67,units!A:D,4,0),"N/A"))</f>
        <v/>
      </c>
      <c r="K67" s="47"/>
      <c r="L67" s="44"/>
      <c r="M67" s="44"/>
      <c r="N67" s="44"/>
      <c r="O67" s="44"/>
    </row>
    <row r="68" spans="2:15" ht="45" customHeight="1" x14ac:dyDescent="0.3">
      <c r="B68">
        <f t="shared" si="0"/>
        <v>55</v>
      </c>
      <c r="C68" s="14" t="str">
        <f t="shared" si="1"/>
        <v/>
      </c>
      <c r="D68" s="65" t="str">
        <f>IFERROR(VLOOKUP($B68&amp;$F$5,dfplnexp!$A:$H,4,0),"")</f>
        <v/>
      </c>
      <c r="E68" s="65" t="str">
        <f>IFERROR(VLOOKUP($B68&amp;$F$5,dfplnexp!$A:$H,5,0),"")</f>
        <v/>
      </c>
      <c r="F68" s="65" t="str">
        <f>IF(IFERROR(VLOOKUP($B68&amp;$F$5,dfplnexp!$A:$H,6,0),"")=0,"",IFERROR(VLOOKUP($B68&amp;$F$5,dfplnexp!$A:$H,6,0),""))</f>
        <v/>
      </c>
      <c r="G68" s="66" t="str">
        <f>IFERROR(VLOOKUP($B68&amp;$F$5,dfplnexp!$A:$I,8,0),"")</f>
        <v/>
      </c>
      <c r="H68" s="47"/>
      <c r="I68" s="50"/>
      <c r="J68" s="66" t="str">
        <f>IF(D68="","",IFERROR(VLOOKUP(C68,units!A:D,4,0),"N/A"))</f>
        <v/>
      </c>
      <c r="K68" s="47"/>
      <c r="L68" s="44"/>
      <c r="M68" s="44"/>
      <c r="N68" s="44"/>
      <c r="O68" s="44"/>
    </row>
    <row r="69" spans="2:15" ht="45" customHeight="1" x14ac:dyDescent="0.3">
      <c r="B69">
        <f t="shared" si="0"/>
        <v>56</v>
      </c>
      <c r="C69" s="14" t="str">
        <f t="shared" si="1"/>
        <v/>
      </c>
      <c r="D69" s="65" t="str">
        <f>IFERROR(VLOOKUP($B69&amp;$F$5,dfplnexp!$A:$H,4,0),"")</f>
        <v/>
      </c>
      <c r="E69" s="65" t="str">
        <f>IFERROR(VLOOKUP($B69&amp;$F$5,dfplnexp!$A:$H,5,0),"")</f>
        <v/>
      </c>
      <c r="F69" s="65" t="str">
        <f>IF(IFERROR(VLOOKUP($B69&amp;$F$5,dfplnexp!$A:$H,6,0),"")=0,"",IFERROR(VLOOKUP($B69&amp;$F$5,dfplnexp!$A:$H,6,0),""))</f>
        <v/>
      </c>
      <c r="G69" s="66" t="str">
        <f>IFERROR(VLOOKUP($B69&amp;$F$5,dfplnexp!$A:$I,8,0),"")</f>
        <v/>
      </c>
      <c r="H69" s="47"/>
      <c r="I69" s="50"/>
      <c r="J69" s="66" t="str">
        <f>IF(D69="","",IFERROR(VLOOKUP(C69,units!A:D,4,0),"N/A"))</f>
        <v/>
      </c>
      <c r="K69" s="47"/>
      <c r="L69" s="44"/>
      <c r="M69" s="44"/>
      <c r="N69" s="44"/>
      <c r="O69" s="44"/>
    </row>
    <row r="70" spans="2:15" ht="45" customHeight="1" x14ac:dyDescent="0.3">
      <c r="B70">
        <f t="shared" si="0"/>
        <v>57</v>
      </c>
      <c r="C70" s="14" t="str">
        <f t="shared" si="1"/>
        <v/>
      </c>
      <c r="D70" s="65" t="str">
        <f>IFERROR(VLOOKUP($B70&amp;$F$5,dfplnexp!$A:$H,4,0),"")</f>
        <v/>
      </c>
      <c r="E70" s="65" t="str">
        <f>IFERROR(VLOOKUP($B70&amp;$F$5,dfplnexp!$A:$H,5,0),"")</f>
        <v/>
      </c>
      <c r="F70" s="65" t="str">
        <f>IF(IFERROR(VLOOKUP($B70&amp;$F$5,dfplnexp!$A:$H,6,0),"")=0,"",IFERROR(VLOOKUP($B70&amp;$F$5,dfplnexp!$A:$H,6,0),""))</f>
        <v/>
      </c>
      <c r="G70" s="66" t="str">
        <f>IFERROR(VLOOKUP($B70&amp;$F$5,dfplnexp!$A:$I,8,0),"")</f>
        <v/>
      </c>
      <c r="H70" s="47"/>
      <c r="I70" s="50"/>
      <c r="J70" s="66" t="str">
        <f>IF(D70="","",IFERROR(VLOOKUP(C70,units!A:D,4,0),"N/A"))</f>
        <v/>
      </c>
      <c r="K70" s="47"/>
      <c r="L70" s="44"/>
      <c r="M70" s="44"/>
      <c r="N70" s="44"/>
      <c r="O70" s="44"/>
    </row>
    <row r="71" spans="2:15" ht="45" customHeight="1" x14ac:dyDescent="0.3">
      <c r="B71">
        <f t="shared" si="0"/>
        <v>58</v>
      </c>
      <c r="C71" s="14" t="str">
        <f t="shared" si="1"/>
        <v/>
      </c>
      <c r="D71" s="65" t="str">
        <f>IFERROR(VLOOKUP($B71&amp;$F$5,dfplnexp!$A:$H,4,0),"")</f>
        <v/>
      </c>
      <c r="E71" s="65" t="str">
        <f>IFERROR(VLOOKUP($B71&amp;$F$5,dfplnexp!$A:$H,5,0),"")</f>
        <v/>
      </c>
      <c r="F71" s="65" t="str">
        <f>IF(IFERROR(VLOOKUP($B71&amp;$F$5,dfplnexp!$A:$H,6,0),"")=0,"",IFERROR(VLOOKUP($B71&amp;$F$5,dfplnexp!$A:$H,6,0),""))</f>
        <v/>
      </c>
      <c r="G71" s="66" t="str">
        <f>IFERROR(VLOOKUP($B71&amp;$F$5,dfplnexp!$A:$I,8,0),"")</f>
        <v/>
      </c>
      <c r="H71" s="47"/>
      <c r="I71" s="50"/>
      <c r="J71" s="66" t="str">
        <f>IF(D71="","",IFERROR(VLOOKUP(C71,units!A:D,4,0),"N/A"))</f>
        <v/>
      </c>
      <c r="K71" s="47"/>
      <c r="L71" s="44"/>
      <c r="M71" s="44"/>
      <c r="N71" s="44"/>
      <c r="O71" s="44"/>
    </row>
    <row r="72" spans="2:15" ht="45" customHeight="1" x14ac:dyDescent="0.3">
      <c r="B72">
        <f t="shared" si="0"/>
        <v>59</v>
      </c>
      <c r="C72" s="14" t="str">
        <f t="shared" si="1"/>
        <v/>
      </c>
      <c r="D72" s="65" t="str">
        <f>IFERROR(VLOOKUP($B72&amp;$F$5,dfplnexp!$A:$H,4,0),"")</f>
        <v/>
      </c>
      <c r="E72" s="65" t="str">
        <f>IFERROR(VLOOKUP($B72&amp;$F$5,dfplnexp!$A:$H,5,0),"")</f>
        <v/>
      </c>
      <c r="F72" s="65" t="str">
        <f>IF(IFERROR(VLOOKUP($B72&amp;$F$5,dfplnexp!$A:$H,6,0),"")=0,"",IFERROR(VLOOKUP($B72&amp;$F$5,dfplnexp!$A:$H,6,0),""))</f>
        <v/>
      </c>
      <c r="G72" s="66" t="str">
        <f>IFERROR(VLOOKUP($B72&amp;$F$5,dfplnexp!$A:$I,8,0),"")</f>
        <v/>
      </c>
      <c r="H72" s="47"/>
      <c r="I72" s="50"/>
      <c r="J72" s="66" t="str">
        <f>IF(D72="","",IFERROR(VLOOKUP(C72,units!A:D,4,0),"N/A"))</f>
        <v/>
      </c>
      <c r="K72" s="47"/>
      <c r="L72" s="44"/>
      <c r="M72" s="44"/>
      <c r="N72" s="44"/>
      <c r="O72" s="44"/>
    </row>
    <row r="73" spans="2:15" ht="45" customHeight="1" x14ac:dyDescent="0.3">
      <c r="B73">
        <f t="shared" si="0"/>
        <v>60</v>
      </c>
      <c r="C73" s="14" t="str">
        <f t="shared" si="1"/>
        <v/>
      </c>
      <c r="D73" s="65" t="str">
        <f>IFERROR(VLOOKUP($B73&amp;$F$5,dfplnexp!$A:$H,4,0),"")</f>
        <v/>
      </c>
      <c r="E73" s="65" t="str">
        <f>IFERROR(VLOOKUP($B73&amp;$F$5,dfplnexp!$A:$H,5,0),"")</f>
        <v/>
      </c>
      <c r="F73" s="65" t="str">
        <f>IF(IFERROR(VLOOKUP($B73&amp;$F$5,dfplnexp!$A:$H,6,0),"")=0,"",IFERROR(VLOOKUP($B73&amp;$F$5,dfplnexp!$A:$H,6,0),""))</f>
        <v/>
      </c>
      <c r="G73" s="66" t="str">
        <f>IFERROR(VLOOKUP($B73&amp;$F$5,dfplnexp!$A:$I,8,0),"")</f>
        <v/>
      </c>
      <c r="H73" s="47"/>
      <c r="I73" s="50"/>
      <c r="J73" s="66" t="str">
        <f>IF(D73="","",IFERROR(VLOOKUP(C73,units!A:D,4,0),"N/A"))</f>
        <v/>
      </c>
      <c r="K73" s="47"/>
      <c r="L73" s="44"/>
      <c r="M73" s="44"/>
      <c r="N73" s="44"/>
      <c r="O73" s="44"/>
    </row>
    <row r="74" spans="2:15" ht="45" customHeight="1" x14ac:dyDescent="0.3">
      <c r="B74">
        <f t="shared" si="0"/>
        <v>61</v>
      </c>
      <c r="C74" s="14" t="str">
        <f t="shared" si="1"/>
        <v/>
      </c>
      <c r="D74" s="65" t="str">
        <f>IFERROR(VLOOKUP($B74&amp;$F$5,dfplnexp!$A:$H,4,0),"")</f>
        <v/>
      </c>
      <c r="E74" s="65" t="str">
        <f>IFERROR(VLOOKUP($B74&amp;$F$5,dfplnexp!$A:$H,5,0),"")</f>
        <v/>
      </c>
      <c r="F74" s="65" t="str">
        <f>IF(IFERROR(VLOOKUP($B74&amp;$F$5,dfplnexp!$A:$H,6,0),"")=0,"",IFERROR(VLOOKUP($B74&amp;$F$5,dfplnexp!$A:$H,6,0),""))</f>
        <v/>
      </c>
      <c r="G74" s="66" t="str">
        <f>IFERROR(VLOOKUP($B74&amp;$F$5,dfplnexp!$A:$I,8,0),"")</f>
        <v/>
      </c>
      <c r="H74" s="47"/>
      <c r="I74" s="50"/>
      <c r="J74" s="66" t="str">
        <f>IF(D74="","",IFERROR(VLOOKUP(C74,units!A:D,4,0),"N/A"))</f>
        <v/>
      </c>
      <c r="K74" s="47"/>
      <c r="L74" s="44"/>
      <c r="M74" s="44"/>
      <c r="N74" s="44"/>
      <c r="O74" s="44"/>
    </row>
    <row r="75" spans="2:15" ht="45" customHeight="1" x14ac:dyDescent="0.3">
      <c r="B75">
        <f t="shared" si="0"/>
        <v>62</v>
      </c>
      <c r="C75" s="14" t="str">
        <f t="shared" si="1"/>
        <v/>
      </c>
      <c r="D75" s="65" t="str">
        <f>IFERROR(VLOOKUP($B75&amp;$F$5,dfplnexp!$A:$H,4,0),"")</f>
        <v/>
      </c>
      <c r="E75" s="65" t="str">
        <f>IFERROR(VLOOKUP($B75&amp;$F$5,dfplnexp!$A:$H,5,0),"")</f>
        <v/>
      </c>
      <c r="F75" s="65" t="str">
        <f>IF(IFERROR(VLOOKUP($B75&amp;$F$5,dfplnexp!$A:$H,6,0),"")=0,"",IFERROR(VLOOKUP($B75&amp;$F$5,dfplnexp!$A:$H,6,0),""))</f>
        <v/>
      </c>
      <c r="G75" s="66" t="str">
        <f>IFERROR(VLOOKUP($B75&amp;$F$5,dfplnexp!$A:$I,8,0),"")</f>
        <v/>
      </c>
      <c r="H75" s="47"/>
      <c r="I75" s="50"/>
      <c r="J75" s="66" t="str">
        <f>IF(D75="","",IFERROR(VLOOKUP(C75,units!A:D,4,0),"N/A"))</f>
        <v/>
      </c>
      <c r="K75" s="47"/>
      <c r="L75" s="44"/>
      <c r="M75" s="44"/>
      <c r="N75" s="44"/>
      <c r="O75" s="44"/>
    </row>
    <row r="76" spans="2:15" ht="45" customHeight="1" x14ac:dyDescent="0.3">
      <c r="B76">
        <f t="shared" si="0"/>
        <v>63</v>
      </c>
      <c r="C76" s="14" t="str">
        <f t="shared" si="1"/>
        <v/>
      </c>
      <c r="D76" s="65" t="str">
        <f>IFERROR(VLOOKUP($B76&amp;$F$5,dfplnexp!$A:$H,4,0),"")</f>
        <v/>
      </c>
      <c r="E76" s="65" t="str">
        <f>IFERROR(VLOOKUP($B76&amp;$F$5,dfplnexp!$A:$H,5,0),"")</f>
        <v/>
      </c>
      <c r="F76" s="65" t="str">
        <f>IF(IFERROR(VLOOKUP($B76&amp;$F$5,dfplnexp!$A:$H,6,0),"")=0,"",IFERROR(VLOOKUP($B76&amp;$F$5,dfplnexp!$A:$H,6,0),""))</f>
        <v/>
      </c>
      <c r="G76" s="66" t="str">
        <f>IFERROR(VLOOKUP($B76&amp;$F$5,dfplnexp!$A:$I,8,0),"")</f>
        <v/>
      </c>
      <c r="H76" s="47"/>
      <c r="I76" s="50"/>
      <c r="J76" s="66" t="str">
        <f>IF(D76="","",IFERROR(VLOOKUP(C76,units!A:D,4,0),"N/A"))</f>
        <v/>
      </c>
      <c r="K76" s="47"/>
      <c r="L76" s="44"/>
      <c r="M76" s="44"/>
      <c r="N76" s="44"/>
      <c r="O76" s="44"/>
    </row>
    <row r="77" spans="2:15" ht="45" customHeight="1" x14ac:dyDescent="0.3">
      <c r="B77">
        <f t="shared" si="0"/>
        <v>64</v>
      </c>
      <c r="C77" s="14" t="str">
        <f t="shared" si="1"/>
        <v/>
      </c>
      <c r="D77" s="65" t="str">
        <f>IFERROR(VLOOKUP($B77&amp;$F$5,dfplnexp!$A:$H,4,0),"")</f>
        <v/>
      </c>
      <c r="E77" s="65" t="str">
        <f>IFERROR(VLOOKUP($B77&amp;$F$5,dfplnexp!$A:$H,5,0),"")</f>
        <v/>
      </c>
      <c r="F77" s="65" t="str">
        <f>IF(IFERROR(VLOOKUP($B77&amp;$F$5,dfplnexp!$A:$H,6,0),"")=0,"",IFERROR(VLOOKUP($B77&amp;$F$5,dfplnexp!$A:$H,6,0),""))</f>
        <v/>
      </c>
      <c r="G77" s="66" t="str">
        <f>IFERROR(VLOOKUP($B77&amp;$F$5,dfplnexp!$A:$I,8,0),"")</f>
        <v/>
      </c>
      <c r="H77" s="47"/>
      <c r="I77" s="50"/>
      <c r="J77" s="66" t="str">
        <f>IF(D77="","",IFERROR(VLOOKUP(C77,units!A:D,4,0),"N/A"))</f>
        <v/>
      </c>
      <c r="K77" s="47"/>
      <c r="L77" s="44"/>
      <c r="M77" s="44"/>
      <c r="N77" s="44"/>
      <c r="O77" s="44"/>
    </row>
    <row r="78" spans="2:15" ht="45" customHeight="1" x14ac:dyDescent="0.3">
      <c r="B78">
        <f t="shared" si="0"/>
        <v>65</v>
      </c>
      <c r="C78" s="14" t="str">
        <f t="shared" si="1"/>
        <v/>
      </c>
      <c r="D78" s="65" t="str">
        <f>IFERROR(VLOOKUP($B78&amp;$F$5,dfplnexp!$A:$H,4,0),"")</f>
        <v/>
      </c>
      <c r="E78" s="65" t="str">
        <f>IFERROR(VLOOKUP($B78&amp;$F$5,dfplnexp!$A:$H,5,0),"")</f>
        <v/>
      </c>
      <c r="F78" s="65" t="str">
        <f>IF(IFERROR(VLOOKUP($B78&amp;$F$5,dfplnexp!$A:$H,6,0),"")=0,"",IFERROR(VLOOKUP($B78&amp;$F$5,dfplnexp!$A:$H,6,0),""))</f>
        <v/>
      </c>
      <c r="G78" s="66" t="str">
        <f>IFERROR(VLOOKUP($B78&amp;$F$5,dfplnexp!$A:$I,8,0),"")</f>
        <v/>
      </c>
      <c r="H78" s="47"/>
      <c r="I78" s="50"/>
      <c r="J78" s="66" t="str">
        <f>IF(D78="","",IFERROR(VLOOKUP(C78,units!A:D,4,0),"N/A"))</f>
        <v/>
      </c>
      <c r="K78" s="47"/>
      <c r="L78" s="44"/>
      <c r="M78" s="44"/>
      <c r="N78" s="44"/>
      <c r="O78" s="44"/>
    </row>
    <row r="79" spans="2:15" ht="45" customHeight="1" x14ac:dyDescent="0.3">
      <c r="B79">
        <f t="shared" si="0"/>
        <v>66</v>
      </c>
      <c r="C79" s="14" t="str">
        <f t="shared" si="1"/>
        <v/>
      </c>
      <c r="D79" s="65" t="str">
        <f>IFERROR(VLOOKUP($B79&amp;$F$5,dfplnexp!$A:$H,4,0),"")</f>
        <v/>
      </c>
      <c r="E79" s="65" t="str">
        <f>IFERROR(VLOOKUP($B79&amp;$F$5,dfplnexp!$A:$H,5,0),"")</f>
        <v/>
      </c>
      <c r="F79" s="65" t="str">
        <f>IF(IFERROR(VLOOKUP($B79&amp;$F$5,dfplnexp!$A:$H,6,0),"")=0,"",IFERROR(VLOOKUP($B79&amp;$F$5,dfplnexp!$A:$H,6,0),""))</f>
        <v/>
      </c>
      <c r="G79" s="66" t="str">
        <f>IFERROR(VLOOKUP($B79&amp;$F$5,dfplnexp!$A:$I,8,0),"")</f>
        <v/>
      </c>
      <c r="H79" s="47"/>
      <c r="I79" s="50"/>
      <c r="J79" s="66" t="str">
        <f>IF(D79="","",IFERROR(VLOOKUP(C79,units!A:D,4,0),"N/A"))</f>
        <v/>
      </c>
      <c r="K79" s="47"/>
      <c r="L79" s="44"/>
      <c r="M79" s="44"/>
      <c r="N79" s="44"/>
      <c r="O79" s="44"/>
    </row>
    <row r="80" spans="2:15" ht="45" customHeight="1" x14ac:dyDescent="0.3">
      <c r="B80">
        <f t="shared" ref="B80:B115" si="2">1+B79</f>
        <v>67</v>
      </c>
      <c r="C80" s="14" t="str">
        <f t="shared" si="1"/>
        <v/>
      </c>
      <c r="D80" s="65" t="str">
        <f>IFERROR(VLOOKUP($B80&amp;$F$5,dfplnexp!$A:$H,4,0),"")</f>
        <v/>
      </c>
      <c r="E80" s="65" t="str">
        <f>IFERROR(VLOOKUP($B80&amp;$F$5,dfplnexp!$A:$H,5,0),"")</f>
        <v/>
      </c>
      <c r="F80" s="65" t="str">
        <f>IF(IFERROR(VLOOKUP($B80&amp;$F$5,dfplnexp!$A:$H,6,0),"")=0,"",IFERROR(VLOOKUP($B80&amp;$F$5,dfplnexp!$A:$H,6,0),""))</f>
        <v/>
      </c>
      <c r="G80" s="66" t="str">
        <f>IFERROR(VLOOKUP($B80&amp;$F$5,dfplnexp!$A:$I,8,0),"")</f>
        <v/>
      </c>
      <c r="H80" s="47"/>
      <c r="I80" s="50"/>
      <c r="J80" s="66" t="str">
        <f>IF(D80="","",IFERROR(VLOOKUP(C80,units!A:D,4,0),"N/A"))</f>
        <v/>
      </c>
      <c r="K80" s="47"/>
      <c r="L80" s="44"/>
      <c r="M80" s="44"/>
      <c r="N80" s="44"/>
      <c r="O80" s="44"/>
    </row>
    <row r="81" spans="2:20" ht="45" customHeight="1" x14ac:dyDescent="0.3">
      <c r="B81">
        <f t="shared" si="2"/>
        <v>68</v>
      </c>
      <c r="C81" s="14" t="str">
        <f t="shared" ref="C81:C115" si="3">IF(OR(E81="Administration",E81="Contigency",E81="Other"),E81,E81&amp;F81)</f>
        <v/>
      </c>
      <c r="D81" s="65" t="str">
        <f>IFERROR(VLOOKUP($B81&amp;$F$5,dfplnexp!$A:$H,4,0),"")</f>
        <v/>
      </c>
      <c r="E81" s="65" t="str">
        <f>IFERROR(VLOOKUP($B81&amp;$F$5,dfplnexp!$A:$H,5,0),"")</f>
        <v/>
      </c>
      <c r="F81" s="65" t="str">
        <f>IF(IFERROR(VLOOKUP($B81&amp;$F$5,dfplnexp!$A:$H,6,0),"")=0,"",IFERROR(VLOOKUP($B81&amp;$F$5,dfplnexp!$A:$H,6,0),""))</f>
        <v/>
      </c>
      <c r="G81" s="66" t="str">
        <f>IFERROR(VLOOKUP($B81&amp;$F$5,dfplnexp!$A:$I,8,0),"")</f>
        <v/>
      </c>
      <c r="H81" s="47"/>
      <c r="I81" s="50"/>
      <c r="J81" s="66" t="str">
        <f>IF(D81="","",IFERROR(VLOOKUP(C81,units!A:D,4,0),"N/A"))</f>
        <v/>
      </c>
      <c r="K81" s="47"/>
      <c r="L81" s="44"/>
      <c r="M81" s="44"/>
      <c r="N81" s="44"/>
      <c r="O81" s="44"/>
    </row>
    <row r="82" spans="2:20" ht="45" customHeight="1" x14ac:dyDescent="0.3">
      <c r="B82">
        <f t="shared" si="2"/>
        <v>69</v>
      </c>
      <c r="C82" s="14" t="str">
        <f t="shared" si="3"/>
        <v/>
      </c>
      <c r="D82" s="65" t="str">
        <f>IFERROR(VLOOKUP($B82&amp;$F$5,dfplnexp!$A:$H,4,0),"")</f>
        <v/>
      </c>
      <c r="E82" s="65" t="str">
        <f>IFERROR(VLOOKUP($B82&amp;$F$5,dfplnexp!$A:$H,5,0),"")</f>
        <v/>
      </c>
      <c r="F82" s="65" t="str">
        <f>IF(IFERROR(VLOOKUP($B82&amp;$F$5,dfplnexp!$A:$H,6,0),"")=0,"",IFERROR(VLOOKUP($B82&amp;$F$5,dfplnexp!$A:$H,6,0),""))</f>
        <v/>
      </c>
      <c r="G82" s="66" t="str">
        <f>IFERROR(VLOOKUP($B82&amp;$F$5,dfplnexp!$A:$I,8,0),"")</f>
        <v/>
      </c>
      <c r="H82" s="47"/>
      <c r="I82" s="50"/>
      <c r="J82" s="66" t="str">
        <f>IF(D82="","",IFERROR(VLOOKUP(C82,units!A:D,4,0),"N/A"))</f>
        <v/>
      </c>
      <c r="K82" s="47"/>
      <c r="L82" s="44"/>
      <c r="M82" s="44"/>
      <c r="N82" s="44"/>
      <c r="O82" s="44"/>
    </row>
    <row r="83" spans="2:20" ht="45" customHeight="1" x14ac:dyDescent="0.3">
      <c r="B83">
        <f t="shared" si="2"/>
        <v>70</v>
      </c>
      <c r="C83" s="14" t="str">
        <f t="shared" si="3"/>
        <v/>
      </c>
      <c r="D83" s="65" t="str">
        <f>IFERROR(VLOOKUP($B83&amp;$F$5,dfplnexp!$A:$H,4,0),"")</f>
        <v/>
      </c>
      <c r="E83" s="65" t="str">
        <f>IFERROR(VLOOKUP($B83&amp;$F$5,dfplnexp!$A:$H,5,0),"")</f>
        <v/>
      </c>
      <c r="F83" s="65" t="str">
        <f>IF(IFERROR(VLOOKUP($B83&amp;$F$5,dfplnexp!$A:$H,6,0),"")=0,"",IFERROR(VLOOKUP($B83&amp;$F$5,dfplnexp!$A:$H,6,0),""))</f>
        <v/>
      </c>
      <c r="G83" s="66" t="str">
        <f>IFERROR(VLOOKUP($B83&amp;$F$5,dfplnexp!$A:$I,8,0),"")</f>
        <v/>
      </c>
      <c r="H83" s="47"/>
      <c r="I83" s="50"/>
      <c r="J83" s="66" t="str">
        <f>IF(D83="","",IFERROR(VLOOKUP(C83,units!A:D,4,0),"N/A"))</f>
        <v/>
      </c>
      <c r="K83" s="47"/>
      <c r="L83" s="44"/>
      <c r="M83" s="44"/>
      <c r="N83" s="44"/>
      <c r="O83" s="44"/>
    </row>
    <row r="84" spans="2:20" ht="45" customHeight="1" x14ac:dyDescent="0.3">
      <c r="B84">
        <f t="shared" si="2"/>
        <v>71</v>
      </c>
      <c r="C84" s="14" t="str">
        <f t="shared" si="3"/>
        <v/>
      </c>
      <c r="D84" s="65" t="str">
        <f>IFERROR(VLOOKUP($B84&amp;$F$5,dfplnexp!$A:$H,4,0),"")</f>
        <v/>
      </c>
      <c r="E84" s="65" t="str">
        <f>IFERROR(VLOOKUP($B84&amp;$F$5,dfplnexp!$A:$H,5,0),"")</f>
        <v/>
      </c>
      <c r="F84" s="65" t="str">
        <f>IF(IFERROR(VLOOKUP($B84&amp;$F$5,dfplnexp!$A:$H,6,0),"")=0,"",IFERROR(VLOOKUP($B84&amp;$F$5,dfplnexp!$A:$H,6,0),""))</f>
        <v/>
      </c>
      <c r="G84" s="66" t="str">
        <f>IFERROR(VLOOKUP($B84&amp;$F$5,dfplnexp!$A:$I,8,0),"")</f>
        <v/>
      </c>
      <c r="H84" s="47"/>
      <c r="I84" s="50"/>
      <c r="J84" s="66" t="str">
        <f>IF(D84="","",IFERROR(VLOOKUP(C84,units!A:D,4,0),"N/A"))</f>
        <v/>
      </c>
      <c r="K84" s="47"/>
      <c r="L84" s="44"/>
      <c r="M84" s="44"/>
      <c r="N84" s="44"/>
      <c r="O84" s="44"/>
    </row>
    <row r="85" spans="2:20" ht="45" customHeight="1" x14ac:dyDescent="0.3">
      <c r="B85">
        <f t="shared" si="2"/>
        <v>72</v>
      </c>
      <c r="C85" s="14" t="str">
        <f t="shared" si="3"/>
        <v/>
      </c>
      <c r="D85" s="65" t="str">
        <f>IFERROR(VLOOKUP($B85&amp;$F$5,dfplnexp!$A:$H,4,0),"")</f>
        <v/>
      </c>
      <c r="E85" s="65" t="str">
        <f>IFERROR(VLOOKUP($B85&amp;$F$5,dfplnexp!$A:$H,5,0),"")</f>
        <v/>
      </c>
      <c r="F85" s="65" t="str">
        <f>IF(IFERROR(VLOOKUP($B85&amp;$F$5,dfplnexp!$A:$H,6,0),"")=0,"",IFERROR(VLOOKUP($B85&amp;$F$5,dfplnexp!$A:$H,6,0),""))</f>
        <v/>
      </c>
      <c r="G85" s="66" t="str">
        <f>IFERROR(VLOOKUP($B85&amp;$F$5,dfplnexp!$A:$I,8,0),"")</f>
        <v/>
      </c>
      <c r="H85" s="47"/>
      <c r="I85" s="50"/>
      <c r="J85" s="66" t="str">
        <f>IF(D85="","",IFERROR(VLOOKUP(C85,units!A:D,4,0),"N/A"))</f>
        <v/>
      </c>
      <c r="K85" s="47"/>
      <c r="L85" s="44"/>
      <c r="M85" s="44"/>
      <c r="N85" s="44"/>
      <c r="O85" s="44"/>
    </row>
    <row r="86" spans="2:20" ht="45" customHeight="1" x14ac:dyDescent="0.3">
      <c r="B86">
        <f t="shared" si="2"/>
        <v>73</v>
      </c>
      <c r="C86" s="14" t="str">
        <f t="shared" si="3"/>
        <v/>
      </c>
      <c r="D86" s="65" t="str">
        <f>IFERROR(VLOOKUP($B86&amp;$F$5,dfplnexp!$A:$H,4,0),"")</f>
        <v/>
      </c>
      <c r="E86" s="65" t="str">
        <f>IFERROR(VLOOKUP($B86&amp;$F$5,dfplnexp!$A:$H,5,0),"")</f>
        <v/>
      </c>
      <c r="F86" s="65" t="str">
        <f>IF(IFERROR(VLOOKUP($B86&amp;$F$5,dfplnexp!$A:$H,6,0),"")=0,"",IFERROR(VLOOKUP($B86&amp;$F$5,dfplnexp!$A:$H,6,0),""))</f>
        <v/>
      </c>
      <c r="G86" s="66" t="str">
        <f>IFERROR(VLOOKUP($B86&amp;$F$5,dfplnexp!$A:$I,8,0),"")</f>
        <v/>
      </c>
      <c r="H86" s="47"/>
      <c r="I86" s="50"/>
      <c r="J86" s="66" t="str">
        <f>IF(D86="","",IFERROR(VLOOKUP(C86,units!A:D,4,0),"N/A"))</f>
        <v/>
      </c>
      <c r="K86" s="47"/>
      <c r="L86" s="44"/>
      <c r="M86" s="44"/>
      <c r="N86" s="44"/>
      <c r="O86" s="44"/>
    </row>
    <row r="87" spans="2:20" ht="45" customHeight="1" x14ac:dyDescent="0.3">
      <c r="B87">
        <f t="shared" si="2"/>
        <v>74</v>
      </c>
      <c r="C87" s="14" t="str">
        <f t="shared" si="3"/>
        <v/>
      </c>
      <c r="D87" s="65" t="str">
        <f>IFERROR(VLOOKUP($B87&amp;$F$5,dfplnexp!$A:$H,4,0),"")</f>
        <v/>
      </c>
      <c r="E87" s="65" t="str">
        <f>IFERROR(VLOOKUP($B87&amp;$F$5,dfplnexp!$A:$H,5,0),"")</f>
        <v/>
      </c>
      <c r="F87" s="65" t="str">
        <f>IF(IFERROR(VLOOKUP($B87&amp;$F$5,dfplnexp!$A:$H,6,0),"")=0,"",IFERROR(VLOOKUP($B87&amp;$F$5,dfplnexp!$A:$H,6,0),""))</f>
        <v/>
      </c>
      <c r="G87" s="66" t="str">
        <f>IFERROR(VLOOKUP($B87&amp;$F$5,dfplnexp!$A:$I,8,0),"")</f>
        <v/>
      </c>
      <c r="H87" s="47"/>
      <c r="I87" s="50"/>
      <c r="J87" s="66" t="str">
        <f>IF(D87="","",IFERROR(VLOOKUP(C87,units!A:D,4,0),"N/A"))</f>
        <v/>
      </c>
      <c r="K87" s="47"/>
      <c r="L87" s="44"/>
      <c r="M87" s="44"/>
      <c r="N87" s="44"/>
      <c r="O87" s="44"/>
    </row>
    <row r="88" spans="2:20" ht="45" customHeight="1" x14ac:dyDescent="0.3">
      <c r="B88">
        <f t="shared" si="2"/>
        <v>75</v>
      </c>
      <c r="C88" s="14" t="str">
        <f t="shared" si="3"/>
        <v/>
      </c>
      <c r="D88" s="65" t="str">
        <f>IFERROR(VLOOKUP($B88&amp;$F$5,dfplnexp!$A:$H,4,0),"")</f>
        <v/>
      </c>
      <c r="E88" s="65" t="str">
        <f>IFERROR(VLOOKUP($B88&amp;$F$5,dfplnexp!$A:$H,5,0),"")</f>
        <v/>
      </c>
      <c r="F88" s="65" t="str">
        <f>IF(IFERROR(VLOOKUP($B88&amp;$F$5,dfplnexp!$A:$H,6,0),"")=0,"",IFERROR(VLOOKUP($B88&amp;$F$5,dfplnexp!$A:$H,6,0),""))</f>
        <v/>
      </c>
      <c r="G88" s="66" t="str">
        <f>IFERROR(VLOOKUP($B88&amp;$F$5,dfplnexp!$A:$I,8,0),"")</f>
        <v/>
      </c>
      <c r="H88" s="47"/>
      <c r="I88" s="50"/>
      <c r="J88" s="66" t="str">
        <f>IF(D88="","",IFERROR(VLOOKUP(C88,units!A:D,4,0),"N/A"))</f>
        <v/>
      </c>
      <c r="K88" s="47"/>
      <c r="L88" s="44"/>
      <c r="M88" s="44"/>
      <c r="N88" s="44"/>
      <c r="O88" s="44"/>
    </row>
    <row r="89" spans="2:20" ht="45" customHeight="1" x14ac:dyDescent="0.3">
      <c r="B89">
        <f t="shared" si="2"/>
        <v>76</v>
      </c>
      <c r="C89" s="14" t="str">
        <f t="shared" si="3"/>
        <v/>
      </c>
      <c r="D89" s="65" t="str">
        <f>IFERROR(VLOOKUP($B89&amp;$F$5,dfplnexp!$A:$H,4,0),"")</f>
        <v/>
      </c>
      <c r="E89" s="65" t="str">
        <f>IFERROR(VLOOKUP($B89&amp;$F$5,dfplnexp!$A:$H,5,0),"")</f>
        <v/>
      </c>
      <c r="F89" s="65" t="str">
        <f>IF(IFERROR(VLOOKUP($B89&amp;$F$5,dfplnexp!$A:$H,6,0),"")=0,"",IFERROR(VLOOKUP($B89&amp;$F$5,dfplnexp!$A:$H,6,0),""))</f>
        <v/>
      </c>
      <c r="G89" s="66" t="str">
        <f>IFERROR(VLOOKUP($B89&amp;$F$5,dfplnexp!$A:$I,8,0),"")</f>
        <v/>
      </c>
      <c r="H89" s="47"/>
      <c r="I89" s="50"/>
      <c r="J89" s="66" t="str">
        <f>IF(D89="","",IFERROR(VLOOKUP(C89,units!A:D,4,0),"N/A"))</f>
        <v/>
      </c>
      <c r="K89" s="47"/>
      <c r="L89" s="44"/>
      <c r="M89" s="44"/>
      <c r="N89" s="44"/>
      <c r="O89" s="44"/>
    </row>
    <row r="90" spans="2:20" ht="45" customHeight="1" x14ac:dyDescent="0.3">
      <c r="B90">
        <f t="shared" si="2"/>
        <v>77</v>
      </c>
      <c r="C90" s="14" t="str">
        <f t="shared" si="3"/>
        <v/>
      </c>
      <c r="D90" s="65" t="str">
        <f>IFERROR(VLOOKUP($B90&amp;$F$5,dfplnexp!$A:$H,4,0),"")</f>
        <v/>
      </c>
      <c r="E90" s="65" t="str">
        <f>IFERROR(VLOOKUP($B90&amp;$F$5,dfplnexp!$A:$H,5,0),"")</f>
        <v/>
      </c>
      <c r="F90" s="65" t="str">
        <f>IF(IFERROR(VLOOKUP($B90&amp;$F$5,dfplnexp!$A:$H,6,0),"")=0,"",IFERROR(VLOOKUP($B90&amp;$F$5,dfplnexp!$A:$H,6,0),""))</f>
        <v/>
      </c>
      <c r="G90" s="66" t="str">
        <f>IFERROR(VLOOKUP($B90&amp;$F$5,dfplnexp!$A:$I,8,0),"")</f>
        <v/>
      </c>
      <c r="H90" s="47"/>
      <c r="I90" s="50"/>
      <c r="J90" s="66" t="str">
        <f>IF(D90="","",IFERROR(VLOOKUP(C90,units!A:D,4,0),"N/A"))</f>
        <v/>
      </c>
      <c r="K90" s="47"/>
      <c r="L90" s="44"/>
      <c r="M90" s="44"/>
      <c r="N90" s="44"/>
      <c r="O90" s="44"/>
    </row>
    <row r="91" spans="2:20" ht="45" customHeight="1" x14ac:dyDescent="0.3">
      <c r="B91">
        <f t="shared" si="2"/>
        <v>78</v>
      </c>
      <c r="C91" s="14" t="str">
        <f t="shared" si="3"/>
        <v/>
      </c>
      <c r="D91" s="65" t="str">
        <f>IFERROR(VLOOKUP($B91&amp;$F$5,dfplnexp!$A:$H,4,0),"")</f>
        <v/>
      </c>
      <c r="E91" s="65" t="str">
        <f>IFERROR(VLOOKUP($B91&amp;$F$5,dfplnexp!$A:$H,5,0),"")</f>
        <v/>
      </c>
      <c r="F91" s="65" t="str">
        <f>IF(IFERROR(VLOOKUP($B91&amp;$F$5,dfplnexp!$A:$H,6,0),"")=0,"",IFERROR(VLOOKUP($B91&amp;$F$5,dfplnexp!$A:$H,6,0),""))</f>
        <v/>
      </c>
      <c r="G91" s="66" t="str">
        <f>IFERROR(VLOOKUP($B91&amp;$F$5,dfplnexp!$A:$I,8,0),"")</f>
        <v/>
      </c>
      <c r="H91" s="47"/>
      <c r="I91" s="50"/>
      <c r="J91" s="66" t="str">
        <f>IF(D91="","",IFERROR(VLOOKUP(C91,units!A:D,4,0),"N/A"))</f>
        <v/>
      </c>
      <c r="K91" s="47"/>
      <c r="L91" s="44"/>
      <c r="M91" s="44"/>
      <c r="N91" s="44"/>
      <c r="O91" s="44"/>
    </row>
    <row r="92" spans="2:20" ht="45" customHeight="1" x14ac:dyDescent="0.3">
      <c r="B92">
        <f t="shared" si="2"/>
        <v>79</v>
      </c>
      <c r="C92" s="14" t="str">
        <f t="shared" si="3"/>
        <v/>
      </c>
      <c r="D92" s="65" t="str">
        <f>IFERROR(VLOOKUP($B92&amp;$F$5,dfplnexp!$A:$H,4,0),"")</f>
        <v/>
      </c>
      <c r="E92" s="65" t="str">
        <f>IFERROR(VLOOKUP($B92&amp;$F$5,dfplnexp!$A:$H,5,0),"")</f>
        <v/>
      </c>
      <c r="F92" s="65" t="str">
        <f>IF(IFERROR(VLOOKUP($B92&amp;$F$5,dfplnexp!$A:$H,6,0),"")=0,"",IFERROR(VLOOKUP($B92&amp;$F$5,dfplnexp!$A:$H,6,0),""))</f>
        <v/>
      </c>
      <c r="G92" s="66" t="str">
        <f>IFERROR(VLOOKUP($B92&amp;$F$5,dfplnexp!$A:$I,8,0),"")</f>
        <v/>
      </c>
      <c r="H92" s="47"/>
      <c r="I92" s="50"/>
      <c r="J92" s="66" t="str">
        <f>IF(D92="","",IFERROR(VLOOKUP(C92,units!A:D,4,0),"N/A"))</f>
        <v/>
      </c>
      <c r="K92" s="47"/>
      <c r="L92" s="44"/>
      <c r="M92" s="44"/>
      <c r="N92" s="44"/>
      <c r="O92" s="44"/>
    </row>
    <row r="93" spans="2:20" ht="45" customHeight="1" x14ac:dyDescent="0.3">
      <c r="B93">
        <f t="shared" si="2"/>
        <v>80</v>
      </c>
      <c r="C93" s="14" t="str">
        <f t="shared" si="3"/>
        <v/>
      </c>
      <c r="D93" s="67" t="str">
        <f>IFERROR(VLOOKUP($B93&amp;$F$5,dfplnexp!$A:$H,4,0),"")</f>
        <v/>
      </c>
      <c r="E93" s="67" t="str">
        <f>IFERROR(VLOOKUP($B93&amp;$F$5,dfplnexp!$A:$H,5,0),"")</f>
        <v/>
      </c>
      <c r="F93" s="67" t="str">
        <f>IF(IFERROR(VLOOKUP($B93&amp;$F$5,dfplnexp!$A:$H,6,0),"")=0,"",IFERROR(VLOOKUP($B93&amp;$F$5,dfplnexp!$A:$H,6,0),""))</f>
        <v/>
      </c>
      <c r="G93" s="68" t="str">
        <f>IFERROR(VLOOKUP($B93&amp;$F$5,dfplnexp!$A:$I,8,0),"")</f>
        <v/>
      </c>
      <c r="H93" s="48"/>
      <c r="I93" s="51"/>
      <c r="J93" s="68" t="str">
        <f>IF(D93="","",IFERROR(VLOOKUP(C93,units!A:D,4,0),"N/A"))</f>
        <v/>
      </c>
      <c r="K93" s="48"/>
      <c r="L93" s="45"/>
      <c r="M93" s="45"/>
      <c r="N93" s="45"/>
      <c r="O93" s="45"/>
    </row>
    <row r="94" spans="2:20" ht="67.5" customHeight="1" x14ac:dyDescent="0.3">
      <c r="C94" s="14"/>
      <c r="D94" s="60"/>
      <c r="E94" s="60"/>
      <c r="F94" s="60"/>
      <c r="G94" s="61"/>
      <c r="H94" s="62"/>
      <c r="I94" s="61"/>
      <c r="J94" s="61"/>
      <c r="K94" s="61"/>
      <c r="L94" s="60"/>
      <c r="M94" s="60"/>
      <c r="N94" s="60"/>
      <c r="O94" s="60"/>
    </row>
    <row r="95" spans="2:20" ht="25.5" customHeight="1" x14ac:dyDescent="0.3">
      <c r="C95" s="14"/>
      <c r="D95" s="330" t="s">
        <v>7664</v>
      </c>
      <c r="E95" s="331"/>
      <c r="F95" s="331"/>
      <c r="G95" s="331"/>
      <c r="H95" s="331"/>
      <c r="I95" s="331"/>
      <c r="J95" s="331"/>
      <c r="K95" s="331"/>
      <c r="L95" s="331"/>
      <c r="M95" s="331"/>
      <c r="N95" s="331"/>
      <c r="O95" s="332"/>
    </row>
    <row r="96" spans="2:20" ht="45" customHeight="1" x14ac:dyDescent="0.3">
      <c r="B96">
        <f>1+B93</f>
        <v>81</v>
      </c>
      <c r="C96" s="14" t="str">
        <f t="shared" si="3"/>
        <v>Local recruitment initiatives</v>
      </c>
      <c r="D96" s="54" t="str">
        <f>IFERROR(VLOOKUP($B96&amp;$F$5,dfplnexp!$A:$H,4,0),"")</f>
        <v/>
      </c>
      <c r="E96" s="54" t="s">
        <v>7658</v>
      </c>
      <c r="F96" s="54" t="str">
        <f>IFERROR(VLOOKUP($B96&amp;$F$5,dfplnexp!$A:$H,6,0),"")</f>
        <v/>
      </c>
      <c r="G96" s="55" t="str">
        <f>IFERROR(VLOOKUP($B96&amp;$F$5,dfplnexp!$A:$I,8,0),"")</f>
        <v/>
      </c>
      <c r="H96" s="46"/>
      <c r="I96" s="49"/>
      <c r="J96" s="55" t="str">
        <f>IF(D96="","",IFERROR(VLOOKUP(C96,units!A:D,4,0),"N/A"))</f>
        <v/>
      </c>
      <c r="K96" s="46"/>
      <c r="L96" s="43"/>
      <c r="M96" s="43"/>
      <c r="N96" s="43"/>
      <c r="O96" s="43"/>
      <c r="T96" s="69" t="str">
        <f>IF((INDEX($AQ$6:$AQ$17,MATCH($E96,$AP$6:$AP$17,0),1))="",#N/A,(INDEX($AQ$6:$AQ$17,MATCH($E96,$AP$6:$AP$17,0),1)))</f>
        <v>a9_Local recruitment initiatives</v>
      </c>
    </row>
    <row r="97" spans="2:15" ht="45" customHeight="1" x14ac:dyDescent="0.3">
      <c r="B97">
        <f t="shared" si="2"/>
        <v>82</v>
      </c>
      <c r="C97" s="14" t="str">
        <f t="shared" si="3"/>
        <v>&lt;Please Select&gt;</v>
      </c>
      <c r="D97" s="56" t="str">
        <f>IFERROR(VLOOKUP($B97&amp;$F$5,dfplnexp!$A:$H,4,0),"")</f>
        <v/>
      </c>
      <c r="E97" s="56" t="s">
        <v>369</v>
      </c>
      <c r="F97" s="56" t="str">
        <f>IFERROR(VLOOKUP($B97&amp;$F$5,dfplnexp!$A:$H,6,0),"")</f>
        <v/>
      </c>
      <c r="G97" s="57" t="str">
        <f>IFERROR(VLOOKUP($B97&amp;$F$5,dfplnexp!$A:$I,8,0),"")</f>
        <v/>
      </c>
      <c r="H97" s="47"/>
      <c r="I97" s="50"/>
      <c r="J97" s="57" t="str">
        <f>IF(D97="","",IFERROR(VLOOKUP(C97,units!A:D,4,0),"N/A"))</f>
        <v/>
      </c>
      <c r="K97" s="47"/>
      <c r="L97" s="44"/>
      <c r="M97" s="44"/>
      <c r="N97" s="44"/>
      <c r="O97" s="44"/>
    </row>
    <row r="98" spans="2:15" ht="45" customHeight="1" x14ac:dyDescent="0.3">
      <c r="B98">
        <f t="shared" si="2"/>
        <v>83</v>
      </c>
      <c r="C98" s="14" t="str">
        <f t="shared" si="3"/>
        <v/>
      </c>
      <c r="D98" s="56" t="str">
        <f>IFERROR(VLOOKUP($B98&amp;$F$5,dfplnexp!$A:$H,4,0),"")</f>
        <v/>
      </c>
      <c r="E98" s="56" t="str">
        <f>IFERROR(VLOOKUP($B98&amp;$F$5,dfplnexp!$A:$H,5,0),"")</f>
        <v/>
      </c>
      <c r="F98" s="56" t="str">
        <f>IFERROR(VLOOKUP($B98&amp;$F$5,dfplnexp!$A:$H,6,0),"")</f>
        <v/>
      </c>
      <c r="G98" s="57" t="str">
        <f>IFERROR(VLOOKUP($B98&amp;$F$5,dfplnexp!$A:$I,8,0),"")</f>
        <v/>
      </c>
      <c r="H98" s="47"/>
      <c r="I98" s="50"/>
      <c r="J98" s="57" t="str">
        <f>IF(D98="","",IFERROR(VLOOKUP(C98,units!A:D,4,0),"N/A"))</f>
        <v/>
      </c>
      <c r="K98" s="47"/>
      <c r="L98" s="44"/>
      <c r="M98" s="44"/>
      <c r="N98" s="44"/>
      <c r="O98" s="44"/>
    </row>
    <row r="99" spans="2:15" ht="45" customHeight="1" x14ac:dyDescent="0.3">
      <c r="B99">
        <f t="shared" si="2"/>
        <v>84</v>
      </c>
      <c r="C99" s="14" t="str">
        <f t="shared" si="3"/>
        <v/>
      </c>
      <c r="D99" s="56" t="str">
        <f>IFERROR(VLOOKUP($B99&amp;$F$5,dfplnexp!$A:$H,4,0),"")</f>
        <v/>
      </c>
      <c r="E99" s="56" t="str">
        <f>IFERROR(VLOOKUP($B99&amp;$F$5,dfplnexp!$A:$H,5,0),"")</f>
        <v/>
      </c>
      <c r="F99" s="56" t="str">
        <f>IFERROR(VLOOKUP($B99&amp;$F$5,dfplnexp!$A:$H,6,0),"")</f>
        <v/>
      </c>
      <c r="G99" s="57" t="str">
        <f>IFERROR(VLOOKUP($B99&amp;$F$5,dfplnexp!$A:$I,8,0),"")</f>
        <v/>
      </c>
      <c r="H99" s="47"/>
      <c r="I99" s="50"/>
      <c r="J99" s="57" t="str">
        <f>IF(D99="","",IFERROR(VLOOKUP(C99,units!A:D,4,0),"N/A"))</f>
        <v/>
      </c>
      <c r="K99" s="47"/>
      <c r="L99" s="44"/>
      <c r="M99" s="44"/>
      <c r="N99" s="44"/>
      <c r="O99" s="44"/>
    </row>
    <row r="100" spans="2:15" ht="45" customHeight="1" x14ac:dyDescent="0.3">
      <c r="B100">
        <f t="shared" si="2"/>
        <v>85</v>
      </c>
      <c r="C100" s="14" t="str">
        <f t="shared" si="3"/>
        <v/>
      </c>
      <c r="D100" s="56" t="str">
        <f>IFERROR(VLOOKUP($B100&amp;$F$5,dfplnexp!$A:$H,4,0),"")</f>
        <v/>
      </c>
      <c r="E100" s="56" t="str">
        <f>IFERROR(VLOOKUP($B100&amp;$F$5,dfplnexp!$A:$H,5,0),"")</f>
        <v/>
      </c>
      <c r="F100" s="56" t="str">
        <f>IFERROR(VLOOKUP($B100&amp;$F$5,dfplnexp!$A:$H,6,0),"")</f>
        <v/>
      </c>
      <c r="G100" s="57" t="str">
        <f>IFERROR(VLOOKUP($B100&amp;$F$5,dfplnexp!$A:$I,8,0),"")</f>
        <v/>
      </c>
      <c r="H100" s="47"/>
      <c r="I100" s="50"/>
      <c r="J100" s="57" t="str">
        <f>IF(D100="","",IFERROR(VLOOKUP(C100,units!A:D,4,0),"N/A"))</f>
        <v/>
      </c>
      <c r="K100" s="47"/>
      <c r="L100" s="44"/>
      <c r="M100" s="44"/>
      <c r="N100" s="44"/>
      <c r="O100" s="44"/>
    </row>
    <row r="101" spans="2:15" ht="45" customHeight="1" x14ac:dyDescent="0.3">
      <c r="B101">
        <f t="shared" si="2"/>
        <v>86</v>
      </c>
      <c r="C101" s="14" t="str">
        <f t="shared" si="3"/>
        <v/>
      </c>
      <c r="D101" s="56" t="str">
        <f>IFERROR(VLOOKUP($B101&amp;$F$5,dfplnexp!$A:$H,4,0),"")</f>
        <v/>
      </c>
      <c r="E101" s="56" t="str">
        <f>IFERROR(VLOOKUP($B101&amp;$F$5,dfplnexp!$A:$H,5,0),"")</f>
        <v/>
      </c>
      <c r="F101" s="56" t="str">
        <f>IFERROR(VLOOKUP($B101&amp;$F$5,dfplnexp!$A:$H,6,0),"")</f>
        <v/>
      </c>
      <c r="G101" s="57" t="str">
        <f>IFERROR(VLOOKUP($B101&amp;$F$5,dfplnexp!$A:$I,8,0),"")</f>
        <v/>
      </c>
      <c r="H101" s="47"/>
      <c r="I101" s="50"/>
      <c r="J101" s="57" t="str">
        <f>IF(D101="","",IFERROR(VLOOKUP(C101,units!A:D,4,0),"N/A"))</f>
        <v/>
      </c>
      <c r="K101" s="47"/>
      <c r="L101" s="44"/>
      <c r="M101" s="44"/>
      <c r="N101" s="44"/>
      <c r="O101" s="44"/>
    </row>
    <row r="102" spans="2:15" ht="45" customHeight="1" x14ac:dyDescent="0.3">
      <c r="B102">
        <f t="shared" si="2"/>
        <v>87</v>
      </c>
      <c r="C102" s="14" t="str">
        <f t="shared" si="3"/>
        <v/>
      </c>
      <c r="D102" s="56" t="str">
        <f>IFERROR(VLOOKUP($B102&amp;$F$5,dfplnexp!$A:$H,4,0),"")</f>
        <v/>
      </c>
      <c r="E102" s="56" t="str">
        <f>IFERROR(VLOOKUP($B102&amp;$F$5,dfplnexp!$A:$H,5,0),"")</f>
        <v/>
      </c>
      <c r="F102" s="56" t="str">
        <f>IFERROR(VLOOKUP($B102&amp;$F$5,dfplnexp!$A:$H,6,0),"")</f>
        <v/>
      </c>
      <c r="G102" s="57" t="str">
        <f>IFERROR(VLOOKUP($B102&amp;$F$5,dfplnexp!$A:$I,8,0),"")</f>
        <v/>
      </c>
      <c r="H102" s="47"/>
      <c r="I102" s="50"/>
      <c r="J102" s="57" t="str">
        <f>IF(D102="","",IFERROR(VLOOKUP(C102,units!A:D,4,0),"N/A"))</f>
        <v/>
      </c>
      <c r="K102" s="47"/>
      <c r="L102" s="44"/>
      <c r="M102" s="44"/>
      <c r="N102" s="44"/>
      <c r="O102" s="44"/>
    </row>
    <row r="103" spans="2:15" ht="45" customHeight="1" x14ac:dyDescent="0.3">
      <c r="B103">
        <f t="shared" si="2"/>
        <v>88</v>
      </c>
      <c r="C103" s="14" t="str">
        <f t="shared" si="3"/>
        <v/>
      </c>
      <c r="D103" s="56" t="str">
        <f>IFERROR(VLOOKUP($B103&amp;$F$5,dfplnexp!$A:$H,4,0),"")</f>
        <v/>
      </c>
      <c r="E103" s="56" t="str">
        <f>IFERROR(VLOOKUP($B103&amp;$F$5,dfplnexp!$A:$H,5,0),"")</f>
        <v/>
      </c>
      <c r="F103" s="56" t="str">
        <f>IFERROR(VLOOKUP($B103&amp;$F$5,dfplnexp!$A:$H,6,0),"")</f>
        <v/>
      </c>
      <c r="G103" s="57" t="str">
        <f>IFERROR(VLOOKUP($B103&amp;$F$5,dfplnexp!$A:$I,8,0),"")</f>
        <v/>
      </c>
      <c r="H103" s="47"/>
      <c r="I103" s="50"/>
      <c r="J103" s="57" t="str">
        <f>IF(D103="","",IFERROR(VLOOKUP(C103,units!A:D,4,0),"N/A"))</f>
        <v/>
      </c>
      <c r="K103" s="47"/>
      <c r="L103" s="44"/>
      <c r="M103" s="44"/>
      <c r="N103" s="44"/>
      <c r="O103" s="44"/>
    </row>
    <row r="104" spans="2:15" ht="45" customHeight="1" x14ac:dyDescent="0.3">
      <c r="B104">
        <f t="shared" si="2"/>
        <v>89</v>
      </c>
      <c r="C104" s="14" t="str">
        <f t="shared" si="3"/>
        <v/>
      </c>
      <c r="D104" s="56" t="str">
        <f>IFERROR(VLOOKUP($B104&amp;$F$5,dfplnexp!$A:$H,4,0),"")</f>
        <v/>
      </c>
      <c r="E104" s="56" t="str">
        <f>IFERROR(VLOOKUP($B104&amp;$F$5,dfplnexp!$A:$H,5,0),"")</f>
        <v/>
      </c>
      <c r="F104" s="56" t="str">
        <f>IFERROR(VLOOKUP($B104&amp;$F$5,dfplnexp!$A:$H,6,0),"")</f>
        <v/>
      </c>
      <c r="G104" s="57" t="str">
        <f>IFERROR(VLOOKUP($B104&amp;$F$5,dfplnexp!$A:$I,8,0),"")</f>
        <v/>
      </c>
      <c r="H104" s="47"/>
      <c r="I104" s="50"/>
      <c r="J104" s="57" t="str">
        <f>IF(D104="","",IFERROR(VLOOKUP(C104,units!A:D,4,0),"N/A"))</f>
        <v/>
      </c>
      <c r="K104" s="47"/>
      <c r="L104" s="44"/>
      <c r="M104" s="44"/>
      <c r="N104" s="44"/>
      <c r="O104" s="44"/>
    </row>
    <row r="105" spans="2:15" ht="45" customHeight="1" x14ac:dyDescent="0.3">
      <c r="B105">
        <f t="shared" si="2"/>
        <v>90</v>
      </c>
      <c r="C105" s="14" t="str">
        <f t="shared" si="3"/>
        <v/>
      </c>
      <c r="D105" s="56" t="str">
        <f>IFERROR(VLOOKUP($B105&amp;$F$5,dfplnexp!$A:$H,4,0),"")</f>
        <v/>
      </c>
      <c r="E105" s="56" t="str">
        <f>IFERROR(VLOOKUP($B105&amp;$F$5,dfplnexp!$A:$H,5,0),"")</f>
        <v/>
      </c>
      <c r="F105" s="56" t="str">
        <f>IFERROR(VLOOKUP($B105&amp;$F$5,dfplnexp!$A:$H,6,0),"")</f>
        <v/>
      </c>
      <c r="G105" s="57" t="str">
        <f>IFERROR(VLOOKUP($B105&amp;$F$5,dfplnexp!$A:$I,8,0),"")</f>
        <v/>
      </c>
      <c r="H105" s="47"/>
      <c r="I105" s="50"/>
      <c r="J105" s="57" t="str">
        <f>IF(D105="","",IFERROR(VLOOKUP(C105,units!A:D,4,0),"N/A"))</f>
        <v/>
      </c>
      <c r="K105" s="47"/>
      <c r="L105" s="44"/>
      <c r="M105" s="44"/>
      <c r="N105" s="44"/>
      <c r="O105" s="44"/>
    </row>
    <row r="106" spans="2:15" ht="45" customHeight="1" x14ac:dyDescent="0.3">
      <c r="B106">
        <f t="shared" si="2"/>
        <v>91</v>
      </c>
      <c r="C106" s="14" t="str">
        <f t="shared" si="3"/>
        <v/>
      </c>
      <c r="D106" s="56" t="str">
        <f>IFERROR(VLOOKUP($B106&amp;$F$5,dfplnexp!$A:$H,4,0),"")</f>
        <v/>
      </c>
      <c r="E106" s="56" t="str">
        <f>IFERROR(VLOOKUP($B106&amp;$F$5,dfplnexp!$A:$H,5,0),"")</f>
        <v/>
      </c>
      <c r="F106" s="56" t="str">
        <f>IFERROR(VLOOKUP($B106&amp;$F$5,dfplnexp!$A:$H,6,0),"")</f>
        <v/>
      </c>
      <c r="G106" s="57" t="str">
        <f>IFERROR(VLOOKUP($B106&amp;$F$5,dfplnexp!$A:$I,8,0),"")</f>
        <v/>
      </c>
      <c r="H106" s="47"/>
      <c r="I106" s="50"/>
      <c r="J106" s="57" t="str">
        <f>IF(D106="","",IFERROR(VLOOKUP(C106,units!A:D,4,0),"N/A"))</f>
        <v/>
      </c>
      <c r="K106" s="47"/>
      <c r="L106" s="44"/>
      <c r="M106" s="44"/>
      <c r="N106" s="44"/>
      <c r="O106" s="44"/>
    </row>
    <row r="107" spans="2:15" ht="45" customHeight="1" x14ac:dyDescent="0.3">
      <c r="B107">
        <f t="shared" si="2"/>
        <v>92</v>
      </c>
      <c r="C107" s="14" t="str">
        <f t="shared" si="3"/>
        <v/>
      </c>
      <c r="D107" s="56" t="str">
        <f>IFERROR(VLOOKUP($B107&amp;$F$5,dfplnexp!$A:$H,4,0),"")</f>
        <v/>
      </c>
      <c r="E107" s="56" t="str">
        <f>IFERROR(VLOOKUP($B107&amp;$F$5,dfplnexp!$A:$H,5,0),"")</f>
        <v/>
      </c>
      <c r="F107" s="56" t="str">
        <f>IFERROR(VLOOKUP($B107&amp;$F$5,dfplnexp!$A:$H,6,0),"")</f>
        <v/>
      </c>
      <c r="G107" s="57" t="str">
        <f>IFERROR(VLOOKUP($B107&amp;$F$5,dfplnexp!$A:$I,8,0),"")</f>
        <v/>
      </c>
      <c r="H107" s="47"/>
      <c r="I107" s="50"/>
      <c r="J107" s="57" t="str">
        <f>IF(D107="","",IFERROR(VLOOKUP(C107,units!A:D,4,0),"N/A"))</f>
        <v/>
      </c>
      <c r="K107" s="47"/>
      <c r="L107" s="44"/>
      <c r="M107" s="44"/>
      <c r="N107" s="44"/>
      <c r="O107" s="44"/>
    </row>
    <row r="108" spans="2:15" ht="45" customHeight="1" x14ac:dyDescent="0.3">
      <c r="B108">
        <f t="shared" si="2"/>
        <v>93</v>
      </c>
      <c r="C108" s="14" t="str">
        <f t="shared" si="3"/>
        <v/>
      </c>
      <c r="D108" s="56" t="str">
        <f>IFERROR(VLOOKUP($B108&amp;$F$5,dfplnexp!$A:$H,4,0),"")</f>
        <v/>
      </c>
      <c r="E108" s="56" t="str">
        <f>IFERROR(VLOOKUP($B108&amp;$F$5,dfplnexp!$A:$H,5,0),"")</f>
        <v/>
      </c>
      <c r="F108" s="56" t="str">
        <f>IFERROR(VLOOKUP($B108&amp;$F$5,dfplnexp!$A:$H,6,0),"")</f>
        <v/>
      </c>
      <c r="G108" s="57" t="str">
        <f>IFERROR(VLOOKUP($B108&amp;$F$5,dfplnexp!$A:$I,8,0),"")</f>
        <v/>
      </c>
      <c r="H108" s="47"/>
      <c r="I108" s="50"/>
      <c r="J108" s="57" t="str">
        <f>IF(D108="","",IFERROR(VLOOKUP(C108,units!A:D,4,0),"N/A"))</f>
        <v/>
      </c>
      <c r="K108" s="47"/>
      <c r="L108" s="44"/>
      <c r="M108" s="44"/>
      <c r="N108" s="44"/>
      <c r="O108" s="44"/>
    </row>
    <row r="109" spans="2:15" ht="45" customHeight="1" x14ac:dyDescent="0.3">
      <c r="B109">
        <f t="shared" si="2"/>
        <v>94</v>
      </c>
      <c r="C109" s="14" t="str">
        <f t="shared" si="3"/>
        <v/>
      </c>
      <c r="D109" s="56" t="str">
        <f>IFERROR(VLOOKUP($B109&amp;$F$5,dfplnexp!$A:$H,4,0),"")</f>
        <v/>
      </c>
      <c r="E109" s="56" t="str">
        <f>IFERROR(VLOOKUP($B109&amp;$F$5,dfplnexp!$A:$H,5,0),"")</f>
        <v/>
      </c>
      <c r="F109" s="56" t="str">
        <f>IFERROR(VLOOKUP($B109&amp;$F$5,dfplnexp!$A:$H,6,0),"")</f>
        <v/>
      </c>
      <c r="G109" s="57" t="str">
        <f>IFERROR(VLOOKUP($B109&amp;$F$5,dfplnexp!$A:$I,8,0),"")</f>
        <v/>
      </c>
      <c r="H109" s="47"/>
      <c r="I109" s="50"/>
      <c r="J109" s="57" t="str">
        <f>IF(D109="","",IFERROR(VLOOKUP(C109,units!A:D,4,0),"N/A"))</f>
        <v/>
      </c>
      <c r="K109" s="47"/>
      <c r="L109" s="44"/>
      <c r="M109" s="44"/>
      <c r="N109" s="44"/>
      <c r="O109" s="44"/>
    </row>
    <row r="110" spans="2:15" ht="45" customHeight="1" x14ac:dyDescent="0.3">
      <c r="B110">
        <f t="shared" si="2"/>
        <v>95</v>
      </c>
      <c r="C110" s="14" t="str">
        <f t="shared" si="3"/>
        <v/>
      </c>
      <c r="D110" s="56" t="str">
        <f>IFERROR(VLOOKUP($B110&amp;$F$5,dfplnexp!$A:$H,4,0),"")</f>
        <v/>
      </c>
      <c r="E110" s="56" t="str">
        <f>IFERROR(VLOOKUP($B110&amp;$F$5,dfplnexp!$A:$H,5,0),"")</f>
        <v/>
      </c>
      <c r="F110" s="56" t="str">
        <f>IFERROR(VLOOKUP($B110&amp;$F$5,dfplnexp!$A:$H,6,0),"")</f>
        <v/>
      </c>
      <c r="G110" s="57" t="str">
        <f>IFERROR(VLOOKUP($B110&amp;$F$5,dfplnexp!$A:$I,8,0),"")</f>
        <v/>
      </c>
      <c r="H110" s="47"/>
      <c r="I110" s="50"/>
      <c r="J110" s="57" t="str">
        <f>IF(D110="","",IFERROR(VLOOKUP(C110,units!A:D,4,0),"N/A"))</f>
        <v/>
      </c>
      <c r="K110" s="47"/>
      <c r="L110" s="44"/>
      <c r="M110" s="44"/>
      <c r="N110" s="44"/>
      <c r="O110" s="44"/>
    </row>
    <row r="111" spans="2:15" ht="45" customHeight="1" x14ac:dyDescent="0.3">
      <c r="B111">
        <f t="shared" si="2"/>
        <v>96</v>
      </c>
      <c r="C111" s="14" t="str">
        <f t="shared" si="3"/>
        <v/>
      </c>
      <c r="D111" s="56" t="str">
        <f>IFERROR(VLOOKUP($B111&amp;$F$5,dfplnexp!$A:$H,4,0),"")</f>
        <v/>
      </c>
      <c r="E111" s="56" t="str">
        <f>IFERROR(VLOOKUP($B111&amp;$F$5,dfplnexp!$A:$H,5,0),"")</f>
        <v/>
      </c>
      <c r="F111" s="56" t="str">
        <f>IFERROR(VLOOKUP($B111&amp;$F$5,dfplnexp!$A:$H,6,0),"")</f>
        <v/>
      </c>
      <c r="G111" s="57" t="str">
        <f>IFERROR(VLOOKUP($B111&amp;$F$5,dfplnexp!$A:$I,8,0),"")</f>
        <v/>
      </c>
      <c r="H111" s="47"/>
      <c r="I111" s="50"/>
      <c r="J111" s="57" t="str">
        <f>IF(D111="","",IFERROR(VLOOKUP(C111,units!A:D,4,0),"N/A"))</f>
        <v/>
      </c>
      <c r="K111" s="47"/>
      <c r="L111" s="44"/>
      <c r="M111" s="44"/>
      <c r="N111" s="44"/>
      <c r="O111" s="44"/>
    </row>
    <row r="112" spans="2:15" ht="45" customHeight="1" x14ac:dyDescent="0.3">
      <c r="B112">
        <f t="shared" si="2"/>
        <v>97</v>
      </c>
      <c r="C112" s="14" t="str">
        <f t="shared" si="3"/>
        <v/>
      </c>
      <c r="D112" s="56" t="str">
        <f>IFERROR(VLOOKUP($B112&amp;$F$5,dfplnexp!$A:$H,4,0),"")</f>
        <v/>
      </c>
      <c r="E112" s="56" t="str">
        <f>IFERROR(VLOOKUP($B112&amp;$F$5,dfplnexp!$A:$H,5,0),"")</f>
        <v/>
      </c>
      <c r="F112" s="56" t="str">
        <f>IFERROR(VLOOKUP($B112&amp;$F$5,dfplnexp!$A:$H,6,0),"")</f>
        <v/>
      </c>
      <c r="G112" s="57" t="str">
        <f>IFERROR(VLOOKUP($B112&amp;$F$5,dfplnexp!$A:$I,8,0),"")</f>
        <v/>
      </c>
      <c r="H112" s="47"/>
      <c r="I112" s="50"/>
      <c r="J112" s="57" t="str">
        <f>IF(D112="","",IFERROR(VLOOKUP(C112,units!A:D,4,0),"N/A"))</f>
        <v/>
      </c>
      <c r="K112" s="47"/>
      <c r="L112" s="44"/>
      <c r="M112" s="44"/>
      <c r="N112" s="44"/>
      <c r="O112" s="44"/>
    </row>
    <row r="113" spans="2:15" ht="45" customHeight="1" x14ac:dyDescent="0.3">
      <c r="B113">
        <f t="shared" si="2"/>
        <v>98</v>
      </c>
      <c r="C113" s="14" t="str">
        <f t="shared" si="3"/>
        <v/>
      </c>
      <c r="D113" s="56" t="str">
        <f>IFERROR(VLOOKUP($B113&amp;$F$5,dfplnexp!$A:$H,4,0),"")</f>
        <v/>
      </c>
      <c r="E113" s="56" t="str">
        <f>IFERROR(VLOOKUP($B113&amp;$F$5,dfplnexp!$A:$H,5,0),"")</f>
        <v/>
      </c>
      <c r="F113" s="56" t="str">
        <f>IFERROR(VLOOKUP($B113&amp;$F$5,dfplnexp!$A:$H,6,0),"")</f>
        <v/>
      </c>
      <c r="G113" s="57" t="str">
        <f>IFERROR(VLOOKUP($B113&amp;$F$5,dfplnexp!$A:$I,8,0),"")</f>
        <v/>
      </c>
      <c r="H113" s="47"/>
      <c r="I113" s="50"/>
      <c r="J113" s="57" t="str">
        <f>IF(D113="","",IFERROR(VLOOKUP(C113,units!A:D,4,0),"N/A"))</f>
        <v/>
      </c>
      <c r="K113" s="47"/>
      <c r="L113" s="44"/>
      <c r="M113" s="44"/>
      <c r="N113" s="44"/>
      <c r="O113" s="44"/>
    </row>
    <row r="114" spans="2:15" ht="45" customHeight="1" x14ac:dyDescent="0.3">
      <c r="B114">
        <f t="shared" si="2"/>
        <v>99</v>
      </c>
      <c r="C114" s="14" t="str">
        <f t="shared" si="3"/>
        <v/>
      </c>
      <c r="D114" s="56" t="str">
        <f>IFERROR(VLOOKUP($B114&amp;$F$5,dfplnexp!$A:$H,4,0),"")</f>
        <v/>
      </c>
      <c r="E114" s="56" t="str">
        <f>IFERROR(VLOOKUP($B114&amp;$F$5,dfplnexp!$A:$H,5,0),"")</f>
        <v/>
      </c>
      <c r="F114" s="56" t="str">
        <f>IFERROR(VLOOKUP($B114&amp;$F$5,dfplnexp!$A:$H,6,0),"")</f>
        <v/>
      </c>
      <c r="G114" s="57" t="str">
        <f>IFERROR(VLOOKUP($B114&amp;$F$5,dfplnexp!$A:$I,8,0),"")</f>
        <v/>
      </c>
      <c r="H114" s="47"/>
      <c r="I114" s="50"/>
      <c r="J114" s="57" t="str">
        <f>IF(D114="","",IFERROR(VLOOKUP(C114,units!A:D,4,0),"N/A"))</f>
        <v/>
      </c>
      <c r="K114" s="47"/>
      <c r="L114" s="44"/>
      <c r="M114" s="44"/>
      <c r="N114" s="44"/>
      <c r="O114" s="44"/>
    </row>
    <row r="115" spans="2:15" ht="45" customHeight="1" x14ac:dyDescent="0.3">
      <c r="B115">
        <f t="shared" si="2"/>
        <v>100</v>
      </c>
      <c r="C115" s="14" t="str">
        <f t="shared" si="3"/>
        <v/>
      </c>
      <c r="D115" s="58" t="str">
        <f>IFERROR(VLOOKUP($B115&amp;$F$5,dfplnexp!$A:$H,4,0),"")</f>
        <v/>
      </c>
      <c r="E115" s="58" t="str">
        <f>IFERROR(VLOOKUP($B115&amp;$F$5,dfplnexp!$A:$H,5,0),"")</f>
        <v/>
      </c>
      <c r="F115" s="58" t="str">
        <f>IFERROR(VLOOKUP($B115&amp;$F$5,dfplnexp!$A:$H,6,0),"")</f>
        <v/>
      </c>
      <c r="G115" s="59" t="str">
        <f>IFERROR(VLOOKUP($B115&amp;$F$5,dfplnexp!$A:$I,8,0),"")</f>
        <v/>
      </c>
      <c r="H115" s="48"/>
      <c r="I115" s="51"/>
      <c r="J115" s="59" t="str">
        <f>IF(D115="","",IFERROR(VLOOKUP(C115,units!A:D,4,0),"N/A"))</f>
        <v/>
      </c>
      <c r="K115" s="48"/>
      <c r="L115" s="45"/>
      <c r="M115" s="45"/>
      <c r="N115" s="45"/>
      <c r="O115" s="45"/>
    </row>
    <row r="120" spans="2:15" x14ac:dyDescent="0.3">
      <c r="D120" s="71" t="s">
        <v>757</v>
      </c>
      <c r="E120" s="72">
        <f>SUM(G14:G93)</f>
        <v>1985143</v>
      </c>
    </row>
    <row r="121" spans="2:15" x14ac:dyDescent="0.3">
      <c r="D121" s="73" t="s">
        <v>7665</v>
      </c>
      <c r="E121" s="70">
        <f>SUM(H14:H93)+SUM(H96:H115)</f>
        <v>0</v>
      </c>
    </row>
    <row r="122" spans="2:15" x14ac:dyDescent="0.3">
      <c r="D122" s="73" t="s">
        <v>7666</v>
      </c>
      <c r="E122" s="75"/>
    </row>
    <row r="123" spans="2:15" x14ac:dyDescent="0.3">
      <c r="D123" s="74" t="s">
        <v>7667</v>
      </c>
      <c r="E123" s="76"/>
    </row>
  </sheetData>
  <sheetProtection formatColumns="0" formatRows="0" autoFilter="0"/>
  <mergeCells count="8">
    <mergeCell ref="D7:L7"/>
    <mergeCell ref="D2:F2"/>
    <mergeCell ref="D3:F3"/>
    <mergeCell ref="F5:H5"/>
    <mergeCell ref="D95:O95"/>
    <mergeCell ref="D9:L9"/>
    <mergeCell ref="D8:L8"/>
    <mergeCell ref="D10:L10"/>
  </mergeCells>
  <dataValidations count="6">
    <dataValidation type="decimal" operator="greaterThan" allowBlank="1" showInputMessage="1" showErrorMessage="1" errorTitle="Number error" error="please enter non-negative figures" sqref="H14:I94 H96:I115" xr:uid="{33553604-0797-4947-B43D-33C62E42131E}">
      <formula1>-1</formula1>
    </dataValidation>
    <dataValidation type="list" allowBlank="1" showInputMessage="1" showErrorMessage="1" sqref="K96:K115 K14 K16:K52 K54:K94 M14:M94 M96:M115" xr:uid="{95DC7C27-BFA2-4873-B9AE-5E8027DE35D3}">
      <formula1>",Yes,No"</formula1>
    </dataValidation>
    <dataValidation type="list" allowBlank="1" showInputMessage="1" showErrorMessage="1" sqref="K15 K53" xr:uid="{DB890B93-125C-4FF5-899F-98E58B9EA181}">
      <formula1>"Yes,No"</formula1>
    </dataValidation>
    <dataValidation type="list" allowBlank="1" showInputMessage="1" showErrorMessage="1" sqref="E96:E115" xr:uid="{DD50C7BB-D371-4B4D-99A9-6ACB94A14E02}">
      <formula1>$AP$5:$AP$17</formula1>
    </dataValidation>
    <dataValidation type="list" allowBlank="1" showInputMessage="1" showErrorMessage="1" sqref="F96" xr:uid="{BFE8A664-B2F6-4ADC-BF54-9F1A4C30DA4A}">
      <formula1>OFFSET($AW$4,1,MATCH($T96,$AW$4:$BJ$4,0)-1,INDEX($AW$3:$BJ$3,1,MATCH($T96,$AW$4:$BJ$4,0)),1)</formula1>
    </dataValidation>
    <dataValidation type="list" allowBlank="1" showInputMessage="1" showErrorMessage="1" sqref="F97:F115" xr:uid="{F1C5EB1C-BE0F-4BBE-B778-714BBD230DA1}">
      <formula1>OFFSET($AW$4,1,MATCH($T96,$AW$4:$BJ$4,0)-1,INDEX($AW$3:$BJ$3,1,MATCH($T96,$AW$4:$BJ$4,0)),1)</formula1>
    </dataValidation>
  </dataValidations>
  <pageMargins left="0.7" right="0.7" top="0.75" bottom="0.75" header="0.3" footer="0.3"/>
  <pageSetup paperSize="9" orientation="portrait" r:id="rId1"/>
  <ignoredErrors>
    <ignoredError sqref="D15:E19 D97:D115 J96:J115 J14:J93 D96 G96 G97:G115 E99:E115 F96:F115 D14:E14 G14 D21:E93 D20:E20 G20 G15:G19 G21:G93"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F46A1-82A3-45B3-BC1A-F25F35A2D8A1}">
  <sheetPr codeName="Sheet7"/>
  <dimension ref="A1:I2570"/>
  <sheetViews>
    <sheetView workbookViewId="0">
      <selection activeCell="A11" sqref="A11"/>
    </sheetView>
  </sheetViews>
  <sheetFormatPr defaultRowHeight="14.4" x14ac:dyDescent="0.3"/>
  <cols>
    <col min="3" max="8" width="23" customWidth="1"/>
  </cols>
  <sheetData>
    <row r="1" spans="1:9" x14ac:dyDescent="0.3">
      <c r="A1" t="s">
        <v>766</v>
      </c>
      <c r="B1" t="s">
        <v>7668</v>
      </c>
      <c r="C1" t="s">
        <v>7669</v>
      </c>
      <c r="D1" t="s">
        <v>754</v>
      </c>
      <c r="E1" t="s">
        <v>755</v>
      </c>
      <c r="F1" t="s">
        <v>756</v>
      </c>
      <c r="G1" t="s">
        <v>780</v>
      </c>
      <c r="H1" s="53" t="s">
        <v>757</v>
      </c>
    </row>
    <row r="2" spans="1:9" x14ac:dyDescent="0.3">
      <c r="A2" t="str">
        <f t="shared" ref="A2:A65" si="0">B2&amp;C2</f>
        <v>1Barking and Dagenham</v>
      </c>
      <c r="B2">
        <v>1</v>
      </c>
      <c r="C2" t="s">
        <v>65</v>
      </c>
      <c r="D2" t="s">
        <v>7670</v>
      </c>
      <c r="E2" t="s">
        <v>7657</v>
      </c>
      <c r="F2" t="s">
        <v>7632</v>
      </c>
      <c r="H2" s="34">
        <v>75000</v>
      </c>
      <c r="I2" s="53"/>
    </row>
    <row r="3" spans="1:9" x14ac:dyDescent="0.3">
      <c r="A3" t="str">
        <f t="shared" si="0"/>
        <v>2Barking and Dagenham</v>
      </c>
      <c r="B3">
        <v>2</v>
      </c>
      <c r="C3" t="s">
        <v>65</v>
      </c>
      <c r="D3" t="s">
        <v>7670</v>
      </c>
      <c r="E3" t="s">
        <v>7657</v>
      </c>
      <c r="F3" t="s">
        <v>7644</v>
      </c>
      <c r="H3" s="34">
        <v>95000</v>
      </c>
      <c r="I3" s="53"/>
    </row>
    <row r="4" spans="1:9" x14ac:dyDescent="0.3">
      <c r="A4" t="str">
        <f t="shared" si="0"/>
        <v>3Barking and Dagenham</v>
      </c>
      <c r="B4">
        <v>3</v>
      </c>
      <c r="C4" t="s">
        <v>65</v>
      </c>
      <c r="D4" t="s">
        <v>7670</v>
      </c>
      <c r="E4" t="s">
        <v>7662</v>
      </c>
      <c r="F4" t="s">
        <v>369</v>
      </c>
      <c r="H4" s="34">
        <v>15504</v>
      </c>
      <c r="I4" s="53"/>
    </row>
    <row r="5" spans="1:9" x14ac:dyDescent="0.3">
      <c r="A5" t="str">
        <f t="shared" si="0"/>
        <v>4Barking and Dagenham</v>
      </c>
      <c r="B5">
        <v>4</v>
      </c>
      <c r="C5" t="s">
        <v>65</v>
      </c>
      <c r="D5" t="s">
        <v>7670</v>
      </c>
      <c r="E5" t="s">
        <v>1113</v>
      </c>
      <c r="F5" t="s">
        <v>812</v>
      </c>
      <c r="H5" s="34">
        <v>72000</v>
      </c>
      <c r="I5" s="53"/>
    </row>
    <row r="6" spans="1:9" x14ac:dyDescent="0.3">
      <c r="A6" t="str">
        <f t="shared" si="0"/>
        <v>5Barking and Dagenham</v>
      </c>
      <c r="B6">
        <v>5</v>
      </c>
      <c r="C6" t="s">
        <v>65</v>
      </c>
      <c r="D6" t="s">
        <v>7671</v>
      </c>
      <c r="E6" t="s">
        <v>5266</v>
      </c>
      <c r="F6" t="s">
        <v>7639</v>
      </c>
      <c r="H6" s="34">
        <v>240000</v>
      </c>
      <c r="I6" s="53"/>
    </row>
    <row r="7" spans="1:9" x14ac:dyDescent="0.3">
      <c r="A7" t="str">
        <f t="shared" si="0"/>
        <v>6Barking and Dagenham</v>
      </c>
      <c r="B7">
        <v>6</v>
      </c>
      <c r="C7" t="s">
        <v>65</v>
      </c>
      <c r="D7" t="s">
        <v>7671</v>
      </c>
      <c r="E7" t="s">
        <v>7658</v>
      </c>
      <c r="H7" s="34">
        <v>70000</v>
      </c>
      <c r="I7" s="53"/>
    </row>
    <row r="8" spans="1:9" x14ac:dyDescent="0.3">
      <c r="A8" t="str">
        <f t="shared" si="0"/>
        <v>7Barking and Dagenham</v>
      </c>
      <c r="B8">
        <v>7</v>
      </c>
      <c r="C8" t="s">
        <v>65</v>
      </c>
      <c r="D8" t="s">
        <v>786</v>
      </c>
      <c r="E8" t="s">
        <v>842</v>
      </c>
      <c r="F8" t="s">
        <v>843</v>
      </c>
      <c r="H8" s="34">
        <v>268380</v>
      </c>
      <c r="I8" s="53"/>
    </row>
    <row r="9" spans="1:9" x14ac:dyDescent="0.3">
      <c r="A9" t="str">
        <f t="shared" si="0"/>
        <v>8Barking and Dagenham</v>
      </c>
      <c r="B9">
        <v>8</v>
      </c>
      <c r="C9" t="s">
        <v>65</v>
      </c>
      <c r="D9" t="s">
        <v>786</v>
      </c>
      <c r="E9" t="s">
        <v>1113</v>
      </c>
      <c r="F9" t="s">
        <v>7629</v>
      </c>
      <c r="H9" s="34">
        <v>309852</v>
      </c>
      <c r="I9" s="53"/>
    </row>
    <row r="10" spans="1:9" x14ac:dyDescent="0.3">
      <c r="A10" t="str">
        <f t="shared" si="0"/>
        <v>9Barking and Dagenham</v>
      </c>
      <c r="B10">
        <v>9</v>
      </c>
      <c r="C10" t="s">
        <v>65</v>
      </c>
      <c r="D10" t="s">
        <v>786</v>
      </c>
      <c r="E10" t="s">
        <v>806</v>
      </c>
      <c r="F10" t="s">
        <v>807</v>
      </c>
      <c r="H10" s="34">
        <v>404709</v>
      </c>
      <c r="I10" s="53"/>
    </row>
    <row r="11" spans="1:9" x14ac:dyDescent="0.3">
      <c r="A11" t="str">
        <f t="shared" si="0"/>
        <v>1Barnet</v>
      </c>
      <c r="B11">
        <v>1</v>
      </c>
      <c r="C11" t="s">
        <v>67</v>
      </c>
      <c r="D11" t="s">
        <v>7672</v>
      </c>
      <c r="E11" t="s">
        <v>1106</v>
      </c>
      <c r="F11" t="s">
        <v>812</v>
      </c>
      <c r="H11" s="34">
        <v>192424</v>
      </c>
      <c r="I11" s="53"/>
    </row>
    <row r="12" spans="1:9" x14ac:dyDescent="0.3">
      <c r="A12" t="str">
        <f t="shared" si="0"/>
        <v>2Barnet</v>
      </c>
      <c r="B12">
        <v>2</v>
      </c>
      <c r="C12" t="s">
        <v>67</v>
      </c>
      <c r="D12" t="s">
        <v>7673</v>
      </c>
      <c r="E12" t="s">
        <v>800</v>
      </c>
      <c r="F12" t="s">
        <v>812</v>
      </c>
      <c r="H12" s="34">
        <v>40000</v>
      </c>
      <c r="I12" s="53"/>
    </row>
    <row r="13" spans="1:9" x14ac:dyDescent="0.3">
      <c r="A13" t="str">
        <f t="shared" si="0"/>
        <v>3Barnet</v>
      </c>
      <c r="B13">
        <v>3</v>
      </c>
      <c r="C13" t="s">
        <v>67</v>
      </c>
      <c r="D13" t="s">
        <v>7674</v>
      </c>
      <c r="E13" t="s">
        <v>7658</v>
      </c>
      <c r="H13" s="34">
        <v>20000</v>
      </c>
      <c r="I13" s="53"/>
    </row>
    <row r="14" spans="1:9" x14ac:dyDescent="0.3">
      <c r="A14" t="str">
        <f t="shared" si="0"/>
        <v>4Barnet</v>
      </c>
      <c r="B14">
        <v>4</v>
      </c>
      <c r="C14" t="s">
        <v>67</v>
      </c>
      <c r="D14" t="s">
        <v>910</v>
      </c>
      <c r="E14" t="s">
        <v>800</v>
      </c>
      <c r="F14" t="s">
        <v>903</v>
      </c>
      <c r="H14" s="34">
        <v>330000</v>
      </c>
      <c r="I14" s="53"/>
    </row>
    <row r="15" spans="1:9" x14ac:dyDescent="0.3">
      <c r="A15" t="str">
        <f t="shared" si="0"/>
        <v>5Barnet</v>
      </c>
      <c r="B15">
        <v>5</v>
      </c>
      <c r="C15" t="s">
        <v>67</v>
      </c>
      <c r="D15" t="s">
        <v>7675</v>
      </c>
      <c r="E15" t="s">
        <v>1106</v>
      </c>
      <c r="F15" t="s">
        <v>7628</v>
      </c>
      <c r="H15" s="34">
        <v>51927</v>
      </c>
      <c r="I15" s="53"/>
    </row>
    <row r="16" spans="1:9" x14ac:dyDescent="0.3">
      <c r="A16" t="str">
        <f t="shared" si="0"/>
        <v>6Barnet</v>
      </c>
      <c r="B16">
        <v>6</v>
      </c>
      <c r="C16" t="s">
        <v>67</v>
      </c>
      <c r="D16" t="s">
        <v>7676</v>
      </c>
      <c r="E16" t="s">
        <v>1106</v>
      </c>
      <c r="F16" t="s">
        <v>7628</v>
      </c>
      <c r="H16" s="34">
        <v>70000</v>
      </c>
      <c r="I16" s="53"/>
    </row>
    <row r="17" spans="1:9" x14ac:dyDescent="0.3">
      <c r="A17" t="str">
        <f t="shared" si="0"/>
        <v>7Barnet</v>
      </c>
      <c r="B17">
        <v>7</v>
      </c>
      <c r="C17" t="s">
        <v>67</v>
      </c>
      <c r="D17" t="s">
        <v>7677</v>
      </c>
      <c r="E17" t="s">
        <v>7658</v>
      </c>
      <c r="H17" s="34">
        <v>35000</v>
      </c>
      <c r="I17" s="53"/>
    </row>
    <row r="18" spans="1:9" x14ac:dyDescent="0.3">
      <c r="A18" t="str">
        <f t="shared" si="0"/>
        <v>8Barnet</v>
      </c>
      <c r="B18">
        <v>8</v>
      </c>
      <c r="C18" t="s">
        <v>67</v>
      </c>
      <c r="D18" t="s">
        <v>7678</v>
      </c>
      <c r="E18" t="s">
        <v>7658</v>
      </c>
      <c r="H18" s="34">
        <v>35000</v>
      </c>
      <c r="I18" s="53"/>
    </row>
    <row r="19" spans="1:9" x14ac:dyDescent="0.3">
      <c r="A19" t="str">
        <f t="shared" si="0"/>
        <v>9Barnet</v>
      </c>
      <c r="B19">
        <v>9</v>
      </c>
      <c r="C19" t="s">
        <v>67</v>
      </c>
      <c r="D19" t="s">
        <v>7679</v>
      </c>
      <c r="E19" t="s">
        <v>1113</v>
      </c>
      <c r="F19" t="s">
        <v>7629</v>
      </c>
      <c r="H19" s="34">
        <v>677100</v>
      </c>
      <c r="I19" s="53"/>
    </row>
    <row r="20" spans="1:9" x14ac:dyDescent="0.3">
      <c r="A20" t="str">
        <f t="shared" si="0"/>
        <v>10Barnet</v>
      </c>
      <c r="B20">
        <v>10</v>
      </c>
      <c r="C20" t="s">
        <v>67</v>
      </c>
      <c r="D20" t="s">
        <v>916</v>
      </c>
      <c r="E20" t="s">
        <v>806</v>
      </c>
      <c r="F20" t="s">
        <v>807</v>
      </c>
      <c r="H20" s="34">
        <v>676800</v>
      </c>
      <c r="I20" s="53"/>
    </row>
    <row r="21" spans="1:9" x14ac:dyDescent="0.3">
      <c r="A21" t="str">
        <f t="shared" si="0"/>
        <v>11Barnet</v>
      </c>
      <c r="B21">
        <v>11</v>
      </c>
      <c r="C21" t="s">
        <v>67</v>
      </c>
      <c r="D21" t="s">
        <v>916</v>
      </c>
      <c r="E21" t="s">
        <v>806</v>
      </c>
      <c r="F21" t="s">
        <v>917</v>
      </c>
      <c r="H21" s="34">
        <v>150000</v>
      </c>
      <c r="I21" s="53"/>
    </row>
    <row r="22" spans="1:9" x14ac:dyDescent="0.3">
      <c r="A22" t="str">
        <f t="shared" si="0"/>
        <v>12Barnet</v>
      </c>
      <c r="B22">
        <v>12</v>
      </c>
      <c r="C22" t="s">
        <v>67</v>
      </c>
      <c r="D22" t="s">
        <v>7680</v>
      </c>
      <c r="E22" t="s">
        <v>7658</v>
      </c>
      <c r="H22" s="34">
        <v>20000</v>
      </c>
      <c r="I22" s="53"/>
    </row>
    <row r="23" spans="1:9" x14ac:dyDescent="0.3">
      <c r="A23" t="str">
        <f t="shared" si="0"/>
        <v>13Barnet</v>
      </c>
      <c r="B23">
        <v>13</v>
      </c>
      <c r="C23" t="s">
        <v>67</v>
      </c>
      <c r="D23" t="s">
        <v>7681</v>
      </c>
      <c r="E23" t="s">
        <v>7658</v>
      </c>
      <c r="H23" s="34">
        <v>70000</v>
      </c>
      <c r="I23" s="53"/>
    </row>
    <row r="24" spans="1:9" x14ac:dyDescent="0.3">
      <c r="A24" t="str">
        <f t="shared" si="0"/>
        <v>14Barnet</v>
      </c>
      <c r="B24">
        <v>14</v>
      </c>
      <c r="C24" t="s">
        <v>67</v>
      </c>
      <c r="D24" t="s">
        <v>7682</v>
      </c>
      <c r="E24" t="s">
        <v>5266</v>
      </c>
      <c r="F24" t="s">
        <v>7631</v>
      </c>
      <c r="H24" s="34">
        <v>570990</v>
      </c>
      <c r="I24" s="53"/>
    </row>
    <row r="25" spans="1:9" x14ac:dyDescent="0.3">
      <c r="A25" t="str">
        <f t="shared" si="0"/>
        <v>1Barnsley</v>
      </c>
      <c r="B25">
        <v>1</v>
      </c>
      <c r="C25" t="s">
        <v>69</v>
      </c>
      <c r="D25" t="s">
        <v>7683</v>
      </c>
      <c r="E25" t="s">
        <v>1113</v>
      </c>
      <c r="F25" t="s">
        <v>7637</v>
      </c>
      <c r="H25" s="34">
        <v>15000</v>
      </c>
      <c r="I25" s="53"/>
    </row>
    <row r="26" spans="1:9" x14ac:dyDescent="0.3">
      <c r="A26" t="str">
        <f t="shared" si="0"/>
        <v>2Barnsley</v>
      </c>
      <c r="B26">
        <v>2</v>
      </c>
      <c r="C26" t="s">
        <v>69</v>
      </c>
      <c r="D26" t="s">
        <v>7684</v>
      </c>
      <c r="E26" t="s">
        <v>812</v>
      </c>
      <c r="H26" s="34">
        <v>30000</v>
      </c>
      <c r="I26" s="53"/>
    </row>
    <row r="27" spans="1:9" x14ac:dyDescent="0.3">
      <c r="A27" t="str">
        <f t="shared" si="0"/>
        <v>3Barnsley</v>
      </c>
      <c r="B27">
        <v>3</v>
      </c>
      <c r="C27" t="s">
        <v>69</v>
      </c>
      <c r="D27" t="s">
        <v>7685</v>
      </c>
      <c r="E27" t="s">
        <v>7662</v>
      </c>
      <c r="H27" s="34">
        <v>10000</v>
      </c>
      <c r="I27" s="53"/>
    </row>
    <row r="28" spans="1:9" x14ac:dyDescent="0.3">
      <c r="A28" t="str">
        <f t="shared" si="0"/>
        <v>4Barnsley</v>
      </c>
      <c r="B28">
        <v>4</v>
      </c>
      <c r="C28" t="s">
        <v>69</v>
      </c>
      <c r="D28" t="s">
        <v>971</v>
      </c>
      <c r="E28" t="s">
        <v>812</v>
      </c>
      <c r="H28" s="34">
        <v>850226</v>
      </c>
      <c r="I28" s="53"/>
    </row>
    <row r="29" spans="1:9" x14ac:dyDescent="0.3">
      <c r="A29" t="str">
        <f t="shared" si="0"/>
        <v>5Barnsley</v>
      </c>
      <c r="B29">
        <v>5</v>
      </c>
      <c r="C29" t="s">
        <v>69</v>
      </c>
      <c r="D29" t="s">
        <v>7686</v>
      </c>
      <c r="E29" t="s">
        <v>812</v>
      </c>
      <c r="H29" s="34">
        <v>38940</v>
      </c>
      <c r="I29" s="53"/>
    </row>
    <row r="30" spans="1:9" x14ac:dyDescent="0.3">
      <c r="A30" t="str">
        <f t="shared" si="0"/>
        <v>6Barnsley</v>
      </c>
      <c r="B30">
        <v>6</v>
      </c>
      <c r="C30" t="s">
        <v>69</v>
      </c>
      <c r="D30" t="s">
        <v>1051</v>
      </c>
      <c r="E30" t="s">
        <v>7649</v>
      </c>
      <c r="H30" s="34">
        <v>211235</v>
      </c>
      <c r="I30" s="53"/>
    </row>
    <row r="31" spans="1:9" x14ac:dyDescent="0.3">
      <c r="A31" t="str">
        <f t="shared" si="0"/>
        <v>7Barnsley</v>
      </c>
      <c r="B31">
        <v>7</v>
      </c>
      <c r="C31" t="s">
        <v>69</v>
      </c>
      <c r="D31" t="s">
        <v>7687</v>
      </c>
      <c r="E31" t="s">
        <v>800</v>
      </c>
      <c r="F31" t="s">
        <v>2108</v>
      </c>
      <c r="H31" s="34">
        <v>10000</v>
      </c>
      <c r="I31" s="53"/>
    </row>
    <row r="32" spans="1:9" x14ac:dyDescent="0.3">
      <c r="A32" t="str">
        <f t="shared" si="0"/>
        <v>8Barnsley</v>
      </c>
      <c r="B32">
        <v>8</v>
      </c>
      <c r="C32" t="s">
        <v>69</v>
      </c>
      <c r="D32" t="s">
        <v>7688</v>
      </c>
      <c r="E32" t="s">
        <v>7649</v>
      </c>
      <c r="F32" t="s">
        <v>7638</v>
      </c>
      <c r="H32" s="34">
        <v>100000</v>
      </c>
      <c r="I32" s="53"/>
    </row>
    <row r="33" spans="1:9" x14ac:dyDescent="0.3">
      <c r="A33" t="str">
        <f t="shared" si="0"/>
        <v>9Barnsley</v>
      </c>
      <c r="B33">
        <v>9</v>
      </c>
      <c r="C33" t="s">
        <v>69</v>
      </c>
      <c r="D33" t="s">
        <v>7689</v>
      </c>
      <c r="E33" t="s">
        <v>812</v>
      </c>
      <c r="H33" s="34">
        <v>75000</v>
      </c>
      <c r="I33" s="53"/>
    </row>
    <row r="34" spans="1:9" x14ac:dyDescent="0.3">
      <c r="A34" t="str">
        <f t="shared" si="0"/>
        <v>10Barnsley</v>
      </c>
      <c r="B34">
        <v>10</v>
      </c>
      <c r="C34" t="s">
        <v>69</v>
      </c>
      <c r="D34" t="s">
        <v>7690</v>
      </c>
      <c r="E34" t="s">
        <v>812</v>
      </c>
      <c r="H34" s="34">
        <v>258538</v>
      </c>
      <c r="I34" s="53"/>
    </row>
    <row r="35" spans="1:9" x14ac:dyDescent="0.3">
      <c r="A35" t="str">
        <f t="shared" si="0"/>
        <v>11Barnsley</v>
      </c>
      <c r="B35">
        <v>11</v>
      </c>
      <c r="C35" t="s">
        <v>69</v>
      </c>
      <c r="D35" t="s">
        <v>7691</v>
      </c>
      <c r="E35" t="s">
        <v>812</v>
      </c>
      <c r="H35" s="34">
        <v>35000</v>
      </c>
      <c r="I35" s="53"/>
    </row>
    <row r="36" spans="1:9" x14ac:dyDescent="0.3">
      <c r="A36" t="str">
        <f t="shared" si="0"/>
        <v>12Barnsley</v>
      </c>
      <c r="B36">
        <v>12</v>
      </c>
      <c r="C36" t="s">
        <v>69</v>
      </c>
      <c r="D36" t="s">
        <v>7692</v>
      </c>
      <c r="E36" t="s">
        <v>806</v>
      </c>
      <c r="F36" t="s">
        <v>807</v>
      </c>
      <c r="H36" s="34">
        <v>10000</v>
      </c>
      <c r="I36" s="53"/>
    </row>
    <row r="37" spans="1:9" x14ac:dyDescent="0.3">
      <c r="A37" t="str">
        <f t="shared" si="0"/>
        <v>13Barnsley</v>
      </c>
      <c r="B37">
        <v>13</v>
      </c>
      <c r="C37" t="s">
        <v>69</v>
      </c>
      <c r="D37" t="s">
        <v>7693</v>
      </c>
      <c r="E37" t="s">
        <v>812</v>
      </c>
      <c r="H37" s="34">
        <v>10000</v>
      </c>
      <c r="I37" s="53"/>
    </row>
    <row r="38" spans="1:9" x14ac:dyDescent="0.3">
      <c r="A38" t="str">
        <f t="shared" si="0"/>
        <v>14Barnsley</v>
      </c>
      <c r="B38">
        <v>14</v>
      </c>
      <c r="C38" t="s">
        <v>69</v>
      </c>
      <c r="D38" t="s">
        <v>7694</v>
      </c>
      <c r="E38" t="s">
        <v>842</v>
      </c>
      <c r="F38" t="s">
        <v>7636</v>
      </c>
      <c r="H38" s="34">
        <v>50000</v>
      </c>
      <c r="I38" s="53"/>
    </row>
    <row r="39" spans="1:9" x14ac:dyDescent="0.3">
      <c r="A39" t="str">
        <f t="shared" si="0"/>
        <v>15Barnsley</v>
      </c>
      <c r="B39">
        <v>15</v>
      </c>
      <c r="C39" t="s">
        <v>69</v>
      </c>
      <c r="D39" t="s">
        <v>7695</v>
      </c>
      <c r="E39" t="s">
        <v>812</v>
      </c>
      <c r="H39" s="34">
        <v>50000</v>
      </c>
      <c r="I39" s="53"/>
    </row>
    <row r="40" spans="1:9" x14ac:dyDescent="0.3">
      <c r="A40" t="str">
        <f t="shared" si="0"/>
        <v>16Barnsley</v>
      </c>
      <c r="B40">
        <v>16</v>
      </c>
      <c r="C40" t="s">
        <v>69</v>
      </c>
      <c r="D40" t="s">
        <v>954</v>
      </c>
      <c r="E40" t="s">
        <v>806</v>
      </c>
      <c r="F40" t="s">
        <v>7642</v>
      </c>
      <c r="H40" s="34">
        <v>150000</v>
      </c>
      <c r="I40" s="53"/>
    </row>
    <row r="41" spans="1:9" x14ac:dyDescent="0.3">
      <c r="A41" t="str">
        <f t="shared" si="0"/>
        <v>17Barnsley</v>
      </c>
      <c r="B41">
        <v>17</v>
      </c>
      <c r="C41" t="s">
        <v>69</v>
      </c>
      <c r="D41" t="s">
        <v>967</v>
      </c>
      <c r="E41" t="s">
        <v>806</v>
      </c>
      <c r="F41" t="s">
        <v>917</v>
      </c>
      <c r="H41" s="34">
        <v>180000</v>
      </c>
      <c r="I41" s="53"/>
    </row>
    <row r="42" spans="1:9" x14ac:dyDescent="0.3">
      <c r="A42" t="str">
        <f t="shared" si="0"/>
        <v>18Barnsley</v>
      </c>
      <c r="B42">
        <v>18</v>
      </c>
      <c r="C42" t="s">
        <v>69</v>
      </c>
      <c r="D42" t="s">
        <v>7696</v>
      </c>
      <c r="E42" t="s">
        <v>7649</v>
      </c>
      <c r="F42" t="s">
        <v>7639</v>
      </c>
      <c r="H42" s="34">
        <v>428463</v>
      </c>
      <c r="I42" s="53"/>
    </row>
    <row r="43" spans="1:9" x14ac:dyDescent="0.3">
      <c r="A43" t="str">
        <f t="shared" si="0"/>
        <v>19Barnsley</v>
      </c>
      <c r="B43">
        <v>19</v>
      </c>
      <c r="C43" t="s">
        <v>69</v>
      </c>
      <c r="D43" t="s">
        <v>7697</v>
      </c>
      <c r="E43" t="s">
        <v>812</v>
      </c>
      <c r="H43" s="34">
        <v>20000</v>
      </c>
      <c r="I43" s="53"/>
    </row>
    <row r="44" spans="1:9" x14ac:dyDescent="0.3">
      <c r="A44" t="str">
        <f t="shared" si="0"/>
        <v>20Barnsley</v>
      </c>
      <c r="B44">
        <v>20</v>
      </c>
      <c r="C44" t="s">
        <v>69</v>
      </c>
      <c r="D44" t="s">
        <v>7698</v>
      </c>
      <c r="E44" t="s">
        <v>842</v>
      </c>
      <c r="F44" t="s">
        <v>7636</v>
      </c>
      <c r="H44" s="34">
        <v>20000</v>
      </c>
      <c r="I44" s="53"/>
    </row>
    <row r="45" spans="1:9" x14ac:dyDescent="0.3">
      <c r="A45" t="str">
        <f t="shared" si="0"/>
        <v>1Bath and North East Somerset</v>
      </c>
      <c r="B45">
        <v>1</v>
      </c>
      <c r="C45" t="s">
        <v>71</v>
      </c>
      <c r="D45" t="s">
        <v>7699</v>
      </c>
      <c r="E45" t="s">
        <v>842</v>
      </c>
      <c r="F45" t="s">
        <v>843</v>
      </c>
      <c r="H45" s="34">
        <v>422082</v>
      </c>
      <c r="I45" s="53"/>
    </row>
    <row r="46" spans="1:9" x14ac:dyDescent="0.3">
      <c r="A46" t="str">
        <f t="shared" si="0"/>
        <v>2Bath and North East Somerset</v>
      </c>
      <c r="B46">
        <v>2</v>
      </c>
      <c r="C46" t="s">
        <v>71</v>
      </c>
      <c r="D46" t="s">
        <v>7700</v>
      </c>
      <c r="E46" t="s">
        <v>1106</v>
      </c>
      <c r="F46" t="s">
        <v>7628</v>
      </c>
      <c r="H46" s="34">
        <v>160000</v>
      </c>
      <c r="I46" s="53"/>
    </row>
    <row r="47" spans="1:9" x14ac:dyDescent="0.3">
      <c r="A47" t="str">
        <f t="shared" si="0"/>
        <v>3Bath and North East Somerset</v>
      </c>
      <c r="B47">
        <v>3</v>
      </c>
      <c r="C47" t="s">
        <v>71</v>
      </c>
      <c r="D47" t="s">
        <v>7701</v>
      </c>
      <c r="E47" t="s">
        <v>842</v>
      </c>
      <c r="F47" t="s">
        <v>7636</v>
      </c>
      <c r="H47" s="34">
        <v>300000</v>
      </c>
      <c r="I47" s="53"/>
    </row>
    <row r="48" spans="1:9" x14ac:dyDescent="0.3">
      <c r="A48" t="str">
        <f t="shared" si="0"/>
        <v>4Bath and North East Somerset</v>
      </c>
      <c r="B48">
        <v>4</v>
      </c>
      <c r="C48" t="s">
        <v>71</v>
      </c>
      <c r="D48" t="s">
        <v>7702</v>
      </c>
      <c r="E48" t="s">
        <v>1106</v>
      </c>
      <c r="F48" t="s">
        <v>7628</v>
      </c>
      <c r="H48" s="34">
        <v>772114</v>
      </c>
      <c r="I48" s="53"/>
    </row>
    <row r="49" spans="1:9" x14ac:dyDescent="0.3">
      <c r="A49" t="str">
        <f t="shared" si="0"/>
        <v>5Bath and North East Somerset</v>
      </c>
      <c r="B49">
        <v>5</v>
      </c>
      <c r="C49" t="s">
        <v>71</v>
      </c>
      <c r="D49" t="s">
        <v>7703</v>
      </c>
      <c r="E49" t="s">
        <v>812</v>
      </c>
      <c r="F49" t="s">
        <v>7704</v>
      </c>
      <c r="H49" s="34">
        <v>139000</v>
      </c>
      <c r="I49" s="53"/>
    </row>
    <row r="50" spans="1:9" x14ac:dyDescent="0.3">
      <c r="A50" t="str">
        <f t="shared" si="0"/>
        <v>6Bath and North East Somerset</v>
      </c>
      <c r="B50">
        <v>6</v>
      </c>
      <c r="C50" t="s">
        <v>71</v>
      </c>
      <c r="D50" t="s">
        <v>7705</v>
      </c>
      <c r="E50" t="s">
        <v>1106</v>
      </c>
      <c r="F50" t="s">
        <v>7628</v>
      </c>
      <c r="H50" s="34">
        <v>40000</v>
      </c>
      <c r="I50" s="53"/>
    </row>
    <row r="51" spans="1:9" x14ac:dyDescent="0.3">
      <c r="A51" t="str">
        <f t="shared" si="0"/>
        <v>7Bath and North East Somerset</v>
      </c>
      <c r="B51">
        <v>7</v>
      </c>
      <c r="C51" t="s">
        <v>71</v>
      </c>
      <c r="D51" t="s">
        <v>7706</v>
      </c>
      <c r="E51" t="s">
        <v>7658</v>
      </c>
      <c r="F51" t="s">
        <v>7704</v>
      </c>
      <c r="H51" s="34">
        <v>6080</v>
      </c>
      <c r="I51" s="53"/>
    </row>
    <row r="52" spans="1:9" x14ac:dyDescent="0.3">
      <c r="A52" t="str">
        <f t="shared" si="0"/>
        <v>8Bath and North East Somerset</v>
      </c>
      <c r="B52">
        <v>8</v>
      </c>
      <c r="C52" t="s">
        <v>71</v>
      </c>
      <c r="D52" t="s">
        <v>7707</v>
      </c>
      <c r="E52" t="s">
        <v>800</v>
      </c>
      <c r="F52" t="s">
        <v>903</v>
      </c>
      <c r="H52" s="34">
        <v>190000</v>
      </c>
      <c r="I52" s="53"/>
    </row>
    <row r="53" spans="1:9" x14ac:dyDescent="0.3">
      <c r="A53" t="str">
        <f t="shared" si="0"/>
        <v>9Bath and North East Somerset</v>
      </c>
      <c r="B53">
        <v>9</v>
      </c>
      <c r="C53" t="s">
        <v>71</v>
      </c>
      <c r="D53" t="s">
        <v>7708</v>
      </c>
      <c r="E53" t="s">
        <v>812</v>
      </c>
      <c r="F53" t="s">
        <v>7704</v>
      </c>
      <c r="H53" s="34">
        <v>105000</v>
      </c>
      <c r="I53" s="53"/>
    </row>
    <row r="54" spans="1:9" x14ac:dyDescent="0.3">
      <c r="A54" t="str">
        <f t="shared" si="0"/>
        <v>1Bedford</v>
      </c>
      <c r="B54">
        <v>1</v>
      </c>
      <c r="C54" t="s">
        <v>73</v>
      </c>
      <c r="D54" t="s">
        <v>7709</v>
      </c>
      <c r="E54" t="s">
        <v>7649</v>
      </c>
      <c r="F54" t="s">
        <v>7638</v>
      </c>
      <c r="H54" s="34">
        <v>68212</v>
      </c>
      <c r="I54" s="53"/>
    </row>
    <row r="55" spans="1:9" x14ac:dyDescent="0.3">
      <c r="A55" t="str">
        <f t="shared" si="0"/>
        <v>2Bedford</v>
      </c>
      <c r="B55">
        <v>2</v>
      </c>
      <c r="C55" t="s">
        <v>73</v>
      </c>
      <c r="D55" t="s">
        <v>7710</v>
      </c>
      <c r="E55" t="s">
        <v>7657</v>
      </c>
      <c r="F55" t="s">
        <v>7632</v>
      </c>
      <c r="H55" s="34">
        <v>46500</v>
      </c>
      <c r="I55" s="53"/>
    </row>
    <row r="56" spans="1:9" x14ac:dyDescent="0.3">
      <c r="A56" t="str">
        <f t="shared" si="0"/>
        <v>3Bedford</v>
      </c>
      <c r="B56">
        <v>3</v>
      </c>
      <c r="C56" t="s">
        <v>73</v>
      </c>
      <c r="D56" t="s">
        <v>1063</v>
      </c>
      <c r="E56" t="s">
        <v>1106</v>
      </c>
      <c r="F56" t="s">
        <v>7628</v>
      </c>
      <c r="H56" s="34">
        <v>51000</v>
      </c>
      <c r="I56" s="53"/>
    </row>
    <row r="57" spans="1:9" x14ac:dyDescent="0.3">
      <c r="A57" t="str">
        <f t="shared" si="0"/>
        <v>4Bedford</v>
      </c>
      <c r="B57">
        <v>4</v>
      </c>
      <c r="C57" t="s">
        <v>73</v>
      </c>
      <c r="D57" t="s">
        <v>7711</v>
      </c>
      <c r="E57" t="s">
        <v>7658</v>
      </c>
      <c r="H57" s="34">
        <v>39445</v>
      </c>
      <c r="I57" s="53"/>
    </row>
    <row r="58" spans="1:9" x14ac:dyDescent="0.3">
      <c r="A58" t="str">
        <f t="shared" si="0"/>
        <v>5Bedford</v>
      </c>
      <c r="B58">
        <v>5</v>
      </c>
      <c r="C58" t="s">
        <v>73</v>
      </c>
      <c r="D58" t="s">
        <v>7712</v>
      </c>
      <c r="E58" t="s">
        <v>842</v>
      </c>
      <c r="F58" t="s">
        <v>7636</v>
      </c>
      <c r="H58" s="34">
        <v>250202</v>
      </c>
      <c r="I58" s="53"/>
    </row>
    <row r="59" spans="1:9" x14ac:dyDescent="0.3">
      <c r="A59" t="str">
        <f t="shared" si="0"/>
        <v>6Bedford</v>
      </c>
      <c r="B59">
        <v>6</v>
      </c>
      <c r="C59" t="s">
        <v>73</v>
      </c>
      <c r="D59" t="s">
        <v>7713</v>
      </c>
      <c r="E59" t="s">
        <v>842</v>
      </c>
      <c r="F59" t="s">
        <v>7636</v>
      </c>
      <c r="H59" s="34">
        <v>160000</v>
      </c>
      <c r="I59" s="53"/>
    </row>
    <row r="60" spans="1:9" x14ac:dyDescent="0.3">
      <c r="A60" t="str">
        <f t="shared" si="0"/>
        <v>7Bedford</v>
      </c>
      <c r="B60">
        <v>7</v>
      </c>
      <c r="C60" t="s">
        <v>73</v>
      </c>
      <c r="D60" t="s">
        <v>1066</v>
      </c>
      <c r="E60" t="s">
        <v>1106</v>
      </c>
      <c r="F60" t="s">
        <v>7628</v>
      </c>
      <c r="H60" s="34">
        <v>45720</v>
      </c>
      <c r="I60" s="53"/>
    </row>
    <row r="61" spans="1:9" x14ac:dyDescent="0.3">
      <c r="A61" t="str">
        <f t="shared" si="0"/>
        <v>8Bedford</v>
      </c>
      <c r="B61">
        <v>8</v>
      </c>
      <c r="C61" t="s">
        <v>73</v>
      </c>
      <c r="D61" t="s">
        <v>1070</v>
      </c>
      <c r="E61" t="s">
        <v>806</v>
      </c>
      <c r="F61" t="s">
        <v>807</v>
      </c>
      <c r="H61" s="34">
        <v>50500</v>
      </c>
      <c r="I61" s="53"/>
    </row>
    <row r="62" spans="1:9" x14ac:dyDescent="0.3">
      <c r="A62" t="str">
        <f t="shared" si="0"/>
        <v>9Bedford</v>
      </c>
      <c r="B62">
        <v>9</v>
      </c>
      <c r="C62" t="s">
        <v>73</v>
      </c>
      <c r="D62" t="s">
        <v>7714</v>
      </c>
      <c r="E62" t="s">
        <v>7658</v>
      </c>
      <c r="H62" s="34">
        <v>8572</v>
      </c>
      <c r="I62" s="53"/>
    </row>
    <row r="63" spans="1:9" x14ac:dyDescent="0.3">
      <c r="A63" t="str">
        <f t="shared" si="0"/>
        <v>10Bedford</v>
      </c>
      <c r="B63">
        <v>10</v>
      </c>
      <c r="C63" t="s">
        <v>73</v>
      </c>
      <c r="D63" t="s">
        <v>7715</v>
      </c>
      <c r="E63" t="s">
        <v>794</v>
      </c>
      <c r="H63" s="34">
        <v>92270</v>
      </c>
      <c r="I63" s="53"/>
    </row>
    <row r="64" spans="1:9" x14ac:dyDescent="0.3">
      <c r="A64" t="str">
        <f t="shared" si="0"/>
        <v>11Bedford</v>
      </c>
      <c r="B64">
        <v>11</v>
      </c>
      <c r="C64" t="s">
        <v>73</v>
      </c>
      <c r="D64" t="s">
        <v>1072</v>
      </c>
      <c r="E64" t="s">
        <v>1113</v>
      </c>
      <c r="F64" t="s">
        <v>7629</v>
      </c>
      <c r="H64" s="34">
        <v>70000</v>
      </c>
      <c r="I64" s="53"/>
    </row>
    <row r="65" spans="1:9" x14ac:dyDescent="0.3">
      <c r="A65" t="str">
        <f t="shared" si="0"/>
        <v>12Bedford</v>
      </c>
      <c r="B65">
        <v>12</v>
      </c>
      <c r="C65" t="s">
        <v>73</v>
      </c>
      <c r="D65" t="s">
        <v>7716</v>
      </c>
      <c r="E65" t="s">
        <v>5266</v>
      </c>
      <c r="F65" t="s">
        <v>7639</v>
      </c>
      <c r="H65" s="34">
        <v>14800</v>
      </c>
      <c r="I65" s="53"/>
    </row>
    <row r="66" spans="1:9" x14ac:dyDescent="0.3">
      <c r="A66" t="str">
        <f t="shared" ref="A66:A129" si="1">B66&amp;C66</f>
        <v>13Bedford</v>
      </c>
      <c r="B66">
        <v>13</v>
      </c>
      <c r="C66" t="s">
        <v>73</v>
      </c>
      <c r="D66" t="s">
        <v>7717</v>
      </c>
      <c r="E66" t="s">
        <v>794</v>
      </c>
      <c r="H66" s="34">
        <v>23512</v>
      </c>
      <c r="I66" s="53"/>
    </row>
    <row r="67" spans="1:9" x14ac:dyDescent="0.3">
      <c r="A67" t="str">
        <f t="shared" si="1"/>
        <v>14Bedford</v>
      </c>
      <c r="B67">
        <v>14</v>
      </c>
      <c r="C67" t="s">
        <v>73</v>
      </c>
      <c r="D67" t="s">
        <v>1075</v>
      </c>
      <c r="E67" t="s">
        <v>1106</v>
      </c>
      <c r="F67" t="s">
        <v>7628</v>
      </c>
      <c r="H67" s="34">
        <v>366427</v>
      </c>
      <c r="I67" s="53"/>
    </row>
    <row r="68" spans="1:9" x14ac:dyDescent="0.3">
      <c r="A68" t="str">
        <f t="shared" si="1"/>
        <v>15Bedford</v>
      </c>
      <c r="B68">
        <v>15</v>
      </c>
      <c r="C68" t="s">
        <v>73</v>
      </c>
      <c r="D68" t="s">
        <v>7718</v>
      </c>
      <c r="E68" t="s">
        <v>5266</v>
      </c>
      <c r="F68" t="s">
        <v>7631</v>
      </c>
      <c r="H68" s="34">
        <v>53389</v>
      </c>
      <c r="I68" s="53"/>
    </row>
    <row r="69" spans="1:9" x14ac:dyDescent="0.3">
      <c r="A69" t="str">
        <f t="shared" si="1"/>
        <v>16Bedford</v>
      </c>
      <c r="B69">
        <v>16</v>
      </c>
      <c r="C69" t="s">
        <v>73</v>
      </c>
      <c r="D69" t="s">
        <v>7719</v>
      </c>
      <c r="E69" t="s">
        <v>7657</v>
      </c>
      <c r="F69" t="s">
        <v>7640</v>
      </c>
      <c r="H69" s="34">
        <v>8222</v>
      </c>
      <c r="I69" s="53"/>
    </row>
    <row r="70" spans="1:9" x14ac:dyDescent="0.3">
      <c r="A70" t="str">
        <f t="shared" si="1"/>
        <v>17Bedford</v>
      </c>
      <c r="B70">
        <v>17</v>
      </c>
      <c r="C70" t="s">
        <v>73</v>
      </c>
      <c r="D70" t="s">
        <v>1078</v>
      </c>
      <c r="E70" t="s">
        <v>1106</v>
      </c>
      <c r="F70" t="s">
        <v>7628</v>
      </c>
      <c r="H70" s="34">
        <v>70601</v>
      </c>
      <c r="I70" s="53"/>
    </row>
    <row r="71" spans="1:9" x14ac:dyDescent="0.3">
      <c r="A71" t="str">
        <f t="shared" si="1"/>
        <v>1Bexley</v>
      </c>
      <c r="B71">
        <v>1</v>
      </c>
      <c r="C71" t="s">
        <v>75</v>
      </c>
      <c r="D71" t="s">
        <v>7720</v>
      </c>
      <c r="E71" t="s">
        <v>812</v>
      </c>
      <c r="H71" s="34">
        <v>23000</v>
      </c>
      <c r="I71" s="53"/>
    </row>
    <row r="72" spans="1:9" x14ac:dyDescent="0.3">
      <c r="A72" t="str">
        <f t="shared" si="1"/>
        <v>2Bexley</v>
      </c>
      <c r="B72">
        <v>2</v>
      </c>
      <c r="C72" t="s">
        <v>75</v>
      </c>
      <c r="D72" t="s">
        <v>7721</v>
      </c>
      <c r="E72" t="s">
        <v>806</v>
      </c>
      <c r="F72" t="s">
        <v>807</v>
      </c>
      <c r="H72" s="34">
        <v>204500</v>
      </c>
      <c r="I72" s="53"/>
    </row>
    <row r="73" spans="1:9" x14ac:dyDescent="0.3">
      <c r="A73" t="str">
        <f t="shared" si="1"/>
        <v>3Bexley</v>
      </c>
      <c r="B73">
        <v>3</v>
      </c>
      <c r="C73" t="s">
        <v>75</v>
      </c>
      <c r="D73" t="s">
        <v>7722</v>
      </c>
      <c r="E73" t="s">
        <v>842</v>
      </c>
      <c r="F73" t="s">
        <v>7636</v>
      </c>
      <c r="H73" s="34">
        <v>340892</v>
      </c>
      <c r="I73" s="53"/>
    </row>
    <row r="74" spans="1:9" x14ac:dyDescent="0.3">
      <c r="A74" t="str">
        <f t="shared" si="1"/>
        <v>4Bexley</v>
      </c>
      <c r="B74">
        <v>4</v>
      </c>
      <c r="C74" t="s">
        <v>75</v>
      </c>
      <c r="D74" t="s">
        <v>7723</v>
      </c>
      <c r="E74" t="s">
        <v>7658</v>
      </c>
      <c r="H74" s="34">
        <v>40000</v>
      </c>
      <c r="I74" s="53"/>
    </row>
    <row r="75" spans="1:9" x14ac:dyDescent="0.3">
      <c r="A75" t="str">
        <f t="shared" si="1"/>
        <v>5Bexley</v>
      </c>
      <c r="B75">
        <v>5</v>
      </c>
      <c r="C75" t="s">
        <v>75</v>
      </c>
      <c r="D75" t="s">
        <v>7724</v>
      </c>
      <c r="E75" t="s">
        <v>842</v>
      </c>
      <c r="F75" t="s">
        <v>7636</v>
      </c>
      <c r="H75" s="34">
        <v>421808</v>
      </c>
      <c r="I75" s="53"/>
    </row>
    <row r="76" spans="1:9" x14ac:dyDescent="0.3">
      <c r="A76" t="str">
        <f t="shared" si="1"/>
        <v>6Bexley</v>
      </c>
      <c r="B76">
        <v>6</v>
      </c>
      <c r="C76" t="s">
        <v>75</v>
      </c>
      <c r="D76" t="s">
        <v>7725</v>
      </c>
      <c r="E76" t="s">
        <v>7657</v>
      </c>
      <c r="F76" t="s">
        <v>7632</v>
      </c>
      <c r="H76" s="34">
        <v>60000</v>
      </c>
      <c r="I76" s="53"/>
    </row>
    <row r="77" spans="1:9" x14ac:dyDescent="0.3">
      <c r="A77" t="str">
        <f t="shared" si="1"/>
        <v>7Bexley</v>
      </c>
      <c r="B77">
        <v>7</v>
      </c>
      <c r="C77" t="s">
        <v>75</v>
      </c>
      <c r="D77" t="s">
        <v>7726</v>
      </c>
      <c r="E77" t="s">
        <v>7657</v>
      </c>
      <c r="F77" t="s">
        <v>7632</v>
      </c>
      <c r="H77" s="34">
        <v>202250</v>
      </c>
      <c r="I77" s="53"/>
    </row>
    <row r="78" spans="1:9" x14ac:dyDescent="0.3">
      <c r="A78" t="str">
        <f t="shared" si="1"/>
        <v>8Bexley</v>
      </c>
      <c r="B78">
        <v>8</v>
      </c>
      <c r="C78" t="s">
        <v>75</v>
      </c>
      <c r="D78" t="s">
        <v>7727</v>
      </c>
      <c r="E78" t="s">
        <v>7657</v>
      </c>
      <c r="F78" t="s">
        <v>7632</v>
      </c>
      <c r="H78" s="34">
        <v>422754</v>
      </c>
      <c r="I78" s="53"/>
    </row>
    <row r="79" spans="1:9" x14ac:dyDescent="0.3">
      <c r="A79" t="str">
        <f t="shared" si="1"/>
        <v>1Birmingham</v>
      </c>
      <c r="B79">
        <v>1</v>
      </c>
      <c r="C79" t="s">
        <v>77</v>
      </c>
      <c r="D79" t="s">
        <v>7728</v>
      </c>
      <c r="E79" t="s">
        <v>5266</v>
      </c>
      <c r="F79" t="s">
        <v>7631</v>
      </c>
      <c r="H79" s="34">
        <v>250000</v>
      </c>
      <c r="I79" s="53"/>
    </row>
    <row r="80" spans="1:9" x14ac:dyDescent="0.3">
      <c r="A80" t="str">
        <f t="shared" si="1"/>
        <v>2Birmingham</v>
      </c>
      <c r="B80">
        <v>2</v>
      </c>
      <c r="C80" t="s">
        <v>77</v>
      </c>
      <c r="D80" t="s">
        <v>7728</v>
      </c>
      <c r="E80" t="s">
        <v>7649</v>
      </c>
      <c r="F80" t="s">
        <v>7638</v>
      </c>
      <c r="H80" s="34">
        <v>500000</v>
      </c>
      <c r="I80" s="53"/>
    </row>
    <row r="81" spans="1:9" x14ac:dyDescent="0.3">
      <c r="A81" t="str">
        <f t="shared" si="1"/>
        <v>3Birmingham</v>
      </c>
      <c r="B81">
        <v>3</v>
      </c>
      <c r="C81" t="s">
        <v>77</v>
      </c>
      <c r="D81" t="s">
        <v>7729</v>
      </c>
      <c r="E81" t="s">
        <v>1106</v>
      </c>
      <c r="F81" t="s">
        <v>812</v>
      </c>
      <c r="H81" s="34">
        <v>300000</v>
      </c>
      <c r="I81" s="53"/>
    </row>
    <row r="82" spans="1:9" x14ac:dyDescent="0.3">
      <c r="A82" t="str">
        <f t="shared" si="1"/>
        <v>4Birmingham</v>
      </c>
      <c r="B82">
        <v>4</v>
      </c>
      <c r="C82" t="s">
        <v>77</v>
      </c>
      <c r="D82" t="s">
        <v>7730</v>
      </c>
      <c r="E82" t="s">
        <v>5266</v>
      </c>
      <c r="F82" t="s">
        <v>7639</v>
      </c>
      <c r="H82" s="34">
        <v>6040193</v>
      </c>
      <c r="I82" s="53"/>
    </row>
    <row r="83" spans="1:9" x14ac:dyDescent="0.3">
      <c r="A83" t="str">
        <f t="shared" si="1"/>
        <v>5Birmingham</v>
      </c>
      <c r="B83">
        <v>5</v>
      </c>
      <c r="C83" t="s">
        <v>77</v>
      </c>
      <c r="D83" t="s">
        <v>7660</v>
      </c>
      <c r="E83" t="s">
        <v>7660</v>
      </c>
      <c r="H83" s="34">
        <v>100000</v>
      </c>
      <c r="I83" s="53"/>
    </row>
    <row r="84" spans="1:9" x14ac:dyDescent="0.3">
      <c r="A84" t="str">
        <f t="shared" si="1"/>
        <v>6Birmingham</v>
      </c>
      <c r="B84">
        <v>6</v>
      </c>
      <c r="C84" t="s">
        <v>77</v>
      </c>
      <c r="D84" t="s">
        <v>7731</v>
      </c>
      <c r="E84" t="s">
        <v>812</v>
      </c>
      <c r="H84" s="34">
        <v>300000</v>
      </c>
      <c r="I84" s="53"/>
    </row>
    <row r="85" spans="1:9" x14ac:dyDescent="0.3">
      <c r="A85" t="str">
        <f t="shared" si="1"/>
        <v>7Birmingham</v>
      </c>
      <c r="B85">
        <v>7</v>
      </c>
      <c r="C85" t="s">
        <v>77</v>
      </c>
      <c r="D85" t="s">
        <v>7732</v>
      </c>
      <c r="E85" t="s">
        <v>1106</v>
      </c>
      <c r="F85" t="s">
        <v>7628</v>
      </c>
      <c r="H85" s="34">
        <v>200000</v>
      </c>
      <c r="I85" s="53"/>
    </row>
    <row r="86" spans="1:9" x14ac:dyDescent="0.3">
      <c r="A86" t="str">
        <f t="shared" si="1"/>
        <v>8Birmingham</v>
      </c>
      <c r="B86">
        <v>8</v>
      </c>
      <c r="C86" t="s">
        <v>77</v>
      </c>
      <c r="D86" t="s">
        <v>7732</v>
      </c>
      <c r="E86" t="s">
        <v>812</v>
      </c>
      <c r="H86" s="34">
        <v>300000</v>
      </c>
      <c r="I86" s="53"/>
    </row>
    <row r="87" spans="1:9" x14ac:dyDescent="0.3">
      <c r="A87" t="str">
        <f t="shared" si="1"/>
        <v>9Birmingham</v>
      </c>
      <c r="B87">
        <v>9</v>
      </c>
      <c r="C87" t="s">
        <v>77</v>
      </c>
      <c r="D87" t="s">
        <v>7733</v>
      </c>
      <c r="E87" t="s">
        <v>842</v>
      </c>
      <c r="F87" t="s">
        <v>7636</v>
      </c>
      <c r="H87" s="34">
        <v>420000</v>
      </c>
      <c r="I87" s="53"/>
    </row>
    <row r="88" spans="1:9" x14ac:dyDescent="0.3">
      <c r="A88" t="str">
        <f t="shared" si="1"/>
        <v>10Birmingham</v>
      </c>
      <c r="B88">
        <v>10</v>
      </c>
      <c r="C88" t="s">
        <v>77</v>
      </c>
      <c r="D88" t="s">
        <v>7734</v>
      </c>
      <c r="E88" t="s">
        <v>842</v>
      </c>
      <c r="F88" t="s">
        <v>7636</v>
      </c>
      <c r="H88" s="34">
        <v>500000</v>
      </c>
      <c r="I88" s="53"/>
    </row>
    <row r="89" spans="1:9" x14ac:dyDescent="0.3">
      <c r="A89" t="str">
        <f t="shared" si="1"/>
        <v>1Blackburn with Darwen</v>
      </c>
      <c r="B89">
        <v>1</v>
      </c>
      <c r="C89" t="s">
        <v>79</v>
      </c>
      <c r="D89" t="s">
        <v>7735</v>
      </c>
      <c r="E89" t="s">
        <v>812</v>
      </c>
      <c r="H89" s="34">
        <v>28000</v>
      </c>
      <c r="I89" s="53"/>
    </row>
    <row r="90" spans="1:9" x14ac:dyDescent="0.3">
      <c r="A90" t="str">
        <f t="shared" si="1"/>
        <v>2Blackburn with Darwen</v>
      </c>
      <c r="B90">
        <v>2</v>
      </c>
      <c r="C90" t="s">
        <v>79</v>
      </c>
      <c r="D90" t="s">
        <v>7662</v>
      </c>
      <c r="E90" t="s">
        <v>1113</v>
      </c>
      <c r="F90" t="s">
        <v>7637</v>
      </c>
      <c r="H90" s="34">
        <v>30000</v>
      </c>
      <c r="I90" s="53"/>
    </row>
    <row r="91" spans="1:9" x14ac:dyDescent="0.3">
      <c r="A91" t="str">
        <f t="shared" si="1"/>
        <v>3Blackburn with Darwen</v>
      </c>
      <c r="B91">
        <v>3</v>
      </c>
      <c r="C91" t="s">
        <v>79</v>
      </c>
      <c r="D91" t="s">
        <v>7736</v>
      </c>
      <c r="E91" t="s">
        <v>5266</v>
      </c>
      <c r="F91" t="s">
        <v>7631</v>
      </c>
      <c r="H91" s="34">
        <v>10000</v>
      </c>
      <c r="I91" s="53"/>
    </row>
    <row r="92" spans="1:9" x14ac:dyDescent="0.3">
      <c r="A92" t="str">
        <f t="shared" si="1"/>
        <v>4Blackburn with Darwen</v>
      </c>
      <c r="B92">
        <v>4</v>
      </c>
      <c r="C92" t="s">
        <v>79</v>
      </c>
      <c r="D92" t="s">
        <v>7737</v>
      </c>
      <c r="E92" t="s">
        <v>1106</v>
      </c>
      <c r="F92" t="s">
        <v>7628</v>
      </c>
      <c r="H92" s="34">
        <v>22950</v>
      </c>
      <c r="I92" s="53"/>
    </row>
    <row r="93" spans="1:9" x14ac:dyDescent="0.3">
      <c r="A93" t="str">
        <f t="shared" si="1"/>
        <v>5Blackburn with Darwen</v>
      </c>
      <c r="B93">
        <v>5</v>
      </c>
      <c r="C93" t="s">
        <v>79</v>
      </c>
      <c r="D93" t="s">
        <v>7738</v>
      </c>
      <c r="E93" t="s">
        <v>806</v>
      </c>
      <c r="F93" t="s">
        <v>917</v>
      </c>
      <c r="H93" s="34">
        <v>18965</v>
      </c>
      <c r="I93" s="53"/>
    </row>
    <row r="94" spans="1:9" x14ac:dyDescent="0.3">
      <c r="A94" t="str">
        <f t="shared" si="1"/>
        <v>6Blackburn with Darwen</v>
      </c>
      <c r="B94">
        <v>6</v>
      </c>
      <c r="C94" t="s">
        <v>79</v>
      </c>
      <c r="D94" t="s">
        <v>7739</v>
      </c>
      <c r="E94" t="s">
        <v>842</v>
      </c>
      <c r="F94" t="s">
        <v>7636</v>
      </c>
      <c r="H94" s="34">
        <v>18886</v>
      </c>
      <c r="I94" s="53"/>
    </row>
    <row r="95" spans="1:9" x14ac:dyDescent="0.3">
      <c r="A95" t="str">
        <f t="shared" si="1"/>
        <v>7Blackburn with Darwen</v>
      </c>
      <c r="B95">
        <v>7</v>
      </c>
      <c r="C95" t="s">
        <v>79</v>
      </c>
      <c r="D95" t="s">
        <v>7740</v>
      </c>
      <c r="E95" t="s">
        <v>806</v>
      </c>
      <c r="F95" t="s">
        <v>807</v>
      </c>
      <c r="H95" s="34">
        <v>16705</v>
      </c>
      <c r="I95" s="53"/>
    </row>
    <row r="96" spans="1:9" x14ac:dyDescent="0.3">
      <c r="A96" t="str">
        <f t="shared" si="1"/>
        <v>8Blackburn with Darwen</v>
      </c>
      <c r="B96">
        <v>8</v>
      </c>
      <c r="C96" t="s">
        <v>79</v>
      </c>
      <c r="D96" t="s">
        <v>7741</v>
      </c>
      <c r="E96" t="s">
        <v>806</v>
      </c>
      <c r="F96" t="s">
        <v>807</v>
      </c>
      <c r="H96" s="34">
        <v>12528</v>
      </c>
      <c r="I96" s="53"/>
    </row>
    <row r="97" spans="1:9" x14ac:dyDescent="0.3">
      <c r="A97" t="str">
        <f t="shared" si="1"/>
        <v>9Blackburn with Darwen</v>
      </c>
      <c r="B97">
        <v>9</v>
      </c>
      <c r="C97" t="s">
        <v>79</v>
      </c>
      <c r="D97" t="s">
        <v>7742</v>
      </c>
      <c r="E97" t="s">
        <v>7649</v>
      </c>
      <c r="F97" t="s">
        <v>7638</v>
      </c>
      <c r="H97" s="34">
        <v>5000</v>
      </c>
      <c r="I97" s="53"/>
    </row>
    <row r="98" spans="1:9" x14ac:dyDescent="0.3">
      <c r="A98" t="str">
        <f t="shared" si="1"/>
        <v>10Blackburn with Darwen</v>
      </c>
      <c r="B98">
        <v>10</v>
      </c>
      <c r="C98" t="s">
        <v>79</v>
      </c>
      <c r="D98" t="s">
        <v>1781</v>
      </c>
      <c r="E98" t="s">
        <v>812</v>
      </c>
      <c r="H98" s="34">
        <v>15000</v>
      </c>
      <c r="I98" s="53"/>
    </row>
    <row r="99" spans="1:9" x14ac:dyDescent="0.3">
      <c r="A99" t="str">
        <f t="shared" si="1"/>
        <v>11Blackburn with Darwen</v>
      </c>
      <c r="B99">
        <v>11</v>
      </c>
      <c r="C99" t="s">
        <v>79</v>
      </c>
      <c r="D99" t="s">
        <v>7660</v>
      </c>
      <c r="E99" t="s">
        <v>7662</v>
      </c>
      <c r="H99" s="34">
        <v>6370</v>
      </c>
      <c r="I99" s="53"/>
    </row>
    <row r="100" spans="1:9" x14ac:dyDescent="0.3">
      <c r="A100" t="str">
        <f t="shared" si="1"/>
        <v>12Blackburn with Darwen</v>
      </c>
      <c r="B100">
        <v>12</v>
      </c>
      <c r="C100" t="s">
        <v>79</v>
      </c>
      <c r="D100" t="s">
        <v>7660</v>
      </c>
      <c r="E100" t="s">
        <v>7660</v>
      </c>
      <c r="H100" s="34">
        <v>96824</v>
      </c>
      <c r="I100" s="53"/>
    </row>
    <row r="101" spans="1:9" x14ac:dyDescent="0.3">
      <c r="A101" t="str">
        <f t="shared" si="1"/>
        <v>13Blackburn with Darwen</v>
      </c>
      <c r="B101">
        <v>13</v>
      </c>
      <c r="C101" t="s">
        <v>79</v>
      </c>
      <c r="D101" t="s">
        <v>7743</v>
      </c>
      <c r="E101" t="s">
        <v>842</v>
      </c>
      <c r="F101" t="s">
        <v>7636</v>
      </c>
      <c r="H101" s="34">
        <v>50400</v>
      </c>
      <c r="I101" s="53"/>
    </row>
    <row r="102" spans="1:9" x14ac:dyDescent="0.3">
      <c r="A102" t="str">
        <f t="shared" si="1"/>
        <v>14Blackburn with Darwen</v>
      </c>
      <c r="B102">
        <v>14</v>
      </c>
      <c r="C102" t="s">
        <v>79</v>
      </c>
      <c r="D102" t="s">
        <v>7744</v>
      </c>
      <c r="E102" t="s">
        <v>812</v>
      </c>
      <c r="H102" s="34">
        <v>16000</v>
      </c>
      <c r="I102" s="53"/>
    </row>
    <row r="103" spans="1:9" x14ac:dyDescent="0.3">
      <c r="A103" t="str">
        <f t="shared" si="1"/>
        <v>15Blackburn with Darwen</v>
      </c>
      <c r="B103">
        <v>15</v>
      </c>
      <c r="C103" t="s">
        <v>79</v>
      </c>
      <c r="D103" t="s">
        <v>7745</v>
      </c>
      <c r="E103" t="s">
        <v>812</v>
      </c>
      <c r="H103" s="34">
        <v>234169</v>
      </c>
      <c r="I103" s="53"/>
    </row>
    <row r="104" spans="1:9" x14ac:dyDescent="0.3">
      <c r="A104" t="str">
        <f t="shared" si="1"/>
        <v>16Blackburn with Darwen</v>
      </c>
      <c r="B104">
        <v>16</v>
      </c>
      <c r="C104" t="s">
        <v>79</v>
      </c>
      <c r="D104" t="s">
        <v>7746</v>
      </c>
      <c r="E104" t="s">
        <v>7649</v>
      </c>
      <c r="F104" t="s">
        <v>7638</v>
      </c>
      <c r="H104" s="34">
        <v>11348</v>
      </c>
      <c r="I104" s="53"/>
    </row>
    <row r="105" spans="1:9" x14ac:dyDescent="0.3">
      <c r="A105" t="str">
        <f t="shared" si="1"/>
        <v>17Blackburn with Darwen</v>
      </c>
      <c r="B105">
        <v>17</v>
      </c>
      <c r="C105" t="s">
        <v>79</v>
      </c>
      <c r="D105" t="s">
        <v>7747</v>
      </c>
      <c r="E105" t="s">
        <v>7657</v>
      </c>
      <c r="F105" t="s">
        <v>7632</v>
      </c>
      <c r="H105" s="34">
        <v>43869</v>
      </c>
      <c r="I105" s="53"/>
    </row>
    <row r="106" spans="1:9" x14ac:dyDescent="0.3">
      <c r="A106" t="str">
        <f t="shared" si="1"/>
        <v>1Blackpool</v>
      </c>
      <c r="B106">
        <v>1</v>
      </c>
      <c r="C106" t="s">
        <v>81</v>
      </c>
      <c r="D106" t="s">
        <v>7748</v>
      </c>
      <c r="E106" t="s">
        <v>842</v>
      </c>
      <c r="F106" t="s">
        <v>7636</v>
      </c>
      <c r="H106" s="34">
        <v>78075</v>
      </c>
      <c r="I106" s="53"/>
    </row>
    <row r="107" spans="1:9" x14ac:dyDescent="0.3">
      <c r="A107" t="str">
        <f t="shared" si="1"/>
        <v>2Blackpool</v>
      </c>
      <c r="B107">
        <v>2</v>
      </c>
      <c r="C107" t="s">
        <v>81</v>
      </c>
      <c r="D107" t="s">
        <v>7749</v>
      </c>
      <c r="E107" t="s">
        <v>7662</v>
      </c>
      <c r="H107" s="34">
        <v>9000</v>
      </c>
      <c r="I107" s="53"/>
    </row>
    <row r="108" spans="1:9" x14ac:dyDescent="0.3">
      <c r="A108" t="str">
        <f t="shared" si="1"/>
        <v>3Blackpool</v>
      </c>
      <c r="B108">
        <v>3</v>
      </c>
      <c r="C108" t="s">
        <v>81</v>
      </c>
      <c r="D108" t="s">
        <v>7750</v>
      </c>
      <c r="E108" t="s">
        <v>7657</v>
      </c>
      <c r="H108" s="34">
        <v>107000</v>
      </c>
      <c r="I108" s="53"/>
    </row>
    <row r="109" spans="1:9" x14ac:dyDescent="0.3">
      <c r="A109" t="str">
        <f t="shared" si="1"/>
        <v>4Blackpool</v>
      </c>
      <c r="B109">
        <v>4</v>
      </c>
      <c r="C109" t="s">
        <v>81</v>
      </c>
      <c r="D109" t="s">
        <v>5777</v>
      </c>
      <c r="E109" t="s">
        <v>812</v>
      </c>
      <c r="H109" s="34">
        <v>25000</v>
      </c>
      <c r="I109" s="53"/>
    </row>
    <row r="110" spans="1:9" x14ac:dyDescent="0.3">
      <c r="A110" t="str">
        <f t="shared" si="1"/>
        <v>5Blackpool</v>
      </c>
      <c r="B110">
        <v>5</v>
      </c>
      <c r="C110" t="s">
        <v>81</v>
      </c>
      <c r="D110" t="s">
        <v>7751</v>
      </c>
      <c r="E110" t="s">
        <v>812</v>
      </c>
      <c r="H110" s="34">
        <v>17000</v>
      </c>
      <c r="I110" s="53"/>
    </row>
    <row r="111" spans="1:9" x14ac:dyDescent="0.3">
      <c r="A111" t="str">
        <f t="shared" si="1"/>
        <v>6Blackpool</v>
      </c>
      <c r="B111">
        <v>6</v>
      </c>
      <c r="C111" t="s">
        <v>81</v>
      </c>
      <c r="D111" t="s">
        <v>3557</v>
      </c>
      <c r="E111" t="s">
        <v>806</v>
      </c>
      <c r="F111" t="s">
        <v>7642</v>
      </c>
      <c r="H111" s="34">
        <v>1327996</v>
      </c>
      <c r="I111" s="53"/>
    </row>
    <row r="112" spans="1:9" x14ac:dyDescent="0.3">
      <c r="A112" t="str">
        <f t="shared" si="1"/>
        <v>7Blackpool</v>
      </c>
      <c r="B112">
        <v>7</v>
      </c>
      <c r="C112" t="s">
        <v>81</v>
      </c>
      <c r="D112" t="s">
        <v>1034</v>
      </c>
      <c r="E112" t="s">
        <v>800</v>
      </c>
      <c r="F112" t="s">
        <v>903</v>
      </c>
      <c r="H112" s="34">
        <v>10000</v>
      </c>
      <c r="I112" s="53"/>
    </row>
    <row r="113" spans="1:9" x14ac:dyDescent="0.3">
      <c r="A113" t="str">
        <f t="shared" si="1"/>
        <v>8Blackpool</v>
      </c>
      <c r="B113">
        <v>8</v>
      </c>
      <c r="C113" t="s">
        <v>81</v>
      </c>
      <c r="D113" t="s">
        <v>7752</v>
      </c>
      <c r="E113" t="s">
        <v>812</v>
      </c>
      <c r="H113" s="34">
        <v>110000</v>
      </c>
      <c r="I113" s="53"/>
    </row>
    <row r="114" spans="1:9" x14ac:dyDescent="0.3">
      <c r="A114" t="str">
        <f t="shared" si="1"/>
        <v>1Bolton</v>
      </c>
      <c r="B114">
        <v>1</v>
      </c>
      <c r="C114" t="s">
        <v>83</v>
      </c>
      <c r="D114" t="s">
        <v>7662</v>
      </c>
      <c r="E114" t="s">
        <v>7662</v>
      </c>
      <c r="H114" s="34">
        <v>30496.17</v>
      </c>
      <c r="I114" s="53"/>
    </row>
    <row r="115" spans="1:9" x14ac:dyDescent="0.3">
      <c r="A115" t="str">
        <f t="shared" si="1"/>
        <v>2Bolton</v>
      </c>
      <c r="B115">
        <v>2</v>
      </c>
      <c r="C115" t="s">
        <v>83</v>
      </c>
      <c r="D115" t="s">
        <v>1646</v>
      </c>
      <c r="E115" t="s">
        <v>1106</v>
      </c>
      <c r="F115" t="s">
        <v>7628</v>
      </c>
      <c r="H115" s="34">
        <v>538000</v>
      </c>
      <c r="I115" s="53"/>
    </row>
    <row r="116" spans="1:9" x14ac:dyDescent="0.3">
      <c r="A116" t="str">
        <f t="shared" si="1"/>
        <v>3Bolton</v>
      </c>
      <c r="B116">
        <v>3</v>
      </c>
      <c r="C116" t="s">
        <v>83</v>
      </c>
      <c r="D116" t="s">
        <v>7753</v>
      </c>
      <c r="E116" t="s">
        <v>842</v>
      </c>
      <c r="F116" t="s">
        <v>843</v>
      </c>
      <c r="H116" s="34">
        <v>243000</v>
      </c>
      <c r="I116" s="53"/>
    </row>
    <row r="117" spans="1:9" x14ac:dyDescent="0.3">
      <c r="A117" t="str">
        <f t="shared" si="1"/>
        <v>4Bolton</v>
      </c>
      <c r="B117">
        <v>4</v>
      </c>
      <c r="C117" t="s">
        <v>83</v>
      </c>
      <c r="D117" t="s">
        <v>7753</v>
      </c>
      <c r="E117" t="s">
        <v>842</v>
      </c>
      <c r="F117" t="s">
        <v>1594</v>
      </c>
      <c r="H117" s="34">
        <v>311000</v>
      </c>
      <c r="I117" s="53"/>
    </row>
    <row r="118" spans="1:9" x14ac:dyDescent="0.3">
      <c r="A118" t="str">
        <f t="shared" si="1"/>
        <v>5Bolton</v>
      </c>
      <c r="B118">
        <v>5</v>
      </c>
      <c r="C118" t="s">
        <v>83</v>
      </c>
      <c r="D118" t="s">
        <v>7753</v>
      </c>
      <c r="E118" t="s">
        <v>842</v>
      </c>
      <c r="F118" t="s">
        <v>812</v>
      </c>
      <c r="H118" s="34">
        <v>21000</v>
      </c>
      <c r="I118" s="53"/>
    </row>
    <row r="119" spans="1:9" x14ac:dyDescent="0.3">
      <c r="A119" t="str">
        <f t="shared" si="1"/>
        <v>6Bolton</v>
      </c>
      <c r="B119">
        <v>6</v>
      </c>
      <c r="C119" t="s">
        <v>83</v>
      </c>
      <c r="D119" t="s">
        <v>4640</v>
      </c>
      <c r="E119" t="s">
        <v>812</v>
      </c>
      <c r="H119" s="34">
        <v>40000</v>
      </c>
      <c r="I119" s="53"/>
    </row>
    <row r="120" spans="1:9" x14ac:dyDescent="0.3">
      <c r="A120" t="str">
        <f t="shared" si="1"/>
        <v>7Bolton</v>
      </c>
      <c r="B120">
        <v>7</v>
      </c>
      <c r="C120" t="s">
        <v>83</v>
      </c>
      <c r="D120" t="s">
        <v>5266</v>
      </c>
      <c r="E120" t="s">
        <v>5266</v>
      </c>
      <c r="F120" t="s">
        <v>7643</v>
      </c>
      <c r="H120" s="34">
        <v>500000</v>
      </c>
      <c r="I120" s="53"/>
    </row>
    <row r="121" spans="1:9" x14ac:dyDescent="0.3">
      <c r="A121" t="str">
        <f t="shared" si="1"/>
        <v>8Bolton</v>
      </c>
      <c r="B121">
        <v>8</v>
      </c>
      <c r="C121" t="s">
        <v>83</v>
      </c>
      <c r="D121" t="s">
        <v>1246</v>
      </c>
      <c r="E121" t="s">
        <v>800</v>
      </c>
      <c r="F121" t="s">
        <v>903</v>
      </c>
      <c r="H121" s="34">
        <v>232000</v>
      </c>
      <c r="I121" s="53"/>
    </row>
    <row r="122" spans="1:9" x14ac:dyDescent="0.3">
      <c r="A122" t="str">
        <f t="shared" si="1"/>
        <v>9Bolton</v>
      </c>
      <c r="B122">
        <v>9</v>
      </c>
      <c r="C122" t="s">
        <v>83</v>
      </c>
      <c r="D122" t="s">
        <v>1246</v>
      </c>
      <c r="E122" t="s">
        <v>812</v>
      </c>
      <c r="H122" s="34">
        <v>126000</v>
      </c>
      <c r="I122" s="53"/>
    </row>
    <row r="123" spans="1:9" x14ac:dyDescent="0.3">
      <c r="A123" t="str">
        <f t="shared" si="1"/>
        <v>10Bolton</v>
      </c>
      <c r="B123">
        <v>10</v>
      </c>
      <c r="C123" t="s">
        <v>83</v>
      </c>
      <c r="D123" t="s">
        <v>1246</v>
      </c>
      <c r="E123" t="s">
        <v>2108</v>
      </c>
      <c r="H123" s="34">
        <v>35419</v>
      </c>
      <c r="I123" s="53"/>
    </row>
    <row r="124" spans="1:9" x14ac:dyDescent="0.3">
      <c r="A124" t="str">
        <f t="shared" si="1"/>
        <v>11Bolton</v>
      </c>
      <c r="B124">
        <v>11</v>
      </c>
      <c r="C124" t="s">
        <v>83</v>
      </c>
      <c r="D124" t="s">
        <v>964</v>
      </c>
      <c r="E124" t="s">
        <v>1106</v>
      </c>
      <c r="F124" t="s">
        <v>7628</v>
      </c>
      <c r="H124" s="34">
        <v>150000</v>
      </c>
      <c r="I124" s="53"/>
    </row>
    <row r="125" spans="1:9" x14ac:dyDescent="0.3">
      <c r="A125" t="str">
        <f t="shared" si="1"/>
        <v>12Bolton</v>
      </c>
      <c r="B125">
        <v>12</v>
      </c>
      <c r="C125" t="s">
        <v>83</v>
      </c>
      <c r="D125" t="s">
        <v>964</v>
      </c>
      <c r="E125" t="s">
        <v>1113</v>
      </c>
      <c r="F125" t="s">
        <v>7629</v>
      </c>
      <c r="H125" s="34">
        <v>176000</v>
      </c>
      <c r="I125" s="53"/>
    </row>
    <row r="126" spans="1:9" x14ac:dyDescent="0.3">
      <c r="A126" t="str">
        <f t="shared" si="1"/>
        <v>13Bolton</v>
      </c>
      <c r="B126">
        <v>13</v>
      </c>
      <c r="C126" t="s">
        <v>83</v>
      </c>
      <c r="D126" t="s">
        <v>2593</v>
      </c>
      <c r="E126" t="s">
        <v>806</v>
      </c>
      <c r="F126" t="s">
        <v>807</v>
      </c>
      <c r="H126" s="34">
        <v>300000</v>
      </c>
      <c r="I126" s="53"/>
    </row>
    <row r="127" spans="1:9" x14ac:dyDescent="0.3">
      <c r="A127" t="str">
        <f t="shared" si="1"/>
        <v>14Bolton</v>
      </c>
      <c r="B127">
        <v>14</v>
      </c>
      <c r="C127" t="s">
        <v>83</v>
      </c>
      <c r="D127" t="s">
        <v>2593</v>
      </c>
      <c r="E127" t="s">
        <v>806</v>
      </c>
      <c r="F127" t="s">
        <v>917</v>
      </c>
      <c r="H127" s="34">
        <v>335000</v>
      </c>
      <c r="I127" s="53"/>
    </row>
    <row r="128" spans="1:9" x14ac:dyDescent="0.3">
      <c r="A128" t="str">
        <f t="shared" si="1"/>
        <v>15Bolton</v>
      </c>
      <c r="B128">
        <v>15</v>
      </c>
      <c r="C128" t="s">
        <v>83</v>
      </c>
      <c r="D128" t="s">
        <v>7754</v>
      </c>
      <c r="E128" t="s">
        <v>812</v>
      </c>
      <c r="H128" s="34">
        <v>100000</v>
      </c>
      <c r="I128" s="53"/>
    </row>
    <row r="129" spans="1:9" x14ac:dyDescent="0.3">
      <c r="A129" t="str">
        <f t="shared" si="1"/>
        <v>16Bolton</v>
      </c>
      <c r="B129">
        <v>16</v>
      </c>
      <c r="C129" t="s">
        <v>83</v>
      </c>
      <c r="D129" t="s">
        <v>7755</v>
      </c>
      <c r="E129" t="s">
        <v>812</v>
      </c>
      <c r="H129" s="34">
        <v>50000</v>
      </c>
      <c r="I129" s="53"/>
    </row>
    <row r="130" spans="1:9" x14ac:dyDescent="0.3">
      <c r="A130" t="str">
        <f t="shared" ref="A130:A193" si="2">B130&amp;C130</f>
        <v>1Bournemouth, Christchurch and Poole</v>
      </c>
      <c r="B130">
        <v>1</v>
      </c>
      <c r="C130" t="s">
        <v>85</v>
      </c>
      <c r="D130" t="s">
        <v>7756</v>
      </c>
      <c r="E130" t="s">
        <v>812</v>
      </c>
      <c r="H130" s="34">
        <v>18000</v>
      </c>
      <c r="I130" s="53"/>
    </row>
    <row r="131" spans="1:9" x14ac:dyDescent="0.3">
      <c r="A131" t="str">
        <f t="shared" si="2"/>
        <v>2Bournemouth, Christchurch and Poole</v>
      </c>
      <c r="B131">
        <v>2</v>
      </c>
      <c r="C131" t="s">
        <v>85</v>
      </c>
      <c r="D131" t="s">
        <v>7757</v>
      </c>
      <c r="E131" t="s">
        <v>1113</v>
      </c>
      <c r="F131" t="s">
        <v>7629</v>
      </c>
      <c r="H131" s="34">
        <v>127000</v>
      </c>
      <c r="I131" s="53"/>
    </row>
    <row r="132" spans="1:9" x14ac:dyDescent="0.3">
      <c r="A132" t="str">
        <f t="shared" si="2"/>
        <v>3Bournemouth, Christchurch and Poole</v>
      </c>
      <c r="B132">
        <v>3</v>
      </c>
      <c r="C132" t="s">
        <v>85</v>
      </c>
      <c r="D132" t="s">
        <v>7758</v>
      </c>
      <c r="E132" t="s">
        <v>7662</v>
      </c>
      <c r="H132" s="34">
        <v>14583</v>
      </c>
      <c r="I132" s="53"/>
    </row>
    <row r="133" spans="1:9" x14ac:dyDescent="0.3">
      <c r="A133" t="str">
        <f t="shared" si="2"/>
        <v>4Bournemouth, Christchurch and Poole</v>
      </c>
      <c r="B133">
        <v>4</v>
      </c>
      <c r="C133" t="s">
        <v>85</v>
      </c>
      <c r="D133" t="s">
        <v>7759</v>
      </c>
      <c r="E133" t="s">
        <v>800</v>
      </c>
      <c r="F133" t="s">
        <v>903</v>
      </c>
      <c r="H133" s="34">
        <v>500000</v>
      </c>
      <c r="I133" s="53"/>
    </row>
    <row r="134" spans="1:9" x14ac:dyDescent="0.3">
      <c r="A134" t="str">
        <f t="shared" si="2"/>
        <v>5Bournemouth, Christchurch and Poole</v>
      </c>
      <c r="B134">
        <v>5</v>
      </c>
      <c r="C134" t="s">
        <v>85</v>
      </c>
      <c r="D134" t="s">
        <v>7760</v>
      </c>
      <c r="E134" t="s">
        <v>812</v>
      </c>
      <c r="F134" t="s">
        <v>369</v>
      </c>
      <c r="H134" s="34">
        <v>277000</v>
      </c>
      <c r="I134" s="53"/>
    </row>
    <row r="135" spans="1:9" x14ac:dyDescent="0.3">
      <c r="A135" t="str">
        <f t="shared" si="2"/>
        <v>6Bournemouth, Christchurch and Poole</v>
      </c>
      <c r="B135">
        <v>6</v>
      </c>
      <c r="C135" t="s">
        <v>85</v>
      </c>
      <c r="D135" t="s">
        <v>7761</v>
      </c>
      <c r="E135" t="s">
        <v>842</v>
      </c>
      <c r="F135" t="s">
        <v>7636</v>
      </c>
      <c r="H135" s="34">
        <v>670000</v>
      </c>
      <c r="I135" s="53"/>
    </row>
    <row r="136" spans="1:9" x14ac:dyDescent="0.3">
      <c r="A136" t="str">
        <f t="shared" si="2"/>
        <v>7Bournemouth, Christchurch and Poole</v>
      </c>
      <c r="B136">
        <v>7</v>
      </c>
      <c r="C136" t="s">
        <v>85</v>
      </c>
      <c r="D136" t="s">
        <v>7762</v>
      </c>
      <c r="E136" t="s">
        <v>806</v>
      </c>
      <c r="F136" t="s">
        <v>7642</v>
      </c>
      <c r="H136" s="34">
        <v>1080000</v>
      </c>
      <c r="I136" s="53"/>
    </row>
    <row r="137" spans="1:9" x14ac:dyDescent="0.3">
      <c r="A137" t="str">
        <f t="shared" si="2"/>
        <v>8Bournemouth, Christchurch and Poole</v>
      </c>
      <c r="B137">
        <v>8</v>
      </c>
      <c r="C137" t="s">
        <v>85</v>
      </c>
      <c r="D137" t="s">
        <v>7763</v>
      </c>
      <c r="E137" t="s">
        <v>7662</v>
      </c>
      <c r="H137" s="34">
        <v>32671</v>
      </c>
      <c r="I137" s="53"/>
    </row>
    <row r="138" spans="1:9" x14ac:dyDescent="0.3">
      <c r="A138" t="str">
        <f t="shared" si="2"/>
        <v>9Bournemouth, Christchurch and Poole</v>
      </c>
      <c r="B138">
        <v>9</v>
      </c>
      <c r="C138" t="s">
        <v>85</v>
      </c>
      <c r="D138" t="s">
        <v>7764</v>
      </c>
      <c r="E138" t="s">
        <v>7658</v>
      </c>
      <c r="H138" s="34">
        <v>400000</v>
      </c>
      <c r="I138" s="53"/>
    </row>
    <row r="139" spans="1:9" x14ac:dyDescent="0.3">
      <c r="A139" t="str">
        <f t="shared" si="2"/>
        <v>10Bournemouth, Christchurch and Poole</v>
      </c>
      <c r="B139">
        <v>10</v>
      </c>
      <c r="C139" t="s">
        <v>85</v>
      </c>
      <c r="D139" t="s">
        <v>7765</v>
      </c>
      <c r="E139" t="s">
        <v>812</v>
      </c>
      <c r="H139" s="34">
        <v>24000</v>
      </c>
      <c r="I139" s="53"/>
    </row>
    <row r="140" spans="1:9" x14ac:dyDescent="0.3">
      <c r="A140" t="str">
        <f t="shared" si="2"/>
        <v>11Bournemouth, Christchurch and Poole</v>
      </c>
      <c r="B140">
        <v>11</v>
      </c>
      <c r="C140" t="s">
        <v>85</v>
      </c>
      <c r="D140" t="s">
        <v>7766</v>
      </c>
      <c r="E140" t="s">
        <v>842</v>
      </c>
      <c r="F140" t="s">
        <v>7636</v>
      </c>
      <c r="H140" s="34">
        <v>1250000</v>
      </c>
      <c r="I140" s="53"/>
    </row>
    <row r="141" spans="1:9" x14ac:dyDescent="0.3">
      <c r="A141" t="str">
        <f t="shared" si="2"/>
        <v>12Bournemouth, Christchurch and Poole</v>
      </c>
      <c r="B141">
        <v>12</v>
      </c>
      <c r="C141" t="s">
        <v>85</v>
      </c>
      <c r="D141" t="s">
        <v>7767</v>
      </c>
      <c r="E141" t="s">
        <v>812</v>
      </c>
      <c r="H141" s="34">
        <v>50000</v>
      </c>
      <c r="I141" s="53"/>
    </row>
    <row r="142" spans="1:9" x14ac:dyDescent="0.3">
      <c r="A142" t="str">
        <f t="shared" si="2"/>
        <v>13Bournemouth, Christchurch and Poole</v>
      </c>
      <c r="B142">
        <v>13</v>
      </c>
      <c r="C142" t="s">
        <v>85</v>
      </c>
      <c r="D142" t="s">
        <v>7768</v>
      </c>
      <c r="E142" t="s">
        <v>1106</v>
      </c>
      <c r="F142" t="s">
        <v>7628</v>
      </c>
      <c r="H142" s="34">
        <v>19000</v>
      </c>
      <c r="I142" s="53"/>
    </row>
    <row r="143" spans="1:9" x14ac:dyDescent="0.3">
      <c r="A143" t="str">
        <f t="shared" si="2"/>
        <v>14Bournemouth, Christchurch and Poole</v>
      </c>
      <c r="B143">
        <v>14</v>
      </c>
      <c r="C143" t="s">
        <v>85</v>
      </c>
      <c r="D143" t="s">
        <v>7769</v>
      </c>
      <c r="E143" t="s">
        <v>806</v>
      </c>
      <c r="F143" t="s">
        <v>807</v>
      </c>
      <c r="H143" s="34">
        <v>73000</v>
      </c>
      <c r="I143" s="53"/>
    </row>
    <row r="144" spans="1:9" x14ac:dyDescent="0.3">
      <c r="A144" t="str">
        <f t="shared" si="2"/>
        <v>15Bournemouth, Christchurch and Poole</v>
      </c>
      <c r="B144">
        <v>15</v>
      </c>
      <c r="C144" t="s">
        <v>85</v>
      </c>
      <c r="D144" t="s">
        <v>7770</v>
      </c>
      <c r="E144" t="s">
        <v>812</v>
      </c>
      <c r="H144" s="34">
        <v>20000</v>
      </c>
      <c r="I144" s="53"/>
    </row>
    <row r="145" spans="1:9" x14ac:dyDescent="0.3">
      <c r="A145" t="str">
        <f t="shared" si="2"/>
        <v>16Bournemouth, Christchurch and Poole</v>
      </c>
      <c r="B145">
        <v>16</v>
      </c>
      <c r="C145" t="s">
        <v>85</v>
      </c>
      <c r="D145" t="s">
        <v>7771</v>
      </c>
      <c r="E145" t="s">
        <v>812</v>
      </c>
      <c r="H145" s="34">
        <v>19000</v>
      </c>
      <c r="I145" s="53"/>
    </row>
    <row r="146" spans="1:9" x14ac:dyDescent="0.3">
      <c r="A146" t="str">
        <f t="shared" si="2"/>
        <v>17Bournemouth, Christchurch and Poole</v>
      </c>
      <c r="B146">
        <v>17</v>
      </c>
      <c r="C146" t="s">
        <v>85</v>
      </c>
      <c r="D146" t="s">
        <v>7772</v>
      </c>
      <c r="E146" t="s">
        <v>806</v>
      </c>
      <c r="F146" t="s">
        <v>807</v>
      </c>
      <c r="H146" s="34">
        <v>150000</v>
      </c>
      <c r="I146" s="53"/>
    </row>
    <row r="147" spans="1:9" x14ac:dyDescent="0.3">
      <c r="A147" t="str">
        <f t="shared" si="2"/>
        <v>1Bracknell Forest</v>
      </c>
      <c r="B147">
        <v>1</v>
      </c>
      <c r="C147" t="s">
        <v>87</v>
      </c>
      <c r="D147" t="s">
        <v>7773</v>
      </c>
      <c r="E147" t="s">
        <v>842</v>
      </c>
      <c r="F147" t="s">
        <v>843</v>
      </c>
      <c r="H147" s="34">
        <v>40000</v>
      </c>
      <c r="I147" s="53"/>
    </row>
    <row r="148" spans="1:9" x14ac:dyDescent="0.3">
      <c r="A148" t="str">
        <f t="shared" si="2"/>
        <v>2Bracknell Forest</v>
      </c>
      <c r="B148">
        <v>2</v>
      </c>
      <c r="C148" t="s">
        <v>87</v>
      </c>
      <c r="D148" t="s">
        <v>7774</v>
      </c>
      <c r="E148" t="s">
        <v>842</v>
      </c>
      <c r="F148" t="s">
        <v>7636</v>
      </c>
      <c r="H148" s="34">
        <v>25000</v>
      </c>
      <c r="I148" s="53"/>
    </row>
    <row r="149" spans="1:9" x14ac:dyDescent="0.3">
      <c r="A149" t="str">
        <f t="shared" si="2"/>
        <v>3Bracknell Forest</v>
      </c>
      <c r="B149">
        <v>3</v>
      </c>
      <c r="C149" t="s">
        <v>87</v>
      </c>
      <c r="D149" t="s">
        <v>7775</v>
      </c>
      <c r="E149" t="s">
        <v>842</v>
      </c>
      <c r="F149" t="s">
        <v>7636</v>
      </c>
      <c r="H149" s="34">
        <v>62040</v>
      </c>
      <c r="I149" s="53"/>
    </row>
    <row r="150" spans="1:9" x14ac:dyDescent="0.3">
      <c r="A150" t="str">
        <f t="shared" si="2"/>
        <v>4Bracknell Forest</v>
      </c>
      <c r="B150">
        <v>4</v>
      </c>
      <c r="C150" t="s">
        <v>87</v>
      </c>
      <c r="D150" t="s">
        <v>7776</v>
      </c>
      <c r="E150" t="s">
        <v>1113</v>
      </c>
      <c r="F150" t="s">
        <v>7629</v>
      </c>
      <c r="H150" s="34">
        <v>35000</v>
      </c>
      <c r="I150" s="53"/>
    </row>
    <row r="151" spans="1:9" x14ac:dyDescent="0.3">
      <c r="A151" t="str">
        <f t="shared" si="2"/>
        <v>5Bracknell Forest</v>
      </c>
      <c r="B151">
        <v>5</v>
      </c>
      <c r="C151" t="s">
        <v>87</v>
      </c>
      <c r="D151" t="s">
        <v>7777</v>
      </c>
      <c r="E151" t="s">
        <v>842</v>
      </c>
      <c r="F151" t="s">
        <v>7636</v>
      </c>
      <c r="H151" s="34">
        <v>10000</v>
      </c>
      <c r="I151" s="53"/>
    </row>
    <row r="152" spans="1:9" x14ac:dyDescent="0.3">
      <c r="A152" t="str">
        <f t="shared" si="2"/>
        <v>6Bracknell Forest</v>
      </c>
      <c r="B152">
        <v>6</v>
      </c>
      <c r="C152" t="s">
        <v>87</v>
      </c>
      <c r="D152" t="s">
        <v>1847</v>
      </c>
      <c r="E152" t="s">
        <v>842</v>
      </c>
      <c r="F152" t="s">
        <v>7636</v>
      </c>
      <c r="H152" s="34">
        <v>60000</v>
      </c>
      <c r="I152" s="53"/>
    </row>
    <row r="153" spans="1:9" x14ac:dyDescent="0.3">
      <c r="A153" t="str">
        <f t="shared" si="2"/>
        <v>7Bracknell Forest</v>
      </c>
      <c r="B153">
        <v>7</v>
      </c>
      <c r="C153" t="s">
        <v>87</v>
      </c>
      <c r="D153" t="s">
        <v>7778</v>
      </c>
      <c r="E153" t="s">
        <v>800</v>
      </c>
      <c r="F153" t="s">
        <v>2108</v>
      </c>
      <c r="H153" s="34">
        <v>20000</v>
      </c>
      <c r="I153" s="53"/>
    </row>
    <row r="154" spans="1:9" x14ac:dyDescent="0.3">
      <c r="A154" t="str">
        <f t="shared" si="2"/>
        <v>8Bracknell Forest</v>
      </c>
      <c r="B154">
        <v>8</v>
      </c>
      <c r="C154" t="s">
        <v>87</v>
      </c>
      <c r="D154" t="s">
        <v>7779</v>
      </c>
      <c r="E154" t="s">
        <v>806</v>
      </c>
      <c r="F154" t="s">
        <v>7642</v>
      </c>
      <c r="H154" s="34">
        <v>24863</v>
      </c>
      <c r="I154" s="53"/>
    </row>
    <row r="155" spans="1:9" x14ac:dyDescent="0.3">
      <c r="A155" t="str">
        <f t="shared" si="2"/>
        <v>9Bracknell Forest</v>
      </c>
      <c r="B155">
        <v>9</v>
      </c>
      <c r="C155" t="s">
        <v>87</v>
      </c>
      <c r="D155" t="s">
        <v>7780</v>
      </c>
      <c r="E155" t="s">
        <v>842</v>
      </c>
      <c r="F155" t="s">
        <v>7704</v>
      </c>
      <c r="H155" s="34">
        <v>40000</v>
      </c>
      <c r="I155" s="53"/>
    </row>
    <row r="156" spans="1:9" x14ac:dyDescent="0.3">
      <c r="A156" t="str">
        <f t="shared" si="2"/>
        <v>10Bracknell Forest</v>
      </c>
      <c r="B156">
        <v>10</v>
      </c>
      <c r="C156" t="s">
        <v>87</v>
      </c>
      <c r="D156" t="s">
        <v>7781</v>
      </c>
      <c r="E156" t="s">
        <v>806</v>
      </c>
      <c r="F156" t="s">
        <v>7642</v>
      </c>
      <c r="H156" s="34">
        <v>46513</v>
      </c>
      <c r="I156" s="53"/>
    </row>
    <row r="157" spans="1:9" x14ac:dyDescent="0.3">
      <c r="A157" t="str">
        <f t="shared" si="2"/>
        <v>11Bracknell Forest</v>
      </c>
      <c r="B157">
        <v>11</v>
      </c>
      <c r="C157" t="s">
        <v>87</v>
      </c>
      <c r="D157" t="s">
        <v>7782</v>
      </c>
      <c r="E157" t="s">
        <v>806</v>
      </c>
      <c r="F157" t="s">
        <v>812</v>
      </c>
      <c r="H157" s="34">
        <v>30000</v>
      </c>
      <c r="I157" s="53"/>
    </row>
    <row r="158" spans="1:9" x14ac:dyDescent="0.3">
      <c r="A158" t="str">
        <f t="shared" si="2"/>
        <v>12Bracknell Forest</v>
      </c>
      <c r="B158">
        <v>12</v>
      </c>
      <c r="C158" t="s">
        <v>87</v>
      </c>
      <c r="D158" t="s">
        <v>7783</v>
      </c>
      <c r="E158" t="s">
        <v>842</v>
      </c>
      <c r="F158" t="s">
        <v>7636</v>
      </c>
      <c r="H158" s="34">
        <v>20000</v>
      </c>
      <c r="I158" s="53"/>
    </row>
    <row r="159" spans="1:9" x14ac:dyDescent="0.3">
      <c r="A159" t="str">
        <f t="shared" si="2"/>
        <v>13Bracknell Forest</v>
      </c>
      <c r="B159">
        <v>13</v>
      </c>
      <c r="C159" t="s">
        <v>87</v>
      </c>
      <c r="D159" t="s">
        <v>7784</v>
      </c>
      <c r="E159" t="s">
        <v>842</v>
      </c>
      <c r="F159" t="s">
        <v>7636</v>
      </c>
      <c r="H159" s="34">
        <v>20000</v>
      </c>
      <c r="I159" s="53"/>
    </row>
    <row r="160" spans="1:9" x14ac:dyDescent="0.3">
      <c r="A160" t="str">
        <f t="shared" si="2"/>
        <v>1Bradford</v>
      </c>
      <c r="B160">
        <v>1</v>
      </c>
      <c r="C160" t="s">
        <v>89</v>
      </c>
      <c r="D160" t="s">
        <v>7785</v>
      </c>
      <c r="E160" t="s">
        <v>1113</v>
      </c>
      <c r="F160" t="s">
        <v>7629</v>
      </c>
      <c r="H160" s="34">
        <v>1667000</v>
      </c>
      <c r="I160" s="53"/>
    </row>
    <row r="161" spans="1:9" x14ac:dyDescent="0.3">
      <c r="A161" t="str">
        <f t="shared" si="2"/>
        <v>2Bradford</v>
      </c>
      <c r="B161">
        <v>2</v>
      </c>
      <c r="C161" t="s">
        <v>89</v>
      </c>
      <c r="D161" t="s">
        <v>7786</v>
      </c>
      <c r="E161" t="s">
        <v>7657</v>
      </c>
      <c r="F161" t="s">
        <v>7640</v>
      </c>
      <c r="H161" s="34">
        <v>29300</v>
      </c>
      <c r="I161" s="53"/>
    </row>
    <row r="162" spans="1:9" x14ac:dyDescent="0.3">
      <c r="A162" t="str">
        <f t="shared" si="2"/>
        <v>3Bradford</v>
      </c>
      <c r="B162">
        <v>3</v>
      </c>
      <c r="C162" t="s">
        <v>89</v>
      </c>
      <c r="D162" t="s">
        <v>1382</v>
      </c>
      <c r="E162" t="s">
        <v>842</v>
      </c>
      <c r="F162" t="s">
        <v>7636</v>
      </c>
      <c r="H162" s="34">
        <v>3166291</v>
      </c>
      <c r="I162" s="53"/>
    </row>
    <row r="163" spans="1:9" x14ac:dyDescent="0.3">
      <c r="A163" t="str">
        <f t="shared" si="2"/>
        <v>4Bradford</v>
      </c>
      <c r="B163">
        <v>4</v>
      </c>
      <c r="C163" t="s">
        <v>89</v>
      </c>
      <c r="D163" t="s">
        <v>7787</v>
      </c>
      <c r="E163" t="s">
        <v>1106</v>
      </c>
      <c r="F163" t="s">
        <v>7628</v>
      </c>
      <c r="H163" s="34">
        <v>112000</v>
      </c>
      <c r="I163" s="53"/>
    </row>
    <row r="164" spans="1:9" x14ac:dyDescent="0.3">
      <c r="A164" t="str">
        <f t="shared" si="2"/>
        <v>5Bradford</v>
      </c>
      <c r="B164">
        <v>5</v>
      </c>
      <c r="C164" t="s">
        <v>89</v>
      </c>
      <c r="D164" t="s">
        <v>7788</v>
      </c>
      <c r="E164" t="s">
        <v>812</v>
      </c>
      <c r="H164" s="34">
        <v>286000</v>
      </c>
      <c r="I164" s="53"/>
    </row>
    <row r="165" spans="1:9" x14ac:dyDescent="0.3">
      <c r="A165" t="str">
        <f t="shared" si="2"/>
        <v>6Bradford</v>
      </c>
      <c r="B165">
        <v>6</v>
      </c>
      <c r="C165" t="s">
        <v>89</v>
      </c>
      <c r="D165" t="s">
        <v>1385</v>
      </c>
      <c r="E165" t="s">
        <v>1106</v>
      </c>
      <c r="F165" t="s">
        <v>7628</v>
      </c>
      <c r="H165" s="34">
        <v>350000</v>
      </c>
      <c r="I165" s="53"/>
    </row>
    <row r="166" spans="1:9" x14ac:dyDescent="0.3">
      <c r="A166" t="str">
        <f t="shared" si="2"/>
        <v>7Bradford</v>
      </c>
      <c r="B166">
        <v>7</v>
      </c>
      <c r="C166" t="s">
        <v>89</v>
      </c>
      <c r="D166" t="s">
        <v>2087</v>
      </c>
      <c r="E166" t="s">
        <v>1113</v>
      </c>
      <c r="F166" t="s">
        <v>7629</v>
      </c>
      <c r="H166" s="34">
        <v>61750</v>
      </c>
      <c r="I166" s="53"/>
    </row>
    <row r="167" spans="1:9" x14ac:dyDescent="0.3">
      <c r="A167" t="str">
        <f t="shared" si="2"/>
        <v>1Brent</v>
      </c>
      <c r="B167">
        <v>1</v>
      </c>
      <c r="C167" t="s">
        <v>91</v>
      </c>
      <c r="D167" t="s">
        <v>7789</v>
      </c>
      <c r="E167" t="s">
        <v>842</v>
      </c>
      <c r="F167" t="s">
        <v>7636</v>
      </c>
      <c r="H167" s="34">
        <v>500000</v>
      </c>
      <c r="I167" s="53"/>
    </row>
    <row r="168" spans="1:9" x14ac:dyDescent="0.3">
      <c r="A168" t="str">
        <f t="shared" si="2"/>
        <v>2Brent</v>
      </c>
      <c r="B168">
        <v>2</v>
      </c>
      <c r="C168" t="s">
        <v>91</v>
      </c>
      <c r="D168" t="s">
        <v>7790</v>
      </c>
      <c r="E168" t="s">
        <v>7657</v>
      </c>
      <c r="F168" t="s">
        <v>7632</v>
      </c>
      <c r="H168" s="34">
        <v>120000</v>
      </c>
      <c r="I168" s="53"/>
    </row>
    <row r="169" spans="1:9" x14ac:dyDescent="0.3">
      <c r="A169" t="str">
        <f t="shared" si="2"/>
        <v>3Brent</v>
      </c>
      <c r="B169">
        <v>3</v>
      </c>
      <c r="C169" t="s">
        <v>91</v>
      </c>
      <c r="D169" t="s">
        <v>7791</v>
      </c>
      <c r="E169" t="s">
        <v>7657</v>
      </c>
      <c r="F169" t="s">
        <v>7632</v>
      </c>
      <c r="H169" s="34">
        <v>32500</v>
      </c>
      <c r="I169" s="53"/>
    </row>
    <row r="170" spans="1:9" x14ac:dyDescent="0.3">
      <c r="A170" t="str">
        <f t="shared" si="2"/>
        <v>4Brent</v>
      </c>
      <c r="B170">
        <v>4</v>
      </c>
      <c r="C170" t="s">
        <v>91</v>
      </c>
      <c r="D170" t="s">
        <v>7792</v>
      </c>
      <c r="E170" t="s">
        <v>842</v>
      </c>
      <c r="F170" t="s">
        <v>7636</v>
      </c>
      <c r="H170" s="34">
        <v>329520</v>
      </c>
      <c r="I170" s="53"/>
    </row>
    <row r="171" spans="1:9" x14ac:dyDescent="0.3">
      <c r="A171" t="str">
        <f t="shared" si="2"/>
        <v>5Brent</v>
      </c>
      <c r="B171">
        <v>5</v>
      </c>
      <c r="C171" t="s">
        <v>91</v>
      </c>
      <c r="D171" t="s">
        <v>7793</v>
      </c>
      <c r="E171" t="s">
        <v>7657</v>
      </c>
      <c r="F171" t="s">
        <v>7632</v>
      </c>
      <c r="H171" s="34">
        <v>59940</v>
      </c>
      <c r="I171" s="53"/>
    </row>
    <row r="172" spans="1:9" x14ac:dyDescent="0.3">
      <c r="A172" t="str">
        <f t="shared" si="2"/>
        <v>6Brent</v>
      </c>
      <c r="B172">
        <v>6</v>
      </c>
      <c r="C172" t="s">
        <v>91</v>
      </c>
      <c r="D172" t="s">
        <v>7794</v>
      </c>
      <c r="E172" t="s">
        <v>7657</v>
      </c>
      <c r="F172" t="s">
        <v>7632</v>
      </c>
      <c r="H172" s="34">
        <v>130000</v>
      </c>
      <c r="I172" s="53"/>
    </row>
    <row r="173" spans="1:9" x14ac:dyDescent="0.3">
      <c r="A173" t="str">
        <f t="shared" si="2"/>
        <v>7Brent</v>
      </c>
      <c r="B173">
        <v>7</v>
      </c>
      <c r="C173" t="s">
        <v>91</v>
      </c>
      <c r="D173" t="s">
        <v>7795</v>
      </c>
      <c r="E173" t="s">
        <v>7657</v>
      </c>
      <c r="F173" t="s">
        <v>7632</v>
      </c>
      <c r="H173" s="34">
        <v>100000</v>
      </c>
      <c r="I173" s="53"/>
    </row>
    <row r="174" spans="1:9" x14ac:dyDescent="0.3">
      <c r="A174" t="str">
        <f t="shared" si="2"/>
        <v>8Brent</v>
      </c>
      <c r="B174">
        <v>8</v>
      </c>
      <c r="C174" t="s">
        <v>91</v>
      </c>
      <c r="D174" t="s">
        <v>7796</v>
      </c>
      <c r="E174" t="s">
        <v>7649</v>
      </c>
      <c r="F174" t="s">
        <v>7638</v>
      </c>
      <c r="H174" s="34">
        <v>619197</v>
      </c>
      <c r="I174" s="53"/>
    </row>
    <row r="175" spans="1:9" x14ac:dyDescent="0.3">
      <c r="A175" t="str">
        <f t="shared" si="2"/>
        <v>9Brent</v>
      </c>
      <c r="B175">
        <v>9</v>
      </c>
      <c r="C175" t="s">
        <v>91</v>
      </c>
      <c r="D175" t="s">
        <v>7797</v>
      </c>
      <c r="E175" t="s">
        <v>806</v>
      </c>
      <c r="F175" t="s">
        <v>7704</v>
      </c>
      <c r="H175" s="34">
        <v>14910</v>
      </c>
      <c r="I175" s="53"/>
    </row>
    <row r="176" spans="1:9" x14ac:dyDescent="0.3">
      <c r="A176" t="str">
        <f t="shared" si="2"/>
        <v>10Brent</v>
      </c>
      <c r="B176">
        <v>10</v>
      </c>
      <c r="C176" t="s">
        <v>91</v>
      </c>
      <c r="D176" t="s">
        <v>7798</v>
      </c>
      <c r="E176" t="s">
        <v>806</v>
      </c>
      <c r="F176" t="s">
        <v>812</v>
      </c>
      <c r="H176" s="34">
        <v>100000</v>
      </c>
      <c r="I176" s="53"/>
    </row>
    <row r="177" spans="1:9" x14ac:dyDescent="0.3">
      <c r="A177" t="str">
        <f t="shared" si="2"/>
        <v>11Brent</v>
      </c>
      <c r="B177">
        <v>11</v>
      </c>
      <c r="C177" t="s">
        <v>91</v>
      </c>
      <c r="D177" t="s">
        <v>7799</v>
      </c>
      <c r="E177" t="s">
        <v>1113</v>
      </c>
      <c r="F177" t="s">
        <v>7632</v>
      </c>
      <c r="H177" s="34">
        <v>166320</v>
      </c>
      <c r="I177" s="53"/>
    </row>
    <row r="178" spans="1:9" x14ac:dyDescent="0.3">
      <c r="A178" t="str">
        <f t="shared" si="2"/>
        <v>12Brent</v>
      </c>
      <c r="B178">
        <v>12</v>
      </c>
      <c r="C178" t="s">
        <v>91</v>
      </c>
      <c r="D178" t="s">
        <v>7800</v>
      </c>
      <c r="E178" t="s">
        <v>842</v>
      </c>
      <c r="F178" t="s">
        <v>7636</v>
      </c>
      <c r="H178" s="34">
        <v>100800</v>
      </c>
      <c r="I178" s="53"/>
    </row>
    <row r="179" spans="1:9" x14ac:dyDescent="0.3">
      <c r="A179" t="str">
        <f t="shared" si="2"/>
        <v>1Brighton and Hove</v>
      </c>
      <c r="B179">
        <v>1</v>
      </c>
      <c r="C179" t="s">
        <v>93</v>
      </c>
      <c r="D179" t="s">
        <v>7801</v>
      </c>
      <c r="E179" t="s">
        <v>806</v>
      </c>
      <c r="F179" t="s">
        <v>812</v>
      </c>
      <c r="H179" s="34">
        <v>100000</v>
      </c>
      <c r="I179" s="53"/>
    </row>
    <row r="180" spans="1:9" x14ac:dyDescent="0.3">
      <c r="A180" t="str">
        <f t="shared" si="2"/>
        <v>2Brighton and Hove</v>
      </c>
      <c r="B180">
        <v>2</v>
      </c>
      <c r="C180" t="s">
        <v>93</v>
      </c>
      <c r="D180" t="s">
        <v>7802</v>
      </c>
      <c r="E180" t="s">
        <v>812</v>
      </c>
      <c r="H180" s="34">
        <v>40000</v>
      </c>
      <c r="I180" s="53"/>
    </row>
    <row r="181" spans="1:9" x14ac:dyDescent="0.3">
      <c r="A181" t="str">
        <f t="shared" si="2"/>
        <v>3Brighton and Hove</v>
      </c>
      <c r="B181">
        <v>3</v>
      </c>
      <c r="C181" t="s">
        <v>93</v>
      </c>
      <c r="D181" t="s">
        <v>7803</v>
      </c>
      <c r="E181" t="s">
        <v>806</v>
      </c>
      <c r="F181" t="s">
        <v>807</v>
      </c>
      <c r="H181" s="34">
        <v>48000</v>
      </c>
      <c r="I181" s="53"/>
    </row>
    <row r="182" spans="1:9" x14ac:dyDescent="0.3">
      <c r="A182" t="str">
        <f t="shared" si="2"/>
        <v>4Brighton and Hove</v>
      </c>
      <c r="B182">
        <v>4</v>
      </c>
      <c r="C182" t="s">
        <v>93</v>
      </c>
      <c r="D182" t="s">
        <v>7804</v>
      </c>
      <c r="E182" t="s">
        <v>1106</v>
      </c>
      <c r="F182" t="s">
        <v>7628</v>
      </c>
      <c r="H182" s="34">
        <v>50000</v>
      </c>
      <c r="I182" s="53"/>
    </row>
    <row r="183" spans="1:9" x14ac:dyDescent="0.3">
      <c r="A183" t="str">
        <f t="shared" si="2"/>
        <v>5Brighton and Hove</v>
      </c>
      <c r="B183">
        <v>5</v>
      </c>
      <c r="C183" t="s">
        <v>93</v>
      </c>
      <c r="D183" t="s">
        <v>7805</v>
      </c>
      <c r="E183" t="s">
        <v>806</v>
      </c>
      <c r="F183" t="s">
        <v>807</v>
      </c>
      <c r="H183" s="34">
        <v>264000</v>
      </c>
      <c r="I183" s="53"/>
    </row>
    <row r="184" spans="1:9" x14ac:dyDescent="0.3">
      <c r="A184" t="str">
        <f t="shared" si="2"/>
        <v>6Brighton and Hove</v>
      </c>
      <c r="B184">
        <v>6</v>
      </c>
      <c r="C184" t="s">
        <v>93</v>
      </c>
      <c r="D184" t="s">
        <v>7806</v>
      </c>
      <c r="E184" t="s">
        <v>800</v>
      </c>
      <c r="F184" t="s">
        <v>2108</v>
      </c>
      <c r="H184" s="34">
        <v>50000</v>
      </c>
      <c r="I184" s="53"/>
    </row>
    <row r="185" spans="1:9" x14ac:dyDescent="0.3">
      <c r="A185" t="str">
        <f t="shared" si="2"/>
        <v>7Brighton and Hove</v>
      </c>
      <c r="B185">
        <v>7</v>
      </c>
      <c r="C185" t="s">
        <v>93</v>
      </c>
      <c r="D185" t="s">
        <v>7807</v>
      </c>
      <c r="E185" t="s">
        <v>812</v>
      </c>
      <c r="H185" s="34">
        <v>173866</v>
      </c>
      <c r="I185" s="53"/>
    </row>
    <row r="186" spans="1:9" x14ac:dyDescent="0.3">
      <c r="A186" t="str">
        <f t="shared" si="2"/>
        <v>8Brighton and Hove</v>
      </c>
      <c r="B186">
        <v>8</v>
      </c>
      <c r="C186" t="s">
        <v>93</v>
      </c>
      <c r="D186" t="s">
        <v>7808</v>
      </c>
      <c r="E186" t="s">
        <v>1106</v>
      </c>
      <c r="F186" t="s">
        <v>7628</v>
      </c>
      <c r="H186" s="34">
        <v>118000</v>
      </c>
      <c r="I186" s="53"/>
    </row>
    <row r="187" spans="1:9" x14ac:dyDescent="0.3">
      <c r="A187" t="str">
        <f t="shared" si="2"/>
        <v>9Brighton and Hove</v>
      </c>
      <c r="B187">
        <v>9</v>
      </c>
      <c r="C187" t="s">
        <v>93</v>
      </c>
      <c r="D187" t="s">
        <v>7809</v>
      </c>
      <c r="E187" t="s">
        <v>842</v>
      </c>
      <c r="F187" t="s">
        <v>7636</v>
      </c>
      <c r="H187" s="34">
        <v>54900</v>
      </c>
      <c r="I187" s="53"/>
    </row>
    <row r="188" spans="1:9" x14ac:dyDescent="0.3">
      <c r="A188" t="str">
        <f t="shared" si="2"/>
        <v>10Brighton and Hove</v>
      </c>
      <c r="B188">
        <v>10</v>
      </c>
      <c r="C188" t="s">
        <v>93</v>
      </c>
      <c r="D188" t="s">
        <v>7810</v>
      </c>
      <c r="E188" t="s">
        <v>842</v>
      </c>
      <c r="F188" t="s">
        <v>7636</v>
      </c>
      <c r="H188" s="34">
        <v>166664</v>
      </c>
      <c r="I188" s="53"/>
    </row>
    <row r="189" spans="1:9" x14ac:dyDescent="0.3">
      <c r="A189" t="str">
        <f t="shared" si="2"/>
        <v>11Brighton and Hove</v>
      </c>
      <c r="B189">
        <v>11</v>
      </c>
      <c r="C189" t="s">
        <v>93</v>
      </c>
      <c r="D189" t="s">
        <v>7811</v>
      </c>
      <c r="E189" t="s">
        <v>842</v>
      </c>
      <c r="F189" t="s">
        <v>812</v>
      </c>
      <c r="H189" s="34">
        <v>10000</v>
      </c>
      <c r="I189" s="53"/>
    </row>
    <row r="190" spans="1:9" x14ac:dyDescent="0.3">
      <c r="A190" t="str">
        <f t="shared" si="2"/>
        <v>12Brighton and Hove</v>
      </c>
      <c r="B190">
        <v>12</v>
      </c>
      <c r="C190" t="s">
        <v>93</v>
      </c>
      <c r="D190" t="s">
        <v>7812</v>
      </c>
      <c r="E190" t="s">
        <v>7649</v>
      </c>
      <c r="F190" t="s">
        <v>7638</v>
      </c>
      <c r="H190" s="34">
        <v>400000</v>
      </c>
      <c r="I190" s="53"/>
    </row>
    <row r="191" spans="1:9" x14ac:dyDescent="0.3">
      <c r="A191" t="str">
        <f t="shared" si="2"/>
        <v>13Brighton and Hove</v>
      </c>
      <c r="B191">
        <v>13</v>
      </c>
      <c r="C191" t="s">
        <v>93</v>
      </c>
      <c r="D191" t="s">
        <v>7813</v>
      </c>
      <c r="E191" t="s">
        <v>812</v>
      </c>
      <c r="H191" s="34">
        <v>12000</v>
      </c>
      <c r="I191" s="53"/>
    </row>
    <row r="192" spans="1:9" x14ac:dyDescent="0.3">
      <c r="A192" t="str">
        <f t="shared" si="2"/>
        <v>14Brighton and Hove</v>
      </c>
      <c r="B192">
        <v>14</v>
      </c>
      <c r="C192" t="s">
        <v>93</v>
      </c>
      <c r="D192" t="s">
        <v>7814</v>
      </c>
      <c r="E192" t="s">
        <v>1106</v>
      </c>
      <c r="F192" t="s">
        <v>7628</v>
      </c>
      <c r="H192" s="34">
        <v>419870.24</v>
      </c>
      <c r="I192" s="53"/>
    </row>
    <row r="193" spans="1:9" x14ac:dyDescent="0.3">
      <c r="A193" t="str">
        <f t="shared" si="2"/>
        <v>15Brighton and Hove</v>
      </c>
      <c r="B193">
        <v>15</v>
      </c>
      <c r="C193" t="s">
        <v>93</v>
      </c>
      <c r="D193" t="s">
        <v>7815</v>
      </c>
      <c r="E193" t="s">
        <v>812</v>
      </c>
      <c r="H193" s="34">
        <v>140000</v>
      </c>
      <c r="I193" s="53"/>
    </row>
    <row r="194" spans="1:9" x14ac:dyDescent="0.3">
      <c r="A194" t="str">
        <f t="shared" ref="A194:A257" si="3">B194&amp;C194</f>
        <v>16Brighton and Hove</v>
      </c>
      <c r="B194">
        <v>16</v>
      </c>
      <c r="C194" t="s">
        <v>93</v>
      </c>
      <c r="D194" t="s">
        <v>7816</v>
      </c>
      <c r="E194" t="s">
        <v>1106</v>
      </c>
      <c r="F194" t="s">
        <v>7628</v>
      </c>
      <c r="H194" s="34">
        <v>130620</v>
      </c>
      <c r="I194" s="53"/>
    </row>
    <row r="195" spans="1:9" x14ac:dyDescent="0.3">
      <c r="A195" t="str">
        <f t="shared" si="3"/>
        <v>17Brighton and Hove</v>
      </c>
      <c r="B195">
        <v>17</v>
      </c>
      <c r="C195" t="s">
        <v>93</v>
      </c>
      <c r="D195" t="s">
        <v>7817</v>
      </c>
      <c r="E195" t="s">
        <v>812</v>
      </c>
      <c r="H195" s="34">
        <v>15000</v>
      </c>
      <c r="I195" s="53"/>
    </row>
    <row r="196" spans="1:9" x14ac:dyDescent="0.3">
      <c r="A196" t="str">
        <f t="shared" si="3"/>
        <v>18Brighton and Hove</v>
      </c>
      <c r="B196">
        <v>18</v>
      </c>
      <c r="C196" t="s">
        <v>93</v>
      </c>
      <c r="D196" t="s">
        <v>7818</v>
      </c>
      <c r="E196" t="s">
        <v>1106</v>
      </c>
      <c r="F196" t="s">
        <v>7628</v>
      </c>
      <c r="H196" s="34">
        <v>13200</v>
      </c>
      <c r="I196" s="53"/>
    </row>
    <row r="197" spans="1:9" x14ac:dyDescent="0.3">
      <c r="A197" t="str">
        <f t="shared" si="3"/>
        <v>19Brighton and Hove</v>
      </c>
      <c r="B197">
        <v>19</v>
      </c>
      <c r="C197" t="s">
        <v>93</v>
      </c>
      <c r="D197" t="s">
        <v>7819</v>
      </c>
      <c r="E197" t="s">
        <v>800</v>
      </c>
      <c r="F197" t="s">
        <v>812</v>
      </c>
      <c r="H197" s="34">
        <v>25000</v>
      </c>
      <c r="I197" s="53"/>
    </row>
    <row r="198" spans="1:9" x14ac:dyDescent="0.3">
      <c r="A198" t="str">
        <f t="shared" si="3"/>
        <v>20Brighton and Hove</v>
      </c>
      <c r="B198">
        <v>20</v>
      </c>
      <c r="C198" t="s">
        <v>93</v>
      </c>
      <c r="D198" t="s">
        <v>7820</v>
      </c>
      <c r="E198" t="s">
        <v>7658</v>
      </c>
      <c r="H198" s="34">
        <v>50000</v>
      </c>
      <c r="I198" s="53"/>
    </row>
    <row r="199" spans="1:9" x14ac:dyDescent="0.3">
      <c r="A199" t="str">
        <f t="shared" si="3"/>
        <v>21Brighton and Hove</v>
      </c>
      <c r="B199">
        <v>21</v>
      </c>
      <c r="C199" t="s">
        <v>93</v>
      </c>
      <c r="D199" t="s">
        <v>7821</v>
      </c>
      <c r="E199" t="s">
        <v>842</v>
      </c>
      <c r="F199" t="s">
        <v>7636</v>
      </c>
      <c r="H199" s="34">
        <v>160000</v>
      </c>
      <c r="I199" s="53"/>
    </row>
    <row r="200" spans="1:9" x14ac:dyDescent="0.3">
      <c r="A200" t="str">
        <f t="shared" si="3"/>
        <v>22Brighton and Hove</v>
      </c>
      <c r="B200">
        <v>22</v>
      </c>
      <c r="C200" t="s">
        <v>93</v>
      </c>
      <c r="D200" t="s">
        <v>7822</v>
      </c>
      <c r="E200" t="s">
        <v>812</v>
      </c>
      <c r="H200" s="34">
        <v>80000</v>
      </c>
      <c r="I200" s="53"/>
    </row>
    <row r="201" spans="1:9" x14ac:dyDescent="0.3">
      <c r="A201" t="str">
        <f t="shared" si="3"/>
        <v>23Brighton and Hove</v>
      </c>
      <c r="B201">
        <v>23</v>
      </c>
      <c r="C201" t="s">
        <v>93</v>
      </c>
      <c r="D201" t="s">
        <v>7823</v>
      </c>
      <c r="E201" t="s">
        <v>812</v>
      </c>
      <c r="H201" s="34">
        <v>60000</v>
      </c>
      <c r="I201" s="53"/>
    </row>
    <row r="202" spans="1:9" x14ac:dyDescent="0.3">
      <c r="A202" t="str">
        <f t="shared" si="3"/>
        <v>24Brighton and Hove</v>
      </c>
      <c r="B202">
        <v>24</v>
      </c>
      <c r="C202" t="s">
        <v>93</v>
      </c>
      <c r="D202" t="s">
        <v>7824</v>
      </c>
      <c r="E202" t="s">
        <v>812</v>
      </c>
      <c r="H202" s="34">
        <v>50000</v>
      </c>
      <c r="I202" s="53"/>
    </row>
    <row r="203" spans="1:9" x14ac:dyDescent="0.3">
      <c r="A203" t="str">
        <f t="shared" si="3"/>
        <v>1Bristol, City of</v>
      </c>
      <c r="B203">
        <v>1</v>
      </c>
      <c r="C203" t="s">
        <v>95</v>
      </c>
      <c r="D203" t="s">
        <v>7825</v>
      </c>
      <c r="E203" t="s">
        <v>842</v>
      </c>
      <c r="F203" t="s">
        <v>812</v>
      </c>
      <c r="H203" s="34">
        <v>27500</v>
      </c>
      <c r="I203" s="53"/>
    </row>
    <row r="204" spans="1:9" x14ac:dyDescent="0.3">
      <c r="A204" t="str">
        <f t="shared" si="3"/>
        <v>2Bristol, City of</v>
      </c>
      <c r="B204">
        <v>2</v>
      </c>
      <c r="C204" t="s">
        <v>95</v>
      </c>
      <c r="D204" t="s">
        <v>7826</v>
      </c>
      <c r="E204" t="s">
        <v>7657</v>
      </c>
      <c r="F204" t="s">
        <v>7644</v>
      </c>
      <c r="H204" s="34">
        <v>290000</v>
      </c>
      <c r="I204" s="53"/>
    </row>
    <row r="205" spans="1:9" x14ac:dyDescent="0.3">
      <c r="A205" t="str">
        <f t="shared" si="3"/>
        <v>3Bristol, City of</v>
      </c>
      <c r="B205">
        <v>3</v>
      </c>
      <c r="C205" t="s">
        <v>95</v>
      </c>
      <c r="D205" t="s">
        <v>7827</v>
      </c>
      <c r="E205" t="s">
        <v>812</v>
      </c>
      <c r="H205" s="34">
        <v>7500</v>
      </c>
      <c r="I205" s="53"/>
    </row>
    <row r="206" spans="1:9" x14ac:dyDescent="0.3">
      <c r="A206" t="str">
        <f t="shared" si="3"/>
        <v>4Bristol, City of</v>
      </c>
      <c r="B206">
        <v>4</v>
      </c>
      <c r="C206" t="s">
        <v>95</v>
      </c>
      <c r="D206" t="s">
        <v>7828</v>
      </c>
      <c r="E206" t="s">
        <v>5266</v>
      </c>
      <c r="F206" t="s">
        <v>7646</v>
      </c>
      <c r="H206" s="34">
        <v>60000</v>
      </c>
      <c r="I206" s="53"/>
    </row>
    <row r="207" spans="1:9" x14ac:dyDescent="0.3">
      <c r="A207" t="str">
        <f t="shared" si="3"/>
        <v>5Bristol, City of</v>
      </c>
      <c r="B207">
        <v>5</v>
      </c>
      <c r="C207" t="s">
        <v>95</v>
      </c>
      <c r="D207" t="s">
        <v>7829</v>
      </c>
      <c r="E207" t="s">
        <v>1106</v>
      </c>
      <c r="F207" t="s">
        <v>7628</v>
      </c>
      <c r="H207" s="34">
        <v>82800</v>
      </c>
      <c r="I207" s="53"/>
    </row>
    <row r="208" spans="1:9" x14ac:dyDescent="0.3">
      <c r="A208" t="str">
        <f t="shared" si="3"/>
        <v>6Bristol, City of</v>
      </c>
      <c r="B208">
        <v>6</v>
      </c>
      <c r="C208" t="s">
        <v>95</v>
      </c>
      <c r="D208" t="s">
        <v>7830</v>
      </c>
      <c r="E208" t="s">
        <v>7649</v>
      </c>
      <c r="F208" t="s">
        <v>7638</v>
      </c>
      <c r="H208" s="34">
        <v>10000</v>
      </c>
      <c r="I208" s="53"/>
    </row>
    <row r="209" spans="1:9" x14ac:dyDescent="0.3">
      <c r="A209" t="str">
        <f t="shared" si="3"/>
        <v>7Bristol, City of</v>
      </c>
      <c r="B209">
        <v>7</v>
      </c>
      <c r="C209" t="s">
        <v>95</v>
      </c>
      <c r="D209" t="s">
        <v>7831</v>
      </c>
      <c r="E209" t="s">
        <v>842</v>
      </c>
      <c r="F209" t="s">
        <v>843</v>
      </c>
      <c r="H209" s="34">
        <v>80000</v>
      </c>
      <c r="I209" s="53"/>
    </row>
    <row r="210" spans="1:9" x14ac:dyDescent="0.3">
      <c r="A210" t="str">
        <f t="shared" si="3"/>
        <v>8Bristol, City of</v>
      </c>
      <c r="B210">
        <v>8</v>
      </c>
      <c r="C210" t="s">
        <v>95</v>
      </c>
      <c r="D210" t="s">
        <v>7832</v>
      </c>
      <c r="E210" t="s">
        <v>7649</v>
      </c>
      <c r="F210" t="s">
        <v>7638</v>
      </c>
      <c r="H210" s="34">
        <v>43950</v>
      </c>
      <c r="I210" s="53"/>
    </row>
    <row r="211" spans="1:9" x14ac:dyDescent="0.3">
      <c r="A211" t="str">
        <f t="shared" si="3"/>
        <v>9Bristol, City of</v>
      </c>
      <c r="B211">
        <v>9</v>
      </c>
      <c r="C211" t="s">
        <v>95</v>
      </c>
      <c r="D211" t="s">
        <v>5592</v>
      </c>
      <c r="E211" t="s">
        <v>842</v>
      </c>
      <c r="F211" t="s">
        <v>843</v>
      </c>
      <c r="H211" s="34">
        <v>100000</v>
      </c>
      <c r="I211" s="53"/>
    </row>
    <row r="212" spans="1:9" x14ac:dyDescent="0.3">
      <c r="A212" t="str">
        <f t="shared" si="3"/>
        <v>10Bristol, City of</v>
      </c>
      <c r="B212">
        <v>10</v>
      </c>
      <c r="C212" t="s">
        <v>95</v>
      </c>
      <c r="D212" t="s">
        <v>5592</v>
      </c>
      <c r="E212" t="s">
        <v>842</v>
      </c>
      <c r="F212" t="s">
        <v>7636</v>
      </c>
      <c r="H212" s="34">
        <v>60000</v>
      </c>
      <c r="I212" s="53"/>
    </row>
    <row r="213" spans="1:9" x14ac:dyDescent="0.3">
      <c r="A213" t="str">
        <f t="shared" si="3"/>
        <v>11Bristol, City of</v>
      </c>
      <c r="B213">
        <v>11</v>
      </c>
      <c r="C213" t="s">
        <v>95</v>
      </c>
      <c r="D213" t="s">
        <v>5592</v>
      </c>
      <c r="E213" t="s">
        <v>842</v>
      </c>
      <c r="F213" t="s">
        <v>1594</v>
      </c>
      <c r="H213" s="34">
        <v>1200000</v>
      </c>
      <c r="I213" s="53"/>
    </row>
    <row r="214" spans="1:9" x14ac:dyDescent="0.3">
      <c r="A214" t="str">
        <f t="shared" si="3"/>
        <v>12Bristol, City of</v>
      </c>
      <c r="B214">
        <v>12</v>
      </c>
      <c r="C214" t="s">
        <v>95</v>
      </c>
      <c r="D214" t="s">
        <v>5592</v>
      </c>
      <c r="E214" t="s">
        <v>1113</v>
      </c>
      <c r="F214" t="s">
        <v>7629</v>
      </c>
      <c r="H214" s="34">
        <v>300000</v>
      </c>
      <c r="I214" s="53"/>
    </row>
    <row r="215" spans="1:9" x14ac:dyDescent="0.3">
      <c r="A215" t="str">
        <f t="shared" si="3"/>
        <v>13Bristol, City of</v>
      </c>
      <c r="B215">
        <v>13</v>
      </c>
      <c r="C215" t="s">
        <v>95</v>
      </c>
      <c r="D215" t="s">
        <v>7833</v>
      </c>
      <c r="E215" t="s">
        <v>7649</v>
      </c>
      <c r="F215" t="s">
        <v>7638</v>
      </c>
      <c r="H215" s="34">
        <v>10725</v>
      </c>
      <c r="I215" s="53"/>
    </row>
    <row r="216" spans="1:9" x14ac:dyDescent="0.3">
      <c r="A216" t="str">
        <f t="shared" si="3"/>
        <v>14Bristol, City of</v>
      </c>
      <c r="B216">
        <v>14</v>
      </c>
      <c r="C216" t="s">
        <v>95</v>
      </c>
      <c r="D216" t="s">
        <v>7834</v>
      </c>
      <c r="E216" t="s">
        <v>806</v>
      </c>
      <c r="F216" t="s">
        <v>917</v>
      </c>
      <c r="H216" s="34">
        <v>160000</v>
      </c>
      <c r="I216" s="53"/>
    </row>
    <row r="217" spans="1:9" x14ac:dyDescent="0.3">
      <c r="A217" t="str">
        <f t="shared" si="3"/>
        <v>15Bristol, City of</v>
      </c>
      <c r="B217">
        <v>15</v>
      </c>
      <c r="C217" t="s">
        <v>95</v>
      </c>
      <c r="D217" t="s">
        <v>7835</v>
      </c>
      <c r="E217" t="s">
        <v>7660</v>
      </c>
      <c r="H217" s="34">
        <v>42000</v>
      </c>
      <c r="I217" s="53"/>
    </row>
    <row r="218" spans="1:9" x14ac:dyDescent="0.3">
      <c r="A218" t="str">
        <f t="shared" si="3"/>
        <v>16Bristol, City of</v>
      </c>
      <c r="B218">
        <v>16</v>
      </c>
      <c r="C218" t="s">
        <v>95</v>
      </c>
      <c r="D218" t="s">
        <v>7836</v>
      </c>
      <c r="E218" t="s">
        <v>7657</v>
      </c>
      <c r="F218" t="s">
        <v>7644</v>
      </c>
      <c r="H218" s="34">
        <v>60000</v>
      </c>
      <c r="I218" s="53"/>
    </row>
    <row r="219" spans="1:9" x14ac:dyDescent="0.3">
      <c r="A219" t="str">
        <f t="shared" si="3"/>
        <v>17Bristol, City of</v>
      </c>
      <c r="B219">
        <v>17</v>
      </c>
      <c r="C219" t="s">
        <v>95</v>
      </c>
      <c r="D219" t="s">
        <v>7837</v>
      </c>
      <c r="E219" t="s">
        <v>1106</v>
      </c>
      <c r="F219" t="s">
        <v>7628</v>
      </c>
      <c r="H219" s="34">
        <v>100000</v>
      </c>
      <c r="I219" s="53"/>
    </row>
    <row r="220" spans="1:9" x14ac:dyDescent="0.3">
      <c r="A220" t="str">
        <f t="shared" si="3"/>
        <v>18Bristol, City of</v>
      </c>
      <c r="B220">
        <v>18</v>
      </c>
      <c r="C220" t="s">
        <v>95</v>
      </c>
      <c r="D220" t="s">
        <v>7838</v>
      </c>
      <c r="E220" t="s">
        <v>1113</v>
      </c>
      <c r="F220" t="s">
        <v>7629</v>
      </c>
      <c r="H220" s="34">
        <v>110981</v>
      </c>
      <c r="I220" s="53"/>
    </row>
    <row r="221" spans="1:9" x14ac:dyDescent="0.3">
      <c r="A221" t="str">
        <f t="shared" si="3"/>
        <v>19Bristol, City of</v>
      </c>
      <c r="B221">
        <v>19</v>
      </c>
      <c r="C221" t="s">
        <v>95</v>
      </c>
      <c r="D221" t="s">
        <v>4637</v>
      </c>
      <c r="E221" t="s">
        <v>7658</v>
      </c>
      <c r="H221" s="34">
        <v>30000</v>
      </c>
      <c r="I221" s="53"/>
    </row>
    <row r="222" spans="1:9" x14ac:dyDescent="0.3">
      <c r="A222" t="str">
        <f t="shared" si="3"/>
        <v>20Bristol, City of</v>
      </c>
      <c r="B222">
        <v>20</v>
      </c>
      <c r="C222" t="s">
        <v>95</v>
      </c>
      <c r="D222" t="s">
        <v>7839</v>
      </c>
      <c r="E222" t="s">
        <v>1106</v>
      </c>
      <c r="F222" t="s">
        <v>7628</v>
      </c>
      <c r="H222" s="34">
        <v>508000</v>
      </c>
      <c r="I222" s="53"/>
    </row>
    <row r="223" spans="1:9" x14ac:dyDescent="0.3">
      <c r="A223" t="str">
        <f t="shared" si="3"/>
        <v>21Bristol, City of</v>
      </c>
      <c r="B223">
        <v>21</v>
      </c>
      <c r="C223" t="s">
        <v>95</v>
      </c>
      <c r="D223" t="s">
        <v>7840</v>
      </c>
      <c r="E223" t="s">
        <v>7658</v>
      </c>
      <c r="H223" s="34">
        <v>7500</v>
      </c>
      <c r="I223" s="53"/>
    </row>
    <row r="224" spans="1:9" x14ac:dyDescent="0.3">
      <c r="A224" t="str">
        <f t="shared" si="3"/>
        <v>22Bristol, City of</v>
      </c>
      <c r="B224">
        <v>22</v>
      </c>
      <c r="C224" t="s">
        <v>95</v>
      </c>
      <c r="D224" t="s">
        <v>7841</v>
      </c>
      <c r="E224" t="s">
        <v>7657</v>
      </c>
      <c r="F224" t="s">
        <v>7632</v>
      </c>
      <c r="H224" s="34">
        <v>29500</v>
      </c>
      <c r="I224" s="53"/>
    </row>
    <row r="225" spans="1:9" x14ac:dyDescent="0.3">
      <c r="A225" t="str">
        <f t="shared" si="3"/>
        <v>23Bristol, City of</v>
      </c>
      <c r="B225">
        <v>23</v>
      </c>
      <c r="C225" t="s">
        <v>95</v>
      </c>
      <c r="D225" t="s">
        <v>7842</v>
      </c>
      <c r="E225" t="s">
        <v>842</v>
      </c>
      <c r="F225" t="s">
        <v>7636</v>
      </c>
      <c r="H225" s="34">
        <v>10000</v>
      </c>
      <c r="I225" s="53"/>
    </row>
    <row r="226" spans="1:9" x14ac:dyDescent="0.3">
      <c r="A226" t="str">
        <f t="shared" si="3"/>
        <v>24Bristol, City of</v>
      </c>
      <c r="B226">
        <v>24</v>
      </c>
      <c r="C226" t="s">
        <v>95</v>
      </c>
      <c r="D226" t="s">
        <v>7843</v>
      </c>
      <c r="E226" t="s">
        <v>1113</v>
      </c>
      <c r="F226" t="s">
        <v>7637</v>
      </c>
      <c r="H226" s="34">
        <v>95436</v>
      </c>
      <c r="I226" s="53"/>
    </row>
    <row r="227" spans="1:9" x14ac:dyDescent="0.3">
      <c r="A227" t="str">
        <f t="shared" si="3"/>
        <v>25Bristol, City of</v>
      </c>
      <c r="B227">
        <v>25</v>
      </c>
      <c r="C227" t="s">
        <v>95</v>
      </c>
      <c r="D227" t="s">
        <v>7844</v>
      </c>
      <c r="E227" t="s">
        <v>806</v>
      </c>
      <c r="F227" t="s">
        <v>917</v>
      </c>
      <c r="H227" s="34">
        <v>50000</v>
      </c>
      <c r="I227" s="53"/>
    </row>
    <row r="228" spans="1:9" x14ac:dyDescent="0.3">
      <c r="A228" t="str">
        <f t="shared" si="3"/>
        <v>26Bristol, City of</v>
      </c>
      <c r="B228">
        <v>26</v>
      </c>
      <c r="C228" t="s">
        <v>95</v>
      </c>
      <c r="D228" t="s">
        <v>7844</v>
      </c>
      <c r="E228" t="s">
        <v>806</v>
      </c>
      <c r="H228" s="34">
        <v>50000</v>
      </c>
      <c r="I228" s="53"/>
    </row>
    <row r="229" spans="1:9" x14ac:dyDescent="0.3">
      <c r="A229" t="str">
        <f t="shared" si="3"/>
        <v>27Bristol, City of</v>
      </c>
      <c r="B229">
        <v>27</v>
      </c>
      <c r="C229" t="s">
        <v>95</v>
      </c>
      <c r="D229" t="s">
        <v>7845</v>
      </c>
      <c r="E229" t="s">
        <v>1113</v>
      </c>
      <c r="F229" t="s">
        <v>7629</v>
      </c>
      <c r="H229" s="34">
        <v>1250000</v>
      </c>
      <c r="I229" s="53"/>
    </row>
    <row r="230" spans="1:9" x14ac:dyDescent="0.3">
      <c r="A230" t="str">
        <f t="shared" si="3"/>
        <v>28Bristol, City of</v>
      </c>
      <c r="B230">
        <v>28</v>
      </c>
      <c r="C230" t="s">
        <v>95</v>
      </c>
      <c r="D230" t="s">
        <v>7846</v>
      </c>
      <c r="E230" t="s">
        <v>1106</v>
      </c>
      <c r="F230" t="s">
        <v>7628</v>
      </c>
      <c r="H230" s="34">
        <v>14400</v>
      </c>
      <c r="I230" s="53"/>
    </row>
    <row r="231" spans="1:9" x14ac:dyDescent="0.3">
      <c r="A231" t="str">
        <f t="shared" si="3"/>
        <v>29Bristol, City of</v>
      </c>
      <c r="B231">
        <v>29</v>
      </c>
      <c r="C231" t="s">
        <v>95</v>
      </c>
      <c r="D231" t="s">
        <v>7847</v>
      </c>
      <c r="E231" t="s">
        <v>800</v>
      </c>
      <c r="F231" t="s">
        <v>903</v>
      </c>
      <c r="H231" s="34">
        <v>30000</v>
      </c>
      <c r="I231" s="53"/>
    </row>
    <row r="232" spans="1:9" x14ac:dyDescent="0.3">
      <c r="A232" t="str">
        <f t="shared" si="3"/>
        <v>30Bristol, City of</v>
      </c>
      <c r="B232">
        <v>30</v>
      </c>
      <c r="C232" t="s">
        <v>95</v>
      </c>
      <c r="D232" t="s">
        <v>7848</v>
      </c>
      <c r="E232" t="s">
        <v>800</v>
      </c>
      <c r="F232" t="s">
        <v>903</v>
      </c>
      <c r="H232" s="34">
        <v>24000</v>
      </c>
      <c r="I232" s="53"/>
    </row>
    <row r="233" spans="1:9" x14ac:dyDescent="0.3">
      <c r="A233" t="str">
        <f t="shared" si="3"/>
        <v>31Bristol, City of</v>
      </c>
      <c r="B233">
        <v>31</v>
      </c>
      <c r="C233" t="s">
        <v>95</v>
      </c>
      <c r="D233" t="s">
        <v>7848</v>
      </c>
      <c r="E233" t="s">
        <v>800</v>
      </c>
      <c r="F233" t="s">
        <v>2108</v>
      </c>
      <c r="H233" s="34">
        <v>129400</v>
      </c>
      <c r="I233" s="53"/>
    </row>
    <row r="234" spans="1:9" x14ac:dyDescent="0.3">
      <c r="A234" t="str">
        <f t="shared" si="3"/>
        <v>32Bristol, City of</v>
      </c>
      <c r="B234">
        <v>32</v>
      </c>
      <c r="C234" t="s">
        <v>95</v>
      </c>
      <c r="D234" t="s">
        <v>7849</v>
      </c>
      <c r="E234" t="s">
        <v>842</v>
      </c>
      <c r="F234" t="s">
        <v>1594</v>
      </c>
      <c r="H234" s="34">
        <v>50000</v>
      </c>
      <c r="I234" s="53"/>
    </row>
    <row r="235" spans="1:9" x14ac:dyDescent="0.3">
      <c r="A235" t="str">
        <f t="shared" si="3"/>
        <v>33Bristol, City of</v>
      </c>
      <c r="B235">
        <v>33</v>
      </c>
      <c r="C235" t="s">
        <v>95</v>
      </c>
      <c r="D235" t="s">
        <v>7850</v>
      </c>
      <c r="E235" t="s">
        <v>7657</v>
      </c>
      <c r="F235" t="s">
        <v>7644</v>
      </c>
      <c r="H235" s="34">
        <v>75000</v>
      </c>
      <c r="I235" s="53"/>
    </row>
    <row r="236" spans="1:9" x14ac:dyDescent="0.3">
      <c r="A236" t="str">
        <f t="shared" si="3"/>
        <v>1Bromley</v>
      </c>
      <c r="B236">
        <v>1</v>
      </c>
      <c r="C236" t="s">
        <v>97</v>
      </c>
      <c r="D236" t="s">
        <v>7851</v>
      </c>
      <c r="E236" t="s">
        <v>7662</v>
      </c>
      <c r="H236" s="34">
        <v>23144</v>
      </c>
      <c r="I236" s="53"/>
    </row>
    <row r="237" spans="1:9" x14ac:dyDescent="0.3">
      <c r="A237" t="str">
        <f t="shared" si="3"/>
        <v>2Bromley</v>
      </c>
      <c r="B237">
        <v>2</v>
      </c>
      <c r="C237" t="s">
        <v>97</v>
      </c>
      <c r="D237" t="s">
        <v>7852</v>
      </c>
      <c r="E237" t="s">
        <v>812</v>
      </c>
      <c r="H237" s="34">
        <v>330000</v>
      </c>
      <c r="I237" s="53"/>
    </row>
    <row r="238" spans="1:9" x14ac:dyDescent="0.3">
      <c r="A238" t="str">
        <f t="shared" si="3"/>
        <v>3Bromley</v>
      </c>
      <c r="B238">
        <v>3</v>
      </c>
      <c r="C238" t="s">
        <v>97</v>
      </c>
      <c r="D238" t="s">
        <v>7853</v>
      </c>
      <c r="E238" t="s">
        <v>812</v>
      </c>
      <c r="H238" s="34">
        <v>93000</v>
      </c>
      <c r="I238" s="53"/>
    </row>
    <row r="239" spans="1:9" x14ac:dyDescent="0.3">
      <c r="A239" t="str">
        <f t="shared" si="3"/>
        <v>4Bromley</v>
      </c>
      <c r="B239">
        <v>4</v>
      </c>
      <c r="C239" t="s">
        <v>97</v>
      </c>
      <c r="D239" t="s">
        <v>7854</v>
      </c>
      <c r="E239" t="s">
        <v>812</v>
      </c>
      <c r="H239" s="34">
        <v>30000</v>
      </c>
      <c r="I239" s="53"/>
    </row>
    <row r="240" spans="1:9" x14ac:dyDescent="0.3">
      <c r="A240" t="str">
        <f t="shared" si="3"/>
        <v>5Bromley</v>
      </c>
      <c r="B240">
        <v>5</v>
      </c>
      <c r="C240" t="s">
        <v>97</v>
      </c>
      <c r="D240" t="s">
        <v>7855</v>
      </c>
      <c r="E240" t="s">
        <v>806</v>
      </c>
      <c r="F240" t="s">
        <v>807</v>
      </c>
      <c r="H240" s="34">
        <v>200000</v>
      </c>
      <c r="I240" s="53"/>
    </row>
    <row r="241" spans="1:9" x14ac:dyDescent="0.3">
      <c r="A241" t="str">
        <f t="shared" si="3"/>
        <v>6Bromley</v>
      </c>
      <c r="B241">
        <v>6</v>
      </c>
      <c r="C241" t="s">
        <v>97</v>
      </c>
      <c r="D241" t="s">
        <v>1051</v>
      </c>
      <c r="E241" t="s">
        <v>800</v>
      </c>
      <c r="F241" t="s">
        <v>903</v>
      </c>
      <c r="H241" s="34">
        <v>250000</v>
      </c>
      <c r="I241" s="53"/>
    </row>
    <row r="242" spans="1:9" x14ac:dyDescent="0.3">
      <c r="A242" t="str">
        <f t="shared" si="3"/>
        <v>7Bromley</v>
      </c>
      <c r="B242">
        <v>7</v>
      </c>
      <c r="C242" t="s">
        <v>97</v>
      </c>
      <c r="D242" t="s">
        <v>7856</v>
      </c>
      <c r="E242" t="s">
        <v>812</v>
      </c>
      <c r="H242" s="34">
        <v>200000</v>
      </c>
      <c r="I242" s="53"/>
    </row>
    <row r="243" spans="1:9" x14ac:dyDescent="0.3">
      <c r="A243" t="str">
        <f t="shared" si="3"/>
        <v>8Bromley</v>
      </c>
      <c r="B243">
        <v>8</v>
      </c>
      <c r="C243" t="s">
        <v>97</v>
      </c>
      <c r="D243" t="s">
        <v>7660</v>
      </c>
      <c r="E243" t="s">
        <v>7660</v>
      </c>
      <c r="H243" s="34">
        <v>103658</v>
      </c>
      <c r="I243" s="53"/>
    </row>
    <row r="244" spans="1:9" x14ac:dyDescent="0.3">
      <c r="A244" t="str">
        <f t="shared" si="3"/>
        <v>9Bromley</v>
      </c>
      <c r="B244">
        <v>9</v>
      </c>
      <c r="C244" t="s">
        <v>97</v>
      </c>
      <c r="D244" t="s">
        <v>7857</v>
      </c>
      <c r="E244" t="s">
        <v>1106</v>
      </c>
      <c r="F244" t="s">
        <v>7628</v>
      </c>
      <c r="H244" s="34">
        <v>250000</v>
      </c>
      <c r="I244" s="53"/>
    </row>
    <row r="245" spans="1:9" x14ac:dyDescent="0.3">
      <c r="A245" t="str">
        <f t="shared" si="3"/>
        <v>10Bromley</v>
      </c>
      <c r="B245">
        <v>10</v>
      </c>
      <c r="C245" t="s">
        <v>97</v>
      </c>
      <c r="D245" t="s">
        <v>7858</v>
      </c>
      <c r="E245" t="s">
        <v>842</v>
      </c>
      <c r="F245" t="s">
        <v>7636</v>
      </c>
      <c r="H245" s="34">
        <v>20000</v>
      </c>
      <c r="I245" s="53"/>
    </row>
    <row r="246" spans="1:9" x14ac:dyDescent="0.3">
      <c r="A246" t="str">
        <f t="shared" si="3"/>
        <v>11Bromley</v>
      </c>
      <c r="B246">
        <v>11</v>
      </c>
      <c r="C246" t="s">
        <v>97</v>
      </c>
      <c r="D246" t="s">
        <v>7859</v>
      </c>
      <c r="E246" t="s">
        <v>842</v>
      </c>
      <c r="F246" t="s">
        <v>7636</v>
      </c>
      <c r="H246" s="34">
        <v>25000</v>
      </c>
      <c r="I246" s="53"/>
    </row>
    <row r="247" spans="1:9" x14ac:dyDescent="0.3">
      <c r="A247" t="str">
        <f t="shared" si="3"/>
        <v>12Bromley</v>
      </c>
      <c r="B247">
        <v>12</v>
      </c>
      <c r="C247" t="s">
        <v>97</v>
      </c>
      <c r="D247" t="s">
        <v>7860</v>
      </c>
      <c r="E247" t="s">
        <v>1106</v>
      </c>
      <c r="F247" t="s">
        <v>7628</v>
      </c>
      <c r="H247" s="34">
        <v>182000</v>
      </c>
      <c r="I247" s="53"/>
    </row>
    <row r="248" spans="1:9" x14ac:dyDescent="0.3">
      <c r="A248" t="str">
        <f t="shared" si="3"/>
        <v>13Bromley</v>
      </c>
      <c r="B248">
        <v>13</v>
      </c>
      <c r="C248" t="s">
        <v>97</v>
      </c>
      <c r="D248" t="s">
        <v>7861</v>
      </c>
      <c r="E248" t="s">
        <v>812</v>
      </c>
      <c r="H248" s="34">
        <v>95000</v>
      </c>
      <c r="I248" s="53"/>
    </row>
    <row r="249" spans="1:9" x14ac:dyDescent="0.3">
      <c r="A249" t="str">
        <f t="shared" si="3"/>
        <v>14Bromley</v>
      </c>
      <c r="B249">
        <v>14</v>
      </c>
      <c r="C249" t="s">
        <v>97</v>
      </c>
      <c r="D249" t="s">
        <v>1977</v>
      </c>
      <c r="E249" t="s">
        <v>842</v>
      </c>
      <c r="F249" t="s">
        <v>7636</v>
      </c>
      <c r="H249" s="34">
        <v>110000</v>
      </c>
      <c r="I249" s="53"/>
    </row>
    <row r="250" spans="1:9" x14ac:dyDescent="0.3">
      <c r="A250" t="str">
        <f t="shared" si="3"/>
        <v>15Bromley</v>
      </c>
      <c r="B250">
        <v>15</v>
      </c>
      <c r="C250" t="s">
        <v>97</v>
      </c>
      <c r="D250" t="s">
        <v>7862</v>
      </c>
      <c r="E250" t="s">
        <v>806</v>
      </c>
      <c r="F250" t="s">
        <v>812</v>
      </c>
      <c r="H250" s="34">
        <v>5000</v>
      </c>
      <c r="I250" s="53"/>
    </row>
    <row r="251" spans="1:9" x14ac:dyDescent="0.3">
      <c r="A251" t="str">
        <f t="shared" si="3"/>
        <v>16Bromley</v>
      </c>
      <c r="B251">
        <v>16</v>
      </c>
      <c r="C251" t="s">
        <v>97</v>
      </c>
      <c r="D251" t="s">
        <v>7863</v>
      </c>
      <c r="E251" t="s">
        <v>1113</v>
      </c>
      <c r="F251" t="s">
        <v>7629</v>
      </c>
      <c r="H251" s="34">
        <v>177000</v>
      </c>
      <c r="I251" s="53"/>
    </row>
    <row r="252" spans="1:9" x14ac:dyDescent="0.3">
      <c r="A252" t="str">
        <f t="shared" si="3"/>
        <v>17Bromley</v>
      </c>
      <c r="B252">
        <v>17</v>
      </c>
      <c r="C252" t="s">
        <v>97</v>
      </c>
      <c r="D252" t="s">
        <v>7864</v>
      </c>
      <c r="E252" t="s">
        <v>812</v>
      </c>
      <c r="H252" s="34">
        <v>20000</v>
      </c>
      <c r="I252" s="53"/>
    </row>
    <row r="253" spans="1:9" x14ac:dyDescent="0.3">
      <c r="A253" t="str">
        <f t="shared" si="3"/>
        <v>18Bromley</v>
      </c>
      <c r="B253">
        <v>18</v>
      </c>
      <c r="C253" t="s">
        <v>97</v>
      </c>
      <c r="D253" t="s">
        <v>7865</v>
      </c>
      <c r="E253" t="s">
        <v>812</v>
      </c>
      <c r="H253" s="34">
        <v>50000</v>
      </c>
      <c r="I253" s="53"/>
    </row>
    <row r="254" spans="1:9" x14ac:dyDescent="0.3">
      <c r="A254" t="str">
        <f t="shared" si="3"/>
        <v>19Bromley</v>
      </c>
      <c r="B254">
        <v>19</v>
      </c>
      <c r="C254" t="s">
        <v>97</v>
      </c>
      <c r="D254" t="s">
        <v>7866</v>
      </c>
      <c r="E254" t="s">
        <v>806</v>
      </c>
      <c r="F254" t="s">
        <v>807</v>
      </c>
      <c r="H254" s="34">
        <v>96000</v>
      </c>
      <c r="I254" s="53"/>
    </row>
    <row r="255" spans="1:9" x14ac:dyDescent="0.3">
      <c r="A255" t="str">
        <f t="shared" si="3"/>
        <v>20Bromley</v>
      </c>
      <c r="B255">
        <v>20</v>
      </c>
      <c r="C255" t="s">
        <v>97</v>
      </c>
      <c r="D255" t="s">
        <v>2335</v>
      </c>
      <c r="E255" t="s">
        <v>812</v>
      </c>
      <c r="H255" s="34">
        <v>54600</v>
      </c>
      <c r="I255" s="53"/>
    </row>
    <row r="256" spans="1:9" x14ac:dyDescent="0.3">
      <c r="A256" t="str">
        <f t="shared" si="3"/>
        <v>1Buckinghamshire</v>
      </c>
      <c r="B256">
        <v>1</v>
      </c>
      <c r="C256" t="s">
        <v>99</v>
      </c>
      <c r="D256" t="s">
        <v>7867</v>
      </c>
      <c r="E256" t="s">
        <v>7657</v>
      </c>
      <c r="F256" t="s">
        <v>7644</v>
      </c>
      <c r="H256" s="34">
        <v>200000</v>
      </c>
      <c r="I256" s="53"/>
    </row>
    <row r="257" spans="1:9" x14ac:dyDescent="0.3">
      <c r="A257" t="str">
        <f t="shared" si="3"/>
        <v>2Buckinghamshire</v>
      </c>
      <c r="B257">
        <v>2</v>
      </c>
      <c r="C257" t="s">
        <v>99</v>
      </c>
      <c r="D257" t="s">
        <v>7868</v>
      </c>
      <c r="E257" t="s">
        <v>7657</v>
      </c>
      <c r="F257" t="s">
        <v>7644</v>
      </c>
      <c r="H257" s="34">
        <v>140000</v>
      </c>
      <c r="I257" s="53"/>
    </row>
    <row r="258" spans="1:9" x14ac:dyDescent="0.3">
      <c r="A258" t="str">
        <f t="shared" ref="A258:A321" si="4">B258&amp;C258</f>
        <v>3Buckinghamshire</v>
      </c>
      <c r="B258">
        <v>3</v>
      </c>
      <c r="C258" t="s">
        <v>99</v>
      </c>
      <c r="D258" t="s">
        <v>7749</v>
      </c>
      <c r="E258" t="s">
        <v>7662</v>
      </c>
      <c r="H258" s="34">
        <v>17000</v>
      </c>
      <c r="I258" s="53"/>
    </row>
    <row r="259" spans="1:9" x14ac:dyDescent="0.3">
      <c r="A259" t="str">
        <f t="shared" si="4"/>
        <v>4Buckinghamshire</v>
      </c>
      <c r="B259">
        <v>4</v>
      </c>
      <c r="C259" t="s">
        <v>99</v>
      </c>
      <c r="D259" t="s">
        <v>7869</v>
      </c>
      <c r="E259" t="s">
        <v>7658</v>
      </c>
      <c r="H259" s="34">
        <v>150000</v>
      </c>
      <c r="I259" s="53"/>
    </row>
    <row r="260" spans="1:9" x14ac:dyDescent="0.3">
      <c r="A260" t="str">
        <f t="shared" si="4"/>
        <v>5Buckinghamshire</v>
      </c>
      <c r="B260">
        <v>5</v>
      </c>
      <c r="C260" t="s">
        <v>99</v>
      </c>
      <c r="D260" t="s">
        <v>7870</v>
      </c>
      <c r="E260" t="s">
        <v>842</v>
      </c>
      <c r="F260" t="s">
        <v>7636</v>
      </c>
      <c r="H260" s="34">
        <v>1063776.8933447469</v>
      </c>
      <c r="I260" s="53"/>
    </row>
    <row r="261" spans="1:9" x14ac:dyDescent="0.3">
      <c r="A261" t="str">
        <f t="shared" si="4"/>
        <v>6Buckinghamshire</v>
      </c>
      <c r="B261">
        <v>6</v>
      </c>
      <c r="C261" t="s">
        <v>99</v>
      </c>
      <c r="D261" t="s">
        <v>7871</v>
      </c>
      <c r="E261" t="s">
        <v>7657</v>
      </c>
      <c r="F261" t="s">
        <v>7644</v>
      </c>
      <c r="H261" s="34">
        <v>51425</v>
      </c>
      <c r="I261" s="53"/>
    </row>
    <row r="262" spans="1:9" x14ac:dyDescent="0.3">
      <c r="A262" t="str">
        <f t="shared" si="4"/>
        <v>7Buckinghamshire</v>
      </c>
      <c r="B262">
        <v>7</v>
      </c>
      <c r="C262" t="s">
        <v>99</v>
      </c>
      <c r="D262" t="s">
        <v>7872</v>
      </c>
      <c r="E262" t="s">
        <v>7658</v>
      </c>
      <c r="H262" s="34">
        <v>25000</v>
      </c>
      <c r="I262" s="53"/>
    </row>
    <row r="263" spans="1:9" x14ac:dyDescent="0.3">
      <c r="A263" t="str">
        <f t="shared" si="4"/>
        <v>8Buckinghamshire</v>
      </c>
      <c r="B263">
        <v>8</v>
      </c>
      <c r="C263" t="s">
        <v>99</v>
      </c>
      <c r="D263" t="s">
        <v>7873</v>
      </c>
      <c r="E263" t="s">
        <v>842</v>
      </c>
      <c r="F263" t="s">
        <v>7636</v>
      </c>
      <c r="H263" s="34">
        <v>1831563.1066552531</v>
      </c>
      <c r="I263" s="53"/>
    </row>
    <row r="264" spans="1:9" x14ac:dyDescent="0.3">
      <c r="A264" t="str">
        <f t="shared" si="4"/>
        <v>9Buckinghamshire</v>
      </c>
      <c r="B264">
        <v>9</v>
      </c>
      <c r="C264" t="s">
        <v>99</v>
      </c>
      <c r="D264" t="s">
        <v>7874</v>
      </c>
      <c r="E264" t="s">
        <v>7658</v>
      </c>
      <c r="H264" s="34">
        <v>84134</v>
      </c>
      <c r="I264" s="53"/>
    </row>
    <row r="265" spans="1:9" x14ac:dyDescent="0.3">
      <c r="A265" t="str">
        <f t="shared" si="4"/>
        <v>10Buckinghamshire</v>
      </c>
      <c r="B265">
        <v>10</v>
      </c>
      <c r="C265" t="s">
        <v>99</v>
      </c>
      <c r="D265" t="s">
        <v>7875</v>
      </c>
      <c r="E265" t="s">
        <v>7658</v>
      </c>
      <c r="H265" s="34">
        <v>48866</v>
      </c>
      <c r="I265" s="53"/>
    </row>
    <row r="266" spans="1:9" x14ac:dyDescent="0.3">
      <c r="A266" t="str">
        <f t="shared" si="4"/>
        <v>11Buckinghamshire</v>
      </c>
      <c r="B266">
        <v>11</v>
      </c>
      <c r="C266" t="s">
        <v>99</v>
      </c>
      <c r="D266" t="s">
        <v>7876</v>
      </c>
      <c r="E266" t="s">
        <v>7658</v>
      </c>
      <c r="H266" s="34">
        <v>55000</v>
      </c>
      <c r="I266" s="53"/>
    </row>
    <row r="267" spans="1:9" x14ac:dyDescent="0.3">
      <c r="A267" t="str">
        <f t="shared" si="4"/>
        <v>12Buckinghamshire</v>
      </c>
      <c r="B267">
        <v>12</v>
      </c>
      <c r="C267" t="s">
        <v>99</v>
      </c>
      <c r="D267" t="s">
        <v>7769</v>
      </c>
      <c r="E267" t="s">
        <v>7658</v>
      </c>
      <c r="H267" s="34">
        <v>124000</v>
      </c>
      <c r="I267" s="53"/>
    </row>
    <row r="268" spans="1:9" x14ac:dyDescent="0.3">
      <c r="A268" t="str">
        <f t="shared" si="4"/>
        <v>1Bury</v>
      </c>
      <c r="B268">
        <v>1</v>
      </c>
      <c r="C268" t="s">
        <v>101</v>
      </c>
      <c r="D268" t="s">
        <v>7877</v>
      </c>
      <c r="E268" t="s">
        <v>7649</v>
      </c>
      <c r="F268" t="s">
        <v>7638</v>
      </c>
      <c r="H268" s="34">
        <v>60000</v>
      </c>
      <c r="I268" s="53"/>
    </row>
    <row r="269" spans="1:9" x14ac:dyDescent="0.3">
      <c r="A269" t="str">
        <f t="shared" si="4"/>
        <v>2Bury</v>
      </c>
      <c r="B269">
        <v>2</v>
      </c>
      <c r="C269" t="s">
        <v>101</v>
      </c>
      <c r="D269" t="s">
        <v>7878</v>
      </c>
      <c r="E269" t="s">
        <v>842</v>
      </c>
      <c r="F269" t="s">
        <v>843</v>
      </c>
      <c r="H269" s="34">
        <v>160000</v>
      </c>
      <c r="I269" s="53"/>
    </row>
    <row r="270" spans="1:9" x14ac:dyDescent="0.3">
      <c r="A270" t="str">
        <f t="shared" si="4"/>
        <v>3Bury</v>
      </c>
      <c r="B270">
        <v>3</v>
      </c>
      <c r="C270" t="s">
        <v>101</v>
      </c>
      <c r="D270" t="s">
        <v>7879</v>
      </c>
      <c r="E270" t="s">
        <v>806</v>
      </c>
      <c r="F270" t="s">
        <v>7642</v>
      </c>
      <c r="H270" s="34">
        <v>507000</v>
      </c>
      <c r="I270" s="53"/>
    </row>
    <row r="271" spans="1:9" x14ac:dyDescent="0.3">
      <c r="A271" t="str">
        <f t="shared" si="4"/>
        <v>4Bury</v>
      </c>
      <c r="B271">
        <v>4</v>
      </c>
      <c r="C271" t="s">
        <v>101</v>
      </c>
      <c r="D271" t="s">
        <v>7880</v>
      </c>
      <c r="E271" t="s">
        <v>1106</v>
      </c>
      <c r="F271" t="s">
        <v>7628</v>
      </c>
      <c r="H271" s="34">
        <v>440000</v>
      </c>
      <c r="I271" s="53"/>
    </row>
    <row r="272" spans="1:9" x14ac:dyDescent="0.3">
      <c r="A272" t="str">
        <f t="shared" si="4"/>
        <v>5Bury</v>
      </c>
      <c r="B272">
        <v>5</v>
      </c>
      <c r="C272" t="s">
        <v>101</v>
      </c>
      <c r="D272" t="s">
        <v>7881</v>
      </c>
      <c r="E272" t="s">
        <v>1113</v>
      </c>
      <c r="F272" t="s">
        <v>7637</v>
      </c>
      <c r="H272" s="34">
        <v>160000</v>
      </c>
      <c r="I272" s="53"/>
    </row>
    <row r="273" spans="1:9" x14ac:dyDescent="0.3">
      <c r="A273" t="str">
        <f t="shared" si="4"/>
        <v>6Bury</v>
      </c>
      <c r="B273">
        <v>6</v>
      </c>
      <c r="C273" t="s">
        <v>101</v>
      </c>
      <c r="D273" t="s">
        <v>7882</v>
      </c>
      <c r="E273" t="s">
        <v>7657</v>
      </c>
      <c r="F273" t="s">
        <v>7640</v>
      </c>
      <c r="H273" s="34">
        <v>78000</v>
      </c>
      <c r="I273" s="53"/>
    </row>
    <row r="274" spans="1:9" x14ac:dyDescent="0.3">
      <c r="A274" t="str">
        <f t="shared" si="4"/>
        <v>7Bury</v>
      </c>
      <c r="B274">
        <v>7</v>
      </c>
      <c r="C274" t="s">
        <v>101</v>
      </c>
      <c r="D274" t="s">
        <v>7883</v>
      </c>
      <c r="E274" t="s">
        <v>1106</v>
      </c>
      <c r="F274" t="s">
        <v>7628</v>
      </c>
      <c r="H274" s="34">
        <v>17000</v>
      </c>
      <c r="I274" s="53"/>
    </row>
    <row r="275" spans="1:9" x14ac:dyDescent="0.3">
      <c r="A275" t="str">
        <f t="shared" si="4"/>
        <v>8Bury</v>
      </c>
      <c r="B275">
        <v>8</v>
      </c>
      <c r="C275" t="s">
        <v>101</v>
      </c>
      <c r="D275" t="s">
        <v>7884</v>
      </c>
      <c r="E275" t="s">
        <v>812</v>
      </c>
      <c r="H275" s="34">
        <v>60000</v>
      </c>
      <c r="I275" s="53"/>
    </row>
    <row r="276" spans="1:9" x14ac:dyDescent="0.3">
      <c r="A276" t="str">
        <f t="shared" si="4"/>
        <v>9Bury</v>
      </c>
      <c r="B276">
        <v>9</v>
      </c>
      <c r="C276" t="s">
        <v>101</v>
      </c>
      <c r="D276" t="s">
        <v>7885</v>
      </c>
      <c r="E276" t="s">
        <v>806</v>
      </c>
      <c r="F276" t="s">
        <v>917</v>
      </c>
      <c r="H276" s="34">
        <v>18000</v>
      </c>
      <c r="I276" s="53"/>
    </row>
    <row r="277" spans="1:9" x14ac:dyDescent="0.3">
      <c r="A277" t="str">
        <f t="shared" si="4"/>
        <v>10Bury</v>
      </c>
      <c r="B277">
        <v>10</v>
      </c>
      <c r="C277" t="s">
        <v>101</v>
      </c>
      <c r="D277" t="s">
        <v>7886</v>
      </c>
      <c r="E277" t="s">
        <v>1113</v>
      </c>
      <c r="F277" t="s">
        <v>7629</v>
      </c>
      <c r="H277" s="34">
        <v>25000</v>
      </c>
      <c r="I277" s="53"/>
    </row>
    <row r="278" spans="1:9" x14ac:dyDescent="0.3">
      <c r="A278" t="str">
        <f t="shared" si="4"/>
        <v>11Bury</v>
      </c>
      <c r="B278">
        <v>11</v>
      </c>
      <c r="C278" t="s">
        <v>101</v>
      </c>
      <c r="D278" t="s">
        <v>7887</v>
      </c>
      <c r="E278" t="s">
        <v>1113</v>
      </c>
      <c r="F278" t="s">
        <v>7637</v>
      </c>
      <c r="H278" s="34">
        <v>15000</v>
      </c>
      <c r="I278" s="53"/>
    </row>
    <row r="279" spans="1:9" x14ac:dyDescent="0.3">
      <c r="A279" t="str">
        <f t="shared" si="4"/>
        <v>12Bury</v>
      </c>
      <c r="B279">
        <v>12</v>
      </c>
      <c r="C279" t="s">
        <v>101</v>
      </c>
      <c r="D279" t="s">
        <v>7887</v>
      </c>
      <c r="E279" t="s">
        <v>1113</v>
      </c>
      <c r="F279" t="s">
        <v>7629</v>
      </c>
      <c r="H279" s="34">
        <v>10000</v>
      </c>
      <c r="I279" s="53"/>
    </row>
    <row r="280" spans="1:9" x14ac:dyDescent="0.3">
      <c r="A280" t="str">
        <f t="shared" si="4"/>
        <v>13Bury</v>
      </c>
      <c r="B280">
        <v>13</v>
      </c>
      <c r="C280" t="s">
        <v>101</v>
      </c>
      <c r="D280" t="s">
        <v>7888</v>
      </c>
      <c r="E280" t="s">
        <v>7657</v>
      </c>
      <c r="F280" t="s">
        <v>7640</v>
      </c>
      <c r="H280" s="34">
        <v>66000</v>
      </c>
      <c r="I280" s="53"/>
    </row>
    <row r="281" spans="1:9" x14ac:dyDescent="0.3">
      <c r="A281" t="str">
        <f t="shared" si="4"/>
        <v>14Bury</v>
      </c>
      <c r="B281">
        <v>14</v>
      </c>
      <c r="C281" t="s">
        <v>101</v>
      </c>
      <c r="D281" t="s">
        <v>7889</v>
      </c>
      <c r="E281" t="s">
        <v>812</v>
      </c>
      <c r="H281" s="34">
        <v>60000</v>
      </c>
      <c r="I281" s="53"/>
    </row>
    <row r="282" spans="1:9" x14ac:dyDescent="0.3">
      <c r="A282" t="str">
        <f t="shared" si="4"/>
        <v>15Bury</v>
      </c>
      <c r="B282">
        <v>15</v>
      </c>
      <c r="C282" t="s">
        <v>101</v>
      </c>
      <c r="D282" t="s">
        <v>7890</v>
      </c>
      <c r="E282" t="s">
        <v>7657</v>
      </c>
      <c r="F282" t="s">
        <v>7640</v>
      </c>
      <c r="H282" s="34">
        <v>167000</v>
      </c>
      <c r="I282" s="53"/>
    </row>
    <row r="283" spans="1:9" x14ac:dyDescent="0.3">
      <c r="A283" t="str">
        <f t="shared" si="4"/>
        <v>16Bury</v>
      </c>
      <c r="B283">
        <v>16</v>
      </c>
      <c r="C283" t="s">
        <v>101</v>
      </c>
      <c r="D283" t="s">
        <v>7891</v>
      </c>
      <c r="E283" t="s">
        <v>7658</v>
      </c>
      <c r="F283" t="s">
        <v>7640</v>
      </c>
      <c r="H283" s="34">
        <v>30000</v>
      </c>
      <c r="I283" s="53"/>
    </row>
    <row r="284" spans="1:9" x14ac:dyDescent="0.3">
      <c r="A284" t="str">
        <f t="shared" si="4"/>
        <v>1Calderdale</v>
      </c>
      <c r="B284">
        <v>1</v>
      </c>
      <c r="C284" t="s">
        <v>103</v>
      </c>
      <c r="D284" t="s">
        <v>7827</v>
      </c>
      <c r="E284" t="s">
        <v>7662</v>
      </c>
      <c r="H284" s="34">
        <v>20662</v>
      </c>
      <c r="I284" s="53"/>
    </row>
    <row r="285" spans="1:9" x14ac:dyDescent="0.3">
      <c r="A285" t="str">
        <f t="shared" si="4"/>
        <v>2Calderdale</v>
      </c>
      <c r="B285">
        <v>2</v>
      </c>
      <c r="C285" t="s">
        <v>103</v>
      </c>
      <c r="D285" t="s">
        <v>7892</v>
      </c>
      <c r="E285" t="s">
        <v>812</v>
      </c>
      <c r="H285" s="34">
        <v>259509</v>
      </c>
      <c r="I285" s="53"/>
    </row>
    <row r="286" spans="1:9" x14ac:dyDescent="0.3">
      <c r="A286" t="str">
        <f t="shared" si="4"/>
        <v>3Calderdale</v>
      </c>
      <c r="B286">
        <v>3</v>
      </c>
      <c r="C286" t="s">
        <v>103</v>
      </c>
      <c r="D286" t="s">
        <v>1051</v>
      </c>
      <c r="E286" t="s">
        <v>800</v>
      </c>
      <c r="F286" t="s">
        <v>903</v>
      </c>
      <c r="H286" s="34">
        <v>200000</v>
      </c>
      <c r="I286" s="53"/>
    </row>
    <row r="287" spans="1:9" x14ac:dyDescent="0.3">
      <c r="A287" t="str">
        <f t="shared" si="4"/>
        <v>4Calderdale</v>
      </c>
      <c r="B287">
        <v>4</v>
      </c>
      <c r="C287" t="s">
        <v>103</v>
      </c>
      <c r="D287" t="s">
        <v>1755</v>
      </c>
      <c r="E287" t="s">
        <v>842</v>
      </c>
      <c r="F287" t="s">
        <v>7636</v>
      </c>
      <c r="H287" s="34">
        <v>250000</v>
      </c>
      <c r="I287" s="53"/>
    </row>
    <row r="288" spans="1:9" x14ac:dyDescent="0.3">
      <c r="A288" t="str">
        <f t="shared" si="4"/>
        <v>5Calderdale</v>
      </c>
      <c r="B288">
        <v>5</v>
      </c>
      <c r="C288" t="s">
        <v>103</v>
      </c>
      <c r="D288" t="s">
        <v>1743</v>
      </c>
      <c r="E288" t="s">
        <v>1106</v>
      </c>
      <c r="F288" t="s">
        <v>7628</v>
      </c>
      <c r="H288" s="34">
        <v>245519</v>
      </c>
      <c r="I288" s="53"/>
    </row>
    <row r="289" spans="1:9" x14ac:dyDescent="0.3">
      <c r="A289" t="str">
        <f t="shared" si="4"/>
        <v>6Calderdale</v>
      </c>
      <c r="B289">
        <v>6</v>
      </c>
      <c r="C289" t="s">
        <v>103</v>
      </c>
      <c r="D289" t="s">
        <v>1772</v>
      </c>
      <c r="E289" t="s">
        <v>806</v>
      </c>
      <c r="F289" t="s">
        <v>7642</v>
      </c>
      <c r="H289" s="34">
        <v>740491</v>
      </c>
      <c r="I289" s="53"/>
    </row>
    <row r="290" spans="1:9" x14ac:dyDescent="0.3">
      <c r="A290" t="str">
        <f t="shared" si="4"/>
        <v>7Calderdale</v>
      </c>
      <c r="B290">
        <v>7</v>
      </c>
      <c r="C290" t="s">
        <v>103</v>
      </c>
      <c r="D290" t="s">
        <v>1741</v>
      </c>
      <c r="E290" t="s">
        <v>1106</v>
      </c>
      <c r="F290" t="s">
        <v>7628</v>
      </c>
      <c r="H290" s="34">
        <v>300000</v>
      </c>
      <c r="I290" s="53"/>
    </row>
    <row r="291" spans="1:9" x14ac:dyDescent="0.3">
      <c r="A291" t="str">
        <f t="shared" si="4"/>
        <v>8Calderdale</v>
      </c>
      <c r="B291">
        <v>8</v>
      </c>
      <c r="C291" t="s">
        <v>103</v>
      </c>
      <c r="D291" t="s">
        <v>1718</v>
      </c>
      <c r="E291" t="s">
        <v>800</v>
      </c>
      <c r="F291" t="s">
        <v>2108</v>
      </c>
      <c r="H291" s="34">
        <v>50000</v>
      </c>
      <c r="I291" s="53"/>
    </row>
    <row r="292" spans="1:9" x14ac:dyDescent="0.3">
      <c r="A292" t="str">
        <f t="shared" si="4"/>
        <v>1Cambridgeshire</v>
      </c>
      <c r="B292">
        <v>1</v>
      </c>
      <c r="C292" t="s">
        <v>105</v>
      </c>
      <c r="D292" t="s">
        <v>7893</v>
      </c>
      <c r="E292" t="s">
        <v>5266</v>
      </c>
      <c r="F292" t="s">
        <v>7639</v>
      </c>
      <c r="H292" s="34">
        <v>71600</v>
      </c>
      <c r="I292" s="53"/>
    </row>
    <row r="293" spans="1:9" x14ac:dyDescent="0.3">
      <c r="A293" t="str">
        <f t="shared" si="4"/>
        <v>2Cambridgeshire</v>
      </c>
      <c r="B293">
        <v>2</v>
      </c>
      <c r="C293" t="s">
        <v>105</v>
      </c>
      <c r="D293" t="s">
        <v>7662</v>
      </c>
      <c r="E293" t="s">
        <v>7662</v>
      </c>
      <c r="H293" s="34">
        <v>19367</v>
      </c>
      <c r="I293" s="53"/>
    </row>
    <row r="294" spans="1:9" x14ac:dyDescent="0.3">
      <c r="A294" t="str">
        <f t="shared" si="4"/>
        <v>3Cambridgeshire</v>
      </c>
      <c r="B294">
        <v>3</v>
      </c>
      <c r="C294" t="s">
        <v>105</v>
      </c>
      <c r="D294" t="s">
        <v>7894</v>
      </c>
      <c r="E294" t="s">
        <v>7657</v>
      </c>
      <c r="F294" t="s">
        <v>7632</v>
      </c>
      <c r="H294" s="34">
        <v>70000</v>
      </c>
      <c r="I294" s="53"/>
    </row>
    <row r="295" spans="1:9" x14ac:dyDescent="0.3">
      <c r="A295" t="str">
        <f t="shared" si="4"/>
        <v>4Cambridgeshire</v>
      </c>
      <c r="B295">
        <v>4</v>
      </c>
      <c r="C295" t="s">
        <v>105</v>
      </c>
      <c r="D295" t="s">
        <v>7895</v>
      </c>
      <c r="E295" t="s">
        <v>806</v>
      </c>
      <c r="F295" t="s">
        <v>807</v>
      </c>
      <c r="H295" s="34">
        <v>242400</v>
      </c>
      <c r="I295" s="53"/>
    </row>
    <row r="296" spans="1:9" x14ac:dyDescent="0.3">
      <c r="A296" t="str">
        <f t="shared" si="4"/>
        <v>5Cambridgeshire</v>
      </c>
      <c r="B296">
        <v>5</v>
      </c>
      <c r="C296" t="s">
        <v>105</v>
      </c>
      <c r="D296" t="s">
        <v>1051</v>
      </c>
      <c r="E296" t="s">
        <v>800</v>
      </c>
      <c r="F296" t="s">
        <v>903</v>
      </c>
      <c r="H296" s="34">
        <v>250000</v>
      </c>
      <c r="I296" s="53"/>
    </row>
    <row r="297" spans="1:9" x14ac:dyDescent="0.3">
      <c r="A297" t="str">
        <f t="shared" si="4"/>
        <v>6Cambridgeshire</v>
      </c>
      <c r="B297">
        <v>6</v>
      </c>
      <c r="C297" t="s">
        <v>105</v>
      </c>
      <c r="D297" t="s">
        <v>7896</v>
      </c>
      <c r="E297" t="s">
        <v>812</v>
      </c>
      <c r="H297" s="34">
        <v>179000</v>
      </c>
      <c r="I297" s="53"/>
    </row>
    <row r="298" spans="1:9" x14ac:dyDescent="0.3">
      <c r="A298" t="str">
        <f t="shared" si="4"/>
        <v>7Cambridgeshire</v>
      </c>
      <c r="B298">
        <v>7</v>
      </c>
      <c r="C298" t="s">
        <v>105</v>
      </c>
      <c r="D298" t="s">
        <v>7897</v>
      </c>
      <c r="E298" t="s">
        <v>812</v>
      </c>
      <c r="F298" t="s">
        <v>812</v>
      </c>
      <c r="H298" s="34">
        <v>48100</v>
      </c>
      <c r="I298" s="53"/>
    </row>
    <row r="299" spans="1:9" x14ac:dyDescent="0.3">
      <c r="A299" t="str">
        <f t="shared" si="4"/>
        <v>8Cambridgeshire</v>
      </c>
      <c r="B299">
        <v>8</v>
      </c>
      <c r="C299" t="s">
        <v>105</v>
      </c>
      <c r="D299" t="s">
        <v>7898</v>
      </c>
      <c r="E299" t="s">
        <v>842</v>
      </c>
      <c r="F299" t="s">
        <v>812</v>
      </c>
      <c r="H299" s="34">
        <v>223392</v>
      </c>
      <c r="I299" s="53"/>
    </row>
    <row r="300" spans="1:9" x14ac:dyDescent="0.3">
      <c r="A300" t="str">
        <f t="shared" si="4"/>
        <v>9Cambridgeshire</v>
      </c>
      <c r="B300">
        <v>9</v>
      </c>
      <c r="C300" t="s">
        <v>105</v>
      </c>
      <c r="D300" t="s">
        <v>7899</v>
      </c>
      <c r="E300" t="s">
        <v>812</v>
      </c>
      <c r="H300" s="34">
        <v>50000</v>
      </c>
      <c r="I300" s="53"/>
    </row>
    <row r="301" spans="1:9" x14ac:dyDescent="0.3">
      <c r="A301" t="str">
        <f t="shared" si="4"/>
        <v>10Cambridgeshire</v>
      </c>
      <c r="B301">
        <v>10</v>
      </c>
      <c r="C301" t="s">
        <v>105</v>
      </c>
      <c r="D301" t="s">
        <v>7900</v>
      </c>
      <c r="E301" t="s">
        <v>842</v>
      </c>
      <c r="F301" t="s">
        <v>7636</v>
      </c>
      <c r="H301" s="34">
        <v>292000</v>
      </c>
      <c r="I301" s="53"/>
    </row>
    <row r="302" spans="1:9" x14ac:dyDescent="0.3">
      <c r="A302" t="str">
        <f t="shared" si="4"/>
        <v>11Cambridgeshire</v>
      </c>
      <c r="B302">
        <v>11</v>
      </c>
      <c r="C302" t="s">
        <v>105</v>
      </c>
      <c r="D302" t="s">
        <v>7901</v>
      </c>
      <c r="E302" t="s">
        <v>1113</v>
      </c>
      <c r="F302" t="s">
        <v>812</v>
      </c>
      <c r="H302" s="34">
        <v>78760</v>
      </c>
      <c r="I302" s="53"/>
    </row>
    <row r="303" spans="1:9" x14ac:dyDescent="0.3">
      <c r="A303" t="str">
        <f t="shared" si="4"/>
        <v>12Cambridgeshire</v>
      </c>
      <c r="B303">
        <v>12</v>
      </c>
      <c r="C303" t="s">
        <v>105</v>
      </c>
      <c r="D303" t="s">
        <v>7902</v>
      </c>
      <c r="E303" t="s">
        <v>1113</v>
      </c>
      <c r="F303" t="s">
        <v>812</v>
      </c>
      <c r="H303" s="34">
        <v>85920</v>
      </c>
      <c r="I303" s="53"/>
    </row>
    <row r="304" spans="1:9" x14ac:dyDescent="0.3">
      <c r="A304" t="str">
        <f t="shared" si="4"/>
        <v>13Cambridgeshire</v>
      </c>
      <c r="B304">
        <v>13</v>
      </c>
      <c r="C304" t="s">
        <v>105</v>
      </c>
      <c r="D304" t="s">
        <v>7903</v>
      </c>
      <c r="E304" t="s">
        <v>7658</v>
      </c>
      <c r="H304" s="34">
        <v>33300</v>
      </c>
      <c r="I304" s="53"/>
    </row>
    <row r="305" spans="1:9" x14ac:dyDescent="0.3">
      <c r="A305" t="str">
        <f t="shared" si="4"/>
        <v>14Cambridgeshire</v>
      </c>
      <c r="B305">
        <v>14</v>
      </c>
      <c r="C305" t="s">
        <v>105</v>
      </c>
      <c r="D305" t="s">
        <v>7904</v>
      </c>
      <c r="E305" t="s">
        <v>812</v>
      </c>
      <c r="H305" s="34">
        <v>30000</v>
      </c>
      <c r="I305" s="53"/>
    </row>
    <row r="306" spans="1:9" x14ac:dyDescent="0.3">
      <c r="A306" t="str">
        <f t="shared" si="4"/>
        <v>15Cambridgeshire</v>
      </c>
      <c r="B306">
        <v>15</v>
      </c>
      <c r="C306" t="s">
        <v>105</v>
      </c>
      <c r="D306" t="s">
        <v>7905</v>
      </c>
      <c r="E306" t="s">
        <v>5266</v>
      </c>
      <c r="F306" t="s">
        <v>7631</v>
      </c>
      <c r="H306" s="34">
        <v>98500</v>
      </c>
      <c r="I306" s="53"/>
    </row>
    <row r="307" spans="1:9" x14ac:dyDescent="0.3">
      <c r="A307" t="str">
        <f t="shared" si="4"/>
        <v>16Cambridgeshire</v>
      </c>
      <c r="B307">
        <v>16</v>
      </c>
      <c r="C307" t="s">
        <v>105</v>
      </c>
      <c r="D307" t="s">
        <v>4233</v>
      </c>
      <c r="E307" t="s">
        <v>7649</v>
      </c>
      <c r="F307" t="s">
        <v>7638</v>
      </c>
      <c r="H307" s="34">
        <v>149000</v>
      </c>
      <c r="I307" s="53"/>
    </row>
    <row r="308" spans="1:9" x14ac:dyDescent="0.3">
      <c r="A308" t="str">
        <f t="shared" si="4"/>
        <v>17Cambridgeshire</v>
      </c>
      <c r="B308">
        <v>17</v>
      </c>
      <c r="C308" t="s">
        <v>105</v>
      </c>
      <c r="D308" t="s">
        <v>7906</v>
      </c>
      <c r="E308" t="s">
        <v>7657</v>
      </c>
      <c r="F308" t="s">
        <v>7632</v>
      </c>
      <c r="H308" s="34">
        <v>485447</v>
      </c>
      <c r="I308" s="53"/>
    </row>
    <row r="309" spans="1:9" x14ac:dyDescent="0.3">
      <c r="A309" t="str">
        <f t="shared" si="4"/>
        <v>18Cambridgeshire</v>
      </c>
      <c r="B309">
        <v>18</v>
      </c>
      <c r="C309" t="s">
        <v>105</v>
      </c>
      <c r="D309" t="s">
        <v>7907</v>
      </c>
      <c r="E309" t="s">
        <v>812</v>
      </c>
      <c r="H309" s="34">
        <v>465400</v>
      </c>
      <c r="I309" s="53"/>
    </row>
    <row r="310" spans="1:9" x14ac:dyDescent="0.3">
      <c r="A310" t="str">
        <f t="shared" si="4"/>
        <v>19Cambridgeshire</v>
      </c>
      <c r="B310">
        <v>19</v>
      </c>
      <c r="C310" t="s">
        <v>105</v>
      </c>
      <c r="D310" t="s">
        <v>7908</v>
      </c>
      <c r="E310" t="s">
        <v>7657</v>
      </c>
      <c r="F310" t="s">
        <v>7640</v>
      </c>
      <c r="H310" s="34">
        <v>393800</v>
      </c>
      <c r="I310" s="53"/>
    </row>
    <row r="311" spans="1:9" x14ac:dyDescent="0.3">
      <c r="A311" t="str">
        <f t="shared" si="4"/>
        <v>20Cambridgeshire</v>
      </c>
      <c r="B311">
        <v>20</v>
      </c>
      <c r="C311" t="s">
        <v>105</v>
      </c>
      <c r="D311" t="s">
        <v>7909</v>
      </c>
      <c r="E311" t="s">
        <v>842</v>
      </c>
      <c r="F311" t="s">
        <v>7636</v>
      </c>
      <c r="H311" s="34">
        <v>1040003.63</v>
      </c>
      <c r="I311" s="53"/>
    </row>
    <row r="312" spans="1:9" x14ac:dyDescent="0.3">
      <c r="A312" t="str">
        <f t="shared" si="4"/>
        <v>21Cambridgeshire</v>
      </c>
      <c r="B312">
        <v>21</v>
      </c>
      <c r="C312" t="s">
        <v>105</v>
      </c>
      <c r="D312" t="s">
        <v>7910</v>
      </c>
      <c r="E312" t="s">
        <v>5266</v>
      </c>
      <c r="F312" t="s">
        <v>7643</v>
      </c>
      <c r="H312" s="34">
        <v>143200</v>
      </c>
      <c r="I312" s="53"/>
    </row>
    <row r="313" spans="1:9" x14ac:dyDescent="0.3">
      <c r="A313" t="str">
        <f t="shared" si="4"/>
        <v>1Camden</v>
      </c>
      <c r="B313">
        <v>1</v>
      </c>
      <c r="C313" t="s">
        <v>107</v>
      </c>
      <c r="D313" t="s">
        <v>7911</v>
      </c>
      <c r="E313" t="s">
        <v>806</v>
      </c>
      <c r="F313" t="s">
        <v>7642</v>
      </c>
      <c r="H313" s="34">
        <v>225792</v>
      </c>
      <c r="I313" s="53"/>
    </row>
    <row r="314" spans="1:9" x14ac:dyDescent="0.3">
      <c r="A314" t="str">
        <f t="shared" si="4"/>
        <v>2Camden</v>
      </c>
      <c r="B314">
        <v>2</v>
      </c>
      <c r="C314" t="s">
        <v>107</v>
      </c>
      <c r="D314" t="s">
        <v>7912</v>
      </c>
      <c r="E314" t="s">
        <v>7662</v>
      </c>
      <c r="F314" t="s">
        <v>7704</v>
      </c>
      <c r="H314" s="34">
        <v>16603</v>
      </c>
      <c r="I314" s="53"/>
    </row>
    <row r="315" spans="1:9" x14ac:dyDescent="0.3">
      <c r="A315" t="str">
        <f t="shared" si="4"/>
        <v>3Camden</v>
      </c>
      <c r="B315">
        <v>3</v>
      </c>
      <c r="C315" t="s">
        <v>107</v>
      </c>
      <c r="D315" t="s">
        <v>1781</v>
      </c>
      <c r="E315" t="s">
        <v>812</v>
      </c>
      <c r="F315" t="s">
        <v>7704</v>
      </c>
      <c r="H315" s="34">
        <v>10000</v>
      </c>
      <c r="I315" s="53"/>
    </row>
    <row r="316" spans="1:9" x14ac:dyDescent="0.3">
      <c r="A316" t="str">
        <f t="shared" si="4"/>
        <v>4Camden</v>
      </c>
      <c r="B316">
        <v>4</v>
      </c>
      <c r="C316" t="s">
        <v>107</v>
      </c>
      <c r="D316" t="s">
        <v>7913</v>
      </c>
      <c r="E316" t="s">
        <v>812</v>
      </c>
      <c r="F316" t="s">
        <v>7704</v>
      </c>
      <c r="H316" s="34">
        <v>7000</v>
      </c>
      <c r="I316" s="53"/>
    </row>
    <row r="317" spans="1:9" x14ac:dyDescent="0.3">
      <c r="A317" t="str">
        <f t="shared" si="4"/>
        <v>5Camden</v>
      </c>
      <c r="B317">
        <v>5</v>
      </c>
      <c r="C317" t="s">
        <v>107</v>
      </c>
      <c r="D317" t="s">
        <v>7914</v>
      </c>
      <c r="E317" t="s">
        <v>806</v>
      </c>
      <c r="F317" t="s">
        <v>807</v>
      </c>
      <c r="H317" s="34">
        <v>72250</v>
      </c>
      <c r="I317" s="53"/>
    </row>
    <row r="318" spans="1:9" x14ac:dyDescent="0.3">
      <c r="A318" t="str">
        <f t="shared" si="4"/>
        <v>6Camden</v>
      </c>
      <c r="B318">
        <v>6</v>
      </c>
      <c r="C318" t="s">
        <v>107</v>
      </c>
      <c r="D318" t="s">
        <v>1447</v>
      </c>
      <c r="E318" t="s">
        <v>842</v>
      </c>
      <c r="F318" t="s">
        <v>843</v>
      </c>
      <c r="H318" s="34">
        <v>1207926</v>
      </c>
      <c r="I318" s="53"/>
    </row>
    <row r="319" spans="1:9" x14ac:dyDescent="0.3">
      <c r="A319" t="str">
        <f t="shared" si="4"/>
        <v>7Camden</v>
      </c>
      <c r="B319">
        <v>7</v>
      </c>
      <c r="C319" t="s">
        <v>107</v>
      </c>
      <c r="D319" t="s">
        <v>7915</v>
      </c>
      <c r="E319" t="s">
        <v>1106</v>
      </c>
      <c r="F319" t="s">
        <v>7628</v>
      </c>
      <c r="H319" s="34">
        <v>27737</v>
      </c>
      <c r="I319" s="53"/>
    </row>
    <row r="320" spans="1:9" x14ac:dyDescent="0.3">
      <c r="A320" t="str">
        <f t="shared" si="4"/>
        <v>8Camden</v>
      </c>
      <c r="B320">
        <v>8</v>
      </c>
      <c r="C320" t="s">
        <v>107</v>
      </c>
      <c r="D320" t="s">
        <v>7916</v>
      </c>
      <c r="E320" t="s">
        <v>800</v>
      </c>
      <c r="F320" t="s">
        <v>903</v>
      </c>
      <c r="H320" s="34">
        <v>50000</v>
      </c>
      <c r="I320" s="53"/>
    </row>
    <row r="321" spans="1:9" x14ac:dyDescent="0.3">
      <c r="A321" t="str">
        <f t="shared" si="4"/>
        <v>9Camden</v>
      </c>
      <c r="B321">
        <v>9</v>
      </c>
      <c r="C321" t="s">
        <v>107</v>
      </c>
      <c r="D321" t="s">
        <v>7917</v>
      </c>
      <c r="E321" t="s">
        <v>812</v>
      </c>
      <c r="F321" t="s">
        <v>7704</v>
      </c>
      <c r="H321" s="34">
        <v>50000</v>
      </c>
      <c r="I321" s="53"/>
    </row>
    <row r="322" spans="1:9" x14ac:dyDescent="0.3">
      <c r="A322" t="str">
        <f t="shared" ref="A322:A385" si="5">B322&amp;C322</f>
        <v>10Camden</v>
      </c>
      <c r="B322">
        <v>10</v>
      </c>
      <c r="C322" t="s">
        <v>107</v>
      </c>
      <c r="D322" t="s">
        <v>7918</v>
      </c>
      <c r="E322" t="s">
        <v>812</v>
      </c>
      <c r="F322" t="s">
        <v>7704</v>
      </c>
      <c r="H322" s="34">
        <v>100000</v>
      </c>
      <c r="I322" s="53"/>
    </row>
    <row r="323" spans="1:9" x14ac:dyDescent="0.3">
      <c r="A323" t="str">
        <f t="shared" si="5"/>
        <v>11Camden</v>
      </c>
      <c r="B323">
        <v>11</v>
      </c>
      <c r="C323" t="s">
        <v>107</v>
      </c>
      <c r="D323" t="s">
        <v>7919</v>
      </c>
      <c r="E323" t="s">
        <v>1106</v>
      </c>
      <c r="F323" t="s">
        <v>7628</v>
      </c>
      <c r="H323" s="34">
        <v>80000</v>
      </c>
      <c r="I323" s="53"/>
    </row>
    <row r="324" spans="1:9" x14ac:dyDescent="0.3">
      <c r="A324" t="str">
        <f t="shared" si="5"/>
        <v>12Camden</v>
      </c>
      <c r="B324">
        <v>12</v>
      </c>
      <c r="C324" t="s">
        <v>107</v>
      </c>
      <c r="D324" t="s">
        <v>7920</v>
      </c>
      <c r="E324" t="s">
        <v>812</v>
      </c>
      <c r="F324" t="s">
        <v>7704</v>
      </c>
      <c r="H324" s="34">
        <v>9375</v>
      </c>
      <c r="I324" s="53"/>
    </row>
    <row r="325" spans="1:9" x14ac:dyDescent="0.3">
      <c r="A325" t="str">
        <f t="shared" si="5"/>
        <v>13Camden</v>
      </c>
      <c r="B325">
        <v>13</v>
      </c>
      <c r="C325" t="s">
        <v>107</v>
      </c>
      <c r="D325" t="s">
        <v>7921</v>
      </c>
      <c r="E325" t="s">
        <v>1106</v>
      </c>
      <c r="F325" t="s">
        <v>7628</v>
      </c>
      <c r="H325" s="34">
        <v>102785</v>
      </c>
      <c r="I325" s="53"/>
    </row>
    <row r="326" spans="1:9" x14ac:dyDescent="0.3">
      <c r="A326" t="str">
        <f t="shared" si="5"/>
        <v>14Camden</v>
      </c>
      <c r="B326">
        <v>14</v>
      </c>
      <c r="C326" t="s">
        <v>107</v>
      </c>
      <c r="D326" t="s">
        <v>434</v>
      </c>
      <c r="E326" t="s">
        <v>1113</v>
      </c>
      <c r="F326" t="s">
        <v>7637</v>
      </c>
      <c r="H326" s="34">
        <v>47000</v>
      </c>
      <c r="I326" s="53"/>
    </row>
    <row r="327" spans="1:9" x14ac:dyDescent="0.3">
      <c r="A327" t="str">
        <f t="shared" si="5"/>
        <v>1Central Bedfordshire</v>
      </c>
      <c r="B327">
        <v>1</v>
      </c>
      <c r="C327" t="s">
        <v>109</v>
      </c>
      <c r="D327" t="s">
        <v>7922</v>
      </c>
      <c r="E327" t="s">
        <v>7662</v>
      </c>
      <c r="H327" s="34">
        <v>22200</v>
      </c>
      <c r="I327" s="53"/>
    </row>
    <row r="328" spans="1:9" x14ac:dyDescent="0.3">
      <c r="A328" t="str">
        <f t="shared" si="5"/>
        <v>2Central Bedfordshire</v>
      </c>
      <c r="B328">
        <v>2</v>
      </c>
      <c r="C328" t="s">
        <v>109</v>
      </c>
      <c r="D328" t="s">
        <v>7923</v>
      </c>
      <c r="E328" t="s">
        <v>812</v>
      </c>
      <c r="H328" s="34">
        <v>16348</v>
      </c>
      <c r="I328" s="53"/>
    </row>
    <row r="329" spans="1:9" x14ac:dyDescent="0.3">
      <c r="A329" t="str">
        <f t="shared" si="5"/>
        <v>3Central Bedfordshire</v>
      </c>
      <c r="B329">
        <v>3</v>
      </c>
      <c r="C329" t="s">
        <v>109</v>
      </c>
      <c r="D329" t="s">
        <v>1063</v>
      </c>
      <c r="E329" t="s">
        <v>1106</v>
      </c>
      <c r="F329" t="s">
        <v>7628</v>
      </c>
      <c r="H329" s="34">
        <v>51000</v>
      </c>
      <c r="I329" s="53"/>
    </row>
    <row r="330" spans="1:9" x14ac:dyDescent="0.3">
      <c r="A330" t="str">
        <f t="shared" si="5"/>
        <v>4Central Bedfordshire</v>
      </c>
      <c r="B330">
        <v>4</v>
      </c>
      <c r="C330" t="s">
        <v>109</v>
      </c>
      <c r="D330" t="s">
        <v>7924</v>
      </c>
      <c r="E330" t="s">
        <v>7658</v>
      </c>
      <c r="H330" s="34">
        <v>39445</v>
      </c>
      <c r="I330" s="53"/>
    </row>
    <row r="331" spans="1:9" x14ac:dyDescent="0.3">
      <c r="A331" t="str">
        <f t="shared" si="5"/>
        <v>5Central Bedfordshire</v>
      </c>
      <c r="B331">
        <v>5</v>
      </c>
      <c r="C331" t="s">
        <v>109</v>
      </c>
      <c r="D331" t="s">
        <v>7925</v>
      </c>
      <c r="E331" t="s">
        <v>842</v>
      </c>
      <c r="F331" t="s">
        <v>843</v>
      </c>
      <c r="H331" s="34">
        <v>350000</v>
      </c>
      <c r="I331" s="53"/>
    </row>
    <row r="332" spans="1:9" x14ac:dyDescent="0.3">
      <c r="A332" t="str">
        <f t="shared" si="5"/>
        <v>6Central Bedfordshire</v>
      </c>
      <c r="B332">
        <v>6</v>
      </c>
      <c r="C332" t="s">
        <v>109</v>
      </c>
      <c r="D332" t="s">
        <v>7926</v>
      </c>
      <c r="E332" t="s">
        <v>842</v>
      </c>
      <c r="F332" t="s">
        <v>843</v>
      </c>
      <c r="H332" s="34">
        <v>208000</v>
      </c>
      <c r="I332" s="53"/>
    </row>
    <row r="333" spans="1:9" x14ac:dyDescent="0.3">
      <c r="A333" t="str">
        <f t="shared" si="5"/>
        <v>7Central Bedfordshire</v>
      </c>
      <c r="B333">
        <v>7</v>
      </c>
      <c r="C333" t="s">
        <v>109</v>
      </c>
      <c r="D333" t="s">
        <v>7927</v>
      </c>
      <c r="E333" t="s">
        <v>7658</v>
      </c>
      <c r="H333" s="34">
        <v>25000</v>
      </c>
      <c r="I333" s="53"/>
    </row>
    <row r="334" spans="1:9" x14ac:dyDescent="0.3">
      <c r="A334" t="str">
        <f t="shared" si="5"/>
        <v>8Central Bedfordshire</v>
      </c>
      <c r="B334">
        <v>8</v>
      </c>
      <c r="C334" t="s">
        <v>109</v>
      </c>
      <c r="D334" t="s">
        <v>7928</v>
      </c>
      <c r="E334" t="s">
        <v>5266</v>
      </c>
      <c r="F334" t="s">
        <v>7631</v>
      </c>
      <c r="H334" s="34">
        <v>714443</v>
      </c>
      <c r="I334" s="53"/>
    </row>
    <row r="335" spans="1:9" x14ac:dyDescent="0.3">
      <c r="A335" t="str">
        <f t="shared" si="5"/>
        <v>9Central Bedfordshire</v>
      </c>
      <c r="B335">
        <v>9</v>
      </c>
      <c r="C335" t="s">
        <v>109</v>
      </c>
      <c r="D335" t="s">
        <v>7928</v>
      </c>
      <c r="E335" t="s">
        <v>7658</v>
      </c>
      <c r="H335" s="34">
        <v>34000</v>
      </c>
      <c r="I335" s="53"/>
    </row>
    <row r="336" spans="1:9" x14ac:dyDescent="0.3">
      <c r="A336" t="str">
        <f t="shared" si="5"/>
        <v>10Central Bedfordshire</v>
      </c>
      <c r="B336">
        <v>10</v>
      </c>
      <c r="C336" t="s">
        <v>109</v>
      </c>
      <c r="D336" t="s">
        <v>7714</v>
      </c>
      <c r="E336" t="s">
        <v>7658</v>
      </c>
      <c r="H336" s="34">
        <v>14175.77764610285</v>
      </c>
      <c r="I336" s="53"/>
    </row>
    <row r="337" spans="1:9" x14ac:dyDescent="0.3">
      <c r="A337" t="str">
        <f t="shared" si="5"/>
        <v>11Central Bedfordshire</v>
      </c>
      <c r="B337">
        <v>11</v>
      </c>
      <c r="C337" t="s">
        <v>109</v>
      </c>
      <c r="D337" t="s">
        <v>7929</v>
      </c>
      <c r="E337" t="s">
        <v>812</v>
      </c>
      <c r="H337" s="34">
        <v>64000</v>
      </c>
      <c r="I337" s="53"/>
    </row>
    <row r="338" spans="1:9" x14ac:dyDescent="0.3">
      <c r="A338" t="str">
        <f t="shared" si="5"/>
        <v>12Central Bedfordshire</v>
      </c>
      <c r="B338">
        <v>12</v>
      </c>
      <c r="C338" t="s">
        <v>109</v>
      </c>
      <c r="D338" t="s">
        <v>7717</v>
      </c>
      <c r="E338" t="s">
        <v>812</v>
      </c>
      <c r="H338" s="34">
        <v>39650</v>
      </c>
      <c r="I338" s="53"/>
    </row>
    <row r="339" spans="1:9" x14ac:dyDescent="0.3">
      <c r="A339" t="str">
        <f t="shared" si="5"/>
        <v>13Central Bedfordshire</v>
      </c>
      <c r="B339">
        <v>13</v>
      </c>
      <c r="C339" t="s">
        <v>109</v>
      </c>
      <c r="D339" t="s">
        <v>1075</v>
      </c>
      <c r="E339" t="s">
        <v>1106</v>
      </c>
      <c r="F339" t="s">
        <v>7628</v>
      </c>
      <c r="H339" s="34">
        <v>563000</v>
      </c>
      <c r="I339" s="53"/>
    </row>
    <row r="340" spans="1:9" x14ac:dyDescent="0.3">
      <c r="A340" t="str">
        <f t="shared" si="5"/>
        <v>14Central Bedfordshire</v>
      </c>
      <c r="B340">
        <v>14</v>
      </c>
      <c r="C340" t="s">
        <v>109</v>
      </c>
      <c r="D340" t="s">
        <v>7930</v>
      </c>
      <c r="E340" t="s">
        <v>812</v>
      </c>
      <c r="H340" s="34">
        <v>99000</v>
      </c>
      <c r="I340" s="53"/>
    </row>
    <row r="341" spans="1:9" x14ac:dyDescent="0.3">
      <c r="A341" t="str">
        <f t="shared" si="5"/>
        <v>1Cheshire East</v>
      </c>
      <c r="B341">
        <v>1</v>
      </c>
      <c r="C341" t="s">
        <v>111</v>
      </c>
      <c r="D341" t="s">
        <v>7931</v>
      </c>
      <c r="E341" t="s">
        <v>812</v>
      </c>
      <c r="H341" s="34">
        <v>160000</v>
      </c>
      <c r="I341" s="53"/>
    </row>
    <row r="342" spans="1:9" x14ac:dyDescent="0.3">
      <c r="A342" t="str">
        <f t="shared" si="5"/>
        <v>2Cheshire East</v>
      </c>
      <c r="B342">
        <v>2</v>
      </c>
      <c r="C342" t="s">
        <v>111</v>
      </c>
      <c r="D342" t="s">
        <v>7932</v>
      </c>
      <c r="E342" t="s">
        <v>812</v>
      </c>
      <c r="H342" s="34">
        <v>300000</v>
      </c>
      <c r="I342" s="53"/>
    </row>
    <row r="343" spans="1:9" x14ac:dyDescent="0.3">
      <c r="A343" t="str">
        <f t="shared" si="5"/>
        <v>3Cheshire East</v>
      </c>
      <c r="B343">
        <v>3</v>
      </c>
      <c r="C343" t="s">
        <v>111</v>
      </c>
      <c r="D343" t="s">
        <v>7933</v>
      </c>
      <c r="E343" t="s">
        <v>812</v>
      </c>
      <c r="H343" s="34">
        <v>120000</v>
      </c>
      <c r="I343" s="53"/>
    </row>
    <row r="344" spans="1:9" x14ac:dyDescent="0.3">
      <c r="A344" t="str">
        <f t="shared" si="5"/>
        <v>4Cheshire East</v>
      </c>
      <c r="B344">
        <v>4</v>
      </c>
      <c r="C344" t="s">
        <v>111</v>
      </c>
      <c r="D344" t="s">
        <v>7934</v>
      </c>
      <c r="E344" t="s">
        <v>812</v>
      </c>
      <c r="H344" s="34">
        <v>70000</v>
      </c>
      <c r="I344" s="53"/>
    </row>
    <row r="345" spans="1:9" x14ac:dyDescent="0.3">
      <c r="A345" t="str">
        <f t="shared" si="5"/>
        <v>5Cheshire East</v>
      </c>
      <c r="B345">
        <v>5</v>
      </c>
      <c r="C345" t="s">
        <v>111</v>
      </c>
      <c r="D345" t="s">
        <v>7935</v>
      </c>
      <c r="E345" t="s">
        <v>812</v>
      </c>
      <c r="H345" s="34">
        <v>40000</v>
      </c>
      <c r="I345" s="53"/>
    </row>
    <row r="346" spans="1:9" x14ac:dyDescent="0.3">
      <c r="A346" t="str">
        <f t="shared" si="5"/>
        <v>6Cheshire East</v>
      </c>
      <c r="B346">
        <v>6</v>
      </c>
      <c r="C346" t="s">
        <v>111</v>
      </c>
      <c r="D346" t="s">
        <v>7936</v>
      </c>
      <c r="E346" t="s">
        <v>812</v>
      </c>
      <c r="H346" s="34">
        <v>60000</v>
      </c>
      <c r="I346" s="53"/>
    </row>
    <row r="347" spans="1:9" x14ac:dyDescent="0.3">
      <c r="A347" t="str">
        <f t="shared" si="5"/>
        <v>7Cheshire East</v>
      </c>
      <c r="B347">
        <v>7</v>
      </c>
      <c r="C347" t="s">
        <v>111</v>
      </c>
      <c r="D347" t="s">
        <v>1922</v>
      </c>
      <c r="E347" t="s">
        <v>800</v>
      </c>
      <c r="F347" t="s">
        <v>903</v>
      </c>
      <c r="H347" s="34">
        <v>50000</v>
      </c>
      <c r="I347" s="53"/>
    </row>
    <row r="348" spans="1:9" x14ac:dyDescent="0.3">
      <c r="A348" t="str">
        <f t="shared" si="5"/>
        <v>8Cheshire East</v>
      </c>
      <c r="B348">
        <v>8</v>
      </c>
      <c r="C348" t="s">
        <v>111</v>
      </c>
      <c r="D348" t="s">
        <v>7937</v>
      </c>
      <c r="E348" t="s">
        <v>812</v>
      </c>
      <c r="H348" s="34">
        <v>208865</v>
      </c>
      <c r="I348" s="53"/>
    </row>
    <row r="349" spans="1:9" x14ac:dyDescent="0.3">
      <c r="A349" t="str">
        <f t="shared" si="5"/>
        <v>9Cheshire East</v>
      </c>
      <c r="B349">
        <v>9</v>
      </c>
      <c r="C349" t="s">
        <v>111</v>
      </c>
      <c r="D349" t="s">
        <v>7938</v>
      </c>
      <c r="E349" t="s">
        <v>1113</v>
      </c>
      <c r="H349" s="34">
        <v>60000</v>
      </c>
      <c r="I349" s="53"/>
    </row>
    <row r="350" spans="1:9" x14ac:dyDescent="0.3">
      <c r="A350" t="str">
        <f t="shared" si="5"/>
        <v>10Cheshire East</v>
      </c>
      <c r="B350">
        <v>10</v>
      </c>
      <c r="C350" t="s">
        <v>111</v>
      </c>
      <c r="D350" t="s">
        <v>1927</v>
      </c>
      <c r="E350" t="s">
        <v>812</v>
      </c>
      <c r="H350" s="34">
        <v>15000</v>
      </c>
      <c r="I350" s="53"/>
    </row>
    <row r="351" spans="1:9" x14ac:dyDescent="0.3">
      <c r="A351" t="str">
        <f t="shared" si="5"/>
        <v>11Cheshire East</v>
      </c>
      <c r="B351">
        <v>11</v>
      </c>
      <c r="C351" t="s">
        <v>111</v>
      </c>
      <c r="D351" t="s">
        <v>7939</v>
      </c>
      <c r="E351" t="s">
        <v>812</v>
      </c>
      <c r="H351" s="34">
        <v>5000</v>
      </c>
      <c r="I351" s="53"/>
    </row>
    <row r="352" spans="1:9" x14ac:dyDescent="0.3">
      <c r="A352" t="str">
        <f t="shared" si="5"/>
        <v>12Cheshire East</v>
      </c>
      <c r="B352">
        <v>12</v>
      </c>
      <c r="C352" t="s">
        <v>111</v>
      </c>
      <c r="D352" t="s">
        <v>7940</v>
      </c>
      <c r="E352" t="s">
        <v>5266</v>
      </c>
      <c r="F352" t="s">
        <v>7643</v>
      </c>
      <c r="H352" s="34">
        <v>80000</v>
      </c>
      <c r="I352" s="53"/>
    </row>
    <row r="353" spans="1:9" x14ac:dyDescent="0.3">
      <c r="A353" t="str">
        <f t="shared" si="5"/>
        <v>13Cheshire East</v>
      </c>
      <c r="B353">
        <v>13</v>
      </c>
      <c r="C353" t="s">
        <v>111</v>
      </c>
      <c r="D353" t="s">
        <v>7941</v>
      </c>
      <c r="E353" t="s">
        <v>842</v>
      </c>
      <c r="H353" s="34">
        <v>85000</v>
      </c>
      <c r="I353" s="53"/>
    </row>
    <row r="354" spans="1:9" x14ac:dyDescent="0.3">
      <c r="A354" t="str">
        <f t="shared" si="5"/>
        <v>14Cheshire East</v>
      </c>
      <c r="B354">
        <v>14</v>
      </c>
      <c r="C354" t="s">
        <v>111</v>
      </c>
      <c r="D354" t="s">
        <v>7942</v>
      </c>
      <c r="E354" t="s">
        <v>812</v>
      </c>
      <c r="H354" s="34">
        <v>45000</v>
      </c>
      <c r="I354" s="53"/>
    </row>
    <row r="355" spans="1:9" x14ac:dyDescent="0.3">
      <c r="A355" t="str">
        <f t="shared" si="5"/>
        <v>15Cheshire East</v>
      </c>
      <c r="B355">
        <v>15</v>
      </c>
      <c r="C355" t="s">
        <v>111</v>
      </c>
      <c r="D355" t="s">
        <v>7943</v>
      </c>
      <c r="E355" t="s">
        <v>806</v>
      </c>
      <c r="F355" t="s">
        <v>812</v>
      </c>
      <c r="H355" s="34">
        <v>10000</v>
      </c>
      <c r="I355" s="53"/>
    </row>
    <row r="356" spans="1:9" x14ac:dyDescent="0.3">
      <c r="A356" t="str">
        <f t="shared" si="5"/>
        <v>16Cheshire East</v>
      </c>
      <c r="B356">
        <v>16</v>
      </c>
      <c r="C356" t="s">
        <v>111</v>
      </c>
      <c r="D356" t="s">
        <v>7944</v>
      </c>
      <c r="E356" t="s">
        <v>812</v>
      </c>
      <c r="H356" s="34">
        <v>125000</v>
      </c>
      <c r="I356" s="53"/>
    </row>
    <row r="357" spans="1:9" x14ac:dyDescent="0.3">
      <c r="A357" t="str">
        <f t="shared" si="5"/>
        <v>17Cheshire East</v>
      </c>
      <c r="B357">
        <v>17</v>
      </c>
      <c r="C357" t="s">
        <v>111</v>
      </c>
      <c r="D357" t="s">
        <v>7945</v>
      </c>
      <c r="E357" t="s">
        <v>806</v>
      </c>
      <c r="F357" t="s">
        <v>812</v>
      </c>
      <c r="H357" s="34">
        <v>60000</v>
      </c>
      <c r="I357" s="53"/>
    </row>
    <row r="358" spans="1:9" x14ac:dyDescent="0.3">
      <c r="A358" t="str">
        <f t="shared" si="5"/>
        <v>18Cheshire East</v>
      </c>
      <c r="B358">
        <v>18</v>
      </c>
      <c r="C358" t="s">
        <v>111</v>
      </c>
      <c r="D358" t="s">
        <v>7946</v>
      </c>
      <c r="E358" t="s">
        <v>7658</v>
      </c>
      <c r="H358" s="34">
        <v>40000</v>
      </c>
      <c r="I358" s="53"/>
    </row>
    <row r="359" spans="1:9" x14ac:dyDescent="0.3">
      <c r="A359" t="str">
        <f t="shared" si="5"/>
        <v>19Cheshire East</v>
      </c>
      <c r="B359">
        <v>19</v>
      </c>
      <c r="C359" t="s">
        <v>111</v>
      </c>
      <c r="D359" t="s">
        <v>7947</v>
      </c>
      <c r="E359" t="s">
        <v>812</v>
      </c>
      <c r="H359" s="34">
        <v>208552.75</v>
      </c>
      <c r="I359" s="53"/>
    </row>
    <row r="360" spans="1:9" x14ac:dyDescent="0.3">
      <c r="A360" t="str">
        <f t="shared" si="5"/>
        <v>20Cheshire East</v>
      </c>
      <c r="B360">
        <v>20</v>
      </c>
      <c r="C360" t="s">
        <v>111</v>
      </c>
      <c r="D360" t="s">
        <v>1932</v>
      </c>
      <c r="E360" t="s">
        <v>1113</v>
      </c>
      <c r="F360" t="s">
        <v>7629</v>
      </c>
      <c r="H360" s="34">
        <v>250000</v>
      </c>
      <c r="I360" s="53"/>
    </row>
    <row r="361" spans="1:9" x14ac:dyDescent="0.3">
      <c r="A361" t="str">
        <f t="shared" si="5"/>
        <v>21Cheshire East</v>
      </c>
      <c r="B361">
        <v>21</v>
      </c>
      <c r="C361" t="s">
        <v>111</v>
      </c>
      <c r="D361" t="s">
        <v>7948</v>
      </c>
      <c r="E361" t="s">
        <v>806</v>
      </c>
      <c r="F361" t="s">
        <v>7642</v>
      </c>
      <c r="H361" s="34">
        <v>138300</v>
      </c>
      <c r="I361" s="53"/>
    </row>
    <row r="362" spans="1:9" x14ac:dyDescent="0.3">
      <c r="A362" t="str">
        <f t="shared" si="5"/>
        <v>22Cheshire East</v>
      </c>
      <c r="B362">
        <v>22</v>
      </c>
      <c r="C362" t="s">
        <v>111</v>
      </c>
      <c r="D362" t="s">
        <v>1934</v>
      </c>
      <c r="E362" t="s">
        <v>1113</v>
      </c>
      <c r="F362" t="s">
        <v>7629</v>
      </c>
      <c r="H362" s="34">
        <v>12500</v>
      </c>
      <c r="I362" s="53"/>
    </row>
    <row r="363" spans="1:9" x14ac:dyDescent="0.3">
      <c r="A363" t="str">
        <f t="shared" si="5"/>
        <v>23Cheshire East</v>
      </c>
      <c r="B363">
        <v>23</v>
      </c>
      <c r="C363" t="s">
        <v>111</v>
      </c>
      <c r="D363" t="s">
        <v>7949</v>
      </c>
      <c r="E363" t="s">
        <v>806</v>
      </c>
      <c r="F363" t="s">
        <v>7642</v>
      </c>
      <c r="H363" s="34">
        <v>115139</v>
      </c>
      <c r="I363" s="53"/>
    </row>
    <row r="364" spans="1:9" x14ac:dyDescent="0.3">
      <c r="A364" t="str">
        <f t="shared" si="5"/>
        <v>24Cheshire East</v>
      </c>
      <c r="B364">
        <v>24</v>
      </c>
      <c r="C364" t="s">
        <v>111</v>
      </c>
      <c r="D364" t="s">
        <v>7950</v>
      </c>
      <c r="E364" t="s">
        <v>806</v>
      </c>
      <c r="F364" t="s">
        <v>7642</v>
      </c>
      <c r="H364" s="34">
        <v>20750</v>
      </c>
      <c r="I364" s="53"/>
    </row>
    <row r="365" spans="1:9" x14ac:dyDescent="0.3">
      <c r="A365" t="str">
        <f t="shared" si="5"/>
        <v>25Cheshire East</v>
      </c>
      <c r="B365">
        <v>25</v>
      </c>
      <c r="C365" t="s">
        <v>111</v>
      </c>
      <c r="D365" t="s">
        <v>7951</v>
      </c>
      <c r="E365" t="s">
        <v>812</v>
      </c>
      <c r="H365" s="34">
        <v>15000</v>
      </c>
      <c r="I365" s="53"/>
    </row>
    <row r="366" spans="1:9" x14ac:dyDescent="0.3">
      <c r="A366" t="str">
        <f t="shared" si="5"/>
        <v>26Cheshire East</v>
      </c>
      <c r="B366">
        <v>26</v>
      </c>
      <c r="C366" t="s">
        <v>111</v>
      </c>
      <c r="D366" t="s">
        <v>7952</v>
      </c>
      <c r="E366" t="s">
        <v>842</v>
      </c>
      <c r="F366" t="s">
        <v>843</v>
      </c>
      <c r="H366" s="34">
        <v>100000</v>
      </c>
      <c r="I366" s="53"/>
    </row>
    <row r="367" spans="1:9" x14ac:dyDescent="0.3">
      <c r="A367" t="str">
        <f t="shared" si="5"/>
        <v>27Cheshire East</v>
      </c>
      <c r="B367">
        <v>27</v>
      </c>
      <c r="C367" t="s">
        <v>111</v>
      </c>
      <c r="D367" t="s">
        <v>7953</v>
      </c>
      <c r="E367" t="s">
        <v>806</v>
      </c>
      <c r="H367" s="34">
        <v>1000000</v>
      </c>
      <c r="I367" s="53"/>
    </row>
    <row r="368" spans="1:9" x14ac:dyDescent="0.3">
      <c r="A368" t="str">
        <f t="shared" si="5"/>
        <v>28Cheshire East</v>
      </c>
      <c r="B368">
        <v>28</v>
      </c>
      <c r="C368" t="s">
        <v>111</v>
      </c>
      <c r="D368" t="s">
        <v>7954</v>
      </c>
      <c r="E368" t="s">
        <v>812</v>
      </c>
      <c r="H368" s="34">
        <v>30000</v>
      </c>
      <c r="I368" s="53"/>
    </row>
    <row r="369" spans="1:9" x14ac:dyDescent="0.3">
      <c r="A369" t="str">
        <f t="shared" si="5"/>
        <v>29Cheshire East</v>
      </c>
      <c r="B369">
        <v>29</v>
      </c>
      <c r="C369" t="s">
        <v>111</v>
      </c>
      <c r="D369" t="s">
        <v>7955</v>
      </c>
      <c r="E369" t="s">
        <v>812</v>
      </c>
      <c r="H369" s="34">
        <v>80000</v>
      </c>
      <c r="I369" s="53"/>
    </row>
    <row r="370" spans="1:9" x14ac:dyDescent="0.3">
      <c r="A370" t="str">
        <f t="shared" si="5"/>
        <v>30Cheshire East</v>
      </c>
      <c r="B370">
        <v>30</v>
      </c>
      <c r="C370" t="s">
        <v>111</v>
      </c>
      <c r="D370" t="s">
        <v>7956</v>
      </c>
      <c r="E370" t="s">
        <v>812</v>
      </c>
      <c r="H370" s="34">
        <v>250000</v>
      </c>
      <c r="I370" s="53"/>
    </row>
    <row r="371" spans="1:9" x14ac:dyDescent="0.3">
      <c r="A371" t="str">
        <f t="shared" si="5"/>
        <v>1Cheshire West and Chester</v>
      </c>
      <c r="B371">
        <v>1</v>
      </c>
      <c r="C371" t="s">
        <v>113</v>
      </c>
      <c r="D371" t="s">
        <v>7957</v>
      </c>
      <c r="E371" t="s">
        <v>812</v>
      </c>
      <c r="H371" s="34">
        <v>10000</v>
      </c>
      <c r="I371" s="53"/>
    </row>
    <row r="372" spans="1:9" x14ac:dyDescent="0.3">
      <c r="A372" t="str">
        <f t="shared" si="5"/>
        <v>2Cheshire West and Chester</v>
      </c>
      <c r="B372">
        <v>2</v>
      </c>
      <c r="C372" t="s">
        <v>113</v>
      </c>
      <c r="D372" t="s">
        <v>7958</v>
      </c>
      <c r="E372" t="s">
        <v>7657</v>
      </c>
      <c r="F372" t="s">
        <v>7632</v>
      </c>
      <c r="H372" s="34">
        <v>120000</v>
      </c>
      <c r="I372" s="53"/>
    </row>
    <row r="373" spans="1:9" x14ac:dyDescent="0.3">
      <c r="A373" t="str">
        <f t="shared" si="5"/>
        <v>3Cheshire West and Chester</v>
      </c>
      <c r="B373">
        <v>3</v>
      </c>
      <c r="C373" t="s">
        <v>113</v>
      </c>
      <c r="D373" t="s">
        <v>7959</v>
      </c>
      <c r="E373" t="s">
        <v>7657</v>
      </c>
      <c r="F373" t="s">
        <v>7632</v>
      </c>
      <c r="H373" s="34">
        <v>156000</v>
      </c>
      <c r="I373" s="53"/>
    </row>
    <row r="374" spans="1:9" x14ac:dyDescent="0.3">
      <c r="A374" t="str">
        <f t="shared" si="5"/>
        <v>4Cheshire West and Chester</v>
      </c>
      <c r="B374">
        <v>4</v>
      </c>
      <c r="C374" t="s">
        <v>113</v>
      </c>
      <c r="D374" t="s">
        <v>7960</v>
      </c>
      <c r="E374" t="s">
        <v>1106</v>
      </c>
      <c r="F374" t="s">
        <v>7628</v>
      </c>
      <c r="H374" s="34">
        <v>358000</v>
      </c>
      <c r="I374" s="53"/>
    </row>
    <row r="375" spans="1:9" x14ac:dyDescent="0.3">
      <c r="A375" t="str">
        <f t="shared" si="5"/>
        <v>5Cheshire West and Chester</v>
      </c>
      <c r="B375">
        <v>5</v>
      </c>
      <c r="C375" t="s">
        <v>113</v>
      </c>
      <c r="D375" t="s">
        <v>7961</v>
      </c>
      <c r="E375" t="s">
        <v>842</v>
      </c>
      <c r="F375" t="s">
        <v>843</v>
      </c>
      <c r="H375" s="34">
        <v>353000</v>
      </c>
      <c r="I375" s="53"/>
    </row>
    <row r="376" spans="1:9" x14ac:dyDescent="0.3">
      <c r="A376" t="str">
        <f t="shared" si="5"/>
        <v>6Cheshire West and Chester</v>
      </c>
      <c r="B376">
        <v>6</v>
      </c>
      <c r="C376" t="s">
        <v>113</v>
      </c>
      <c r="D376" t="s">
        <v>7962</v>
      </c>
      <c r="E376" t="s">
        <v>5266</v>
      </c>
      <c r="F376" t="s">
        <v>7631</v>
      </c>
      <c r="H376" s="34">
        <v>769682</v>
      </c>
      <c r="I376" s="53"/>
    </row>
    <row r="377" spans="1:9" x14ac:dyDescent="0.3">
      <c r="A377" t="str">
        <f t="shared" si="5"/>
        <v>7Cheshire West and Chester</v>
      </c>
      <c r="B377">
        <v>7</v>
      </c>
      <c r="C377" t="s">
        <v>113</v>
      </c>
      <c r="D377" t="s">
        <v>7963</v>
      </c>
      <c r="E377" t="s">
        <v>800</v>
      </c>
      <c r="F377" t="s">
        <v>903</v>
      </c>
      <c r="H377" s="34">
        <v>200000</v>
      </c>
      <c r="I377" s="53"/>
    </row>
    <row r="378" spans="1:9" x14ac:dyDescent="0.3">
      <c r="A378" t="str">
        <f t="shared" si="5"/>
        <v>8Cheshire West and Chester</v>
      </c>
      <c r="B378">
        <v>8</v>
      </c>
      <c r="C378" t="s">
        <v>113</v>
      </c>
      <c r="D378" t="s">
        <v>7964</v>
      </c>
      <c r="E378" t="s">
        <v>1106</v>
      </c>
      <c r="F378" t="s">
        <v>7628</v>
      </c>
      <c r="H378" s="34">
        <v>362000</v>
      </c>
      <c r="I378" s="53"/>
    </row>
    <row r="379" spans="1:9" x14ac:dyDescent="0.3">
      <c r="A379" t="str">
        <f t="shared" si="5"/>
        <v>9Cheshire West and Chester</v>
      </c>
      <c r="B379">
        <v>9</v>
      </c>
      <c r="C379" t="s">
        <v>113</v>
      </c>
      <c r="D379" t="s">
        <v>7965</v>
      </c>
      <c r="E379" t="s">
        <v>7657</v>
      </c>
      <c r="F379" t="s">
        <v>7632</v>
      </c>
      <c r="H379" s="34">
        <v>60000</v>
      </c>
      <c r="I379" s="53"/>
    </row>
    <row r="380" spans="1:9" x14ac:dyDescent="0.3">
      <c r="A380" t="str">
        <f t="shared" si="5"/>
        <v>10Cheshire West and Chester</v>
      </c>
      <c r="B380">
        <v>10</v>
      </c>
      <c r="C380" t="s">
        <v>113</v>
      </c>
      <c r="D380" t="s">
        <v>7966</v>
      </c>
      <c r="E380" t="s">
        <v>7658</v>
      </c>
      <c r="H380" s="34">
        <v>312000</v>
      </c>
      <c r="I380" s="53"/>
    </row>
    <row r="381" spans="1:9" x14ac:dyDescent="0.3">
      <c r="A381" t="str">
        <f t="shared" si="5"/>
        <v>11Cheshire West and Chester</v>
      </c>
      <c r="B381">
        <v>11</v>
      </c>
      <c r="C381" t="s">
        <v>113</v>
      </c>
      <c r="D381" t="s">
        <v>7967</v>
      </c>
      <c r="E381" t="s">
        <v>1113</v>
      </c>
      <c r="F381" t="s">
        <v>7637</v>
      </c>
      <c r="H381" s="34">
        <v>40000</v>
      </c>
      <c r="I381" s="53"/>
    </row>
    <row r="382" spans="1:9" x14ac:dyDescent="0.3">
      <c r="A382" t="str">
        <f t="shared" si="5"/>
        <v>12Cheshire West and Chester</v>
      </c>
      <c r="B382">
        <v>12</v>
      </c>
      <c r="C382" t="s">
        <v>113</v>
      </c>
      <c r="D382" t="s">
        <v>7968</v>
      </c>
      <c r="E382" t="s">
        <v>812</v>
      </c>
      <c r="H382" s="34">
        <v>60000</v>
      </c>
      <c r="I382" s="53"/>
    </row>
    <row r="383" spans="1:9" x14ac:dyDescent="0.3">
      <c r="A383" t="str">
        <f t="shared" si="5"/>
        <v>13Cheshire West and Chester</v>
      </c>
      <c r="B383">
        <v>13</v>
      </c>
      <c r="C383" t="s">
        <v>113</v>
      </c>
      <c r="D383" t="s">
        <v>7969</v>
      </c>
      <c r="E383" t="s">
        <v>812</v>
      </c>
      <c r="H383" s="34">
        <v>80000</v>
      </c>
      <c r="I383" s="53"/>
    </row>
    <row r="384" spans="1:9" x14ac:dyDescent="0.3">
      <c r="A384" t="str">
        <f t="shared" si="5"/>
        <v>14Cheshire West and Chester</v>
      </c>
      <c r="B384">
        <v>14</v>
      </c>
      <c r="C384" t="s">
        <v>113</v>
      </c>
      <c r="D384" t="s">
        <v>7970</v>
      </c>
      <c r="E384" t="s">
        <v>7657</v>
      </c>
      <c r="F384" t="s">
        <v>7632</v>
      </c>
      <c r="H384" s="34">
        <v>26666.67</v>
      </c>
      <c r="I384" s="53"/>
    </row>
    <row r="385" spans="1:9" x14ac:dyDescent="0.3">
      <c r="A385" t="str">
        <f t="shared" si="5"/>
        <v>15Cheshire West and Chester</v>
      </c>
      <c r="B385">
        <v>15</v>
      </c>
      <c r="C385" t="s">
        <v>113</v>
      </c>
      <c r="D385" t="s">
        <v>7971</v>
      </c>
      <c r="E385" t="s">
        <v>1106</v>
      </c>
      <c r="F385" t="s">
        <v>7628</v>
      </c>
      <c r="H385" s="34">
        <v>797360</v>
      </c>
      <c r="I385" s="53"/>
    </row>
    <row r="386" spans="1:9" x14ac:dyDescent="0.3">
      <c r="A386" t="str">
        <f t="shared" ref="A386:A449" si="6">B386&amp;C386</f>
        <v>16Cheshire West and Chester</v>
      </c>
      <c r="B386">
        <v>16</v>
      </c>
      <c r="C386" t="s">
        <v>113</v>
      </c>
      <c r="D386" t="s">
        <v>7972</v>
      </c>
      <c r="E386" t="s">
        <v>1106</v>
      </c>
      <c r="F386" t="s">
        <v>7628</v>
      </c>
      <c r="H386" s="34">
        <v>171200</v>
      </c>
      <c r="I386" s="53"/>
    </row>
    <row r="387" spans="1:9" x14ac:dyDescent="0.3">
      <c r="A387" t="str">
        <f t="shared" si="6"/>
        <v>1City of London</v>
      </c>
      <c r="B387">
        <v>1</v>
      </c>
      <c r="C387" t="s">
        <v>115</v>
      </c>
      <c r="D387" t="s">
        <v>7973</v>
      </c>
      <c r="E387" t="s">
        <v>842</v>
      </c>
      <c r="F387" t="s">
        <v>843</v>
      </c>
      <c r="H387" s="34">
        <v>7200</v>
      </c>
      <c r="I387" s="53"/>
    </row>
    <row r="388" spans="1:9" x14ac:dyDescent="0.3">
      <c r="A388" t="str">
        <f t="shared" si="6"/>
        <v>2City of London</v>
      </c>
      <c r="B388">
        <v>2</v>
      </c>
      <c r="C388" t="s">
        <v>115</v>
      </c>
      <c r="D388" t="s">
        <v>7974</v>
      </c>
      <c r="E388" t="s">
        <v>842</v>
      </c>
      <c r="F388" t="s">
        <v>843</v>
      </c>
      <c r="H388" s="34">
        <v>7560</v>
      </c>
      <c r="I388" s="53"/>
    </row>
    <row r="389" spans="1:9" x14ac:dyDescent="0.3">
      <c r="A389" t="str">
        <f t="shared" si="6"/>
        <v>3City of London</v>
      </c>
      <c r="B389">
        <v>3</v>
      </c>
      <c r="C389" t="s">
        <v>115</v>
      </c>
      <c r="D389" t="s">
        <v>7975</v>
      </c>
      <c r="E389" t="s">
        <v>7658</v>
      </c>
      <c r="H389" s="34">
        <v>25500</v>
      </c>
      <c r="I389" s="53"/>
    </row>
    <row r="390" spans="1:9" x14ac:dyDescent="0.3">
      <c r="A390" t="str">
        <f t="shared" si="6"/>
        <v>4City of London</v>
      </c>
      <c r="B390">
        <v>4</v>
      </c>
      <c r="C390" t="s">
        <v>115</v>
      </c>
      <c r="D390" t="s">
        <v>2939</v>
      </c>
      <c r="E390" t="s">
        <v>1113</v>
      </c>
      <c r="F390" t="s">
        <v>7637</v>
      </c>
      <c r="H390" s="34">
        <v>3000</v>
      </c>
      <c r="I390" s="53"/>
    </row>
    <row r="391" spans="1:9" x14ac:dyDescent="0.3">
      <c r="A391" t="str">
        <f t="shared" si="6"/>
        <v>5City of London</v>
      </c>
      <c r="B391">
        <v>5</v>
      </c>
      <c r="C391" t="s">
        <v>115</v>
      </c>
      <c r="D391" t="s">
        <v>5039</v>
      </c>
      <c r="E391" t="s">
        <v>1106</v>
      </c>
      <c r="F391" t="s">
        <v>7628</v>
      </c>
      <c r="H391" s="34">
        <v>18000</v>
      </c>
      <c r="I391" s="53"/>
    </row>
    <row r="392" spans="1:9" x14ac:dyDescent="0.3">
      <c r="A392" t="str">
        <f t="shared" si="6"/>
        <v>6City of London</v>
      </c>
      <c r="B392">
        <v>6</v>
      </c>
      <c r="C392" t="s">
        <v>115</v>
      </c>
      <c r="D392" t="s">
        <v>5039</v>
      </c>
      <c r="E392" t="s">
        <v>806</v>
      </c>
      <c r="F392" t="s">
        <v>807</v>
      </c>
      <c r="H392" s="34">
        <v>24506</v>
      </c>
      <c r="I392" s="53"/>
    </row>
    <row r="393" spans="1:9" x14ac:dyDescent="0.3">
      <c r="A393" t="str">
        <f t="shared" si="6"/>
        <v>1Cornwall &amp; Scilly</v>
      </c>
      <c r="B393">
        <v>1</v>
      </c>
      <c r="C393" t="s">
        <v>117</v>
      </c>
      <c r="D393" t="s">
        <v>7976</v>
      </c>
      <c r="E393" t="s">
        <v>7658</v>
      </c>
      <c r="H393" s="34">
        <v>200000</v>
      </c>
      <c r="I393" s="53"/>
    </row>
    <row r="394" spans="1:9" x14ac:dyDescent="0.3">
      <c r="A394" t="str">
        <f t="shared" si="6"/>
        <v>2Cornwall &amp; Scilly</v>
      </c>
      <c r="B394">
        <v>2</v>
      </c>
      <c r="C394" t="s">
        <v>117</v>
      </c>
      <c r="D394" t="s">
        <v>7977</v>
      </c>
      <c r="E394" t="s">
        <v>842</v>
      </c>
      <c r="F394" t="s">
        <v>843</v>
      </c>
      <c r="H394" s="34">
        <v>1367000</v>
      </c>
      <c r="I394" s="53"/>
    </row>
    <row r="395" spans="1:9" x14ac:dyDescent="0.3">
      <c r="A395" t="str">
        <f t="shared" si="6"/>
        <v>3Cornwall &amp; Scilly</v>
      </c>
      <c r="B395">
        <v>3</v>
      </c>
      <c r="C395" t="s">
        <v>117</v>
      </c>
      <c r="D395" t="s">
        <v>7978</v>
      </c>
      <c r="E395" t="s">
        <v>5266</v>
      </c>
      <c r="F395" t="s">
        <v>7646</v>
      </c>
      <c r="H395" s="34">
        <v>400000</v>
      </c>
      <c r="I395" s="53"/>
    </row>
    <row r="396" spans="1:9" x14ac:dyDescent="0.3">
      <c r="A396" t="str">
        <f t="shared" si="6"/>
        <v>4Cornwall &amp; Scilly</v>
      </c>
      <c r="B396">
        <v>4</v>
      </c>
      <c r="C396" t="s">
        <v>117</v>
      </c>
      <c r="D396" t="s">
        <v>7979</v>
      </c>
      <c r="E396" t="s">
        <v>7658</v>
      </c>
      <c r="H396" s="34">
        <v>332327</v>
      </c>
      <c r="I396" s="53"/>
    </row>
    <row r="397" spans="1:9" x14ac:dyDescent="0.3">
      <c r="A397" t="str">
        <f t="shared" si="6"/>
        <v>5Cornwall &amp; Scilly</v>
      </c>
      <c r="B397">
        <v>5</v>
      </c>
      <c r="C397" t="s">
        <v>117</v>
      </c>
      <c r="D397" t="s">
        <v>7980</v>
      </c>
      <c r="E397" t="s">
        <v>812</v>
      </c>
      <c r="H397" s="34">
        <v>200000</v>
      </c>
      <c r="I397" s="53"/>
    </row>
    <row r="398" spans="1:9" x14ac:dyDescent="0.3">
      <c r="A398" t="str">
        <f t="shared" si="6"/>
        <v>6Cornwall &amp; Scilly</v>
      </c>
      <c r="B398">
        <v>6</v>
      </c>
      <c r="C398" t="s">
        <v>117</v>
      </c>
      <c r="D398" t="s">
        <v>7981</v>
      </c>
      <c r="E398" t="s">
        <v>1113</v>
      </c>
      <c r="F398" t="s">
        <v>7629</v>
      </c>
      <c r="H398" s="34">
        <v>1700000</v>
      </c>
      <c r="I398" s="53"/>
    </row>
    <row r="399" spans="1:9" x14ac:dyDescent="0.3">
      <c r="A399" t="str">
        <f t="shared" si="6"/>
        <v>7Cornwall &amp; Scilly</v>
      </c>
      <c r="B399">
        <v>7</v>
      </c>
      <c r="C399" t="s">
        <v>117</v>
      </c>
      <c r="D399" t="s">
        <v>7982</v>
      </c>
      <c r="E399" t="s">
        <v>842</v>
      </c>
      <c r="F399" t="s">
        <v>843</v>
      </c>
      <c r="H399" s="34">
        <v>290000</v>
      </c>
      <c r="I399" s="53"/>
    </row>
    <row r="400" spans="1:9" x14ac:dyDescent="0.3">
      <c r="A400" t="str">
        <f t="shared" si="6"/>
        <v>8Cornwall &amp; Scilly</v>
      </c>
      <c r="B400">
        <v>8</v>
      </c>
      <c r="C400" t="s">
        <v>117</v>
      </c>
      <c r="D400" t="s">
        <v>7983</v>
      </c>
      <c r="E400" t="s">
        <v>1106</v>
      </c>
      <c r="F400" t="s">
        <v>7628</v>
      </c>
      <c r="H400" s="34">
        <v>150000</v>
      </c>
      <c r="I400" s="53"/>
    </row>
    <row r="401" spans="1:9" x14ac:dyDescent="0.3">
      <c r="A401" t="str">
        <f t="shared" si="6"/>
        <v>9Cornwall &amp; Scilly</v>
      </c>
      <c r="B401">
        <v>9</v>
      </c>
      <c r="C401" t="s">
        <v>117</v>
      </c>
      <c r="D401" t="s">
        <v>7984</v>
      </c>
      <c r="E401" t="s">
        <v>1106</v>
      </c>
      <c r="F401" t="s">
        <v>7628</v>
      </c>
      <c r="H401" s="34">
        <v>200000</v>
      </c>
      <c r="I401" s="53"/>
    </row>
    <row r="402" spans="1:9" x14ac:dyDescent="0.3">
      <c r="A402" t="str">
        <f t="shared" si="6"/>
        <v>10Cornwall &amp; Scilly</v>
      </c>
      <c r="B402">
        <v>10</v>
      </c>
      <c r="C402" t="s">
        <v>117</v>
      </c>
      <c r="D402" t="s">
        <v>7985</v>
      </c>
      <c r="E402" t="s">
        <v>806</v>
      </c>
      <c r="F402" t="s">
        <v>917</v>
      </c>
      <c r="H402" s="34">
        <v>300000</v>
      </c>
      <c r="I402" s="53"/>
    </row>
    <row r="403" spans="1:9" x14ac:dyDescent="0.3">
      <c r="A403" t="str">
        <f t="shared" si="6"/>
        <v>11Cornwall &amp; Scilly</v>
      </c>
      <c r="B403">
        <v>11</v>
      </c>
      <c r="C403" t="s">
        <v>117</v>
      </c>
      <c r="D403" t="s">
        <v>7986</v>
      </c>
      <c r="E403" t="s">
        <v>812</v>
      </c>
      <c r="H403" s="34">
        <v>70000</v>
      </c>
      <c r="I403" s="53"/>
    </row>
    <row r="404" spans="1:9" x14ac:dyDescent="0.3">
      <c r="A404" t="str">
        <f t="shared" si="6"/>
        <v>12Cornwall &amp; Scilly</v>
      </c>
      <c r="B404">
        <v>12</v>
      </c>
      <c r="C404" t="s">
        <v>117</v>
      </c>
      <c r="D404" t="s">
        <v>7987</v>
      </c>
      <c r="E404" t="s">
        <v>812</v>
      </c>
      <c r="H404" s="34">
        <v>200000</v>
      </c>
      <c r="I404" s="53"/>
    </row>
    <row r="405" spans="1:9" x14ac:dyDescent="0.3">
      <c r="A405" t="str">
        <f t="shared" si="6"/>
        <v>13Cornwall &amp; Scilly</v>
      </c>
      <c r="B405">
        <v>13</v>
      </c>
      <c r="C405" t="s">
        <v>117</v>
      </c>
      <c r="D405" t="s">
        <v>7988</v>
      </c>
      <c r="E405" t="s">
        <v>7658</v>
      </c>
      <c r="H405" s="34">
        <v>600000</v>
      </c>
      <c r="I405" s="53"/>
    </row>
    <row r="406" spans="1:9" x14ac:dyDescent="0.3">
      <c r="A406" t="str">
        <f t="shared" si="6"/>
        <v>14Cornwall &amp; Scilly</v>
      </c>
      <c r="B406">
        <v>14</v>
      </c>
      <c r="C406" t="s">
        <v>117</v>
      </c>
      <c r="D406" t="s">
        <v>7989</v>
      </c>
      <c r="E406" t="s">
        <v>5266</v>
      </c>
      <c r="F406" t="s">
        <v>7646</v>
      </c>
      <c r="H406" s="34">
        <v>175000</v>
      </c>
      <c r="I406" s="53"/>
    </row>
    <row r="407" spans="1:9" x14ac:dyDescent="0.3">
      <c r="A407" t="str">
        <f t="shared" si="6"/>
        <v>15Cornwall &amp; Scilly</v>
      </c>
      <c r="B407">
        <v>15</v>
      </c>
      <c r="C407" t="s">
        <v>117</v>
      </c>
      <c r="D407" t="s">
        <v>7990</v>
      </c>
      <c r="E407" t="s">
        <v>7658</v>
      </c>
      <c r="H407" s="34">
        <v>10552</v>
      </c>
      <c r="I407" s="53"/>
    </row>
    <row r="408" spans="1:9" x14ac:dyDescent="0.3">
      <c r="A408" t="str">
        <f t="shared" si="6"/>
        <v>16Cornwall &amp; Scilly</v>
      </c>
      <c r="B408">
        <v>16</v>
      </c>
      <c r="C408" t="s">
        <v>117</v>
      </c>
      <c r="D408" t="s">
        <v>7991</v>
      </c>
      <c r="E408" t="s">
        <v>800</v>
      </c>
      <c r="F408" t="s">
        <v>903</v>
      </c>
      <c r="H408" s="34">
        <v>857260</v>
      </c>
      <c r="I408" s="53"/>
    </row>
    <row r="409" spans="1:9" x14ac:dyDescent="0.3">
      <c r="A409" t="str">
        <f t="shared" si="6"/>
        <v>17Cornwall &amp; Scilly</v>
      </c>
      <c r="B409">
        <v>17</v>
      </c>
      <c r="C409" t="s">
        <v>117</v>
      </c>
      <c r="D409" t="s">
        <v>7992</v>
      </c>
      <c r="E409" t="s">
        <v>7662</v>
      </c>
      <c r="H409" s="34">
        <v>71233</v>
      </c>
      <c r="I409" s="53"/>
    </row>
    <row r="410" spans="1:9" x14ac:dyDescent="0.3">
      <c r="A410" t="str">
        <f t="shared" si="6"/>
        <v>1County Durham</v>
      </c>
      <c r="B410">
        <v>1</v>
      </c>
      <c r="C410" t="s">
        <v>119</v>
      </c>
      <c r="D410" t="s">
        <v>7993</v>
      </c>
      <c r="E410" t="s">
        <v>7657</v>
      </c>
      <c r="F410" t="s">
        <v>7640</v>
      </c>
      <c r="H410" s="34">
        <v>500000</v>
      </c>
      <c r="I410" s="53"/>
    </row>
    <row r="411" spans="1:9" x14ac:dyDescent="0.3">
      <c r="A411" t="str">
        <f t="shared" si="6"/>
        <v>2County Durham</v>
      </c>
      <c r="B411">
        <v>2</v>
      </c>
      <c r="C411" t="s">
        <v>119</v>
      </c>
      <c r="D411" t="s">
        <v>7994</v>
      </c>
      <c r="E411" t="s">
        <v>7649</v>
      </c>
      <c r="F411" t="s">
        <v>7638</v>
      </c>
      <c r="H411" s="34">
        <v>14239</v>
      </c>
      <c r="I411" s="53"/>
    </row>
    <row r="412" spans="1:9" x14ac:dyDescent="0.3">
      <c r="A412" t="str">
        <f t="shared" si="6"/>
        <v>3County Durham</v>
      </c>
      <c r="B412">
        <v>3</v>
      </c>
      <c r="C412" t="s">
        <v>119</v>
      </c>
      <c r="D412" t="s">
        <v>7995</v>
      </c>
      <c r="E412" t="s">
        <v>7649</v>
      </c>
      <c r="F412" t="s">
        <v>7638</v>
      </c>
      <c r="H412" s="34">
        <v>14273</v>
      </c>
      <c r="I412" s="53"/>
    </row>
    <row r="413" spans="1:9" x14ac:dyDescent="0.3">
      <c r="A413" t="str">
        <f t="shared" si="6"/>
        <v>4County Durham</v>
      </c>
      <c r="B413">
        <v>4</v>
      </c>
      <c r="C413" t="s">
        <v>119</v>
      </c>
      <c r="D413" t="s">
        <v>7996</v>
      </c>
      <c r="E413" t="s">
        <v>5266</v>
      </c>
      <c r="F413" t="s">
        <v>7643</v>
      </c>
      <c r="H413" s="34">
        <v>56000</v>
      </c>
      <c r="I413" s="53"/>
    </row>
    <row r="414" spans="1:9" x14ac:dyDescent="0.3">
      <c r="A414" t="str">
        <f t="shared" si="6"/>
        <v>5County Durham</v>
      </c>
      <c r="B414">
        <v>5</v>
      </c>
      <c r="C414" t="s">
        <v>119</v>
      </c>
      <c r="D414" t="s">
        <v>7997</v>
      </c>
      <c r="E414" t="s">
        <v>806</v>
      </c>
      <c r="F414" t="s">
        <v>807</v>
      </c>
      <c r="H414" s="34">
        <v>600000</v>
      </c>
      <c r="I414" s="53"/>
    </row>
    <row r="415" spans="1:9" x14ac:dyDescent="0.3">
      <c r="A415" t="str">
        <f t="shared" si="6"/>
        <v>6County Durham</v>
      </c>
      <c r="B415">
        <v>6</v>
      </c>
      <c r="C415" t="s">
        <v>119</v>
      </c>
      <c r="D415" t="s">
        <v>7998</v>
      </c>
      <c r="E415" t="s">
        <v>7657</v>
      </c>
      <c r="F415" t="s">
        <v>7640</v>
      </c>
      <c r="H415" s="34">
        <v>1005000</v>
      </c>
      <c r="I415" s="53"/>
    </row>
    <row r="416" spans="1:9" x14ac:dyDescent="0.3">
      <c r="A416" t="str">
        <f t="shared" si="6"/>
        <v>7County Durham</v>
      </c>
      <c r="B416">
        <v>7</v>
      </c>
      <c r="C416" t="s">
        <v>119</v>
      </c>
      <c r="D416" t="s">
        <v>7999</v>
      </c>
      <c r="E416" t="s">
        <v>7658</v>
      </c>
      <c r="H416" s="34">
        <v>100000</v>
      </c>
      <c r="I416" s="53"/>
    </row>
    <row r="417" spans="1:9" x14ac:dyDescent="0.3">
      <c r="A417" t="str">
        <f t="shared" si="6"/>
        <v>8County Durham</v>
      </c>
      <c r="B417">
        <v>8</v>
      </c>
      <c r="C417" t="s">
        <v>119</v>
      </c>
      <c r="D417" t="s">
        <v>8000</v>
      </c>
      <c r="E417" t="s">
        <v>806</v>
      </c>
      <c r="F417" t="s">
        <v>7642</v>
      </c>
      <c r="H417" s="34">
        <v>360000</v>
      </c>
      <c r="I417" s="53"/>
    </row>
    <row r="418" spans="1:9" x14ac:dyDescent="0.3">
      <c r="A418" t="str">
        <f t="shared" si="6"/>
        <v>9County Durham</v>
      </c>
      <c r="B418">
        <v>9</v>
      </c>
      <c r="C418" t="s">
        <v>119</v>
      </c>
      <c r="D418" t="s">
        <v>8001</v>
      </c>
      <c r="E418" t="s">
        <v>5266</v>
      </c>
      <c r="F418" t="s">
        <v>7631</v>
      </c>
      <c r="H418" s="34">
        <v>327000</v>
      </c>
      <c r="I418" s="53"/>
    </row>
    <row r="419" spans="1:9" x14ac:dyDescent="0.3">
      <c r="A419" t="str">
        <f t="shared" si="6"/>
        <v>10County Durham</v>
      </c>
      <c r="B419">
        <v>10</v>
      </c>
      <c r="C419" t="s">
        <v>119</v>
      </c>
      <c r="D419" t="s">
        <v>8002</v>
      </c>
      <c r="E419" t="s">
        <v>5266</v>
      </c>
      <c r="F419" t="s">
        <v>7631</v>
      </c>
      <c r="H419" s="34">
        <v>521297</v>
      </c>
      <c r="I419" s="53"/>
    </row>
    <row r="420" spans="1:9" x14ac:dyDescent="0.3">
      <c r="A420" t="str">
        <f t="shared" si="6"/>
        <v>11County Durham</v>
      </c>
      <c r="B420">
        <v>11</v>
      </c>
      <c r="C420" t="s">
        <v>119</v>
      </c>
      <c r="D420" t="s">
        <v>8003</v>
      </c>
      <c r="E420" t="s">
        <v>5266</v>
      </c>
      <c r="F420" t="s">
        <v>7631</v>
      </c>
      <c r="H420" s="34">
        <v>937000</v>
      </c>
      <c r="I420" s="53"/>
    </row>
    <row r="421" spans="1:9" x14ac:dyDescent="0.3">
      <c r="A421" t="str">
        <f t="shared" si="6"/>
        <v>12County Durham</v>
      </c>
      <c r="B421">
        <v>12</v>
      </c>
      <c r="C421" t="s">
        <v>119</v>
      </c>
      <c r="D421" t="s">
        <v>8004</v>
      </c>
      <c r="E421" t="s">
        <v>1106</v>
      </c>
      <c r="F421" t="s">
        <v>7628</v>
      </c>
      <c r="H421" s="34">
        <v>166940</v>
      </c>
      <c r="I421" s="53"/>
    </row>
    <row r="422" spans="1:9" x14ac:dyDescent="0.3">
      <c r="A422" t="str">
        <f t="shared" si="6"/>
        <v>13County Durham</v>
      </c>
      <c r="B422">
        <v>13</v>
      </c>
      <c r="C422" t="s">
        <v>119</v>
      </c>
      <c r="D422" t="s">
        <v>8005</v>
      </c>
      <c r="E422" t="s">
        <v>5266</v>
      </c>
      <c r="F422" t="s">
        <v>7643</v>
      </c>
      <c r="H422" s="34">
        <v>90602</v>
      </c>
      <c r="I422" s="53"/>
    </row>
    <row r="423" spans="1:9" x14ac:dyDescent="0.3">
      <c r="A423" t="str">
        <f t="shared" si="6"/>
        <v>14County Durham</v>
      </c>
      <c r="B423">
        <v>14</v>
      </c>
      <c r="C423" t="s">
        <v>119</v>
      </c>
      <c r="D423" t="s">
        <v>8006</v>
      </c>
      <c r="E423" t="s">
        <v>7649</v>
      </c>
      <c r="F423" t="s">
        <v>7638</v>
      </c>
      <c r="H423" s="34">
        <v>76345</v>
      </c>
      <c r="I423" s="53"/>
    </row>
    <row r="424" spans="1:9" x14ac:dyDescent="0.3">
      <c r="A424" t="str">
        <f t="shared" si="6"/>
        <v>15County Durham</v>
      </c>
      <c r="B424">
        <v>15</v>
      </c>
      <c r="C424" t="s">
        <v>119</v>
      </c>
      <c r="D424" t="s">
        <v>8007</v>
      </c>
      <c r="E424" t="s">
        <v>7649</v>
      </c>
      <c r="F424" t="s">
        <v>7638</v>
      </c>
      <c r="H424" s="34">
        <v>15000</v>
      </c>
      <c r="I424" s="53"/>
    </row>
    <row r="425" spans="1:9" x14ac:dyDescent="0.3">
      <c r="A425" t="str">
        <f t="shared" si="6"/>
        <v>16County Durham</v>
      </c>
      <c r="B425">
        <v>16</v>
      </c>
      <c r="C425" t="s">
        <v>119</v>
      </c>
      <c r="D425" t="s">
        <v>8008</v>
      </c>
      <c r="E425" t="s">
        <v>7649</v>
      </c>
      <c r="F425" t="s">
        <v>7638</v>
      </c>
      <c r="H425" s="34">
        <v>38685</v>
      </c>
      <c r="I425" s="53"/>
    </row>
    <row r="426" spans="1:9" x14ac:dyDescent="0.3">
      <c r="A426" t="str">
        <f t="shared" si="6"/>
        <v>1Coventry</v>
      </c>
      <c r="B426">
        <v>1</v>
      </c>
      <c r="C426" t="s">
        <v>121</v>
      </c>
      <c r="D426" t="s">
        <v>8009</v>
      </c>
      <c r="E426" t="s">
        <v>7657</v>
      </c>
      <c r="F426" t="s">
        <v>7632</v>
      </c>
      <c r="H426" s="34">
        <v>34500</v>
      </c>
      <c r="I426" s="53"/>
    </row>
    <row r="427" spans="1:9" x14ac:dyDescent="0.3">
      <c r="A427" t="str">
        <f t="shared" si="6"/>
        <v>2Coventry</v>
      </c>
      <c r="B427">
        <v>2</v>
      </c>
      <c r="C427" t="s">
        <v>121</v>
      </c>
      <c r="D427" t="s">
        <v>8010</v>
      </c>
      <c r="E427" t="s">
        <v>7657</v>
      </c>
      <c r="F427" t="s">
        <v>7632</v>
      </c>
      <c r="H427" s="34">
        <v>62426</v>
      </c>
      <c r="I427" s="53"/>
    </row>
    <row r="428" spans="1:9" x14ac:dyDescent="0.3">
      <c r="A428" t="str">
        <f t="shared" si="6"/>
        <v>3Coventry</v>
      </c>
      <c r="B428">
        <v>3</v>
      </c>
      <c r="C428" t="s">
        <v>121</v>
      </c>
      <c r="D428" t="s">
        <v>8011</v>
      </c>
      <c r="E428" t="s">
        <v>7657</v>
      </c>
      <c r="F428" t="s">
        <v>7632</v>
      </c>
      <c r="H428" s="34">
        <v>101010</v>
      </c>
      <c r="I428" s="53"/>
    </row>
    <row r="429" spans="1:9" x14ac:dyDescent="0.3">
      <c r="A429" t="str">
        <f t="shared" si="6"/>
        <v>4Coventry</v>
      </c>
      <c r="B429">
        <v>4</v>
      </c>
      <c r="C429" t="s">
        <v>121</v>
      </c>
      <c r="D429" t="s">
        <v>8012</v>
      </c>
      <c r="E429" t="s">
        <v>7657</v>
      </c>
      <c r="F429" t="s">
        <v>7632</v>
      </c>
      <c r="H429" s="34">
        <v>134680</v>
      </c>
      <c r="I429" s="53"/>
    </row>
    <row r="430" spans="1:9" x14ac:dyDescent="0.3">
      <c r="A430" t="str">
        <f t="shared" si="6"/>
        <v>5Coventry</v>
      </c>
      <c r="B430">
        <v>5</v>
      </c>
      <c r="C430" t="s">
        <v>121</v>
      </c>
      <c r="D430" t="s">
        <v>8013</v>
      </c>
      <c r="E430" t="s">
        <v>7657</v>
      </c>
      <c r="F430" t="s">
        <v>7632</v>
      </c>
      <c r="H430" s="34">
        <v>14265</v>
      </c>
      <c r="I430" s="53"/>
    </row>
    <row r="431" spans="1:9" x14ac:dyDescent="0.3">
      <c r="A431" t="str">
        <f t="shared" si="6"/>
        <v>6Coventry</v>
      </c>
      <c r="B431">
        <v>6</v>
      </c>
      <c r="C431" t="s">
        <v>121</v>
      </c>
      <c r="D431" t="s">
        <v>8014</v>
      </c>
      <c r="E431" t="s">
        <v>7657</v>
      </c>
      <c r="F431" t="s">
        <v>7632</v>
      </c>
      <c r="H431" s="34">
        <v>28530</v>
      </c>
      <c r="I431" s="53"/>
    </row>
    <row r="432" spans="1:9" x14ac:dyDescent="0.3">
      <c r="A432" t="str">
        <f t="shared" si="6"/>
        <v>7Coventry</v>
      </c>
      <c r="B432">
        <v>7</v>
      </c>
      <c r="C432" t="s">
        <v>121</v>
      </c>
      <c r="D432" t="s">
        <v>8015</v>
      </c>
      <c r="E432" t="s">
        <v>7657</v>
      </c>
      <c r="F432" t="s">
        <v>7632</v>
      </c>
      <c r="H432" s="34">
        <v>14040</v>
      </c>
      <c r="I432" s="53"/>
    </row>
    <row r="433" spans="1:9" x14ac:dyDescent="0.3">
      <c r="A433" t="str">
        <f t="shared" si="6"/>
        <v>8Coventry</v>
      </c>
      <c r="B433">
        <v>8</v>
      </c>
      <c r="C433" t="s">
        <v>121</v>
      </c>
      <c r="D433" t="s">
        <v>8016</v>
      </c>
      <c r="E433" t="s">
        <v>800</v>
      </c>
      <c r="F433" t="s">
        <v>812</v>
      </c>
      <c r="H433" s="34">
        <v>50000</v>
      </c>
      <c r="I433" s="53"/>
    </row>
    <row r="434" spans="1:9" x14ac:dyDescent="0.3">
      <c r="A434" t="str">
        <f t="shared" si="6"/>
        <v>9Coventry</v>
      </c>
      <c r="B434">
        <v>9</v>
      </c>
      <c r="C434" t="s">
        <v>121</v>
      </c>
      <c r="D434" t="s">
        <v>8017</v>
      </c>
      <c r="E434" t="s">
        <v>7657</v>
      </c>
      <c r="F434" t="s">
        <v>7632</v>
      </c>
      <c r="H434" s="34">
        <v>129870</v>
      </c>
      <c r="I434" s="53"/>
    </row>
    <row r="435" spans="1:9" x14ac:dyDescent="0.3">
      <c r="A435" t="str">
        <f t="shared" si="6"/>
        <v>10Coventry</v>
      </c>
      <c r="B435">
        <v>10</v>
      </c>
      <c r="C435" t="s">
        <v>121</v>
      </c>
      <c r="D435" t="s">
        <v>8018</v>
      </c>
      <c r="E435" t="s">
        <v>7649</v>
      </c>
      <c r="F435" t="s">
        <v>7638</v>
      </c>
      <c r="H435" s="34">
        <v>73250</v>
      </c>
      <c r="I435" s="53"/>
    </row>
    <row r="436" spans="1:9" x14ac:dyDescent="0.3">
      <c r="A436" t="str">
        <f t="shared" si="6"/>
        <v>11Coventry</v>
      </c>
      <c r="B436">
        <v>11</v>
      </c>
      <c r="C436" t="s">
        <v>121</v>
      </c>
      <c r="D436" t="s">
        <v>8019</v>
      </c>
      <c r="E436" t="s">
        <v>7657</v>
      </c>
      <c r="F436" t="s">
        <v>7632</v>
      </c>
      <c r="H436" s="34">
        <v>85000</v>
      </c>
      <c r="I436" s="53"/>
    </row>
    <row r="437" spans="1:9" x14ac:dyDescent="0.3">
      <c r="A437" t="str">
        <f t="shared" si="6"/>
        <v>12Coventry</v>
      </c>
      <c r="B437">
        <v>12</v>
      </c>
      <c r="C437" t="s">
        <v>121</v>
      </c>
      <c r="D437" t="s">
        <v>2575</v>
      </c>
      <c r="E437" t="s">
        <v>812</v>
      </c>
      <c r="H437" s="34">
        <v>7500</v>
      </c>
      <c r="I437" s="53"/>
    </row>
    <row r="438" spans="1:9" x14ac:dyDescent="0.3">
      <c r="A438" t="str">
        <f t="shared" si="6"/>
        <v>13Coventry</v>
      </c>
      <c r="B438">
        <v>13</v>
      </c>
      <c r="C438" t="s">
        <v>121</v>
      </c>
      <c r="D438" t="s">
        <v>8020</v>
      </c>
      <c r="E438" t="s">
        <v>7657</v>
      </c>
      <c r="F438" t="s">
        <v>7632</v>
      </c>
      <c r="H438" s="34">
        <v>50000</v>
      </c>
      <c r="I438" s="53"/>
    </row>
    <row r="439" spans="1:9" x14ac:dyDescent="0.3">
      <c r="A439" t="str">
        <f t="shared" si="6"/>
        <v>14Coventry</v>
      </c>
      <c r="B439">
        <v>14</v>
      </c>
      <c r="C439" t="s">
        <v>121</v>
      </c>
      <c r="D439" t="s">
        <v>8021</v>
      </c>
      <c r="E439" t="s">
        <v>7657</v>
      </c>
      <c r="F439" t="s">
        <v>7632</v>
      </c>
      <c r="H439" s="34">
        <v>213000</v>
      </c>
      <c r="I439" s="53"/>
    </row>
    <row r="440" spans="1:9" x14ac:dyDescent="0.3">
      <c r="A440" t="str">
        <f t="shared" si="6"/>
        <v>15Coventry</v>
      </c>
      <c r="B440">
        <v>15</v>
      </c>
      <c r="C440" t="s">
        <v>121</v>
      </c>
      <c r="D440" t="s">
        <v>8022</v>
      </c>
      <c r="E440" t="s">
        <v>842</v>
      </c>
      <c r="F440" t="s">
        <v>7636</v>
      </c>
      <c r="H440" s="34">
        <v>200000</v>
      </c>
      <c r="I440" s="53"/>
    </row>
    <row r="441" spans="1:9" x14ac:dyDescent="0.3">
      <c r="A441" t="str">
        <f t="shared" si="6"/>
        <v>16Coventry</v>
      </c>
      <c r="B441">
        <v>16</v>
      </c>
      <c r="C441" t="s">
        <v>121</v>
      </c>
      <c r="D441" t="s">
        <v>8023</v>
      </c>
      <c r="E441" t="s">
        <v>1106</v>
      </c>
      <c r="F441" t="s">
        <v>7628</v>
      </c>
      <c r="H441" s="34">
        <v>378000</v>
      </c>
      <c r="I441" s="53"/>
    </row>
    <row r="442" spans="1:9" x14ac:dyDescent="0.3">
      <c r="A442" t="str">
        <f t="shared" si="6"/>
        <v>17Coventry</v>
      </c>
      <c r="B442">
        <v>17</v>
      </c>
      <c r="C442" t="s">
        <v>121</v>
      </c>
      <c r="D442" t="s">
        <v>8024</v>
      </c>
      <c r="E442" t="s">
        <v>7657</v>
      </c>
      <c r="F442" t="s">
        <v>7632</v>
      </c>
      <c r="H442" s="34">
        <v>55315</v>
      </c>
      <c r="I442" s="53"/>
    </row>
    <row r="443" spans="1:9" x14ac:dyDescent="0.3">
      <c r="A443" t="str">
        <f t="shared" si="6"/>
        <v>18Coventry</v>
      </c>
      <c r="B443">
        <v>18</v>
      </c>
      <c r="C443" t="s">
        <v>121</v>
      </c>
      <c r="D443" t="s">
        <v>8025</v>
      </c>
      <c r="E443" t="s">
        <v>1113</v>
      </c>
      <c r="F443" t="s">
        <v>7637</v>
      </c>
      <c r="H443" s="34">
        <v>488634</v>
      </c>
      <c r="I443" s="53"/>
    </row>
    <row r="444" spans="1:9" x14ac:dyDescent="0.3">
      <c r="A444" t="str">
        <f t="shared" si="6"/>
        <v>19Coventry</v>
      </c>
      <c r="B444">
        <v>19</v>
      </c>
      <c r="C444" t="s">
        <v>121</v>
      </c>
      <c r="D444" t="s">
        <v>8026</v>
      </c>
      <c r="E444" t="s">
        <v>5266</v>
      </c>
      <c r="F444" t="s">
        <v>7639</v>
      </c>
      <c r="H444" s="34">
        <v>150900</v>
      </c>
      <c r="I444" s="53"/>
    </row>
    <row r="445" spans="1:9" x14ac:dyDescent="0.3">
      <c r="A445" t="str">
        <f t="shared" si="6"/>
        <v>20Coventry</v>
      </c>
      <c r="B445">
        <v>20</v>
      </c>
      <c r="C445" t="s">
        <v>121</v>
      </c>
      <c r="D445" t="s">
        <v>8027</v>
      </c>
      <c r="E445" t="s">
        <v>1106</v>
      </c>
      <c r="F445" t="s">
        <v>7628</v>
      </c>
      <c r="H445" s="34">
        <v>608005</v>
      </c>
      <c r="I445" s="53"/>
    </row>
    <row r="446" spans="1:9" x14ac:dyDescent="0.3">
      <c r="A446" t="str">
        <f t="shared" si="6"/>
        <v>21Coventry</v>
      </c>
      <c r="B446">
        <v>21</v>
      </c>
      <c r="C446" t="s">
        <v>121</v>
      </c>
      <c r="D446" t="s">
        <v>8028</v>
      </c>
      <c r="E446" t="s">
        <v>7657</v>
      </c>
      <c r="F446" t="s">
        <v>7632</v>
      </c>
      <c r="H446" s="34">
        <v>153920</v>
      </c>
      <c r="I446" s="53"/>
    </row>
    <row r="447" spans="1:9" x14ac:dyDescent="0.3">
      <c r="A447" t="str">
        <f t="shared" si="6"/>
        <v>22Coventry</v>
      </c>
      <c r="B447">
        <v>22</v>
      </c>
      <c r="C447" t="s">
        <v>121</v>
      </c>
      <c r="D447" t="s">
        <v>8029</v>
      </c>
      <c r="E447" t="s">
        <v>7657</v>
      </c>
      <c r="F447" t="s">
        <v>7632</v>
      </c>
      <c r="H447" s="34">
        <v>86580</v>
      </c>
      <c r="I447" s="53"/>
    </row>
    <row r="448" spans="1:9" x14ac:dyDescent="0.3">
      <c r="A448" t="str">
        <f t="shared" si="6"/>
        <v>23Coventry</v>
      </c>
      <c r="B448">
        <v>23</v>
      </c>
      <c r="C448" t="s">
        <v>121</v>
      </c>
      <c r="D448" t="s">
        <v>8030</v>
      </c>
      <c r="E448" t="s">
        <v>812</v>
      </c>
      <c r="H448" s="34">
        <v>200000</v>
      </c>
      <c r="I448" s="53"/>
    </row>
    <row r="449" spans="1:9" x14ac:dyDescent="0.3">
      <c r="A449" t="str">
        <f t="shared" si="6"/>
        <v>24Coventry</v>
      </c>
      <c r="B449">
        <v>24</v>
      </c>
      <c r="C449" t="s">
        <v>121</v>
      </c>
      <c r="D449" t="s">
        <v>8031</v>
      </c>
      <c r="E449" t="s">
        <v>812</v>
      </c>
      <c r="H449" s="34">
        <v>249368</v>
      </c>
      <c r="I449" s="53"/>
    </row>
    <row r="450" spans="1:9" x14ac:dyDescent="0.3">
      <c r="A450" t="str">
        <f t="shared" ref="A450:A513" si="7">B450&amp;C450</f>
        <v>25Coventry</v>
      </c>
      <c r="B450">
        <v>25</v>
      </c>
      <c r="C450" t="s">
        <v>121</v>
      </c>
      <c r="D450" t="s">
        <v>8032</v>
      </c>
      <c r="E450" t="s">
        <v>5266</v>
      </c>
      <c r="F450" t="s">
        <v>7631</v>
      </c>
      <c r="H450" s="34">
        <v>250000</v>
      </c>
      <c r="I450" s="53"/>
    </row>
    <row r="451" spans="1:9" x14ac:dyDescent="0.3">
      <c r="A451" t="str">
        <f t="shared" si="7"/>
        <v>26Coventry</v>
      </c>
      <c r="B451">
        <v>26</v>
      </c>
      <c r="C451" t="s">
        <v>121</v>
      </c>
      <c r="D451" t="s">
        <v>2335</v>
      </c>
      <c r="E451" t="s">
        <v>812</v>
      </c>
      <c r="H451" s="34">
        <v>90000</v>
      </c>
      <c r="I451" s="53"/>
    </row>
    <row r="452" spans="1:9" x14ac:dyDescent="0.3">
      <c r="A452" t="str">
        <f t="shared" si="7"/>
        <v>1Croydon</v>
      </c>
      <c r="B452">
        <v>1</v>
      </c>
      <c r="C452" t="s">
        <v>123</v>
      </c>
      <c r="D452" t="s">
        <v>8033</v>
      </c>
      <c r="E452" t="s">
        <v>806</v>
      </c>
      <c r="F452" t="s">
        <v>917</v>
      </c>
      <c r="H452" s="34">
        <v>135800</v>
      </c>
      <c r="I452" s="53"/>
    </row>
    <row r="453" spans="1:9" x14ac:dyDescent="0.3">
      <c r="A453" t="str">
        <f t="shared" si="7"/>
        <v>2Croydon</v>
      </c>
      <c r="B453">
        <v>2</v>
      </c>
      <c r="C453" t="s">
        <v>123</v>
      </c>
      <c r="D453" t="s">
        <v>8034</v>
      </c>
      <c r="E453" t="s">
        <v>800</v>
      </c>
      <c r="F453" t="s">
        <v>903</v>
      </c>
      <c r="H453" s="34">
        <v>300000</v>
      </c>
      <c r="I453" s="53"/>
    </row>
    <row r="454" spans="1:9" x14ac:dyDescent="0.3">
      <c r="A454" t="str">
        <f t="shared" si="7"/>
        <v>3Croydon</v>
      </c>
      <c r="B454">
        <v>3</v>
      </c>
      <c r="C454" t="s">
        <v>123</v>
      </c>
      <c r="D454" t="s">
        <v>8035</v>
      </c>
      <c r="E454" t="s">
        <v>7657</v>
      </c>
      <c r="F454" t="s">
        <v>7632</v>
      </c>
      <c r="H454" s="34">
        <v>75000</v>
      </c>
      <c r="I454" s="53"/>
    </row>
    <row r="455" spans="1:9" x14ac:dyDescent="0.3">
      <c r="A455" t="str">
        <f t="shared" si="7"/>
        <v>4Croydon</v>
      </c>
      <c r="B455">
        <v>4</v>
      </c>
      <c r="C455" t="s">
        <v>123</v>
      </c>
      <c r="D455" t="s">
        <v>8036</v>
      </c>
      <c r="E455" t="s">
        <v>7657</v>
      </c>
      <c r="F455" t="s">
        <v>7632</v>
      </c>
      <c r="H455" s="34">
        <v>37333</v>
      </c>
      <c r="I455" s="53"/>
    </row>
    <row r="456" spans="1:9" x14ac:dyDescent="0.3">
      <c r="A456" t="str">
        <f t="shared" si="7"/>
        <v>5Croydon</v>
      </c>
      <c r="B456">
        <v>5</v>
      </c>
      <c r="C456" t="s">
        <v>123</v>
      </c>
      <c r="D456" t="s">
        <v>8037</v>
      </c>
      <c r="E456" t="s">
        <v>7657</v>
      </c>
      <c r="F456" t="s">
        <v>7640</v>
      </c>
      <c r="H456" s="34">
        <v>23000</v>
      </c>
      <c r="I456" s="53"/>
    </row>
    <row r="457" spans="1:9" x14ac:dyDescent="0.3">
      <c r="A457" t="str">
        <f t="shared" si="7"/>
        <v>6Croydon</v>
      </c>
      <c r="B457">
        <v>6</v>
      </c>
      <c r="C457" t="s">
        <v>123</v>
      </c>
      <c r="D457" t="s">
        <v>7662</v>
      </c>
      <c r="E457" t="s">
        <v>7662</v>
      </c>
      <c r="H457" s="34">
        <v>26864</v>
      </c>
      <c r="I457" s="53"/>
    </row>
    <row r="458" spans="1:9" x14ac:dyDescent="0.3">
      <c r="A458" t="str">
        <f t="shared" si="7"/>
        <v>7Croydon</v>
      </c>
      <c r="B458">
        <v>7</v>
      </c>
      <c r="C458" t="s">
        <v>123</v>
      </c>
      <c r="D458" t="s">
        <v>8038</v>
      </c>
      <c r="E458" t="s">
        <v>7657</v>
      </c>
      <c r="F458" t="s">
        <v>7640</v>
      </c>
      <c r="H458" s="34">
        <v>100088</v>
      </c>
      <c r="I458" s="53"/>
    </row>
    <row r="459" spans="1:9" x14ac:dyDescent="0.3">
      <c r="A459" t="str">
        <f t="shared" si="7"/>
        <v>8Croydon</v>
      </c>
      <c r="B459">
        <v>8</v>
      </c>
      <c r="C459" t="s">
        <v>123</v>
      </c>
      <c r="D459" t="s">
        <v>8039</v>
      </c>
      <c r="E459" t="s">
        <v>806</v>
      </c>
      <c r="F459" t="s">
        <v>807</v>
      </c>
      <c r="H459" s="34">
        <v>38500</v>
      </c>
      <c r="I459" s="53"/>
    </row>
    <row r="460" spans="1:9" x14ac:dyDescent="0.3">
      <c r="A460" t="str">
        <f t="shared" si="7"/>
        <v>9Croydon</v>
      </c>
      <c r="B460">
        <v>9</v>
      </c>
      <c r="C460" t="s">
        <v>123</v>
      </c>
      <c r="D460" t="s">
        <v>8040</v>
      </c>
      <c r="E460" t="s">
        <v>806</v>
      </c>
      <c r="F460" t="s">
        <v>807</v>
      </c>
      <c r="H460" s="34">
        <v>15552</v>
      </c>
      <c r="I460" s="53"/>
    </row>
    <row r="461" spans="1:9" x14ac:dyDescent="0.3">
      <c r="A461" t="str">
        <f t="shared" si="7"/>
        <v>10Croydon</v>
      </c>
      <c r="B461">
        <v>10</v>
      </c>
      <c r="C461" t="s">
        <v>123</v>
      </c>
      <c r="D461" t="s">
        <v>8041</v>
      </c>
      <c r="E461" t="s">
        <v>7657</v>
      </c>
      <c r="F461" t="s">
        <v>7632</v>
      </c>
      <c r="H461" s="34">
        <v>48384</v>
      </c>
      <c r="I461" s="53"/>
    </row>
    <row r="462" spans="1:9" x14ac:dyDescent="0.3">
      <c r="A462" t="str">
        <f t="shared" si="7"/>
        <v>11Croydon</v>
      </c>
      <c r="B462">
        <v>11</v>
      </c>
      <c r="C462" t="s">
        <v>123</v>
      </c>
      <c r="D462" t="s">
        <v>8042</v>
      </c>
      <c r="E462" t="s">
        <v>7657</v>
      </c>
      <c r="F462" t="s">
        <v>7640</v>
      </c>
      <c r="H462" s="34">
        <v>24000</v>
      </c>
      <c r="I462" s="53"/>
    </row>
    <row r="463" spans="1:9" x14ac:dyDescent="0.3">
      <c r="A463" t="str">
        <f t="shared" si="7"/>
        <v>12Croydon</v>
      </c>
      <c r="B463">
        <v>12</v>
      </c>
      <c r="C463" t="s">
        <v>123</v>
      </c>
      <c r="D463" t="s">
        <v>8043</v>
      </c>
      <c r="E463" t="s">
        <v>7657</v>
      </c>
      <c r="F463" t="s">
        <v>7632</v>
      </c>
      <c r="H463" s="34">
        <v>60480</v>
      </c>
      <c r="I463" s="53"/>
    </row>
    <row r="464" spans="1:9" x14ac:dyDescent="0.3">
      <c r="A464" t="str">
        <f t="shared" si="7"/>
        <v>13Croydon</v>
      </c>
      <c r="B464">
        <v>13</v>
      </c>
      <c r="C464" t="s">
        <v>123</v>
      </c>
      <c r="D464" t="s">
        <v>8044</v>
      </c>
      <c r="E464" t="s">
        <v>806</v>
      </c>
      <c r="F464" t="s">
        <v>812</v>
      </c>
      <c r="H464" s="34">
        <v>18666</v>
      </c>
      <c r="I464" s="53"/>
    </row>
    <row r="465" spans="1:9" x14ac:dyDescent="0.3">
      <c r="A465" t="str">
        <f t="shared" si="7"/>
        <v>14Croydon</v>
      </c>
      <c r="B465">
        <v>14</v>
      </c>
      <c r="C465" t="s">
        <v>123</v>
      </c>
      <c r="D465" t="s">
        <v>8045</v>
      </c>
      <c r="E465" t="s">
        <v>7657</v>
      </c>
      <c r="F465" t="s">
        <v>7632</v>
      </c>
      <c r="H465" s="34">
        <v>67000</v>
      </c>
      <c r="I465" s="53"/>
    </row>
    <row r="466" spans="1:9" x14ac:dyDescent="0.3">
      <c r="A466" t="str">
        <f t="shared" si="7"/>
        <v>15Croydon</v>
      </c>
      <c r="B466">
        <v>15</v>
      </c>
      <c r="C466" t="s">
        <v>123</v>
      </c>
      <c r="D466" t="s">
        <v>8045</v>
      </c>
      <c r="E466" t="s">
        <v>7657</v>
      </c>
      <c r="F466" t="s">
        <v>7640</v>
      </c>
      <c r="H466" s="34">
        <v>239000</v>
      </c>
      <c r="I466" s="53"/>
    </row>
    <row r="467" spans="1:9" x14ac:dyDescent="0.3">
      <c r="A467" t="str">
        <f t="shared" si="7"/>
        <v>16Croydon</v>
      </c>
      <c r="B467">
        <v>16</v>
      </c>
      <c r="C467" t="s">
        <v>123</v>
      </c>
      <c r="D467" t="s">
        <v>8046</v>
      </c>
      <c r="E467" t="s">
        <v>800</v>
      </c>
      <c r="F467" t="s">
        <v>903</v>
      </c>
      <c r="H467" s="34">
        <v>45000</v>
      </c>
      <c r="I467" s="53"/>
    </row>
    <row r="468" spans="1:9" x14ac:dyDescent="0.3">
      <c r="A468" t="str">
        <f t="shared" si="7"/>
        <v>17Croydon</v>
      </c>
      <c r="B468">
        <v>17</v>
      </c>
      <c r="C468" t="s">
        <v>123</v>
      </c>
      <c r="D468" t="s">
        <v>8047</v>
      </c>
      <c r="E468" t="s">
        <v>806</v>
      </c>
      <c r="F468" t="s">
        <v>812</v>
      </c>
      <c r="H468" s="34">
        <v>212800</v>
      </c>
      <c r="I468" s="53"/>
    </row>
    <row r="469" spans="1:9" x14ac:dyDescent="0.3">
      <c r="A469" t="str">
        <f t="shared" si="7"/>
        <v>18Croydon</v>
      </c>
      <c r="B469">
        <v>18</v>
      </c>
      <c r="C469" t="s">
        <v>123</v>
      </c>
      <c r="D469" t="s">
        <v>8048</v>
      </c>
      <c r="E469" t="s">
        <v>812</v>
      </c>
      <c r="H469" s="34">
        <v>360000</v>
      </c>
      <c r="I469" s="53"/>
    </row>
    <row r="470" spans="1:9" x14ac:dyDescent="0.3">
      <c r="A470" t="str">
        <f t="shared" si="7"/>
        <v>19Croydon</v>
      </c>
      <c r="B470">
        <v>19</v>
      </c>
      <c r="C470" t="s">
        <v>123</v>
      </c>
      <c r="D470" t="s">
        <v>8049</v>
      </c>
      <c r="E470" t="s">
        <v>7657</v>
      </c>
      <c r="F470" t="s">
        <v>7640</v>
      </c>
      <c r="H470" s="34">
        <v>90000</v>
      </c>
      <c r="I470" s="53"/>
    </row>
    <row r="471" spans="1:9" x14ac:dyDescent="0.3">
      <c r="A471" t="str">
        <f t="shared" si="7"/>
        <v>20Croydon</v>
      </c>
      <c r="B471">
        <v>20</v>
      </c>
      <c r="C471" t="s">
        <v>123</v>
      </c>
      <c r="D471" t="s">
        <v>2173</v>
      </c>
      <c r="E471" t="s">
        <v>842</v>
      </c>
      <c r="F471" t="s">
        <v>7636</v>
      </c>
      <c r="H471" s="34">
        <v>530055</v>
      </c>
      <c r="I471" s="53"/>
    </row>
    <row r="472" spans="1:9" x14ac:dyDescent="0.3">
      <c r="A472" t="str">
        <f t="shared" si="7"/>
        <v>21Croydon</v>
      </c>
      <c r="B472">
        <v>21</v>
      </c>
      <c r="C472" t="s">
        <v>123</v>
      </c>
      <c r="D472" t="s">
        <v>8050</v>
      </c>
      <c r="E472" t="s">
        <v>7657</v>
      </c>
      <c r="F472" t="s">
        <v>7632</v>
      </c>
      <c r="H472" s="34">
        <v>18666</v>
      </c>
      <c r="I472" s="53"/>
    </row>
    <row r="473" spans="1:9" x14ac:dyDescent="0.3">
      <c r="A473" t="str">
        <f t="shared" si="7"/>
        <v>22Croydon</v>
      </c>
      <c r="B473">
        <v>22</v>
      </c>
      <c r="C473" t="s">
        <v>123</v>
      </c>
      <c r="D473" t="s">
        <v>8051</v>
      </c>
      <c r="E473" t="s">
        <v>7657</v>
      </c>
      <c r="F473" t="s">
        <v>7632</v>
      </c>
      <c r="H473" s="34">
        <v>37333</v>
      </c>
      <c r="I473" s="53"/>
    </row>
    <row r="474" spans="1:9" x14ac:dyDescent="0.3">
      <c r="A474" t="str">
        <f t="shared" si="7"/>
        <v>23Croydon</v>
      </c>
      <c r="B474">
        <v>23</v>
      </c>
      <c r="C474" t="s">
        <v>123</v>
      </c>
      <c r="D474" t="s">
        <v>8052</v>
      </c>
      <c r="E474" t="s">
        <v>7657</v>
      </c>
      <c r="F474" t="s">
        <v>7632</v>
      </c>
      <c r="H474" s="34">
        <v>36000</v>
      </c>
      <c r="I474" s="53"/>
    </row>
    <row r="475" spans="1:9" x14ac:dyDescent="0.3">
      <c r="A475" t="str">
        <f t="shared" si="7"/>
        <v>24Croydon</v>
      </c>
      <c r="B475">
        <v>24</v>
      </c>
      <c r="C475" t="s">
        <v>123</v>
      </c>
      <c r="D475" t="s">
        <v>8053</v>
      </c>
      <c r="E475" t="s">
        <v>812</v>
      </c>
      <c r="H475" s="34">
        <v>25000</v>
      </c>
      <c r="I475" s="53"/>
    </row>
    <row r="476" spans="1:9" x14ac:dyDescent="0.3">
      <c r="A476" t="str">
        <f t="shared" si="7"/>
        <v>25Croydon</v>
      </c>
      <c r="B476">
        <v>25</v>
      </c>
      <c r="C476" t="s">
        <v>123</v>
      </c>
      <c r="D476" t="s">
        <v>8054</v>
      </c>
      <c r="E476" t="s">
        <v>842</v>
      </c>
      <c r="F476" t="s">
        <v>7636</v>
      </c>
      <c r="H476" s="34">
        <v>21000</v>
      </c>
      <c r="I476" s="53"/>
    </row>
    <row r="477" spans="1:9" x14ac:dyDescent="0.3">
      <c r="A477" t="str">
        <f t="shared" si="7"/>
        <v>26Croydon</v>
      </c>
      <c r="B477">
        <v>26</v>
      </c>
      <c r="C477" t="s">
        <v>123</v>
      </c>
      <c r="D477" t="s">
        <v>8055</v>
      </c>
      <c r="E477" t="s">
        <v>806</v>
      </c>
      <c r="F477" t="s">
        <v>807</v>
      </c>
      <c r="H477" s="34">
        <v>26928</v>
      </c>
      <c r="I477" s="53"/>
    </row>
    <row r="478" spans="1:9" x14ac:dyDescent="0.3">
      <c r="A478" t="str">
        <f t="shared" si="7"/>
        <v>1Cumbria</v>
      </c>
      <c r="B478">
        <v>1</v>
      </c>
      <c r="C478" t="s">
        <v>8056</v>
      </c>
      <c r="D478" t="s">
        <v>8057</v>
      </c>
      <c r="E478" t="s">
        <v>7649</v>
      </c>
      <c r="F478" t="s">
        <v>7638</v>
      </c>
      <c r="H478" s="34">
        <v>45000</v>
      </c>
      <c r="I478" s="53"/>
    </row>
    <row r="479" spans="1:9" x14ac:dyDescent="0.3">
      <c r="A479" t="str">
        <f t="shared" si="7"/>
        <v>2Cumbria</v>
      </c>
      <c r="B479">
        <v>2</v>
      </c>
      <c r="C479" t="s">
        <v>8056</v>
      </c>
      <c r="D479" t="s">
        <v>8057</v>
      </c>
      <c r="E479" t="s">
        <v>7658</v>
      </c>
      <c r="H479" s="34">
        <v>300000</v>
      </c>
      <c r="I479" s="53"/>
    </row>
    <row r="480" spans="1:9" x14ac:dyDescent="0.3">
      <c r="A480" t="str">
        <f t="shared" si="7"/>
        <v>3Cumbria</v>
      </c>
      <c r="B480">
        <v>3</v>
      </c>
      <c r="C480" t="s">
        <v>8056</v>
      </c>
      <c r="D480" t="s">
        <v>8058</v>
      </c>
      <c r="E480" t="s">
        <v>7657</v>
      </c>
      <c r="F480" t="s">
        <v>7632</v>
      </c>
      <c r="H480" s="34">
        <v>302000</v>
      </c>
      <c r="I480" s="53"/>
    </row>
    <row r="481" spans="1:9" x14ac:dyDescent="0.3">
      <c r="A481" t="str">
        <f t="shared" si="7"/>
        <v>4Cumbria</v>
      </c>
      <c r="B481">
        <v>4</v>
      </c>
      <c r="C481" t="s">
        <v>8056</v>
      </c>
      <c r="D481" t="s">
        <v>7827</v>
      </c>
      <c r="E481" t="s">
        <v>7662</v>
      </c>
      <c r="H481" s="34">
        <v>20000</v>
      </c>
      <c r="I481" s="53"/>
    </row>
    <row r="482" spans="1:9" x14ac:dyDescent="0.3">
      <c r="A482" t="str">
        <f t="shared" si="7"/>
        <v>5Cumbria</v>
      </c>
      <c r="B482">
        <v>5</v>
      </c>
      <c r="C482" t="s">
        <v>8056</v>
      </c>
      <c r="D482" t="s">
        <v>8059</v>
      </c>
      <c r="E482" t="s">
        <v>842</v>
      </c>
      <c r="F482" t="s">
        <v>843</v>
      </c>
      <c r="H482" s="34">
        <v>290000</v>
      </c>
      <c r="I482" s="53"/>
    </row>
    <row r="483" spans="1:9" x14ac:dyDescent="0.3">
      <c r="A483" t="str">
        <f t="shared" si="7"/>
        <v>6Cumbria</v>
      </c>
      <c r="B483">
        <v>6</v>
      </c>
      <c r="C483" t="s">
        <v>8056</v>
      </c>
      <c r="D483" t="s">
        <v>8060</v>
      </c>
      <c r="E483" t="s">
        <v>800</v>
      </c>
      <c r="F483" t="s">
        <v>903</v>
      </c>
      <c r="H483" s="34">
        <v>255000</v>
      </c>
      <c r="I483" s="53"/>
    </row>
    <row r="484" spans="1:9" x14ac:dyDescent="0.3">
      <c r="A484" t="str">
        <f t="shared" si="7"/>
        <v>7Cumbria</v>
      </c>
      <c r="B484">
        <v>7</v>
      </c>
      <c r="C484" t="s">
        <v>8056</v>
      </c>
      <c r="D484" t="s">
        <v>8061</v>
      </c>
      <c r="E484" t="s">
        <v>842</v>
      </c>
      <c r="F484" t="s">
        <v>7636</v>
      </c>
      <c r="H484" s="34">
        <v>1531000</v>
      </c>
      <c r="I484" s="53"/>
    </row>
    <row r="485" spans="1:9" x14ac:dyDescent="0.3">
      <c r="A485" t="str">
        <f t="shared" si="7"/>
        <v>8Cumbria</v>
      </c>
      <c r="B485">
        <v>8</v>
      </c>
      <c r="C485" t="s">
        <v>8056</v>
      </c>
      <c r="D485" t="s">
        <v>1781</v>
      </c>
      <c r="E485" t="s">
        <v>812</v>
      </c>
      <c r="H485" s="34">
        <v>45000</v>
      </c>
      <c r="I485" s="53"/>
    </row>
    <row r="486" spans="1:9" x14ac:dyDescent="0.3">
      <c r="A486" t="str">
        <f t="shared" si="7"/>
        <v>9Cumbria</v>
      </c>
      <c r="B486">
        <v>9</v>
      </c>
      <c r="C486" t="s">
        <v>8056</v>
      </c>
      <c r="D486" t="s">
        <v>8062</v>
      </c>
      <c r="E486" t="s">
        <v>806</v>
      </c>
      <c r="F486" t="s">
        <v>917</v>
      </c>
      <c r="H486" s="34">
        <v>150000</v>
      </c>
      <c r="I486" s="53"/>
    </row>
    <row r="487" spans="1:9" x14ac:dyDescent="0.3">
      <c r="A487" t="str">
        <f t="shared" si="7"/>
        <v>10Cumbria</v>
      </c>
      <c r="B487">
        <v>10</v>
      </c>
      <c r="C487" t="s">
        <v>8056</v>
      </c>
      <c r="D487" t="s">
        <v>8063</v>
      </c>
      <c r="E487" t="s">
        <v>842</v>
      </c>
      <c r="F487" t="s">
        <v>812</v>
      </c>
      <c r="H487" s="34">
        <v>263000</v>
      </c>
      <c r="I487" s="53"/>
    </row>
    <row r="488" spans="1:9" x14ac:dyDescent="0.3">
      <c r="A488" t="str">
        <f t="shared" si="7"/>
        <v>11Cumbria</v>
      </c>
      <c r="B488">
        <v>11</v>
      </c>
      <c r="C488" t="s">
        <v>8056</v>
      </c>
      <c r="D488" t="s">
        <v>8064</v>
      </c>
      <c r="E488" t="s">
        <v>842</v>
      </c>
      <c r="F488" t="s">
        <v>7636</v>
      </c>
      <c r="H488" s="34">
        <v>25000</v>
      </c>
      <c r="I488" s="53"/>
    </row>
    <row r="489" spans="1:9" x14ac:dyDescent="0.3">
      <c r="A489" t="str">
        <f t="shared" si="7"/>
        <v>12Cumbria</v>
      </c>
      <c r="B489">
        <v>12</v>
      </c>
      <c r="C489" t="s">
        <v>8056</v>
      </c>
      <c r="D489" t="s">
        <v>8065</v>
      </c>
      <c r="E489" t="s">
        <v>812</v>
      </c>
      <c r="H489" s="34">
        <v>708000</v>
      </c>
      <c r="I489" s="53"/>
    </row>
    <row r="490" spans="1:9" x14ac:dyDescent="0.3">
      <c r="A490" t="str">
        <f t="shared" si="7"/>
        <v>13Cumbria</v>
      </c>
      <c r="B490">
        <v>13</v>
      </c>
      <c r="C490" t="s">
        <v>8056</v>
      </c>
      <c r="D490" t="s">
        <v>8066</v>
      </c>
      <c r="E490" t="s">
        <v>842</v>
      </c>
      <c r="F490" t="s">
        <v>843</v>
      </c>
      <c r="H490" s="34">
        <v>625351</v>
      </c>
      <c r="I490" s="53"/>
    </row>
    <row r="491" spans="1:9" x14ac:dyDescent="0.3">
      <c r="A491" t="str">
        <f t="shared" si="7"/>
        <v>14Cumbria</v>
      </c>
      <c r="B491">
        <v>14</v>
      </c>
      <c r="C491" t="s">
        <v>8056</v>
      </c>
      <c r="D491" t="s">
        <v>8067</v>
      </c>
      <c r="E491" t="s">
        <v>812</v>
      </c>
      <c r="H491" s="34">
        <v>129000</v>
      </c>
      <c r="I491" s="53"/>
    </row>
    <row r="492" spans="1:9" x14ac:dyDescent="0.3">
      <c r="A492" t="str">
        <f t="shared" si="7"/>
        <v>15Cumbria</v>
      </c>
      <c r="B492">
        <v>15</v>
      </c>
      <c r="C492" t="s">
        <v>8056</v>
      </c>
      <c r="D492" t="s">
        <v>8068</v>
      </c>
      <c r="E492" t="s">
        <v>7649</v>
      </c>
      <c r="F492" t="s">
        <v>7638</v>
      </c>
      <c r="H492" s="34">
        <v>147645</v>
      </c>
      <c r="I492" s="53"/>
    </row>
    <row r="493" spans="1:9" x14ac:dyDescent="0.3">
      <c r="A493" t="str">
        <f t="shared" si="7"/>
        <v>16Cumbria</v>
      </c>
      <c r="B493">
        <v>16</v>
      </c>
      <c r="C493" t="s">
        <v>8056</v>
      </c>
      <c r="D493" t="s">
        <v>8069</v>
      </c>
      <c r="E493" t="s">
        <v>806</v>
      </c>
      <c r="F493" t="s">
        <v>7642</v>
      </c>
      <c r="H493" s="34">
        <v>379000</v>
      </c>
      <c r="I493" s="53"/>
    </row>
    <row r="494" spans="1:9" x14ac:dyDescent="0.3">
      <c r="A494" t="str">
        <f t="shared" si="7"/>
        <v>17Cumbria</v>
      </c>
      <c r="B494">
        <v>17</v>
      </c>
      <c r="C494" t="s">
        <v>8056</v>
      </c>
      <c r="D494" t="s">
        <v>8070</v>
      </c>
      <c r="E494" t="s">
        <v>806</v>
      </c>
      <c r="F494" t="s">
        <v>917</v>
      </c>
      <c r="H494" s="34">
        <v>65000</v>
      </c>
      <c r="I494" s="53"/>
    </row>
    <row r="495" spans="1:9" x14ac:dyDescent="0.3">
      <c r="A495" t="str">
        <f t="shared" si="7"/>
        <v>18Cumbria</v>
      </c>
      <c r="B495">
        <v>18</v>
      </c>
      <c r="C495" t="s">
        <v>8056</v>
      </c>
      <c r="D495" t="s">
        <v>8071</v>
      </c>
      <c r="E495" t="s">
        <v>1113</v>
      </c>
      <c r="F495" t="s">
        <v>7637</v>
      </c>
      <c r="H495" s="34">
        <v>150000</v>
      </c>
      <c r="I495" s="53"/>
    </row>
    <row r="496" spans="1:9" x14ac:dyDescent="0.3">
      <c r="A496" t="str">
        <f t="shared" si="7"/>
        <v>1Darlington</v>
      </c>
      <c r="B496">
        <v>1</v>
      </c>
      <c r="C496" t="s">
        <v>127</v>
      </c>
      <c r="D496" t="s">
        <v>8072</v>
      </c>
      <c r="E496" t="s">
        <v>7649</v>
      </c>
      <c r="F496" t="s">
        <v>7638</v>
      </c>
      <c r="H496" s="34">
        <v>3529</v>
      </c>
      <c r="I496" s="53"/>
    </row>
    <row r="497" spans="1:9" x14ac:dyDescent="0.3">
      <c r="A497" t="str">
        <f t="shared" si="7"/>
        <v>2Darlington</v>
      </c>
      <c r="B497">
        <v>2</v>
      </c>
      <c r="C497" t="s">
        <v>127</v>
      </c>
      <c r="D497" t="s">
        <v>8073</v>
      </c>
      <c r="E497" t="s">
        <v>1106</v>
      </c>
      <c r="F497" t="s">
        <v>7628</v>
      </c>
      <c r="H497" s="34">
        <v>243953</v>
      </c>
      <c r="I497" s="53"/>
    </row>
    <row r="498" spans="1:9" x14ac:dyDescent="0.3">
      <c r="A498" t="str">
        <f t="shared" si="7"/>
        <v>3Darlington</v>
      </c>
      <c r="B498">
        <v>3</v>
      </c>
      <c r="C498" t="s">
        <v>127</v>
      </c>
      <c r="D498" t="s">
        <v>8074</v>
      </c>
      <c r="E498" t="s">
        <v>7649</v>
      </c>
      <c r="F498" t="s">
        <v>7638</v>
      </c>
      <c r="H498" s="34">
        <v>45180</v>
      </c>
      <c r="I498" s="53"/>
    </row>
    <row r="499" spans="1:9" x14ac:dyDescent="0.3">
      <c r="A499" t="str">
        <f t="shared" si="7"/>
        <v>4Darlington</v>
      </c>
      <c r="B499">
        <v>4</v>
      </c>
      <c r="C499" t="s">
        <v>127</v>
      </c>
      <c r="D499" t="s">
        <v>8075</v>
      </c>
      <c r="E499" t="s">
        <v>7649</v>
      </c>
      <c r="F499" t="s">
        <v>7638</v>
      </c>
      <c r="H499" s="34">
        <v>56700</v>
      </c>
      <c r="I499" s="53"/>
    </row>
    <row r="500" spans="1:9" x14ac:dyDescent="0.3">
      <c r="A500" t="str">
        <f t="shared" si="7"/>
        <v>5Darlington</v>
      </c>
      <c r="B500">
        <v>5</v>
      </c>
      <c r="C500" t="s">
        <v>127</v>
      </c>
      <c r="D500" t="s">
        <v>2248</v>
      </c>
      <c r="E500" t="s">
        <v>7657</v>
      </c>
      <c r="F500" t="s">
        <v>7640</v>
      </c>
      <c r="H500" s="34">
        <v>26900</v>
      </c>
      <c r="I500" s="53"/>
    </row>
    <row r="501" spans="1:9" x14ac:dyDescent="0.3">
      <c r="A501" t="str">
        <f t="shared" si="7"/>
        <v>6Darlington</v>
      </c>
      <c r="B501">
        <v>6</v>
      </c>
      <c r="C501" t="s">
        <v>127</v>
      </c>
      <c r="D501" t="s">
        <v>8076</v>
      </c>
      <c r="E501" t="s">
        <v>5266</v>
      </c>
      <c r="F501" t="s">
        <v>7643</v>
      </c>
      <c r="H501" s="34">
        <v>19040</v>
      </c>
      <c r="I501" s="53"/>
    </row>
    <row r="502" spans="1:9" x14ac:dyDescent="0.3">
      <c r="A502" t="str">
        <f t="shared" si="7"/>
        <v>7Darlington</v>
      </c>
      <c r="B502">
        <v>7</v>
      </c>
      <c r="C502" t="s">
        <v>127</v>
      </c>
      <c r="D502" t="s">
        <v>8077</v>
      </c>
      <c r="E502" t="s">
        <v>7649</v>
      </c>
      <c r="F502" t="s">
        <v>7638</v>
      </c>
      <c r="H502" s="34">
        <v>15989</v>
      </c>
      <c r="I502" s="53"/>
    </row>
    <row r="503" spans="1:9" x14ac:dyDescent="0.3">
      <c r="A503" t="str">
        <f t="shared" si="7"/>
        <v>8Darlington</v>
      </c>
      <c r="B503">
        <v>8</v>
      </c>
      <c r="C503" t="s">
        <v>127</v>
      </c>
      <c r="D503" t="s">
        <v>8078</v>
      </c>
      <c r="E503" t="s">
        <v>812</v>
      </c>
      <c r="H503" s="34">
        <v>77804</v>
      </c>
      <c r="I503" s="53"/>
    </row>
    <row r="504" spans="1:9" x14ac:dyDescent="0.3">
      <c r="A504" t="str">
        <f t="shared" si="7"/>
        <v>9Darlington</v>
      </c>
      <c r="B504">
        <v>9</v>
      </c>
      <c r="C504" t="s">
        <v>127</v>
      </c>
      <c r="D504" t="s">
        <v>8079</v>
      </c>
      <c r="E504" t="s">
        <v>7658</v>
      </c>
      <c r="H504" s="34">
        <v>160500</v>
      </c>
      <c r="I504" s="53"/>
    </row>
    <row r="505" spans="1:9" x14ac:dyDescent="0.3">
      <c r="A505" t="str">
        <f t="shared" si="7"/>
        <v>10Darlington</v>
      </c>
      <c r="B505">
        <v>10</v>
      </c>
      <c r="C505" t="s">
        <v>127</v>
      </c>
      <c r="D505" t="s">
        <v>8080</v>
      </c>
      <c r="E505" t="s">
        <v>7649</v>
      </c>
      <c r="F505" t="s">
        <v>7638</v>
      </c>
      <c r="H505" s="34">
        <v>26275</v>
      </c>
      <c r="I505" s="53"/>
    </row>
    <row r="506" spans="1:9" x14ac:dyDescent="0.3">
      <c r="A506" t="str">
        <f t="shared" si="7"/>
        <v>11Darlington</v>
      </c>
      <c r="B506">
        <v>11</v>
      </c>
      <c r="C506" t="s">
        <v>127</v>
      </c>
      <c r="D506" t="s">
        <v>8081</v>
      </c>
      <c r="E506" t="s">
        <v>7649</v>
      </c>
      <c r="F506" t="s">
        <v>7638</v>
      </c>
      <c r="H506" s="34">
        <v>13473</v>
      </c>
      <c r="I506" s="53"/>
    </row>
    <row r="507" spans="1:9" x14ac:dyDescent="0.3">
      <c r="A507" t="str">
        <f t="shared" si="7"/>
        <v>12Darlington</v>
      </c>
      <c r="B507">
        <v>12</v>
      </c>
      <c r="C507" t="s">
        <v>127</v>
      </c>
      <c r="D507" t="s">
        <v>8082</v>
      </c>
      <c r="E507" t="s">
        <v>812</v>
      </c>
      <c r="H507" s="34">
        <v>6500</v>
      </c>
      <c r="I507" s="53"/>
    </row>
    <row r="508" spans="1:9" x14ac:dyDescent="0.3">
      <c r="A508" t="str">
        <f t="shared" si="7"/>
        <v>13Darlington</v>
      </c>
      <c r="B508">
        <v>13</v>
      </c>
      <c r="C508" t="s">
        <v>127</v>
      </c>
      <c r="D508" t="s">
        <v>8083</v>
      </c>
      <c r="E508" t="s">
        <v>5266</v>
      </c>
      <c r="F508" t="s">
        <v>7639</v>
      </c>
      <c r="H508" s="34">
        <v>9232</v>
      </c>
      <c r="I508" s="53"/>
    </row>
    <row r="509" spans="1:9" x14ac:dyDescent="0.3">
      <c r="A509" t="str">
        <f t="shared" si="7"/>
        <v>14Darlington</v>
      </c>
      <c r="B509">
        <v>14</v>
      </c>
      <c r="C509" t="s">
        <v>127</v>
      </c>
      <c r="D509" t="s">
        <v>4562</v>
      </c>
      <c r="E509" t="s">
        <v>7657</v>
      </c>
      <c r="F509" t="s">
        <v>7632</v>
      </c>
      <c r="H509" s="34">
        <v>68267</v>
      </c>
      <c r="I509" s="53"/>
    </row>
    <row r="510" spans="1:9" x14ac:dyDescent="0.3">
      <c r="A510" t="str">
        <f t="shared" si="7"/>
        <v>15Darlington</v>
      </c>
      <c r="B510">
        <v>15</v>
      </c>
      <c r="C510" t="s">
        <v>127</v>
      </c>
      <c r="D510" t="s">
        <v>8084</v>
      </c>
      <c r="E510" t="s">
        <v>1113</v>
      </c>
      <c r="F510" t="s">
        <v>7629</v>
      </c>
      <c r="H510" s="34">
        <v>20200</v>
      </c>
      <c r="I510" s="53"/>
    </row>
    <row r="511" spans="1:9" x14ac:dyDescent="0.3">
      <c r="A511" t="str">
        <f t="shared" si="7"/>
        <v>16Darlington</v>
      </c>
      <c r="B511">
        <v>16</v>
      </c>
      <c r="C511" t="s">
        <v>127</v>
      </c>
      <c r="D511" t="s">
        <v>8085</v>
      </c>
      <c r="E511" t="s">
        <v>7657</v>
      </c>
      <c r="F511" t="s">
        <v>7640</v>
      </c>
      <c r="H511" s="34">
        <v>55000</v>
      </c>
      <c r="I511" s="53"/>
    </row>
    <row r="512" spans="1:9" x14ac:dyDescent="0.3">
      <c r="A512" t="str">
        <f t="shared" si="7"/>
        <v>17Darlington</v>
      </c>
      <c r="B512">
        <v>17</v>
      </c>
      <c r="C512" t="s">
        <v>127</v>
      </c>
      <c r="D512" t="s">
        <v>8086</v>
      </c>
      <c r="E512" t="s">
        <v>7658</v>
      </c>
      <c r="H512" s="34">
        <v>7772</v>
      </c>
      <c r="I512" s="53"/>
    </row>
    <row r="513" spans="1:9" x14ac:dyDescent="0.3">
      <c r="A513" t="str">
        <f t="shared" si="7"/>
        <v>1Derby</v>
      </c>
      <c r="B513">
        <v>1</v>
      </c>
      <c r="C513" t="s">
        <v>129</v>
      </c>
      <c r="D513" t="s">
        <v>8087</v>
      </c>
      <c r="E513" t="s">
        <v>842</v>
      </c>
      <c r="F513" t="s">
        <v>7636</v>
      </c>
      <c r="H513" s="34">
        <v>99000</v>
      </c>
      <c r="I513" s="53"/>
    </row>
    <row r="514" spans="1:9" x14ac:dyDescent="0.3">
      <c r="A514" t="str">
        <f t="shared" ref="A514:A577" si="8">B514&amp;C514</f>
        <v>2Derby</v>
      </c>
      <c r="B514">
        <v>2</v>
      </c>
      <c r="C514" t="s">
        <v>129</v>
      </c>
      <c r="D514" t="s">
        <v>8088</v>
      </c>
      <c r="E514" t="s">
        <v>806</v>
      </c>
      <c r="F514" t="s">
        <v>807</v>
      </c>
      <c r="H514" s="34">
        <v>155000</v>
      </c>
      <c r="I514" s="53"/>
    </row>
    <row r="515" spans="1:9" x14ac:dyDescent="0.3">
      <c r="A515" t="str">
        <f t="shared" si="8"/>
        <v>3Derby</v>
      </c>
      <c r="B515">
        <v>3</v>
      </c>
      <c r="C515" t="s">
        <v>129</v>
      </c>
      <c r="D515" t="s">
        <v>8089</v>
      </c>
      <c r="E515" t="s">
        <v>5266</v>
      </c>
      <c r="F515" t="s">
        <v>7639</v>
      </c>
      <c r="H515" s="34">
        <v>547614</v>
      </c>
      <c r="I515" s="53"/>
    </row>
    <row r="516" spans="1:9" x14ac:dyDescent="0.3">
      <c r="A516" t="str">
        <f t="shared" si="8"/>
        <v>4Derby</v>
      </c>
      <c r="B516">
        <v>4</v>
      </c>
      <c r="C516" t="s">
        <v>129</v>
      </c>
      <c r="D516" t="s">
        <v>8090</v>
      </c>
      <c r="E516" t="s">
        <v>7657</v>
      </c>
      <c r="F516" t="s">
        <v>7704</v>
      </c>
      <c r="H516" s="34">
        <v>49956</v>
      </c>
      <c r="I516" s="53"/>
    </row>
    <row r="517" spans="1:9" x14ac:dyDescent="0.3">
      <c r="A517" t="str">
        <f t="shared" si="8"/>
        <v>5Derby</v>
      </c>
      <c r="B517">
        <v>5</v>
      </c>
      <c r="C517" t="s">
        <v>129</v>
      </c>
      <c r="D517" t="s">
        <v>8091</v>
      </c>
      <c r="E517" t="s">
        <v>7657</v>
      </c>
      <c r="F517" t="s">
        <v>7644</v>
      </c>
      <c r="H517" s="34">
        <v>45000</v>
      </c>
      <c r="I517" s="53"/>
    </row>
    <row r="518" spans="1:9" x14ac:dyDescent="0.3">
      <c r="A518" t="str">
        <f t="shared" si="8"/>
        <v>6Derby</v>
      </c>
      <c r="B518">
        <v>6</v>
      </c>
      <c r="C518" t="s">
        <v>129</v>
      </c>
      <c r="D518" t="s">
        <v>8092</v>
      </c>
      <c r="E518" t="s">
        <v>7662</v>
      </c>
      <c r="F518" t="s">
        <v>7704</v>
      </c>
      <c r="H518" s="34">
        <v>9571</v>
      </c>
      <c r="I518" s="53"/>
    </row>
    <row r="519" spans="1:9" x14ac:dyDescent="0.3">
      <c r="A519" t="str">
        <f t="shared" si="8"/>
        <v>7Derby</v>
      </c>
      <c r="B519">
        <v>7</v>
      </c>
      <c r="C519" t="s">
        <v>129</v>
      </c>
      <c r="D519" t="s">
        <v>8093</v>
      </c>
      <c r="E519" t="s">
        <v>812</v>
      </c>
      <c r="F519" t="s">
        <v>812</v>
      </c>
      <c r="H519" s="34">
        <v>6734</v>
      </c>
      <c r="I519" s="53"/>
    </row>
    <row r="520" spans="1:9" x14ac:dyDescent="0.3">
      <c r="A520" t="str">
        <f t="shared" si="8"/>
        <v>8Derby</v>
      </c>
      <c r="B520">
        <v>8</v>
      </c>
      <c r="C520" t="s">
        <v>129</v>
      </c>
      <c r="D520" t="s">
        <v>8094</v>
      </c>
      <c r="E520" t="s">
        <v>806</v>
      </c>
      <c r="F520" t="s">
        <v>917</v>
      </c>
      <c r="H520" s="34">
        <v>458059</v>
      </c>
      <c r="I520" s="53"/>
    </row>
    <row r="521" spans="1:9" x14ac:dyDescent="0.3">
      <c r="A521" t="str">
        <f t="shared" si="8"/>
        <v>9Derby</v>
      </c>
      <c r="B521">
        <v>9</v>
      </c>
      <c r="C521" t="s">
        <v>129</v>
      </c>
      <c r="D521" t="s">
        <v>8095</v>
      </c>
      <c r="E521" t="s">
        <v>1106</v>
      </c>
      <c r="F521" t="s">
        <v>7628</v>
      </c>
      <c r="H521" s="34">
        <v>168346</v>
      </c>
      <c r="I521" s="53"/>
    </row>
    <row r="522" spans="1:9" x14ac:dyDescent="0.3">
      <c r="A522" t="str">
        <f t="shared" si="8"/>
        <v>10Derby</v>
      </c>
      <c r="B522">
        <v>10</v>
      </c>
      <c r="C522" t="s">
        <v>129</v>
      </c>
      <c r="D522" t="s">
        <v>8096</v>
      </c>
      <c r="E522" t="s">
        <v>806</v>
      </c>
      <c r="F522" t="s">
        <v>917</v>
      </c>
      <c r="H522" s="34">
        <v>60123</v>
      </c>
      <c r="I522" s="53"/>
    </row>
    <row r="523" spans="1:9" x14ac:dyDescent="0.3">
      <c r="A523" t="str">
        <f t="shared" si="8"/>
        <v>11Derby</v>
      </c>
      <c r="B523">
        <v>11</v>
      </c>
      <c r="C523" t="s">
        <v>129</v>
      </c>
      <c r="D523" t="s">
        <v>8097</v>
      </c>
      <c r="E523" t="s">
        <v>1106</v>
      </c>
      <c r="F523" t="s">
        <v>7628</v>
      </c>
      <c r="H523" s="34">
        <v>204420</v>
      </c>
      <c r="I523" s="53"/>
    </row>
    <row r="524" spans="1:9" x14ac:dyDescent="0.3">
      <c r="A524" t="str">
        <f t="shared" si="8"/>
        <v>12Derby</v>
      </c>
      <c r="B524">
        <v>12</v>
      </c>
      <c r="C524" t="s">
        <v>129</v>
      </c>
      <c r="D524" t="s">
        <v>8098</v>
      </c>
      <c r="E524" t="s">
        <v>7657</v>
      </c>
      <c r="F524" t="s">
        <v>7644</v>
      </c>
      <c r="H524" s="34">
        <v>51000</v>
      </c>
      <c r="I524" s="53"/>
    </row>
    <row r="525" spans="1:9" x14ac:dyDescent="0.3">
      <c r="A525" t="str">
        <f t="shared" si="8"/>
        <v>13Derby</v>
      </c>
      <c r="B525">
        <v>13</v>
      </c>
      <c r="C525" t="s">
        <v>129</v>
      </c>
      <c r="D525" t="s">
        <v>8099</v>
      </c>
      <c r="E525" t="s">
        <v>806</v>
      </c>
      <c r="F525" t="s">
        <v>917</v>
      </c>
      <c r="H525" s="34">
        <v>121209</v>
      </c>
      <c r="I525" s="53"/>
    </row>
    <row r="526" spans="1:9" x14ac:dyDescent="0.3">
      <c r="A526" t="str">
        <f t="shared" si="8"/>
        <v>14Derby</v>
      </c>
      <c r="B526">
        <v>14</v>
      </c>
      <c r="C526" t="s">
        <v>129</v>
      </c>
      <c r="D526" t="s">
        <v>8100</v>
      </c>
      <c r="E526" t="s">
        <v>812</v>
      </c>
      <c r="F526" t="s">
        <v>812</v>
      </c>
      <c r="H526" s="34">
        <v>62528</v>
      </c>
      <c r="I526" s="53"/>
    </row>
    <row r="527" spans="1:9" x14ac:dyDescent="0.3">
      <c r="A527" t="str">
        <f t="shared" si="8"/>
        <v>15Derby</v>
      </c>
      <c r="B527">
        <v>15</v>
      </c>
      <c r="C527" t="s">
        <v>129</v>
      </c>
      <c r="D527" t="s">
        <v>8101</v>
      </c>
      <c r="E527" t="s">
        <v>812</v>
      </c>
      <c r="F527" t="s">
        <v>812</v>
      </c>
      <c r="H527" s="34">
        <v>14430</v>
      </c>
      <c r="I527" s="53"/>
    </row>
    <row r="528" spans="1:9" x14ac:dyDescent="0.3">
      <c r="A528" t="str">
        <f t="shared" si="8"/>
        <v>16Derby</v>
      </c>
      <c r="B528">
        <v>16</v>
      </c>
      <c r="C528" t="s">
        <v>129</v>
      </c>
      <c r="D528" t="s">
        <v>8102</v>
      </c>
      <c r="E528" t="s">
        <v>1113</v>
      </c>
      <c r="F528" t="s">
        <v>7629</v>
      </c>
      <c r="H528" s="34">
        <v>40082</v>
      </c>
      <c r="I528" s="53"/>
    </row>
    <row r="529" spans="1:9" x14ac:dyDescent="0.3">
      <c r="A529" t="str">
        <f t="shared" si="8"/>
        <v>17Derby</v>
      </c>
      <c r="B529">
        <v>17</v>
      </c>
      <c r="C529" t="s">
        <v>129</v>
      </c>
      <c r="D529" t="s">
        <v>8103</v>
      </c>
      <c r="E529" t="s">
        <v>806</v>
      </c>
      <c r="F529" t="s">
        <v>807</v>
      </c>
      <c r="H529" s="34">
        <v>24049</v>
      </c>
      <c r="I529" s="53"/>
    </row>
    <row r="530" spans="1:9" x14ac:dyDescent="0.3">
      <c r="A530" t="str">
        <f t="shared" si="8"/>
        <v>18Derby</v>
      </c>
      <c r="B530">
        <v>18</v>
      </c>
      <c r="C530" t="s">
        <v>129</v>
      </c>
      <c r="D530" t="s">
        <v>8104</v>
      </c>
      <c r="E530" t="s">
        <v>812</v>
      </c>
      <c r="F530" t="s">
        <v>812</v>
      </c>
      <c r="H530" s="34">
        <v>25853</v>
      </c>
      <c r="I530" s="53"/>
    </row>
    <row r="531" spans="1:9" x14ac:dyDescent="0.3">
      <c r="A531" t="str">
        <f t="shared" si="8"/>
        <v>1Derbyshire</v>
      </c>
      <c r="B531">
        <v>1</v>
      </c>
      <c r="C531" t="s">
        <v>131</v>
      </c>
      <c r="D531" t="s">
        <v>8105</v>
      </c>
      <c r="E531" t="s">
        <v>7649</v>
      </c>
      <c r="F531" t="s">
        <v>7638</v>
      </c>
      <c r="H531" s="34">
        <v>29224</v>
      </c>
      <c r="I531" s="53"/>
    </row>
    <row r="532" spans="1:9" x14ac:dyDescent="0.3">
      <c r="A532" t="str">
        <f t="shared" si="8"/>
        <v>2Derbyshire</v>
      </c>
      <c r="B532">
        <v>2</v>
      </c>
      <c r="C532" t="s">
        <v>131</v>
      </c>
      <c r="D532" t="s">
        <v>8087</v>
      </c>
      <c r="E532" t="s">
        <v>806</v>
      </c>
      <c r="F532" t="s">
        <v>807</v>
      </c>
      <c r="H532" s="34">
        <v>852480</v>
      </c>
      <c r="I532" s="53"/>
    </row>
    <row r="533" spans="1:9" x14ac:dyDescent="0.3">
      <c r="A533" t="str">
        <f t="shared" si="8"/>
        <v>3Derbyshire</v>
      </c>
      <c r="B533">
        <v>3</v>
      </c>
      <c r="C533" t="s">
        <v>131</v>
      </c>
      <c r="D533" t="s">
        <v>8088</v>
      </c>
      <c r="E533" t="s">
        <v>842</v>
      </c>
      <c r="F533" t="s">
        <v>7636</v>
      </c>
      <c r="H533" s="34">
        <v>1385277</v>
      </c>
      <c r="I533" s="53"/>
    </row>
    <row r="534" spans="1:9" x14ac:dyDescent="0.3">
      <c r="A534" t="str">
        <f t="shared" si="8"/>
        <v>4Derbyshire</v>
      </c>
      <c r="B534">
        <v>4</v>
      </c>
      <c r="C534" t="s">
        <v>131</v>
      </c>
      <c r="D534" t="s">
        <v>8106</v>
      </c>
      <c r="E534" t="s">
        <v>5266</v>
      </c>
      <c r="F534" t="s">
        <v>7636</v>
      </c>
      <c r="H534" s="34">
        <v>100000</v>
      </c>
      <c r="I534" s="53"/>
    </row>
    <row r="535" spans="1:9" x14ac:dyDescent="0.3">
      <c r="A535" t="str">
        <f t="shared" si="8"/>
        <v>5Derbyshire</v>
      </c>
      <c r="B535">
        <v>5</v>
      </c>
      <c r="C535" t="s">
        <v>131</v>
      </c>
      <c r="D535" t="s">
        <v>8107</v>
      </c>
      <c r="E535" t="s">
        <v>5266</v>
      </c>
      <c r="F535" t="s">
        <v>843</v>
      </c>
      <c r="H535" s="34">
        <v>130000</v>
      </c>
      <c r="I535" s="53"/>
    </row>
    <row r="536" spans="1:9" x14ac:dyDescent="0.3">
      <c r="A536" t="str">
        <f t="shared" si="8"/>
        <v>6Derbyshire</v>
      </c>
      <c r="B536">
        <v>6</v>
      </c>
      <c r="C536" t="s">
        <v>131</v>
      </c>
      <c r="D536" t="s">
        <v>8091</v>
      </c>
      <c r="E536" t="s">
        <v>7657</v>
      </c>
      <c r="F536" t="s">
        <v>7640</v>
      </c>
      <c r="H536" s="34">
        <v>45000</v>
      </c>
      <c r="I536" s="53"/>
    </row>
    <row r="537" spans="1:9" x14ac:dyDescent="0.3">
      <c r="A537" t="str">
        <f t="shared" si="8"/>
        <v>7Derbyshire</v>
      </c>
      <c r="B537">
        <v>7</v>
      </c>
      <c r="C537" t="s">
        <v>131</v>
      </c>
      <c r="D537" t="s">
        <v>8092</v>
      </c>
      <c r="E537" t="s">
        <v>7662</v>
      </c>
      <c r="H537" s="34">
        <v>30227.55</v>
      </c>
      <c r="I537" s="53"/>
    </row>
    <row r="538" spans="1:9" x14ac:dyDescent="0.3">
      <c r="A538" t="str">
        <f t="shared" si="8"/>
        <v>8Derbyshire</v>
      </c>
      <c r="B538">
        <v>8</v>
      </c>
      <c r="C538" t="s">
        <v>131</v>
      </c>
      <c r="D538" t="s">
        <v>8093</v>
      </c>
      <c r="E538" t="s">
        <v>812</v>
      </c>
      <c r="F538" t="s">
        <v>812</v>
      </c>
      <c r="H538" s="34">
        <v>21266.168764208913</v>
      </c>
      <c r="I538" s="53"/>
    </row>
    <row r="539" spans="1:9" x14ac:dyDescent="0.3">
      <c r="A539" t="str">
        <f t="shared" si="8"/>
        <v>9Derbyshire</v>
      </c>
      <c r="B539">
        <v>9</v>
      </c>
      <c r="C539" t="s">
        <v>131</v>
      </c>
      <c r="D539" t="s">
        <v>8094</v>
      </c>
      <c r="E539" t="s">
        <v>806</v>
      </c>
      <c r="F539" t="s">
        <v>917</v>
      </c>
      <c r="H539" s="34">
        <v>1446599.520802164</v>
      </c>
      <c r="I539" s="53"/>
    </row>
    <row r="540" spans="1:9" x14ac:dyDescent="0.3">
      <c r="A540" t="str">
        <f t="shared" si="8"/>
        <v>10Derbyshire</v>
      </c>
      <c r="B540">
        <v>10</v>
      </c>
      <c r="C540" t="s">
        <v>131</v>
      </c>
      <c r="D540" t="s">
        <v>8095</v>
      </c>
      <c r="E540" t="s">
        <v>1106</v>
      </c>
      <c r="F540" t="s">
        <v>7628</v>
      </c>
      <c r="H540" s="34">
        <v>531654.21910522284</v>
      </c>
      <c r="I540" s="53"/>
    </row>
    <row r="541" spans="1:9" x14ac:dyDescent="0.3">
      <c r="A541" t="str">
        <f t="shared" si="8"/>
        <v>11Derbyshire</v>
      </c>
      <c r="B541">
        <v>11</v>
      </c>
      <c r="C541" t="s">
        <v>131</v>
      </c>
      <c r="D541" t="s">
        <v>8108</v>
      </c>
      <c r="E541" t="s">
        <v>7649</v>
      </c>
      <c r="F541" t="s">
        <v>7638</v>
      </c>
      <c r="H541" s="34">
        <v>60213</v>
      </c>
      <c r="I541" s="53"/>
    </row>
    <row r="542" spans="1:9" x14ac:dyDescent="0.3">
      <c r="A542" t="str">
        <f t="shared" si="8"/>
        <v>12Derbyshire</v>
      </c>
      <c r="B542">
        <v>12</v>
      </c>
      <c r="C542" t="s">
        <v>131</v>
      </c>
      <c r="D542" t="s">
        <v>1008</v>
      </c>
      <c r="E542" t="s">
        <v>812</v>
      </c>
      <c r="H542" s="34">
        <v>51000</v>
      </c>
      <c r="I542" s="53"/>
    </row>
    <row r="543" spans="1:9" x14ac:dyDescent="0.3">
      <c r="A543" t="str">
        <f t="shared" si="8"/>
        <v>13Derbyshire</v>
      </c>
      <c r="B543">
        <v>13</v>
      </c>
      <c r="C543" t="s">
        <v>131</v>
      </c>
      <c r="D543" t="s">
        <v>8096</v>
      </c>
      <c r="E543" t="s">
        <v>806</v>
      </c>
      <c r="F543" t="s">
        <v>917</v>
      </c>
      <c r="H543" s="34">
        <v>189876.50682329386</v>
      </c>
      <c r="I543" s="53"/>
    </row>
    <row r="544" spans="1:9" x14ac:dyDescent="0.3">
      <c r="A544" t="str">
        <f t="shared" si="8"/>
        <v>14Derbyshire</v>
      </c>
      <c r="B544">
        <v>14</v>
      </c>
      <c r="C544" t="s">
        <v>131</v>
      </c>
      <c r="D544" t="s">
        <v>8097</v>
      </c>
      <c r="E544" t="s">
        <v>1106</v>
      </c>
      <c r="F544" t="s">
        <v>7628</v>
      </c>
      <c r="H544" s="34">
        <v>645580.12319919921</v>
      </c>
      <c r="I544" s="53"/>
    </row>
    <row r="545" spans="1:9" x14ac:dyDescent="0.3">
      <c r="A545" t="str">
        <f t="shared" si="8"/>
        <v>15Derbyshire</v>
      </c>
      <c r="B545">
        <v>15</v>
      </c>
      <c r="C545" t="s">
        <v>131</v>
      </c>
      <c r="D545" t="s">
        <v>8109</v>
      </c>
      <c r="E545" t="s">
        <v>1106</v>
      </c>
      <c r="F545" t="s">
        <v>7628</v>
      </c>
      <c r="H545" s="34">
        <v>300000</v>
      </c>
      <c r="I545" s="53"/>
    </row>
    <row r="546" spans="1:9" x14ac:dyDescent="0.3">
      <c r="A546" t="str">
        <f t="shared" si="8"/>
        <v>16Derbyshire</v>
      </c>
      <c r="B546">
        <v>16</v>
      </c>
      <c r="C546" t="s">
        <v>131</v>
      </c>
      <c r="D546" t="s">
        <v>8099</v>
      </c>
      <c r="E546" t="s">
        <v>806</v>
      </c>
      <c r="F546" t="s">
        <v>7642</v>
      </c>
      <c r="H546" s="34">
        <v>382791.03775576048</v>
      </c>
      <c r="I546" s="53"/>
    </row>
    <row r="547" spans="1:9" x14ac:dyDescent="0.3">
      <c r="A547" t="str">
        <f t="shared" si="8"/>
        <v>17Derbyshire</v>
      </c>
      <c r="B547">
        <v>17</v>
      </c>
      <c r="C547" t="s">
        <v>131</v>
      </c>
      <c r="D547" t="s">
        <v>8100</v>
      </c>
      <c r="E547" t="s">
        <v>812</v>
      </c>
      <c r="F547" t="s">
        <v>812</v>
      </c>
      <c r="H547" s="34">
        <v>197471.56709622563</v>
      </c>
      <c r="I547" s="53"/>
    </row>
    <row r="548" spans="1:9" x14ac:dyDescent="0.3">
      <c r="A548" t="str">
        <f t="shared" si="8"/>
        <v>18Derbyshire</v>
      </c>
      <c r="B548">
        <v>18</v>
      </c>
      <c r="C548" t="s">
        <v>131</v>
      </c>
      <c r="D548" t="s">
        <v>8101</v>
      </c>
      <c r="E548" t="s">
        <v>812</v>
      </c>
      <c r="F548" t="s">
        <v>812</v>
      </c>
      <c r="H548" s="34">
        <v>45570.361637590533</v>
      </c>
      <c r="I548" s="53"/>
    </row>
    <row r="549" spans="1:9" x14ac:dyDescent="0.3">
      <c r="A549" t="str">
        <f t="shared" si="8"/>
        <v>19Derbyshire</v>
      </c>
      <c r="B549">
        <v>19</v>
      </c>
      <c r="C549" t="s">
        <v>131</v>
      </c>
      <c r="D549" t="s">
        <v>8110</v>
      </c>
      <c r="E549" t="s">
        <v>7649</v>
      </c>
      <c r="F549" t="s">
        <v>7638</v>
      </c>
      <c r="H549" s="34">
        <v>39333</v>
      </c>
      <c r="I549" s="53"/>
    </row>
    <row r="550" spans="1:9" x14ac:dyDescent="0.3">
      <c r="A550" t="str">
        <f t="shared" si="8"/>
        <v>20Derbyshire</v>
      </c>
      <c r="B550">
        <v>20</v>
      </c>
      <c r="C550" t="s">
        <v>131</v>
      </c>
      <c r="D550" t="s">
        <v>8102</v>
      </c>
      <c r="E550" t="s">
        <v>1113</v>
      </c>
      <c r="F550" t="s">
        <v>7629</v>
      </c>
      <c r="H550" s="34">
        <v>126584.3378821959</v>
      </c>
      <c r="I550" s="53"/>
    </row>
    <row r="551" spans="1:9" x14ac:dyDescent="0.3">
      <c r="A551" t="str">
        <f t="shared" si="8"/>
        <v>21Derbyshire</v>
      </c>
      <c r="B551">
        <v>21</v>
      </c>
      <c r="C551" t="s">
        <v>131</v>
      </c>
      <c r="D551" t="s">
        <v>8103</v>
      </c>
      <c r="E551" t="s">
        <v>806</v>
      </c>
      <c r="F551" t="s">
        <v>807</v>
      </c>
      <c r="H551" s="34">
        <v>75950.602729317558</v>
      </c>
      <c r="I551" s="53"/>
    </row>
    <row r="552" spans="1:9" x14ac:dyDescent="0.3">
      <c r="A552" t="str">
        <f t="shared" si="8"/>
        <v>22Derbyshire</v>
      </c>
      <c r="B552">
        <v>22</v>
      </c>
      <c r="C552" t="s">
        <v>131</v>
      </c>
      <c r="D552" t="s">
        <v>8104</v>
      </c>
      <c r="E552" t="s">
        <v>812</v>
      </c>
      <c r="F552" t="s">
        <v>812</v>
      </c>
      <c r="H552" s="34">
        <v>81646.897934016364</v>
      </c>
      <c r="I552" s="53"/>
    </row>
    <row r="553" spans="1:9" x14ac:dyDescent="0.3">
      <c r="A553" t="str">
        <f t="shared" si="8"/>
        <v>1Devon</v>
      </c>
      <c r="B553">
        <v>1</v>
      </c>
      <c r="C553" t="s">
        <v>133</v>
      </c>
      <c r="D553" t="s">
        <v>8111</v>
      </c>
      <c r="E553" t="s">
        <v>842</v>
      </c>
      <c r="F553" t="s">
        <v>7636</v>
      </c>
      <c r="H553" s="34">
        <v>2408506</v>
      </c>
      <c r="I553" s="53"/>
    </row>
    <row r="554" spans="1:9" x14ac:dyDescent="0.3">
      <c r="A554" t="str">
        <f t="shared" si="8"/>
        <v>2Devon</v>
      </c>
      <c r="B554">
        <v>2</v>
      </c>
      <c r="C554" t="s">
        <v>133</v>
      </c>
      <c r="D554" t="s">
        <v>8112</v>
      </c>
      <c r="E554" t="s">
        <v>1106</v>
      </c>
      <c r="F554" t="s">
        <v>7628</v>
      </c>
      <c r="H554" s="34">
        <v>1833600</v>
      </c>
      <c r="I554" s="53"/>
    </row>
    <row r="555" spans="1:9" x14ac:dyDescent="0.3">
      <c r="A555" t="str">
        <f t="shared" si="8"/>
        <v>3Devon</v>
      </c>
      <c r="B555">
        <v>3</v>
      </c>
      <c r="C555" t="s">
        <v>133</v>
      </c>
      <c r="D555" t="s">
        <v>8112</v>
      </c>
      <c r="E555" t="s">
        <v>806</v>
      </c>
      <c r="F555" t="s">
        <v>917</v>
      </c>
      <c r="H555" s="34">
        <v>2534486</v>
      </c>
      <c r="I555" s="53"/>
    </row>
    <row r="556" spans="1:9" x14ac:dyDescent="0.3">
      <c r="A556" t="str">
        <f t="shared" si="8"/>
        <v>1Doncaster</v>
      </c>
      <c r="B556">
        <v>1</v>
      </c>
      <c r="C556" t="s">
        <v>135</v>
      </c>
      <c r="D556" t="s">
        <v>8113</v>
      </c>
      <c r="E556" t="s">
        <v>806</v>
      </c>
      <c r="F556" t="s">
        <v>917</v>
      </c>
      <c r="H556" s="34">
        <v>200000</v>
      </c>
      <c r="I556" s="53"/>
    </row>
    <row r="557" spans="1:9" x14ac:dyDescent="0.3">
      <c r="A557" t="str">
        <f t="shared" si="8"/>
        <v>2Doncaster</v>
      </c>
      <c r="B557">
        <v>2</v>
      </c>
      <c r="C557" t="s">
        <v>135</v>
      </c>
      <c r="D557" t="s">
        <v>8114</v>
      </c>
      <c r="E557" t="s">
        <v>806</v>
      </c>
      <c r="F557" t="s">
        <v>917</v>
      </c>
      <c r="H557" s="34">
        <v>200000</v>
      </c>
      <c r="I557" s="53"/>
    </row>
    <row r="558" spans="1:9" x14ac:dyDescent="0.3">
      <c r="A558" t="str">
        <f t="shared" si="8"/>
        <v>3Doncaster</v>
      </c>
      <c r="B558">
        <v>3</v>
      </c>
      <c r="C558" t="s">
        <v>135</v>
      </c>
      <c r="D558" t="s">
        <v>8115</v>
      </c>
      <c r="E558" t="s">
        <v>812</v>
      </c>
      <c r="F558" t="s">
        <v>7704</v>
      </c>
      <c r="H558" s="34">
        <v>40000</v>
      </c>
      <c r="I558" s="53"/>
    </row>
    <row r="559" spans="1:9" x14ac:dyDescent="0.3">
      <c r="A559" t="str">
        <f t="shared" si="8"/>
        <v>4Doncaster</v>
      </c>
      <c r="B559">
        <v>4</v>
      </c>
      <c r="C559" t="s">
        <v>135</v>
      </c>
      <c r="D559" t="s">
        <v>8116</v>
      </c>
      <c r="E559" t="s">
        <v>800</v>
      </c>
      <c r="F559" t="s">
        <v>903</v>
      </c>
      <c r="H559" s="34">
        <v>39233</v>
      </c>
      <c r="I559" s="53"/>
    </row>
    <row r="560" spans="1:9" x14ac:dyDescent="0.3">
      <c r="A560" t="str">
        <f t="shared" si="8"/>
        <v>5Doncaster</v>
      </c>
      <c r="B560">
        <v>5</v>
      </c>
      <c r="C560" t="s">
        <v>135</v>
      </c>
      <c r="D560" t="s">
        <v>8117</v>
      </c>
      <c r="E560" t="s">
        <v>842</v>
      </c>
      <c r="F560" t="s">
        <v>7636</v>
      </c>
      <c r="H560" s="34">
        <v>48767</v>
      </c>
      <c r="I560" s="53"/>
    </row>
    <row r="561" spans="1:9" x14ac:dyDescent="0.3">
      <c r="A561" t="str">
        <f t="shared" si="8"/>
        <v>6Doncaster</v>
      </c>
      <c r="B561">
        <v>6</v>
      </c>
      <c r="C561" t="s">
        <v>135</v>
      </c>
      <c r="D561" t="s">
        <v>8118</v>
      </c>
      <c r="E561" t="s">
        <v>842</v>
      </c>
      <c r="F561" t="s">
        <v>7636</v>
      </c>
      <c r="H561" s="34">
        <v>51233</v>
      </c>
      <c r="I561" s="53"/>
    </row>
    <row r="562" spans="1:9" x14ac:dyDescent="0.3">
      <c r="A562" t="str">
        <f t="shared" si="8"/>
        <v>7Doncaster</v>
      </c>
      <c r="B562">
        <v>7</v>
      </c>
      <c r="C562" t="s">
        <v>135</v>
      </c>
      <c r="D562" t="s">
        <v>8119</v>
      </c>
      <c r="E562" t="s">
        <v>812</v>
      </c>
      <c r="F562" t="s">
        <v>7704</v>
      </c>
      <c r="H562" s="34">
        <v>13000</v>
      </c>
      <c r="I562" s="53"/>
    </row>
    <row r="563" spans="1:9" x14ac:dyDescent="0.3">
      <c r="A563" t="str">
        <f t="shared" si="8"/>
        <v>8Doncaster</v>
      </c>
      <c r="B563">
        <v>8</v>
      </c>
      <c r="C563" t="s">
        <v>135</v>
      </c>
      <c r="D563" t="s">
        <v>8120</v>
      </c>
      <c r="E563" t="s">
        <v>806</v>
      </c>
      <c r="F563" t="s">
        <v>812</v>
      </c>
      <c r="H563" s="34">
        <v>93000</v>
      </c>
      <c r="I563" s="53"/>
    </row>
    <row r="564" spans="1:9" x14ac:dyDescent="0.3">
      <c r="A564" t="str">
        <f t="shared" si="8"/>
        <v>9Doncaster</v>
      </c>
      <c r="B564">
        <v>9</v>
      </c>
      <c r="C564" t="s">
        <v>135</v>
      </c>
      <c r="D564" t="s">
        <v>8121</v>
      </c>
      <c r="E564" t="s">
        <v>5266</v>
      </c>
      <c r="F564" t="s">
        <v>7646</v>
      </c>
      <c r="H564" s="34">
        <v>639000</v>
      </c>
      <c r="I564" s="53"/>
    </row>
    <row r="565" spans="1:9" x14ac:dyDescent="0.3">
      <c r="A565" t="str">
        <f t="shared" si="8"/>
        <v>10Doncaster</v>
      </c>
      <c r="B565">
        <v>10</v>
      </c>
      <c r="C565" t="s">
        <v>135</v>
      </c>
      <c r="D565" t="s">
        <v>8122</v>
      </c>
      <c r="E565" t="s">
        <v>5266</v>
      </c>
      <c r="F565" t="s">
        <v>7646</v>
      </c>
      <c r="H565" s="34">
        <v>1007000</v>
      </c>
      <c r="I565" s="53"/>
    </row>
    <row r="566" spans="1:9" x14ac:dyDescent="0.3">
      <c r="A566" t="str">
        <f t="shared" si="8"/>
        <v>11Doncaster</v>
      </c>
      <c r="B566">
        <v>11</v>
      </c>
      <c r="C566" t="s">
        <v>135</v>
      </c>
      <c r="D566" t="s">
        <v>8123</v>
      </c>
      <c r="E566" t="s">
        <v>7660</v>
      </c>
      <c r="F566" t="s">
        <v>7704</v>
      </c>
      <c r="H566" s="34">
        <v>50000</v>
      </c>
      <c r="I566" s="53"/>
    </row>
    <row r="567" spans="1:9" x14ac:dyDescent="0.3">
      <c r="A567" t="str">
        <f t="shared" si="8"/>
        <v>12Doncaster</v>
      </c>
      <c r="B567">
        <v>12</v>
      </c>
      <c r="C567" t="s">
        <v>135</v>
      </c>
      <c r="D567" t="s">
        <v>8124</v>
      </c>
      <c r="E567" t="s">
        <v>5266</v>
      </c>
      <c r="F567" t="s">
        <v>7646</v>
      </c>
      <c r="H567" s="34">
        <v>730000</v>
      </c>
      <c r="I567" s="53"/>
    </row>
    <row r="568" spans="1:9" x14ac:dyDescent="0.3">
      <c r="A568" t="str">
        <f t="shared" si="8"/>
        <v>1Dorset</v>
      </c>
      <c r="B568">
        <v>1</v>
      </c>
      <c r="C568" t="s">
        <v>137</v>
      </c>
      <c r="D568" t="s">
        <v>8125</v>
      </c>
      <c r="E568" t="s">
        <v>7662</v>
      </c>
      <c r="F568" t="s">
        <v>7704</v>
      </c>
      <c r="H568" s="34">
        <v>45991</v>
      </c>
      <c r="I568" s="53"/>
    </row>
    <row r="569" spans="1:9" x14ac:dyDescent="0.3">
      <c r="A569" t="str">
        <f t="shared" si="8"/>
        <v>2Dorset</v>
      </c>
      <c r="B569">
        <v>2</v>
      </c>
      <c r="C569" t="s">
        <v>137</v>
      </c>
      <c r="D569" t="s">
        <v>8126</v>
      </c>
      <c r="E569" t="s">
        <v>1113</v>
      </c>
      <c r="F569" t="s">
        <v>7629</v>
      </c>
      <c r="H569" s="34">
        <v>40000</v>
      </c>
      <c r="I569" s="53"/>
    </row>
    <row r="570" spans="1:9" x14ac:dyDescent="0.3">
      <c r="A570" t="str">
        <f t="shared" si="8"/>
        <v>3Dorset</v>
      </c>
      <c r="B570">
        <v>3</v>
      </c>
      <c r="C570" t="s">
        <v>137</v>
      </c>
      <c r="D570" t="s">
        <v>1051</v>
      </c>
      <c r="E570" t="s">
        <v>800</v>
      </c>
      <c r="F570" t="s">
        <v>903</v>
      </c>
      <c r="H570" s="34">
        <v>500000</v>
      </c>
      <c r="I570" s="53"/>
    </row>
    <row r="571" spans="1:9" x14ac:dyDescent="0.3">
      <c r="A571" t="str">
        <f t="shared" si="8"/>
        <v>4Dorset</v>
      </c>
      <c r="B571">
        <v>4</v>
      </c>
      <c r="C571" t="s">
        <v>137</v>
      </c>
      <c r="D571" t="s">
        <v>8127</v>
      </c>
      <c r="E571" t="s">
        <v>842</v>
      </c>
      <c r="F571" t="s">
        <v>7636</v>
      </c>
      <c r="H571" s="34">
        <v>100000</v>
      </c>
      <c r="I571" s="53"/>
    </row>
    <row r="572" spans="1:9" x14ac:dyDescent="0.3">
      <c r="A572" t="str">
        <f t="shared" si="8"/>
        <v>5Dorset</v>
      </c>
      <c r="B572">
        <v>5</v>
      </c>
      <c r="C572" t="s">
        <v>137</v>
      </c>
      <c r="D572" t="s">
        <v>8128</v>
      </c>
      <c r="E572" t="s">
        <v>842</v>
      </c>
      <c r="F572" t="s">
        <v>843</v>
      </c>
      <c r="H572" s="34">
        <v>424173</v>
      </c>
      <c r="I572" s="53"/>
    </row>
    <row r="573" spans="1:9" x14ac:dyDescent="0.3">
      <c r="A573" t="str">
        <f t="shared" si="8"/>
        <v>6Dorset</v>
      </c>
      <c r="B573">
        <v>6</v>
      </c>
      <c r="C573" t="s">
        <v>137</v>
      </c>
      <c r="D573" t="s">
        <v>8129</v>
      </c>
      <c r="E573" t="s">
        <v>842</v>
      </c>
      <c r="F573" t="s">
        <v>7636</v>
      </c>
      <c r="H573" s="34">
        <v>97500</v>
      </c>
      <c r="I573" s="53"/>
    </row>
    <row r="574" spans="1:9" x14ac:dyDescent="0.3">
      <c r="A574" t="str">
        <f t="shared" si="8"/>
        <v>7Dorset</v>
      </c>
      <c r="B574">
        <v>7</v>
      </c>
      <c r="C574" t="s">
        <v>137</v>
      </c>
      <c r="D574" t="s">
        <v>8130</v>
      </c>
      <c r="E574" t="s">
        <v>806</v>
      </c>
      <c r="F574" t="s">
        <v>917</v>
      </c>
      <c r="H574" s="34">
        <v>180000</v>
      </c>
      <c r="I574" s="53"/>
    </row>
    <row r="575" spans="1:9" x14ac:dyDescent="0.3">
      <c r="A575" t="str">
        <f t="shared" si="8"/>
        <v>8Dorset</v>
      </c>
      <c r="B575">
        <v>8</v>
      </c>
      <c r="C575" t="s">
        <v>137</v>
      </c>
      <c r="D575" t="s">
        <v>8131</v>
      </c>
      <c r="E575" t="s">
        <v>1113</v>
      </c>
      <c r="F575" t="s">
        <v>7628</v>
      </c>
      <c r="H575" s="34">
        <v>1953376</v>
      </c>
      <c r="I575" s="53"/>
    </row>
    <row r="576" spans="1:9" x14ac:dyDescent="0.3">
      <c r="A576" t="str">
        <f t="shared" si="8"/>
        <v>9Dorset</v>
      </c>
      <c r="B576">
        <v>9</v>
      </c>
      <c r="C576" t="s">
        <v>137</v>
      </c>
      <c r="D576" t="s">
        <v>8132</v>
      </c>
      <c r="E576" t="s">
        <v>1106</v>
      </c>
      <c r="F576" t="s">
        <v>7628</v>
      </c>
      <c r="H576" s="34">
        <v>399740</v>
      </c>
      <c r="I576" s="53"/>
    </row>
    <row r="577" spans="1:9" x14ac:dyDescent="0.3">
      <c r="A577" t="str">
        <f t="shared" si="8"/>
        <v>10Dorset</v>
      </c>
      <c r="B577">
        <v>10</v>
      </c>
      <c r="C577" t="s">
        <v>137</v>
      </c>
      <c r="D577" t="s">
        <v>8133</v>
      </c>
      <c r="E577" t="s">
        <v>812</v>
      </c>
      <c r="F577" t="s">
        <v>7704</v>
      </c>
      <c r="H577" s="34">
        <v>75000</v>
      </c>
      <c r="I577" s="53"/>
    </row>
    <row r="578" spans="1:9" x14ac:dyDescent="0.3">
      <c r="A578" t="str">
        <f t="shared" ref="A578:A641" si="9">B578&amp;C578</f>
        <v>11Dorset</v>
      </c>
      <c r="B578">
        <v>11</v>
      </c>
      <c r="C578" t="s">
        <v>137</v>
      </c>
      <c r="D578" t="s">
        <v>8134</v>
      </c>
      <c r="E578" t="s">
        <v>1106</v>
      </c>
      <c r="F578" t="s">
        <v>7628</v>
      </c>
      <c r="H578" s="34">
        <v>783333</v>
      </c>
      <c r="I578" s="53"/>
    </row>
    <row r="579" spans="1:9" x14ac:dyDescent="0.3">
      <c r="A579" t="str">
        <f t="shared" si="9"/>
        <v>1Dudley</v>
      </c>
      <c r="B579">
        <v>1</v>
      </c>
      <c r="C579" t="s">
        <v>139</v>
      </c>
      <c r="D579" t="s">
        <v>8135</v>
      </c>
      <c r="E579" t="s">
        <v>7657</v>
      </c>
      <c r="F579" t="s">
        <v>7632</v>
      </c>
      <c r="H579" s="34">
        <v>9163</v>
      </c>
      <c r="I579" s="53"/>
    </row>
    <row r="580" spans="1:9" x14ac:dyDescent="0.3">
      <c r="A580" t="str">
        <f t="shared" si="9"/>
        <v>2Dudley</v>
      </c>
      <c r="B580">
        <v>2</v>
      </c>
      <c r="C580" t="s">
        <v>139</v>
      </c>
      <c r="D580" t="s">
        <v>8136</v>
      </c>
      <c r="E580" t="s">
        <v>806</v>
      </c>
      <c r="F580" t="s">
        <v>807</v>
      </c>
      <c r="H580" s="34">
        <v>83000</v>
      </c>
      <c r="I580" s="53"/>
    </row>
    <row r="581" spans="1:9" x14ac:dyDescent="0.3">
      <c r="A581" t="str">
        <f t="shared" si="9"/>
        <v>3Dudley</v>
      </c>
      <c r="B581">
        <v>3</v>
      </c>
      <c r="C581" t="s">
        <v>139</v>
      </c>
      <c r="D581" t="s">
        <v>8137</v>
      </c>
      <c r="E581" t="s">
        <v>842</v>
      </c>
      <c r="F581" t="s">
        <v>7636</v>
      </c>
      <c r="H581" s="34">
        <v>222000</v>
      </c>
      <c r="I581" s="53"/>
    </row>
    <row r="582" spans="1:9" x14ac:dyDescent="0.3">
      <c r="A582" t="str">
        <f t="shared" si="9"/>
        <v>4Dudley</v>
      </c>
      <c r="B582">
        <v>4</v>
      </c>
      <c r="C582" t="s">
        <v>139</v>
      </c>
      <c r="D582" t="s">
        <v>2545</v>
      </c>
      <c r="E582" t="s">
        <v>800</v>
      </c>
      <c r="F582" t="s">
        <v>903</v>
      </c>
      <c r="H582" s="34">
        <v>200000</v>
      </c>
      <c r="I582" s="53"/>
    </row>
    <row r="583" spans="1:9" x14ac:dyDescent="0.3">
      <c r="A583" t="str">
        <f t="shared" si="9"/>
        <v>5Dudley</v>
      </c>
      <c r="B583">
        <v>5</v>
      </c>
      <c r="C583" t="s">
        <v>139</v>
      </c>
      <c r="D583" t="s">
        <v>8138</v>
      </c>
      <c r="E583" t="s">
        <v>1106</v>
      </c>
      <c r="F583" t="s">
        <v>7628</v>
      </c>
      <c r="H583" s="34">
        <v>100000</v>
      </c>
      <c r="I583" s="53"/>
    </row>
    <row r="584" spans="1:9" x14ac:dyDescent="0.3">
      <c r="A584" t="str">
        <f t="shared" si="9"/>
        <v>6Dudley</v>
      </c>
      <c r="B584">
        <v>6</v>
      </c>
      <c r="C584" t="s">
        <v>139</v>
      </c>
      <c r="D584" t="s">
        <v>8139</v>
      </c>
      <c r="E584" t="s">
        <v>1106</v>
      </c>
      <c r="F584" t="s">
        <v>7628</v>
      </c>
      <c r="H584" s="34">
        <v>20000</v>
      </c>
      <c r="I584" s="53"/>
    </row>
    <row r="585" spans="1:9" x14ac:dyDescent="0.3">
      <c r="A585" t="str">
        <f t="shared" si="9"/>
        <v>7Dudley</v>
      </c>
      <c r="B585">
        <v>7</v>
      </c>
      <c r="C585" t="s">
        <v>139</v>
      </c>
      <c r="D585" t="s">
        <v>8140</v>
      </c>
      <c r="E585" t="s">
        <v>842</v>
      </c>
      <c r="F585" t="s">
        <v>7636</v>
      </c>
      <c r="H585" s="34">
        <v>65720</v>
      </c>
      <c r="I585" s="53"/>
    </row>
    <row r="586" spans="1:9" x14ac:dyDescent="0.3">
      <c r="A586" t="str">
        <f t="shared" si="9"/>
        <v>8Dudley</v>
      </c>
      <c r="B586">
        <v>8</v>
      </c>
      <c r="C586" t="s">
        <v>139</v>
      </c>
      <c r="D586" t="s">
        <v>8141</v>
      </c>
      <c r="E586" t="s">
        <v>806</v>
      </c>
      <c r="F586" t="s">
        <v>807</v>
      </c>
      <c r="H586" s="34">
        <v>303676</v>
      </c>
      <c r="I586" s="53"/>
    </row>
    <row r="587" spans="1:9" x14ac:dyDescent="0.3">
      <c r="A587" t="str">
        <f t="shared" si="9"/>
        <v>9Dudley</v>
      </c>
      <c r="B587">
        <v>9</v>
      </c>
      <c r="C587" t="s">
        <v>139</v>
      </c>
      <c r="D587" t="s">
        <v>8142</v>
      </c>
      <c r="E587" t="s">
        <v>806</v>
      </c>
      <c r="F587" t="s">
        <v>917</v>
      </c>
      <c r="H587" s="34">
        <v>444000</v>
      </c>
      <c r="I587" s="53"/>
    </row>
    <row r="588" spans="1:9" x14ac:dyDescent="0.3">
      <c r="A588" t="str">
        <f t="shared" si="9"/>
        <v>10Dudley</v>
      </c>
      <c r="B588">
        <v>10</v>
      </c>
      <c r="C588" t="s">
        <v>139</v>
      </c>
      <c r="D588" t="s">
        <v>8143</v>
      </c>
      <c r="E588" t="s">
        <v>7660</v>
      </c>
      <c r="F588" t="s">
        <v>7704</v>
      </c>
      <c r="H588" s="34">
        <v>55500</v>
      </c>
      <c r="I588" s="53"/>
    </row>
    <row r="589" spans="1:9" x14ac:dyDescent="0.3">
      <c r="A589" t="str">
        <f t="shared" si="9"/>
        <v>11Dudley</v>
      </c>
      <c r="B589">
        <v>11</v>
      </c>
      <c r="C589" t="s">
        <v>139</v>
      </c>
      <c r="D589" t="s">
        <v>8144</v>
      </c>
      <c r="E589" t="s">
        <v>7662</v>
      </c>
      <c r="F589" t="s">
        <v>7704</v>
      </c>
      <c r="H589" s="34">
        <v>7000</v>
      </c>
      <c r="I589" s="53"/>
    </row>
    <row r="590" spans="1:9" x14ac:dyDescent="0.3">
      <c r="A590" t="str">
        <f t="shared" si="9"/>
        <v>12Dudley</v>
      </c>
      <c r="B590">
        <v>12</v>
      </c>
      <c r="C590" t="s">
        <v>139</v>
      </c>
      <c r="D590" t="s">
        <v>8145</v>
      </c>
      <c r="E590" t="s">
        <v>7658</v>
      </c>
      <c r="F590" t="s">
        <v>7704</v>
      </c>
      <c r="H590" s="34">
        <v>157080</v>
      </c>
      <c r="I590" s="53"/>
    </row>
    <row r="591" spans="1:9" x14ac:dyDescent="0.3">
      <c r="A591" t="str">
        <f t="shared" si="9"/>
        <v>13Dudley</v>
      </c>
      <c r="B591">
        <v>13</v>
      </c>
      <c r="C591" t="s">
        <v>139</v>
      </c>
      <c r="D591" t="s">
        <v>8146</v>
      </c>
      <c r="E591" t="s">
        <v>806</v>
      </c>
      <c r="F591" t="s">
        <v>807</v>
      </c>
      <c r="H591" s="34">
        <v>137120</v>
      </c>
      <c r="I591" s="53"/>
    </row>
    <row r="592" spans="1:9" x14ac:dyDescent="0.3">
      <c r="A592" t="str">
        <f t="shared" si="9"/>
        <v>14Dudley</v>
      </c>
      <c r="B592">
        <v>14</v>
      </c>
      <c r="C592" t="s">
        <v>139</v>
      </c>
      <c r="D592" t="s">
        <v>3557</v>
      </c>
      <c r="E592" t="s">
        <v>842</v>
      </c>
      <c r="F592" t="s">
        <v>843</v>
      </c>
      <c r="H592" s="34">
        <v>203091</v>
      </c>
      <c r="I592" s="53"/>
    </row>
    <row r="593" spans="1:9" x14ac:dyDescent="0.3">
      <c r="A593" t="str">
        <f t="shared" si="9"/>
        <v>15Dudley</v>
      </c>
      <c r="B593">
        <v>15</v>
      </c>
      <c r="C593" t="s">
        <v>139</v>
      </c>
      <c r="D593" t="s">
        <v>8147</v>
      </c>
      <c r="E593" t="s">
        <v>1106</v>
      </c>
      <c r="F593" t="s">
        <v>7628</v>
      </c>
      <c r="H593" s="34">
        <v>160000</v>
      </c>
      <c r="I593" s="53"/>
    </row>
    <row r="594" spans="1:9" x14ac:dyDescent="0.3">
      <c r="A594" t="str">
        <f t="shared" si="9"/>
        <v>16Dudley</v>
      </c>
      <c r="B594">
        <v>16</v>
      </c>
      <c r="C594" t="s">
        <v>139</v>
      </c>
      <c r="D594" t="s">
        <v>8148</v>
      </c>
      <c r="E594" t="s">
        <v>7649</v>
      </c>
      <c r="F594" t="s">
        <v>7638</v>
      </c>
      <c r="H594" s="34">
        <v>107500</v>
      </c>
      <c r="I594" s="53"/>
    </row>
    <row r="595" spans="1:9" x14ac:dyDescent="0.3">
      <c r="A595" t="str">
        <f t="shared" si="9"/>
        <v>17Dudley</v>
      </c>
      <c r="B595">
        <v>17</v>
      </c>
      <c r="C595" t="s">
        <v>139</v>
      </c>
      <c r="D595" t="s">
        <v>8149</v>
      </c>
      <c r="E595" t="s">
        <v>7658</v>
      </c>
      <c r="F595" t="s">
        <v>7704</v>
      </c>
      <c r="H595" s="34">
        <v>100000</v>
      </c>
      <c r="I595" s="53"/>
    </row>
    <row r="596" spans="1:9" x14ac:dyDescent="0.3">
      <c r="A596" t="str">
        <f t="shared" si="9"/>
        <v>18Dudley</v>
      </c>
      <c r="B596">
        <v>18</v>
      </c>
      <c r="C596" t="s">
        <v>139</v>
      </c>
      <c r="D596" t="s">
        <v>8150</v>
      </c>
      <c r="E596" t="s">
        <v>7660</v>
      </c>
      <c r="F596" t="s">
        <v>7704</v>
      </c>
      <c r="H596" s="34">
        <v>50000</v>
      </c>
      <c r="I596" s="53"/>
    </row>
    <row r="597" spans="1:9" x14ac:dyDescent="0.3">
      <c r="A597" t="str">
        <f t="shared" si="9"/>
        <v>19Dudley</v>
      </c>
      <c r="B597">
        <v>19</v>
      </c>
      <c r="C597" t="s">
        <v>139</v>
      </c>
      <c r="D597" t="s">
        <v>8151</v>
      </c>
      <c r="E597" t="s">
        <v>1106</v>
      </c>
      <c r="F597" t="s">
        <v>7628</v>
      </c>
      <c r="H597" s="34">
        <v>100000</v>
      </c>
      <c r="I597" s="53"/>
    </row>
    <row r="598" spans="1:9" x14ac:dyDescent="0.3">
      <c r="A598" t="str">
        <f t="shared" si="9"/>
        <v>20Dudley</v>
      </c>
      <c r="B598">
        <v>20</v>
      </c>
      <c r="C598" t="s">
        <v>139</v>
      </c>
      <c r="D598" t="s">
        <v>8152</v>
      </c>
      <c r="E598" t="s">
        <v>7658</v>
      </c>
      <c r="F598" t="s">
        <v>7704</v>
      </c>
      <c r="H598" s="34">
        <v>55500</v>
      </c>
      <c r="I598" s="53"/>
    </row>
    <row r="599" spans="1:9" x14ac:dyDescent="0.3">
      <c r="A599" t="str">
        <f t="shared" si="9"/>
        <v>21Dudley</v>
      </c>
      <c r="B599">
        <v>21</v>
      </c>
      <c r="C599" t="s">
        <v>139</v>
      </c>
      <c r="D599" t="s">
        <v>8153</v>
      </c>
      <c r="E599" t="s">
        <v>7662</v>
      </c>
      <c r="F599" t="s">
        <v>7704</v>
      </c>
      <c r="H599" s="34">
        <v>15000</v>
      </c>
      <c r="I599" s="53"/>
    </row>
    <row r="600" spans="1:9" x14ac:dyDescent="0.3">
      <c r="A600" t="str">
        <f t="shared" si="9"/>
        <v>22Dudley</v>
      </c>
      <c r="B600">
        <v>22</v>
      </c>
      <c r="C600" t="s">
        <v>139</v>
      </c>
      <c r="D600" t="s">
        <v>8154</v>
      </c>
      <c r="E600" t="s">
        <v>800</v>
      </c>
      <c r="F600" t="s">
        <v>812</v>
      </c>
      <c r="H600" s="34">
        <v>218000</v>
      </c>
      <c r="I600" s="53"/>
    </row>
    <row r="601" spans="1:9" x14ac:dyDescent="0.3">
      <c r="A601" t="str">
        <f t="shared" si="9"/>
        <v>1Ealing</v>
      </c>
      <c r="B601">
        <v>1</v>
      </c>
      <c r="C601" t="s">
        <v>141</v>
      </c>
      <c r="D601" t="s">
        <v>6609</v>
      </c>
      <c r="E601" t="s">
        <v>842</v>
      </c>
      <c r="F601" t="s">
        <v>7636</v>
      </c>
      <c r="H601" s="34">
        <v>1746307</v>
      </c>
      <c r="I601" s="53"/>
    </row>
    <row r="602" spans="1:9" x14ac:dyDescent="0.3">
      <c r="A602" t="str">
        <f t="shared" si="9"/>
        <v>2Ealing</v>
      </c>
      <c r="B602">
        <v>2</v>
      </c>
      <c r="C602" t="s">
        <v>141</v>
      </c>
      <c r="D602" t="s">
        <v>8155</v>
      </c>
      <c r="E602" t="s">
        <v>806</v>
      </c>
      <c r="F602" t="s">
        <v>8156</v>
      </c>
      <c r="H602" s="34">
        <v>595211</v>
      </c>
      <c r="I602" s="53"/>
    </row>
    <row r="603" spans="1:9" x14ac:dyDescent="0.3">
      <c r="A603" t="str">
        <f t="shared" si="9"/>
        <v>1East Riding of Yorkshire</v>
      </c>
      <c r="B603">
        <v>1</v>
      </c>
      <c r="C603" t="s">
        <v>143</v>
      </c>
      <c r="D603" t="s">
        <v>8157</v>
      </c>
      <c r="E603" t="s">
        <v>1106</v>
      </c>
      <c r="F603" t="s">
        <v>812</v>
      </c>
      <c r="H603" s="34">
        <v>208864.51</v>
      </c>
      <c r="I603" s="53"/>
    </row>
    <row r="604" spans="1:9" x14ac:dyDescent="0.3">
      <c r="A604" t="str">
        <f t="shared" si="9"/>
        <v>2East Riding of Yorkshire</v>
      </c>
      <c r="B604">
        <v>2</v>
      </c>
      <c r="C604" t="s">
        <v>143</v>
      </c>
      <c r="D604" t="s">
        <v>8158</v>
      </c>
      <c r="E604" t="s">
        <v>1106</v>
      </c>
      <c r="F604" t="s">
        <v>7628</v>
      </c>
      <c r="H604" s="34">
        <v>28000</v>
      </c>
      <c r="I604" s="53"/>
    </row>
    <row r="605" spans="1:9" x14ac:dyDescent="0.3">
      <c r="A605" t="str">
        <f t="shared" si="9"/>
        <v>3East Riding of Yorkshire</v>
      </c>
      <c r="B605">
        <v>3</v>
      </c>
      <c r="C605" t="s">
        <v>143</v>
      </c>
      <c r="D605" t="s">
        <v>8159</v>
      </c>
      <c r="E605" t="s">
        <v>1106</v>
      </c>
      <c r="F605" t="s">
        <v>7628</v>
      </c>
      <c r="H605" s="34">
        <v>64000</v>
      </c>
      <c r="I605" s="53"/>
    </row>
    <row r="606" spans="1:9" x14ac:dyDescent="0.3">
      <c r="A606" t="str">
        <f t="shared" si="9"/>
        <v>4East Riding of Yorkshire</v>
      </c>
      <c r="B606">
        <v>4</v>
      </c>
      <c r="C606" t="s">
        <v>143</v>
      </c>
      <c r="D606" t="s">
        <v>8160</v>
      </c>
      <c r="E606" t="s">
        <v>806</v>
      </c>
      <c r="F606" t="s">
        <v>812</v>
      </c>
      <c r="H606" s="34">
        <v>20000</v>
      </c>
      <c r="I606" s="53"/>
    </row>
    <row r="607" spans="1:9" x14ac:dyDescent="0.3">
      <c r="A607" t="str">
        <f t="shared" si="9"/>
        <v>5East Riding of Yorkshire</v>
      </c>
      <c r="B607">
        <v>5</v>
      </c>
      <c r="C607" t="s">
        <v>143</v>
      </c>
      <c r="D607" t="s">
        <v>8161</v>
      </c>
      <c r="E607" t="s">
        <v>812</v>
      </c>
      <c r="H607" s="34">
        <v>140000</v>
      </c>
      <c r="I607" s="53"/>
    </row>
    <row r="608" spans="1:9" x14ac:dyDescent="0.3">
      <c r="A608" t="str">
        <f t="shared" si="9"/>
        <v>6East Riding of Yorkshire</v>
      </c>
      <c r="B608">
        <v>6</v>
      </c>
      <c r="C608" t="s">
        <v>143</v>
      </c>
      <c r="D608" t="s">
        <v>8162</v>
      </c>
      <c r="E608" t="s">
        <v>800</v>
      </c>
      <c r="F608" t="s">
        <v>903</v>
      </c>
      <c r="H608" s="34">
        <v>215139</v>
      </c>
      <c r="I608" s="53"/>
    </row>
    <row r="609" spans="1:9" x14ac:dyDescent="0.3">
      <c r="A609" t="str">
        <f t="shared" si="9"/>
        <v>7East Riding of Yorkshire</v>
      </c>
      <c r="B609">
        <v>7</v>
      </c>
      <c r="C609" t="s">
        <v>143</v>
      </c>
      <c r="D609" t="s">
        <v>8163</v>
      </c>
      <c r="E609" t="s">
        <v>812</v>
      </c>
      <c r="H609" s="34">
        <v>20000</v>
      </c>
      <c r="I609" s="53"/>
    </row>
    <row r="610" spans="1:9" x14ac:dyDescent="0.3">
      <c r="A610" t="str">
        <f t="shared" si="9"/>
        <v>8East Riding of Yorkshire</v>
      </c>
      <c r="B610">
        <v>8</v>
      </c>
      <c r="C610" t="s">
        <v>143</v>
      </c>
      <c r="D610" t="s">
        <v>8164</v>
      </c>
      <c r="E610" t="s">
        <v>806</v>
      </c>
      <c r="F610" t="s">
        <v>812</v>
      </c>
      <c r="H610" s="34">
        <v>320000</v>
      </c>
      <c r="I610" s="53"/>
    </row>
    <row r="611" spans="1:9" x14ac:dyDescent="0.3">
      <c r="A611" t="str">
        <f t="shared" si="9"/>
        <v>9East Riding of Yorkshire</v>
      </c>
      <c r="B611">
        <v>9</v>
      </c>
      <c r="C611" t="s">
        <v>143</v>
      </c>
      <c r="D611" t="s">
        <v>8165</v>
      </c>
      <c r="E611" t="s">
        <v>7658</v>
      </c>
      <c r="H611" s="34">
        <v>125000</v>
      </c>
      <c r="I611" s="53"/>
    </row>
    <row r="612" spans="1:9" x14ac:dyDescent="0.3">
      <c r="A612" t="str">
        <f t="shared" si="9"/>
        <v>10East Riding of Yorkshire</v>
      </c>
      <c r="B612">
        <v>10</v>
      </c>
      <c r="C612" t="s">
        <v>143</v>
      </c>
      <c r="D612" t="s">
        <v>8166</v>
      </c>
      <c r="E612" t="s">
        <v>5266</v>
      </c>
      <c r="F612" t="s">
        <v>7631</v>
      </c>
      <c r="H612" s="34">
        <v>267459</v>
      </c>
      <c r="I612" s="53"/>
    </row>
    <row r="613" spans="1:9" x14ac:dyDescent="0.3">
      <c r="A613" t="str">
        <f t="shared" si="9"/>
        <v>11East Riding of Yorkshire</v>
      </c>
      <c r="B613">
        <v>11</v>
      </c>
      <c r="C613" t="s">
        <v>143</v>
      </c>
      <c r="D613" t="s">
        <v>8167</v>
      </c>
      <c r="E613" t="s">
        <v>5266</v>
      </c>
      <c r="F613" t="s">
        <v>7646</v>
      </c>
      <c r="H613" s="34">
        <v>608330</v>
      </c>
      <c r="I613" s="53"/>
    </row>
    <row r="614" spans="1:9" x14ac:dyDescent="0.3">
      <c r="A614" t="str">
        <f t="shared" si="9"/>
        <v>12East Riding of Yorkshire</v>
      </c>
      <c r="B614">
        <v>12</v>
      </c>
      <c r="C614" t="s">
        <v>143</v>
      </c>
      <c r="D614" t="s">
        <v>8168</v>
      </c>
      <c r="E614" t="s">
        <v>812</v>
      </c>
      <c r="H614" s="34">
        <v>13687.5</v>
      </c>
      <c r="I614" s="53"/>
    </row>
    <row r="615" spans="1:9" x14ac:dyDescent="0.3">
      <c r="A615" t="str">
        <f t="shared" si="9"/>
        <v>13East Riding of Yorkshire</v>
      </c>
      <c r="B615">
        <v>13</v>
      </c>
      <c r="C615" t="s">
        <v>143</v>
      </c>
      <c r="D615" t="s">
        <v>8169</v>
      </c>
      <c r="E615" t="s">
        <v>842</v>
      </c>
      <c r="F615" t="s">
        <v>7636</v>
      </c>
      <c r="H615" s="34">
        <v>525000</v>
      </c>
      <c r="I615" s="53"/>
    </row>
    <row r="616" spans="1:9" x14ac:dyDescent="0.3">
      <c r="A616" t="str">
        <f t="shared" si="9"/>
        <v>14East Riding of Yorkshire</v>
      </c>
      <c r="B616">
        <v>14</v>
      </c>
      <c r="C616" t="s">
        <v>143</v>
      </c>
      <c r="D616" t="s">
        <v>8170</v>
      </c>
      <c r="E616" t="s">
        <v>1106</v>
      </c>
      <c r="F616" t="s">
        <v>812</v>
      </c>
      <c r="H616" s="34">
        <v>82000</v>
      </c>
      <c r="I616" s="53"/>
    </row>
    <row r="617" spans="1:9" x14ac:dyDescent="0.3">
      <c r="A617" t="str">
        <f t="shared" si="9"/>
        <v>15East Riding of Yorkshire</v>
      </c>
      <c r="B617">
        <v>15</v>
      </c>
      <c r="C617" t="s">
        <v>143</v>
      </c>
      <c r="D617" t="s">
        <v>8171</v>
      </c>
      <c r="E617" t="s">
        <v>5266</v>
      </c>
      <c r="F617" t="s">
        <v>7639</v>
      </c>
      <c r="H617" s="34">
        <v>50000</v>
      </c>
      <c r="I617" s="53"/>
    </row>
    <row r="618" spans="1:9" x14ac:dyDescent="0.3">
      <c r="A618" t="str">
        <f t="shared" si="9"/>
        <v>16East Riding of Yorkshire</v>
      </c>
      <c r="B618">
        <v>16</v>
      </c>
      <c r="C618" t="s">
        <v>143</v>
      </c>
      <c r="D618" t="s">
        <v>8172</v>
      </c>
      <c r="E618" t="s">
        <v>800</v>
      </c>
      <c r="F618" t="s">
        <v>2108</v>
      </c>
      <c r="H618" s="34">
        <v>94046</v>
      </c>
      <c r="I618" s="53"/>
    </row>
    <row r="619" spans="1:9" x14ac:dyDescent="0.3">
      <c r="A619" t="str">
        <f t="shared" si="9"/>
        <v>17East Riding of Yorkshire</v>
      </c>
      <c r="B619">
        <v>17</v>
      </c>
      <c r="C619" t="s">
        <v>143</v>
      </c>
      <c r="D619" t="s">
        <v>8173</v>
      </c>
      <c r="E619" t="s">
        <v>842</v>
      </c>
      <c r="F619" t="s">
        <v>1594</v>
      </c>
      <c r="H619" s="34">
        <v>25000</v>
      </c>
      <c r="I619" s="53"/>
    </row>
    <row r="620" spans="1:9" x14ac:dyDescent="0.3">
      <c r="A620" t="str">
        <f t="shared" si="9"/>
        <v>18East Riding of Yorkshire</v>
      </c>
      <c r="B620">
        <v>18</v>
      </c>
      <c r="C620" t="s">
        <v>143</v>
      </c>
      <c r="D620" t="s">
        <v>8174</v>
      </c>
      <c r="E620" t="s">
        <v>7657</v>
      </c>
      <c r="F620" t="s">
        <v>7644</v>
      </c>
      <c r="H620" s="34">
        <v>30000</v>
      </c>
      <c r="I620" s="53"/>
    </row>
    <row r="621" spans="1:9" x14ac:dyDescent="0.3">
      <c r="A621" t="str">
        <f t="shared" si="9"/>
        <v>19East Riding of Yorkshire</v>
      </c>
      <c r="B621">
        <v>19</v>
      </c>
      <c r="C621" t="s">
        <v>143</v>
      </c>
      <c r="D621" t="s">
        <v>8175</v>
      </c>
      <c r="E621" t="s">
        <v>1106</v>
      </c>
      <c r="F621" t="s">
        <v>812</v>
      </c>
      <c r="H621" s="34">
        <v>96000</v>
      </c>
      <c r="I621" s="53"/>
    </row>
    <row r="622" spans="1:9" x14ac:dyDescent="0.3">
      <c r="A622" t="str">
        <f t="shared" si="9"/>
        <v>20East Riding of Yorkshire</v>
      </c>
      <c r="B622">
        <v>20</v>
      </c>
      <c r="C622" t="s">
        <v>143</v>
      </c>
      <c r="D622" t="s">
        <v>8176</v>
      </c>
      <c r="E622" t="s">
        <v>812</v>
      </c>
      <c r="H622" s="34">
        <v>10500</v>
      </c>
      <c r="I622" s="53"/>
    </row>
    <row r="623" spans="1:9" x14ac:dyDescent="0.3">
      <c r="A623" t="str">
        <f t="shared" si="9"/>
        <v>21East Riding of Yorkshire</v>
      </c>
      <c r="B623">
        <v>21</v>
      </c>
      <c r="C623" t="s">
        <v>143</v>
      </c>
      <c r="D623" t="s">
        <v>8177</v>
      </c>
      <c r="E623" t="s">
        <v>1106</v>
      </c>
      <c r="F623" t="s">
        <v>7628</v>
      </c>
      <c r="H623" s="34">
        <v>160000</v>
      </c>
      <c r="I623" s="53"/>
    </row>
    <row r="624" spans="1:9" x14ac:dyDescent="0.3">
      <c r="A624" t="str">
        <f t="shared" si="9"/>
        <v>22East Riding of Yorkshire</v>
      </c>
      <c r="B624">
        <v>22</v>
      </c>
      <c r="C624" t="s">
        <v>143</v>
      </c>
      <c r="D624" t="s">
        <v>8178</v>
      </c>
      <c r="E624" t="s">
        <v>1106</v>
      </c>
      <c r="F624" t="s">
        <v>7628</v>
      </c>
      <c r="H624" s="34">
        <v>120000</v>
      </c>
      <c r="I624" s="53"/>
    </row>
    <row r="625" spans="1:9" x14ac:dyDescent="0.3">
      <c r="A625" t="str">
        <f t="shared" si="9"/>
        <v>23East Riding of Yorkshire</v>
      </c>
      <c r="B625">
        <v>23</v>
      </c>
      <c r="C625" t="s">
        <v>143</v>
      </c>
      <c r="D625" t="s">
        <v>8179</v>
      </c>
      <c r="E625" t="s">
        <v>1106</v>
      </c>
      <c r="F625" t="s">
        <v>7628</v>
      </c>
      <c r="H625" s="34">
        <v>191000</v>
      </c>
      <c r="I625" s="53"/>
    </row>
    <row r="626" spans="1:9" x14ac:dyDescent="0.3">
      <c r="A626" t="str">
        <f t="shared" si="9"/>
        <v>1East Sussex</v>
      </c>
      <c r="B626">
        <v>1</v>
      </c>
      <c r="C626" t="s">
        <v>145</v>
      </c>
      <c r="D626" t="s">
        <v>8180</v>
      </c>
      <c r="E626" t="s">
        <v>806</v>
      </c>
      <c r="F626" t="s">
        <v>807</v>
      </c>
      <c r="H626" s="34">
        <v>111429</v>
      </c>
      <c r="I626" s="53"/>
    </row>
    <row r="627" spans="1:9" x14ac:dyDescent="0.3">
      <c r="A627" t="str">
        <f t="shared" si="9"/>
        <v>2East Sussex</v>
      </c>
      <c r="B627">
        <v>2</v>
      </c>
      <c r="C627" t="s">
        <v>145</v>
      </c>
      <c r="D627" t="s">
        <v>8181</v>
      </c>
      <c r="E627" t="s">
        <v>812</v>
      </c>
      <c r="F627" t="s">
        <v>7704</v>
      </c>
      <c r="H627" s="34">
        <v>70000</v>
      </c>
      <c r="I627" s="53"/>
    </row>
    <row r="628" spans="1:9" x14ac:dyDescent="0.3">
      <c r="A628" t="str">
        <f t="shared" si="9"/>
        <v>3East Sussex</v>
      </c>
      <c r="B628">
        <v>3</v>
      </c>
      <c r="C628" t="s">
        <v>145</v>
      </c>
      <c r="D628" t="s">
        <v>7879</v>
      </c>
      <c r="E628" t="s">
        <v>1106</v>
      </c>
      <c r="F628" t="s">
        <v>7628</v>
      </c>
      <c r="H628" s="34">
        <v>317267</v>
      </c>
      <c r="I628" s="53"/>
    </row>
    <row r="629" spans="1:9" x14ac:dyDescent="0.3">
      <c r="A629" t="str">
        <f t="shared" si="9"/>
        <v>4East Sussex</v>
      </c>
      <c r="B629">
        <v>4</v>
      </c>
      <c r="C629" t="s">
        <v>145</v>
      </c>
      <c r="D629" t="s">
        <v>7662</v>
      </c>
      <c r="E629" t="s">
        <v>7662</v>
      </c>
      <c r="F629" t="s">
        <v>7704</v>
      </c>
      <c r="H629" s="34">
        <v>7772</v>
      </c>
      <c r="I629" s="53"/>
    </row>
    <row r="630" spans="1:9" x14ac:dyDescent="0.3">
      <c r="A630" t="str">
        <f t="shared" si="9"/>
        <v>5East Sussex</v>
      </c>
      <c r="B630">
        <v>5</v>
      </c>
      <c r="C630" t="s">
        <v>145</v>
      </c>
      <c r="D630" t="s">
        <v>8182</v>
      </c>
      <c r="E630" t="s">
        <v>1106</v>
      </c>
      <c r="F630" t="s">
        <v>7628</v>
      </c>
      <c r="H630" s="34">
        <v>60000</v>
      </c>
      <c r="I630" s="53"/>
    </row>
    <row r="631" spans="1:9" x14ac:dyDescent="0.3">
      <c r="A631" t="str">
        <f t="shared" si="9"/>
        <v>6East Sussex</v>
      </c>
      <c r="B631">
        <v>6</v>
      </c>
      <c r="C631" t="s">
        <v>145</v>
      </c>
      <c r="D631" t="s">
        <v>8183</v>
      </c>
      <c r="E631" t="s">
        <v>1106</v>
      </c>
      <c r="F631" t="s">
        <v>7628</v>
      </c>
      <c r="H631" s="34">
        <v>60000</v>
      </c>
      <c r="I631" s="53"/>
    </row>
    <row r="632" spans="1:9" x14ac:dyDescent="0.3">
      <c r="A632" t="str">
        <f t="shared" si="9"/>
        <v>7East Sussex</v>
      </c>
      <c r="B632">
        <v>7</v>
      </c>
      <c r="C632" t="s">
        <v>145</v>
      </c>
      <c r="D632" t="s">
        <v>8184</v>
      </c>
      <c r="E632" t="s">
        <v>7657</v>
      </c>
      <c r="F632" t="s">
        <v>7704</v>
      </c>
      <c r="H632" s="34">
        <v>8290</v>
      </c>
      <c r="I632" s="53"/>
    </row>
    <row r="633" spans="1:9" x14ac:dyDescent="0.3">
      <c r="A633" t="str">
        <f t="shared" si="9"/>
        <v>8East Sussex</v>
      </c>
      <c r="B633">
        <v>8</v>
      </c>
      <c r="C633" t="s">
        <v>145</v>
      </c>
      <c r="D633" t="s">
        <v>8185</v>
      </c>
      <c r="E633" t="s">
        <v>7657</v>
      </c>
      <c r="F633" t="s">
        <v>7704</v>
      </c>
      <c r="H633" s="34">
        <v>46815</v>
      </c>
      <c r="I633" s="53"/>
    </row>
    <row r="634" spans="1:9" x14ac:dyDescent="0.3">
      <c r="A634" t="str">
        <f t="shared" si="9"/>
        <v>9East Sussex</v>
      </c>
      <c r="B634">
        <v>9</v>
      </c>
      <c r="C634" t="s">
        <v>145</v>
      </c>
      <c r="D634" t="s">
        <v>8186</v>
      </c>
      <c r="E634" t="s">
        <v>806</v>
      </c>
      <c r="F634" t="s">
        <v>917</v>
      </c>
      <c r="H634" s="34">
        <v>351000</v>
      </c>
      <c r="I634" s="53"/>
    </row>
    <row r="635" spans="1:9" x14ac:dyDescent="0.3">
      <c r="A635" t="str">
        <f t="shared" si="9"/>
        <v>10East Sussex</v>
      </c>
      <c r="B635">
        <v>10</v>
      </c>
      <c r="C635" t="s">
        <v>145</v>
      </c>
      <c r="D635" t="s">
        <v>8187</v>
      </c>
      <c r="E635" t="s">
        <v>1113</v>
      </c>
      <c r="F635" t="s">
        <v>7629</v>
      </c>
      <c r="H635" s="34">
        <v>75000</v>
      </c>
      <c r="I635" s="53"/>
    </row>
    <row r="636" spans="1:9" x14ac:dyDescent="0.3">
      <c r="A636" t="str">
        <f t="shared" si="9"/>
        <v>11East Sussex</v>
      </c>
      <c r="B636">
        <v>11</v>
      </c>
      <c r="C636" t="s">
        <v>145</v>
      </c>
      <c r="D636" t="s">
        <v>8188</v>
      </c>
      <c r="E636" t="s">
        <v>5266</v>
      </c>
      <c r="F636" t="s">
        <v>7631</v>
      </c>
      <c r="H636" s="34">
        <v>375000</v>
      </c>
      <c r="I636" s="53"/>
    </row>
    <row r="637" spans="1:9" x14ac:dyDescent="0.3">
      <c r="A637" t="str">
        <f t="shared" si="9"/>
        <v>12East Sussex</v>
      </c>
      <c r="B637">
        <v>12</v>
      </c>
      <c r="C637" t="s">
        <v>145</v>
      </c>
      <c r="D637" t="s">
        <v>8189</v>
      </c>
      <c r="E637" t="s">
        <v>7658</v>
      </c>
      <c r="F637" t="s">
        <v>7704</v>
      </c>
      <c r="H637" s="34">
        <v>250000</v>
      </c>
      <c r="I637" s="53"/>
    </row>
    <row r="638" spans="1:9" x14ac:dyDescent="0.3">
      <c r="A638" t="str">
        <f t="shared" si="9"/>
        <v>13East Sussex</v>
      </c>
      <c r="B638">
        <v>13</v>
      </c>
      <c r="C638" t="s">
        <v>145</v>
      </c>
      <c r="D638" t="s">
        <v>4377</v>
      </c>
      <c r="E638" t="s">
        <v>812</v>
      </c>
      <c r="F638" t="s">
        <v>7704</v>
      </c>
      <c r="H638" s="34">
        <v>50000</v>
      </c>
      <c r="I638" s="53"/>
    </row>
    <row r="639" spans="1:9" x14ac:dyDescent="0.3">
      <c r="A639" t="str">
        <f t="shared" si="9"/>
        <v>14East Sussex</v>
      </c>
      <c r="B639">
        <v>14</v>
      </c>
      <c r="C639" t="s">
        <v>145</v>
      </c>
      <c r="D639" t="s">
        <v>8190</v>
      </c>
      <c r="E639" t="s">
        <v>800</v>
      </c>
      <c r="F639" t="s">
        <v>903</v>
      </c>
      <c r="H639" s="34">
        <v>50000</v>
      </c>
      <c r="I639" s="53"/>
    </row>
    <row r="640" spans="1:9" x14ac:dyDescent="0.3">
      <c r="A640" t="str">
        <f t="shared" si="9"/>
        <v>15East Sussex</v>
      </c>
      <c r="B640">
        <v>15</v>
      </c>
      <c r="C640" t="s">
        <v>145</v>
      </c>
      <c r="D640" t="s">
        <v>8191</v>
      </c>
      <c r="E640" t="s">
        <v>1106</v>
      </c>
      <c r="F640" t="s">
        <v>7628</v>
      </c>
      <c r="H640" s="34">
        <v>1112000</v>
      </c>
      <c r="I640" s="53"/>
    </row>
    <row r="641" spans="1:9" x14ac:dyDescent="0.3">
      <c r="A641" t="str">
        <f t="shared" si="9"/>
        <v>16East Sussex</v>
      </c>
      <c r="B641">
        <v>16</v>
      </c>
      <c r="C641" t="s">
        <v>145</v>
      </c>
      <c r="D641" t="s">
        <v>8192</v>
      </c>
      <c r="E641" t="s">
        <v>1106</v>
      </c>
      <c r="F641" t="s">
        <v>7628</v>
      </c>
      <c r="H641" s="34">
        <v>93000</v>
      </c>
      <c r="I641" s="53"/>
    </row>
    <row r="642" spans="1:9" x14ac:dyDescent="0.3">
      <c r="A642" t="str">
        <f t="shared" ref="A642:A705" si="10">B642&amp;C642</f>
        <v>17East Sussex</v>
      </c>
      <c r="B642">
        <v>17</v>
      </c>
      <c r="C642" t="s">
        <v>145</v>
      </c>
      <c r="D642" t="s">
        <v>8193</v>
      </c>
      <c r="E642" t="s">
        <v>1106</v>
      </c>
      <c r="F642" t="s">
        <v>7628</v>
      </c>
      <c r="H642" s="34">
        <v>93000</v>
      </c>
      <c r="I642" s="53"/>
    </row>
    <row r="643" spans="1:9" x14ac:dyDescent="0.3">
      <c r="A643" t="str">
        <f t="shared" si="10"/>
        <v>18East Sussex</v>
      </c>
      <c r="B643">
        <v>18</v>
      </c>
      <c r="C643" t="s">
        <v>145</v>
      </c>
      <c r="D643" t="s">
        <v>8194</v>
      </c>
      <c r="E643" t="s">
        <v>806</v>
      </c>
      <c r="F643" t="s">
        <v>7704</v>
      </c>
      <c r="H643" s="34">
        <v>605403</v>
      </c>
      <c r="I643" s="53"/>
    </row>
    <row r="644" spans="1:9" x14ac:dyDescent="0.3">
      <c r="A644" t="str">
        <f t="shared" si="10"/>
        <v>19East Sussex</v>
      </c>
      <c r="B644">
        <v>19</v>
      </c>
      <c r="C644" t="s">
        <v>145</v>
      </c>
      <c r="D644" t="s">
        <v>8195</v>
      </c>
      <c r="E644" t="s">
        <v>1106</v>
      </c>
      <c r="F644" t="s">
        <v>7628</v>
      </c>
      <c r="H644" s="34">
        <v>67544</v>
      </c>
      <c r="I644" s="53"/>
    </row>
    <row r="645" spans="1:9" x14ac:dyDescent="0.3">
      <c r="A645" t="str">
        <f t="shared" si="10"/>
        <v>20East Sussex</v>
      </c>
      <c r="B645">
        <v>20</v>
      </c>
      <c r="C645" t="s">
        <v>145</v>
      </c>
      <c r="D645" t="s">
        <v>8196</v>
      </c>
      <c r="E645" t="s">
        <v>812</v>
      </c>
      <c r="F645" t="s">
        <v>7704</v>
      </c>
      <c r="H645" s="34">
        <v>523770</v>
      </c>
      <c r="I645" s="53"/>
    </row>
    <row r="646" spans="1:9" x14ac:dyDescent="0.3">
      <c r="A646" t="str">
        <f t="shared" si="10"/>
        <v>21East Sussex</v>
      </c>
      <c r="B646">
        <v>21</v>
      </c>
      <c r="C646" t="s">
        <v>145</v>
      </c>
      <c r="D646" t="s">
        <v>8197</v>
      </c>
      <c r="E646" t="s">
        <v>1113</v>
      </c>
      <c r="F646" t="s">
        <v>7629</v>
      </c>
      <c r="H646" s="34">
        <v>740746</v>
      </c>
      <c r="I646" s="53"/>
    </row>
    <row r="647" spans="1:9" x14ac:dyDescent="0.3">
      <c r="A647" t="str">
        <f t="shared" si="10"/>
        <v>22East Sussex</v>
      </c>
      <c r="B647">
        <v>22</v>
      </c>
      <c r="C647" t="s">
        <v>145</v>
      </c>
      <c r="D647" t="s">
        <v>8198</v>
      </c>
      <c r="E647" t="s">
        <v>842</v>
      </c>
      <c r="F647" t="s">
        <v>7636</v>
      </c>
      <c r="H647" s="34">
        <v>193500</v>
      </c>
      <c r="I647" s="53"/>
    </row>
    <row r="648" spans="1:9" x14ac:dyDescent="0.3">
      <c r="A648" t="str">
        <f t="shared" si="10"/>
        <v>23East Sussex</v>
      </c>
      <c r="B648">
        <v>23</v>
      </c>
      <c r="C648" t="s">
        <v>145</v>
      </c>
      <c r="D648" t="s">
        <v>8199</v>
      </c>
      <c r="E648" t="s">
        <v>842</v>
      </c>
      <c r="F648" t="s">
        <v>843</v>
      </c>
      <c r="H648" s="34">
        <v>210000</v>
      </c>
      <c r="I648" s="53"/>
    </row>
    <row r="649" spans="1:9" x14ac:dyDescent="0.3">
      <c r="A649" t="str">
        <f t="shared" si="10"/>
        <v>24East Sussex</v>
      </c>
      <c r="B649">
        <v>24</v>
      </c>
      <c r="C649" t="s">
        <v>145</v>
      </c>
      <c r="D649" t="s">
        <v>8200</v>
      </c>
      <c r="E649" t="s">
        <v>7658</v>
      </c>
      <c r="F649" t="s">
        <v>7704</v>
      </c>
      <c r="H649" s="34">
        <v>150000</v>
      </c>
      <c r="I649" s="53"/>
    </row>
    <row r="650" spans="1:9" x14ac:dyDescent="0.3">
      <c r="A650" t="str">
        <f t="shared" si="10"/>
        <v>25East Sussex</v>
      </c>
      <c r="B650">
        <v>25</v>
      </c>
      <c r="C650" t="s">
        <v>145</v>
      </c>
      <c r="D650" t="s">
        <v>8201</v>
      </c>
      <c r="E650" t="s">
        <v>5266</v>
      </c>
      <c r="F650" t="s">
        <v>7631</v>
      </c>
      <c r="H650" s="34">
        <v>340000</v>
      </c>
      <c r="I650" s="53"/>
    </row>
    <row r="651" spans="1:9" x14ac:dyDescent="0.3">
      <c r="A651" t="str">
        <f t="shared" si="10"/>
        <v>26East Sussex</v>
      </c>
      <c r="B651">
        <v>26</v>
      </c>
      <c r="C651" t="s">
        <v>145</v>
      </c>
      <c r="D651" t="s">
        <v>8202</v>
      </c>
      <c r="E651" t="s">
        <v>1113</v>
      </c>
      <c r="F651" t="s">
        <v>7629</v>
      </c>
      <c r="H651" s="34">
        <v>2673</v>
      </c>
      <c r="I651" s="53"/>
    </row>
    <row r="652" spans="1:9" x14ac:dyDescent="0.3">
      <c r="A652" t="str">
        <f t="shared" si="10"/>
        <v>27East Sussex</v>
      </c>
      <c r="B652">
        <v>27</v>
      </c>
      <c r="C652" t="s">
        <v>145</v>
      </c>
      <c r="D652" t="s">
        <v>8203</v>
      </c>
      <c r="E652" t="s">
        <v>1106</v>
      </c>
      <c r="F652" t="s">
        <v>7628</v>
      </c>
      <c r="H652" s="34">
        <v>360000</v>
      </c>
      <c r="I652" s="53"/>
    </row>
    <row r="653" spans="1:9" x14ac:dyDescent="0.3">
      <c r="A653" t="str">
        <f t="shared" si="10"/>
        <v>28East Sussex</v>
      </c>
      <c r="B653">
        <v>28</v>
      </c>
      <c r="C653" t="s">
        <v>145</v>
      </c>
      <c r="D653" t="s">
        <v>8204</v>
      </c>
      <c r="E653" t="s">
        <v>1113</v>
      </c>
      <c r="F653" t="s">
        <v>7629</v>
      </c>
      <c r="H653" s="34">
        <v>101130</v>
      </c>
      <c r="I653" s="53"/>
    </row>
    <row r="654" spans="1:9" x14ac:dyDescent="0.3">
      <c r="A654" t="str">
        <f t="shared" si="10"/>
        <v>29East Sussex</v>
      </c>
      <c r="B654">
        <v>29</v>
      </c>
      <c r="C654" t="s">
        <v>145</v>
      </c>
      <c r="D654" t="s">
        <v>8205</v>
      </c>
      <c r="E654" t="s">
        <v>1106</v>
      </c>
      <c r="F654" t="s">
        <v>7628</v>
      </c>
      <c r="H654" s="34">
        <v>101130</v>
      </c>
      <c r="I654" s="53"/>
    </row>
    <row r="655" spans="1:9" x14ac:dyDescent="0.3">
      <c r="A655" t="str">
        <f t="shared" si="10"/>
        <v>30East Sussex</v>
      </c>
      <c r="B655">
        <v>30</v>
      </c>
      <c r="C655" t="s">
        <v>145</v>
      </c>
      <c r="D655" t="s">
        <v>8206</v>
      </c>
      <c r="E655" t="s">
        <v>812</v>
      </c>
      <c r="F655" t="s">
        <v>7704</v>
      </c>
      <c r="H655" s="34">
        <v>54900</v>
      </c>
      <c r="I655" s="53"/>
    </row>
    <row r="656" spans="1:9" x14ac:dyDescent="0.3">
      <c r="A656" t="str">
        <f t="shared" si="10"/>
        <v>31East Sussex</v>
      </c>
      <c r="B656">
        <v>31</v>
      </c>
      <c r="C656" t="s">
        <v>145</v>
      </c>
      <c r="D656" t="s">
        <v>8207</v>
      </c>
      <c r="E656" t="s">
        <v>842</v>
      </c>
      <c r="F656" t="s">
        <v>7636</v>
      </c>
      <c r="H656" s="34">
        <v>80000</v>
      </c>
      <c r="I656" s="53"/>
    </row>
    <row r="657" spans="1:9" x14ac:dyDescent="0.3">
      <c r="A657" t="str">
        <f t="shared" si="10"/>
        <v>32East Sussex</v>
      </c>
      <c r="B657">
        <v>32</v>
      </c>
      <c r="C657" t="s">
        <v>145</v>
      </c>
      <c r="D657" t="s">
        <v>8208</v>
      </c>
      <c r="E657" t="s">
        <v>812</v>
      </c>
      <c r="F657" t="s">
        <v>7704</v>
      </c>
      <c r="H657" s="34">
        <v>171201</v>
      </c>
      <c r="I657" s="53"/>
    </row>
    <row r="658" spans="1:9" x14ac:dyDescent="0.3">
      <c r="A658" t="str">
        <f t="shared" si="10"/>
        <v>1Enfield</v>
      </c>
      <c r="B658">
        <v>1</v>
      </c>
      <c r="C658" t="s">
        <v>147</v>
      </c>
      <c r="D658" t="s">
        <v>8209</v>
      </c>
      <c r="E658" t="s">
        <v>842</v>
      </c>
      <c r="F658" t="s">
        <v>7636</v>
      </c>
      <c r="H658" s="34">
        <v>121094</v>
      </c>
      <c r="I658" s="53"/>
    </row>
    <row r="659" spans="1:9" x14ac:dyDescent="0.3">
      <c r="A659" t="str">
        <f t="shared" si="10"/>
        <v>2Enfield</v>
      </c>
      <c r="B659">
        <v>2</v>
      </c>
      <c r="C659" t="s">
        <v>147</v>
      </c>
      <c r="D659" t="s">
        <v>8210</v>
      </c>
      <c r="E659" t="s">
        <v>800</v>
      </c>
      <c r="F659" t="s">
        <v>903</v>
      </c>
      <c r="H659" s="34">
        <v>31000</v>
      </c>
      <c r="I659" s="53"/>
    </row>
    <row r="660" spans="1:9" x14ac:dyDescent="0.3">
      <c r="A660" t="str">
        <f t="shared" si="10"/>
        <v>3Enfield</v>
      </c>
      <c r="B660">
        <v>3</v>
      </c>
      <c r="C660" t="s">
        <v>147</v>
      </c>
      <c r="D660" t="s">
        <v>8211</v>
      </c>
      <c r="E660" t="s">
        <v>806</v>
      </c>
      <c r="F660" t="s">
        <v>807</v>
      </c>
      <c r="H660" s="34">
        <v>255000</v>
      </c>
      <c r="I660" s="53"/>
    </row>
    <row r="661" spans="1:9" x14ac:dyDescent="0.3">
      <c r="A661" t="str">
        <f t="shared" si="10"/>
        <v>4Enfield</v>
      </c>
      <c r="B661">
        <v>4</v>
      </c>
      <c r="C661" t="s">
        <v>147</v>
      </c>
      <c r="D661" t="s">
        <v>8212</v>
      </c>
      <c r="E661" t="s">
        <v>842</v>
      </c>
      <c r="F661" t="s">
        <v>1594</v>
      </c>
      <c r="H661" s="34">
        <v>721478</v>
      </c>
      <c r="I661" s="53"/>
    </row>
    <row r="662" spans="1:9" x14ac:dyDescent="0.3">
      <c r="A662" t="str">
        <f t="shared" si="10"/>
        <v>5Enfield</v>
      </c>
      <c r="B662">
        <v>5</v>
      </c>
      <c r="C662" t="s">
        <v>147</v>
      </c>
      <c r="D662" t="s">
        <v>8213</v>
      </c>
      <c r="E662" t="s">
        <v>1106</v>
      </c>
      <c r="F662" t="s">
        <v>7628</v>
      </c>
      <c r="H662" s="34">
        <v>100000</v>
      </c>
      <c r="I662" s="53"/>
    </row>
    <row r="663" spans="1:9" x14ac:dyDescent="0.3">
      <c r="A663" t="str">
        <f t="shared" si="10"/>
        <v>6Enfield</v>
      </c>
      <c r="B663">
        <v>6</v>
      </c>
      <c r="C663" t="s">
        <v>147</v>
      </c>
      <c r="D663" t="s">
        <v>8214</v>
      </c>
      <c r="E663" t="s">
        <v>842</v>
      </c>
      <c r="F663" t="s">
        <v>7636</v>
      </c>
      <c r="H663" s="34">
        <v>60000</v>
      </c>
      <c r="I663" s="53"/>
    </row>
    <row r="664" spans="1:9" x14ac:dyDescent="0.3">
      <c r="A664" t="str">
        <f t="shared" si="10"/>
        <v>7Enfield</v>
      </c>
      <c r="B664">
        <v>7</v>
      </c>
      <c r="C664" t="s">
        <v>147</v>
      </c>
      <c r="D664" t="s">
        <v>8215</v>
      </c>
      <c r="E664" t="s">
        <v>800</v>
      </c>
      <c r="F664" t="s">
        <v>903</v>
      </c>
      <c r="H664" s="34">
        <v>10000</v>
      </c>
      <c r="I664" s="53"/>
    </row>
    <row r="665" spans="1:9" x14ac:dyDescent="0.3">
      <c r="A665" t="str">
        <f t="shared" si="10"/>
        <v>8Enfield</v>
      </c>
      <c r="B665">
        <v>8</v>
      </c>
      <c r="C665" t="s">
        <v>147</v>
      </c>
      <c r="D665" t="s">
        <v>8216</v>
      </c>
      <c r="E665" t="s">
        <v>842</v>
      </c>
      <c r="F665" t="s">
        <v>7636</v>
      </c>
      <c r="H665" s="34">
        <v>120000</v>
      </c>
      <c r="I665" s="53"/>
    </row>
    <row r="666" spans="1:9" x14ac:dyDescent="0.3">
      <c r="A666" t="str">
        <f t="shared" si="10"/>
        <v>9Enfield</v>
      </c>
      <c r="B666">
        <v>9</v>
      </c>
      <c r="C666" t="s">
        <v>147</v>
      </c>
      <c r="D666" t="s">
        <v>6660</v>
      </c>
      <c r="E666" t="s">
        <v>800</v>
      </c>
      <c r="F666" t="s">
        <v>903</v>
      </c>
      <c r="H666" s="34">
        <v>72000</v>
      </c>
      <c r="I666" s="53"/>
    </row>
    <row r="667" spans="1:9" x14ac:dyDescent="0.3">
      <c r="A667" t="str">
        <f t="shared" si="10"/>
        <v>10Enfield</v>
      </c>
      <c r="B667">
        <v>10</v>
      </c>
      <c r="C667" t="s">
        <v>147</v>
      </c>
      <c r="D667" t="s">
        <v>6660</v>
      </c>
      <c r="E667" t="s">
        <v>800</v>
      </c>
      <c r="F667" t="s">
        <v>2108</v>
      </c>
      <c r="H667" s="34">
        <v>30000</v>
      </c>
      <c r="I667" s="53"/>
    </row>
    <row r="668" spans="1:9" x14ac:dyDescent="0.3">
      <c r="A668" t="str">
        <f t="shared" si="10"/>
        <v>11Enfield</v>
      </c>
      <c r="B668">
        <v>11</v>
      </c>
      <c r="C668" t="s">
        <v>147</v>
      </c>
      <c r="D668" t="s">
        <v>8217</v>
      </c>
      <c r="E668" t="s">
        <v>842</v>
      </c>
      <c r="F668" t="s">
        <v>7636</v>
      </c>
      <c r="H668" s="34">
        <v>46000</v>
      </c>
      <c r="I668" s="53"/>
    </row>
    <row r="669" spans="1:9" x14ac:dyDescent="0.3">
      <c r="A669" t="str">
        <f t="shared" si="10"/>
        <v>12Enfield</v>
      </c>
      <c r="B669">
        <v>12</v>
      </c>
      <c r="C669" t="s">
        <v>147</v>
      </c>
      <c r="D669" t="s">
        <v>8218</v>
      </c>
      <c r="E669" t="s">
        <v>812</v>
      </c>
      <c r="H669" s="34">
        <v>10500</v>
      </c>
      <c r="I669" s="53"/>
    </row>
    <row r="670" spans="1:9" x14ac:dyDescent="0.3">
      <c r="A670" t="str">
        <f t="shared" si="10"/>
        <v>13Enfield</v>
      </c>
      <c r="B670">
        <v>13</v>
      </c>
      <c r="C670" t="s">
        <v>147</v>
      </c>
      <c r="D670" t="s">
        <v>4366</v>
      </c>
      <c r="E670" t="s">
        <v>842</v>
      </c>
      <c r="F670" t="s">
        <v>7636</v>
      </c>
      <c r="H670" s="34">
        <v>96768</v>
      </c>
      <c r="I670" s="53"/>
    </row>
    <row r="671" spans="1:9" x14ac:dyDescent="0.3">
      <c r="A671" t="str">
        <f t="shared" si="10"/>
        <v>14Enfield</v>
      </c>
      <c r="B671">
        <v>14</v>
      </c>
      <c r="C671" t="s">
        <v>147</v>
      </c>
      <c r="D671" t="s">
        <v>7915</v>
      </c>
      <c r="E671" t="s">
        <v>1106</v>
      </c>
      <c r="F671" t="s">
        <v>7628</v>
      </c>
      <c r="H671" s="34">
        <v>46664</v>
      </c>
      <c r="I671" s="53"/>
    </row>
    <row r="672" spans="1:9" x14ac:dyDescent="0.3">
      <c r="A672" t="str">
        <f t="shared" si="10"/>
        <v>15Enfield</v>
      </c>
      <c r="B672">
        <v>15</v>
      </c>
      <c r="C672" t="s">
        <v>147</v>
      </c>
      <c r="D672" t="s">
        <v>8219</v>
      </c>
      <c r="E672" t="s">
        <v>800</v>
      </c>
      <c r="F672" t="s">
        <v>903</v>
      </c>
      <c r="H672" s="34">
        <v>16000</v>
      </c>
      <c r="I672" s="53"/>
    </row>
    <row r="673" spans="1:9" x14ac:dyDescent="0.3">
      <c r="A673" t="str">
        <f t="shared" si="10"/>
        <v>16Enfield</v>
      </c>
      <c r="B673">
        <v>16</v>
      </c>
      <c r="C673" t="s">
        <v>147</v>
      </c>
      <c r="D673" t="s">
        <v>8220</v>
      </c>
      <c r="E673" t="s">
        <v>842</v>
      </c>
      <c r="F673" t="s">
        <v>7636</v>
      </c>
      <c r="H673" s="34">
        <v>134000</v>
      </c>
      <c r="I673" s="53"/>
    </row>
    <row r="674" spans="1:9" x14ac:dyDescent="0.3">
      <c r="A674" t="str">
        <f t="shared" si="10"/>
        <v>17Enfield</v>
      </c>
      <c r="B674">
        <v>17</v>
      </c>
      <c r="C674" t="s">
        <v>147</v>
      </c>
      <c r="D674" t="s">
        <v>8221</v>
      </c>
      <c r="E674" t="s">
        <v>7657</v>
      </c>
      <c r="F674" t="s">
        <v>7632</v>
      </c>
      <c r="H674" s="34">
        <v>136000</v>
      </c>
      <c r="I674" s="53"/>
    </row>
    <row r="675" spans="1:9" x14ac:dyDescent="0.3">
      <c r="A675" t="str">
        <f t="shared" si="10"/>
        <v>18Enfield</v>
      </c>
      <c r="B675">
        <v>18</v>
      </c>
      <c r="C675" t="s">
        <v>147</v>
      </c>
      <c r="D675" t="s">
        <v>7917</v>
      </c>
      <c r="E675" t="s">
        <v>812</v>
      </c>
      <c r="H675" s="34">
        <v>50000</v>
      </c>
      <c r="I675" s="53"/>
    </row>
    <row r="676" spans="1:9" x14ac:dyDescent="0.3">
      <c r="A676" t="str">
        <f t="shared" si="10"/>
        <v>19Enfield</v>
      </c>
      <c r="B676">
        <v>19</v>
      </c>
      <c r="C676" t="s">
        <v>147</v>
      </c>
      <c r="D676" t="s">
        <v>7918</v>
      </c>
      <c r="E676" t="s">
        <v>812</v>
      </c>
      <c r="H676" s="34">
        <v>100000</v>
      </c>
      <c r="I676" s="53"/>
    </row>
    <row r="677" spans="1:9" x14ac:dyDescent="0.3">
      <c r="A677" t="str">
        <f t="shared" si="10"/>
        <v>20Enfield</v>
      </c>
      <c r="B677">
        <v>20</v>
      </c>
      <c r="C677" t="s">
        <v>147</v>
      </c>
      <c r="D677" t="s">
        <v>7919</v>
      </c>
      <c r="E677" t="s">
        <v>1106</v>
      </c>
      <c r="F677" t="s">
        <v>7628</v>
      </c>
      <c r="H677" s="34">
        <v>80000</v>
      </c>
      <c r="I677" s="53"/>
    </row>
    <row r="678" spans="1:9" x14ac:dyDescent="0.3">
      <c r="A678" t="str">
        <f t="shared" si="10"/>
        <v>21Enfield</v>
      </c>
      <c r="B678">
        <v>21</v>
      </c>
      <c r="C678" t="s">
        <v>147</v>
      </c>
      <c r="D678" t="s">
        <v>7920</v>
      </c>
      <c r="E678" t="s">
        <v>812</v>
      </c>
      <c r="H678" s="34">
        <v>15771</v>
      </c>
      <c r="I678" s="53"/>
    </row>
    <row r="679" spans="1:9" x14ac:dyDescent="0.3">
      <c r="A679" t="str">
        <f t="shared" si="10"/>
        <v>22Enfield</v>
      </c>
      <c r="B679">
        <v>22</v>
      </c>
      <c r="C679" t="s">
        <v>147</v>
      </c>
      <c r="D679" t="s">
        <v>7921</v>
      </c>
      <c r="E679" t="s">
        <v>1106</v>
      </c>
      <c r="F679" t="s">
        <v>7628</v>
      </c>
      <c r="H679" s="34">
        <v>172921</v>
      </c>
      <c r="I679" s="53"/>
    </row>
    <row r="680" spans="1:9" x14ac:dyDescent="0.3">
      <c r="A680" t="str">
        <f t="shared" si="10"/>
        <v>23Enfield</v>
      </c>
      <c r="B680">
        <v>23</v>
      </c>
      <c r="C680" t="s">
        <v>147</v>
      </c>
      <c r="D680" t="s">
        <v>8222</v>
      </c>
      <c r="E680" t="s">
        <v>806</v>
      </c>
      <c r="F680" t="s">
        <v>7642</v>
      </c>
      <c r="H680" s="34">
        <v>160000</v>
      </c>
      <c r="I680" s="53"/>
    </row>
    <row r="681" spans="1:9" x14ac:dyDescent="0.3">
      <c r="A681" t="str">
        <f t="shared" si="10"/>
        <v>24Enfield</v>
      </c>
      <c r="B681">
        <v>24</v>
      </c>
      <c r="C681" t="s">
        <v>147</v>
      </c>
      <c r="D681" t="s">
        <v>8223</v>
      </c>
      <c r="E681" t="s">
        <v>806</v>
      </c>
      <c r="F681" t="s">
        <v>807</v>
      </c>
      <c r="H681" s="34">
        <v>64000</v>
      </c>
      <c r="I681" s="53"/>
    </row>
    <row r="682" spans="1:9" x14ac:dyDescent="0.3">
      <c r="A682" t="str">
        <f t="shared" si="10"/>
        <v>25Enfield</v>
      </c>
      <c r="B682">
        <v>25</v>
      </c>
      <c r="C682" t="s">
        <v>147</v>
      </c>
      <c r="D682" t="s">
        <v>8224</v>
      </c>
      <c r="E682" t="s">
        <v>812</v>
      </c>
      <c r="H682" s="34">
        <v>6000</v>
      </c>
      <c r="I682" s="53"/>
    </row>
    <row r="683" spans="1:9" x14ac:dyDescent="0.3">
      <c r="A683" t="str">
        <f t="shared" si="10"/>
        <v>1Essex</v>
      </c>
      <c r="B683">
        <v>1</v>
      </c>
      <c r="C683" t="s">
        <v>149</v>
      </c>
      <c r="D683" t="s">
        <v>8225</v>
      </c>
      <c r="E683" t="s">
        <v>7657</v>
      </c>
      <c r="F683" t="s">
        <v>7640</v>
      </c>
      <c r="H683" s="34">
        <v>350000</v>
      </c>
      <c r="I683" s="53"/>
    </row>
    <row r="684" spans="1:9" x14ac:dyDescent="0.3">
      <c r="A684" t="str">
        <f t="shared" si="10"/>
        <v>2Essex</v>
      </c>
      <c r="B684">
        <v>2</v>
      </c>
      <c r="C684" t="s">
        <v>149</v>
      </c>
      <c r="D684" t="s">
        <v>8226</v>
      </c>
      <c r="E684" t="s">
        <v>7657</v>
      </c>
      <c r="F684" t="s">
        <v>7632</v>
      </c>
      <c r="H684" s="34">
        <v>70000</v>
      </c>
      <c r="I684" s="53"/>
    </row>
    <row r="685" spans="1:9" x14ac:dyDescent="0.3">
      <c r="A685" t="str">
        <f t="shared" si="10"/>
        <v>3Essex</v>
      </c>
      <c r="B685">
        <v>3</v>
      </c>
      <c r="C685" t="s">
        <v>149</v>
      </c>
      <c r="D685" t="s">
        <v>8227</v>
      </c>
      <c r="E685" t="s">
        <v>1113</v>
      </c>
      <c r="F685" t="s">
        <v>7637</v>
      </c>
      <c r="H685" s="34">
        <v>75000</v>
      </c>
      <c r="I685" s="53"/>
    </row>
    <row r="686" spans="1:9" x14ac:dyDescent="0.3">
      <c r="A686" t="str">
        <f t="shared" si="10"/>
        <v>4Essex</v>
      </c>
      <c r="B686">
        <v>4</v>
      </c>
      <c r="C686" t="s">
        <v>149</v>
      </c>
      <c r="D686" t="s">
        <v>8228</v>
      </c>
      <c r="E686" t="s">
        <v>7657</v>
      </c>
      <c r="F686" t="s">
        <v>7640</v>
      </c>
      <c r="H686" s="34">
        <v>30000</v>
      </c>
      <c r="I686" s="53"/>
    </row>
    <row r="687" spans="1:9" x14ac:dyDescent="0.3">
      <c r="A687" t="str">
        <f t="shared" si="10"/>
        <v>5Essex</v>
      </c>
      <c r="B687">
        <v>5</v>
      </c>
      <c r="C687" t="s">
        <v>149</v>
      </c>
      <c r="D687" t="s">
        <v>8229</v>
      </c>
      <c r="E687" t="s">
        <v>7649</v>
      </c>
      <c r="F687" t="s">
        <v>7638</v>
      </c>
      <c r="H687" s="34">
        <v>44000</v>
      </c>
      <c r="I687" s="53"/>
    </row>
    <row r="688" spans="1:9" x14ac:dyDescent="0.3">
      <c r="A688" t="str">
        <f t="shared" si="10"/>
        <v>6Essex</v>
      </c>
      <c r="B688">
        <v>6</v>
      </c>
      <c r="C688" t="s">
        <v>149</v>
      </c>
      <c r="D688" t="s">
        <v>8230</v>
      </c>
      <c r="E688" t="s">
        <v>7649</v>
      </c>
      <c r="F688" t="s">
        <v>7638</v>
      </c>
      <c r="H688" s="34">
        <v>62000</v>
      </c>
      <c r="I688" s="53"/>
    </row>
    <row r="689" spans="1:9" x14ac:dyDescent="0.3">
      <c r="A689" t="str">
        <f t="shared" si="10"/>
        <v>7Essex</v>
      </c>
      <c r="B689">
        <v>7</v>
      </c>
      <c r="C689" t="s">
        <v>149</v>
      </c>
      <c r="D689" t="s">
        <v>8231</v>
      </c>
      <c r="E689" t="s">
        <v>7657</v>
      </c>
      <c r="F689" t="s">
        <v>7640</v>
      </c>
      <c r="H689" s="34">
        <v>64000</v>
      </c>
      <c r="I689" s="53"/>
    </row>
    <row r="690" spans="1:9" x14ac:dyDescent="0.3">
      <c r="A690" t="str">
        <f t="shared" si="10"/>
        <v>8Essex</v>
      </c>
      <c r="B690">
        <v>8</v>
      </c>
      <c r="C690" t="s">
        <v>149</v>
      </c>
      <c r="D690" t="s">
        <v>8232</v>
      </c>
      <c r="E690" t="s">
        <v>7649</v>
      </c>
      <c r="F690" t="s">
        <v>7638</v>
      </c>
      <c r="H690" s="34">
        <v>66000</v>
      </c>
      <c r="I690" s="53"/>
    </row>
    <row r="691" spans="1:9" x14ac:dyDescent="0.3">
      <c r="A691" t="str">
        <f t="shared" si="10"/>
        <v>9Essex</v>
      </c>
      <c r="B691">
        <v>9</v>
      </c>
      <c r="C691" t="s">
        <v>149</v>
      </c>
      <c r="D691" t="s">
        <v>8233</v>
      </c>
      <c r="E691" t="s">
        <v>7649</v>
      </c>
      <c r="F691" t="s">
        <v>7638</v>
      </c>
      <c r="H691" s="34">
        <v>35000</v>
      </c>
      <c r="I691" s="53"/>
    </row>
    <row r="692" spans="1:9" x14ac:dyDescent="0.3">
      <c r="A692" t="str">
        <f t="shared" si="10"/>
        <v>10Essex</v>
      </c>
      <c r="B692">
        <v>10</v>
      </c>
      <c r="C692" t="s">
        <v>149</v>
      </c>
      <c r="D692" t="s">
        <v>8234</v>
      </c>
      <c r="E692" t="s">
        <v>7649</v>
      </c>
      <c r="F692" t="s">
        <v>7638</v>
      </c>
      <c r="H692" s="34">
        <v>33000</v>
      </c>
      <c r="I692" s="53"/>
    </row>
    <row r="693" spans="1:9" x14ac:dyDescent="0.3">
      <c r="A693" t="str">
        <f t="shared" si="10"/>
        <v>11Essex</v>
      </c>
      <c r="B693">
        <v>11</v>
      </c>
      <c r="C693" t="s">
        <v>149</v>
      </c>
      <c r="D693" t="s">
        <v>8235</v>
      </c>
      <c r="E693" t="s">
        <v>806</v>
      </c>
      <c r="F693" t="s">
        <v>807</v>
      </c>
      <c r="H693" s="34">
        <v>57000</v>
      </c>
      <c r="I693" s="53"/>
    </row>
    <row r="694" spans="1:9" x14ac:dyDescent="0.3">
      <c r="A694" t="str">
        <f t="shared" si="10"/>
        <v>12Essex</v>
      </c>
      <c r="B694">
        <v>12</v>
      </c>
      <c r="C694" t="s">
        <v>149</v>
      </c>
      <c r="D694" t="s">
        <v>8236</v>
      </c>
      <c r="E694" t="s">
        <v>7658</v>
      </c>
      <c r="H694" s="34">
        <v>75000</v>
      </c>
      <c r="I694" s="53"/>
    </row>
    <row r="695" spans="1:9" x14ac:dyDescent="0.3">
      <c r="A695" t="str">
        <f t="shared" si="10"/>
        <v>13Essex</v>
      </c>
      <c r="B695">
        <v>13</v>
      </c>
      <c r="C695" t="s">
        <v>149</v>
      </c>
      <c r="D695" t="s">
        <v>8237</v>
      </c>
      <c r="E695" t="s">
        <v>7657</v>
      </c>
      <c r="F695" t="s">
        <v>7632</v>
      </c>
      <c r="H695" s="34">
        <v>40000</v>
      </c>
      <c r="I695" s="53"/>
    </row>
    <row r="696" spans="1:9" x14ac:dyDescent="0.3">
      <c r="A696" t="str">
        <f t="shared" si="10"/>
        <v>14Essex</v>
      </c>
      <c r="B696">
        <v>14</v>
      </c>
      <c r="C696" t="s">
        <v>149</v>
      </c>
      <c r="D696" t="s">
        <v>8238</v>
      </c>
      <c r="E696" t="s">
        <v>7657</v>
      </c>
      <c r="F696" t="s">
        <v>7632</v>
      </c>
      <c r="H696" s="34">
        <v>10000</v>
      </c>
      <c r="I696" s="53"/>
    </row>
    <row r="697" spans="1:9" x14ac:dyDescent="0.3">
      <c r="A697" t="str">
        <f t="shared" si="10"/>
        <v>15Essex</v>
      </c>
      <c r="B697">
        <v>15</v>
      </c>
      <c r="C697" t="s">
        <v>149</v>
      </c>
      <c r="D697" t="s">
        <v>8239</v>
      </c>
      <c r="E697" t="s">
        <v>7657</v>
      </c>
      <c r="F697" t="s">
        <v>7632</v>
      </c>
      <c r="H697" s="34">
        <v>30000</v>
      </c>
      <c r="I697" s="53"/>
    </row>
    <row r="698" spans="1:9" x14ac:dyDescent="0.3">
      <c r="A698" t="str">
        <f t="shared" si="10"/>
        <v>16Essex</v>
      </c>
      <c r="B698">
        <v>16</v>
      </c>
      <c r="C698" t="s">
        <v>149</v>
      </c>
      <c r="D698" t="s">
        <v>8240</v>
      </c>
      <c r="E698" t="s">
        <v>7657</v>
      </c>
      <c r="F698" t="s">
        <v>7640</v>
      </c>
      <c r="H698" s="34">
        <v>30000</v>
      </c>
      <c r="I698" s="53"/>
    </row>
    <row r="699" spans="1:9" x14ac:dyDescent="0.3">
      <c r="A699" t="str">
        <f t="shared" si="10"/>
        <v>17Essex</v>
      </c>
      <c r="B699">
        <v>17</v>
      </c>
      <c r="C699" t="s">
        <v>149</v>
      </c>
      <c r="D699" t="s">
        <v>8241</v>
      </c>
      <c r="E699" t="s">
        <v>812</v>
      </c>
      <c r="H699" s="34">
        <v>10000</v>
      </c>
      <c r="I699" s="53"/>
    </row>
    <row r="700" spans="1:9" x14ac:dyDescent="0.3">
      <c r="A700" t="str">
        <f t="shared" si="10"/>
        <v>18Essex</v>
      </c>
      <c r="B700">
        <v>18</v>
      </c>
      <c r="C700" t="s">
        <v>149</v>
      </c>
      <c r="D700" t="s">
        <v>8242</v>
      </c>
      <c r="E700" t="s">
        <v>812</v>
      </c>
      <c r="H700" s="34">
        <v>250000</v>
      </c>
      <c r="I700" s="53"/>
    </row>
    <row r="701" spans="1:9" x14ac:dyDescent="0.3">
      <c r="A701" t="str">
        <f t="shared" si="10"/>
        <v>19Essex</v>
      </c>
      <c r="B701">
        <v>19</v>
      </c>
      <c r="C701" t="s">
        <v>149</v>
      </c>
      <c r="D701" t="s">
        <v>8243</v>
      </c>
      <c r="E701" t="s">
        <v>812</v>
      </c>
      <c r="H701" s="34">
        <v>16000</v>
      </c>
      <c r="I701" s="53"/>
    </row>
    <row r="702" spans="1:9" x14ac:dyDescent="0.3">
      <c r="A702" t="str">
        <f t="shared" si="10"/>
        <v>20Essex</v>
      </c>
      <c r="B702">
        <v>20</v>
      </c>
      <c r="C702" t="s">
        <v>149</v>
      </c>
      <c r="D702" t="s">
        <v>8244</v>
      </c>
      <c r="E702" t="s">
        <v>7657</v>
      </c>
      <c r="F702" t="s">
        <v>7640</v>
      </c>
      <c r="H702" s="34">
        <v>40000</v>
      </c>
      <c r="I702" s="53"/>
    </row>
    <row r="703" spans="1:9" x14ac:dyDescent="0.3">
      <c r="A703" t="str">
        <f t="shared" si="10"/>
        <v>21Essex</v>
      </c>
      <c r="B703">
        <v>21</v>
      </c>
      <c r="C703" t="s">
        <v>149</v>
      </c>
      <c r="D703" t="s">
        <v>8245</v>
      </c>
      <c r="E703" t="s">
        <v>7657</v>
      </c>
      <c r="F703" t="s">
        <v>7632</v>
      </c>
      <c r="H703" s="34">
        <v>36535</v>
      </c>
      <c r="I703" s="53"/>
    </row>
    <row r="704" spans="1:9" x14ac:dyDescent="0.3">
      <c r="A704" t="str">
        <f t="shared" si="10"/>
        <v>22Essex</v>
      </c>
      <c r="B704">
        <v>22</v>
      </c>
      <c r="C704" t="s">
        <v>149</v>
      </c>
      <c r="D704" t="s">
        <v>8246</v>
      </c>
      <c r="E704" t="s">
        <v>7657</v>
      </c>
      <c r="F704" t="s">
        <v>7640</v>
      </c>
      <c r="H704" s="34">
        <v>86554</v>
      </c>
      <c r="I704" s="53"/>
    </row>
    <row r="705" spans="1:9" x14ac:dyDescent="0.3">
      <c r="A705" t="str">
        <f t="shared" si="10"/>
        <v>23Essex</v>
      </c>
      <c r="B705">
        <v>23</v>
      </c>
      <c r="C705" t="s">
        <v>149</v>
      </c>
      <c r="D705" t="s">
        <v>8247</v>
      </c>
      <c r="E705" t="s">
        <v>812</v>
      </c>
      <c r="H705" s="34">
        <v>17000</v>
      </c>
      <c r="I705" s="53"/>
    </row>
    <row r="706" spans="1:9" x14ac:dyDescent="0.3">
      <c r="A706" t="str">
        <f t="shared" ref="A706:A769" si="11">B706&amp;C706</f>
        <v>24Essex</v>
      </c>
      <c r="B706">
        <v>24</v>
      </c>
      <c r="C706" t="s">
        <v>149</v>
      </c>
      <c r="D706" t="s">
        <v>8248</v>
      </c>
      <c r="E706" t="s">
        <v>7649</v>
      </c>
      <c r="F706" t="s">
        <v>7638</v>
      </c>
      <c r="H706" s="34">
        <v>36247</v>
      </c>
      <c r="I706" s="53"/>
    </row>
    <row r="707" spans="1:9" x14ac:dyDescent="0.3">
      <c r="A707" t="str">
        <f t="shared" si="11"/>
        <v>25Essex</v>
      </c>
      <c r="B707">
        <v>25</v>
      </c>
      <c r="C707" t="s">
        <v>149</v>
      </c>
      <c r="D707" t="s">
        <v>8249</v>
      </c>
      <c r="E707" t="s">
        <v>7657</v>
      </c>
      <c r="F707" t="s">
        <v>7632</v>
      </c>
      <c r="H707" s="34">
        <v>100000</v>
      </c>
      <c r="I707" s="53"/>
    </row>
    <row r="708" spans="1:9" x14ac:dyDescent="0.3">
      <c r="A708" t="str">
        <f t="shared" si="11"/>
        <v>26Essex</v>
      </c>
      <c r="B708">
        <v>26</v>
      </c>
      <c r="C708" t="s">
        <v>149</v>
      </c>
      <c r="D708" t="s">
        <v>8250</v>
      </c>
      <c r="E708" t="s">
        <v>7657</v>
      </c>
      <c r="F708" t="s">
        <v>7640</v>
      </c>
      <c r="H708" s="34">
        <v>30000</v>
      </c>
      <c r="I708" s="53"/>
    </row>
    <row r="709" spans="1:9" x14ac:dyDescent="0.3">
      <c r="A709" t="str">
        <f t="shared" si="11"/>
        <v>27Essex</v>
      </c>
      <c r="B709">
        <v>27</v>
      </c>
      <c r="C709" t="s">
        <v>149</v>
      </c>
      <c r="D709" t="s">
        <v>8251</v>
      </c>
      <c r="E709" t="s">
        <v>7657</v>
      </c>
      <c r="F709" t="s">
        <v>7640</v>
      </c>
      <c r="H709" s="34">
        <v>30000</v>
      </c>
      <c r="I709" s="53"/>
    </row>
    <row r="710" spans="1:9" x14ac:dyDescent="0.3">
      <c r="A710" t="str">
        <f t="shared" si="11"/>
        <v>28Essex</v>
      </c>
      <c r="B710">
        <v>28</v>
      </c>
      <c r="C710" t="s">
        <v>149</v>
      </c>
      <c r="D710" t="s">
        <v>8252</v>
      </c>
      <c r="E710" t="s">
        <v>806</v>
      </c>
      <c r="F710" t="s">
        <v>807</v>
      </c>
      <c r="H710" s="34">
        <v>47000</v>
      </c>
      <c r="I710" s="53"/>
    </row>
    <row r="711" spans="1:9" x14ac:dyDescent="0.3">
      <c r="A711" t="str">
        <f t="shared" si="11"/>
        <v>29Essex</v>
      </c>
      <c r="B711">
        <v>29</v>
      </c>
      <c r="C711" t="s">
        <v>149</v>
      </c>
      <c r="D711" t="s">
        <v>1616</v>
      </c>
      <c r="E711" t="s">
        <v>1106</v>
      </c>
      <c r="F711" t="s">
        <v>7628</v>
      </c>
      <c r="H711" s="34">
        <v>120000</v>
      </c>
      <c r="I711" s="53"/>
    </row>
    <row r="712" spans="1:9" x14ac:dyDescent="0.3">
      <c r="A712" t="str">
        <f t="shared" si="11"/>
        <v>30Essex</v>
      </c>
      <c r="B712">
        <v>30</v>
      </c>
      <c r="C712" t="s">
        <v>149</v>
      </c>
      <c r="D712" t="s">
        <v>8253</v>
      </c>
      <c r="E712" t="s">
        <v>7657</v>
      </c>
      <c r="F712" t="s">
        <v>7640</v>
      </c>
      <c r="H712" s="34">
        <v>75000</v>
      </c>
      <c r="I712" s="53"/>
    </row>
    <row r="713" spans="1:9" x14ac:dyDescent="0.3">
      <c r="A713" t="str">
        <f t="shared" si="11"/>
        <v>31Essex</v>
      </c>
      <c r="B713">
        <v>31</v>
      </c>
      <c r="C713" t="s">
        <v>149</v>
      </c>
      <c r="D713" t="s">
        <v>8254</v>
      </c>
      <c r="E713" t="s">
        <v>806</v>
      </c>
      <c r="F713" t="s">
        <v>807</v>
      </c>
      <c r="H713" s="34">
        <v>176000</v>
      </c>
      <c r="I713" s="53"/>
    </row>
    <row r="714" spans="1:9" x14ac:dyDescent="0.3">
      <c r="A714" t="str">
        <f t="shared" si="11"/>
        <v>32Essex</v>
      </c>
      <c r="B714">
        <v>32</v>
      </c>
      <c r="C714" t="s">
        <v>149</v>
      </c>
      <c r="D714" t="s">
        <v>8255</v>
      </c>
      <c r="E714" t="s">
        <v>1113</v>
      </c>
      <c r="F714" t="s">
        <v>7629</v>
      </c>
      <c r="H714" s="34">
        <v>20000</v>
      </c>
      <c r="I714" s="53"/>
    </row>
    <row r="715" spans="1:9" x14ac:dyDescent="0.3">
      <c r="A715" t="str">
        <f t="shared" si="11"/>
        <v>33Essex</v>
      </c>
      <c r="B715">
        <v>33</v>
      </c>
      <c r="C715" t="s">
        <v>149</v>
      </c>
      <c r="D715" t="s">
        <v>8256</v>
      </c>
      <c r="E715" t="s">
        <v>7662</v>
      </c>
      <c r="H715" s="34">
        <v>49329</v>
      </c>
      <c r="I715" s="53"/>
    </row>
    <row r="716" spans="1:9" x14ac:dyDescent="0.3">
      <c r="A716" t="str">
        <f t="shared" si="11"/>
        <v>34Essex</v>
      </c>
      <c r="B716">
        <v>34</v>
      </c>
      <c r="C716" t="s">
        <v>149</v>
      </c>
      <c r="D716" t="s">
        <v>8257</v>
      </c>
      <c r="E716" t="s">
        <v>7657</v>
      </c>
      <c r="F716" t="s">
        <v>7632</v>
      </c>
      <c r="H716" s="34">
        <v>65000</v>
      </c>
      <c r="I716" s="53"/>
    </row>
    <row r="717" spans="1:9" x14ac:dyDescent="0.3">
      <c r="A717" t="str">
        <f t="shared" si="11"/>
        <v>35Essex</v>
      </c>
      <c r="B717">
        <v>35</v>
      </c>
      <c r="C717" t="s">
        <v>149</v>
      </c>
      <c r="D717" t="s">
        <v>8258</v>
      </c>
      <c r="E717" t="s">
        <v>7657</v>
      </c>
      <c r="F717" t="s">
        <v>7640</v>
      </c>
      <c r="H717" s="34">
        <v>80000</v>
      </c>
      <c r="I717" s="53"/>
    </row>
    <row r="718" spans="1:9" x14ac:dyDescent="0.3">
      <c r="A718" t="str">
        <f t="shared" si="11"/>
        <v>36Essex</v>
      </c>
      <c r="B718">
        <v>36</v>
      </c>
      <c r="C718" t="s">
        <v>149</v>
      </c>
      <c r="D718" t="s">
        <v>8259</v>
      </c>
      <c r="E718" t="s">
        <v>800</v>
      </c>
      <c r="F718" t="s">
        <v>2108</v>
      </c>
      <c r="H718" s="34">
        <v>10000</v>
      </c>
      <c r="I718" s="53"/>
    </row>
    <row r="719" spans="1:9" x14ac:dyDescent="0.3">
      <c r="A719" t="str">
        <f t="shared" si="11"/>
        <v>37Essex</v>
      </c>
      <c r="B719">
        <v>37</v>
      </c>
      <c r="C719" t="s">
        <v>149</v>
      </c>
      <c r="D719" t="s">
        <v>8260</v>
      </c>
      <c r="E719" t="s">
        <v>7657</v>
      </c>
      <c r="F719" t="s">
        <v>7640</v>
      </c>
      <c r="H719" s="34">
        <v>61000</v>
      </c>
      <c r="I719" s="53"/>
    </row>
    <row r="720" spans="1:9" x14ac:dyDescent="0.3">
      <c r="A720" t="str">
        <f t="shared" si="11"/>
        <v>38Essex</v>
      </c>
      <c r="B720">
        <v>38</v>
      </c>
      <c r="C720" t="s">
        <v>149</v>
      </c>
      <c r="D720" t="s">
        <v>8261</v>
      </c>
      <c r="E720" t="s">
        <v>842</v>
      </c>
      <c r="F720" t="s">
        <v>7636</v>
      </c>
      <c r="H720" s="34">
        <v>75000</v>
      </c>
      <c r="I720" s="53"/>
    </row>
    <row r="721" spans="1:9" x14ac:dyDescent="0.3">
      <c r="A721" t="str">
        <f t="shared" si="11"/>
        <v>39Essex</v>
      </c>
      <c r="B721">
        <v>39</v>
      </c>
      <c r="C721" t="s">
        <v>149</v>
      </c>
      <c r="D721" t="s">
        <v>8262</v>
      </c>
      <c r="E721" t="s">
        <v>842</v>
      </c>
      <c r="F721" t="s">
        <v>7636</v>
      </c>
      <c r="H721" s="34">
        <v>85000</v>
      </c>
      <c r="I721" s="53"/>
    </row>
    <row r="722" spans="1:9" x14ac:dyDescent="0.3">
      <c r="A722" t="str">
        <f t="shared" si="11"/>
        <v>40Essex</v>
      </c>
      <c r="B722">
        <v>40</v>
      </c>
      <c r="C722" t="s">
        <v>149</v>
      </c>
      <c r="D722" t="s">
        <v>8263</v>
      </c>
      <c r="E722" t="s">
        <v>842</v>
      </c>
      <c r="F722" t="s">
        <v>843</v>
      </c>
      <c r="H722" s="34">
        <v>72000</v>
      </c>
      <c r="I722" s="53"/>
    </row>
    <row r="723" spans="1:9" x14ac:dyDescent="0.3">
      <c r="A723" t="str">
        <f t="shared" si="11"/>
        <v>41Essex</v>
      </c>
      <c r="B723">
        <v>41</v>
      </c>
      <c r="C723" t="s">
        <v>149</v>
      </c>
      <c r="D723" t="s">
        <v>8264</v>
      </c>
      <c r="E723" t="s">
        <v>842</v>
      </c>
      <c r="F723" t="s">
        <v>843</v>
      </c>
      <c r="H723" s="34">
        <v>167000</v>
      </c>
      <c r="I723" s="53"/>
    </row>
    <row r="724" spans="1:9" x14ac:dyDescent="0.3">
      <c r="A724" t="str">
        <f t="shared" si="11"/>
        <v>42Essex</v>
      </c>
      <c r="B724">
        <v>42</v>
      </c>
      <c r="C724" t="s">
        <v>149</v>
      </c>
      <c r="D724" t="s">
        <v>8265</v>
      </c>
      <c r="E724" t="s">
        <v>806</v>
      </c>
      <c r="F724" t="s">
        <v>807</v>
      </c>
      <c r="H724" s="34">
        <v>242000</v>
      </c>
      <c r="I724" s="53"/>
    </row>
    <row r="725" spans="1:9" x14ac:dyDescent="0.3">
      <c r="A725" t="str">
        <f t="shared" si="11"/>
        <v>43Essex</v>
      </c>
      <c r="B725">
        <v>43</v>
      </c>
      <c r="C725" t="s">
        <v>149</v>
      </c>
      <c r="D725" t="s">
        <v>8266</v>
      </c>
      <c r="E725" t="s">
        <v>842</v>
      </c>
      <c r="F725" t="s">
        <v>7636</v>
      </c>
      <c r="H725" s="34">
        <v>130000</v>
      </c>
      <c r="I725" s="53"/>
    </row>
    <row r="726" spans="1:9" x14ac:dyDescent="0.3">
      <c r="A726" t="str">
        <f t="shared" si="11"/>
        <v>44Essex</v>
      </c>
      <c r="B726">
        <v>44</v>
      </c>
      <c r="C726" t="s">
        <v>149</v>
      </c>
      <c r="D726" t="s">
        <v>8267</v>
      </c>
      <c r="E726" t="s">
        <v>7649</v>
      </c>
      <c r="F726" t="s">
        <v>7638</v>
      </c>
      <c r="H726" s="34">
        <v>108000</v>
      </c>
      <c r="I726" s="53"/>
    </row>
    <row r="727" spans="1:9" x14ac:dyDescent="0.3">
      <c r="A727" t="str">
        <f t="shared" si="11"/>
        <v>45Essex</v>
      </c>
      <c r="B727">
        <v>45</v>
      </c>
      <c r="C727" t="s">
        <v>149</v>
      </c>
      <c r="D727" t="s">
        <v>8268</v>
      </c>
      <c r="E727" t="s">
        <v>842</v>
      </c>
      <c r="F727" t="s">
        <v>7636</v>
      </c>
      <c r="H727" s="34">
        <v>259000</v>
      </c>
      <c r="I727" s="53"/>
    </row>
    <row r="728" spans="1:9" x14ac:dyDescent="0.3">
      <c r="A728" t="str">
        <f t="shared" si="11"/>
        <v>46Essex</v>
      </c>
      <c r="B728">
        <v>46</v>
      </c>
      <c r="C728" t="s">
        <v>149</v>
      </c>
      <c r="D728" t="s">
        <v>8269</v>
      </c>
      <c r="E728" t="s">
        <v>5266</v>
      </c>
      <c r="F728" t="s">
        <v>7631</v>
      </c>
      <c r="H728" s="34">
        <v>4402583</v>
      </c>
      <c r="I728" s="53"/>
    </row>
    <row r="729" spans="1:9" x14ac:dyDescent="0.3">
      <c r="A729" t="str">
        <f t="shared" si="11"/>
        <v>47Essex</v>
      </c>
      <c r="B729">
        <v>47</v>
      </c>
      <c r="C729" t="s">
        <v>149</v>
      </c>
      <c r="D729" t="s">
        <v>8270</v>
      </c>
      <c r="E729" t="s">
        <v>7657</v>
      </c>
      <c r="F729" t="s">
        <v>7632</v>
      </c>
      <c r="H729" s="34">
        <v>50000</v>
      </c>
      <c r="I729" s="53"/>
    </row>
    <row r="730" spans="1:9" x14ac:dyDescent="0.3">
      <c r="A730" t="str">
        <f t="shared" si="11"/>
        <v>48Essex</v>
      </c>
      <c r="B730">
        <v>48</v>
      </c>
      <c r="C730" t="s">
        <v>149</v>
      </c>
      <c r="D730" t="s">
        <v>8271</v>
      </c>
      <c r="E730" t="s">
        <v>7657</v>
      </c>
      <c r="F730" t="s">
        <v>7640</v>
      </c>
      <c r="H730" s="34">
        <v>64000</v>
      </c>
      <c r="I730" s="53"/>
    </row>
    <row r="731" spans="1:9" x14ac:dyDescent="0.3">
      <c r="A731" t="str">
        <f t="shared" si="11"/>
        <v>49Essex</v>
      </c>
      <c r="B731">
        <v>49</v>
      </c>
      <c r="C731" t="s">
        <v>149</v>
      </c>
      <c r="D731" t="s">
        <v>8272</v>
      </c>
      <c r="E731" t="s">
        <v>806</v>
      </c>
      <c r="F731" t="s">
        <v>807</v>
      </c>
      <c r="H731" s="34">
        <v>33000</v>
      </c>
      <c r="I731" s="53"/>
    </row>
    <row r="732" spans="1:9" x14ac:dyDescent="0.3">
      <c r="A732" t="str">
        <f t="shared" si="11"/>
        <v>50Essex</v>
      </c>
      <c r="B732">
        <v>50</v>
      </c>
      <c r="C732" t="s">
        <v>149</v>
      </c>
      <c r="D732" t="s">
        <v>8273</v>
      </c>
      <c r="E732" t="s">
        <v>1113</v>
      </c>
      <c r="F732" t="s">
        <v>7629</v>
      </c>
      <c r="H732" s="34">
        <v>75000</v>
      </c>
      <c r="I732" s="53"/>
    </row>
    <row r="733" spans="1:9" x14ac:dyDescent="0.3">
      <c r="A733" t="str">
        <f t="shared" si="11"/>
        <v>51Essex</v>
      </c>
      <c r="B733">
        <v>51</v>
      </c>
      <c r="C733" t="s">
        <v>149</v>
      </c>
      <c r="D733" t="s">
        <v>8274</v>
      </c>
      <c r="E733" t="s">
        <v>842</v>
      </c>
      <c r="F733" t="s">
        <v>843</v>
      </c>
      <c r="H733" s="34">
        <v>123000</v>
      </c>
      <c r="I733" s="53"/>
    </row>
    <row r="734" spans="1:9" x14ac:dyDescent="0.3">
      <c r="A734" t="str">
        <f t="shared" si="11"/>
        <v>52Essex</v>
      </c>
      <c r="B734">
        <v>52</v>
      </c>
      <c r="C734" t="s">
        <v>149</v>
      </c>
      <c r="D734" t="s">
        <v>8275</v>
      </c>
      <c r="E734" t="s">
        <v>800</v>
      </c>
      <c r="F734" t="s">
        <v>903</v>
      </c>
      <c r="H734" s="34">
        <v>20000</v>
      </c>
      <c r="I734" s="53"/>
    </row>
    <row r="735" spans="1:9" x14ac:dyDescent="0.3">
      <c r="A735" t="str">
        <f t="shared" si="11"/>
        <v>53Essex</v>
      </c>
      <c r="B735">
        <v>53</v>
      </c>
      <c r="C735" t="s">
        <v>149</v>
      </c>
      <c r="D735" t="s">
        <v>8276</v>
      </c>
      <c r="E735" t="s">
        <v>806</v>
      </c>
      <c r="F735" t="s">
        <v>807</v>
      </c>
      <c r="H735" s="34">
        <v>50000</v>
      </c>
      <c r="I735" s="53"/>
    </row>
    <row r="736" spans="1:9" x14ac:dyDescent="0.3">
      <c r="A736" t="str">
        <f t="shared" si="11"/>
        <v>54Essex</v>
      </c>
      <c r="B736">
        <v>54</v>
      </c>
      <c r="C736" t="s">
        <v>149</v>
      </c>
      <c r="D736" t="s">
        <v>8277</v>
      </c>
      <c r="E736" t="s">
        <v>7657</v>
      </c>
      <c r="F736" t="s">
        <v>7640</v>
      </c>
      <c r="H736" s="34">
        <v>30000</v>
      </c>
      <c r="I736" s="53"/>
    </row>
    <row r="737" spans="1:9" x14ac:dyDescent="0.3">
      <c r="A737" t="str">
        <f t="shared" si="11"/>
        <v>55Essex</v>
      </c>
      <c r="B737">
        <v>55</v>
      </c>
      <c r="C737" t="s">
        <v>149</v>
      </c>
      <c r="D737" t="s">
        <v>8278</v>
      </c>
      <c r="E737" t="s">
        <v>7657</v>
      </c>
      <c r="F737" t="s">
        <v>7640</v>
      </c>
      <c r="H737" s="34">
        <v>100000</v>
      </c>
      <c r="I737" s="53"/>
    </row>
    <row r="738" spans="1:9" x14ac:dyDescent="0.3">
      <c r="A738" t="str">
        <f t="shared" si="11"/>
        <v>56Essex</v>
      </c>
      <c r="B738">
        <v>56</v>
      </c>
      <c r="C738" t="s">
        <v>149</v>
      </c>
      <c r="D738" t="s">
        <v>8279</v>
      </c>
      <c r="E738" t="s">
        <v>7657</v>
      </c>
      <c r="F738" t="s">
        <v>7640</v>
      </c>
      <c r="H738" s="34">
        <v>139710</v>
      </c>
      <c r="I738" s="53"/>
    </row>
    <row r="739" spans="1:9" x14ac:dyDescent="0.3">
      <c r="A739" t="str">
        <f t="shared" si="11"/>
        <v>57Essex</v>
      </c>
      <c r="B739">
        <v>57</v>
      </c>
      <c r="C739" t="s">
        <v>149</v>
      </c>
      <c r="D739" t="s">
        <v>8280</v>
      </c>
      <c r="E739" t="s">
        <v>7657</v>
      </c>
      <c r="F739" t="s">
        <v>7640</v>
      </c>
      <c r="H739" s="34">
        <v>198474</v>
      </c>
      <c r="I739" s="53"/>
    </row>
    <row r="740" spans="1:9" x14ac:dyDescent="0.3">
      <c r="A740" t="str">
        <f t="shared" si="11"/>
        <v>58Essex</v>
      </c>
      <c r="B740">
        <v>58</v>
      </c>
      <c r="C740" t="s">
        <v>149</v>
      </c>
      <c r="D740" t="s">
        <v>8281</v>
      </c>
      <c r="E740" t="s">
        <v>7657</v>
      </c>
      <c r="F740" t="s">
        <v>7640</v>
      </c>
      <c r="H740" s="34">
        <v>23630</v>
      </c>
      <c r="I740" s="53"/>
    </row>
    <row r="741" spans="1:9" x14ac:dyDescent="0.3">
      <c r="A741" t="str">
        <f t="shared" si="11"/>
        <v>59Essex</v>
      </c>
      <c r="B741">
        <v>59</v>
      </c>
      <c r="C741" t="s">
        <v>149</v>
      </c>
      <c r="D741" t="s">
        <v>8282</v>
      </c>
      <c r="E741" t="s">
        <v>812</v>
      </c>
      <c r="H741" s="34">
        <v>52130</v>
      </c>
      <c r="I741" s="53"/>
    </row>
    <row r="742" spans="1:9" x14ac:dyDescent="0.3">
      <c r="A742" t="str">
        <f t="shared" si="11"/>
        <v>60Essex</v>
      </c>
      <c r="B742">
        <v>60</v>
      </c>
      <c r="C742" t="s">
        <v>149</v>
      </c>
      <c r="D742" t="s">
        <v>8283</v>
      </c>
      <c r="E742" t="s">
        <v>806</v>
      </c>
      <c r="F742" t="s">
        <v>917</v>
      </c>
      <c r="H742" s="34">
        <v>214090</v>
      </c>
      <c r="I742" s="53"/>
    </row>
    <row r="743" spans="1:9" x14ac:dyDescent="0.3">
      <c r="A743" t="str">
        <f t="shared" si="11"/>
        <v>61Essex</v>
      </c>
      <c r="B743">
        <v>61</v>
      </c>
      <c r="C743" t="s">
        <v>149</v>
      </c>
      <c r="D743" t="s">
        <v>8284</v>
      </c>
      <c r="E743" t="s">
        <v>7657</v>
      </c>
      <c r="F743" t="s">
        <v>7640</v>
      </c>
      <c r="H743" s="34">
        <v>152900</v>
      </c>
      <c r="I743" s="53"/>
    </row>
    <row r="744" spans="1:9" x14ac:dyDescent="0.3">
      <c r="A744" t="str">
        <f t="shared" si="11"/>
        <v>62Essex</v>
      </c>
      <c r="B744">
        <v>62</v>
      </c>
      <c r="C744" t="s">
        <v>149</v>
      </c>
      <c r="D744" t="s">
        <v>8285</v>
      </c>
      <c r="E744" t="s">
        <v>7657</v>
      </c>
      <c r="F744" t="s">
        <v>7640</v>
      </c>
      <c r="H744" s="34">
        <v>97000</v>
      </c>
      <c r="I744" s="53"/>
    </row>
    <row r="745" spans="1:9" x14ac:dyDescent="0.3">
      <c r="A745" t="str">
        <f t="shared" si="11"/>
        <v>63Essex</v>
      </c>
      <c r="B745">
        <v>63</v>
      </c>
      <c r="C745" t="s">
        <v>149</v>
      </c>
      <c r="D745" t="s">
        <v>8286</v>
      </c>
      <c r="E745" t="s">
        <v>1113</v>
      </c>
      <c r="F745" t="s">
        <v>7629</v>
      </c>
      <c r="H745" s="34">
        <v>35000</v>
      </c>
      <c r="I745" s="53"/>
    </row>
    <row r="746" spans="1:9" x14ac:dyDescent="0.3">
      <c r="A746" t="str">
        <f t="shared" si="11"/>
        <v>64Essex</v>
      </c>
      <c r="B746">
        <v>64</v>
      </c>
      <c r="C746" t="s">
        <v>149</v>
      </c>
      <c r="D746" t="s">
        <v>8287</v>
      </c>
      <c r="E746" t="s">
        <v>7657</v>
      </c>
      <c r="F746" t="s">
        <v>7640</v>
      </c>
      <c r="H746" s="34">
        <v>105000</v>
      </c>
      <c r="I746" s="53"/>
    </row>
    <row r="747" spans="1:9" x14ac:dyDescent="0.3">
      <c r="A747" t="str">
        <f t="shared" si="11"/>
        <v>65Essex</v>
      </c>
      <c r="B747">
        <v>65</v>
      </c>
      <c r="C747" t="s">
        <v>149</v>
      </c>
      <c r="D747" t="s">
        <v>8288</v>
      </c>
      <c r="E747" t="s">
        <v>7657</v>
      </c>
      <c r="F747" t="s">
        <v>7632</v>
      </c>
      <c r="H747" s="34">
        <v>40000</v>
      </c>
      <c r="I747" s="53"/>
    </row>
    <row r="748" spans="1:9" x14ac:dyDescent="0.3">
      <c r="A748" t="str">
        <f t="shared" si="11"/>
        <v>66Essex</v>
      </c>
      <c r="B748">
        <v>66</v>
      </c>
      <c r="C748" t="s">
        <v>149</v>
      </c>
      <c r="D748" t="s">
        <v>8289</v>
      </c>
      <c r="E748" t="s">
        <v>1113</v>
      </c>
      <c r="F748" t="s">
        <v>7629</v>
      </c>
      <c r="H748" s="34">
        <v>121000</v>
      </c>
      <c r="I748" s="53"/>
    </row>
    <row r="749" spans="1:9" x14ac:dyDescent="0.3">
      <c r="A749" t="str">
        <f t="shared" si="11"/>
        <v>67Essex</v>
      </c>
      <c r="B749">
        <v>67</v>
      </c>
      <c r="C749" t="s">
        <v>149</v>
      </c>
      <c r="D749" t="s">
        <v>8290</v>
      </c>
      <c r="E749" t="s">
        <v>842</v>
      </c>
      <c r="F749" t="s">
        <v>7636</v>
      </c>
      <c r="H749" s="34">
        <v>70000</v>
      </c>
      <c r="I749" s="53"/>
    </row>
    <row r="750" spans="1:9" x14ac:dyDescent="0.3">
      <c r="A750" t="str">
        <f t="shared" si="11"/>
        <v>68Essex</v>
      </c>
      <c r="B750">
        <v>68</v>
      </c>
      <c r="C750" t="s">
        <v>149</v>
      </c>
      <c r="D750" t="s">
        <v>8291</v>
      </c>
      <c r="E750" t="s">
        <v>7657</v>
      </c>
      <c r="F750" t="s">
        <v>7640</v>
      </c>
      <c r="H750" s="34">
        <v>73000</v>
      </c>
      <c r="I750" s="53"/>
    </row>
    <row r="751" spans="1:9" x14ac:dyDescent="0.3">
      <c r="A751" t="str">
        <f t="shared" si="11"/>
        <v>69Essex</v>
      </c>
      <c r="B751">
        <v>69</v>
      </c>
      <c r="C751" t="s">
        <v>149</v>
      </c>
      <c r="D751" t="s">
        <v>8292</v>
      </c>
      <c r="E751" t="s">
        <v>7657</v>
      </c>
      <c r="F751" t="s">
        <v>7640</v>
      </c>
      <c r="H751" s="34">
        <v>80000</v>
      </c>
      <c r="I751" s="53"/>
    </row>
    <row r="752" spans="1:9" x14ac:dyDescent="0.3">
      <c r="A752" t="str">
        <f t="shared" si="11"/>
        <v>70Essex</v>
      </c>
      <c r="B752">
        <v>70</v>
      </c>
      <c r="C752" t="s">
        <v>149</v>
      </c>
      <c r="D752" t="s">
        <v>8293</v>
      </c>
      <c r="E752" t="s">
        <v>7657</v>
      </c>
      <c r="F752" t="s">
        <v>7640</v>
      </c>
      <c r="H752" s="34">
        <v>140000</v>
      </c>
      <c r="I752" s="53"/>
    </row>
    <row r="753" spans="1:9" x14ac:dyDescent="0.3">
      <c r="A753" t="str">
        <f t="shared" si="11"/>
        <v>71Essex</v>
      </c>
      <c r="B753">
        <v>71</v>
      </c>
      <c r="C753" t="s">
        <v>149</v>
      </c>
      <c r="D753" t="s">
        <v>8294</v>
      </c>
      <c r="E753" t="s">
        <v>812</v>
      </c>
      <c r="H753" s="34">
        <v>60000</v>
      </c>
      <c r="I753" s="53"/>
    </row>
    <row r="754" spans="1:9" x14ac:dyDescent="0.3">
      <c r="A754" t="str">
        <f t="shared" si="11"/>
        <v>72Essex</v>
      </c>
      <c r="B754">
        <v>72</v>
      </c>
      <c r="C754" t="s">
        <v>149</v>
      </c>
      <c r="D754" t="s">
        <v>8295</v>
      </c>
      <c r="E754" t="s">
        <v>7657</v>
      </c>
      <c r="F754" t="s">
        <v>7632</v>
      </c>
      <c r="H754" s="34">
        <v>195000</v>
      </c>
      <c r="I754" s="53"/>
    </row>
    <row r="755" spans="1:9" x14ac:dyDescent="0.3">
      <c r="A755" t="str">
        <f t="shared" si="11"/>
        <v>73Essex</v>
      </c>
      <c r="B755">
        <v>73</v>
      </c>
      <c r="C755" t="s">
        <v>149</v>
      </c>
      <c r="D755" t="s">
        <v>8296</v>
      </c>
      <c r="E755" t="s">
        <v>7657</v>
      </c>
      <c r="F755" t="s">
        <v>7640</v>
      </c>
      <c r="H755" s="34">
        <v>30000</v>
      </c>
      <c r="I755" s="53"/>
    </row>
    <row r="756" spans="1:9" x14ac:dyDescent="0.3">
      <c r="A756" t="str">
        <f t="shared" si="11"/>
        <v>74Essex</v>
      </c>
      <c r="B756">
        <v>74</v>
      </c>
      <c r="C756" t="s">
        <v>149</v>
      </c>
      <c r="D756" t="s">
        <v>8297</v>
      </c>
      <c r="E756" t="s">
        <v>7657</v>
      </c>
      <c r="F756" t="s">
        <v>7640</v>
      </c>
      <c r="H756" s="34">
        <v>60000</v>
      </c>
      <c r="I756" s="53"/>
    </row>
    <row r="757" spans="1:9" x14ac:dyDescent="0.3">
      <c r="A757" t="str">
        <f t="shared" si="11"/>
        <v>1Gateshead</v>
      </c>
      <c r="B757">
        <v>1</v>
      </c>
      <c r="C757" t="s">
        <v>151</v>
      </c>
      <c r="D757" t="s">
        <v>8298</v>
      </c>
      <c r="E757" t="s">
        <v>7662</v>
      </c>
      <c r="H757" s="34">
        <v>19363</v>
      </c>
      <c r="I757" s="53"/>
    </row>
    <row r="758" spans="1:9" x14ac:dyDescent="0.3">
      <c r="A758" t="str">
        <f t="shared" si="11"/>
        <v>2Gateshead</v>
      </c>
      <c r="B758">
        <v>2</v>
      </c>
      <c r="C758" t="s">
        <v>151</v>
      </c>
      <c r="D758" t="s">
        <v>8299</v>
      </c>
      <c r="E758" t="s">
        <v>842</v>
      </c>
      <c r="F758" t="s">
        <v>843</v>
      </c>
      <c r="H758" s="34">
        <v>234181</v>
      </c>
      <c r="I758" s="53"/>
    </row>
    <row r="759" spans="1:9" x14ac:dyDescent="0.3">
      <c r="A759" t="str">
        <f t="shared" si="11"/>
        <v>3Gateshead</v>
      </c>
      <c r="B759">
        <v>3</v>
      </c>
      <c r="C759" t="s">
        <v>151</v>
      </c>
      <c r="D759" t="s">
        <v>8300</v>
      </c>
      <c r="E759" t="s">
        <v>806</v>
      </c>
      <c r="F759" t="s">
        <v>917</v>
      </c>
      <c r="H759" s="34">
        <v>407493.18</v>
      </c>
      <c r="I759" s="53"/>
    </row>
    <row r="760" spans="1:9" x14ac:dyDescent="0.3">
      <c r="A760" t="str">
        <f t="shared" si="11"/>
        <v>4Gateshead</v>
      </c>
      <c r="B760">
        <v>4</v>
      </c>
      <c r="C760" t="s">
        <v>151</v>
      </c>
      <c r="D760" t="s">
        <v>8301</v>
      </c>
      <c r="E760" t="s">
        <v>1113</v>
      </c>
      <c r="F760" t="s">
        <v>7629</v>
      </c>
      <c r="H760" s="34">
        <v>336413</v>
      </c>
      <c r="I760" s="53"/>
    </row>
    <row r="761" spans="1:9" x14ac:dyDescent="0.3">
      <c r="A761" t="str">
        <f t="shared" si="11"/>
        <v>5Gateshead</v>
      </c>
      <c r="B761">
        <v>5</v>
      </c>
      <c r="C761" t="s">
        <v>151</v>
      </c>
      <c r="D761" t="s">
        <v>8302</v>
      </c>
      <c r="E761" t="s">
        <v>5266</v>
      </c>
      <c r="F761" t="s">
        <v>7646</v>
      </c>
      <c r="H761" s="34">
        <v>462637</v>
      </c>
      <c r="I761" s="53"/>
    </row>
    <row r="762" spans="1:9" x14ac:dyDescent="0.3">
      <c r="A762" t="str">
        <f t="shared" si="11"/>
        <v>6Gateshead</v>
      </c>
      <c r="B762">
        <v>6</v>
      </c>
      <c r="C762" t="s">
        <v>151</v>
      </c>
      <c r="D762" t="s">
        <v>8303</v>
      </c>
      <c r="E762" t="s">
        <v>7649</v>
      </c>
      <c r="F762" t="s">
        <v>7638</v>
      </c>
      <c r="H762" s="34">
        <v>53464</v>
      </c>
      <c r="I762" s="53"/>
    </row>
    <row r="763" spans="1:9" x14ac:dyDescent="0.3">
      <c r="A763" t="str">
        <f t="shared" si="11"/>
        <v>7Gateshead</v>
      </c>
      <c r="B763">
        <v>7</v>
      </c>
      <c r="C763" t="s">
        <v>151</v>
      </c>
      <c r="D763" t="s">
        <v>8304</v>
      </c>
      <c r="E763" t="s">
        <v>800</v>
      </c>
      <c r="F763" t="s">
        <v>903</v>
      </c>
      <c r="H763" s="34">
        <v>25000</v>
      </c>
      <c r="I763" s="53"/>
    </row>
    <row r="764" spans="1:9" x14ac:dyDescent="0.3">
      <c r="A764" t="str">
        <f t="shared" si="11"/>
        <v>8Gateshead</v>
      </c>
      <c r="B764">
        <v>8</v>
      </c>
      <c r="C764" t="s">
        <v>151</v>
      </c>
      <c r="D764" t="s">
        <v>8305</v>
      </c>
      <c r="E764" t="s">
        <v>1106</v>
      </c>
      <c r="F764" t="s">
        <v>7628</v>
      </c>
      <c r="H764" s="34">
        <v>208223</v>
      </c>
      <c r="I764" s="53"/>
    </row>
    <row r="765" spans="1:9" x14ac:dyDescent="0.3">
      <c r="A765" t="str">
        <f t="shared" si="11"/>
        <v>9Gateshead</v>
      </c>
      <c r="B765">
        <v>9</v>
      </c>
      <c r="C765" t="s">
        <v>151</v>
      </c>
      <c r="D765" t="s">
        <v>8306</v>
      </c>
      <c r="E765" t="s">
        <v>7658</v>
      </c>
      <c r="H765" s="34">
        <v>20000</v>
      </c>
      <c r="I765" s="53"/>
    </row>
    <row r="766" spans="1:9" x14ac:dyDescent="0.3">
      <c r="A766" t="str">
        <f t="shared" si="11"/>
        <v>10Gateshead</v>
      </c>
      <c r="B766">
        <v>10</v>
      </c>
      <c r="C766" t="s">
        <v>151</v>
      </c>
      <c r="D766" t="s">
        <v>8307</v>
      </c>
      <c r="E766" t="s">
        <v>7649</v>
      </c>
      <c r="F766" t="s">
        <v>7638</v>
      </c>
      <c r="H766" s="34">
        <v>169584</v>
      </c>
      <c r="I766" s="53"/>
    </row>
    <row r="767" spans="1:9" x14ac:dyDescent="0.3">
      <c r="A767" t="str">
        <f t="shared" si="11"/>
        <v>1Gloucestershire</v>
      </c>
      <c r="B767">
        <v>1</v>
      </c>
      <c r="C767" t="s">
        <v>153</v>
      </c>
      <c r="D767" t="s">
        <v>8308</v>
      </c>
      <c r="E767" t="s">
        <v>1113</v>
      </c>
      <c r="F767" t="s">
        <v>7629</v>
      </c>
      <c r="H767" s="34">
        <v>155994</v>
      </c>
      <c r="I767" s="53"/>
    </row>
    <row r="768" spans="1:9" x14ac:dyDescent="0.3">
      <c r="A768" t="str">
        <f t="shared" si="11"/>
        <v>2Gloucestershire</v>
      </c>
      <c r="B768">
        <v>2</v>
      </c>
      <c r="C768" t="s">
        <v>153</v>
      </c>
      <c r="D768" t="s">
        <v>8309</v>
      </c>
      <c r="E768" t="s">
        <v>1106</v>
      </c>
      <c r="F768" t="s">
        <v>7628</v>
      </c>
      <c r="H768" s="34">
        <v>255980</v>
      </c>
      <c r="I768" s="53"/>
    </row>
    <row r="769" spans="1:9" x14ac:dyDescent="0.3">
      <c r="A769" t="str">
        <f t="shared" si="11"/>
        <v>3Gloucestershire</v>
      </c>
      <c r="B769">
        <v>3</v>
      </c>
      <c r="C769" t="s">
        <v>153</v>
      </c>
      <c r="D769" t="s">
        <v>8310</v>
      </c>
      <c r="E769" t="s">
        <v>812</v>
      </c>
      <c r="H769" s="34">
        <v>575000</v>
      </c>
      <c r="I769" s="53"/>
    </row>
    <row r="770" spans="1:9" x14ac:dyDescent="0.3">
      <c r="A770" t="str">
        <f t="shared" ref="A770:A833" si="12">B770&amp;C770</f>
        <v>4Gloucestershire</v>
      </c>
      <c r="B770">
        <v>4</v>
      </c>
      <c r="C770" t="s">
        <v>153</v>
      </c>
      <c r="D770" t="s">
        <v>8311</v>
      </c>
      <c r="E770" t="s">
        <v>812</v>
      </c>
      <c r="H770" s="34">
        <v>2317963</v>
      </c>
      <c r="I770" s="53"/>
    </row>
    <row r="771" spans="1:9" x14ac:dyDescent="0.3">
      <c r="A771" t="str">
        <f t="shared" si="12"/>
        <v>5Gloucestershire</v>
      </c>
      <c r="B771">
        <v>5</v>
      </c>
      <c r="C771" t="s">
        <v>153</v>
      </c>
      <c r="D771" t="s">
        <v>8312</v>
      </c>
      <c r="E771" t="s">
        <v>812</v>
      </c>
      <c r="H771" s="34">
        <v>61142</v>
      </c>
      <c r="I771" s="53"/>
    </row>
    <row r="772" spans="1:9" x14ac:dyDescent="0.3">
      <c r="A772" t="str">
        <f t="shared" si="12"/>
        <v>6Gloucestershire</v>
      </c>
      <c r="B772">
        <v>6</v>
      </c>
      <c r="C772" t="s">
        <v>153</v>
      </c>
      <c r="D772" t="s">
        <v>1513</v>
      </c>
      <c r="E772" t="s">
        <v>800</v>
      </c>
      <c r="F772" t="s">
        <v>903</v>
      </c>
      <c r="H772" s="34">
        <v>125000</v>
      </c>
      <c r="I772" s="53"/>
    </row>
    <row r="773" spans="1:9" x14ac:dyDescent="0.3">
      <c r="A773" t="str">
        <f t="shared" si="12"/>
        <v>7Gloucestershire</v>
      </c>
      <c r="B773">
        <v>7</v>
      </c>
      <c r="C773" t="s">
        <v>153</v>
      </c>
      <c r="D773" t="s">
        <v>8313</v>
      </c>
      <c r="E773" t="s">
        <v>800</v>
      </c>
      <c r="F773" t="s">
        <v>903</v>
      </c>
      <c r="H773" s="34">
        <v>35227</v>
      </c>
      <c r="I773" s="53"/>
    </row>
    <row r="774" spans="1:9" x14ac:dyDescent="0.3">
      <c r="A774" t="str">
        <f t="shared" si="12"/>
        <v>8Gloucestershire</v>
      </c>
      <c r="B774">
        <v>8</v>
      </c>
      <c r="C774" t="s">
        <v>153</v>
      </c>
      <c r="D774" t="s">
        <v>8314</v>
      </c>
      <c r="E774" t="s">
        <v>7658</v>
      </c>
      <c r="H774" s="34">
        <v>90000</v>
      </c>
      <c r="I774" s="53"/>
    </row>
    <row r="775" spans="1:9" x14ac:dyDescent="0.3">
      <c r="A775" t="str">
        <f t="shared" si="12"/>
        <v>9Gloucestershire</v>
      </c>
      <c r="B775">
        <v>9</v>
      </c>
      <c r="C775" t="s">
        <v>153</v>
      </c>
      <c r="D775" t="s">
        <v>8315</v>
      </c>
      <c r="E775" t="s">
        <v>842</v>
      </c>
      <c r="F775" t="s">
        <v>7636</v>
      </c>
      <c r="H775" s="34">
        <v>352800</v>
      </c>
      <c r="I775" s="53"/>
    </row>
    <row r="776" spans="1:9" x14ac:dyDescent="0.3">
      <c r="A776" t="str">
        <f t="shared" si="12"/>
        <v>10Gloucestershire</v>
      </c>
      <c r="B776">
        <v>10</v>
      </c>
      <c r="C776" t="s">
        <v>153</v>
      </c>
      <c r="D776" t="s">
        <v>8316</v>
      </c>
      <c r="E776" t="s">
        <v>842</v>
      </c>
      <c r="F776" t="s">
        <v>7636</v>
      </c>
      <c r="H776" s="34">
        <v>44100</v>
      </c>
      <c r="I776" s="53"/>
    </row>
    <row r="777" spans="1:9" x14ac:dyDescent="0.3">
      <c r="A777" t="str">
        <f t="shared" si="12"/>
        <v>11Gloucestershire</v>
      </c>
      <c r="B777">
        <v>11</v>
      </c>
      <c r="C777" t="s">
        <v>153</v>
      </c>
      <c r="D777" t="s">
        <v>8317</v>
      </c>
      <c r="E777" t="s">
        <v>812</v>
      </c>
      <c r="H777" s="34">
        <v>58827</v>
      </c>
      <c r="I777" s="53"/>
    </row>
    <row r="778" spans="1:9" x14ac:dyDescent="0.3">
      <c r="A778" t="str">
        <f t="shared" si="12"/>
        <v>12Gloucestershire</v>
      </c>
      <c r="B778">
        <v>12</v>
      </c>
      <c r="C778" t="s">
        <v>153</v>
      </c>
      <c r="D778" t="s">
        <v>8318</v>
      </c>
      <c r="E778" t="s">
        <v>812</v>
      </c>
      <c r="H778" s="34">
        <v>22000</v>
      </c>
      <c r="I778" s="53"/>
    </row>
    <row r="779" spans="1:9" x14ac:dyDescent="0.3">
      <c r="A779" t="str">
        <f t="shared" si="12"/>
        <v>13Gloucestershire</v>
      </c>
      <c r="B779">
        <v>13</v>
      </c>
      <c r="C779" t="s">
        <v>153</v>
      </c>
      <c r="D779" t="s">
        <v>8319</v>
      </c>
      <c r="E779" t="s">
        <v>842</v>
      </c>
      <c r="F779" t="s">
        <v>7636</v>
      </c>
      <c r="H779" s="34">
        <v>450000</v>
      </c>
      <c r="I779" s="53"/>
    </row>
    <row r="780" spans="1:9" x14ac:dyDescent="0.3">
      <c r="A780" t="str">
        <f t="shared" si="12"/>
        <v>14Gloucestershire</v>
      </c>
      <c r="B780">
        <v>14</v>
      </c>
      <c r="C780" t="s">
        <v>153</v>
      </c>
      <c r="D780" t="s">
        <v>8320</v>
      </c>
      <c r="E780" t="s">
        <v>812</v>
      </c>
      <c r="H780" s="34">
        <v>10000</v>
      </c>
      <c r="I780" s="53"/>
    </row>
    <row r="781" spans="1:9" x14ac:dyDescent="0.3">
      <c r="A781" t="str">
        <f t="shared" si="12"/>
        <v>15Gloucestershire</v>
      </c>
      <c r="B781">
        <v>15</v>
      </c>
      <c r="C781" t="s">
        <v>153</v>
      </c>
      <c r="D781" t="s">
        <v>8321</v>
      </c>
      <c r="E781" t="s">
        <v>7662</v>
      </c>
      <c r="H781" s="34">
        <v>19045</v>
      </c>
      <c r="I781" s="53"/>
    </row>
    <row r="782" spans="1:9" x14ac:dyDescent="0.3">
      <c r="A782" t="str">
        <f t="shared" si="12"/>
        <v>16Gloucestershire</v>
      </c>
      <c r="B782">
        <v>16</v>
      </c>
      <c r="C782" t="s">
        <v>153</v>
      </c>
      <c r="D782" t="s">
        <v>8321</v>
      </c>
      <c r="E782" t="s">
        <v>7658</v>
      </c>
      <c r="H782" s="34">
        <v>45941</v>
      </c>
      <c r="I782" s="53"/>
    </row>
    <row r="783" spans="1:9" x14ac:dyDescent="0.3">
      <c r="A783" t="str">
        <f t="shared" si="12"/>
        <v>17Gloucestershire</v>
      </c>
      <c r="B783">
        <v>17</v>
      </c>
      <c r="C783" t="s">
        <v>153</v>
      </c>
      <c r="D783" t="s">
        <v>8322</v>
      </c>
      <c r="E783" t="s">
        <v>842</v>
      </c>
      <c r="F783" t="s">
        <v>7636</v>
      </c>
      <c r="H783" s="34">
        <v>236250</v>
      </c>
      <c r="I783" s="53"/>
    </row>
    <row r="784" spans="1:9" x14ac:dyDescent="0.3">
      <c r="A784" t="str">
        <f t="shared" si="12"/>
        <v>18Gloucestershire</v>
      </c>
      <c r="B784">
        <v>18</v>
      </c>
      <c r="C784" t="s">
        <v>153</v>
      </c>
      <c r="D784" t="s">
        <v>8323</v>
      </c>
      <c r="E784" t="s">
        <v>842</v>
      </c>
      <c r="F784" t="s">
        <v>7636</v>
      </c>
      <c r="H784" s="34">
        <v>428500</v>
      </c>
      <c r="I784" s="53"/>
    </row>
    <row r="785" spans="1:9" x14ac:dyDescent="0.3">
      <c r="A785" t="str">
        <f t="shared" si="12"/>
        <v>19Gloucestershire</v>
      </c>
      <c r="B785">
        <v>19</v>
      </c>
      <c r="C785" t="s">
        <v>153</v>
      </c>
      <c r="D785" t="s">
        <v>8324</v>
      </c>
      <c r="E785" t="s">
        <v>1106</v>
      </c>
      <c r="F785" t="s">
        <v>7628</v>
      </c>
      <c r="H785" s="34">
        <v>842400</v>
      </c>
      <c r="I785" s="53"/>
    </row>
    <row r="786" spans="1:9" x14ac:dyDescent="0.3">
      <c r="A786" t="str">
        <f t="shared" si="12"/>
        <v>20Gloucestershire</v>
      </c>
      <c r="B786">
        <v>20</v>
      </c>
      <c r="C786" t="s">
        <v>153</v>
      </c>
      <c r="D786" t="s">
        <v>8325</v>
      </c>
      <c r="E786" t="s">
        <v>7657</v>
      </c>
      <c r="F786" t="s">
        <v>7632</v>
      </c>
      <c r="H786" s="34">
        <v>72163</v>
      </c>
      <c r="I786" s="53"/>
    </row>
    <row r="787" spans="1:9" x14ac:dyDescent="0.3">
      <c r="A787" t="str">
        <f t="shared" si="12"/>
        <v>21Gloucestershire</v>
      </c>
      <c r="B787">
        <v>21</v>
      </c>
      <c r="C787" t="s">
        <v>153</v>
      </c>
      <c r="D787" t="s">
        <v>8326</v>
      </c>
      <c r="E787" t="s">
        <v>842</v>
      </c>
      <c r="F787" t="s">
        <v>7636</v>
      </c>
      <c r="H787" s="34">
        <v>270000</v>
      </c>
      <c r="I787" s="53"/>
    </row>
    <row r="788" spans="1:9" x14ac:dyDescent="0.3">
      <c r="A788" t="str">
        <f t="shared" si="12"/>
        <v>22Gloucestershire</v>
      </c>
      <c r="B788">
        <v>22</v>
      </c>
      <c r="C788" t="s">
        <v>153</v>
      </c>
      <c r="D788" t="s">
        <v>8327</v>
      </c>
      <c r="E788" t="s">
        <v>7658</v>
      </c>
      <c r="H788" s="34">
        <v>103556</v>
      </c>
      <c r="I788" s="53"/>
    </row>
    <row r="789" spans="1:9" x14ac:dyDescent="0.3">
      <c r="A789" t="str">
        <f t="shared" si="12"/>
        <v>23Gloucestershire</v>
      </c>
      <c r="B789">
        <v>23</v>
      </c>
      <c r="C789" t="s">
        <v>153</v>
      </c>
      <c r="D789" t="s">
        <v>8328</v>
      </c>
      <c r="E789" t="s">
        <v>7658</v>
      </c>
      <c r="H789" s="34">
        <v>60892</v>
      </c>
      <c r="I789" s="53"/>
    </row>
    <row r="790" spans="1:9" x14ac:dyDescent="0.3">
      <c r="A790" t="str">
        <f t="shared" si="12"/>
        <v>24Gloucestershire</v>
      </c>
      <c r="B790">
        <v>24</v>
      </c>
      <c r="C790" t="s">
        <v>153</v>
      </c>
      <c r="D790" t="s">
        <v>8329</v>
      </c>
      <c r="E790" t="s">
        <v>7658</v>
      </c>
      <c r="H790" s="34">
        <v>80000</v>
      </c>
      <c r="I790" s="53"/>
    </row>
    <row r="791" spans="1:9" x14ac:dyDescent="0.3">
      <c r="A791" t="str">
        <f t="shared" si="12"/>
        <v>1Greenwich</v>
      </c>
      <c r="B791">
        <v>1</v>
      </c>
      <c r="C791" t="s">
        <v>155</v>
      </c>
      <c r="D791" t="s">
        <v>8330</v>
      </c>
      <c r="E791" t="s">
        <v>7649</v>
      </c>
      <c r="F791" t="s">
        <v>7638</v>
      </c>
      <c r="H791" s="34">
        <v>167000</v>
      </c>
      <c r="I791" s="53"/>
    </row>
    <row r="792" spans="1:9" x14ac:dyDescent="0.3">
      <c r="A792" t="str">
        <f t="shared" si="12"/>
        <v>2Greenwich</v>
      </c>
      <c r="B792">
        <v>2</v>
      </c>
      <c r="C792" t="s">
        <v>155</v>
      </c>
      <c r="D792" t="s">
        <v>7662</v>
      </c>
      <c r="E792" t="s">
        <v>7662</v>
      </c>
      <c r="F792" t="s">
        <v>7704</v>
      </c>
      <c r="H792" s="34">
        <v>11085</v>
      </c>
      <c r="I792" s="53"/>
    </row>
    <row r="793" spans="1:9" x14ac:dyDescent="0.3">
      <c r="A793" t="str">
        <f t="shared" si="12"/>
        <v>3Greenwich</v>
      </c>
      <c r="B793">
        <v>3</v>
      </c>
      <c r="C793" t="s">
        <v>155</v>
      </c>
      <c r="D793" t="s">
        <v>8331</v>
      </c>
      <c r="E793" t="s">
        <v>7649</v>
      </c>
      <c r="F793" t="s">
        <v>7638</v>
      </c>
      <c r="H793" s="34">
        <v>40000</v>
      </c>
      <c r="I793" s="53"/>
    </row>
    <row r="794" spans="1:9" x14ac:dyDescent="0.3">
      <c r="A794" t="str">
        <f t="shared" si="12"/>
        <v>4Greenwich</v>
      </c>
      <c r="B794">
        <v>4</v>
      </c>
      <c r="C794" t="s">
        <v>155</v>
      </c>
      <c r="D794" t="s">
        <v>8332</v>
      </c>
      <c r="E794" t="s">
        <v>7657</v>
      </c>
      <c r="F794" t="s">
        <v>7640</v>
      </c>
      <c r="H794" s="34">
        <v>50000</v>
      </c>
      <c r="I794" s="53"/>
    </row>
    <row r="795" spans="1:9" x14ac:dyDescent="0.3">
      <c r="A795" t="str">
        <f t="shared" si="12"/>
        <v>5Greenwich</v>
      </c>
      <c r="B795">
        <v>5</v>
      </c>
      <c r="C795" t="s">
        <v>155</v>
      </c>
      <c r="D795" t="s">
        <v>8333</v>
      </c>
      <c r="E795" t="s">
        <v>800</v>
      </c>
      <c r="F795" t="s">
        <v>903</v>
      </c>
      <c r="H795" s="34">
        <v>37000</v>
      </c>
      <c r="I795" s="53"/>
    </row>
    <row r="796" spans="1:9" x14ac:dyDescent="0.3">
      <c r="A796" t="str">
        <f t="shared" si="12"/>
        <v>6Greenwich</v>
      </c>
      <c r="B796">
        <v>6</v>
      </c>
      <c r="C796" t="s">
        <v>155</v>
      </c>
      <c r="D796" t="s">
        <v>8334</v>
      </c>
      <c r="E796" t="s">
        <v>7657</v>
      </c>
      <c r="F796" t="s">
        <v>7644</v>
      </c>
      <c r="H796" s="34">
        <v>90000</v>
      </c>
      <c r="I796" s="53"/>
    </row>
    <row r="797" spans="1:9" x14ac:dyDescent="0.3">
      <c r="A797" t="str">
        <f t="shared" si="12"/>
        <v>7Greenwich</v>
      </c>
      <c r="B797">
        <v>7</v>
      </c>
      <c r="C797" t="s">
        <v>155</v>
      </c>
      <c r="D797" t="s">
        <v>8335</v>
      </c>
      <c r="E797" t="s">
        <v>806</v>
      </c>
      <c r="F797" t="s">
        <v>7642</v>
      </c>
      <c r="H797" s="34">
        <v>100000</v>
      </c>
      <c r="I797" s="53"/>
    </row>
    <row r="798" spans="1:9" x14ac:dyDescent="0.3">
      <c r="A798" t="str">
        <f t="shared" si="12"/>
        <v>8Greenwich</v>
      </c>
      <c r="B798">
        <v>8</v>
      </c>
      <c r="C798" t="s">
        <v>155</v>
      </c>
      <c r="D798" t="s">
        <v>8336</v>
      </c>
      <c r="E798" t="s">
        <v>7657</v>
      </c>
      <c r="F798" t="s">
        <v>7644</v>
      </c>
      <c r="H798" s="34">
        <v>86000</v>
      </c>
      <c r="I798" s="53"/>
    </row>
    <row r="799" spans="1:9" x14ac:dyDescent="0.3">
      <c r="A799" t="str">
        <f t="shared" si="12"/>
        <v>9Greenwich</v>
      </c>
      <c r="B799">
        <v>9</v>
      </c>
      <c r="C799" t="s">
        <v>155</v>
      </c>
      <c r="D799" t="s">
        <v>8337</v>
      </c>
      <c r="E799" t="s">
        <v>842</v>
      </c>
      <c r="F799" t="s">
        <v>7636</v>
      </c>
      <c r="H799" s="34">
        <v>75000</v>
      </c>
      <c r="I799" s="53"/>
    </row>
    <row r="800" spans="1:9" x14ac:dyDescent="0.3">
      <c r="A800" t="str">
        <f t="shared" si="12"/>
        <v>10Greenwich</v>
      </c>
      <c r="B800">
        <v>10</v>
      </c>
      <c r="C800" t="s">
        <v>155</v>
      </c>
      <c r="D800" t="s">
        <v>8338</v>
      </c>
      <c r="E800" t="s">
        <v>806</v>
      </c>
      <c r="F800" t="s">
        <v>812</v>
      </c>
      <c r="H800" s="34">
        <v>50000</v>
      </c>
      <c r="I800" s="53"/>
    </row>
    <row r="801" spans="1:9" x14ac:dyDescent="0.3">
      <c r="A801" t="str">
        <f t="shared" si="12"/>
        <v>11Greenwich</v>
      </c>
      <c r="B801">
        <v>11</v>
      </c>
      <c r="C801" t="s">
        <v>155</v>
      </c>
      <c r="D801" t="s">
        <v>8339</v>
      </c>
      <c r="E801" t="s">
        <v>5266</v>
      </c>
      <c r="F801" t="s">
        <v>7704</v>
      </c>
      <c r="H801" s="34">
        <v>30000</v>
      </c>
      <c r="I801" s="53"/>
    </row>
    <row r="802" spans="1:9" x14ac:dyDescent="0.3">
      <c r="A802" t="str">
        <f t="shared" si="12"/>
        <v>12Greenwich</v>
      </c>
      <c r="B802">
        <v>12</v>
      </c>
      <c r="C802" t="s">
        <v>155</v>
      </c>
      <c r="D802" t="s">
        <v>8340</v>
      </c>
      <c r="E802" t="s">
        <v>5266</v>
      </c>
      <c r="F802" t="s">
        <v>7704</v>
      </c>
      <c r="H802" s="34">
        <v>30000</v>
      </c>
      <c r="I802" s="53"/>
    </row>
    <row r="803" spans="1:9" x14ac:dyDescent="0.3">
      <c r="A803" t="str">
        <f t="shared" si="12"/>
        <v>13Greenwich</v>
      </c>
      <c r="B803">
        <v>13</v>
      </c>
      <c r="C803" t="s">
        <v>155</v>
      </c>
      <c r="D803" t="s">
        <v>8341</v>
      </c>
      <c r="E803" t="s">
        <v>7649</v>
      </c>
      <c r="F803" t="s">
        <v>7638</v>
      </c>
      <c r="H803" s="34">
        <v>21000</v>
      </c>
      <c r="I803" s="53"/>
    </row>
    <row r="804" spans="1:9" x14ac:dyDescent="0.3">
      <c r="A804" t="str">
        <f t="shared" si="12"/>
        <v>14Greenwich</v>
      </c>
      <c r="B804">
        <v>14</v>
      </c>
      <c r="C804" t="s">
        <v>155</v>
      </c>
      <c r="D804" t="s">
        <v>8342</v>
      </c>
      <c r="E804" t="s">
        <v>7657</v>
      </c>
      <c r="F804" t="s">
        <v>7632</v>
      </c>
      <c r="H804" s="34">
        <v>150000</v>
      </c>
      <c r="I804" s="53"/>
    </row>
    <row r="805" spans="1:9" x14ac:dyDescent="0.3">
      <c r="A805" t="str">
        <f t="shared" si="12"/>
        <v>15Greenwich</v>
      </c>
      <c r="B805">
        <v>15</v>
      </c>
      <c r="C805" t="s">
        <v>155</v>
      </c>
      <c r="D805" t="s">
        <v>8343</v>
      </c>
      <c r="E805" t="s">
        <v>1113</v>
      </c>
      <c r="F805" t="s">
        <v>7637</v>
      </c>
      <c r="H805" s="34">
        <v>46000</v>
      </c>
      <c r="I805" s="53"/>
    </row>
    <row r="806" spans="1:9" x14ac:dyDescent="0.3">
      <c r="A806" t="str">
        <f t="shared" si="12"/>
        <v>16Greenwich</v>
      </c>
      <c r="B806">
        <v>16</v>
      </c>
      <c r="C806" t="s">
        <v>155</v>
      </c>
      <c r="D806" t="s">
        <v>8344</v>
      </c>
      <c r="E806" t="s">
        <v>5266</v>
      </c>
      <c r="F806" t="s">
        <v>7631</v>
      </c>
      <c r="H806" s="34">
        <v>230000</v>
      </c>
      <c r="I806" s="53"/>
    </row>
    <row r="807" spans="1:9" x14ac:dyDescent="0.3">
      <c r="A807" t="str">
        <f t="shared" si="12"/>
        <v>17Greenwich</v>
      </c>
      <c r="B807">
        <v>17</v>
      </c>
      <c r="C807" t="s">
        <v>155</v>
      </c>
      <c r="D807" t="s">
        <v>8345</v>
      </c>
      <c r="E807" t="s">
        <v>842</v>
      </c>
      <c r="F807" t="s">
        <v>7704</v>
      </c>
      <c r="H807" s="34">
        <v>33500</v>
      </c>
      <c r="I807" s="53"/>
    </row>
    <row r="808" spans="1:9" x14ac:dyDescent="0.3">
      <c r="A808" t="str">
        <f t="shared" si="12"/>
        <v>18Greenwich</v>
      </c>
      <c r="B808">
        <v>18</v>
      </c>
      <c r="C808" t="s">
        <v>155</v>
      </c>
      <c r="D808" t="s">
        <v>8346</v>
      </c>
      <c r="E808" t="s">
        <v>7657</v>
      </c>
      <c r="F808" t="s">
        <v>7644</v>
      </c>
      <c r="H808" s="34">
        <v>192000</v>
      </c>
      <c r="I808" s="53"/>
    </row>
    <row r="809" spans="1:9" x14ac:dyDescent="0.3">
      <c r="A809" t="str">
        <f t="shared" si="12"/>
        <v>19Greenwich</v>
      </c>
      <c r="B809">
        <v>19</v>
      </c>
      <c r="C809" t="s">
        <v>155</v>
      </c>
      <c r="D809" t="s">
        <v>8347</v>
      </c>
      <c r="E809" t="s">
        <v>842</v>
      </c>
      <c r="F809" t="s">
        <v>812</v>
      </c>
      <c r="H809" s="34">
        <v>182684</v>
      </c>
      <c r="I809" s="53"/>
    </row>
    <row r="810" spans="1:9" x14ac:dyDescent="0.3">
      <c r="A810" t="str">
        <f t="shared" si="12"/>
        <v>20Greenwich</v>
      </c>
      <c r="B810">
        <v>20</v>
      </c>
      <c r="C810" t="s">
        <v>155</v>
      </c>
      <c r="D810" t="s">
        <v>8348</v>
      </c>
      <c r="E810" t="s">
        <v>5266</v>
      </c>
      <c r="F810" t="s">
        <v>7639</v>
      </c>
      <c r="H810" s="34">
        <v>619479</v>
      </c>
      <c r="I810" s="53"/>
    </row>
    <row r="811" spans="1:9" x14ac:dyDescent="0.3">
      <c r="A811" t="str">
        <f t="shared" si="12"/>
        <v>1Hackney</v>
      </c>
      <c r="B811">
        <v>1</v>
      </c>
      <c r="C811" t="s">
        <v>157</v>
      </c>
      <c r="D811" t="s">
        <v>8349</v>
      </c>
      <c r="E811" t="s">
        <v>7662</v>
      </c>
      <c r="H811" s="34">
        <v>20190</v>
      </c>
      <c r="I811" s="53"/>
    </row>
    <row r="812" spans="1:9" x14ac:dyDescent="0.3">
      <c r="A812" t="str">
        <f t="shared" si="12"/>
        <v>2Hackney</v>
      </c>
      <c r="B812">
        <v>2</v>
      </c>
      <c r="C812" t="s">
        <v>157</v>
      </c>
      <c r="D812" t="s">
        <v>8350</v>
      </c>
      <c r="E812" t="s">
        <v>7649</v>
      </c>
      <c r="F812" t="s">
        <v>7638</v>
      </c>
      <c r="H812" s="34">
        <v>38733</v>
      </c>
      <c r="I812" s="53"/>
    </row>
    <row r="813" spans="1:9" x14ac:dyDescent="0.3">
      <c r="A813" t="str">
        <f t="shared" si="12"/>
        <v>3Hackney</v>
      </c>
      <c r="B813">
        <v>3</v>
      </c>
      <c r="C813" t="s">
        <v>157</v>
      </c>
      <c r="D813" t="s">
        <v>8351</v>
      </c>
      <c r="E813" t="s">
        <v>7658</v>
      </c>
      <c r="H813" s="34">
        <v>22825</v>
      </c>
      <c r="I813" s="53"/>
    </row>
    <row r="814" spans="1:9" x14ac:dyDescent="0.3">
      <c r="A814" t="str">
        <f t="shared" si="12"/>
        <v>4Hackney</v>
      </c>
      <c r="B814">
        <v>4</v>
      </c>
      <c r="C814" t="s">
        <v>157</v>
      </c>
      <c r="D814" t="s">
        <v>7894</v>
      </c>
      <c r="E814" t="s">
        <v>7649</v>
      </c>
      <c r="F814" t="s">
        <v>7638</v>
      </c>
      <c r="H814" s="34">
        <v>32501</v>
      </c>
      <c r="I814" s="53"/>
    </row>
    <row r="815" spans="1:9" x14ac:dyDescent="0.3">
      <c r="A815" t="str">
        <f t="shared" si="12"/>
        <v>5Hackney</v>
      </c>
      <c r="B815">
        <v>5</v>
      </c>
      <c r="C815" t="s">
        <v>157</v>
      </c>
      <c r="D815" t="s">
        <v>8352</v>
      </c>
      <c r="E815" t="s">
        <v>842</v>
      </c>
      <c r="F815" t="s">
        <v>1594</v>
      </c>
      <c r="H815" s="34">
        <v>253616</v>
      </c>
      <c r="I815" s="53"/>
    </row>
    <row r="816" spans="1:9" x14ac:dyDescent="0.3">
      <c r="A816" t="str">
        <f t="shared" si="12"/>
        <v>6Hackney</v>
      </c>
      <c r="B816">
        <v>6</v>
      </c>
      <c r="C816" t="s">
        <v>157</v>
      </c>
      <c r="D816" t="s">
        <v>8353</v>
      </c>
      <c r="E816" t="s">
        <v>842</v>
      </c>
      <c r="F816" t="s">
        <v>7636</v>
      </c>
      <c r="H816" s="34">
        <v>346463</v>
      </c>
      <c r="I816" s="53"/>
    </row>
    <row r="817" spans="1:9" x14ac:dyDescent="0.3">
      <c r="A817" t="str">
        <f t="shared" si="12"/>
        <v>7Hackney</v>
      </c>
      <c r="B817">
        <v>7</v>
      </c>
      <c r="C817" t="s">
        <v>157</v>
      </c>
      <c r="D817" t="s">
        <v>8354</v>
      </c>
      <c r="E817" t="s">
        <v>7658</v>
      </c>
      <c r="H817" s="34">
        <v>40000</v>
      </c>
      <c r="I817" s="53"/>
    </row>
    <row r="818" spans="1:9" x14ac:dyDescent="0.3">
      <c r="A818" t="str">
        <f t="shared" si="12"/>
        <v>8Hackney</v>
      </c>
      <c r="B818">
        <v>8</v>
      </c>
      <c r="C818" t="s">
        <v>157</v>
      </c>
      <c r="D818" t="s">
        <v>8355</v>
      </c>
      <c r="E818" t="s">
        <v>7658</v>
      </c>
      <c r="H818" s="34">
        <v>68474</v>
      </c>
      <c r="I818" s="53"/>
    </row>
    <row r="819" spans="1:9" x14ac:dyDescent="0.3">
      <c r="A819" t="str">
        <f t="shared" si="12"/>
        <v>9Hackney</v>
      </c>
      <c r="B819">
        <v>9</v>
      </c>
      <c r="C819" t="s">
        <v>157</v>
      </c>
      <c r="D819" t="s">
        <v>8356</v>
      </c>
      <c r="E819" t="s">
        <v>812</v>
      </c>
      <c r="H819" s="34">
        <v>75000</v>
      </c>
      <c r="I819" s="53"/>
    </row>
    <row r="820" spans="1:9" x14ac:dyDescent="0.3">
      <c r="A820" t="str">
        <f t="shared" si="12"/>
        <v>10Hackney</v>
      </c>
      <c r="B820">
        <v>10</v>
      </c>
      <c r="C820" t="s">
        <v>157</v>
      </c>
      <c r="D820" t="s">
        <v>8357</v>
      </c>
      <c r="E820" t="s">
        <v>7658</v>
      </c>
      <c r="H820" s="34">
        <v>48000</v>
      </c>
      <c r="I820" s="53"/>
    </row>
    <row r="821" spans="1:9" x14ac:dyDescent="0.3">
      <c r="A821" t="str">
        <f t="shared" si="12"/>
        <v>11Hackney</v>
      </c>
      <c r="B821">
        <v>11</v>
      </c>
      <c r="C821" t="s">
        <v>157</v>
      </c>
      <c r="D821" t="s">
        <v>8358</v>
      </c>
      <c r="E821" t="s">
        <v>7658</v>
      </c>
      <c r="H821" s="34">
        <v>89601</v>
      </c>
      <c r="I821" s="53"/>
    </row>
    <row r="822" spans="1:9" x14ac:dyDescent="0.3">
      <c r="A822" t="str">
        <f t="shared" si="12"/>
        <v>12Hackney</v>
      </c>
      <c r="B822">
        <v>12</v>
      </c>
      <c r="C822" t="s">
        <v>157</v>
      </c>
      <c r="D822" t="s">
        <v>8359</v>
      </c>
      <c r="E822" t="s">
        <v>7658</v>
      </c>
      <c r="H822" s="34">
        <v>61005</v>
      </c>
      <c r="I822" s="53"/>
    </row>
    <row r="823" spans="1:9" x14ac:dyDescent="0.3">
      <c r="A823" t="str">
        <f t="shared" si="12"/>
        <v>13Hackney</v>
      </c>
      <c r="B823">
        <v>13</v>
      </c>
      <c r="C823" t="s">
        <v>157</v>
      </c>
      <c r="D823" t="s">
        <v>8360</v>
      </c>
      <c r="E823" t="s">
        <v>1106</v>
      </c>
      <c r="F823" t="s">
        <v>7628</v>
      </c>
      <c r="H823" s="34">
        <v>69152</v>
      </c>
      <c r="I823" s="53"/>
    </row>
    <row r="824" spans="1:9" x14ac:dyDescent="0.3">
      <c r="A824" t="str">
        <f t="shared" si="12"/>
        <v>14Hackney</v>
      </c>
      <c r="B824">
        <v>14</v>
      </c>
      <c r="C824" t="s">
        <v>157</v>
      </c>
      <c r="D824" t="s">
        <v>8361</v>
      </c>
      <c r="E824" t="s">
        <v>1106</v>
      </c>
      <c r="F824" t="s">
        <v>7628</v>
      </c>
      <c r="H824" s="34">
        <v>45590</v>
      </c>
      <c r="I824" s="53"/>
    </row>
    <row r="825" spans="1:9" x14ac:dyDescent="0.3">
      <c r="A825" t="str">
        <f t="shared" si="12"/>
        <v>15Hackney</v>
      </c>
      <c r="B825">
        <v>15</v>
      </c>
      <c r="C825" t="s">
        <v>157</v>
      </c>
      <c r="D825" t="s">
        <v>8362</v>
      </c>
      <c r="E825" t="s">
        <v>1106</v>
      </c>
      <c r="F825" t="s">
        <v>7628</v>
      </c>
      <c r="H825" s="34">
        <v>149336</v>
      </c>
      <c r="I825" s="53"/>
    </row>
    <row r="826" spans="1:9" x14ac:dyDescent="0.3">
      <c r="A826" t="str">
        <f t="shared" si="12"/>
        <v>16Hackney</v>
      </c>
      <c r="B826">
        <v>16</v>
      </c>
      <c r="C826" t="s">
        <v>157</v>
      </c>
      <c r="D826" t="s">
        <v>8363</v>
      </c>
      <c r="E826" t="s">
        <v>812</v>
      </c>
      <c r="H826" s="34">
        <v>96000</v>
      </c>
      <c r="I826" s="53"/>
    </row>
    <row r="827" spans="1:9" x14ac:dyDescent="0.3">
      <c r="A827" t="str">
        <f t="shared" si="12"/>
        <v>17Hackney</v>
      </c>
      <c r="B827">
        <v>17</v>
      </c>
      <c r="C827" t="s">
        <v>157</v>
      </c>
      <c r="D827" t="s">
        <v>1084</v>
      </c>
      <c r="E827" t="s">
        <v>800</v>
      </c>
      <c r="F827" t="s">
        <v>903</v>
      </c>
      <c r="H827" s="34">
        <v>16800</v>
      </c>
      <c r="I827" s="53"/>
    </row>
    <row r="828" spans="1:9" x14ac:dyDescent="0.3">
      <c r="A828" t="str">
        <f t="shared" si="12"/>
        <v>18Hackney</v>
      </c>
      <c r="B828">
        <v>18</v>
      </c>
      <c r="C828" t="s">
        <v>157</v>
      </c>
      <c r="D828" t="s">
        <v>8364</v>
      </c>
      <c r="E828" t="s">
        <v>1113</v>
      </c>
      <c r="F828" t="s">
        <v>7629</v>
      </c>
      <c r="H828" s="34">
        <v>185589</v>
      </c>
      <c r="I828" s="53"/>
    </row>
    <row r="829" spans="1:9" x14ac:dyDescent="0.3">
      <c r="A829" t="str">
        <f t="shared" si="12"/>
        <v>19Hackney</v>
      </c>
      <c r="B829">
        <v>19</v>
      </c>
      <c r="C829" t="s">
        <v>157</v>
      </c>
      <c r="D829" t="s">
        <v>8365</v>
      </c>
      <c r="E829" t="s">
        <v>7649</v>
      </c>
      <c r="F829" t="s">
        <v>7638</v>
      </c>
      <c r="H829" s="34">
        <v>127506</v>
      </c>
      <c r="I829" s="53"/>
    </row>
    <row r="830" spans="1:9" x14ac:dyDescent="0.3">
      <c r="A830" t="str">
        <f t="shared" si="12"/>
        <v>20Hackney</v>
      </c>
      <c r="B830">
        <v>20</v>
      </c>
      <c r="C830" t="s">
        <v>157</v>
      </c>
      <c r="D830" t="s">
        <v>8366</v>
      </c>
      <c r="E830" t="s">
        <v>7658</v>
      </c>
      <c r="H830" s="34">
        <v>54530</v>
      </c>
      <c r="I830" s="53"/>
    </row>
    <row r="831" spans="1:9" x14ac:dyDescent="0.3">
      <c r="A831" t="str">
        <f t="shared" si="12"/>
        <v>21Hackney</v>
      </c>
      <c r="B831">
        <v>21</v>
      </c>
      <c r="C831" t="s">
        <v>157</v>
      </c>
      <c r="D831" t="s">
        <v>8367</v>
      </c>
      <c r="E831" t="s">
        <v>7658</v>
      </c>
      <c r="H831" s="34">
        <v>48000</v>
      </c>
      <c r="I831" s="53"/>
    </row>
    <row r="832" spans="1:9" x14ac:dyDescent="0.3">
      <c r="A832" t="str">
        <f t="shared" si="12"/>
        <v>22Hackney</v>
      </c>
      <c r="B832">
        <v>22</v>
      </c>
      <c r="C832" t="s">
        <v>157</v>
      </c>
      <c r="D832" t="s">
        <v>8368</v>
      </c>
      <c r="E832" t="s">
        <v>1113</v>
      </c>
      <c r="F832" t="s">
        <v>7629</v>
      </c>
      <c r="H832" s="34">
        <v>20000</v>
      </c>
      <c r="I832" s="53"/>
    </row>
    <row r="833" spans="1:9" x14ac:dyDescent="0.3">
      <c r="A833" t="str">
        <f t="shared" si="12"/>
        <v>23Hackney</v>
      </c>
      <c r="B833">
        <v>23</v>
      </c>
      <c r="C833" t="s">
        <v>157</v>
      </c>
      <c r="D833" t="s">
        <v>8369</v>
      </c>
      <c r="E833" t="s">
        <v>842</v>
      </c>
      <c r="F833" t="s">
        <v>7636</v>
      </c>
      <c r="H833" s="34">
        <v>52795</v>
      </c>
      <c r="I833" s="53"/>
    </row>
    <row r="834" spans="1:9" x14ac:dyDescent="0.3">
      <c r="A834" t="str">
        <f t="shared" ref="A834:A897" si="13">B834&amp;C834</f>
        <v>24Hackney</v>
      </c>
      <c r="B834">
        <v>24</v>
      </c>
      <c r="C834" t="s">
        <v>157</v>
      </c>
      <c r="D834" t="s">
        <v>8370</v>
      </c>
      <c r="E834" t="s">
        <v>812</v>
      </c>
      <c r="H834" s="34">
        <v>5000</v>
      </c>
      <c r="I834" s="53"/>
    </row>
    <row r="835" spans="1:9" x14ac:dyDescent="0.3">
      <c r="A835" t="str">
        <f t="shared" si="13"/>
        <v>25Hackney</v>
      </c>
      <c r="B835">
        <v>25</v>
      </c>
      <c r="C835" t="s">
        <v>157</v>
      </c>
      <c r="D835" t="s">
        <v>8371</v>
      </c>
      <c r="E835" t="s">
        <v>812</v>
      </c>
      <c r="H835" s="34">
        <v>8568</v>
      </c>
      <c r="I835" s="53"/>
    </row>
    <row r="836" spans="1:9" x14ac:dyDescent="0.3">
      <c r="A836" t="str">
        <f t="shared" si="13"/>
        <v>1Halton</v>
      </c>
      <c r="B836">
        <v>1</v>
      </c>
      <c r="C836" t="s">
        <v>159</v>
      </c>
      <c r="D836" t="s">
        <v>8372</v>
      </c>
      <c r="E836" t="s">
        <v>7657</v>
      </c>
      <c r="F836" t="s">
        <v>7632</v>
      </c>
      <c r="H836" s="34">
        <v>75000</v>
      </c>
      <c r="I836" s="53"/>
    </row>
    <row r="837" spans="1:9" x14ac:dyDescent="0.3">
      <c r="A837" t="str">
        <f t="shared" si="13"/>
        <v>2Halton</v>
      </c>
      <c r="B837">
        <v>2</v>
      </c>
      <c r="C837" t="s">
        <v>159</v>
      </c>
      <c r="D837" t="s">
        <v>8373</v>
      </c>
      <c r="E837" t="s">
        <v>7657</v>
      </c>
      <c r="F837" t="s">
        <v>7632</v>
      </c>
      <c r="H837" s="34">
        <v>10000</v>
      </c>
      <c r="I837" s="53"/>
    </row>
    <row r="838" spans="1:9" x14ac:dyDescent="0.3">
      <c r="A838" t="str">
        <f t="shared" si="13"/>
        <v>3Halton</v>
      </c>
      <c r="B838">
        <v>3</v>
      </c>
      <c r="C838" t="s">
        <v>159</v>
      </c>
      <c r="D838" t="s">
        <v>8374</v>
      </c>
      <c r="E838" t="s">
        <v>806</v>
      </c>
      <c r="F838" t="s">
        <v>812</v>
      </c>
      <c r="H838" s="34">
        <v>50000</v>
      </c>
      <c r="I838" s="53"/>
    </row>
    <row r="839" spans="1:9" x14ac:dyDescent="0.3">
      <c r="A839" t="str">
        <f t="shared" si="13"/>
        <v>4Halton</v>
      </c>
      <c r="B839">
        <v>4</v>
      </c>
      <c r="C839" t="s">
        <v>159</v>
      </c>
      <c r="D839" t="s">
        <v>7662</v>
      </c>
      <c r="E839" t="s">
        <v>7662</v>
      </c>
      <c r="F839" t="s">
        <v>7704</v>
      </c>
      <c r="H839" s="34">
        <v>16082</v>
      </c>
      <c r="I839" s="53"/>
    </row>
    <row r="840" spans="1:9" x14ac:dyDescent="0.3">
      <c r="A840" t="str">
        <f t="shared" si="13"/>
        <v>5Halton</v>
      </c>
      <c r="B840">
        <v>5</v>
      </c>
      <c r="C840" t="s">
        <v>159</v>
      </c>
      <c r="D840" t="s">
        <v>8375</v>
      </c>
      <c r="E840" t="s">
        <v>7657</v>
      </c>
      <c r="F840" t="s">
        <v>7632</v>
      </c>
      <c r="H840" s="34">
        <v>97625</v>
      </c>
      <c r="I840" s="53"/>
    </row>
    <row r="841" spans="1:9" x14ac:dyDescent="0.3">
      <c r="A841" t="str">
        <f t="shared" si="13"/>
        <v>6Halton</v>
      </c>
      <c r="B841">
        <v>6</v>
      </c>
      <c r="C841" t="s">
        <v>159</v>
      </c>
      <c r="D841" t="s">
        <v>8376</v>
      </c>
      <c r="E841" t="s">
        <v>7649</v>
      </c>
      <c r="F841" t="s">
        <v>7638</v>
      </c>
      <c r="H841" s="34">
        <v>10600</v>
      </c>
      <c r="I841" s="53"/>
    </row>
    <row r="842" spans="1:9" x14ac:dyDescent="0.3">
      <c r="A842" t="str">
        <f t="shared" si="13"/>
        <v>7Halton</v>
      </c>
      <c r="B842">
        <v>7</v>
      </c>
      <c r="C842" t="s">
        <v>159</v>
      </c>
      <c r="D842" t="s">
        <v>8377</v>
      </c>
      <c r="E842" t="s">
        <v>5266</v>
      </c>
      <c r="F842" t="s">
        <v>7646</v>
      </c>
      <c r="H842" s="34">
        <v>41775</v>
      </c>
      <c r="I842" s="53"/>
    </row>
    <row r="843" spans="1:9" x14ac:dyDescent="0.3">
      <c r="A843" t="str">
        <f t="shared" si="13"/>
        <v>8Halton</v>
      </c>
      <c r="B843">
        <v>8</v>
      </c>
      <c r="C843" t="s">
        <v>159</v>
      </c>
      <c r="D843" t="s">
        <v>8378</v>
      </c>
      <c r="E843" t="s">
        <v>800</v>
      </c>
      <c r="F843" t="s">
        <v>2108</v>
      </c>
      <c r="H843" s="34">
        <v>50000</v>
      </c>
      <c r="I843" s="53"/>
    </row>
    <row r="844" spans="1:9" x14ac:dyDescent="0.3">
      <c r="A844" t="str">
        <f t="shared" si="13"/>
        <v>9Halton</v>
      </c>
      <c r="B844">
        <v>9</v>
      </c>
      <c r="C844" t="s">
        <v>159</v>
      </c>
      <c r="D844" t="s">
        <v>8379</v>
      </c>
      <c r="E844" t="s">
        <v>5266</v>
      </c>
      <c r="F844" t="s">
        <v>7639</v>
      </c>
      <c r="H844" s="34">
        <v>50000</v>
      </c>
      <c r="I844" s="53"/>
    </row>
    <row r="845" spans="1:9" x14ac:dyDescent="0.3">
      <c r="A845" t="str">
        <f t="shared" si="13"/>
        <v>10Halton</v>
      </c>
      <c r="B845">
        <v>10</v>
      </c>
      <c r="C845" t="s">
        <v>159</v>
      </c>
      <c r="D845" t="s">
        <v>8380</v>
      </c>
      <c r="E845" t="s">
        <v>800</v>
      </c>
      <c r="F845" t="s">
        <v>903</v>
      </c>
      <c r="H845" s="34">
        <v>20000</v>
      </c>
      <c r="I845" s="53"/>
    </row>
    <row r="846" spans="1:9" x14ac:dyDescent="0.3">
      <c r="A846" t="str">
        <f t="shared" si="13"/>
        <v>11Halton</v>
      </c>
      <c r="B846">
        <v>11</v>
      </c>
      <c r="C846" t="s">
        <v>159</v>
      </c>
      <c r="D846" t="s">
        <v>8381</v>
      </c>
      <c r="E846" t="s">
        <v>806</v>
      </c>
      <c r="F846" t="s">
        <v>7642</v>
      </c>
      <c r="H846" s="34">
        <v>446528</v>
      </c>
      <c r="I846" s="53"/>
    </row>
    <row r="847" spans="1:9" x14ac:dyDescent="0.3">
      <c r="A847" t="str">
        <f t="shared" si="13"/>
        <v>12Halton</v>
      </c>
      <c r="B847">
        <v>12</v>
      </c>
      <c r="C847" t="s">
        <v>159</v>
      </c>
      <c r="D847" t="s">
        <v>8382</v>
      </c>
      <c r="E847" t="s">
        <v>1113</v>
      </c>
      <c r="F847" t="s">
        <v>7637</v>
      </c>
      <c r="H847" s="34">
        <v>92000</v>
      </c>
      <c r="I847" s="53"/>
    </row>
    <row r="848" spans="1:9" x14ac:dyDescent="0.3">
      <c r="A848" t="str">
        <f t="shared" si="13"/>
        <v>13Halton</v>
      </c>
      <c r="B848">
        <v>13</v>
      </c>
      <c r="C848" t="s">
        <v>159</v>
      </c>
      <c r="D848" t="s">
        <v>8383</v>
      </c>
      <c r="E848" t="s">
        <v>842</v>
      </c>
      <c r="F848" t="s">
        <v>7636</v>
      </c>
      <c r="H848" s="34">
        <v>70000</v>
      </c>
      <c r="I848" s="53"/>
    </row>
    <row r="849" spans="1:9" x14ac:dyDescent="0.3">
      <c r="A849" t="str">
        <f t="shared" si="13"/>
        <v>14Halton</v>
      </c>
      <c r="B849">
        <v>14</v>
      </c>
      <c r="C849" t="s">
        <v>159</v>
      </c>
      <c r="D849" t="s">
        <v>434</v>
      </c>
      <c r="E849" t="s">
        <v>1113</v>
      </c>
      <c r="F849" t="s">
        <v>7637</v>
      </c>
      <c r="H849" s="34">
        <v>276000</v>
      </c>
      <c r="I849" s="53"/>
    </row>
    <row r="850" spans="1:9" x14ac:dyDescent="0.3">
      <c r="A850" t="str">
        <f t="shared" si="13"/>
        <v>15Halton</v>
      </c>
      <c r="B850">
        <v>15</v>
      </c>
      <c r="C850" t="s">
        <v>159</v>
      </c>
      <c r="D850" t="s">
        <v>8384</v>
      </c>
      <c r="E850" t="s">
        <v>7657</v>
      </c>
      <c r="F850" t="s">
        <v>7632</v>
      </c>
      <c r="H850" s="34">
        <v>53000</v>
      </c>
      <c r="I850" s="53"/>
    </row>
    <row r="851" spans="1:9" x14ac:dyDescent="0.3">
      <c r="A851" t="str">
        <f t="shared" si="13"/>
        <v>16Halton</v>
      </c>
      <c r="B851">
        <v>16</v>
      </c>
      <c r="C851" t="s">
        <v>159</v>
      </c>
      <c r="D851" t="s">
        <v>8385</v>
      </c>
      <c r="E851" t="s">
        <v>7657</v>
      </c>
      <c r="F851" t="s">
        <v>7632</v>
      </c>
      <c r="H851" s="34">
        <v>20000</v>
      </c>
      <c r="I851" s="53"/>
    </row>
    <row r="852" spans="1:9" x14ac:dyDescent="0.3">
      <c r="A852" t="str">
        <f t="shared" si="13"/>
        <v>17Halton</v>
      </c>
      <c r="B852">
        <v>17</v>
      </c>
      <c r="C852" t="s">
        <v>159</v>
      </c>
      <c r="D852" t="s">
        <v>8386</v>
      </c>
      <c r="E852" t="s">
        <v>842</v>
      </c>
      <c r="F852" t="s">
        <v>812</v>
      </c>
      <c r="H852" s="34">
        <v>19000</v>
      </c>
      <c r="I852" s="53"/>
    </row>
    <row r="853" spans="1:9" x14ac:dyDescent="0.3">
      <c r="A853" t="str">
        <f t="shared" si="13"/>
        <v>18Halton</v>
      </c>
      <c r="B853">
        <v>18</v>
      </c>
      <c r="C853" t="s">
        <v>159</v>
      </c>
      <c r="D853" t="s">
        <v>8387</v>
      </c>
      <c r="E853" t="s">
        <v>812</v>
      </c>
      <c r="F853" t="s">
        <v>7704</v>
      </c>
      <c r="H853" s="34">
        <v>220000</v>
      </c>
      <c r="I853" s="53"/>
    </row>
    <row r="854" spans="1:9" x14ac:dyDescent="0.3">
      <c r="A854" t="str">
        <f t="shared" si="13"/>
        <v>19Halton</v>
      </c>
      <c r="B854">
        <v>19</v>
      </c>
      <c r="C854" t="s">
        <v>159</v>
      </c>
      <c r="D854" t="s">
        <v>2335</v>
      </c>
      <c r="E854" t="s">
        <v>812</v>
      </c>
      <c r="F854" t="s">
        <v>7704</v>
      </c>
      <c r="H854" s="34">
        <v>10000</v>
      </c>
      <c r="I854" s="53"/>
    </row>
    <row r="855" spans="1:9" x14ac:dyDescent="0.3">
      <c r="A855" t="str">
        <f t="shared" si="13"/>
        <v>1Hammersmith and Fulham</v>
      </c>
      <c r="B855">
        <v>1</v>
      </c>
      <c r="C855" t="s">
        <v>161</v>
      </c>
      <c r="D855" t="s">
        <v>8388</v>
      </c>
      <c r="E855" t="s">
        <v>800</v>
      </c>
      <c r="F855" t="s">
        <v>903</v>
      </c>
      <c r="H855" s="34">
        <v>100000</v>
      </c>
      <c r="I855" s="53"/>
    </row>
    <row r="856" spans="1:9" x14ac:dyDescent="0.3">
      <c r="A856" t="str">
        <f t="shared" si="13"/>
        <v>2Hammersmith and Fulham</v>
      </c>
      <c r="B856">
        <v>2</v>
      </c>
      <c r="C856" t="s">
        <v>161</v>
      </c>
      <c r="D856" t="s">
        <v>8389</v>
      </c>
      <c r="E856" t="s">
        <v>842</v>
      </c>
      <c r="F856" t="s">
        <v>7636</v>
      </c>
      <c r="H856" s="34">
        <v>1094066</v>
      </c>
      <c r="I856" s="53"/>
    </row>
    <row r="857" spans="1:9" x14ac:dyDescent="0.3">
      <c r="A857" t="str">
        <f t="shared" si="13"/>
        <v>3Hammersmith and Fulham</v>
      </c>
      <c r="B857">
        <v>3</v>
      </c>
      <c r="C857" t="s">
        <v>161</v>
      </c>
      <c r="D857" t="s">
        <v>8390</v>
      </c>
      <c r="E857" t="s">
        <v>806</v>
      </c>
      <c r="F857" t="s">
        <v>7628</v>
      </c>
      <c r="H857" s="34">
        <v>378832</v>
      </c>
      <c r="I857" s="53"/>
    </row>
    <row r="858" spans="1:9" x14ac:dyDescent="0.3">
      <c r="A858" t="str">
        <f t="shared" si="13"/>
        <v>4Hammersmith and Fulham</v>
      </c>
      <c r="B858">
        <v>4</v>
      </c>
      <c r="C858" t="s">
        <v>161</v>
      </c>
      <c r="D858" t="s">
        <v>8391</v>
      </c>
      <c r="E858" t="s">
        <v>7662</v>
      </c>
      <c r="H858" s="34">
        <v>7654</v>
      </c>
      <c r="I858" s="53"/>
    </row>
    <row r="859" spans="1:9" x14ac:dyDescent="0.3">
      <c r="A859" t="str">
        <f t="shared" si="13"/>
        <v>5Hammersmith and Fulham</v>
      </c>
      <c r="B859">
        <v>5</v>
      </c>
      <c r="C859" t="s">
        <v>161</v>
      </c>
      <c r="D859" t="s">
        <v>8392</v>
      </c>
      <c r="E859" t="s">
        <v>7657</v>
      </c>
      <c r="F859" t="s">
        <v>7632</v>
      </c>
      <c r="H859" s="34">
        <v>99000</v>
      </c>
      <c r="I859" s="53"/>
    </row>
    <row r="860" spans="1:9" x14ac:dyDescent="0.3">
      <c r="A860" t="str">
        <f t="shared" si="13"/>
        <v>6Hammersmith and Fulham</v>
      </c>
      <c r="B860">
        <v>6</v>
      </c>
      <c r="C860" t="s">
        <v>161</v>
      </c>
      <c r="D860" t="s">
        <v>8393</v>
      </c>
      <c r="E860" t="s">
        <v>7657</v>
      </c>
      <c r="F860" t="s">
        <v>7632</v>
      </c>
      <c r="H860" s="34">
        <v>75766</v>
      </c>
      <c r="I860" s="53"/>
    </row>
    <row r="861" spans="1:9" x14ac:dyDescent="0.3">
      <c r="A861" t="str">
        <f t="shared" si="13"/>
        <v>7Hammersmith and Fulham</v>
      </c>
      <c r="B861">
        <v>7</v>
      </c>
      <c r="C861" t="s">
        <v>161</v>
      </c>
      <c r="D861" t="s">
        <v>8394</v>
      </c>
      <c r="E861" t="s">
        <v>8394</v>
      </c>
      <c r="H861" s="34">
        <v>10000</v>
      </c>
      <c r="I861" s="53"/>
    </row>
    <row r="862" spans="1:9" x14ac:dyDescent="0.3">
      <c r="A862" t="str">
        <f t="shared" si="13"/>
        <v>1Hampshire</v>
      </c>
      <c r="B862">
        <v>1</v>
      </c>
      <c r="C862" t="s">
        <v>163</v>
      </c>
      <c r="D862" t="s">
        <v>8395</v>
      </c>
      <c r="E862" t="s">
        <v>1106</v>
      </c>
      <c r="F862" t="s">
        <v>7628</v>
      </c>
      <c r="H862" s="34">
        <v>250000</v>
      </c>
      <c r="I862" s="53"/>
    </row>
    <row r="863" spans="1:9" x14ac:dyDescent="0.3">
      <c r="A863" t="str">
        <f t="shared" si="13"/>
        <v>2Hampshire</v>
      </c>
      <c r="B863">
        <v>2</v>
      </c>
      <c r="C863" t="s">
        <v>163</v>
      </c>
      <c r="D863" t="s">
        <v>8214</v>
      </c>
      <c r="E863" t="s">
        <v>1106</v>
      </c>
      <c r="F863" t="s">
        <v>7628</v>
      </c>
      <c r="H863" s="34">
        <v>5122081</v>
      </c>
      <c r="I863" s="53"/>
    </row>
    <row r="864" spans="1:9" x14ac:dyDescent="0.3">
      <c r="A864" t="str">
        <f t="shared" si="13"/>
        <v>3Hampshire</v>
      </c>
      <c r="B864">
        <v>3</v>
      </c>
      <c r="C864" t="s">
        <v>163</v>
      </c>
      <c r="D864" t="s">
        <v>8214</v>
      </c>
      <c r="E864" t="s">
        <v>1113</v>
      </c>
      <c r="F864" t="s">
        <v>7628</v>
      </c>
      <c r="H864" s="34">
        <v>2540000</v>
      </c>
      <c r="I864" s="53"/>
    </row>
    <row r="865" spans="1:9" x14ac:dyDescent="0.3">
      <c r="A865" t="str">
        <f t="shared" si="13"/>
        <v>4Hampshire</v>
      </c>
      <c r="B865">
        <v>4</v>
      </c>
      <c r="C865" t="s">
        <v>163</v>
      </c>
      <c r="D865" t="s">
        <v>8396</v>
      </c>
      <c r="E865" t="s">
        <v>1113</v>
      </c>
      <c r="F865" t="s">
        <v>7629</v>
      </c>
      <c r="H865" s="34">
        <v>3028473</v>
      </c>
      <c r="I865" s="53"/>
    </row>
    <row r="866" spans="1:9" x14ac:dyDescent="0.3">
      <c r="A866" t="str">
        <f t="shared" si="13"/>
        <v>5Hampshire</v>
      </c>
      <c r="B866">
        <v>5</v>
      </c>
      <c r="C866" t="s">
        <v>163</v>
      </c>
      <c r="D866" t="s">
        <v>8397</v>
      </c>
      <c r="E866" t="s">
        <v>812</v>
      </c>
      <c r="F866" t="s">
        <v>7704</v>
      </c>
      <c r="H866" s="34">
        <v>300000</v>
      </c>
      <c r="I866" s="53"/>
    </row>
    <row r="867" spans="1:9" x14ac:dyDescent="0.3">
      <c r="A867" t="str">
        <f t="shared" si="13"/>
        <v>6Hampshire</v>
      </c>
      <c r="B867">
        <v>6</v>
      </c>
      <c r="C867" t="s">
        <v>163</v>
      </c>
      <c r="D867" t="s">
        <v>8398</v>
      </c>
      <c r="E867" t="s">
        <v>1113</v>
      </c>
      <c r="F867" t="s">
        <v>7629</v>
      </c>
      <c r="H867" s="34">
        <v>330000</v>
      </c>
      <c r="I867" s="53"/>
    </row>
    <row r="868" spans="1:9" x14ac:dyDescent="0.3">
      <c r="A868" t="str">
        <f t="shared" si="13"/>
        <v>7Hampshire</v>
      </c>
      <c r="B868">
        <v>7</v>
      </c>
      <c r="C868" t="s">
        <v>163</v>
      </c>
      <c r="D868" t="s">
        <v>8399</v>
      </c>
      <c r="E868" t="s">
        <v>1106</v>
      </c>
      <c r="F868" t="s">
        <v>7628</v>
      </c>
      <c r="H868" s="34">
        <v>500000</v>
      </c>
      <c r="I868" s="53"/>
    </row>
    <row r="869" spans="1:9" x14ac:dyDescent="0.3">
      <c r="A869" t="str">
        <f t="shared" si="13"/>
        <v>1Haringey</v>
      </c>
      <c r="B869">
        <v>1</v>
      </c>
      <c r="C869" t="s">
        <v>165</v>
      </c>
      <c r="D869" t="s">
        <v>8400</v>
      </c>
      <c r="E869" t="s">
        <v>1106</v>
      </c>
      <c r="F869" t="s">
        <v>7628</v>
      </c>
      <c r="H869" s="34">
        <v>100000</v>
      </c>
      <c r="I869" s="53"/>
    </row>
    <row r="870" spans="1:9" x14ac:dyDescent="0.3">
      <c r="A870" t="str">
        <f t="shared" si="13"/>
        <v>2Haringey</v>
      </c>
      <c r="B870">
        <v>2</v>
      </c>
      <c r="C870" t="s">
        <v>165</v>
      </c>
      <c r="D870" t="s">
        <v>8401</v>
      </c>
      <c r="E870" t="s">
        <v>7662</v>
      </c>
      <c r="H870" s="34">
        <v>18111</v>
      </c>
      <c r="I870" s="53"/>
    </row>
    <row r="871" spans="1:9" x14ac:dyDescent="0.3">
      <c r="A871" t="str">
        <f t="shared" si="13"/>
        <v>3Haringey</v>
      </c>
      <c r="B871">
        <v>3</v>
      </c>
      <c r="C871" t="s">
        <v>165</v>
      </c>
      <c r="D871" t="s">
        <v>8402</v>
      </c>
      <c r="E871" t="s">
        <v>1113</v>
      </c>
      <c r="F871" t="s">
        <v>7629</v>
      </c>
      <c r="H871" s="34">
        <v>1737648</v>
      </c>
      <c r="I871" s="53"/>
    </row>
    <row r="872" spans="1:9" x14ac:dyDescent="0.3">
      <c r="A872" t="str">
        <f t="shared" si="13"/>
        <v>4Haringey</v>
      </c>
      <c r="B872">
        <v>4</v>
      </c>
      <c r="C872" t="s">
        <v>165</v>
      </c>
      <c r="D872" t="s">
        <v>8403</v>
      </c>
      <c r="E872" t="s">
        <v>1106</v>
      </c>
      <c r="F872" t="s">
        <v>7628</v>
      </c>
      <c r="H872" s="34">
        <v>138183</v>
      </c>
      <c r="I872" s="53"/>
    </row>
    <row r="873" spans="1:9" x14ac:dyDescent="0.3">
      <c r="A873" t="str">
        <f t="shared" si="13"/>
        <v>5Haringey</v>
      </c>
      <c r="B873">
        <v>5</v>
      </c>
      <c r="C873" t="s">
        <v>165</v>
      </c>
      <c r="D873" t="s">
        <v>8404</v>
      </c>
      <c r="E873" t="s">
        <v>806</v>
      </c>
      <c r="F873" t="s">
        <v>7642</v>
      </c>
      <c r="H873" s="34">
        <v>37290</v>
      </c>
      <c r="I873" s="53"/>
    </row>
    <row r="874" spans="1:9" x14ac:dyDescent="0.3">
      <c r="A874" t="str">
        <f t="shared" si="13"/>
        <v>6Haringey</v>
      </c>
      <c r="B874">
        <v>6</v>
      </c>
      <c r="C874" t="s">
        <v>165</v>
      </c>
      <c r="D874" t="s">
        <v>8405</v>
      </c>
      <c r="E874" t="s">
        <v>806</v>
      </c>
      <c r="F874" t="s">
        <v>7642</v>
      </c>
      <c r="H874" s="34">
        <v>182000</v>
      </c>
      <c r="I874" s="53"/>
    </row>
    <row r="875" spans="1:9" x14ac:dyDescent="0.3">
      <c r="A875" t="str">
        <f t="shared" si="13"/>
        <v>1Harrow</v>
      </c>
      <c r="B875">
        <v>1</v>
      </c>
      <c r="C875" t="s">
        <v>167</v>
      </c>
      <c r="D875" t="s">
        <v>7662</v>
      </c>
      <c r="E875" t="s">
        <v>7662</v>
      </c>
      <c r="F875" t="s">
        <v>7704</v>
      </c>
      <c r="H875" s="34">
        <v>8080</v>
      </c>
      <c r="I875" s="53"/>
    </row>
    <row r="876" spans="1:9" x14ac:dyDescent="0.3">
      <c r="A876" t="str">
        <f t="shared" si="13"/>
        <v>2Harrow</v>
      </c>
      <c r="B876">
        <v>2</v>
      </c>
      <c r="C876" t="s">
        <v>167</v>
      </c>
      <c r="D876" t="s">
        <v>8406</v>
      </c>
      <c r="E876" t="s">
        <v>1106</v>
      </c>
      <c r="F876" t="s">
        <v>7628</v>
      </c>
      <c r="H876" s="34">
        <v>181150</v>
      </c>
      <c r="I876" s="53"/>
    </row>
    <row r="877" spans="1:9" x14ac:dyDescent="0.3">
      <c r="A877" t="str">
        <f t="shared" si="13"/>
        <v>3Harrow</v>
      </c>
      <c r="B877">
        <v>3</v>
      </c>
      <c r="C877" t="s">
        <v>167</v>
      </c>
      <c r="D877" t="s">
        <v>1750</v>
      </c>
      <c r="E877" t="s">
        <v>842</v>
      </c>
      <c r="F877" t="s">
        <v>7636</v>
      </c>
      <c r="H877" s="34">
        <v>642110</v>
      </c>
      <c r="I877" s="53"/>
    </row>
    <row r="878" spans="1:9" x14ac:dyDescent="0.3">
      <c r="A878" t="str">
        <f t="shared" si="13"/>
        <v>4Harrow</v>
      </c>
      <c r="B878">
        <v>4</v>
      </c>
      <c r="C878" t="s">
        <v>167</v>
      </c>
      <c r="D878" t="s">
        <v>8407</v>
      </c>
      <c r="E878" t="s">
        <v>842</v>
      </c>
      <c r="F878" t="s">
        <v>7636</v>
      </c>
      <c r="H878" s="34">
        <v>70000</v>
      </c>
      <c r="I878" s="53"/>
    </row>
    <row r="879" spans="1:9" x14ac:dyDescent="0.3">
      <c r="A879" t="str">
        <f t="shared" si="13"/>
        <v>5Harrow</v>
      </c>
      <c r="B879">
        <v>5</v>
      </c>
      <c r="C879" t="s">
        <v>167</v>
      </c>
      <c r="D879" t="s">
        <v>1034</v>
      </c>
      <c r="E879" t="s">
        <v>800</v>
      </c>
      <c r="F879" t="s">
        <v>903</v>
      </c>
      <c r="H879" s="34">
        <v>85000</v>
      </c>
      <c r="I879" s="53"/>
    </row>
    <row r="880" spans="1:9" x14ac:dyDescent="0.3">
      <c r="A880" t="str">
        <f t="shared" si="13"/>
        <v>6Harrow</v>
      </c>
      <c r="B880">
        <v>6</v>
      </c>
      <c r="C880" t="s">
        <v>167</v>
      </c>
      <c r="D880" t="s">
        <v>8408</v>
      </c>
      <c r="E880" t="s">
        <v>1113</v>
      </c>
      <c r="F880" t="s">
        <v>7637</v>
      </c>
      <c r="H880" s="34">
        <v>228850</v>
      </c>
      <c r="I880" s="53"/>
    </row>
    <row r="881" spans="1:9" x14ac:dyDescent="0.3">
      <c r="A881" t="str">
        <f t="shared" si="13"/>
        <v>7Harrow</v>
      </c>
      <c r="B881">
        <v>7</v>
      </c>
      <c r="C881" t="s">
        <v>167</v>
      </c>
      <c r="D881" t="s">
        <v>8409</v>
      </c>
      <c r="E881" t="s">
        <v>842</v>
      </c>
      <c r="F881" t="s">
        <v>7636</v>
      </c>
      <c r="H881" s="34">
        <v>223963</v>
      </c>
      <c r="I881" s="53"/>
    </row>
    <row r="882" spans="1:9" x14ac:dyDescent="0.3">
      <c r="A882" t="str">
        <f t="shared" si="13"/>
        <v>8Harrow</v>
      </c>
      <c r="B882">
        <v>8</v>
      </c>
      <c r="C882" t="s">
        <v>167</v>
      </c>
      <c r="D882" t="s">
        <v>8410</v>
      </c>
      <c r="E882" t="s">
        <v>7657</v>
      </c>
      <c r="F882" t="s">
        <v>7632</v>
      </c>
      <c r="H882" s="34">
        <v>39000</v>
      </c>
      <c r="I882" s="53"/>
    </row>
    <row r="883" spans="1:9" x14ac:dyDescent="0.3">
      <c r="A883" t="str">
        <f t="shared" si="13"/>
        <v>9Harrow</v>
      </c>
      <c r="B883">
        <v>9</v>
      </c>
      <c r="C883" t="s">
        <v>167</v>
      </c>
      <c r="D883" t="s">
        <v>4562</v>
      </c>
      <c r="E883" t="s">
        <v>7657</v>
      </c>
      <c r="F883" t="s">
        <v>7632</v>
      </c>
      <c r="H883" s="34">
        <v>73000</v>
      </c>
      <c r="I883" s="53"/>
    </row>
    <row r="884" spans="1:9" x14ac:dyDescent="0.3">
      <c r="A884" t="str">
        <f t="shared" si="13"/>
        <v>10Harrow</v>
      </c>
      <c r="B884">
        <v>10</v>
      </c>
      <c r="C884" t="s">
        <v>167</v>
      </c>
      <c r="D884" t="s">
        <v>8411</v>
      </c>
      <c r="E884" t="s">
        <v>1106</v>
      </c>
      <c r="F884" t="s">
        <v>7628</v>
      </c>
      <c r="H884" s="34">
        <v>127000</v>
      </c>
      <c r="I884" s="53"/>
    </row>
    <row r="885" spans="1:9" x14ac:dyDescent="0.3">
      <c r="A885" t="str">
        <f t="shared" si="13"/>
        <v>11Harrow</v>
      </c>
      <c r="B885">
        <v>11</v>
      </c>
      <c r="C885" t="s">
        <v>167</v>
      </c>
      <c r="D885" t="s">
        <v>8412</v>
      </c>
      <c r="E885" t="s">
        <v>7657</v>
      </c>
      <c r="F885" t="s">
        <v>7632</v>
      </c>
      <c r="H885" s="34">
        <v>246000</v>
      </c>
      <c r="I885" s="53"/>
    </row>
    <row r="886" spans="1:9" x14ac:dyDescent="0.3">
      <c r="A886" t="str">
        <f t="shared" si="13"/>
        <v>1Hartlepool</v>
      </c>
      <c r="B886">
        <v>1</v>
      </c>
      <c r="C886" t="s">
        <v>169</v>
      </c>
      <c r="D886" t="s">
        <v>8413</v>
      </c>
      <c r="E886" t="s">
        <v>1106</v>
      </c>
      <c r="F886" t="s">
        <v>7628</v>
      </c>
      <c r="H886" s="34">
        <v>409535</v>
      </c>
      <c r="I886" s="53"/>
    </row>
    <row r="887" spans="1:9" x14ac:dyDescent="0.3">
      <c r="A887" t="str">
        <f t="shared" si="13"/>
        <v>2Hartlepool</v>
      </c>
      <c r="B887">
        <v>2</v>
      </c>
      <c r="C887" t="s">
        <v>169</v>
      </c>
      <c r="D887" t="s">
        <v>8075</v>
      </c>
      <c r="E887" t="s">
        <v>7649</v>
      </c>
      <c r="F887" t="s">
        <v>7638</v>
      </c>
      <c r="H887" s="34">
        <v>56700</v>
      </c>
      <c r="I887" s="53"/>
    </row>
    <row r="888" spans="1:9" x14ac:dyDescent="0.3">
      <c r="A888" t="str">
        <f t="shared" si="13"/>
        <v>3Hartlepool</v>
      </c>
      <c r="B888">
        <v>3</v>
      </c>
      <c r="C888" t="s">
        <v>169</v>
      </c>
      <c r="D888" t="s">
        <v>8076</v>
      </c>
      <c r="E888" t="s">
        <v>5266</v>
      </c>
      <c r="F888" t="s">
        <v>7643</v>
      </c>
      <c r="H888" s="34">
        <v>25000</v>
      </c>
      <c r="I888" s="53"/>
    </row>
    <row r="889" spans="1:9" x14ac:dyDescent="0.3">
      <c r="A889" t="str">
        <f t="shared" si="13"/>
        <v>4Hartlepool</v>
      </c>
      <c r="B889">
        <v>4</v>
      </c>
      <c r="C889" t="s">
        <v>169</v>
      </c>
      <c r="D889" t="s">
        <v>8414</v>
      </c>
      <c r="E889" t="s">
        <v>812</v>
      </c>
      <c r="H889" s="34">
        <v>5400</v>
      </c>
      <c r="I889" s="53"/>
    </row>
    <row r="890" spans="1:9" x14ac:dyDescent="0.3">
      <c r="A890" t="str">
        <f t="shared" si="13"/>
        <v>5Hartlepool</v>
      </c>
      <c r="B890">
        <v>5</v>
      </c>
      <c r="C890" t="s">
        <v>169</v>
      </c>
      <c r="D890" t="s">
        <v>8415</v>
      </c>
      <c r="E890" t="s">
        <v>7649</v>
      </c>
      <c r="F890" t="s">
        <v>7638</v>
      </c>
      <c r="H890" s="34">
        <v>6345</v>
      </c>
      <c r="I890" s="53"/>
    </row>
    <row r="891" spans="1:9" x14ac:dyDescent="0.3">
      <c r="A891" t="str">
        <f t="shared" si="13"/>
        <v>6Hartlepool</v>
      </c>
      <c r="B891">
        <v>6</v>
      </c>
      <c r="C891" t="s">
        <v>169</v>
      </c>
      <c r="D891" t="s">
        <v>8416</v>
      </c>
      <c r="E891" t="s">
        <v>812</v>
      </c>
      <c r="H891" s="34">
        <v>6500</v>
      </c>
      <c r="I891" s="53"/>
    </row>
    <row r="892" spans="1:9" x14ac:dyDescent="0.3">
      <c r="A892" t="str">
        <f t="shared" si="13"/>
        <v>7Hartlepool</v>
      </c>
      <c r="B892">
        <v>7</v>
      </c>
      <c r="C892" t="s">
        <v>169</v>
      </c>
      <c r="D892" t="s">
        <v>8417</v>
      </c>
      <c r="E892" t="s">
        <v>1113</v>
      </c>
      <c r="F892" t="s">
        <v>7629</v>
      </c>
      <c r="H892" s="34">
        <v>63000</v>
      </c>
      <c r="I892" s="53"/>
    </row>
    <row r="893" spans="1:9" x14ac:dyDescent="0.3">
      <c r="A893" t="str">
        <f t="shared" si="13"/>
        <v>8Hartlepool</v>
      </c>
      <c r="B893">
        <v>8</v>
      </c>
      <c r="C893" t="s">
        <v>169</v>
      </c>
      <c r="D893" t="s">
        <v>8418</v>
      </c>
      <c r="E893" t="s">
        <v>5266</v>
      </c>
      <c r="F893" t="s">
        <v>7631</v>
      </c>
      <c r="H893" s="34">
        <v>250000</v>
      </c>
      <c r="I893" s="53"/>
    </row>
    <row r="894" spans="1:9" x14ac:dyDescent="0.3">
      <c r="A894" t="str">
        <f t="shared" si="13"/>
        <v>9Hartlepool</v>
      </c>
      <c r="B894">
        <v>9</v>
      </c>
      <c r="C894" t="s">
        <v>169</v>
      </c>
      <c r="D894" t="s">
        <v>8419</v>
      </c>
      <c r="E894" t="s">
        <v>7649</v>
      </c>
      <c r="F894" t="s">
        <v>7638</v>
      </c>
      <c r="H894" s="34">
        <v>13752</v>
      </c>
      <c r="I894" s="53"/>
    </row>
    <row r="895" spans="1:9" x14ac:dyDescent="0.3">
      <c r="A895" t="str">
        <f t="shared" si="13"/>
        <v>10Hartlepool</v>
      </c>
      <c r="B895">
        <v>10</v>
      </c>
      <c r="C895" t="s">
        <v>169</v>
      </c>
      <c r="D895" t="s">
        <v>8420</v>
      </c>
      <c r="E895" t="s">
        <v>1106</v>
      </c>
      <c r="F895" t="s">
        <v>7628</v>
      </c>
      <c r="H895" s="34">
        <v>20000</v>
      </c>
      <c r="I895" s="53"/>
    </row>
    <row r="896" spans="1:9" x14ac:dyDescent="0.3">
      <c r="A896" t="str">
        <f t="shared" si="13"/>
        <v>1Havering</v>
      </c>
      <c r="B896">
        <v>1</v>
      </c>
      <c r="C896" t="s">
        <v>171</v>
      </c>
      <c r="D896" t="s">
        <v>3264</v>
      </c>
      <c r="E896" t="s">
        <v>800</v>
      </c>
      <c r="F896" t="s">
        <v>903</v>
      </c>
      <c r="H896" s="34">
        <v>9624</v>
      </c>
      <c r="I896" s="53"/>
    </row>
    <row r="897" spans="1:9" x14ac:dyDescent="0.3">
      <c r="A897" t="str">
        <f t="shared" si="13"/>
        <v>2Havering</v>
      </c>
      <c r="B897">
        <v>2</v>
      </c>
      <c r="C897" t="s">
        <v>171</v>
      </c>
      <c r="D897" t="s">
        <v>3264</v>
      </c>
      <c r="E897" t="s">
        <v>800</v>
      </c>
      <c r="F897" t="s">
        <v>2108</v>
      </c>
      <c r="H897" s="34">
        <v>52376</v>
      </c>
      <c r="I897" s="53"/>
    </row>
    <row r="898" spans="1:9" x14ac:dyDescent="0.3">
      <c r="A898" t="str">
        <f t="shared" ref="A898:A961" si="14">B898&amp;C898</f>
        <v>3Havering</v>
      </c>
      <c r="B898">
        <v>3</v>
      </c>
      <c r="C898" t="s">
        <v>171</v>
      </c>
      <c r="D898" t="s">
        <v>3261</v>
      </c>
      <c r="E898" t="s">
        <v>800</v>
      </c>
      <c r="F898" t="s">
        <v>903</v>
      </c>
      <c r="H898" s="34">
        <v>68000</v>
      </c>
      <c r="I898" s="53"/>
    </row>
    <row r="899" spans="1:9" x14ac:dyDescent="0.3">
      <c r="A899" t="str">
        <f t="shared" si="14"/>
        <v>4Havering</v>
      </c>
      <c r="B899">
        <v>4</v>
      </c>
      <c r="C899" t="s">
        <v>171</v>
      </c>
      <c r="D899" t="s">
        <v>3249</v>
      </c>
      <c r="E899" t="s">
        <v>842</v>
      </c>
      <c r="F899" t="s">
        <v>7636</v>
      </c>
      <c r="H899" s="34">
        <v>22089.67</v>
      </c>
      <c r="I899" s="53"/>
    </row>
    <row r="900" spans="1:9" x14ac:dyDescent="0.3">
      <c r="A900" t="str">
        <f t="shared" si="14"/>
        <v>5Havering</v>
      </c>
      <c r="B900">
        <v>5</v>
      </c>
      <c r="C900" t="s">
        <v>171</v>
      </c>
      <c r="D900" t="s">
        <v>8421</v>
      </c>
      <c r="E900" t="s">
        <v>7658</v>
      </c>
      <c r="H900" s="34">
        <v>151488</v>
      </c>
      <c r="I900" s="53"/>
    </row>
    <row r="901" spans="1:9" x14ac:dyDescent="0.3">
      <c r="A901" t="str">
        <f t="shared" si="14"/>
        <v>6Havering</v>
      </c>
      <c r="B901">
        <v>6</v>
      </c>
      <c r="C901" t="s">
        <v>171</v>
      </c>
      <c r="D901" t="s">
        <v>3252</v>
      </c>
      <c r="E901" t="s">
        <v>842</v>
      </c>
      <c r="F901" t="s">
        <v>7636</v>
      </c>
      <c r="H901" s="34">
        <v>8692.19</v>
      </c>
      <c r="I901" s="53"/>
    </row>
    <row r="902" spans="1:9" x14ac:dyDescent="0.3">
      <c r="A902" t="str">
        <f t="shared" si="14"/>
        <v>7Havering</v>
      </c>
      <c r="B902">
        <v>7</v>
      </c>
      <c r="C902" t="s">
        <v>171</v>
      </c>
      <c r="D902" t="s">
        <v>8422</v>
      </c>
      <c r="E902" t="s">
        <v>7657</v>
      </c>
      <c r="F902" t="s">
        <v>7632</v>
      </c>
      <c r="H902" s="34">
        <v>72480</v>
      </c>
      <c r="I902" s="53"/>
    </row>
    <row r="903" spans="1:9" x14ac:dyDescent="0.3">
      <c r="A903" t="str">
        <f t="shared" si="14"/>
        <v>8Havering</v>
      </c>
      <c r="B903">
        <v>8</v>
      </c>
      <c r="C903" t="s">
        <v>171</v>
      </c>
      <c r="D903" t="s">
        <v>8423</v>
      </c>
      <c r="E903" t="s">
        <v>1106</v>
      </c>
      <c r="F903" t="s">
        <v>7628</v>
      </c>
      <c r="H903" s="34">
        <v>45000</v>
      </c>
      <c r="I903" s="53"/>
    </row>
    <row r="904" spans="1:9" x14ac:dyDescent="0.3">
      <c r="A904" t="str">
        <f t="shared" si="14"/>
        <v>9Havering</v>
      </c>
      <c r="B904">
        <v>9</v>
      </c>
      <c r="C904" t="s">
        <v>171</v>
      </c>
      <c r="D904" t="s">
        <v>6710</v>
      </c>
      <c r="E904" t="s">
        <v>7662</v>
      </c>
      <c r="H904" s="34">
        <v>23732.55</v>
      </c>
      <c r="I904" s="53"/>
    </row>
    <row r="905" spans="1:9" x14ac:dyDescent="0.3">
      <c r="A905" t="str">
        <f t="shared" si="14"/>
        <v>10Havering</v>
      </c>
      <c r="B905">
        <v>10</v>
      </c>
      <c r="C905" t="s">
        <v>171</v>
      </c>
      <c r="D905" t="s">
        <v>8424</v>
      </c>
      <c r="E905" t="s">
        <v>1113</v>
      </c>
      <c r="F905" t="s">
        <v>7629</v>
      </c>
      <c r="H905" s="34">
        <v>380442.91</v>
      </c>
      <c r="I905" s="53"/>
    </row>
    <row r="906" spans="1:9" x14ac:dyDescent="0.3">
      <c r="A906" t="str">
        <f t="shared" si="14"/>
        <v>11Havering</v>
      </c>
      <c r="B906">
        <v>11</v>
      </c>
      <c r="C906" t="s">
        <v>171</v>
      </c>
      <c r="D906" t="s">
        <v>3240</v>
      </c>
      <c r="E906" t="s">
        <v>806</v>
      </c>
      <c r="F906" t="s">
        <v>807</v>
      </c>
      <c r="H906" s="34">
        <v>201024.35</v>
      </c>
      <c r="I906" s="53"/>
    </row>
    <row r="907" spans="1:9" x14ac:dyDescent="0.3">
      <c r="A907" t="str">
        <f t="shared" si="14"/>
        <v>12Havering</v>
      </c>
      <c r="B907">
        <v>12</v>
      </c>
      <c r="C907" t="s">
        <v>171</v>
      </c>
      <c r="D907" t="s">
        <v>3246</v>
      </c>
      <c r="E907" t="s">
        <v>842</v>
      </c>
      <c r="F907" t="s">
        <v>843</v>
      </c>
      <c r="H907" s="34">
        <v>554626</v>
      </c>
      <c r="I907" s="53"/>
    </row>
    <row r="908" spans="1:9" x14ac:dyDescent="0.3">
      <c r="A908" t="str">
        <f t="shared" si="14"/>
        <v>13Havering</v>
      </c>
      <c r="B908">
        <v>13</v>
      </c>
      <c r="C908" t="s">
        <v>171</v>
      </c>
      <c r="D908" t="s">
        <v>8425</v>
      </c>
      <c r="E908" t="s">
        <v>806</v>
      </c>
      <c r="F908" t="s">
        <v>807</v>
      </c>
      <c r="H908" s="34">
        <v>34576.43</v>
      </c>
      <c r="I908" s="53"/>
    </row>
    <row r="909" spans="1:9" x14ac:dyDescent="0.3">
      <c r="A909" t="str">
        <f t="shared" si="14"/>
        <v>14Havering</v>
      </c>
      <c r="B909">
        <v>14</v>
      </c>
      <c r="C909" t="s">
        <v>171</v>
      </c>
      <c r="D909" t="s">
        <v>8426</v>
      </c>
      <c r="E909" t="s">
        <v>842</v>
      </c>
      <c r="F909" t="s">
        <v>843</v>
      </c>
      <c r="H909" s="34">
        <v>7970</v>
      </c>
      <c r="I909" s="53"/>
    </row>
    <row r="910" spans="1:9" x14ac:dyDescent="0.3">
      <c r="A910" t="str">
        <f t="shared" si="14"/>
        <v>15Havering</v>
      </c>
      <c r="B910">
        <v>15</v>
      </c>
      <c r="C910" t="s">
        <v>171</v>
      </c>
      <c r="D910" t="s">
        <v>8427</v>
      </c>
      <c r="E910" t="s">
        <v>806</v>
      </c>
      <c r="F910" t="s">
        <v>917</v>
      </c>
      <c r="H910" s="34">
        <v>33971.43</v>
      </c>
      <c r="I910" s="53"/>
    </row>
    <row r="911" spans="1:9" x14ac:dyDescent="0.3">
      <c r="A911" t="str">
        <f t="shared" si="14"/>
        <v>16Havering</v>
      </c>
      <c r="B911">
        <v>16</v>
      </c>
      <c r="C911" t="s">
        <v>171</v>
      </c>
      <c r="D911" t="s">
        <v>3243</v>
      </c>
      <c r="E911" t="s">
        <v>806</v>
      </c>
      <c r="F911" t="s">
        <v>917</v>
      </c>
      <c r="H911" s="34">
        <v>707230.84000000008</v>
      </c>
      <c r="I911" s="53"/>
    </row>
    <row r="912" spans="1:9" x14ac:dyDescent="0.3">
      <c r="A912" t="str">
        <f t="shared" si="14"/>
        <v>1Herefordshire, County of</v>
      </c>
      <c r="B912">
        <v>1</v>
      </c>
      <c r="C912" t="s">
        <v>173</v>
      </c>
      <c r="D912" t="s">
        <v>1616</v>
      </c>
      <c r="E912" t="s">
        <v>1106</v>
      </c>
      <c r="F912" t="s">
        <v>7628</v>
      </c>
      <c r="H912" s="34">
        <v>347109</v>
      </c>
      <c r="I912" s="53"/>
    </row>
    <row r="913" spans="1:9" x14ac:dyDescent="0.3">
      <c r="A913" t="str">
        <f t="shared" si="14"/>
        <v>2Herefordshire, County of</v>
      </c>
      <c r="B913">
        <v>2</v>
      </c>
      <c r="C913" t="s">
        <v>173</v>
      </c>
      <c r="D913" t="s">
        <v>8428</v>
      </c>
      <c r="E913" t="s">
        <v>842</v>
      </c>
      <c r="F913" t="s">
        <v>7636</v>
      </c>
      <c r="H913" s="34">
        <v>336736</v>
      </c>
      <c r="I913" s="53"/>
    </row>
    <row r="914" spans="1:9" x14ac:dyDescent="0.3">
      <c r="A914" t="str">
        <f t="shared" si="14"/>
        <v>3Herefordshire, County of</v>
      </c>
      <c r="B914">
        <v>3</v>
      </c>
      <c r="C914" t="s">
        <v>173</v>
      </c>
      <c r="D914" t="s">
        <v>8199</v>
      </c>
      <c r="E914" t="s">
        <v>1113</v>
      </c>
      <c r="F914" t="s">
        <v>7637</v>
      </c>
      <c r="H914" s="34">
        <v>108211</v>
      </c>
      <c r="I914" s="53"/>
    </row>
    <row r="915" spans="1:9" x14ac:dyDescent="0.3">
      <c r="A915" t="str">
        <f t="shared" si="14"/>
        <v>4Herefordshire, County of</v>
      </c>
      <c r="B915">
        <v>4</v>
      </c>
      <c r="C915" t="s">
        <v>173</v>
      </c>
      <c r="D915" t="s">
        <v>8429</v>
      </c>
      <c r="E915" t="s">
        <v>806</v>
      </c>
      <c r="F915" t="s">
        <v>917</v>
      </c>
      <c r="H915" s="34">
        <v>386632</v>
      </c>
      <c r="I915" s="53"/>
    </row>
    <row r="916" spans="1:9" x14ac:dyDescent="0.3">
      <c r="A916" t="str">
        <f t="shared" si="14"/>
        <v>5Herefordshire, County of</v>
      </c>
      <c r="B916">
        <v>5</v>
      </c>
      <c r="C916" t="s">
        <v>173</v>
      </c>
      <c r="D916" t="s">
        <v>8430</v>
      </c>
      <c r="E916" t="s">
        <v>806</v>
      </c>
      <c r="F916" t="s">
        <v>807</v>
      </c>
      <c r="H916" s="34">
        <v>63124</v>
      </c>
      <c r="I916" s="53"/>
    </row>
    <row r="917" spans="1:9" x14ac:dyDescent="0.3">
      <c r="A917" t="str">
        <f t="shared" si="14"/>
        <v>6Herefordshire, County of</v>
      </c>
      <c r="B917">
        <v>6</v>
      </c>
      <c r="C917" t="s">
        <v>173</v>
      </c>
      <c r="D917" t="s">
        <v>8431</v>
      </c>
      <c r="E917" t="s">
        <v>812</v>
      </c>
      <c r="H917" s="34">
        <v>50000</v>
      </c>
      <c r="I917" s="53"/>
    </row>
    <row r="918" spans="1:9" x14ac:dyDescent="0.3">
      <c r="A918" t="str">
        <f t="shared" si="14"/>
        <v>1Hertfordshire</v>
      </c>
      <c r="B918">
        <v>1</v>
      </c>
      <c r="C918" t="s">
        <v>175</v>
      </c>
      <c r="D918" t="s">
        <v>8432</v>
      </c>
      <c r="E918" t="s">
        <v>7658</v>
      </c>
      <c r="H918" s="34">
        <v>28000</v>
      </c>
      <c r="I918" s="53"/>
    </row>
    <row r="919" spans="1:9" x14ac:dyDescent="0.3">
      <c r="A919" t="str">
        <f t="shared" si="14"/>
        <v>2Hertfordshire</v>
      </c>
      <c r="B919">
        <v>2</v>
      </c>
      <c r="C919" t="s">
        <v>175</v>
      </c>
      <c r="D919" t="s">
        <v>8433</v>
      </c>
      <c r="E919" t="s">
        <v>7658</v>
      </c>
      <c r="H919" s="34">
        <v>60000</v>
      </c>
      <c r="I919" s="53"/>
    </row>
    <row r="920" spans="1:9" x14ac:dyDescent="0.3">
      <c r="A920" t="str">
        <f t="shared" si="14"/>
        <v>3Hertfordshire</v>
      </c>
      <c r="B920">
        <v>3</v>
      </c>
      <c r="C920" t="s">
        <v>175</v>
      </c>
      <c r="D920" t="s">
        <v>8434</v>
      </c>
      <c r="E920" t="s">
        <v>7658</v>
      </c>
      <c r="H920" s="34">
        <v>219000</v>
      </c>
      <c r="I920" s="53"/>
    </row>
    <row r="921" spans="1:9" x14ac:dyDescent="0.3">
      <c r="A921" t="str">
        <f t="shared" si="14"/>
        <v>4Hertfordshire</v>
      </c>
      <c r="B921">
        <v>4</v>
      </c>
      <c r="C921" t="s">
        <v>175</v>
      </c>
      <c r="D921" t="s">
        <v>7893</v>
      </c>
      <c r="E921" t="s">
        <v>5266</v>
      </c>
      <c r="F921" t="s">
        <v>7639</v>
      </c>
      <c r="H921" s="34">
        <v>2400</v>
      </c>
      <c r="I921" s="53"/>
    </row>
    <row r="922" spans="1:9" x14ac:dyDescent="0.3">
      <c r="A922" t="str">
        <f t="shared" si="14"/>
        <v>5Hertfordshire</v>
      </c>
      <c r="B922">
        <v>5</v>
      </c>
      <c r="C922" t="s">
        <v>175</v>
      </c>
      <c r="D922" t="s">
        <v>8435</v>
      </c>
      <c r="E922" t="s">
        <v>7658</v>
      </c>
      <c r="H922" s="34">
        <v>75000</v>
      </c>
      <c r="I922" s="53"/>
    </row>
    <row r="923" spans="1:9" x14ac:dyDescent="0.3">
      <c r="A923" t="str">
        <f t="shared" si="14"/>
        <v>6Hertfordshire</v>
      </c>
      <c r="B923">
        <v>6</v>
      </c>
      <c r="C923" t="s">
        <v>175</v>
      </c>
      <c r="D923" t="s">
        <v>8436</v>
      </c>
      <c r="E923" t="s">
        <v>1106</v>
      </c>
      <c r="F923" t="s">
        <v>812</v>
      </c>
      <c r="H923" s="34">
        <v>147700</v>
      </c>
      <c r="I923" s="53"/>
    </row>
    <row r="924" spans="1:9" x14ac:dyDescent="0.3">
      <c r="A924" t="str">
        <f t="shared" si="14"/>
        <v>7Hertfordshire</v>
      </c>
      <c r="B924">
        <v>7</v>
      </c>
      <c r="C924" t="s">
        <v>175</v>
      </c>
      <c r="D924" t="s">
        <v>8437</v>
      </c>
      <c r="E924" t="s">
        <v>7658</v>
      </c>
      <c r="H924" s="34">
        <v>11000</v>
      </c>
      <c r="I924" s="53"/>
    </row>
    <row r="925" spans="1:9" x14ac:dyDescent="0.3">
      <c r="A925" t="str">
        <f t="shared" si="14"/>
        <v>8Hertfordshire</v>
      </c>
      <c r="B925">
        <v>8</v>
      </c>
      <c r="C925" t="s">
        <v>175</v>
      </c>
      <c r="D925" t="s">
        <v>8438</v>
      </c>
      <c r="E925" t="s">
        <v>7649</v>
      </c>
      <c r="F925" t="s">
        <v>7638</v>
      </c>
      <c r="H925" s="34">
        <v>70000</v>
      </c>
      <c r="I925" s="53"/>
    </row>
    <row r="926" spans="1:9" x14ac:dyDescent="0.3">
      <c r="A926" t="str">
        <f t="shared" si="14"/>
        <v>9Hertfordshire</v>
      </c>
      <c r="B926">
        <v>9</v>
      </c>
      <c r="C926" t="s">
        <v>175</v>
      </c>
      <c r="D926" t="s">
        <v>3624</v>
      </c>
      <c r="E926" t="s">
        <v>842</v>
      </c>
      <c r="F926" t="s">
        <v>7636</v>
      </c>
      <c r="H926" s="34">
        <v>188000</v>
      </c>
      <c r="I926" s="53"/>
    </row>
    <row r="927" spans="1:9" x14ac:dyDescent="0.3">
      <c r="A927" t="str">
        <f t="shared" si="14"/>
        <v>10Hertfordshire</v>
      </c>
      <c r="B927">
        <v>10</v>
      </c>
      <c r="C927" t="s">
        <v>175</v>
      </c>
      <c r="D927" t="s">
        <v>8439</v>
      </c>
      <c r="E927" t="s">
        <v>842</v>
      </c>
      <c r="F927" t="s">
        <v>843</v>
      </c>
      <c r="H927" s="34">
        <v>132000</v>
      </c>
      <c r="I927" s="53"/>
    </row>
    <row r="928" spans="1:9" x14ac:dyDescent="0.3">
      <c r="A928" t="str">
        <f t="shared" si="14"/>
        <v>11Hertfordshire</v>
      </c>
      <c r="B928">
        <v>11</v>
      </c>
      <c r="C928" t="s">
        <v>175</v>
      </c>
      <c r="D928" t="s">
        <v>8440</v>
      </c>
      <c r="E928" t="s">
        <v>7649</v>
      </c>
      <c r="F928" t="s">
        <v>7638</v>
      </c>
      <c r="H928" s="34">
        <v>46000</v>
      </c>
      <c r="I928" s="53"/>
    </row>
    <row r="929" spans="1:9" x14ac:dyDescent="0.3">
      <c r="A929" t="str">
        <f t="shared" si="14"/>
        <v>12Hertfordshire</v>
      </c>
      <c r="B929">
        <v>12</v>
      </c>
      <c r="C929" t="s">
        <v>175</v>
      </c>
      <c r="D929" t="s">
        <v>8441</v>
      </c>
      <c r="E929" t="s">
        <v>800</v>
      </c>
      <c r="F929" t="s">
        <v>812</v>
      </c>
      <c r="H929" s="34">
        <v>35000</v>
      </c>
      <c r="I929" s="53"/>
    </row>
    <row r="930" spans="1:9" x14ac:dyDescent="0.3">
      <c r="A930" t="str">
        <f t="shared" si="14"/>
        <v>13Hertfordshire</v>
      </c>
      <c r="B930">
        <v>13</v>
      </c>
      <c r="C930" t="s">
        <v>175</v>
      </c>
      <c r="D930" t="s">
        <v>8442</v>
      </c>
      <c r="E930" t="s">
        <v>7658</v>
      </c>
      <c r="H930" s="34">
        <v>36000</v>
      </c>
      <c r="I930" s="53"/>
    </row>
    <row r="931" spans="1:9" x14ac:dyDescent="0.3">
      <c r="A931" t="str">
        <f t="shared" si="14"/>
        <v>14Hertfordshire</v>
      </c>
      <c r="B931">
        <v>14</v>
      </c>
      <c r="C931" t="s">
        <v>175</v>
      </c>
      <c r="D931" t="s">
        <v>8443</v>
      </c>
      <c r="E931" t="s">
        <v>7658</v>
      </c>
      <c r="H931" s="34">
        <v>123000</v>
      </c>
      <c r="I931" s="53"/>
    </row>
    <row r="932" spans="1:9" x14ac:dyDescent="0.3">
      <c r="A932" t="str">
        <f t="shared" si="14"/>
        <v>15Hertfordshire</v>
      </c>
      <c r="B932">
        <v>15</v>
      </c>
      <c r="C932" t="s">
        <v>175</v>
      </c>
      <c r="D932" t="s">
        <v>7896</v>
      </c>
      <c r="E932" t="s">
        <v>812</v>
      </c>
      <c r="H932" s="34">
        <v>6000</v>
      </c>
      <c r="I932" s="53"/>
    </row>
    <row r="933" spans="1:9" x14ac:dyDescent="0.3">
      <c r="A933" t="str">
        <f t="shared" si="14"/>
        <v>16Hertfordshire</v>
      </c>
      <c r="B933">
        <v>16</v>
      </c>
      <c r="C933" t="s">
        <v>175</v>
      </c>
      <c r="D933" t="s">
        <v>7898</v>
      </c>
      <c r="E933" t="s">
        <v>842</v>
      </c>
      <c r="F933" t="s">
        <v>812</v>
      </c>
      <c r="H933" s="34">
        <v>7488</v>
      </c>
      <c r="I933" s="53"/>
    </row>
    <row r="934" spans="1:9" x14ac:dyDescent="0.3">
      <c r="A934" t="str">
        <f t="shared" si="14"/>
        <v>17Hertfordshire</v>
      </c>
      <c r="B934">
        <v>17</v>
      </c>
      <c r="C934" t="s">
        <v>175</v>
      </c>
      <c r="D934" t="s">
        <v>1646</v>
      </c>
      <c r="E934" t="s">
        <v>1106</v>
      </c>
      <c r="F934" t="s">
        <v>7628</v>
      </c>
      <c r="H934" s="34">
        <v>1066000</v>
      </c>
      <c r="I934" s="53"/>
    </row>
    <row r="935" spans="1:9" x14ac:dyDescent="0.3">
      <c r="A935" t="str">
        <f t="shared" si="14"/>
        <v>18Hertfordshire</v>
      </c>
      <c r="B935">
        <v>18</v>
      </c>
      <c r="C935" t="s">
        <v>175</v>
      </c>
      <c r="D935" t="s">
        <v>8444</v>
      </c>
      <c r="E935" t="s">
        <v>1106</v>
      </c>
      <c r="F935" t="s">
        <v>7628</v>
      </c>
      <c r="H935" s="34">
        <v>174000</v>
      </c>
      <c r="I935" s="53"/>
    </row>
    <row r="936" spans="1:9" x14ac:dyDescent="0.3">
      <c r="A936" t="str">
        <f t="shared" si="14"/>
        <v>19Hertfordshire</v>
      </c>
      <c r="B936">
        <v>19</v>
      </c>
      <c r="C936" t="s">
        <v>175</v>
      </c>
      <c r="D936" t="s">
        <v>8445</v>
      </c>
      <c r="E936" t="s">
        <v>1113</v>
      </c>
      <c r="F936" t="s">
        <v>7629</v>
      </c>
      <c r="H936" s="34">
        <v>391000</v>
      </c>
      <c r="I936" s="53"/>
    </row>
    <row r="937" spans="1:9" x14ac:dyDescent="0.3">
      <c r="A937" t="str">
        <f t="shared" si="14"/>
        <v>20Hertfordshire</v>
      </c>
      <c r="B937">
        <v>20</v>
      </c>
      <c r="C937" t="s">
        <v>175</v>
      </c>
      <c r="D937" t="s">
        <v>8446</v>
      </c>
      <c r="E937" t="s">
        <v>800</v>
      </c>
      <c r="F937" t="s">
        <v>903</v>
      </c>
      <c r="H937" s="34">
        <v>438000</v>
      </c>
      <c r="I937" s="53"/>
    </row>
    <row r="938" spans="1:9" x14ac:dyDescent="0.3">
      <c r="A938" t="str">
        <f t="shared" si="14"/>
        <v>21Hertfordshire</v>
      </c>
      <c r="B938">
        <v>21</v>
      </c>
      <c r="C938" t="s">
        <v>175</v>
      </c>
      <c r="D938" t="s">
        <v>8447</v>
      </c>
      <c r="E938" t="s">
        <v>842</v>
      </c>
      <c r="F938" t="s">
        <v>7636</v>
      </c>
      <c r="H938" s="34">
        <v>100000</v>
      </c>
      <c r="I938" s="53"/>
    </row>
    <row r="939" spans="1:9" x14ac:dyDescent="0.3">
      <c r="A939" t="str">
        <f t="shared" si="14"/>
        <v>22Hertfordshire</v>
      </c>
      <c r="B939">
        <v>22</v>
      </c>
      <c r="C939" t="s">
        <v>175</v>
      </c>
      <c r="D939" t="s">
        <v>8448</v>
      </c>
      <c r="E939" t="s">
        <v>7649</v>
      </c>
      <c r="F939" t="s">
        <v>7638</v>
      </c>
      <c r="H939" s="34">
        <v>180000</v>
      </c>
      <c r="I939" s="53"/>
    </row>
    <row r="940" spans="1:9" x14ac:dyDescent="0.3">
      <c r="A940" t="str">
        <f t="shared" si="14"/>
        <v>23Hertfordshire</v>
      </c>
      <c r="B940">
        <v>23</v>
      </c>
      <c r="C940" t="s">
        <v>175</v>
      </c>
      <c r="D940" t="s">
        <v>8449</v>
      </c>
      <c r="E940" t="s">
        <v>1106</v>
      </c>
      <c r="F940" t="s">
        <v>7628</v>
      </c>
      <c r="H940" s="34">
        <v>77000</v>
      </c>
      <c r="I940" s="53"/>
    </row>
    <row r="941" spans="1:9" x14ac:dyDescent="0.3">
      <c r="A941" t="str">
        <f t="shared" si="14"/>
        <v>24Hertfordshire</v>
      </c>
      <c r="B941">
        <v>24</v>
      </c>
      <c r="C941" t="s">
        <v>175</v>
      </c>
      <c r="D941" t="s">
        <v>8450</v>
      </c>
      <c r="E941" t="s">
        <v>7649</v>
      </c>
      <c r="F941" t="s">
        <v>7638</v>
      </c>
      <c r="H941" s="34">
        <v>28000</v>
      </c>
      <c r="I941" s="53"/>
    </row>
    <row r="942" spans="1:9" x14ac:dyDescent="0.3">
      <c r="A942" t="str">
        <f t="shared" si="14"/>
        <v>25Hertfordshire</v>
      </c>
      <c r="B942">
        <v>25</v>
      </c>
      <c r="C942" t="s">
        <v>175</v>
      </c>
      <c r="D942" t="s">
        <v>8451</v>
      </c>
      <c r="E942" t="s">
        <v>7649</v>
      </c>
      <c r="F942" t="s">
        <v>7638</v>
      </c>
      <c r="H942" s="34">
        <v>81000</v>
      </c>
      <c r="I942" s="53"/>
    </row>
    <row r="943" spans="1:9" x14ac:dyDescent="0.3">
      <c r="A943" t="str">
        <f t="shared" si="14"/>
        <v>26Hertfordshire</v>
      </c>
      <c r="B943">
        <v>26</v>
      </c>
      <c r="C943" t="s">
        <v>175</v>
      </c>
      <c r="D943" t="s">
        <v>7901</v>
      </c>
      <c r="E943" t="s">
        <v>1113</v>
      </c>
      <c r="F943" t="s">
        <v>812</v>
      </c>
      <c r="H943" s="34">
        <v>2640</v>
      </c>
      <c r="I943" s="53"/>
    </row>
    <row r="944" spans="1:9" x14ac:dyDescent="0.3">
      <c r="A944" t="str">
        <f t="shared" si="14"/>
        <v>27Hertfordshire</v>
      </c>
      <c r="B944">
        <v>27</v>
      </c>
      <c r="C944" t="s">
        <v>175</v>
      </c>
      <c r="D944" t="s">
        <v>1183</v>
      </c>
      <c r="E944" t="s">
        <v>1106</v>
      </c>
      <c r="F944" t="s">
        <v>7628</v>
      </c>
      <c r="H944" s="34">
        <v>238000</v>
      </c>
      <c r="I944" s="53"/>
    </row>
    <row r="945" spans="1:9" x14ac:dyDescent="0.3">
      <c r="A945" t="str">
        <f t="shared" si="14"/>
        <v>28Hertfordshire</v>
      </c>
      <c r="B945">
        <v>28</v>
      </c>
      <c r="C945" t="s">
        <v>175</v>
      </c>
      <c r="D945" t="s">
        <v>8452</v>
      </c>
      <c r="E945" t="s">
        <v>1106</v>
      </c>
      <c r="F945" t="s">
        <v>7628</v>
      </c>
      <c r="H945" s="34">
        <v>682000</v>
      </c>
      <c r="I945" s="53"/>
    </row>
    <row r="946" spans="1:9" x14ac:dyDescent="0.3">
      <c r="A946" t="str">
        <f t="shared" si="14"/>
        <v>29Hertfordshire</v>
      </c>
      <c r="B946">
        <v>29</v>
      </c>
      <c r="C946" t="s">
        <v>175</v>
      </c>
      <c r="D946" t="s">
        <v>7902</v>
      </c>
      <c r="E946" t="s">
        <v>1113</v>
      </c>
      <c r="F946" t="s">
        <v>812</v>
      </c>
      <c r="H946" s="34">
        <v>2880</v>
      </c>
      <c r="I946" s="53"/>
    </row>
    <row r="947" spans="1:9" x14ac:dyDescent="0.3">
      <c r="A947" t="str">
        <f t="shared" si="14"/>
        <v>30Hertfordshire</v>
      </c>
      <c r="B947">
        <v>30</v>
      </c>
      <c r="C947" t="s">
        <v>175</v>
      </c>
      <c r="D947" t="s">
        <v>8453</v>
      </c>
      <c r="E947" t="s">
        <v>1106</v>
      </c>
      <c r="F947" t="s">
        <v>7628</v>
      </c>
      <c r="H947" s="34">
        <v>290000</v>
      </c>
      <c r="I947" s="53"/>
    </row>
    <row r="948" spans="1:9" x14ac:dyDescent="0.3">
      <c r="A948" t="str">
        <f t="shared" si="14"/>
        <v>31Hertfordshire</v>
      </c>
      <c r="B948">
        <v>31</v>
      </c>
      <c r="C948" t="s">
        <v>175</v>
      </c>
      <c r="D948" t="s">
        <v>8454</v>
      </c>
      <c r="E948" t="s">
        <v>7658</v>
      </c>
      <c r="H948" s="34">
        <v>26000</v>
      </c>
      <c r="I948" s="53"/>
    </row>
    <row r="949" spans="1:9" x14ac:dyDescent="0.3">
      <c r="A949" t="str">
        <f t="shared" si="14"/>
        <v>32Hertfordshire</v>
      </c>
      <c r="B949">
        <v>32</v>
      </c>
      <c r="C949" t="s">
        <v>175</v>
      </c>
      <c r="D949" t="s">
        <v>8455</v>
      </c>
      <c r="E949" t="s">
        <v>7649</v>
      </c>
      <c r="H949" s="34">
        <v>25000</v>
      </c>
      <c r="I949" s="53"/>
    </row>
    <row r="950" spans="1:9" x14ac:dyDescent="0.3">
      <c r="A950" t="str">
        <f t="shared" si="14"/>
        <v>33Hertfordshire</v>
      </c>
      <c r="B950">
        <v>33</v>
      </c>
      <c r="C950" t="s">
        <v>175</v>
      </c>
      <c r="D950" t="s">
        <v>8456</v>
      </c>
      <c r="E950" t="s">
        <v>7658</v>
      </c>
      <c r="H950" s="34">
        <v>36000</v>
      </c>
      <c r="I950" s="53"/>
    </row>
    <row r="951" spans="1:9" x14ac:dyDescent="0.3">
      <c r="A951" t="str">
        <f t="shared" si="14"/>
        <v>34Hertfordshire</v>
      </c>
      <c r="B951">
        <v>34</v>
      </c>
      <c r="C951" t="s">
        <v>175</v>
      </c>
      <c r="D951" t="s">
        <v>7214</v>
      </c>
      <c r="E951" t="s">
        <v>1113</v>
      </c>
      <c r="F951" t="s">
        <v>7629</v>
      </c>
      <c r="H951" s="34">
        <v>39000</v>
      </c>
      <c r="I951" s="53"/>
    </row>
    <row r="952" spans="1:9" x14ac:dyDescent="0.3">
      <c r="A952" t="str">
        <f t="shared" si="14"/>
        <v>35Hertfordshire</v>
      </c>
      <c r="B952">
        <v>35</v>
      </c>
      <c r="C952" t="s">
        <v>175</v>
      </c>
      <c r="D952" t="s">
        <v>8457</v>
      </c>
      <c r="E952" t="s">
        <v>7658</v>
      </c>
      <c r="H952" s="34">
        <v>219000</v>
      </c>
      <c r="I952" s="53"/>
    </row>
    <row r="953" spans="1:9" x14ac:dyDescent="0.3">
      <c r="A953" t="str">
        <f t="shared" si="14"/>
        <v>36Hertfordshire</v>
      </c>
      <c r="B953">
        <v>36</v>
      </c>
      <c r="C953" t="s">
        <v>175</v>
      </c>
      <c r="D953" t="s">
        <v>8458</v>
      </c>
      <c r="E953" t="s">
        <v>7649</v>
      </c>
      <c r="F953" t="s">
        <v>7638</v>
      </c>
      <c r="H953" s="34">
        <v>75000</v>
      </c>
      <c r="I953" s="53"/>
    </row>
    <row r="954" spans="1:9" x14ac:dyDescent="0.3">
      <c r="A954" t="str">
        <f t="shared" si="14"/>
        <v>37Hertfordshire</v>
      </c>
      <c r="B954">
        <v>37</v>
      </c>
      <c r="C954" t="s">
        <v>175</v>
      </c>
      <c r="D954" t="s">
        <v>8459</v>
      </c>
      <c r="E954" t="s">
        <v>842</v>
      </c>
      <c r="F954" t="s">
        <v>843</v>
      </c>
      <c r="H954" s="34">
        <v>113000</v>
      </c>
      <c r="I954" s="53"/>
    </row>
    <row r="955" spans="1:9" x14ac:dyDescent="0.3">
      <c r="A955" t="str">
        <f t="shared" si="14"/>
        <v>38Hertfordshire</v>
      </c>
      <c r="B955">
        <v>38</v>
      </c>
      <c r="C955" t="s">
        <v>175</v>
      </c>
      <c r="D955" t="s">
        <v>8460</v>
      </c>
      <c r="E955" t="s">
        <v>7658</v>
      </c>
      <c r="H955" s="34">
        <v>31000</v>
      </c>
      <c r="I955" s="53"/>
    </row>
    <row r="956" spans="1:9" x14ac:dyDescent="0.3">
      <c r="A956" t="str">
        <f t="shared" si="14"/>
        <v>39Hertfordshire</v>
      </c>
      <c r="B956">
        <v>39</v>
      </c>
      <c r="C956" t="s">
        <v>175</v>
      </c>
      <c r="D956" t="s">
        <v>8461</v>
      </c>
      <c r="E956" t="s">
        <v>7657</v>
      </c>
      <c r="F956" t="s">
        <v>7640</v>
      </c>
      <c r="H956" s="34">
        <v>13200</v>
      </c>
      <c r="I956" s="53"/>
    </row>
    <row r="957" spans="1:9" x14ac:dyDescent="0.3">
      <c r="A957" t="str">
        <f t="shared" si="14"/>
        <v>40Hertfordshire</v>
      </c>
      <c r="B957">
        <v>40</v>
      </c>
      <c r="C957" t="s">
        <v>175</v>
      </c>
      <c r="D957" t="s">
        <v>8462</v>
      </c>
      <c r="E957" t="s">
        <v>812</v>
      </c>
      <c r="H957" s="34">
        <v>15600</v>
      </c>
      <c r="I957" s="53"/>
    </row>
    <row r="958" spans="1:9" x14ac:dyDescent="0.3">
      <c r="A958" t="str">
        <f t="shared" si="14"/>
        <v>41Hertfordshire</v>
      </c>
      <c r="B958">
        <v>41</v>
      </c>
      <c r="C958" t="s">
        <v>175</v>
      </c>
      <c r="D958" t="s">
        <v>7909</v>
      </c>
      <c r="E958" t="s">
        <v>842</v>
      </c>
      <c r="F958" t="s">
        <v>7636</v>
      </c>
      <c r="H958" s="34">
        <v>26480.57</v>
      </c>
      <c r="I958" s="53"/>
    </row>
    <row r="959" spans="1:9" x14ac:dyDescent="0.3">
      <c r="A959" t="str">
        <f t="shared" si="14"/>
        <v>42Hertfordshire</v>
      </c>
      <c r="B959">
        <v>42</v>
      </c>
      <c r="C959" t="s">
        <v>175</v>
      </c>
      <c r="D959" t="s">
        <v>8294</v>
      </c>
      <c r="E959" t="s">
        <v>7658</v>
      </c>
      <c r="H959" s="34">
        <v>675000</v>
      </c>
      <c r="I959" s="53"/>
    </row>
    <row r="960" spans="1:9" x14ac:dyDescent="0.3">
      <c r="A960" t="str">
        <f t="shared" si="14"/>
        <v>43Hertfordshire</v>
      </c>
      <c r="B960">
        <v>43</v>
      </c>
      <c r="C960" t="s">
        <v>175</v>
      </c>
      <c r="D960" t="s">
        <v>7910</v>
      </c>
      <c r="E960" t="s">
        <v>5266</v>
      </c>
      <c r="F960" t="s">
        <v>7643</v>
      </c>
      <c r="H960" s="34">
        <v>4800</v>
      </c>
      <c r="I960" s="53"/>
    </row>
    <row r="961" spans="1:9" x14ac:dyDescent="0.3">
      <c r="A961" t="str">
        <f t="shared" si="14"/>
        <v>44Hertfordshire</v>
      </c>
      <c r="B961">
        <v>44</v>
      </c>
      <c r="C961" t="s">
        <v>175</v>
      </c>
      <c r="D961" t="s">
        <v>8463</v>
      </c>
      <c r="E961" t="s">
        <v>5266</v>
      </c>
      <c r="F961" t="s">
        <v>7631</v>
      </c>
      <c r="H961" s="34">
        <v>3445346</v>
      </c>
      <c r="I961" s="53"/>
    </row>
    <row r="962" spans="1:9" x14ac:dyDescent="0.3">
      <c r="A962" t="str">
        <f t="shared" ref="A962:A1025" si="15">B962&amp;C962</f>
        <v>45Hertfordshire</v>
      </c>
      <c r="B962">
        <v>45</v>
      </c>
      <c r="C962" t="s">
        <v>175</v>
      </c>
      <c r="D962" t="s">
        <v>8464</v>
      </c>
      <c r="E962" t="s">
        <v>7658</v>
      </c>
      <c r="H962" s="34">
        <v>39000</v>
      </c>
      <c r="I962" s="53"/>
    </row>
    <row r="963" spans="1:9" x14ac:dyDescent="0.3">
      <c r="A963" t="str">
        <f t="shared" si="15"/>
        <v>1Hillingdon</v>
      </c>
      <c r="B963">
        <v>1</v>
      </c>
      <c r="C963" t="s">
        <v>177</v>
      </c>
      <c r="D963" t="s">
        <v>8465</v>
      </c>
      <c r="E963" t="s">
        <v>812</v>
      </c>
      <c r="F963" t="s">
        <v>7704</v>
      </c>
      <c r="H963" s="34">
        <v>4000</v>
      </c>
      <c r="I963" s="53"/>
    </row>
    <row r="964" spans="1:9" x14ac:dyDescent="0.3">
      <c r="A964" t="str">
        <f t="shared" si="15"/>
        <v>2Hillingdon</v>
      </c>
      <c r="B964">
        <v>2</v>
      </c>
      <c r="C964" t="s">
        <v>177</v>
      </c>
      <c r="D964" t="s">
        <v>8466</v>
      </c>
      <c r="E964" t="s">
        <v>1106</v>
      </c>
      <c r="F964" t="s">
        <v>7628</v>
      </c>
      <c r="H964" s="34">
        <v>286034</v>
      </c>
      <c r="I964" s="53"/>
    </row>
    <row r="965" spans="1:9" x14ac:dyDescent="0.3">
      <c r="A965" t="str">
        <f t="shared" si="15"/>
        <v>3Hillingdon</v>
      </c>
      <c r="B965">
        <v>3</v>
      </c>
      <c r="C965" t="s">
        <v>177</v>
      </c>
      <c r="D965" t="s">
        <v>8466</v>
      </c>
      <c r="E965" t="s">
        <v>806</v>
      </c>
      <c r="F965" t="s">
        <v>7704</v>
      </c>
      <c r="H965" s="34">
        <v>59400</v>
      </c>
      <c r="I965" s="53"/>
    </row>
    <row r="966" spans="1:9" x14ac:dyDescent="0.3">
      <c r="A966" t="str">
        <f t="shared" si="15"/>
        <v>4Hillingdon</v>
      </c>
      <c r="B966">
        <v>4</v>
      </c>
      <c r="C966" t="s">
        <v>177</v>
      </c>
      <c r="D966" t="s">
        <v>8467</v>
      </c>
      <c r="E966" t="s">
        <v>842</v>
      </c>
      <c r="F966" t="s">
        <v>843</v>
      </c>
      <c r="H966" s="34">
        <v>196200</v>
      </c>
      <c r="I966" s="53"/>
    </row>
    <row r="967" spans="1:9" x14ac:dyDescent="0.3">
      <c r="A967" t="str">
        <f t="shared" si="15"/>
        <v>5Hillingdon</v>
      </c>
      <c r="B967">
        <v>5</v>
      </c>
      <c r="C967" t="s">
        <v>177</v>
      </c>
      <c r="D967" t="s">
        <v>8468</v>
      </c>
      <c r="E967" t="s">
        <v>806</v>
      </c>
      <c r="F967" t="s">
        <v>807</v>
      </c>
      <c r="H967" s="34">
        <v>158636</v>
      </c>
      <c r="I967" s="53"/>
    </row>
    <row r="968" spans="1:9" x14ac:dyDescent="0.3">
      <c r="A968" t="str">
        <f t="shared" si="15"/>
        <v>6Hillingdon</v>
      </c>
      <c r="B968">
        <v>6</v>
      </c>
      <c r="C968" t="s">
        <v>177</v>
      </c>
      <c r="D968" t="s">
        <v>8468</v>
      </c>
      <c r="E968" t="s">
        <v>806</v>
      </c>
      <c r="F968" t="s">
        <v>917</v>
      </c>
      <c r="H968" s="34">
        <v>226720</v>
      </c>
      <c r="I968" s="53"/>
    </row>
    <row r="969" spans="1:9" x14ac:dyDescent="0.3">
      <c r="A969" t="str">
        <f t="shared" si="15"/>
        <v>7Hillingdon</v>
      </c>
      <c r="B969">
        <v>7</v>
      </c>
      <c r="C969" t="s">
        <v>177</v>
      </c>
      <c r="D969" t="s">
        <v>4671</v>
      </c>
      <c r="E969" t="s">
        <v>5266</v>
      </c>
      <c r="F969" t="s">
        <v>7631</v>
      </c>
      <c r="H969" s="34">
        <v>151600</v>
      </c>
      <c r="I969" s="53"/>
    </row>
    <row r="970" spans="1:9" x14ac:dyDescent="0.3">
      <c r="A970" t="str">
        <f t="shared" si="15"/>
        <v>8Hillingdon</v>
      </c>
      <c r="B970">
        <v>8</v>
      </c>
      <c r="C970" t="s">
        <v>177</v>
      </c>
      <c r="D970" t="s">
        <v>4671</v>
      </c>
      <c r="E970" t="s">
        <v>7658</v>
      </c>
      <c r="F970" t="s">
        <v>7704</v>
      </c>
      <c r="H970" s="34">
        <v>225000</v>
      </c>
      <c r="I970" s="53"/>
    </row>
    <row r="971" spans="1:9" x14ac:dyDescent="0.3">
      <c r="A971" t="str">
        <f t="shared" si="15"/>
        <v>9Hillingdon</v>
      </c>
      <c r="B971">
        <v>9</v>
      </c>
      <c r="C971" t="s">
        <v>177</v>
      </c>
      <c r="D971" t="s">
        <v>8469</v>
      </c>
      <c r="E971" t="s">
        <v>812</v>
      </c>
      <c r="F971" t="s">
        <v>7704</v>
      </c>
      <c r="H971" s="34">
        <v>9785</v>
      </c>
      <c r="I971" s="53"/>
    </row>
    <row r="972" spans="1:9" x14ac:dyDescent="0.3">
      <c r="A972" t="str">
        <f t="shared" si="15"/>
        <v>10Hillingdon</v>
      </c>
      <c r="B972">
        <v>10</v>
      </c>
      <c r="C972" t="s">
        <v>177</v>
      </c>
      <c r="D972" t="s">
        <v>8470</v>
      </c>
      <c r="E972" t="s">
        <v>812</v>
      </c>
      <c r="F972" t="s">
        <v>7704</v>
      </c>
      <c r="H972" s="34">
        <v>54488</v>
      </c>
      <c r="I972" s="53"/>
    </row>
    <row r="973" spans="1:9" x14ac:dyDescent="0.3">
      <c r="A973" t="str">
        <f t="shared" si="15"/>
        <v>11Hillingdon</v>
      </c>
      <c r="B973">
        <v>11</v>
      </c>
      <c r="C973" t="s">
        <v>177</v>
      </c>
      <c r="D973" t="s">
        <v>8471</v>
      </c>
      <c r="E973" t="s">
        <v>1113</v>
      </c>
      <c r="F973" t="s">
        <v>7704</v>
      </c>
      <c r="H973" s="34">
        <v>486525</v>
      </c>
      <c r="I973" s="53"/>
    </row>
    <row r="974" spans="1:9" x14ac:dyDescent="0.3">
      <c r="A974" t="str">
        <f t="shared" si="15"/>
        <v>12Hillingdon</v>
      </c>
      <c r="B974">
        <v>12</v>
      </c>
      <c r="C974" t="s">
        <v>177</v>
      </c>
      <c r="D974" t="s">
        <v>8394</v>
      </c>
      <c r="E974" t="s">
        <v>812</v>
      </c>
      <c r="F974" t="s">
        <v>7704</v>
      </c>
      <c r="H974" s="34">
        <v>111755</v>
      </c>
      <c r="I974" s="53"/>
    </row>
    <row r="975" spans="1:9" x14ac:dyDescent="0.3">
      <c r="A975" t="str">
        <f t="shared" si="15"/>
        <v>13Hillingdon</v>
      </c>
      <c r="B975">
        <v>13</v>
      </c>
      <c r="C975" t="s">
        <v>177</v>
      </c>
      <c r="D975" t="s">
        <v>8472</v>
      </c>
      <c r="E975" t="s">
        <v>812</v>
      </c>
      <c r="F975" t="s">
        <v>7704</v>
      </c>
      <c r="H975" s="34">
        <v>15000</v>
      </c>
      <c r="I975" s="53"/>
    </row>
    <row r="976" spans="1:9" x14ac:dyDescent="0.3">
      <c r="A976" t="str">
        <f t="shared" si="15"/>
        <v>1Hounslow</v>
      </c>
      <c r="B976">
        <v>1</v>
      </c>
      <c r="C976" t="s">
        <v>179</v>
      </c>
      <c r="D976" t="s">
        <v>8473</v>
      </c>
      <c r="E976" t="s">
        <v>7649</v>
      </c>
      <c r="F976" t="s">
        <v>7638</v>
      </c>
      <c r="H976" s="34">
        <v>100000</v>
      </c>
      <c r="I976" s="53"/>
    </row>
    <row r="977" spans="1:9" x14ac:dyDescent="0.3">
      <c r="A977" t="str">
        <f t="shared" si="15"/>
        <v>2Hounslow</v>
      </c>
      <c r="B977">
        <v>2</v>
      </c>
      <c r="C977" t="s">
        <v>179</v>
      </c>
      <c r="D977" t="s">
        <v>8474</v>
      </c>
      <c r="E977" t="s">
        <v>812</v>
      </c>
      <c r="F977" t="s">
        <v>8475</v>
      </c>
      <c r="H977" s="34">
        <v>40000</v>
      </c>
      <c r="I977" s="53"/>
    </row>
    <row r="978" spans="1:9" x14ac:dyDescent="0.3">
      <c r="A978" t="str">
        <f t="shared" si="15"/>
        <v>3Hounslow</v>
      </c>
      <c r="B978">
        <v>3</v>
      </c>
      <c r="C978" t="s">
        <v>179</v>
      </c>
      <c r="D978" t="s">
        <v>2248</v>
      </c>
      <c r="E978" t="s">
        <v>812</v>
      </c>
      <c r="F978" t="s">
        <v>8475</v>
      </c>
      <c r="H978" s="34">
        <v>28000</v>
      </c>
      <c r="I978" s="53"/>
    </row>
    <row r="979" spans="1:9" x14ac:dyDescent="0.3">
      <c r="A979" t="str">
        <f t="shared" si="15"/>
        <v>4Hounslow</v>
      </c>
      <c r="B979">
        <v>4</v>
      </c>
      <c r="C979" t="s">
        <v>179</v>
      </c>
      <c r="D979" t="s">
        <v>1051</v>
      </c>
      <c r="E979" t="s">
        <v>812</v>
      </c>
      <c r="F979" t="s">
        <v>8475</v>
      </c>
      <c r="H979" s="34">
        <v>110303</v>
      </c>
      <c r="I979" s="53"/>
    </row>
    <row r="980" spans="1:9" x14ac:dyDescent="0.3">
      <c r="A980" t="str">
        <f t="shared" si="15"/>
        <v>5Hounslow</v>
      </c>
      <c r="B980">
        <v>5</v>
      </c>
      <c r="C980" t="s">
        <v>179</v>
      </c>
      <c r="D980" t="s">
        <v>8476</v>
      </c>
      <c r="E980" t="s">
        <v>842</v>
      </c>
      <c r="F980" t="s">
        <v>843</v>
      </c>
      <c r="H980" s="34">
        <v>500000</v>
      </c>
      <c r="I980" s="53"/>
    </row>
    <row r="981" spans="1:9" x14ac:dyDescent="0.3">
      <c r="A981" t="str">
        <f t="shared" si="15"/>
        <v>6Hounslow</v>
      </c>
      <c r="B981">
        <v>6</v>
      </c>
      <c r="C981" t="s">
        <v>179</v>
      </c>
      <c r="D981" t="s">
        <v>8477</v>
      </c>
      <c r="E981" t="s">
        <v>806</v>
      </c>
      <c r="F981" t="s">
        <v>807</v>
      </c>
      <c r="H981" s="34">
        <v>332785</v>
      </c>
      <c r="I981" s="53"/>
    </row>
    <row r="982" spans="1:9" x14ac:dyDescent="0.3">
      <c r="A982" t="str">
        <f t="shared" si="15"/>
        <v>7Hounslow</v>
      </c>
      <c r="B982">
        <v>7</v>
      </c>
      <c r="C982" t="s">
        <v>179</v>
      </c>
      <c r="D982" t="s">
        <v>8478</v>
      </c>
      <c r="E982" t="s">
        <v>5266</v>
      </c>
      <c r="F982" t="s">
        <v>7639</v>
      </c>
      <c r="H982" s="34">
        <v>100000</v>
      </c>
      <c r="I982" s="53"/>
    </row>
    <row r="983" spans="1:9" x14ac:dyDescent="0.3">
      <c r="A983" t="str">
        <f t="shared" si="15"/>
        <v>8Hounslow</v>
      </c>
      <c r="B983">
        <v>8</v>
      </c>
      <c r="C983" t="s">
        <v>179</v>
      </c>
      <c r="D983" t="s">
        <v>8478</v>
      </c>
      <c r="E983" t="s">
        <v>7649</v>
      </c>
      <c r="F983" t="s">
        <v>7638</v>
      </c>
      <c r="H983" s="34">
        <v>100000</v>
      </c>
      <c r="I983" s="53"/>
    </row>
    <row r="984" spans="1:9" x14ac:dyDescent="0.3">
      <c r="A984" t="str">
        <f t="shared" si="15"/>
        <v>9Hounslow</v>
      </c>
      <c r="B984">
        <v>9</v>
      </c>
      <c r="C984" t="s">
        <v>179</v>
      </c>
      <c r="D984" t="s">
        <v>8479</v>
      </c>
      <c r="E984" t="s">
        <v>812</v>
      </c>
      <c r="F984" t="s">
        <v>8475</v>
      </c>
      <c r="H984" s="34">
        <v>36000</v>
      </c>
      <c r="I984" s="53"/>
    </row>
    <row r="985" spans="1:9" x14ac:dyDescent="0.3">
      <c r="A985" t="str">
        <f t="shared" si="15"/>
        <v>10Hounslow</v>
      </c>
      <c r="B985">
        <v>10</v>
      </c>
      <c r="C985" t="s">
        <v>179</v>
      </c>
      <c r="D985" t="s">
        <v>8480</v>
      </c>
      <c r="E985" t="s">
        <v>842</v>
      </c>
      <c r="F985" t="s">
        <v>7636</v>
      </c>
      <c r="H985" s="34">
        <v>26000</v>
      </c>
      <c r="I985" s="53"/>
    </row>
    <row r="986" spans="1:9" x14ac:dyDescent="0.3">
      <c r="A986" t="str">
        <f t="shared" si="15"/>
        <v>11Hounslow</v>
      </c>
      <c r="B986">
        <v>11</v>
      </c>
      <c r="C986" t="s">
        <v>179</v>
      </c>
      <c r="D986" t="s">
        <v>8481</v>
      </c>
      <c r="E986" t="s">
        <v>812</v>
      </c>
      <c r="F986" t="s">
        <v>8475</v>
      </c>
      <c r="H986" s="34">
        <v>50000</v>
      </c>
      <c r="I986" s="53"/>
    </row>
    <row r="987" spans="1:9" x14ac:dyDescent="0.3">
      <c r="A987" t="str">
        <f t="shared" si="15"/>
        <v>12Hounslow</v>
      </c>
      <c r="B987">
        <v>12</v>
      </c>
      <c r="C987" t="s">
        <v>179</v>
      </c>
      <c r="D987" t="s">
        <v>8482</v>
      </c>
      <c r="E987" t="s">
        <v>1106</v>
      </c>
      <c r="F987" t="s">
        <v>812</v>
      </c>
      <c r="H987" s="34">
        <v>160000</v>
      </c>
      <c r="I987" s="53"/>
    </row>
    <row r="988" spans="1:9" x14ac:dyDescent="0.3">
      <c r="A988" t="str">
        <f t="shared" si="15"/>
        <v>13Hounslow</v>
      </c>
      <c r="B988">
        <v>13</v>
      </c>
      <c r="C988" t="s">
        <v>179</v>
      </c>
      <c r="D988" t="s">
        <v>2593</v>
      </c>
      <c r="E988" t="s">
        <v>806</v>
      </c>
      <c r="F988" t="s">
        <v>807</v>
      </c>
      <c r="H988" s="34">
        <v>200000</v>
      </c>
      <c r="I988" s="53"/>
    </row>
    <row r="989" spans="1:9" x14ac:dyDescent="0.3">
      <c r="A989" t="str">
        <f t="shared" si="15"/>
        <v>14Hounslow</v>
      </c>
      <c r="B989">
        <v>14</v>
      </c>
      <c r="C989" t="s">
        <v>179</v>
      </c>
      <c r="D989" t="s">
        <v>8483</v>
      </c>
      <c r="E989" t="s">
        <v>1106</v>
      </c>
      <c r="F989" t="s">
        <v>812</v>
      </c>
      <c r="H989" s="34">
        <v>160000</v>
      </c>
      <c r="I989" s="53"/>
    </row>
    <row r="990" spans="1:9" x14ac:dyDescent="0.3">
      <c r="A990" t="str">
        <f t="shared" si="15"/>
        <v>1Islington</v>
      </c>
      <c r="B990">
        <v>1</v>
      </c>
      <c r="C990" t="s">
        <v>183</v>
      </c>
      <c r="D990" t="s">
        <v>8484</v>
      </c>
      <c r="E990" t="s">
        <v>1113</v>
      </c>
      <c r="F990" t="s">
        <v>7629</v>
      </c>
      <c r="H990" s="34">
        <v>111400</v>
      </c>
      <c r="I990" s="53"/>
    </row>
    <row r="991" spans="1:9" x14ac:dyDescent="0.3">
      <c r="A991" t="str">
        <f t="shared" si="15"/>
        <v>2Islington</v>
      </c>
      <c r="B991">
        <v>2</v>
      </c>
      <c r="C991" t="s">
        <v>183</v>
      </c>
      <c r="D991" t="s">
        <v>8485</v>
      </c>
      <c r="E991" t="s">
        <v>842</v>
      </c>
      <c r="F991" t="s">
        <v>7636</v>
      </c>
      <c r="H991" s="34">
        <v>340000</v>
      </c>
      <c r="I991" s="53"/>
    </row>
    <row r="992" spans="1:9" x14ac:dyDescent="0.3">
      <c r="A992" t="str">
        <f t="shared" si="15"/>
        <v>3Islington</v>
      </c>
      <c r="B992">
        <v>3</v>
      </c>
      <c r="C992" t="s">
        <v>183</v>
      </c>
      <c r="D992" t="s">
        <v>8486</v>
      </c>
      <c r="E992" t="s">
        <v>806</v>
      </c>
      <c r="F992" t="s">
        <v>807</v>
      </c>
      <c r="H992" s="34">
        <v>150716</v>
      </c>
      <c r="I992" s="53"/>
    </row>
    <row r="993" spans="1:9" x14ac:dyDescent="0.3">
      <c r="A993" t="str">
        <f t="shared" si="15"/>
        <v>4Islington</v>
      </c>
      <c r="B993">
        <v>4</v>
      </c>
      <c r="C993" t="s">
        <v>183</v>
      </c>
      <c r="D993" t="s">
        <v>8487</v>
      </c>
      <c r="E993" t="s">
        <v>7657</v>
      </c>
      <c r="F993" t="s">
        <v>7632</v>
      </c>
      <c r="H993" s="34">
        <v>512637</v>
      </c>
      <c r="I993" s="53"/>
    </row>
    <row r="994" spans="1:9" x14ac:dyDescent="0.3">
      <c r="A994" t="str">
        <f t="shared" si="15"/>
        <v>5Islington</v>
      </c>
      <c r="B994">
        <v>5</v>
      </c>
      <c r="C994" t="s">
        <v>183</v>
      </c>
      <c r="D994" t="s">
        <v>8488</v>
      </c>
      <c r="E994" t="s">
        <v>5266</v>
      </c>
      <c r="F994" t="s">
        <v>7631</v>
      </c>
      <c r="H994" s="34">
        <v>70000</v>
      </c>
      <c r="I994" s="53"/>
    </row>
    <row r="995" spans="1:9" x14ac:dyDescent="0.3">
      <c r="A995" t="str">
        <f t="shared" si="15"/>
        <v>6Islington</v>
      </c>
      <c r="B995">
        <v>6</v>
      </c>
      <c r="C995" t="s">
        <v>183</v>
      </c>
      <c r="D995" t="s">
        <v>1578</v>
      </c>
      <c r="E995" t="s">
        <v>800</v>
      </c>
      <c r="F995" t="s">
        <v>2108</v>
      </c>
      <c r="H995" s="34">
        <v>86052</v>
      </c>
      <c r="I995" s="53"/>
    </row>
    <row r="996" spans="1:9" x14ac:dyDescent="0.3">
      <c r="A996" t="str">
        <f t="shared" si="15"/>
        <v>7Islington</v>
      </c>
      <c r="B996">
        <v>7</v>
      </c>
      <c r="C996" t="s">
        <v>183</v>
      </c>
      <c r="D996" t="s">
        <v>8489</v>
      </c>
      <c r="E996" t="s">
        <v>806</v>
      </c>
      <c r="F996" t="s">
        <v>807</v>
      </c>
      <c r="H996" s="34">
        <v>86900</v>
      </c>
      <c r="I996" s="53"/>
    </row>
    <row r="997" spans="1:9" x14ac:dyDescent="0.3">
      <c r="A997" t="str">
        <f t="shared" si="15"/>
        <v>8Islington</v>
      </c>
      <c r="B997">
        <v>8</v>
      </c>
      <c r="C997" t="s">
        <v>183</v>
      </c>
      <c r="D997" t="s">
        <v>8490</v>
      </c>
      <c r="E997" t="s">
        <v>842</v>
      </c>
      <c r="F997" t="s">
        <v>7636</v>
      </c>
      <c r="H997" s="34">
        <v>180000</v>
      </c>
      <c r="I997" s="53"/>
    </row>
    <row r="998" spans="1:9" x14ac:dyDescent="0.3">
      <c r="A998" t="str">
        <f t="shared" si="15"/>
        <v>9Islington</v>
      </c>
      <c r="B998">
        <v>9</v>
      </c>
      <c r="C998" t="s">
        <v>183</v>
      </c>
      <c r="D998" t="s">
        <v>8491</v>
      </c>
      <c r="E998" t="s">
        <v>1113</v>
      </c>
      <c r="F998" t="s">
        <v>812</v>
      </c>
      <c r="H998" s="34">
        <v>2000</v>
      </c>
      <c r="I998" s="53"/>
    </row>
    <row r="999" spans="1:9" x14ac:dyDescent="0.3">
      <c r="A999" t="str">
        <f t="shared" si="15"/>
        <v>10Islington</v>
      </c>
      <c r="B999">
        <v>10</v>
      </c>
      <c r="C999" t="s">
        <v>183</v>
      </c>
      <c r="D999" t="s">
        <v>7915</v>
      </c>
      <c r="E999" t="s">
        <v>1106</v>
      </c>
      <c r="F999" t="s">
        <v>7628</v>
      </c>
      <c r="H999" s="34">
        <v>29191</v>
      </c>
      <c r="I999" s="53"/>
    </row>
    <row r="1000" spans="1:9" x14ac:dyDescent="0.3">
      <c r="A1000" t="str">
        <f t="shared" si="15"/>
        <v>11Islington</v>
      </c>
      <c r="B1000">
        <v>11</v>
      </c>
      <c r="C1000" t="s">
        <v>183</v>
      </c>
      <c r="D1000" t="s">
        <v>2575</v>
      </c>
      <c r="E1000" t="s">
        <v>1113</v>
      </c>
      <c r="F1000" t="s">
        <v>7629</v>
      </c>
      <c r="H1000" s="34">
        <v>36640</v>
      </c>
      <c r="I1000" s="53"/>
    </row>
    <row r="1001" spans="1:9" x14ac:dyDescent="0.3">
      <c r="A1001" t="str">
        <f t="shared" si="15"/>
        <v>12Islington</v>
      </c>
      <c r="B1001">
        <v>12</v>
      </c>
      <c r="C1001" t="s">
        <v>183</v>
      </c>
      <c r="D1001" t="s">
        <v>7917</v>
      </c>
      <c r="E1001" t="s">
        <v>812</v>
      </c>
      <c r="H1001" s="34">
        <v>50000</v>
      </c>
      <c r="I1001" s="53"/>
    </row>
    <row r="1002" spans="1:9" x14ac:dyDescent="0.3">
      <c r="A1002" t="str">
        <f t="shared" si="15"/>
        <v>13Islington</v>
      </c>
      <c r="B1002">
        <v>13</v>
      </c>
      <c r="C1002" t="s">
        <v>183</v>
      </c>
      <c r="D1002" t="s">
        <v>7918</v>
      </c>
      <c r="E1002" t="s">
        <v>812</v>
      </c>
      <c r="H1002" s="34">
        <v>100000</v>
      </c>
      <c r="I1002" s="53"/>
    </row>
    <row r="1003" spans="1:9" x14ac:dyDescent="0.3">
      <c r="A1003" t="str">
        <f t="shared" si="15"/>
        <v>14Islington</v>
      </c>
      <c r="B1003">
        <v>14</v>
      </c>
      <c r="C1003" t="s">
        <v>183</v>
      </c>
      <c r="D1003" t="s">
        <v>7919</v>
      </c>
      <c r="E1003" t="s">
        <v>1106</v>
      </c>
      <c r="F1003" t="s">
        <v>7628</v>
      </c>
      <c r="H1003" s="34">
        <v>80000</v>
      </c>
      <c r="I1003" s="53"/>
    </row>
    <row r="1004" spans="1:9" x14ac:dyDescent="0.3">
      <c r="A1004" t="str">
        <f t="shared" si="15"/>
        <v>15Islington</v>
      </c>
      <c r="B1004">
        <v>15</v>
      </c>
      <c r="C1004" t="s">
        <v>183</v>
      </c>
      <c r="D1004" t="s">
        <v>7920</v>
      </c>
      <c r="E1004" t="s">
        <v>812</v>
      </c>
      <c r="H1004" s="34">
        <v>9866</v>
      </c>
      <c r="I1004" s="53"/>
    </row>
    <row r="1005" spans="1:9" x14ac:dyDescent="0.3">
      <c r="A1005" t="str">
        <f t="shared" si="15"/>
        <v>16Islington</v>
      </c>
      <c r="B1005">
        <v>16</v>
      </c>
      <c r="C1005" t="s">
        <v>183</v>
      </c>
      <c r="D1005" t="s">
        <v>8492</v>
      </c>
      <c r="E1005" t="s">
        <v>1106</v>
      </c>
      <c r="F1005" t="s">
        <v>7628</v>
      </c>
      <c r="H1005" s="34">
        <v>17000</v>
      </c>
      <c r="I1005" s="53"/>
    </row>
    <row r="1006" spans="1:9" x14ac:dyDescent="0.3">
      <c r="A1006" t="str">
        <f t="shared" si="15"/>
        <v>17Islington</v>
      </c>
      <c r="B1006">
        <v>17</v>
      </c>
      <c r="C1006" t="s">
        <v>183</v>
      </c>
      <c r="D1006" t="s">
        <v>7921</v>
      </c>
      <c r="E1006" t="s">
        <v>1106</v>
      </c>
      <c r="F1006" t="s">
        <v>7628</v>
      </c>
      <c r="H1006" s="34">
        <v>108172</v>
      </c>
      <c r="I1006" s="53"/>
    </row>
    <row r="1007" spans="1:9" x14ac:dyDescent="0.3">
      <c r="A1007" t="str">
        <f t="shared" si="15"/>
        <v>18Islington</v>
      </c>
      <c r="B1007">
        <v>18</v>
      </c>
      <c r="C1007" t="s">
        <v>183</v>
      </c>
      <c r="D1007" t="s">
        <v>8493</v>
      </c>
      <c r="E1007" t="s">
        <v>1113</v>
      </c>
      <c r="F1007" t="s">
        <v>812</v>
      </c>
      <c r="H1007" s="34">
        <v>50000</v>
      </c>
      <c r="I1007" s="53"/>
    </row>
    <row r="1008" spans="1:9" x14ac:dyDescent="0.3">
      <c r="A1008" t="str">
        <f t="shared" si="15"/>
        <v>19Islington</v>
      </c>
      <c r="B1008">
        <v>19</v>
      </c>
      <c r="C1008" t="s">
        <v>183</v>
      </c>
      <c r="D1008" t="s">
        <v>8494</v>
      </c>
      <c r="E1008" t="s">
        <v>1113</v>
      </c>
      <c r="F1008" t="s">
        <v>7629</v>
      </c>
      <c r="H1008" s="34">
        <v>35000</v>
      </c>
      <c r="I1008" s="53"/>
    </row>
    <row r="1009" spans="1:9" x14ac:dyDescent="0.3">
      <c r="A1009" t="str">
        <f t="shared" si="15"/>
        <v>1Kensington and Chelsea</v>
      </c>
      <c r="B1009">
        <v>1</v>
      </c>
      <c r="C1009" t="s">
        <v>185</v>
      </c>
      <c r="D1009" t="s">
        <v>7657</v>
      </c>
      <c r="E1009" t="s">
        <v>7657</v>
      </c>
      <c r="F1009" t="s">
        <v>7632</v>
      </c>
      <c r="H1009" s="34">
        <v>50000</v>
      </c>
      <c r="I1009" s="53"/>
    </row>
    <row r="1010" spans="1:9" x14ac:dyDescent="0.3">
      <c r="A1010" t="str">
        <f t="shared" si="15"/>
        <v>2Kensington and Chelsea</v>
      </c>
      <c r="B1010">
        <v>2</v>
      </c>
      <c r="C1010" t="s">
        <v>185</v>
      </c>
      <c r="D1010" t="s">
        <v>7827</v>
      </c>
      <c r="E1010" t="s">
        <v>7662</v>
      </c>
      <c r="H1010" s="34">
        <v>7223</v>
      </c>
      <c r="I1010" s="53"/>
    </row>
    <row r="1011" spans="1:9" x14ac:dyDescent="0.3">
      <c r="A1011" t="str">
        <f t="shared" si="15"/>
        <v>3Kensington and Chelsea</v>
      </c>
      <c r="B1011">
        <v>3</v>
      </c>
      <c r="C1011" t="s">
        <v>185</v>
      </c>
      <c r="D1011" t="s">
        <v>800</v>
      </c>
      <c r="E1011" t="s">
        <v>800</v>
      </c>
      <c r="F1011" t="s">
        <v>903</v>
      </c>
      <c r="H1011" s="34">
        <v>100000</v>
      </c>
      <c r="I1011" s="53"/>
    </row>
    <row r="1012" spans="1:9" x14ac:dyDescent="0.3">
      <c r="A1012" t="str">
        <f t="shared" si="15"/>
        <v>4Kensington and Chelsea</v>
      </c>
      <c r="B1012">
        <v>4</v>
      </c>
      <c r="C1012" t="s">
        <v>185</v>
      </c>
      <c r="D1012" t="s">
        <v>1106</v>
      </c>
      <c r="E1012" t="s">
        <v>1106</v>
      </c>
      <c r="F1012" t="s">
        <v>7628</v>
      </c>
      <c r="H1012" s="34">
        <v>204000</v>
      </c>
      <c r="I1012" s="53"/>
    </row>
    <row r="1013" spans="1:9" x14ac:dyDescent="0.3">
      <c r="A1013" t="str">
        <f t="shared" si="15"/>
        <v>5Kensington and Chelsea</v>
      </c>
      <c r="B1013">
        <v>5</v>
      </c>
      <c r="C1013" t="s">
        <v>185</v>
      </c>
      <c r="D1013" t="s">
        <v>8495</v>
      </c>
      <c r="E1013" t="s">
        <v>842</v>
      </c>
      <c r="F1013" t="s">
        <v>7636</v>
      </c>
      <c r="H1013" s="34">
        <v>415000</v>
      </c>
      <c r="I1013" s="53"/>
    </row>
    <row r="1014" spans="1:9" x14ac:dyDescent="0.3">
      <c r="A1014" t="str">
        <f t="shared" si="15"/>
        <v>6Kensington and Chelsea</v>
      </c>
      <c r="B1014">
        <v>6</v>
      </c>
      <c r="C1014" t="s">
        <v>185</v>
      </c>
      <c r="D1014" t="s">
        <v>5266</v>
      </c>
      <c r="E1014" t="s">
        <v>5266</v>
      </c>
      <c r="F1014" t="s">
        <v>7639</v>
      </c>
      <c r="H1014" s="34">
        <v>25000</v>
      </c>
      <c r="I1014" s="53"/>
    </row>
    <row r="1015" spans="1:9" x14ac:dyDescent="0.3">
      <c r="A1015" t="str">
        <f t="shared" si="15"/>
        <v>7Kensington and Chelsea</v>
      </c>
      <c r="B1015">
        <v>7</v>
      </c>
      <c r="C1015" t="s">
        <v>185</v>
      </c>
      <c r="D1015" t="s">
        <v>7649</v>
      </c>
      <c r="E1015" t="s">
        <v>7649</v>
      </c>
      <c r="F1015" t="s">
        <v>7638</v>
      </c>
      <c r="H1015" s="34">
        <v>80000</v>
      </c>
      <c r="I1015" s="53"/>
    </row>
    <row r="1016" spans="1:9" x14ac:dyDescent="0.3">
      <c r="A1016" t="str">
        <f t="shared" si="15"/>
        <v>8Kensington and Chelsea</v>
      </c>
      <c r="B1016">
        <v>8</v>
      </c>
      <c r="C1016" t="s">
        <v>185</v>
      </c>
      <c r="D1016" t="s">
        <v>7658</v>
      </c>
      <c r="E1016" t="s">
        <v>7658</v>
      </c>
      <c r="H1016" s="34">
        <v>15000</v>
      </c>
      <c r="I1016" s="53"/>
    </row>
    <row r="1017" spans="1:9" x14ac:dyDescent="0.3">
      <c r="A1017" t="str">
        <f t="shared" si="15"/>
        <v>9Kensington and Chelsea</v>
      </c>
      <c r="B1017">
        <v>9</v>
      </c>
      <c r="C1017" t="s">
        <v>185</v>
      </c>
      <c r="D1017" t="s">
        <v>8496</v>
      </c>
      <c r="E1017" t="s">
        <v>1106</v>
      </c>
      <c r="F1017" t="s">
        <v>7628</v>
      </c>
      <c r="H1017" s="34">
        <v>120000</v>
      </c>
      <c r="I1017" s="53"/>
    </row>
    <row r="1018" spans="1:9" x14ac:dyDescent="0.3">
      <c r="A1018" t="str">
        <f t="shared" si="15"/>
        <v>10Kensington and Chelsea</v>
      </c>
      <c r="B1018">
        <v>10</v>
      </c>
      <c r="C1018" t="s">
        <v>185</v>
      </c>
      <c r="D1018" t="s">
        <v>8497</v>
      </c>
      <c r="E1018" t="s">
        <v>812</v>
      </c>
      <c r="H1018" s="34">
        <v>67777</v>
      </c>
      <c r="I1018" s="53"/>
    </row>
    <row r="1019" spans="1:9" x14ac:dyDescent="0.3">
      <c r="A1019" t="str">
        <f t="shared" si="15"/>
        <v>11Kensington and Chelsea</v>
      </c>
      <c r="B1019">
        <v>11</v>
      </c>
      <c r="C1019" t="s">
        <v>185</v>
      </c>
      <c r="D1019" t="s">
        <v>8498</v>
      </c>
      <c r="E1019" t="s">
        <v>806</v>
      </c>
      <c r="F1019" t="s">
        <v>807</v>
      </c>
      <c r="H1019" s="34">
        <v>638338</v>
      </c>
      <c r="I1019" s="53"/>
    </row>
    <row r="1020" spans="1:9" x14ac:dyDescent="0.3">
      <c r="A1020" t="str">
        <f t="shared" si="15"/>
        <v>1Kent</v>
      </c>
      <c r="B1020">
        <v>1</v>
      </c>
      <c r="C1020" t="s">
        <v>187</v>
      </c>
      <c r="D1020" t="s">
        <v>8499</v>
      </c>
      <c r="E1020" t="s">
        <v>806</v>
      </c>
      <c r="F1020" t="s">
        <v>812</v>
      </c>
      <c r="H1020" s="34">
        <v>312331</v>
      </c>
      <c r="I1020" s="53"/>
    </row>
    <row r="1021" spans="1:9" x14ac:dyDescent="0.3">
      <c r="A1021" t="str">
        <f t="shared" si="15"/>
        <v>2Kent</v>
      </c>
      <c r="B1021">
        <v>2</v>
      </c>
      <c r="C1021" t="s">
        <v>187</v>
      </c>
      <c r="D1021" t="s">
        <v>8500</v>
      </c>
      <c r="E1021" t="s">
        <v>7657</v>
      </c>
      <c r="F1021" t="s">
        <v>7632</v>
      </c>
      <c r="H1021" s="34">
        <v>30000</v>
      </c>
      <c r="I1021" s="53"/>
    </row>
    <row r="1022" spans="1:9" x14ac:dyDescent="0.3">
      <c r="A1022" t="str">
        <f t="shared" si="15"/>
        <v>3Kent</v>
      </c>
      <c r="B1022">
        <v>3</v>
      </c>
      <c r="C1022" t="s">
        <v>187</v>
      </c>
      <c r="D1022" t="s">
        <v>8501</v>
      </c>
      <c r="E1022" t="s">
        <v>842</v>
      </c>
      <c r="F1022" t="s">
        <v>843</v>
      </c>
      <c r="H1022" s="34">
        <v>1705500</v>
      </c>
      <c r="I1022" s="53"/>
    </row>
    <row r="1023" spans="1:9" x14ac:dyDescent="0.3">
      <c r="A1023" t="str">
        <f t="shared" si="15"/>
        <v>4Kent</v>
      </c>
      <c r="B1023">
        <v>4</v>
      </c>
      <c r="C1023" t="s">
        <v>187</v>
      </c>
      <c r="D1023" t="s">
        <v>8502</v>
      </c>
      <c r="E1023" t="s">
        <v>7649</v>
      </c>
      <c r="F1023" t="s">
        <v>7638</v>
      </c>
      <c r="H1023" s="34">
        <v>150000</v>
      </c>
      <c r="I1023" s="53"/>
    </row>
    <row r="1024" spans="1:9" x14ac:dyDescent="0.3">
      <c r="A1024" t="str">
        <f t="shared" si="15"/>
        <v>5Kent</v>
      </c>
      <c r="B1024">
        <v>5</v>
      </c>
      <c r="C1024" t="s">
        <v>187</v>
      </c>
      <c r="D1024" t="s">
        <v>8503</v>
      </c>
      <c r="E1024" t="s">
        <v>806</v>
      </c>
      <c r="F1024" t="s">
        <v>807</v>
      </c>
      <c r="H1024" s="34">
        <v>2421600</v>
      </c>
      <c r="I1024" s="53"/>
    </row>
    <row r="1025" spans="1:9" x14ac:dyDescent="0.3">
      <c r="A1025" t="str">
        <f t="shared" si="15"/>
        <v>6Kent</v>
      </c>
      <c r="B1025">
        <v>6</v>
      </c>
      <c r="C1025" t="s">
        <v>187</v>
      </c>
      <c r="D1025" t="s">
        <v>8504</v>
      </c>
      <c r="E1025" t="s">
        <v>7657</v>
      </c>
      <c r="F1025" t="s">
        <v>7632</v>
      </c>
      <c r="H1025" s="34">
        <v>36000</v>
      </c>
      <c r="I1025" s="53"/>
    </row>
    <row r="1026" spans="1:9" x14ac:dyDescent="0.3">
      <c r="A1026" t="str">
        <f t="shared" ref="A1026:A1089" si="16">B1026&amp;C1026</f>
        <v>7Kent</v>
      </c>
      <c r="B1026">
        <v>7</v>
      </c>
      <c r="C1026" t="s">
        <v>187</v>
      </c>
      <c r="D1026" t="s">
        <v>8505</v>
      </c>
      <c r="E1026" t="s">
        <v>7657</v>
      </c>
      <c r="F1026" t="s">
        <v>7632</v>
      </c>
      <c r="H1026" s="34">
        <v>772000</v>
      </c>
      <c r="I1026" s="53"/>
    </row>
    <row r="1027" spans="1:9" x14ac:dyDescent="0.3">
      <c r="A1027" t="str">
        <f t="shared" si="16"/>
        <v>8Kent</v>
      </c>
      <c r="B1027">
        <v>8</v>
      </c>
      <c r="C1027" t="s">
        <v>187</v>
      </c>
      <c r="D1027" t="s">
        <v>8506</v>
      </c>
      <c r="E1027" t="s">
        <v>7662</v>
      </c>
      <c r="H1027" s="34">
        <v>75000</v>
      </c>
      <c r="I1027" s="53"/>
    </row>
    <row r="1028" spans="1:9" x14ac:dyDescent="0.3">
      <c r="A1028" t="str">
        <f t="shared" si="16"/>
        <v>9Kent</v>
      </c>
      <c r="B1028">
        <v>9</v>
      </c>
      <c r="C1028" t="s">
        <v>187</v>
      </c>
      <c r="D1028" t="s">
        <v>7662</v>
      </c>
      <c r="E1028" t="s">
        <v>7662</v>
      </c>
      <c r="H1028" s="34">
        <v>51370</v>
      </c>
      <c r="I1028" s="53"/>
    </row>
    <row r="1029" spans="1:9" x14ac:dyDescent="0.3">
      <c r="A1029" t="str">
        <f t="shared" si="16"/>
        <v>10Kent</v>
      </c>
      <c r="B1029">
        <v>10</v>
      </c>
      <c r="C1029" t="s">
        <v>187</v>
      </c>
      <c r="D1029" t="s">
        <v>8507</v>
      </c>
      <c r="E1029" t="s">
        <v>812</v>
      </c>
      <c r="H1029" s="34">
        <v>95000</v>
      </c>
      <c r="I1029" s="53"/>
    </row>
    <row r="1030" spans="1:9" x14ac:dyDescent="0.3">
      <c r="A1030" t="str">
        <f t="shared" si="16"/>
        <v>11Kent</v>
      </c>
      <c r="B1030">
        <v>11</v>
      </c>
      <c r="C1030" t="s">
        <v>187</v>
      </c>
      <c r="D1030" t="s">
        <v>8508</v>
      </c>
      <c r="E1030" t="s">
        <v>1106</v>
      </c>
      <c r="F1030" t="s">
        <v>7628</v>
      </c>
      <c r="H1030" s="34">
        <v>3400000</v>
      </c>
      <c r="I1030" s="53"/>
    </row>
    <row r="1031" spans="1:9" x14ac:dyDescent="0.3">
      <c r="A1031" t="str">
        <f t="shared" si="16"/>
        <v>12Kent</v>
      </c>
      <c r="B1031">
        <v>12</v>
      </c>
      <c r="C1031" t="s">
        <v>187</v>
      </c>
      <c r="D1031" t="s">
        <v>8509</v>
      </c>
      <c r="E1031" t="s">
        <v>1106</v>
      </c>
      <c r="F1031" t="s">
        <v>7628</v>
      </c>
      <c r="H1031" s="34">
        <v>385000</v>
      </c>
      <c r="I1031" s="53"/>
    </row>
    <row r="1032" spans="1:9" x14ac:dyDescent="0.3">
      <c r="A1032" t="str">
        <f t="shared" si="16"/>
        <v>13Kent</v>
      </c>
      <c r="B1032">
        <v>13</v>
      </c>
      <c r="C1032" t="s">
        <v>187</v>
      </c>
      <c r="D1032" t="s">
        <v>8510</v>
      </c>
      <c r="E1032" t="s">
        <v>800</v>
      </c>
      <c r="F1032" t="s">
        <v>903</v>
      </c>
      <c r="H1032" s="34">
        <v>205000</v>
      </c>
      <c r="I1032" s="53"/>
    </row>
    <row r="1033" spans="1:9" x14ac:dyDescent="0.3">
      <c r="A1033" t="str">
        <f t="shared" si="16"/>
        <v>14Kent</v>
      </c>
      <c r="B1033">
        <v>14</v>
      </c>
      <c r="C1033" t="s">
        <v>187</v>
      </c>
      <c r="D1033" t="s">
        <v>8511</v>
      </c>
      <c r="E1033" t="s">
        <v>7657</v>
      </c>
      <c r="F1033" t="s">
        <v>7632</v>
      </c>
      <c r="H1033" s="34">
        <v>1272000</v>
      </c>
      <c r="I1033" s="53"/>
    </row>
    <row r="1034" spans="1:9" x14ac:dyDescent="0.3">
      <c r="A1034" t="str">
        <f t="shared" si="16"/>
        <v>15Kent</v>
      </c>
      <c r="B1034">
        <v>15</v>
      </c>
      <c r="C1034" t="s">
        <v>187</v>
      </c>
      <c r="D1034" t="s">
        <v>8512</v>
      </c>
      <c r="E1034" t="s">
        <v>7657</v>
      </c>
      <c r="F1034" t="s">
        <v>7640</v>
      </c>
      <c r="H1034" s="34">
        <v>200000</v>
      </c>
      <c r="I1034" s="53"/>
    </row>
    <row r="1035" spans="1:9" x14ac:dyDescent="0.3">
      <c r="A1035" t="str">
        <f t="shared" si="16"/>
        <v>16Kent</v>
      </c>
      <c r="B1035">
        <v>16</v>
      </c>
      <c r="C1035" t="s">
        <v>187</v>
      </c>
      <c r="D1035" t="s">
        <v>8513</v>
      </c>
      <c r="E1035" t="s">
        <v>842</v>
      </c>
      <c r="F1035" t="s">
        <v>843</v>
      </c>
      <c r="H1035" s="34">
        <v>600000</v>
      </c>
      <c r="I1035" s="53"/>
    </row>
    <row r="1036" spans="1:9" x14ac:dyDescent="0.3">
      <c r="A1036" t="str">
        <f t="shared" si="16"/>
        <v>17Kent</v>
      </c>
      <c r="B1036">
        <v>17</v>
      </c>
      <c r="C1036" t="s">
        <v>187</v>
      </c>
      <c r="D1036" t="s">
        <v>8513</v>
      </c>
      <c r="E1036" t="s">
        <v>842</v>
      </c>
      <c r="F1036" t="s">
        <v>1594</v>
      </c>
      <c r="H1036" s="34">
        <v>265000</v>
      </c>
      <c r="I1036" s="53"/>
    </row>
    <row r="1037" spans="1:9" x14ac:dyDescent="0.3">
      <c r="A1037" t="str">
        <f t="shared" si="16"/>
        <v>18Kent</v>
      </c>
      <c r="B1037">
        <v>18</v>
      </c>
      <c r="C1037" t="s">
        <v>187</v>
      </c>
      <c r="D1037" t="s">
        <v>8513</v>
      </c>
      <c r="E1037" t="s">
        <v>842</v>
      </c>
      <c r="F1037" t="s">
        <v>812</v>
      </c>
      <c r="H1037" s="34">
        <v>530000</v>
      </c>
      <c r="I1037" s="53"/>
    </row>
    <row r="1038" spans="1:9" x14ac:dyDescent="0.3">
      <c r="A1038" t="str">
        <f t="shared" si="16"/>
        <v>19Kent</v>
      </c>
      <c r="B1038">
        <v>19</v>
      </c>
      <c r="C1038" t="s">
        <v>187</v>
      </c>
      <c r="D1038" t="s">
        <v>1160</v>
      </c>
      <c r="E1038" t="s">
        <v>800</v>
      </c>
      <c r="F1038" t="s">
        <v>2108</v>
      </c>
      <c r="H1038" s="34">
        <v>205227</v>
      </c>
      <c r="I1038" s="53"/>
    </row>
    <row r="1039" spans="1:9" x14ac:dyDescent="0.3">
      <c r="A1039" t="str">
        <f t="shared" si="16"/>
        <v>20Kent</v>
      </c>
      <c r="B1039">
        <v>20</v>
      </c>
      <c r="C1039" t="s">
        <v>187</v>
      </c>
      <c r="D1039" t="s">
        <v>8514</v>
      </c>
      <c r="E1039" t="s">
        <v>7657</v>
      </c>
      <c r="F1039" t="s">
        <v>7632</v>
      </c>
      <c r="H1039" s="34">
        <v>354259</v>
      </c>
      <c r="I1039" s="53"/>
    </row>
    <row r="1040" spans="1:9" x14ac:dyDescent="0.3">
      <c r="A1040" t="str">
        <f t="shared" si="16"/>
        <v>21Kent</v>
      </c>
      <c r="B1040">
        <v>21</v>
      </c>
      <c r="C1040" t="s">
        <v>187</v>
      </c>
      <c r="D1040" t="s">
        <v>8515</v>
      </c>
      <c r="E1040" t="s">
        <v>7649</v>
      </c>
      <c r="F1040" t="s">
        <v>7638</v>
      </c>
      <c r="H1040" s="34">
        <v>25000</v>
      </c>
      <c r="I1040" s="53"/>
    </row>
    <row r="1041" spans="1:9" x14ac:dyDescent="0.3">
      <c r="A1041" t="str">
        <f t="shared" si="16"/>
        <v>1Kingston upon Hull, City of</v>
      </c>
      <c r="B1041">
        <v>1</v>
      </c>
      <c r="C1041" t="s">
        <v>189</v>
      </c>
      <c r="D1041" t="s">
        <v>8158</v>
      </c>
      <c r="E1041" t="s">
        <v>1106</v>
      </c>
      <c r="F1041" t="s">
        <v>7628</v>
      </c>
      <c r="H1041" s="34">
        <v>28000</v>
      </c>
      <c r="I1041" s="53"/>
    </row>
    <row r="1042" spans="1:9" x14ac:dyDescent="0.3">
      <c r="A1042" t="str">
        <f t="shared" si="16"/>
        <v>2Kingston upon Hull, City of</v>
      </c>
      <c r="B1042">
        <v>2</v>
      </c>
      <c r="C1042" t="s">
        <v>189</v>
      </c>
      <c r="D1042" t="s">
        <v>8516</v>
      </c>
      <c r="E1042" t="s">
        <v>1106</v>
      </c>
      <c r="F1042" t="s">
        <v>7628</v>
      </c>
      <c r="H1042" s="34">
        <v>64000</v>
      </c>
      <c r="I1042" s="53"/>
    </row>
    <row r="1043" spans="1:9" x14ac:dyDescent="0.3">
      <c r="A1043" t="str">
        <f t="shared" si="16"/>
        <v>3Kingston upon Hull, City of</v>
      </c>
      <c r="B1043">
        <v>3</v>
      </c>
      <c r="C1043" t="s">
        <v>189</v>
      </c>
      <c r="D1043" t="s">
        <v>8517</v>
      </c>
      <c r="E1043" t="s">
        <v>806</v>
      </c>
      <c r="F1043" t="s">
        <v>807</v>
      </c>
      <c r="H1043" s="34">
        <v>582032</v>
      </c>
      <c r="I1043" s="53"/>
    </row>
    <row r="1044" spans="1:9" x14ac:dyDescent="0.3">
      <c r="A1044" t="str">
        <f t="shared" si="16"/>
        <v>4Kingston upon Hull, City of</v>
      </c>
      <c r="B1044">
        <v>4</v>
      </c>
      <c r="C1044" t="s">
        <v>189</v>
      </c>
      <c r="D1044" t="s">
        <v>8518</v>
      </c>
      <c r="E1044" t="s">
        <v>806</v>
      </c>
      <c r="F1044" t="s">
        <v>807</v>
      </c>
      <c r="H1044" s="34">
        <v>270863.44</v>
      </c>
      <c r="I1044" s="53"/>
    </row>
    <row r="1045" spans="1:9" x14ac:dyDescent="0.3">
      <c r="A1045" t="str">
        <f t="shared" si="16"/>
        <v>5Kingston upon Hull, City of</v>
      </c>
      <c r="B1045">
        <v>5</v>
      </c>
      <c r="C1045" t="s">
        <v>189</v>
      </c>
      <c r="D1045" t="s">
        <v>8161</v>
      </c>
      <c r="E1045" t="s">
        <v>812</v>
      </c>
      <c r="H1045" s="34">
        <v>140000</v>
      </c>
      <c r="I1045" s="53"/>
    </row>
    <row r="1046" spans="1:9" x14ac:dyDescent="0.3">
      <c r="A1046" t="str">
        <f t="shared" si="16"/>
        <v>6Kingston upon Hull, City of</v>
      </c>
      <c r="B1046">
        <v>6</v>
      </c>
      <c r="C1046" t="s">
        <v>189</v>
      </c>
      <c r="D1046" t="s">
        <v>8519</v>
      </c>
      <c r="E1046" t="s">
        <v>5266</v>
      </c>
      <c r="F1046" t="s">
        <v>7646</v>
      </c>
      <c r="H1046" s="34">
        <v>628754</v>
      </c>
      <c r="I1046" s="53"/>
    </row>
    <row r="1047" spans="1:9" x14ac:dyDescent="0.3">
      <c r="A1047" t="str">
        <f t="shared" si="16"/>
        <v>7Kingston upon Hull, City of</v>
      </c>
      <c r="B1047">
        <v>7</v>
      </c>
      <c r="C1047" t="s">
        <v>189</v>
      </c>
      <c r="D1047" t="s">
        <v>8163</v>
      </c>
      <c r="E1047" t="s">
        <v>812</v>
      </c>
      <c r="H1047" s="34">
        <v>20000</v>
      </c>
      <c r="I1047" s="53"/>
    </row>
    <row r="1048" spans="1:9" x14ac:dyDescent="0.3">
      <c r="A1048" t="str">
        <f t="shared" si="16"/>
        <v>8Kingston upon Hull, City of</v>
      </c>
      <c r="B1048">
        <v>8</v>
      </c>
      <c r="C1048" t="s">
        <v>189</v>
      </c>
      <c r="D1048" t="s">
        <v>8520</v>
      </c>
      <c r="E1048" t="s">
        <v>812</v>
      </c>
      <c r="H1048" s="34">
        <v>351000</v>
      </c>
      <c r="I1048" s="53"/>
    </row>
    <row r="1049" spans="1:9" x14ac:dyDescent="0.3">
      <c r="A1049" t="str">
        <f t="shared" si="16"/>
        <v>9Kingston upon Hull, City of</v>
      </c>
      <c r="B1049">
        <v>9</v>
      </c>
      <c r="C1049" t="s">
        <v>189</v>
      </c>
      <c r="D1049" t="s">
        <v>8521</v>
      </c>
      <c r="E1049" t="s">
        <v>7658</v>
      </c>
      <c r="H1049" s="34">
        <v>125000</v>
      </c>
      <c r="I1049" s="53"/>
    </row>
    <row r="1050" spans="1:9" x14ac:dyDescent="0.3">
      <c r="A1050" t="str">
        <f t="shared" si="16"/>
        <v>10Kingston upon Hull, City of</v>
      </c>
      <c r="B1050">
        <v>10</v>
      </c>
      <c r="C1050" t="s">
        <v>189</v>
      </c>
      <c r="D1050" t="s">
        <v>8168</v>
      </c>
      <c r="E1050" t="s">
        <v>812</v>
      </c>
      <c r="H1050" s="34">
        <v>13688</v>
      </c>
      <c r="I1050" s="53"/>
    </row>
    <row r="1051" spans="1:9" x14ac:dyDescent="0.3">
      <c r="A1051" t="str">
        <f t="shared" si="16"/>
        <v>11Kingston upon Hull, City of</v>
      </c>
      <c r="B1051">
        <v>11</v>
      </c>
      <c r="C1051" t="s">
        <v>189</v>
      </c>
      <c r="D1051" t="s">
        <v>8169</v>
      </c>
      <c r="E1051" t="s">
        <v>842</v>
      </c>
      <c r="F1051" t="s">
        <v>7636</v>
      </c>
      <c r="H1051" s="34">
        <v>525000</v>
      </c>
      <c r="I1051" s="53"/>
    </row>
    <row r="1052" spans="1:9" x14ac:dyDescent="0.3">
      <c r="A1052" t="str">
        <f t="shared" si="16"/>
        <v>12Kingston upon Hull, City of</v>
      </c>
      <c r="B1052">
        <v>12</v>
      </c>
      <c r="C1052" t="s">
        <v>189</v>
      </c>
      <c r="D1052" t="s">
        <v>8522</v>
      </c>
      <c r="E1052" t="s">
        <v>1106</v>
      </c>
      <c r="F1052" t="s">
        <v>7628</v>
      </c>
      <c r="H1052" s="34">
        <v>96000</v>
      </c>
      <c r="I1052" s="53"/>
    </row>
    <row r="1053" spans="1:9" x14ac:dyDescent="0.3">
      <c r="A1053" t="str">
        <f t="shared" si="16"/>
        <v>13Kingston upon Hull, City of</v>
      </c>
      <c r="B1053">
        <v>13</v>
      </c>
      <c r="C1053" t="s">
        <v>189</v>
      </c>
      <c r="D1053" t="s">
        <v>8523</v>
      </c>
      <c r="E1053" t="s">
        <v>5266</v>
      </c>
      <c r="F1053" t="s">
        <v>7639</v>
      </c>
      <c r="H1053" s="34">
        <v>50000</v>
      </c>
      <c r="I1053" s="53"/>
    </row>
    <row r="1054" spans="1:9" x14ac:dyDescent="0.3">
      <c r="A1054" t="str">
        <f t="shared" si="16"/>
        <v>14Kingston upon Hull, City of</v>
      </c>
      <c r="B1054">
        <v>14</v>
      </c>
      <c r="C1054" t="s">
        <v>189</v>
      </c>
      <c r="D1054" t="s">
        <v>8173</v>
      </c>
      <c r="E1054" t="s">
        <v>842</v>
      </c>
      <c r="F1054" t="s">
        <v>1594</v>
      </c>
      <c r="H1054" s="34">
        <v>25000</v>
      </c>
      <c r="I1054" s="53"/>
    </row>
    <row r="1055" spans="1:9" x14ac:dyDescent="0.3">
      <c r="A1055" t="str">
        <f t="shared" si="16"/>
        <v>15Kingston upon Hull, City of</v>
      </c>
      <c r="B1055">
        <v>15</v>
      </c>
      <c r="C1055" t="s">
        <v>189</v>
      </c>
      <c r="D1055" t="s">
        <v>8524</v>
      </c>
      <c r="E1055" t="s">
        <v>7657</v>
      </c>
      <c r="F1055" t="s">
        <v>7644</v>
      </c>
      <c r="H1055" s="34">
        <v>30000</v>
      </c>
      <c r="I1055" s="53"/>
    </row>
    <row r="1056" spans="1:9" x14ac:dyDescent="0.3">
      <c r="A1056" t="str">
        <f t="shared" si="16"/>
        <v>16Kingston upon Hull, City of</v>
      </c>
      <c r="B1056">
        <v>16</v>
      </c>
      <c r="C1056" t="s">
        <v>189</v>
      </c>
      <c r="D1056" t="s">
        <v>8176</v>
      </c>
      <c r="E1056" t="s">
        <v>812</v>
      </c>
      <c r="H1056" s="34">
        <v>10500</v>
      </c>
      <c r="I1056" s="53"/>
    </row>
    <row r="1057" spans="1:9" x14ac:dyDescent="0.3">
      <c r="A1057" t="str">
        <f t="shared" si="16"/>
        <v>17Kingston upon Hull, City of</v>
      </c>
      <c r="B1057">
        <v>17</v>
      </c>
      <c r="C1057" t="s">
        <v>189</v>
      </c>
      <c r="D1057" t="s">
        <v>8178</v>
      </c>
      <c r="E1057" t="s">
        <v>1106</v>
      </c>
      <c r="F1057" t="s">
        <v>7628</v>
      </c>
      <c r="H1057" s="34">
        <v>120000</v>
      </c>
      <c r="I1057" s="53"/>
    </row>
    <row r="1058" spans="1:9" x14ac:dyDescent="0.3">
      <c r="A1058" t="str">
        <f t="shared" si="16"/>
        <v>18Kingston upon Hull, City of</v>
      </c>
      <c r="B1058">
        <v>18</v>
      </c>
      <c r="C1058" t="s">
        <v>189</v>
      </c>
      <c r="D1058" t="s">
        <v>8525</v>
      </c>
      <c r="E1058" t="s">
        <v>1106</v>
      </c>
      <c r="F1058" t="s">
        <v>7628</v>
      </c>
      <c r="H1058" s="34">
        <v>160000</v>
      </c>
      <c r="I1058" s="53"/>
    </row>
    <row r="1059" spans="1:9" x14ac:dyDescent="0.3">
      <c r="A1059" t="str">
        <f t="shared" si="16"/>
        <v>19Kingston upon Hull, City of</v>
      </c>
      <c r="B1059">
        <v>19</v>
      </c>
      <c r="C1059" t="s">
        <v>189</v>
      </c>
      <c r="D1059" t="s">
        <v>8526</v>
      </c>
      <c r="E1059" t="s">
        <v>1106</v>
      </c>
      <c r="F1059" t="s">
        <v>7628</v>
      </c>
      <c r="H1059" s="34">
        <v>191000</v>
      </c>
      <c r="I1059" s="53"/>
    </row>
    <row r="1060" spans="1:9" x14ac:dyDescent="0.3">
      <c r="A1060" t="str">
        <f t="shared" si="16"/>
        <v>1Kingston upon Thames</v>
      </c>
      <c r="B1060">
        <v>1</v>
      </c>
      <c r="C1060" t="s">
        <v>191</v>
      </c>
      <c r="D1060" t="s">
        <v>8527</v>
      </c>
      <c r="E1060" t="s">
        <v>7657</v>
      </c>
      <c r="F1060" t="s">
        <v>7632</v>
      </c>
      <c r="H1060" s="34">
        <v>163800</v>
      </c>
      <c r="I1060" s="53"/>
    </row>
    <row r="1061" spans="1:9" x14ac:dyDescent="0.3">
      <c r="A1061" t="str">
        <f t="shared" si="16"/>
        <v>2Kingston upon Thames</v>
      </c>
      <c r="B1061">
        <v>2</v>
      </c>
      <c r="C1061" t="s">
        <v>191</v>
      </c>
      <c r="D1061" t="s">
        <v>8527</v>
      </c>
      <c r="E1061" t="s">
        <v>7649</v>
      </c>
      <c r="F1061" t="s">
        <v>7638</v>
      </c>
      <c r="H1061" s="34">
        <v>7100</v>
      </c>
      <c r="I1061" s="53"/>
    </row>
    <row r="1062" spans="1:9" x14ac:dyDescent="0.3">
      <c r="A1062" t="str">
        <f t="shared" si="16"/>
        <v>3Kingston upon Thames</v>
      </c>
      <c r="B1062">
        <v>3</v>
      </c>
      <c r="C1062" t="s">
        <v>191</v>
      </c>
      <c r="D1062" t="s">
        <v>8528</v>
      </c>
      <c r="E1062" t="s">
        <v>1106</v>
      </c>
      <c r="F1062" t="s">
        <v>7628</v>
      </c>
      <c r="H1062" s="34">
        <v>222000</v>
      </c>
      <c r="I1062" s="53"/>
    </row>
    <row r="1063" spans="1:9" x14ac:dyDescent="0.3">
      <c r="A1063" t="str">
        <f t="shared" si="16"/>
        <v>4Kingston upon Thames</v>
      </c>
      <c r="B1063">
        <v>4</v>
      </c>
      <c r="C1063" t="s">
        <v>191</v>
      </c>
      <c r="D1063" t="s">
        <v>8529</v>
      </c>
      <c r="E1063" t="s">
        <v>1106</v>
      </c>
      <c r="F1063" t="s">
        <v>7628</v>
      </c>
      <c r="H1063" s="34">
        <v>39000</v>
      </c>
      <c r="I1063" s="53"/>
    </row>
    <row r="1064" spans="1:9" x14ac:dyDescent="0.3">
      <c r="A1064" t="str">
        <f t="shared" si="16"/>
        <v>5Kingston upon Thames</v>
      </c>
      <c r="B1064">
        <v>5</v>
      </c>
      <c r="C1064" t="s">
        <v>191</v>
      </c>
      <c r="D1064" t="s">
        <v>8034</v>
      </c>
      <c r="E1064" t="s">
        <v>800</v>
      </c>
      <c r="F1064" t="s">
        <v>903</v>
      </c>
      <c r="H1064" s="34">
        <v>51300</v>
      </c>
      <c r="I1064" s="53"/>
    </row>
    <row r="1065" spans="1:9" x14ac:dyDescent="0.3">
      <c r="A1065" t="str">
        <f t="shared" si="16"/>
        <v>6Kingston upon Thames</v>
      </c>
      <c r="B1065">
        <v>6</v>
      </c>
      <c r="C1065" t="s">
        <v>191</v>
      </c>
      <c r="D1065" t="s">
        <v>8530</v>
      </c>
      <c r="E1065" t="s">
        <v>842</v>
      </c>
      <c r="F1065" t="s">
        <v>7636</v>
      </c>
      <c r="H1065" s="34">
        <v>172600</v>
      </c>
      <c r="I1065" s="53"/>
    </row>
    <row r="1066" spans="1:9" x14ac:dyDescent="0.3">
      <c r="A1066" t="str">
        <f t="shared" si="16"/>
        <v>7Kingston upon Thames</v>
      </c>
      <c r="B1066">
        <v>7</v>
      </c>
      <c r="C1066" t="s">
        <v>191</v>
      </c>
      <c r="D1066" t="s">
        <v>8531</v>
      </c>
      <c r="E1066" t="s">
        <v>7657</v>
      </c>
      <c r="F1066" t="s">
        <v>7632</v>
      </c>
      <c r="H1066" s="34">
        <v>60000</v>
      </c>
      <c r="I1066" s="53"/>
    </row>
    <row r="1067" spans="1:9" x14ac:dyDescent="0.3">
      <c r="A1067" t="str">
        <f t="shared" si="16"/>
        <v>8Kingston upon Thames</v>
      </c>
      <c r="B1067">
        <v>8</v>
      </c>
      <c r="C1067" t="s">
        <v>191</v>
      </c>
      <c r="D1067" t="s">
        <v>8531</v>
      </c>
      <c r="E1067" t="s">
        <v>812</v>
      </c>
      <c r="H1067" s="34">
        <v>10000</v>
      </c>
      <c r="I1067" s="53"/>
    </row>
    <row r="1068" spans="1:9" x14ac:dyDescent="0.3">
      <c r="A1068" t="str">
        <f t="shared" si="16"/>
        <v>9Kingston upon Thames</v>
      </c>
      <c r="B1068">
        <v>9</v>
      </c>
      <c r="C1068" t="s">
        <v>191</v>
      </c>
      <c r="D1068" t="s">
        <v>8532</v>
      </c>
      <c r="E1068" t="s">
        <v>1113</v>
      </c>
      <c r="F1068" t="s">
        <v>7629</v>
      </c>
      <c r="H1068" s="34">
        <v>34500</v>
      </c>
      <c r="I1068" s="53"/>
    </row>
    <row r="1069" spans="1:9" x14ac:dyDescent="0.3">
      <c r="A1069" t="str">
        <f t="shared" si="16"/>
        <v>10Kingston upon Thames</v>
      </c>
      <c r="B1069">
        <v>10</v>
      </c>
      <c r="C1069" t="s">
        <v>191</v>
      </c>
      <c r="D1069" t="s">
        <v>7912</v>
      </c>
      <c r="E1069" t="s">
        <v>7662</v>
      </c>
      <c r="H1069" s="34">
        <v>11400</v>
      </c>
      <c r="I1069" s="53"/>
    </row>
    <row r="1070" spans="1:9" x14ac:dyDescent="0.3">
      <c r="A1070" t="str">
        <f t="shared" si="16"/>
        <v>11Kingston upon Thames</v>
      </c>
      <c r="B1070">
        <v>11</v>
      </c>
      <c r="C1070" t="s">
        <v>191</v>
      </c>
      <c r="D1070" t="s">
        <v>8533</v>
      </c>
      <c r="E1070" t="s">
        <v>7657</v>
      </c>
      <c r="F1070" t="s">
        <v>7640</v>
      </c>
      <c r="H1070" s="34">
        <v>75700</v>
      </c>
      <c r="I1070" s="53"/>
    </row>
    <row r="1071" spans="1:9" x14ac:dyDescent="0.3">
      <c r="A1071" t="str">
        <f t="shared" si="16"/>
        <v>12Kingston upon Thames</v>
      </c>
      <c r="B1071">
        <v>12</v>
      </c>
      <c r="C1071" t="s">
        <v>191</v>
      </c>
      <c r="D1071" t="s">
        <v>8534</v>
      </c>
      <c r="E1071" t="s">
        <v>812</v>
      </c>
      <c r="H1071" s="34">
        <v>37500</v>
      </c>
      <c r="I1071" s="53"/>
    </row>
    <row r="1072" spans="1:9" x14ac:dyDescent="0.3">
      <c r="A1072" t="str">
        <f t="shared" si="16"/>
        <v>13Kingston upon Thames</v>
      </c>
      <c r="B1072">
        <v>13</v>
      </c>
      <c r="C1072" t="s">
        <v>191</v>
      </c>
      <c r="D1072" t="s">
        <v>8535</v>
      </c>
      <c r="E1072" t="s">
        <v>7657</v>
      </c>
      <c r="F1072" t="s">
        <v>7640</v>
      </c>
      <c r="H1072" s="34">
        <v>29500</v>
      </c>
      <c r="I1072" s="53"/>
    </row>
    <row r="1073" spans="1:9" x14ac:dyDescent="0.3">
      <c r="A1073" t="str">
        <f t="shared" si="16"/>
        <v>14Kingston upon Thames</v>
      </c>
      <c r="B1073">
        <v>14</v>
      </c>
      <c r="C1073" t="s">
        <v>191</v>
      </c>
      <c r="D1073" t="s">
        <v>1006</v>
      </c>
      <c r="E1073" t="s">
        <v>806</v>
      </c>
      <c r="F1073" t="s">
        <v>7642</v>
      </c>
      <c r="H1073" s="34">
        <v>30000</v>
      </c>
      <c r="I1073" s="53"/>
    </row>
    <row r="1074" spans="1:9" x14ac:dyDescent="0.3">
      <c r="A1074" t="str">
        <f t="shared" si="16"/>
        <v>15Kingston upon Thames</v>
      </c>
      <c r="B1074">
        <v>15</v>
      </c>
      <c r="C1074" t="s">
        <v>191</v>
      </c>
      <c r="D1074" t="s">
        <v>8536</v>
      </c>
      <c r="E1074" t="s">
        <v>5266</v>
      </c>
      <c r="F1074" t="s">
        <v>7639</v>
      </c>
      <c r="H1074" s="34">
        <v>201700</v>
      </c>
      <c r="I1074" s="53"/>
    </row>
    <row r="1075" spans="1:9" x14ac:dyDescent="0.3">
      <c r="A1075" t="str">
        <f t="shared" si="16"/>
        <v>1Kirklees</v>
      </c>
      <c r="B1075">
        <v>1</v>
      </c>
      <c r="C1075" t="s">
        <v>193</v>
      </c>
      <c r="D1075" t="s">
        <v>8537</v>
      </c>
      <c r="E1075" t="s">
        <v>806</v>
      </c>
      <c r="F1075" t="s">
        <v>807</v>
      </c>
      <c r="H1075" s="34">
        <v>373000</v>
      </c>
      <c r="I1075" s="53"/>
    </row>
    <row r="1076" spans="1:9" x14ac:dyDescent="0.3">
      <c r="A1076" t="str">
        <f t="shared" si="16"/>
        <v>2Kirklees</v>
      </c>
      <c r="B1076">
        <v>2</v>
      </c>
      <c r="C1076" t="s">
        <v>193</v>
      </c>
      <c r="D1076" t="s">
        <v>8538</v>
      </c>
      <c r="E1076" t="s">
        <v>1113</v>
      </c>
      <c r="F1076" t="s">
        <v>7629</v>
      </c>
      <c r="H1076" s="34">
        <v>100000</v>
      </c>
      <c r="I1076" s="53"/>
    </row>
    <row r="1077" spans="1:9" x14ac:dyDescent="0.3">
      <c r="A1077" t="str">
        <f t="shared" si="16"/>
        <v>3Kirklees</v>
      </c>
      <c r="B1077">
        <v>3</v>
      </c>
      <c r="C1077" t="s">
        <v>193</v>
      </c>
      <c r="D1077" t="s">
        <v>1646</v>
      </c>
      <c r="E1077" t="s">
        <v>1106</v>
      </c>
      <c r="F1077" t="s">
        <v>7628</v>
      </c>
      <c r="H1077" s="34">
        <v>1880000</v>
      </c>
      <c r="I1077" s="53"/>
    </row>
    <row r="1078" spans="1:9" x14ac:dyDescent="0.3">
      <c r="A1078" t="str">
        <f t="shared" si="16"/>
        <v>4Kirklees</v>
      </c>
      <c r="B1078">
        <v>4</v>
      </c>
      <c r="C1078" t="s">
        <v>193</v>
      </c>
      <c r="D1078" t="s">
        <v>8539</v>
      </c>
      <c r="E1078" t="s">
        <v>842</v>
      </c>
      <c r="F1078" t="s">
        <v>843</v>
      </c>
      <c r="H1078" s="34">
        <v>460000</v>
      </c>
      <c r="I1078" s="53"/>
    </row>
    <row r="1079" spans="1:9" x14ac:dyDescent="0.3">
      <c r="A1079" t="str">
        <f t="shared" si="16"/>
        <v>5Kirklees</v>
      </c>
      <c r="B1079">
        <v>5</v>
      </c>
      <c r="C1079" t="s">
        <v>193</v>
      </c>
      <c r="D1079" t="s">
        <v>8540</v>
      </c>
      <c r="E1079" t="s">
        <v>800</v>
      </c>
      <c r="F1079" t="s">
        <v>903</v>
      </c>
      <c r="H1079" s="34">
        <v>500000</v>
      </c>
      <c r="I1079" s="53"/>
    </row>
    <row r="1080" spans="1:9" x14ac:dyDescent="0.3">
      <c r="A1080" t="str">
        <f t="shared" si="16"/>
        <v>6Kirklees</v>
      </c>
      <c r="B1080">
        <v>6</v>
      </c>
      <c r="C1080" t="s">
        <v>193</v>
      </c>
      <c r="D1080" t="s">
        <v>8541</v>
      </c>
      <c r="E1080" t="s">
        <v>1106</v>
      </c>
      <c r="F1080" t="s">
        <v>7628</v>
      </c>
      <c r="H1080" s="34">
        <v>280000</v>
      </c>
      <c r="I1080" s="53"/>
    </row>
    <row r="1081" spans="1:9" x14ac:dyDescent="0.3">
      <c r="A1081" t="str">
        <f t="shared" si="16"/>
        <v>7Kirklees</v>
      </c>
      <c r="B1081">
        <v>7</v>
      </c>
      <c r="C1081" t="s">
        <v>193</v>
      </c>
      <c r="D1081" t="s">
        <v>8542</v>
      </c>
      <c r="E1081" t="s">
        <v>1113</v>
      </c>
      <c r="F1081" t="s">
        <v>7629</v>
      </c>
      <c r="H1081" s="34">
        <v>180000</v>
      </c>
      <c r="I1081" s="53"/>
    </row>
    <row r="1082" spans="1:9" x14ac:dyDescent="0.3">
      <c r="A1082" t="str">
        <f t="shared" si="16"/>
        <v>8Kirklees</v>
      </c>
      <c r="B1082">
        <v>8</v>
      </c>
      <c r="C1082" t="s">
        <v>193</v>
      </c>
      <c r="D1082" t="s">
        <v>8543</v>
      </c>
      <c r="E1082" t="s">
        <v>7657</v>
      </c>
      <c r="F1082" t="s">
        <v>7632</v>
      </c>
      <c r="H1082" s="34">
        <v>40000</v>
      </c>
      <c r="I1082" s="53"/>
    </row>
    <row r="1083" spans="1:9" x14ac:dyDescent="0.3">
      <c r="A1083" t="str">
        <f t="shared" si="16"/>
        <v>9Kirklees</v>
      </c>
      <c r="B1083">
        <v>9</v>
      </c>
      <c r="C1083" t="s">
        <v>193</v>
      </c>
      <c r="D1083" t="s">
        <v>8543</v>
      </c>
      <c r="E1083" t="s">
        <v>7649</v>
      </c>
      <c r="F1083" t="s">
        <v>7638</v>
      </c>
      <c r="H1083" s="34">
        <v>309901</v>
      </c>
      <c r="I1083" s="53"/>
    </row>
    <row r="1084" spans="1:9" x14ac:dyDescent="0.3">
      <c r="A1084" t="str">
        <f t="shared" si="16"/>
        <v>1Knowsley</v>
      </c>
      <c r="B1084">
        <v>1</v>
      </c>
      <c r="C1084" t="s">
        <v>195</v>
      </c>
      <c r="D1084" t="s">
        <v>8544</v>
      </c>
      <c r="E1084" t="s">
        <v>7657</v>
      </c>
      <c r="F1084" t="s">
        <v>7632</v>
      </c>
      <c r="H1084" s="34">
        <v>30000</v>
      </c>
      <c r="I1084" s="53"/>
    </row>
    <row r="1085" spans="1:9" x14ac:dyDescent="0.3">
      <c r="A1085" t="str">
        <f t="shared" si="16"/>
        <v>2Knowsley</v>
      </c>
      <c r="B1085">
        <v>2</v>
      </c>
      <c r="C1085" t="s">
        <v>195</v>
      </c>
      <c r="D1085" t="s">
        <v>1578</v>
      </c>
      <c r="E1085" t="s">
        <v>800</v>
      </c>
      <c r="F1085" t="s">
        <v>2108</v>
      </c>
      <c r="H1085" s="34">
        <v>74000</v>
      </c>
      <c r="I1085" s="53"/>
    </row>
    <row r="1086" spans="1:9" x14ac:dyDescent="0.3">
      <c r="A1086" t="str">
        <f t="shared" si="16"/>
        <v>3Knowsley</v>
      </c>
      <c r="B1086">
        <v>3</v>
      </c>
      <c r="C1086" t="s">
        <v>195</v>
      </c>
      <c r="D1086" t="s">
        <v>8545</v>
      </c>
      <c r="E1086" t="s">
        <v>5266</v>
      </c>
      <c r="F1086" t="s">
        <v>7639</v>
      </c>
      <c r="H1086" s="34">
        <v>660000</v>
      </c>
      <c r="I1086" s="53"/>
    </row>
    <row r="1087" spans="1:9" x14ac:dyDescent="0.3">
      <c r="A1087" t="str">
        <f t="shared" si="16"/>
        <v>4Knowsley</v>
      </c>
      <c r="B1087">
        <v>4</v>
      </c>
      <c r="C1087" t="s">
        <v>195</v>
      </c>
      <c r="D1087" t="s">
        <v>8546</v>
      </c>
      <c r="E1087" t="s">
        <v>806</v>
      </c>
      <c r="F1087" t="s">
        <v>812</v>
      </c>
      <c r="H1087" s="34">
        <v>14000</v>
      </c>
      <c r="I1087" s="53"/>
    </row>
    <row r="1088" spans="1:9" x14ac:dyDescent="0.3">
      <c r="A1088" t="str">
        <f t="shared" si="16"/>
        <v>5Knowsley</v>
      </c>
      <c r="B1088">
        <v>5</v>
      </c>
      <c r="C1088" t="s">
        <v>195</v>
      </c>
      <c r="D1088" t="s">
        <v>8547</v>
      </c>
      <c r="E1088" t="s">
        <v>7657</v>
      </c>
      <c r="F1088" t="s">
        <v>7632</v>
      </c>
      <c r="H1088" s="34">
        <v>20000</v>
      </c>
      <c r="I1088" s="53"/>
    </row>
    <row r="1089" spans="1:9" x14ac:dyDescent="0.3">
      <c r="A1089" t="str">
        <f t="shared" si="16"/>
        <v>6Knowsley</v>
      </c>
      <c r="B1089">
        <v>6</v>
      </c>
      <c r="C1089" t="s">
        <v>195</v>
      </c>
      <c r="D1089" t="s">
        <v>1034</v>
      </c>
      <c r="E1089" t="s">
        <v>800</v>
      </c>
      <c r="F1089" t="s">
        <v>903</v>
      </c>
      <c r="H1089" s="34">
        <v>100000</v>
      </c>
      <c r="I1089" s="53"/>
    </row>
    <row r="1090" spans="1:9" x14ac:dyDescent="0.3">
      <c r="A1090" t="str">
        <f t="shared" ref="A1090:A1153" si="17">B1090&amp;C1090</f>
        <v>7Knowsley</v>
      </c>
      <c r="B1090">
        <v>7</v>
      </c>
      <c r="C1090" t="s">
        <v>195</v>
      </c>
      <c r="D1090" t="s">
        <v>2942</v>
      </c>
      <c r="E1090" t="s">
        <v>806</v>
      </c>
      <c r="F1090" t="s">
        <v>812</v>
      </c>
      <c r="H1090" s="34">
        <v>16800</v>
      </c>
      <c r="I1090" s="53"/>
    </row>
    <row r="1091" spans="1:9" x14ac:dyDescent="0.3">
      <c r="A1091" t="str">
        <f t="shared" si="17"/>
        <v>8Knowsley</v>
      </c>
      <c r="B1091">
        <v>8</v>
      </c>
      <c r="C1091" t="s">
        <v>195</v>
      </c>
      <c r="D1091" t="s">
        <v>8548</v>
      </c>
      <c r="E1091" t="s">
        <v>800</v>
      </c>
      <c r="F1091" t="s">
        <v>2108</v>
      </c>
      <c r="H1091" s="34">
        <v>26000</v>
      </c>
      <c r="I1091" s="53"/>
    </row>
    <row r="1092" spans="1:9" x14ac:dyDescent="0.3">
      <c r="A1092" t="str">
        <f t="shared" si="17"/>
        <v>9Knowsley</v>
      </c>
      <c r="B1092">
        <v>9</v>
      </c>
      <c r="C1092" t="s">
        <v>195</v>
      </c>
      <c r="D1092" t="s">
        <v>8549</v>
      </c>
      <c r="E1092" t="s">
        <v>7657</v>
      </c>
      <c r="F1092" t="s">
        <v>7632</v>
      </c>
      <c r="H1092" s="34">
        <v>10000</v>
      </c>
      <c r="I1092" s="53"/>
    </row>
    <row r="1093" spans="1:9" x14ac:dyDescent="0.3">
      <c r="A1093" t="str">
        <f t="shared" si="17"/>
        <v>10Knowsley</v>
      </c>
      <c r="B1093">
        <v>10</v>
      </c>
      <c r="C1093" t="s">
        <v>195</v>
      </c>
      <c r="D1093" t="s">
        <v>8550</v>
      </c>
      <c r="E1093" t="s">
        <v>7657</v>
      </c>
      <c r="F1093" t="s">
        <v>7632</v>
      </c>
      <c r="H1093" s="34">
        <v>30000</v>
      </c>
      <c r="I1093" s="53"/>
    </row>
    <row r="1094" spans="1:9" x14ac:dyDescent="0.3">
      <c r="A1094" t="str">
        <f t="shared" si="17"/>
        <v>11Knowsley</v>
      </c>
      <c r="B1094">
        <v>11</v>
      </c>
      <c r="C1094" t="s">
        <v>195</v>
      </c>
      <c r="D1094" t="s">
        <v>8551</v>
      </c>
      <c r="E1094" t="s">
        <v>7657</v>
      </c>
      <c r="F1094" t="s">
        <v>7632</v>
      </c>
      <c r="H1094" s="34">
        <v>115000</v>
      </c>
      <c r="I1094" s="53"/>
    </row>
    <row r="1095" spans="1:9" x14ac:dyDescent="0.3">
      <c r="A1095" t="str">
        <f t="shared" si="17"/>
        <v>12Knowsley</v>
      </c>
      <c r="B1095">
        <v>12</v>
      </c>
      <c r="C1095" t="s">
        <v>195</v>
      </c>
      <c r="D1095" t="s">
        <v>8551</v>
      </c>
      <c r="E1095" t="s">
        <v>1113</v>
      </c>
      <c r="F1095" t="s">
        <v>7629</v>
      </c>
      <c r="H1095" s="34">
        <v>99000</v>
      </c>
      <c r="I1095" s="53"/>
    </row>
    <row r="1096" spans="1:9" x14ac:dyDescent="0.3">
      <c r="A1096" t="str">
        <f t="shared" si="17"/>
        <v>13Knowsley</v>
      </c>
      <c r="B1096">
        <v>13</v>
      </c>
      <c r="C1096" t="s">
        <v>195</v>
      </c>
      <c r="D1096" t="s">
        <v>8552</v>
      </c>
      <c r="E1096" t="s">
        <v>7657</v>
      </c>
      <c r="F1096" t="s">
        <v>7632</v>
      </c>
      <c r="H1096" s="34">
        <v>20000</v>
      </c>
      <c r="I1096" s="53"/>
    </row>
    <row r="1097" spans="1:9" x14ac:dyDescent="0.3">
      <c r="A1097" t="str">
        <f t="shared" si="17"/>
        <v>14Knowsley</v>
      </c>
      <c r="B1097">
        <v>14</v>
      </c>
      <c r="C1097" t="s">
        <v>195</v>
      </c>
      <c r="D1097" t="s">
        <v>8553</v>
      </c>
      <c r="E1097" t="s">
        <v>7657</v>
      </c>
      <c r="F1097" t="s">
        <v>7632</v>
      </c>
      <c r="H1097" s="34">
        <v>170000</v>
      </c>
      <c r="I1097" s="53"/>
    </row>
    <row r="1098" spans="1:9" x14ac:dyDescent="0.3">
      <c r="A1098" t="str">
        <f t="shared" si="17"/>
        <v>15Knowsley</v>
      </c>
      <c r="B1098">
        <v>15</v>
      </c>
      <c r="C1098" t="s">
        <v>195</v>
      </c>
      <c r="D1098" t="s">
        <v>8554</v>
      </c>
      <c r="E1098" t="s">
        <v>7657</v>
      </c>
      <c r="F1098" t="s">
        <v>7632</v>
      </c>
      <c r="H1098" s="34">
        <v>20000</v>
      </c>
      <c r="I1098" s="53"/>
    </row>
    <row r="1099" spans="1:9" x14ac:dyDescent="0.3">
      <c r="A1099" t="str">
        <f t="shared" si="17"/>
        <v>16Knowsley</v>
      </c>
      <c r="B1099">
        <v>16</v>
      </c>
      <c r="C1099" t="s">
        <v>195</v>
      </c>
      <c r="D1099" t="s">
        <v>8554</v>
      </c>
      <c r="E1099" t="s">
        <v>1106</v>
      </c>
      <c r="F1099" t="s">
        <v>7628</v>
      </c>
      <c r="H1099" s="34">
        <v>45000</v>
      </c>
      <c r="I1099" s="53"/>
    </row>
    <row r="1100" spans="1:9" x14ac:dyDescent="0.3">
      <c r="A1100" t="str">
        <f t="shared" si="17"/>
        <v>17Knowsley</v>
      </c>
      <c r="B1100">
        <v>17</v>
      </c>
      <c r="C1100" t="s">
        <v>195</v>
      </c>
      <c r="D1100" t="s">
        <v>8555</v>
      </c>
      <c r="E1100" t="s">
        <v>806</v>
      </c>
      <c r="F1100" t="s">
        <v>917</v>
      </c>
      <c r="H1100" s="34">
        <v>300000</v>
      </c>
      <c r="I1100" s="53"/>
    </row>
    <row r="1101" spans="1:9" x14ac:dyDescent="0.3">
      <c r="A1101" t="str">
        <f t="shared" si="17"/>
        <v>18Knowsley</v>
      </c>
      <c r="B1101">
        <v>18</v>
      </c>
      <c r="C1101" t="s">
        <v>195</v>
      </c>
      <c r="D1101" t="s">
        <v>8556</v>
      </c>
      <c r="E1101" t="s">
        <v>7657</v>
      </c>
      <c r="F1101" t="s">
        <v>7632</v>
      </c>
      <c r="H1101" s="34">
        <v>20000</v>
      </c>
      <c r="I1101" s="53"/>
    </row>
    <row r="1102" spans="1:9" x14ac:dyDescent="0.3">
      <c r="A1102" t="str">
        <f t="shared" si="17"/>
        <v>19Knowsley</v>
      </c>
      <c r="B1102">
        <v>19</v>
      </c>
      <c r="C1102" t="s">
        <v>195</v>
      </c>
      <c r="D1102" t="s">
        <v>8493</v>
      </c>
      <c r="E1102" t="s">
        <v>7660</v>
      </c>
      <c r="H1102" s="34">
        <v>10000</v>
      </c>
      <c r="I1102" s="53"/>
    </row>
    <row r="1103" spans="1:9" x14ac:dyDescent="0.3">
      <c r="A1103" t="str">
        <f t="shared" si="17"/>
        <v>20Knowsley</v>
      </c>
      <c r="B1103">
        <v>20</v>
      </c>
      <c r="C1103" t="s">
        <v>195</v>
      </c>
      <c r="D1103" t="s">
        <v>8557</v>
      </c>
      <c r="E1103" t="s">
        <v>800</v>
      </c>
      <c r="F1103" t="s">
        <v>903</v>
      </c>
      <c r="H1103" s="34">
        <v>75000</v>
      </c>
      <c r="I1103" s="53"/>
    </row>
    <row r="1104" spans="1:9" x14ac:dyDescent="0.3">
      <c r="A1104" t="str">
        <f t="shared" si="17"/>
        <v>21Knowsley</v>
      </c>
      <c r="B1104">
        <v>21</v>
      </c>
      <c r="C1104" t="s">
        <v>195</v>
      </c>
      <c r="D1104" t="s">
        <v>8558</v>
      </c>
      <c r="E1104" t="s">
        <v>7657</v>
      </c>
      <c r="F1104" t="s">
        <v>7632</v>
      </c>
      <c r="H1104" s="34">
        <v>171000</v>
      </c>
      <c r="I1104" s="53"/>
    </row>
    <row r="1105" spans="1:9" x14ac:dyDescent="0.3">
      <c r="A1105" t="str">
        <f t="shared" si="17"/>
        <v>22Knowsley</v>
      </c>
      <c r="B1105">
        <v>22</v>
      </c>
      <c r="C1105" t="s">
        <v>195</v>
      </c>
      <c r="D1105" t="s">
        <v>8559</v>
      </c>
      <c r="E1105" t="s">
        <v>7662</v>
      </c>
      <c r="H1105" s="34">
        <v>8142</v>
      </c>
      <c r="I1105" s="53"/>
    </row>
    <row r="1106" spans="1:9" x14ac:dyDescent="0.3">
      <c r="A1106" t="str">
        <f t="shared" si="17"/>
        <v>1Lambeth</v>
      </c>
      <c r="B1106">
        <v>1</v>
      </c>
      <c r="C1106" t="s">
        <v>197</v>
      </c>
      <c r="D1106" t="s">
        <v>8560</v>
      </c>
      <c r="E1106" t="s">
        <v>7657</v>
      </c>
      <c r="F1106" t="s">
        <v>7632</v>
      </c>
      <c r="H1106" s="34">
        <v>15000</v>
      </c>
      <c r="I1106" s="53"/>
    </row>
    <row r="1107" spans="1:9" x14ac:dyDescent="0.3">
      <c r="A1107" t="str">
        <f t="shared" si="17"/>
        <v>2Lambeth</v>
      </c>
      <c r="B1107">
        <v>2</v>
      </c>
      <c r="C1107" t="s">
        <v>197</v>
      </c>
      <c r="D1107" t="s">
        <v>8561</v>
      </c>
      <c r="E1107" t="s">
        <v>812</v>
      </c>
      <c r="H1107" s="34">
        <v>100000</v>
      </c>
      <c r="I1107" s="53"/>
    </row>
    <row r="1108" spans="1:9" x14ac:dyDescent="0.3">
      <c r="A1108" t="str">
        <f t="shared" si="17"/>
        <v>3Lambeth</v>
      </c>
      <c r="B1108">
        <v>3</v>
      </c>
      <c r="C1108" t="s">
        <v>197</v>
      </c>
      <c r="D1108" t="s">
        <v>8562</v>
      </c>
      <c r="E1108" t="s">
        <v>7657</v>
      </c>
      <c r="F1108" t="s">
        <v>7632</v>
      </c>
      <c r="H1108" s="34">
        <v>60000</v>
      </c>
      <c r="I1108" s="53"/>
    </row>
    <row r="1109" spans="1:9" x14ac:dyDescent="0.3">
      <c r="A1109" t="str">
        <f t="shared" si="17"/>
        <v>4Lambeth</v>
      </c>
      <c r="B1109">
        <v>4</v>
      </c>
      <c r="C1109" t="s">
        <v>197</v>
      </c>
      <c r="D1109" t="s">
        <v>7662</v>
      </c>
      <c r="E1109" t="s">
        <v>7662</v>
      </c>
      <c r="H1109" s="34">
        <v>27000</v>
      </c>
      <c r="I1109" s="53"/>
    </row>
    <row r="1110" spans="1:9" x14ac:dyDescent="0.3">
      <c r="A1110" t="str">
        <f t="shared" si="17"/>
        <v>5Lambeth</v>
      </c>
      <c r="B1110">
        <v>5</v>
      </c>
      <c r="C1110" t="s">
        <v>197</v>
      </c>
      <c r="D1110" t="s">
        <v>8563</v>
      </c>
      <c r="E1110" t="s">
        <v>806</v>
      </c>
      <c r="F1110" t="s">
        <v>807</v>
      </c>
      <c r="H1110" s="34">
        <v>80000</v>
      </c>
      <c r="I1110" s="53"/>
    </row>
    <row r="1111" spans="1:9" x14ac:dyDescent="0.3">
      <c r="A1111" t="str">
        <f t="shared" si="17"/>
        <v>6Lambeth</v>
      </c>
      <c r="B1111">
        <v>6</v>
      </c>
      <c r="C1111" t="s">
        <v>197</v>
      </c>
      <c r="D1111" t="s">
        <v>8564</v>
      </c>
      <c r="E1111" t="s">
        <v>1106</v>
      </c>
      <c r="F1111" t="s">
        <v>7628</v>
      </c>
      <c r="H1111" s="34">
        <v>164000</v>
      </c>
      <c r="I1111" s="53"/>
    </row>
    <row r="1112" spans="1:9" x14ac:dyDescent="0.3">
      <c r="A1112" t="str">
        <f t="shared" si="17"/>
        <v>7Lambeth</v>
      </c>
      <c r="B1112">
        <v>7</v>
      </c>
      <c r="C1112" t="s">
        <v>197</v>
      </c>
      <c r="D1112" t="s">
        <v>8565</v>
      </c>
      <c r="E1112" t="s">
        <v>7657</v>
      </c>
      <c r="F1112" t="s">
        <v>7632</v>
      </c>
      <c r="H1112" s="34">
        <v>209000</v>
      </c>
      <c r="I1112" s="53"/>
    </row>
    <row r="1113" spans="1:9" x14ac:dyDescent="0.3">
      <c r="A1113" t="str">
        <f t="shared" si="17"/>
        <v>8Lambeth</v>
      </c>
      <c r="B1113">
        <v>8</v>
      </c>
      <c r="C1113" t="s">
        <v>197</v>
      </c>
      <c r="D1113" t="s">
        <v>8565</v>
      </c>
      <c r="E1113" t="s">
        <v>1106</v>
      </c>
      <c r="F1113" t="s">
        <v>812</v>
      </c>
      <c r="H1113" s="34">
        <v>358000</v>
      </c>
      <c r="I1113" s="53"/>
    </row>
    <row r="1114" spans="1:9" x14ac:dyDescent="0.3">
      <c r="A1114" t="str">
        <f t="shared" si="17"/>
        <v>9Lambeth</v>
      </c>
      <c r="B1114">
        <v>9</v>
      </c>
      <c r="C1114" t="s">
        <v>197</v>
      </c>
      <c r="D1114" t="s">
        <v>8565</v>
      </c>
      <c r="E1114" t="s">
        <v>1106</v>
      </c>
      <c r="F1114" t="s">
        <v>7628</v>
      </c>
      <c r="H1114" s="34">
        <v>842926</v>
      </c>
      <c r="I1114" s="53"/>
    </row>
    <row r="1115" spans="1:9" x14ac:dyDescent="0.3">
      <c r="A1115" t="str">
        <f t="shared" si="17"/>
        <v>10Lambeth</v>
      </c>
      <c r="B1115">
        <v>10</v>
      </c>
      <c r="C1115" t="s">
        <v>197</v>
      </c>
      <c r="D1115" t="s">
        <v>8566</v>
      </c>
      <c r="E1115" t="s">
        <v>7657</v>
      </c>
      <c r="F1115" t="s">
        <v>7632</v>
      </c>
      <c r="H1115" s="34">
        <v>60930</v>
      </c>
      <c r="I1115" s="53"/>
    </row>
    <row r="1116" spans="1:9" x14ac:dyDescent="0.3">
      <c r="A1116" t="str">
        <f t="shared" si="17"/>
        <v>11Lambeth</v>
      </c>
      <c r="B1116">
        <v>11</v>
      </c>
      <c r="C1116" t="s">
        <v>197</v>
      </c>
      <c r="D1116" t="s">
        <v>1034</v>
      </c>
      <c r="E1116" t="s">
        <v>800</v>
      </c>
      <c r="F1116" t="s">
        <v>903</v>
      </c>
      <c r="H1116" s="34">
        <v>80000</v>
      </c>
      <c r="I1116" s="53"/>
    </row>
    <row r="1117" spans="1:9" x14ac:dyDescent="0.3">
      <c r="A1117" t="str">
        <f t="shared" si="17"/>
        <v>12Lambeth</v>
      </c>
      <c r="B1117">
        <v>12</v>
      </c>
      <c r="C1117" t="s">
        <v>197</v>
      </c>
      <c r="D1117" t="s">
        <v>8567</v>
      </c>
      <c r="E1117" t="s">
        <v>1106</v>
      </c>
      <c r="F1117" t="s">
        <v>7628</v>
      </c>
      <c r="H1117" s="34">
        <v>280000</v>
      </c>
      <c r="I1117" s="53"/>
    </row>
    <row r="1118" spans="1:9" x14ac:dyDescent="0.3">
      <c r="A1118" t="str">
        <f t="shared" si="17"/>
        <v>13Lambeth</v>
      </c>
      <c r="B1118">
        <v>13</v>
      </c>
      <c r="C1118" t="s">
        <v>197</v>
      </c>
      <c r="D1118" t="s">
        <v>8568</v>
      </c>
      <c r="E1118" t="s">
        <v>7657</v>
      </c>
      <c r="F1118" t="s">
        <v>7632</v>
      </c>
      <c r="H1118" s="34">
        <v>30000</v>
      </c>
      <c r="I1118" s="53"/>
    </row>
    <row r="1119" spans="1:9" x14ac:dyDescent="0.3">
      <c r="A1119" t="str">
        <f t="shared" si="17"/>
        <v>14Lambeth</v>
      </c>
      <c r="B1119">
        <v>14</v>
      </c>
      <c r="C1119" t="s">
        <v>197</v>
      </c>
      <c r="D1119" t="s">
        <v>8569</v>
      </c>
      <c r="E1119" t="s">
        <v>1113</v>
      </c>
      <c r="F1119" t="s">
        <v>7629</v>
      </c>
      <c r="H1119" s="34">
        <v>200000</v>
      </c>
      <c r="I1119" s="53"/>
    </row>
    <row r="1120" spans="1:9" x14ac:dyDescent="0.3">
      <c r="A1120" t="str">
        <f t="shared" si="17"/>
        <v>15Lambeth</v>
      </c>
      <c r="B1120">
        <v>15</v>
      </c>
      <c r="C1120" t="s">
        <v>197</v>
      </c>
      <c r="D1120" t="s">
        <v>8570</v>
      </c>
      <c r="E1120" t="s">
        <v>7657</v>
      </c>
      <c r="F1120" t="s">
        <v>7632</v>
      </c>
      <c r="H1120" s="34">
        <v>21500</v>
      </c>
      <c r="I1120" s="53"/>
    </row>
    <row r="1121" spans="1:9" x14ac:dyDescent="0.3">
      <c r="A1121" t="str">
        <f t="shared" si="17"/>
        <v>16Lambeth</v>
      </c>
      <c r="B1121">
        <v>16</v>
      </c>
      <c r="C1121" t="s">
        <v>197</v>
      </c>
      <c r="D1121" t="s">
        <v>8571</v>
      </c>
      <c r="E1121" t="s">
        <v>7657</v>
      </c>
      <c r="F1121" t="s">
        <v>7632</v>
      </c>
      <c r="H1121" s="34">
        <v>226000</v>
      </c>
      <c r="I1121" s="53"/>
    </row>
    <row r="1122" spans="1:9" x14ac:dyDescent="0.3">
      <c r="A1122" t="str">
        <f t="shared" si="17"/>
        <v>1Lancashire</v>
      </c>
      <c r="B1122">
        <v>1</v>
      </c>
      <c r="C1122" t="s">
        <v>199</v>
      </c>
      <c r="D1122" t="s">
        <v>8572</v>
      </c>
      <c r="E1122" t="s">
        <v>1106</v>
      </c>
      <c r="F1122" t="s">
        <v>7628</v>
      </c>
      <c r="H1122" s="34">
        <v>3211000</v>
      </c>
      <c r="I1122" s="53"/>
    </row>
    <row r="1123" spans="1:9" x14ac:dyDescent="0.3">
      <c r="A1123" t="str">
        <f t="shared" si="17"/>
        <v>2Lancashire</v>
      </c>
      <c r="B1123">
        <v>2</v>
      </c>
      <c r="C1123" t="s">
        <v>199</v>
      </c>
      <c r="D1123" t="s">
        <v>8573</v>
      </c>
      <c r="E1123" t="s">
        <v>7657</v>
      </c>
      <c r="F1123" t="s">
        <v>7632</v>
      </c>
      <c r="H1123" s="34">
        <v>12000</v>
      </c>
      <c r="I1123" s="53"/>
    </row>
    <row r="1124" spans="1:9" x14ac:dyDescent="0.3">
      <c r="A1124" t="str">
        <f t="shared" si="17"/>
        <v>3Lancashire</v>
      </c>
      <c r="B1124">
        <v>3</v>
      </c>
      <c r="C1124" t="s">
        <v>199</v>
      </c>
      <c r="D1124" t="s">
        <v>8574</v>
      </c>
      <c r="E1124" t="s">
        <v>1106</v>
      </c>
      <c r="F1124" t="s">
        <v>7628</v>
      </c>
      <c r="H1124" s="34">
        <v>2384836</v>
      </c>
      <c r="I1124" s="53"/>
    </row>
    <row r="1125" spans="1:9" x14ac:dyDescent="0.3">
      <c r="A1125" t="str">
        <f t="shared" si="17"/>
        <v>4Lancashire</v>
      </c>
      <c r="B1125">
        <v>4</v>
      </c>
      <c r="C1125" t="s">
        <v>199</v>
      </c>
      <c r="D1125" t="s">
        <v>8575</v>
      </c>
      <c r="E1125" t="s">
        <v>842</v>
      </c>
      <c r="F1125" t="s">
        <v>7636</v>
      </c>
      <c r="H1125" s="34">
        <v>1649404</v>
      </c>
      <c r="I1125" s="53"/>
    </row>
    <row r="1126" spans="1:9" x14ac:dyDescent="0.3">
      <c r="A1126" t="str">
        <f t="shared" si="17"/>
        <v>5Lancashire</v>
      </c>
      <c r="B1126">
        <v>5</v>
      </c>
      <c r="C1126" t="s">
        <v>199</v>
      </c>
      <c r="D1126" t="s">
        <v>8576</v>
      </c>
      <c r="E1126" t="s">
        <v>7649</v>
      </c>
      <c r="F1126" t="s">
        <v>7638</v>
      </c>
      <c r="H1126" s="34">
        <v>23000</v>
      </c>
      <c r="I1126" s="53"/>
    </row>
    <row r="1127" spans="1:9" x14ac:dyDescent="0.3">
      <c r="A1127" t="str">
        <f t="shared" si="17"/>
        <v>6Lancashire</v>
      </c>
      <c r="B1127">
        <v>6</v>
      </c>
      <c r="C1127" t="s">
        <v>199</v>
      </c>
      <c r="D1127" t="s">
        <v>8577</v>
      </c>
      <c r="E1127" t="s">
        <v>7649</v>
      </c>
      <c r="F1127" t="s">
        <v>7638</v>
      </c>
      <c r="H1127" s="34">
        <v>22000</v>
      </c>
      <c r="I1127" s="53"/>
    </row>
    <row r="1128" spans="1:9" x14ac:dyDescent="0.3">
      <c r="A1128" t="str">
        <f t="shared" si="17"/>
        <v>7Lancashire</v>
      </c>
      <c r="B1128">
        <v>7</v>
      </c>
      <c r="C1128" t="s">
        <v>199</v>
      </c>
      <c r="D1128" t="s">
        <v>8578</v>
      </c>
      <c r="E1128" t="s">
        <v>7662</v>
      </c>
      <c r="F1128" t="s">
        <v>7638</v>
      </c>
      <c r="H1128" s="34">
        <v>45000</v>
      </c>
      <c r="I1128" s="53"/>
    </row>
    <row r="1129" spans="1:9" x14ac:dyDescent="0.3">
      <c r="A1129" t="str">
        <f t="shared" si="17"/>
        <v>8Lancashire</v>
      </c>
      <c r="B1129">
        <v>8</v>
      </c>
      <c r="C1129" t="s">
        <v>199</v>
      </c>
      <c r="D1129" t="s">
        <v>8579</v>
      </c>
      <c r="E1129" t="s">
        <v>7662</v>
      </c>
      <c r="F1129" t="s">
        <v>7638</v>
      </c>
      <c r="H1129" s="34">
        <v>40000</v>
      </c>
      <c r="I1129" s="53"/>
    </row>
    <row r="1130" spans="1:9" x14ac:dyDescent="0.3">
      <c r="A1130" t="str">
        <f t="shared" si="17"/>
        <v>9Lancashire</v>
      </c>
      <c r="B1130">
        <v>9</v>
      </c>
      <c r="C1130" t="s">
        <v>199</v>
      </c>
      <c r="D1130" t="s">
        <v>1051</v>
      </c>
      <c r="E1130" t="s">
        <v>800</v>
      </c>
      <c r="F1130" t="s">
        <v>903</v>
      </c>
      <c r="H1130" s="34">
        <v>70000</v>
      </c>
      <c r="I1130" s="53"/>
    </row>
    <row r="1131" spans="1:9" x14ac:dyDescent="0.3">
      <c r="A1131" t="str">
        <f t="shared" si="17"/>
        <v>10Lancashire</v>
      </c>
      <c r="B1131">
        <v>10</v>
      </c>
      <c r="C1131" t="s">
        <v>199</v>
      </c>
      <c r="D1131" t="s">
        <v>8580</v>
      </c>
      <c r="E1131" t="s">
        <v>842</v>
      </c>
      <c r="F1131" t="s">
        <v>7636</v>
      </c>
      <c r="H1131" s="34">
        <v>1018709</v>
      </c>
      <c r="I1131" s="53"/>
    </row>
    <row r="1132" spans="1:9" x14ac:dyDescent="0.3">
      <c r="A1132" t="str">
        <f t="shared" si="17"/>
        <v>11Lancashire</v>
      </c>
      <c r="B1132">
        <v>11</v>
      </c>
      <c r="C1132" t="s">
        <v>199</v>
      </c>
      <c r="D1132" t="s">
        <v>8581</v>
      </c>
      <c r="E1132" t="s">
        <v>812</v>
      </c>
      <c r="F1132" t="s">
        <v>7704</v>
      </c>
      <c r="H1132" s="34">
        <v>92000</v>
      </c>
      <c r="I1132" s="53"/>
    </row>
    <row r="1133" spans="1:9" x14ac:dyDescent="0.3">
      <c r="A1133" t="str">
        <f t="shared" si="17"/>
        <v>12Lancashire</v>
      </c>
      <c r="B1133">
        <v>12</v>
      </c>
      <c r="C1133" t="s">
        <v>199</v>
      </c>
      <c r="D1133" t="s">
        <v>8582</v>
      </c>
      <c r="E1133" t="s">
        <v>842</v>
      </c>
      <c r="F1133" t="s">
        <v>7636</v>
      </c>
      <c r="H1133" s="34">
        <v>122000</v>
      </c>
      <c r="I1133" s="53"/>
    </row>
    <row r="1134" spans="1:9" x14ac:dyDescent="0.3">
      <c r="A1134" t="str">
        <f t="shared" si="17"/>
        <v>13Lancashire</v>
      </c>
      <c r="B1134">
        <v>13</v>
      </c>
      <c r="C1134" t="s">
        <v>199</v>
      </c>
      <c r="D1134" t="s">
        <v>8583</v>
      </c>
      <c r="E1134" t="s">
        <v>7657</v>
      </c>
      <c r="F1134" t="s">
        <v>7632</v>
      </c>
      <c r="H1134" s="34">
        <v>345000</v>
      </c>
      <c r="I1134" s="53"/>
    </row>
    <row r="1135" spans="1:9" x14ac:dyDescent="0.3">
      <c r="A1135" t="str">
        <f t="shared" si="17"/>
        <v>14Lancashire</v>
      </c>
      <c r="B1135">
        <v>14</v>
      </c>
      <c r="C1135" t="s">
        <v>199</v>
      </c>
      <c r="D1135" t="s">
        <v>8584</v>
      </c>
      <c r="E1135" t="s">
        <v>7649</v>
      </c>
      <c r="F1135" t="s">
        <v>7638</v>
      </c>
      <c r="H1135" s="34">
        <v>50000</v>
      </c>
      <c r="I1135" s="53"/>
    </row>
    <row r="1136" spans="1:9" x14ac:dyDescent="0.3">
      <c r="A1136" t="str">
        <f t="shared" si="17"/>
        <v>15Lancashire</v>
      </c>
      <c r="B1136">
        <v>15</v>
      </c>
      <c r="C1136" t="s">
        <v>199</v>
      </c>
      <c r="D1136" t="s">
        <v>8585</v>
      </c>
      <c r="E1136" t="s">
        <v>806</v>
      </c>
      <c r="F1136" t="s">
        <v>807</v>
      </c>
      <c r="H1136" s="34">
        <v>37800</v>
      </c>
      <c r="I1136" s="53"/>
    </row>
    <row r="1137" spans="1:9" x14ac:dyDescent="0.3">
      <c r="A1137" t="str">
        <f t="shared" si="17"/>
        <v>16Lancashire</v>
      </c>
      <c r="B1137">
        <v>16</v>
      </c>
      <c r="C1137" t="s">
        <v>199</v>
      </c>
      <c r="D1137" t="s">
        <v>8586</v>
      </c>
      <c r="E1137" t="s">
        <v>812</v>
      </c>
      <c r="F1137" t="s">
        <v>7704</v>
      </c>
      <c r="H1137" s="34">
        <v>250000</v>
      </c>
      <c r="I1137" s="53"/>
    </row>
    <row r="1138" spans="1:9" x14ac:dyDescent="0.3">
      <c r="A1138" t="str">
        <f t="shared" si="17"/>
        <v>17Lancashire</v>
      </c>
      <c r="B1138">
        <v>17</v>
      </c>
      <c r="C1138" t="s">
        <v>199</v>
      </c>
      <c r="D1138" t="s">
        <v>8587</v>
      </c>
      <c r="E1138" t="s">
        <v>7657</v>
      </c>
      <c r="F1138" t="s">
        <v>7632</v>
      </c>
      <c r="H1138" s="34">
        <v>37000</v>
      </c>
      <c r="I1138" s="53"/>
    </row>
    <row r="1139" spans="1:9" x14ac:dyDescent="0.3">
      <c r="A1139" t="str">
        <f t="shared" si="17"/>
        <v>18Lancashire</v>
      </c>
      <c r="B1139">
        <v>18</v>
      </c>
      <c r="C1139" t="s">
        <v>199</v>
      </c>
      <c r="D1139" t="s">
        <v>8588</v>
      </c>
      <c r="E1139" t="s">
        <v>5266</v>
      </c>
      <c r="F1139" t="s">
        <v>812</v>
      </c>
      <c r="H1139" s="34">
        <v>681711</v>
      </c>
      <c r="I1139" s="53"/>
    </row>
    <row r="1140" spans="1:9" x14ac:dyDescent="0.3">
      <c r="A1140" t="str">
        <f t="shared" si="17"/>
        <v>19Lancashire</v>
      </c>
      <c r="B1140">
        <v>19</v>
      </c>
      <c r="C1140" t="s">
        <v>199</v>
      </c>
      <c r="D1140" t="s">
        <v>8589</v>
      </c>
      <c r="E1140" t="s">
        <v>1106</v>
      </c>
      <c r="F1140" t="s">
        <v>7628</v>
      </c>
      <c r="H1140" s="34">
        <v>614000</v>
      </c>
      <c r="I1140" s="53"/>
    </row>
    <row r="1141" spans="1:9" x14ac:dyDescent="0.3">
      <c r="A1141" t="str">
        <f t="shared" si="17"/>
        <v>20Lancashire</v>
      </c>
      <c r="B1141">
        <v>20</v>
      </c>
      <c r="C1141" t="s">
        <v>199</v>
      </c>
      <c r="D1141" t="s">
        <v>8590</v>
      </c>
      <c r="E1141" t="s">
        <v>812</v>
      </c>
      <c r="F1141" t="s">
        <v>7704</v>
      </c>
      <c r="H1141" s="34">
        <v>152000</v>
      </c>
      <c r="I1141" s="53"/>
    </row>
    <row r="1142" spans="1:9" x14ac:dyDescent="0.3">
      <c r="A1142" t="str">
        <f t="shared" si="17"/>
        <v>1Leeds</v>
      </c>
      <c r="B1142">
        <v>1</v>
      </c>
      <c r="C1142" t="s">
        <v>201</v>
      </c>
      <c r="D1142" t="s">
        <v>8591</v>
      </c>
      <c r="E1142" t="s">
        <v>7662</v>
      </c>
      <c r="H1142" s="34">
        <v>27589</v>
      </c>
      <c r="I1142" s="53"/>
    </row>
    <row r="1143" spans="1:9" x14ac:dyDescent="0.3">
      <c r="A1143" t="str">
        <f t="shared" si="17"/>
        <v>2Leeds</v>
      </c>
      <c r="B1143">
        <v>2</v>
      </c>
      <c r="C1143" t="s">
        <v>201</v>
      </c>
      <c r="D1143" t="s">
        <v>8592</v>
      </c>
      <c r="E1143" t="s">
        <v>1106</v>
      </c>
      <c r="F1143" t="s">
        <v>812</v>
      </c>
      <c r="H1143" s="34">
        <v>890000</v>
      </c>
      <c r="I1143" s="53"/>
    </row>
    <row r="1144" spans="1:9" x14ac:dyDescent="0.3">
      <c r="A1144" t="str">
        <f t="shared" si="17"/>
        <v>3Leeds</v>
      </c>
      <c r="B1144">
        <v>3</v>
      </c>
      <c r="C1144" t="s">
        <v>201</v>
      </c>
      <c r="D1144" t="s">
        <v>8593</v>
      </c>
      <c r="E1144" t="s">
        <v>800</v>
      </c>
      <c r="F1144" t="s">
        <v>812</v>
      </c>
      <c r="H1144" s="34">
        <v>170000</v>
      </c>
      <c r="I1144" s="53"/>
    </row>
    <row r="1145" spans="1:9" x14ac:dyDescent="0.3">
      <c r="A1145" t="str">
        <f t="shared" si="17"/>
        <v>4Leeds</v>
      </c>
      <c r="B1145">
        <v>4</v>
      </c>
      <c r="C1145" t="s">
        <v>201</v>
      </c>
      <c r="D1145" t="s">
        <v>8594</v>
      </c>
      <c r="E1145" t="s">
        <v>842</v>
      </c>
      <c r="F1145" t="s">
        <v>7636</v>
      </c>
      <c r="H1145" s="34">
        <v>235600</v>
      </c>
      <c r="I1145" s="53"/>
    </row>
    <row r="1146" spans="1:9" x14ac:dyDescent="0.3">
      <c r="A1146" t="str">
        <f t="shared" si="17"/>
        <v>5Leeds</v>
      </c>
      <c r="B1146">
        <v>5</v>
      </c>
      <c r="C1146" t="s">
        <v>201</v>
      </c>
      <c r="D1146" t="s">
        <v>8595</v>
      </c>
      <c r="E1146" t="s">
        <v>842</v>
      </c>
      <c r="F1146" t="s">
        <v>843</v>
      </c>
      <c r="H1146" s="34">
        <v>349521</v>
      </c>
      <c r="I1146" s="53"/>
    </row>
    <row r="1147" spans="1:9" x14ac:dyDescent="0.3">
      <c r="A1147" t="str">
        <f t="shared" si="17"/>
        <v>6Leeds</v>
      </c>
      <c r="B1147">
        <v>6</v>
      </c>
      <c r="C1147" t="s">
        <v>201</v>
      </c>
      <c r="D1147" t="s">
        <v>8596</v>
      </c>
      <c r="E1147" t="s">
        <v>1106</v>
      </c>
      <c r="F1147" t="s">
        <v>7628</v>
      </c>
      <c r="H1147" s="34">
        <v>30000</v>
      </c>
      <c r="I1147" s="53"/>
    </row>
    <row r="1148" spans="1:9" x14ac:dyDescent="0.3">
      <c r="A1148" t="str">
        <f t="shared" si="17"/>
        <v>7Leeds</v>
      </c>
      <c r="B1148">
        <v>7</v>
      </c>
      <c r="C1148" t="s">
        <v>201</v>
      </c>
      <c r="D1148" t="s">
        <v>8597</v>
      </c>
      <c r="E1148" t="s">
        <v>806</v>
      </c>
      <c r="F1148" t="s">
        <v>917</v>
      </c>
      <c r="H1148" s="34">
        <v>800000</v>
      </c>
      <c r="I1148" s="53"/>
    </row>
    <row r="1149" spans="1:9" x14ac:dyDescent="0.3">
      <c r="A1149" t="str">
        <f t="shared" si="17"/>
        <v>8Leeds</v>
      </c>
      <c r="B1149">
        <v>8</v>
      </c>
      <c r="C1149" t="s">
        <v>201</v>
      </c>
      <c r="D1149" t="s">
        <v>8598</v>
      </c>
      <c r="E1149" t="s">
        <v>1113</v>
      </c>
      <c r="F1149" t="s">
        <v>7629</v>
      </c>
      <c r="H1149" s="34">
        <v>778000</v>
      </c>
      <c r="I1149" s="53"/>
    </row>
    <row r="1150" spans="1:9" x14ac:dyDescent="0.3">
      <c r="A1150" t="str">
        <f t="shared" si="17"/>
        <v>9Leeds</v>
      </c>
      <c r="B1150">
        <v>9</v>
      </c>
      <c r="C1150" t="s">
        <v>201</v>
      </c>
      <c r="D1150" t="s">
        <v>8599</v>
      </c>
      <c r="E1150" t="s">
        <v>1106</v>
      </c>
      <c r="F1150" t="s">
        <v>7628</v>
      </c>
      <c r="H1150" s="34">
        <v>50000</v>
      </c>
      <c r="I1150" s="53"/>
    </row>
    <row r="1151" spans="1:9" x14ac:dyDescent="0.3">
      <c r="A1151" t="str">
        <f t="shared" si="17"/>
        <v>10Leeds</v>
      </c>
      <c r="B1151">
        <v>10</v>
      </c>
      <c r="C1151" t="s">
        <v>201</v>
      </c>
      <c r="D1151" t="s">
        <v>8600</v>
      </c>
      <c r="E1151" t="s">
        <v>812</v>
      </c>
      <c r="H1151" s="34">
        <v>300000</v>
      </c>
      <c r="I1151" s="53"/>
    </row>
    <row r="1152" spans="1:9" x14ac:dyDescent="0.3">
      <c r="A1152" t="str">
        <f t="shared" si="17"/>
        <v>11Leeds</v>
      </c>
      <c r="B1152">
        <v>11</v>
      </c>
      <c r="C1152" t="s">
        <v>201</v>
      </c>
      <c r="D1152" t="s">
        <v>8601</v>
      </c>
      <c r="E1152" t="s">
        <v>1113</v>
      </c>
      <c r="F1152" t="s">
        <v>7637</v>
      </c>
      <c r="H1152" s="34">
        <v>144997</v>
      </c>
      <c r="I1152" s="53"/>
    </row>
    <row r="1153" spans="1:9" x14ac:dyDescent="0.3">
      <c r="A1153" t="str">
        <f t="shared" si="17"/>
        <v>12Leeds</v>
      </c>
      <c r="B1153">
        <v>12</v>
      </c>
      <c r="C1153" t="s">
        <v>201</v>
      </c>
      <c r="D1153" t="s">
        <v>8602</v>
      </c>
      <c r="E1153" t="s">
        <v>842</v>
      </c>
      <c r="F1153" t="s">
        <v>7636</v>
      </c>
      <c r="H1153" s="34">
        <v>249575</v>
      </c>
      <c r="I1153" s="53"/>
    </row>
    <row r="1154" spans="1:9" x14ac:dyDescent="0.3">
      <c r="A1154" t="str">
        <f t="shared" ref="A1154:A1217" si="18">B1154&amp;C1154</f>
        <v>13Leeds</v>
      </c>
      <c r="B1154">
        <v>13</v>
      </c>
      <c r="C1154" t="s">
        <v>201</v>
      </c>
      <c r="D1154" t="s">
        <v>8603</v>
      </c>
      <c r="E1154" t="s">
        <v>806</v>
      </c>
      <c r="F1154" t="s">
        <v>7642</v>
      </c>
      <c r="H1154" s="34">
        <v>89208</v>
      </c>
      <c r="I1154" s="53"/>
    </row>
    <row r="1155" spans="1:9" x14ac:dyDescent="0.3">
      <c r="A1155" t="str">
        <f t="shared" si="18"/>
        <v>14Leeds</v>
      </c>
      <c r="B1155">
        <v>14</v>
      </c>
      <c r="C1155" t="s">
        <v>201</v>
      </c>
      <c r="D1155" t="s">
        <v>8604</v>
      </c>
      <c r="E1155" t="s">
        <v>800</v>
      </c>
      <c r="F1155" t="s">
        <v>903</v>
      </c>
      <c r="H1155" s="34">
        <v>226000</v>
      </c>
      <c r="I1155" s="53"/>
    </row>
    <row r="1156" spans="1:9" x14ac:dyDescent="0.3">
      <c r="A1156" t="str">
        <f t="shared" si="18"/>
        <v>15Leeds</v>
      </c>
      <c r="B1156">
        <v>15</v>
      </c>
      <c r="C1156" t="s">
        <v>201</v>
      </c>
      <c r="D1156" t="s">
        <v>8605</v>
      </c>
      <c r="E1156" t="s">
        <v>1106</v>
      </c>
      <c r="F1156" t="s">
        <v>7628</v>
      </c>
      <c r="H1156" s="34">
        <v>222300</v>
      </c>
      <c r="I1156" s="53"/>
    </row>
    <row r="1157" spans="1:9" x14ac:dyDescent="0.3">
      <c r="A1157" t="str">
        <f t="shared" si="18"/>
        <v>16Leeds</v>
      </c>
      <c r="B1157">
        <v>16</v>
      </c>
      <c r="C1157" t="s">
        <v>201</v>
      </c>
      <c r="D1157" t="s">
        <v>8605</v>
      </c>
      <c r="E1157" t="s">
        <v>7658</v>
      </c>
      <c r="H1157" s="34">
        <v>1155074</v>
      </c>
      <c r="I1157" s="53"/>
    </row>
    <row r="1158" spans="1:9" x14ac:dyDescent="0.3">
      <c r="A1158" t="str">
        <f t="shared" si="18"/>
        <v>17Leeds</v>
      </c>
      <c r="B1158">
        <v>17</v>
      </c>
      <c r="C1158" t="s">
        <v>201</v>
      </c>
      <c r="D1158" t="s">
        <v>964</v>
      </c>
      <c r="E1158" t="s">
        <v>1106</v>
      </c>
      <c r="F1158" t="s">
        <v>7628</v>
      </c>
      <c r="H1158" s="34">
        <v>99813</v>
      </c>
      <c r="I1158" s="53"/>
    </row>
    <row r="1159" spans="1:9" x14ac:dyDescent="0.3">
      <c r="A1159" t="str">
        <f t="shared" si="18"/>
        <v>18Leeds</v>
      </c>
      <c r="B1159">
        <v>18</v>
      </c>
      <c r="C1159" t="s">
        <v>201</v>
      </c>
      <c r="D1159" t="s">
        <v>8606</v>
      </c>
      <c r="E1159" t="s">
        <v>812</v>
      </c>
      <c r="H1159" s="34">
        <v>14400</v>
      </c>
      <c r="I1159" s="53"/>
    </row>
    <row r="1160" spans="1:9" x14ac:dyDescent="0.3">
      <c r="A1160" t="str">
        <f t="shared" si="18"/>
        <v>19Leeds</v>
      </c>
      <c r="B1160">
        <v>19</v>
      </c>
      <c r="C1160" t="s">
        <v>201</v>
      </c>
      <c r="D1160" t="s">
        <v>8607</v>
      </c>
      <c r="E1160" t="s">
        <v>1106</v>
      </c>
      <c r="F1160" t="s">
        <v>7628</v>
      </c>
      <c r="H1160" s="34">
        <v>24000</v>
      </c>
      <c r="I1160" s="53"/>
    </row>
    <row r="1161" spans="1:9" x14ac:dyDescent="0.3">
      <c r="A1161" t="str">
        <f t="shared" si="18"/>
        <v>20Leeds</v>
      </c>
      <c r="B1161">
        <v>20</v>
      </c>
      <c r="C1161" t="s">
        <v>201</v>
      </c>
      <c r="D1161" t="s">
        <v>8608</v>
      </c>
      <c r="E1161" t="s">
        <v>800</v>
      </c>
      <c r="F1161" t="s">
        <v>903</v>
      </c>
      <c r="H1161" s="34">
        <v>150000</v>
      </c>
      <c r="I1161" s="53"/>
    </row>
    <row r="1162" spans="1:9" x14ac:dyDescent="0.3">
      <c r="A1162" t="str">
        <f t="shared" si="18"/>
        <v>21Leeds</v>
      </c>
      <c r="B1162">
        <v>21</v>
      </c>
      <c r="C1162" t="s">
        <v>201</v>
      </c>
      <c r="D1162" t="s">
        <v>8609</v>
      </c>
      <c r="E1162" t="s">
        <v>1106</v>
      </c>
      <c r="F1162" t="s">
        <v>7628</v>
      </c>
      <c r="H1162" s="34">
        <v>1550000</v>
      </c>
      <c r="I1162" s="53"/>
    </row>
    <row r="1163" spans="1:9" x14ac:dyDescent="0.3">
      <c r="A1163" t="str">
        <f t="shared" si="18"/>
        <v>22Leeds</v>
      </c>
      <c r="B1163">
        <v>22</v>
      </c>
      <c r="C1163" t="s">
        <v>201</v>
      </c>
      <c r="D1163" t="s">
        <v>8609</v>
      </c>
      <c r="E1163" t="s">
        <v>806</v>
      </c>
      <c r="F1163" t="s">
        <v>7642</v>
      </c>
      <c r="H1163" s="34">
        <v>270864</v>
      </c>
      <c r="I1163" s="53"/>
    </row>
    <row r="1164" spans="1:9" x14ac:dyDescent="0.3">
      <c r="A1164" t="str">
        <f t="shared" si="18"/>
        <v>23Leeds</v>
      </c>
      <c r="B1164">
        <v>23</v>
      </c>
      <c r="C1164" t="s">
        <v>201</v>
      </c>
      <c r="D1164" t="s">
        <v>8610</v>
      </c>
      <c r="E1164" t="s">
        <v>1106</v>
      </c>
      <c r="F1164" t="s">
        <v>7628</v>
      </c>
      <c r="H1164" s="34">
        <v>120000</v>
      </c>
      <c r="I1164" s="53"/>
    </row>
    <row r="1165" spans="1:9" x14ac:dyDescent="0.3">
      <c r="A1165" t="str">
        <f t="shared" si="18"/>
        <v>1Leicester</v>
      </c>
      <c r="B1165">
        <v>1</v>
      </c>
      <c r="C1165" t="s">
        <v>203</v>
      </c>
      <c r="D1165" t="s">
        <v>7827</v>
      </c>
      <c r="E1165" t="s">
        <v>7662</v>
      </c>
      <c r="H1165" s="34">
        <v>13114.49</v>
      </c>
      <c r="I1165" s="53"/>
    </row>
    <row r="1166" spans="1:9" x14ac:dyDescent="0.3">
      <c r="A1166" t="str">
        <f t="shared" si="18"/>
        <v>2Leicester</v>
      </c>
      <c r="B1166">
        <v>2</v>
      </c>
      <c r="C1166" t="s">
        <v>203</v>
      </c>
      <c r="D1166" t="s">
        <v>8611</v>
      </c>
      <c r="E1166" t="s">
        <v>1106</v>
      </c>
      <c r="F1166" t="s">
        <v>7628</v>
      </c>
      <c r="H1166" s="34">
        <v>3271</v>
      </c>
      <c r="I1166" s="53"/>
    </row>
    <row r="1167" spans="1:9" x14ac:dyDescent="0.3">
      <c r="A1167" t="str">
        <f t="shared" si="18"/>
        <v>3Leicester</v>
      </c>
      <c r="B1167">
        <v>3</v>
      </c>
      <c r="C1167" t="s">
        <v>203</v>
      </c>
      <c r="D1167" t="s">
        <v>8254</v>
      </c>
      <c r="E1167" t="s">
        <v>806</v>
      </c>
      <c r="F1167" t="s">
        <v>807</v>
      </c>
      <c r="H1167" s="34">
        <v>28880</v>
      </c>
      <c r="I1167" s="53"/>
    </row>
    <row r="1168" spans="1:9" x14ac:dyDescent="0.3">
      <c r="A1168" t="str">
        <f t="shared" si="18"/>
        <v>4Leicester</v>
      </c>
      <c r="B1168">
        <v>4</v>
      </c>
      <c r="C1168" t="s">
        <v>203</v>
      </c>
      <c r="D1168" t="s">
        <v>7711</v>
      </c>
      <c r="E1168" t="s">
        <v>7657</v>
      </c>
      <c r="F1168" t="s">
        <v>7632</v>
      </c>
      <c r="H1168" s="34">
        <v>20967</v>
      </c>
      <c r="I1168" s="53"/>
    </row>
    <row r="1169" spans="1:9" x14ac:dyDescent="0.3">
      <c r="A1169" t="str">
        <f t="shared" si="18"/>
        <v>5Leicester</v>
      </c>
      <c r="B1169">
        <v>5</v>
      </c>
      <c r="C1169" t="s">
        <v>203</v>
      </c>
      <c r="D1169" t="s">
        <v>8612</v>
      </c>
      <c r="E1169" t="s">
        <v>7658</v>
      </c>
      <c r="H1169" s="34">
        <v>80000</v>
      </c>
      <c r="I1169" s="53"/>
    </row>
    <row r="1170" spans="1:9" x14ac:dyDescent="0.3">
      <c r="A1170" t="str">
        <f t="shared" si="18"/>
        <v>6Leicester</v>
      </c>
      <c r="B1170">
        <v>6</v>
      </c>
      <c r="C1170" t="s">
        <v>203</v>
      </c>
      <c r="D1170" t="s">
        <v>8613</v>
      </c>
      <c r="E1170" t="s">
        <v>842</v>
      </c>
      <c r="F1170" t="s">
        <v>7636</v>
      </c>
      <c r="H1170" s="34">
        <v>734040</v>
      </c>
      <c r="I1170" s="53"/>
    </row>
    <row r="1171" spans="1:9" x14ac:dyDescent="0.3">
      <c r="A1171" t="str">
        <f t="shared" si="18"/>
        <v>7Leicester</v>
      </c>
      <c r="B1171">
        <v>7</v>
      </c>
      <c r="C1171" t="s">
        <v>203</v>
      </c>
      <c r="D1171" t="s">
        <v>434</v>
      </c>
      <c r="E1171" t="s">
        <v>7657</v>
      </c>
      <c r="F1171" t="s">
        <v>7632</v>
      </c>
      <c r="H1171" s="34">
        <v>232400</v>
      </c>
      <c r="I1171" s="53"/>
    </row>
    <row r="1172" spans="1:9" x14ac:dyDescent="0.3">
      <c r="A1172" t="str">
        <f t="shared" si="18"/>
        <v>8Leicester</v>
      </c>
      <c r="B1172">
        <v>8</v>
      </c>
      <c r="C1172" t="s">
        <v>203</v>
      </c>
      <c r="D1172" t="s">
        <v>8614</v>
      </c>
      <c r="E1172" t="s">
        <v>1106</v>
      </c>
      <c r="F1172" t="s">
        <v>7628</v>
      </c>
      <c r="H1172" s="34">
        <v>50000</v>
      </c>
      <c r="I1172" s="53"/>
    </row>
    <row r="1173" spans="1:9" x14ac:dyDescent="0.3">
      <c r="A1173" t="str">
        <f t="shared" si="18"/>
        <v>9Leicester</v>
      </c>
      <c r="B1173">
        <v>9</v>
      </c>
      <c r="C1173" t="s">
        <v>203</v>
      </c>
      <c r="D1173" t="s">
        <v>8615</v>
      </c>
      <c r="E1173" t="s">
        <v>5266</v>
      </c>
      <c r="F1173" t="s">
        <v>7631</v>
      </c>
      <c r="H1173" s="34">
        <v>1889220</v>
      </c>
      <c r="I1173" s="53"/>
    </row>
    <row r="1174" spans="1:9" x14ac:dyDescent="0.3">
      <c r="A1174" t="str">
        <f t="shared" si="18"/>
        <v>10Leicester</v>
      </c>
      <c r="B1174">
        <v>10</v>
      </c>
      <c r="C1174" t="s">
        <v>203</v>
      </c>
      <c r="D1174" t="s">
        <v>8616</v>
      </c>
      <c r="E1174" t="s">
        <v>7649</v>
      </c>
      <c r="F1174" t="s">
        <v>7638</v>
      </c>
      <c r="H1174" s="34">
        <v>60000</v>
      </c>
      <c r="I1174" s="53"/>
    </row>
    <row r="1175" spans="1:9" x14ac:dyDescent="0.3">
      <c r="A1175" t="str">
        <f t="shared" si="18"/>
        <v>1Leicestershire</v>
      </c>
      <c r="B1175">
        <v>1</v>
      </c>
      <c r="C1175" t="s">
        <v>205</v>
      </c>
      <c r="D1175" t="s">
        <v>7662</v>
      </c>
      <c r="E1175" t="s">
        <v>7662</v>
      </c>
      <c r="H1175" s="34">
        <v>27620</v>
      </c>
      <c r="I1175" s="53"/>
    </row>
    <row r="1176" spans="1:9" x14ac:dyDescent="0.3">
      <c r="A1176" t="str">
        <f t="shared" si="18"/>
        <v>2Leicestershire</v>
      </c>
      <c r="B1176">
        <v>2</v>
      </c>
      <c r="C1176" t="s">
        <v>205</v>
      </c>
      <c r="D1176" t="s">
        <v>8617</v>
      </c>
      <c r="E1176" t="s">
        <v>7662</v>
      </c>
      <c r="H1176" s="34">
        <v>20119</v>
      </c>
      <c r="I1176" s="53"/>
    </row>
    <row r="1177" spans="1:9" x14ac:dyDescent="0.3">
      <c r="A1177" t="str">
        <f t="shared" si="18"/>
        <v>3Leicestershire</v>
      </c>
      <c r="B1177">
        <v>3</v>
      </c>
      <c r="C1177" t="s">
        <v>205</v>
      </c>
      <c r="D1177" t="s">
        <v>8618</v>
      </c>
      <c r="E1177" t="s">
        <v>800</v>
      </c>
      <c r="F1177" t="s">
        <v>903</v>
      </c>
      <c r="H1177" s="34">
        <v>12600</v>
      </c>
      <c r="I1177" s="53"/>
    </row>
    <row r="1178" spans="1:9" x14ac:dyDescent="0.3">
      <c r="A1178" t="str">
        <f t="shared" si="18"/>
        <v>4Leicestershire</v>
      </c>
      <c r="B1178">
        <v>4</v>
      </c>
      <c r="C1178" t="s">
        <v>205</v>
      </c>
      <c r="D1178" t="s">
        <v>8619</v>
      </c>
      <c r="E1178" t="s">
        <v>842</v>
      </c>
      <c r="F1178" t="s">
        <v>812</v>
      </c>
      <c r="H1178" s="34">
        <v>310000</v>
      </c>
      <c r="I1178" s="53"/>
    </row>
    <row r="1179" spans="1:9" x14ac:dyDescent="0.3">
      <c r="A1179" t="str">
        <f t="shared" si="18"/>
        <v>5Leicestershire</v>
      </c>
      <c r="B1179">
        <v>5</v>
      </c>
      <c r="C1179" t="s">
        <v>205</v>
      </c>
      <c r="D1179" t="s">
        <v>8596</v>
      </c>
      <c r="E1179" t="s">
        <v>7657</v>
      </c>
      <c r="F1179" t="s">
        <v>7644</v>
      </c>
      <c r="H1179" s="34">
        <v>120000</v>
      </c>
      <c r="I1179" s="53"/>
    </row>
    <row r="1180" spans="1:9" x14ac:dyDescent="0.3">
      <c r="A1180" t="str">
        <f t="shared" si="18"/>
        <v>6Leicestershire</v>
      </c>
      <c r="B1180">
        <v>6</v>
      </c>
      <c r="C1180" t="s">
        <v>205</v>
      </c>
      <c r="D1180" t="s">
        <v>8620</v>
      </c>
      <c r="E1180" t="s">
        <v>1106</v>
      </c>
      <c r="F1180" t="s">
        <v>7628</v>
      </c>
      <c r="H1180" s="34">
        <v>44840</v>
      </c>
      <c r="I1180" s="53"/>
    </row>
    <row r="1181" spans="1:9" x14ac:dyDescent="0.3">
      <c r="A1181" t="str">
        <f t="shared" si="18"/>
        <v>7Leicestershire</v>
      </c>
      <c r="B1181">
        <v>7</v>
      </c>
      <c r="C1181" t="s">
        <v>205</v>
      </c>
      <c r="D1181" t="s">
        <v>8621</v>
      </c>
      <c r="E1181" t="s">
        <v>7657</v>
      </c>
      <c r="F1181" t="s">
        <v>7632</v>
      </c>
      <c r="H1181" s="34">
        <v>269054</v>
      </c>
      <c r="I1181" s="53"/>
    </row>
    <row r="1182" spans="1:9" x14ac:dyDescent="0.3">
      <c r="A1182" t="str">
        <f t="shared" si="18"/>
        <v>8Leicestershire</v>
      </c>
      <c r="B1182">
        <v>8</v>
      </c>
      <c r="C1182" t="s">
        <v>205</v>
      </c>
      <c r="D1182" t="s">
        <v>8622</v>
      </c>
      <c r="E1182" t="s">
        <v>7657</v>
      </c>
      <c r="F1182" t="s">
        <v>7632</v>
      </c>
      <c r="H1182" s="34">
        <v>62500</v>
      </c>
      <c r="I1182" s="53"/>
    </row>
    <row r="1183" spans="1:9" x14ac:dyDescent="0.3">
      <c r="A1183" t="str">
        <f t="shared" si="18"/>
        <v>9Leicestershire</v>
      </c>
      <c r="B1183">
        <v>9</v>
      </c>
      <c r="C1183" t="s">
        <v>205</v>
      </c>
      <c r="D1183" t="s">
        <v>8623</v>
      </c>
      <c r="E1183" t="s">
        <v>812</v>
      </c>
      <c r="H1183" s="34">
        <v>45000</v>
      </c>
      <c r="I1183" s="53"/>
    </row>
    <row r="1184" spans="1:9" x14ac:dyDescent="0.3">
      <c r="A1184" t="str">
        <f t="shared" si="18"/>
        <v>10Leicestershire</v>
      </c>
      <c r="B1184">
        <v>10</v>
      </c>
      <c r="C1184" t="s">
        <v>205</v>
      </c>
      <c r="D1184" t="s">
        <v>8624</v>
      </c>
      <c r="E1184" t="s">
        <v>1106</v>
      </c>
      <c r="F1184" t="s">
        <v>7628</v>
      </c>
      <c r="H1184" s="34">
        <v>50000</v>
      </c>
      <c r="I1184" s="53"/>
    </row>
    <row r="1185" spans="1:9" x14ac:dyDescent="0.3">
      <c r="A1185" t="str">
        <f t="shared" si="18"/>
        <v>11Leicestershire</v>
      </c>
      <c r="B1185">
        <v>11</v>
      </c>
      <c r="C1185" t="s">
        <v>205</v>
      </c>
      <c r="D1185" t="s">
        <v>8625</v>
      </c>
      <c r="E1185" t="s">
        <v>1106</v>
      </c>
      <c r="F1185" t="s">
        <v>7628</v>
      </c>
      <c r="H1185" s="34">
        <v>17500</v>
      </c>
      <c r="I1185" s="53"/>
    </row>
    <row r="1186" spans="1:9" x14ac:dyDescent="0.3">
      <c r="A1186" t="str">
        <f t="shared" si="18"/>
        <v>12Leicestershire</v>
      </c>
      <c r="B1186">
        <v>12</v>
      </c>
      <c r="C1186" t="s">
        <v>205</v>
      </c>
      <c r="D1186" t="s">
        <v>8626</v>
      </c>
      <c r="E1186" t="s">
        <v>842</v>
      </c>
      <c r="F1186" t="s">
        <v>7636</v>
      </c>
      <c r="H1186" s="34">
        <v>733118</v>
      </c>
      <c r="I1186" s="53"/>
    </row>
    <row r="1187" spans="1:9" x14ac:dyDescent="0.3">
      <c r="A1187" t="str">
        <f t="shared" si="18"/>
        <v>13Leicestershire</v>
      </c>
      <c r="B1187">
        <v>13</v>
      </c>
      <c r="C1187" t="s">
        <v>205</v>
      </c>
      <c r="D1187" t="s">
        <v>8627</v>
      </c>
      <c r="E1187" t="s">
        <v>7657</v>
      </c>
      <c r="F1187" t="s">
        <v>7644</v>
      </c>
      <c r="H1187" s="34">
        <v>116667</v>
      </c>
      <c r="I1187" s="53"/>
    </row>
    <row r="1188" spans="1:9" x14ac:dyDescent="0.3">
      <c r="A1188" t="str">
        <f t="shared" si="18"/>
        <v>14Leicestershire</v>
      </c>
      <c r="B1188">
        <v>14</v>
      </c>
      <c r="C1188" t="s">
        <v>205</v>
      </c>
      <c r="D1188" t="s">
        <v>8628</v>
      </c>
      <c r="E1188" t="s">
        <v>7657</v>
      </c>
      <c r="F1188" t="s">
        <v>7644</v>
      </c>
      <c r="H1188" s="34">
        <v>25332</v>
      </c>
      <c r="I1188" s="53"/>
    </row>
    <row r="1189" spans="1:9" x14ac:dyDescent="0.3">
      <c r="A1189" t="str">
        <f t="shared" si="18"/>
        <v>15Leicestershire</v>
      </c>
      <c r="B1189">
        <v>15</v>
      </c>
      <c r="C1189" t="s">
        <v>205</v>
      </c>
      <c r="D1189" t="s">
        <v>8629</v>
      </c>
      <c r="E1189" t="s">
        <v>7657</v>
      </c>
      <c r="F1189" t="s">
        <v>7632</v>
      </c>
      <c r="H1189" s="34">
        <v>46667</v>
      </c>
      <c r="I1189" s="53"/>
    </row>
    <row r="1190" spans="1:9" x14ac:dyDescent="0.3">
      <c r="A1190" t="str">
        <f t="shared" si="18"/>
        <v>16Leicestershire</v>
      </c>
      <c r="B1190">
        <v>16</v>
      </c>
      <c r="C1190" t="s">
        <v>205</v>
      </c>
      <c r="D1190" t="s">
        <v>8630</v>
      </c>
      <c r="E1190" t="s">
        <v>1113</v>
      </c>
      <c r="F1190" t="s">
        <v>7629</v>
      </c>
      <c r="H1190" s="34">
        <v>56106</v>
      </c>
      <c r="I1190" s="53"/>
    </row>
    <row r="1191" spans="1:9" x14ac:dyDescent="0.3">
      <c r="A1191" t="str">
        <f t="shared" si="18"/>
        <v>17Leicestershire</v>
      </c>
      <c r="B1191">
        <v>17</v>
      </c>
      <c r="C1191" t="s">
        <v>205</v>
      </c>
      <c r="D1191" t="s">
        <v>8631</v>
      </c>
      <c r="E1191" t="s">
        <v>5266</v>
      </c>
      <c r="F1191" t="s">
        <v>7631</v>
      </c>
      <c r="H1191" s="34">
        <v>2401360</v>
      </c>
      <c r="I1191" s="53"/>
    </row>
    <row r="1192" spans="1:9" x14ac:dyDescent="0.3">
      <c r="A1192" t="str">
        <f t="shared" si="18"/>
        <v>18Leicestershire</v>
      </c>
      <c r="B1192">
        <v>18</v>
      </c>
      <c r="C1192" t="s">
        <v>205</v>
      </c>
      <c r="D1192" t="s">
        <v>8632</v>
      </c>
      <c r="E1192" t="s">
        <v>800</v>
      </c>
      <c r="F1192" t="s">
        <v>903</v>
      </c>
      <c r="H1192" s="34">
        <v>80000</v>
      </c>
      <c r="I1192" s="53"/>
    </row>
    <row r="1193" spans="1:9" x14ac:dyDescent="0.3">
      <c r="A1193" t="str">
        <f t="shared" si="18"/>
        <v>19Leicestershire</v>
      </c>
      <c r="B1193">
        <v>19</v>
      </c>
      <c r="C1193" t="s">
        <v>205</v>
      </c>
      <c r="D1193" t="s">
        <v>8633</v>
      </c>
      <c r="E1193" t="s">
        <v>812</v>
      </c>
      <c r="H1193" s="34">
        <v>30000</v>
      </c>
      <c r="I1193" s="53"/>
    </row>
    <row r="1194" spans="1:9" x14ac:dyDescent="0.3">
      <c r="A1194" t="str">
        <f t="shared" si="18"/>
        <v>20Leicestershire</v>
      </c>
      <c r="B1194">
        <v>20</v>
      </c>
      <c r="C1194" t="s">
        <v>205</v>
      </c>
      <c r="D1194" t="s">
        <v>8634</v>
      </c>
      <c r="E1194" t="s">
        <v>7657</v>
      </c>
      <c r="F1194" t="s">
        <v>7640</v>
      </c>
      <c r="H1194" s="34">
        <v>20000</v>
      </c>
      <c r="I1194" s="53"/>
    </row>
    <row r="1195" spans="1:9" x14ac:dyDescent="0.3">
      <c r="A1195" t="str">
        <f t="shared" si="18"/>
        <v>21Leicestershire</v>
      </c>
      <c r="B1195">
        <v>21</v>
      </c>
      <c r="C1195" t="s">
        <v>205</v>
      </c>
      <c r="D1195" t="s">
        <v>8635</v>
      </c>
      <c r="E1195" t="s">
        <v>7658</v>
      </c>
      <c r="H1195" s="34">
        <v>60000</v>
      </c>
      <c r="I1195" s="53"/>
    </row>
    <row r="1196" spans="1:9" x14ac:dyDescent="0.3">
      <c r="A1196" t="str">
        <f t="shared" si="18"/>
        <v>22Leicestershire</v>
      </c>
      <c r="B1196">
        <v>22</v>
      </c>
      <c r="C1196" t="s">
        <v>205</v>
      </c>
      <c r="D1196" t="s">
        <v>8636</v>
      </c>
      <c r="E1196" t="s">
        <v>842</v>
      </c>
      <c r="F1196" t="s">
        <v>7636</v>
      </c>
      <c r="H1196" s="34">
        <v>225421</v>
      </c>
      <c r="I1196" s="53"/>
    </row>
    <row r="1197" spans="1:9" x14ac:dyDescent="0.3">
      <c r="A1197" t="str">
        <f t="shared" si="18"/>
        <v>1Lewisham</v>
      </c>
      <c r="B1197">
        <v>1</v>
      </c>
      <c r="C1197" t="s">
        <v>207</v>
      </c>
      <c r="D1197" t="s">
        <v>1578</v>
      </c>
      <c r="E1197" t="s">
        <v>800</v>
      </c>
      <c r="F1197" t="s">
        <v>2108</v>
      </c>
      <c r="H1197" s="34">
        <v>49000</v>
      </c>
      <c r="I1197" s="53"/>
    </row>
    <row r="1198" spans="1:9" x14ac:dyDescent="0.3">
      <c r="A1198" t="str">
        <f t="shared" si="18"/>
        <v>2Lewisham</v>
      </c>
      <c r="B1198">
        <v>2</v>
      </c>
      <c r="C1198" t="s">
        <v>207</v>
      </c>
      <c r="D1198" t="s">
        <v>2248</v>
      </c>
      <c r="E1198" t="s">
        <v>7657</v>
      </c>
      <c r="F1198" t="s">
        <v>7632</v>
      </c>
      <c r="H1198" s="34">
        <v>135000</v>
      </c>
      <c r="I1198" s="53"/>
    </row>
    <row r="1199" spans="1:9" x14ac:dyDescent="0.3">
      <c r="A1199" t="str">
        <f t="shared" si="18"/>
        <v>3Lewisham</v>
      </c>
      <c r="B1199">
        <v>3</v>
      </c>
      <c r="C1199" t="s">
        <v>207</v>
      </c>
      <c r="D1199" t="s">
        <v>8637</v>
      </c>
      <c r="E1199" t="s">
        <v>7658</v>
      </c>
      <c r="F1199" t="s">
        <v>369</v>
      </c>
      <c r="H1199" s="34">
        <v>327000</v>
      </c>
      <c r="I1199" s="53"/>
    </row>
    <row r="1200" spans="1:9" x14ac:dyDescent="0.3">
      <c r="A1200" t="str">
        <f t="shared" si="18"/>
        <v>4Lewisham</v>
      </c>
      <c r="B1200">
        <v>4</v>
      </c>
      <c r="C1200" t="s">
        <v>207</v>
      </c>
      <c r="D1200" t="s">
        <v>8638</v>
      </c>
      <c r="E1200" t="s">
        <v>7658</v>
      </c>
      <c r="F1200" t="s">
        <v>369</v>
      </c>
      <c r="H1200" s="34">
        <v>60000</v>
      </c>
      <c r="I1200" s="53"/>
    </row>
    <row r="1201" spans="1:9" x14ac:dyDescent="0.3">
      <c r="A1201" t="str">
        <f t="shared" si="18"/>
        <v>5Lewisham</v>
      </c>
      <c r="B1201">
        <v>5</v>
      </c>
      <c r="C1201" t="s">
        <v>207</v>
      </c>
      <c r="D1201" t="s">
        <v>8639</v>
      </c>
      <c r="E1201" t="s">
        <v>1113</v>
      </c>
      <c r="F1201" t="s">
        <v>7629</v>
      </c>
      <c r="H1201" s="34">
        <v>149000</v>
      </c>
      <c r="I1201" s="53"/>
    </row>
    <row r="1202" spans="1:9" x14ac:dyDescent="0.3">
      <c r="A1202" t="str">
        <f t="shared" si="18"/>
        <v>6Lewisham</v>
      </c>
      <c r="B1202">
        <v>6</v>
      </c>
      <c r="C1202" t="s">
        <v>207</v>
      </c>
      <c r="D1202" t="s">
        <v>8640</v>
      </c>
      <c r="E1202" t="s">
        <v>7658</v>
      </c>
      <c r="F1202" t="s">
        <v>369</v>
      </c>
      <c r="H1202" s="34">
        <v>34000</v>
      </c>
      <c r="I1202" s="53"/>
    </row>
    <row r="1203" spans="1:9" x14ac:dyDescent="0.3">
      <c r="A1203" t="str">
        <f t="shared" si="18"/>
        <v>7Lewisham</v>
      </c>
      <c r="B1203">
        <v>7</v>
      </c>
      <c r="C1203" t="s">
        <v>207</v>
      </c>
      <c r="D1203" t="s">
        <v>8194</v>
      </c>
      <c r="E1203" t="s">
        <v>842</v>
      </c>
      <c r="F1203" t="s">
        <v>843</v>
      </c>
      <c r="H1203" s="34">
        <v>205000</v>
      </c>
      <c r="I1203" s="53"/>
    </row>
    <row r="1204" spans="1:9" x14ac:dyDescent="0.3">
      <c r="A1204" t="str">
        <f t="shared" si="18"/>
        <v>8Lewisham</v>
      </c>
      <c r="B1204">
        <v>8</v>
      </c>
      <c r="C1204" t="s">
        <v>207</v>
      </c>
      <c r="D1204" t="s">
        <v>8641</v>
      </c>
      <c r="E1204" t="s">
        <v>800</v>
      </c>
      <c r="F1204" t="s">
        <v>903</v>
      </c>
      <c r="H1204" s="34">
        <v>11902</v>
      </c>
      <c r="I1204" s="53"/>
    </row>
    <row r="1205" spans="1:9" x14ac:dyDescent="0.3">
      <c r="A1205" t="str">
        <f t="shared" si="18"/>
        <v>9Lewisham</v>
      </c>
      <c r="B1205">
        <v>9</v>
      </c>
      <c r="C1205" t="s">
        <v>207</v>
      </c>
      <c r="D1205" t="s">
        <v>8642</v>
      </c>
      <c r="E1205" t="s">
        <v>800</v>
      </c>
      <c r="F1205" t="s">
        <v>903</v>
      </c>
      <c r="H1205" s="34">
        <v>20000</v>
      </c>
      <c r="I1205" s="53"/>
    </row>
    <row r="1206" spans="1:9" x14ac:dyDescent="0.3">
      <c r="A1206" t="str">
        <f t="shared" si="18"/>
        <v>10Lewisham</v>
      </c>
      <c r="B1206">
        <v>10</v>
      </c>
      <c r="C1206" t="s">
        <v>207</v>
      </c>
      <c r="D1206" t="s">
        <v>8643</v>
      </c>
      <c r="E1206" t="s">
        <v>1113</v>
      </c>
      <c r="F1206" t="s">
        <v>7629</v>
      </c>
      <c r="H1206" s="34">
        <v>320000</v>
      </c>
      <c r="I1206" s="53"/>
    </row>
    <row r="1207" spans="1:9" x14ac:dyDescent="0.3">
      <c r="A1207" t="str">
        <f t="shared" si="18"/>
        <v>11Lewisham</v>
      </c>
      <c r="B1207">
        <v>11</v>
      </c>
      <c r="C1207" t="s">
        <v>207</v>
      </c>
      <c r="D1207" t="s">
        <v>8644</v>
      </c>
      <c r="E1207" t="s">
        <v>842</v>
      </c>
      <c r="F1207" t="s">
        <v>7636</v>
      </c>
      <c r="H1207" s="34">
        <v>530000</v>
      </c>
      <c r="I1207" s="53"/>
    </row>
    <row r="1208" spans="1:9" x14ac:dyDescent="0.3">
      <c r="A1208" t="str">
        <f t="shared" si="18"/>
        <v>12Lewisham</v>
      </c>
      <c r="B1208">
        <v>12</v>
      </c>
      <c r="C1208" t="s">
        <v>207</v>
      </c>
      <c r="D1208" t="s">
        <v>964</v>
      </c>
      <c r="E1208" t="s">
        <v>1106</v>
      </c>
      <c r="F1208" t="s">
        <v>7628</v>
      </c>
      <c r="H1208" s="34">
        <v>121000</v>
      </c>
      <c r="I1208" s="53"/>
    </row>
    <row r="1209" spans="1:9" x14ac:dyDescent="0.3">
      <c r="A1209" t="str">
        <f t="shared" si="18"/>
        <v>13Lewisham</v>
      </c>
      <c r="B1209">
        <v>13</v>
      </c>
      <c r="C1209" t="s">
        <v>207</v>
      </c>
      <c r="D1209" t="s">
        <v>8645</v>
      </c>
      <c r="E1209" t="s">
        <v>7657</v>
      </c>
      <c r="F1209" t="s">
        <v>7632</v>
      </c>
      <c r="H1209" s="34">
        <v>200000</v>
      </c>
      <c r="I1209" s="53"/>
    </row>
    <row r="1210" spans="1:9" x14ac:dyDescent="0.3">
      <c r="A1210" t="str">
        <f t="shared" si="18"/>
        <v>14Lewisham</v>
      </c>
      <c r="B1210">
        <v>14</v>
      </c>
      <c r="C1210" t="s">
        <v>207</v>
      </c>
      <c r="D1210" t="s">
        <v>8646</v>
      </c>
      <c r="E1210" t="s">
        <v>806</v>
      </c>
      <c r="F1210" t="s">
        <v>807</v>
      </c>
      <c r="H1210" s="34">
        <v>253087</v>
      </c>
      <c r="I1210" s="53"/>
    </row>
    <row r="1211" spans="1:9" x14ac:dyDescent="0.3">
      <c r="A1211" t="str">
        <f t="shared" si="18"/>
        <v>1Lincolnshire</v>
      </c>
      <c r="B1211">
        <v>1</v>
      </c>
      <c r="C1211" t="s">
        <v>209</v>
      </c>
      <c r="D1211" t="s">
        <v>8647</v>
      </c>
      <c r="E1211" t="s">
        <v>1106</v>
      </c>
      <c r="F1211" t="s">
        <v>7628</v>
      </c>
      <c r="H1211" s="34">
        <v>450000</v>
      </c>
      <c r="I1211" s="53"/>
    </row>
    <row r="1212" spans="1:9" x14ac:dyDescent="0.3">
      <c r="A1212" t="str">
        <f t="shared" si="18"/>
        <v>2Lincolnshire</v>
      </c>
      <c r="B1212">
        <v>2</v>
      </c>
      <c r="C1212" t="s">
        <v>209</v>
      </c>
      <c r="D1212" t="s">
        <v>8648</v>
      </c>
      <c r="E1212" t="s">
        <v>7662</v>
      </c>
      <c r="H1212" s="34">
        <v>47067</v>
      </c>
      <c r="I1212" s="53"/>
    </row>
    <row r="1213" spans="1:9" x14ac:dyDescent="0.3">
      <c r="A1213" t="str">
        <f t="shared" si="18"/>
        <v>3Lincolnshire</v>
      </c>
      <c r="B1213">
        <v>3</v>
      </c>
      <c r="C1213" t="s">
        <v>209</v>
      </c>
      <c r="D1213" t="s">
        <v>8649</v>
      </c>
      <c r="E1213" t="s">
        <v>7657</v>
      </c>
      <c r="F1213" t="s">
        <v>7632</v>
      </c>
      <c r="H1213" s="34">
        <v>250000</v>
      </c>
      <c r="I1213" s="53"/>
    </row>
    <row r="1214" spans="1:9" x14ac:dyDescent="0.3">
      <c r="A1214" t="str">
        <f t="shared" si="18"/>
        <v>4Lincolnshire</v>
      </c>
      <c r="B1214">
        <v>4</v>
      </c>
      <c r="C1214" t="s">
        <v>209</v>
      </c>
      <c r="D1214" t="s">
        <v>3417</v>
      </c>
      <c r="E1214" t="s">
        <v>800</v>
      </c>
      <c r="F1214" t="s">
        <v>903</v>
      </c>
      <c r="H1214" s="34">
        <v>200000</v>
      </c>
      <c r="I1214" s="53"/>
    </row>
    <row r="1215" spans="1:9" x14ac:dyDescent="0.3">
      <c r="A1215" t="str">
        <f t="shared" si="18"/>
        <v>5Lincolnshire</v>
      </c>
      <c r="B1215">
        <v>5</v>
      </c>
      <c r="C1215" t="s">
        <v>209</v>
      </c>
      <c r="D1215" t="s">
        <v>8650</v>
      </c>
      <c r="E1215" t="s">
        <v>842</v>
      </c>
      <c r="F1215" t="s">
        <v>7636</v>
      </c>
      <c r="H1215" s="34">
        <v>300000</v>
      </c>
      <c r="I1215" s="53"/>
    </row>
    <row r="1216" spans="1:9" x14ac:dyDescent="0.3">
      <c r="A1216" t="str">
        <f t="shared" si="18"/>
        <v>6Lincolnshire</v>
      </c>
      <c r="B1216">
        <v>6</v>
      </c>
      <c r="C1216" t="s">
        <v>209</v>
      </c>
      <c r="D1216" t="s">
        <v>8650</v>
      </c>
      <c r="E1216" t="s">
        <v>1113</v>
      </c>
      <c r="F1216" t="s">
        <v>7629</v>
      </c>
      <c r="H1216" s="34">
        <v>500000</v>
      </c>
      <c r="I1216" s="53"/>
    </row>
    <row r="1217" spans="1:9" x14ac:dyDescent="0.3">
      <c r="A1217" t="str">
        <f t="shared" si="18"/>
        <v>7Lincolnshire</v>
      </c>
      <c r="B1217">
        <v>7</v>
      </c>
      <c r="C1217" t="s">
        <v>209</v>
      </c>
      <c r="D1217" t="s">
        <v>8651</v>
      </c>
      <c r="E1217" t="s">
        <v>812</v>
      </c>
      <c r="H1217" s="34">
        <v>250000</v>
      </c>
      <c r="I1217" s="53"/>
    </row>
    <row r="1218" spans="1:9" x14ac:dyDescent="0.3">
      <c r="A1218" t="str">
        <f t="shared" ref="A1218:A1281" si="19">B1218&amp;C1218</f>
        <v>8Lincolnshire</v>
      </c>
      <c r="B1218">
        <v>8</v>
      </c>
      <c r="C1218" t="s">
        <v>209</v>
      </c>
      <c r="D1218" t="s">
        <v>8652</v>
      </c>
      <c r="E1218" t="s">
        <v>812</v>
      </c>
      <c r="H1218" s="34">
        <v>75000</v>
      </c>
      <c r="I1218" s="53"/>
    </row>
    <row r="1219" spans="1:9" x14ac:dyDescent="0.3">
      <c r="A1219" t="str">
        <f t="shared" si="19"/>
        <v>9Lincolnshire</v>
      </c>
      <c r="B1219">
        <v>9</v>
      </c>
      <c r="C1219" t="s">
        <v>209</v>
      </c>
      <c r="D1219" t="s">
        <v>8653</v>
      </c>
      <c r="E1219" t="s">
        <v>5266</v>
      </c>
      <c r="F1219" t="s">
        <v>7639</v>
      </c>
      <c r="H1219" s="34">
        <v>2830000</v>
      </c>
      <c r="I1219" s="53"/>
    </row>
    <row r="1220" spans="1:9" x14ac:dyDescent="0.3">
      <c r="A1220" t="str">
        <f t="shared" si="19"/>
        <v>1Liverpool</v>
      </c>
      <c r="B1220">
        <v>1</v>
      </c>
      <c r="C1220" t="s">
        <v>211</v>
      </c>
      <c r="D1220" t="s">
        <v>8654</v>
      </c>
      <c r="E1220" t="s">
        <v>7657</v>
      </c>
      <c r="F1220" t="s">
        <v>7640</v>
      </c>
      <c r="H1220" s="34">
        <v>188000</v>
      </c>
      <c r="I1220" s="53"/>
    </row>
    <row r="1221" spans="1:9" x14ac:dyDescent="0.3">
      <c r="A1221" t="str">
        <f t="shared" si="19"/>
        <v>2Liverpool</v>
      </c>
      <c r="B1221">
        <v>2</v>
      </c>
      <c r="C1221" t="s">
        <v>211</v>
      </c>
      <c r="D1221" t="s">
        <v>8655</v>
      </c>
      <c r="E1221" t="s">
        <v>7657</v>
      </c>
      <c r="F1221" t="s">
        <v>7640</v>
      </c>
      <c r="H1221" s="34">
        <v>347000</v>
      </c>
      <c r="I1221" s="53"/>
    </row>
    <row r="1222" spans="1:9" x14ac:dyDescent="0.3">
      <c r="A1222" t="str">
        <f t="shared" si="19"/>
        <v>3Liverpool</v>
      </c>
      <c r="B1222">
        <v>3</v>
      </c>
      <c r="C1222" t="s">
        <v>211</v>
      </c>
      <c r="D1222" t="s">
        <v>8656</v>
      </c>
      <c r="E1222" t="s">
        <v>1106</v>
      </c>
      <c r="F1222" t="s">
        <v>7628</v>
      </c>
      <c r="H1222" s="34">
        <v>480000</v>
      </c>
      <c r="I1222" s="53"/>
    </row>
    <row r="1223" spans="1:9" x14ac:dyDescent="0.3">
      <c r="A1223" t="str">
        <f t="shared" si="19"/>
        <v>4Liverpool</v>
      </c>
      <c r="B1223">
        <v>4</v>
      </c>
      <c r="C1223" t="s">
        <v>211</v>
      </c>
      <c r="D1223" t="s">
        <v>1781</v>
      </c>
      <c r="E1223" t="s">
        <v>812</v>
      </c>
      <c r="H1223" s="34">
        <v>85000</v>
      </c>
      <c r="I1223" s="53"/>
    </row>
    <row r="1224" spans="1:9" x14ac:dyDescent="0.3">
      <c r="A1224" t="str">
        <f t="shared" si="19"/>
        <v>5Liverpool</v>
      </c>
      <c r="B1224">
        <v>5</v>
      </c>
      <c r="C1224" t="s">
        <v>211</v>
      </c>
      <c r="D1224" t="s">
        <v>1051</v>
      </c>
      <c r="E1224" t="s">
        <v>800</v>
      </c>
      <c r="F1224" t="s">
        <v>903</v>
      </c>
      <c r="H1224" s="34">
        <v>700000</v>
      </c>
      <c r="I1224" s="53"/>
    </row>
    <row r="1225" spans="1:9" x14ac:dyDescent="0.3">
      <c r="A1225" t="str">
        <f t="shared" si="19"/>
        <v>6Liverpool</v>
      </c>
      <c r="B1225">
        <v>6</v>
      </c>
      <c r="C1225" t="s">
        <v>211</v>
      </c>
      <c r="D1225" t="s">
        <v>8657</v>
      </c>
      <c r="E1225" t="s">
        <v>842</v>
      </c>
      <c r="F1225" t="s">
        <v>812</v>
      </c>
      <c r="H1225" s="34">
        <v>45000</v>
      </c>
      <c r="I1225" s="53"/>
    </row>
    <row r="1226" spans="1:9" x14ac:dyDescent="0.3">
      <c r="A1226" t="str">
        <f t="shared" si="19"/>
        <v>7Liverpool</v>
      </c>
      <c r="B1226">
        <v>7</v>
      </c>
      <c r="C1226" t="s">
        <v>211</v>
      </c>
      <c r="D1226" t="s">
        <v>8658</v>
      </c>
      <c r="E1226" t="s">
        <v>806</v>
      </c>
      <c r="F1226" t="s">
        <v>807</v>
      </c>
      <c r="H1226" s="34">
        <v>135000</v>
      </c>
      <c r="I1226" s="53"/>
    </row>
    <row r="1227" spans="1:9" x14ac:dyDescent="0.3">
      <c r="A1227" t="str">
        <f t="shared" si="19"/>
        <v>8Liverpool</v>
      </c>
      <c r="B1227">
        <v>8</v>
      </c>
      <c r="C1227" t="s">
        <v>211</v>
      </c>
      <c r="D1227" t="s">
        <v>8659</v>
      </c>
      <c r="E1227" t="s">
        <v>7657</v>
      </c>
      <c r="F1227" t="s">
        <v>7640</v>
      </c>
      <c r="H1227" s="34">
        <v>110000</v>
      </c>
      <c r="I1227" s="53"/>
    </row>
    <row r="1228" spans="1:9" x14ac:dyDescent="0.3">
      <c r="A1228" t="str">
        <f t="shared" si="19"/>
        <v>9Liverpool</v>
      </c>
      <c r="B1228">
        <v>9</v>
      </c>
      <c r="C1228" t="s">
        <v>211</v>
      </c>
      <c r="D1228" t="s">
        <v>1977</v>
      </c>
      <c r="E1228" t="s">
        <v>1113</v>
      </c>
      <c r="F1228" t="s">
        <v>7629</v>
      </c>
      <c r="H1228" s="34">
        <v>410000</v>
      </c>
      <c r="I1228" s="53"/>
    </row>
    <row r="1229" spans="1:9" x14ac:dyDescent="0.3">
      <c r="A1229" t="str">
        <f t="shared" si="19"/>
        <v>10Liverpool</v>
      </c>
      <c r="B1229">
        <v>10</v>
      </c>
      <c r="C1229" t="s">
        <v>211</v>
      </c>
      <c r="D1229" t="s">
        <v>8660</v>
      </c>
      <c r="E1229" t="s">
        <v>1106</v>
      </c>
      <c r="F1229" t="s">
        <v>7628</v>
      </c>
      <c r="H1229" s="34">
        <v>140000</v>
      </c>
      <c r="I1229" s="53"/>
    </row>
    <row r="1230" spans="1:9" x14ac:dyDescent="0.3">
      <c r="A1230" t="str">
        <f t="shared" si="19"/>
        <v>11Liverpool</v>
      </c>
      <c r="B1230">
        <v>11</v>
      </c>
      <c r="C1230" t="s">
        <v>211</v>
      </c>
      <c r="D1230" t="s">
        <v>8661</v>
      </c>
      <c r="E1230" t="s">
        <v>1106</v>
      </c>
      <c r="F1230" t="s">
        <v>7628</v>
      </c>
      <c r="H1230" s="34">
        <v>252000</v>
      </c>
      <c r="I1230" s="53"/>
    </row>
    <row r="1231" spans="1:9" x14ac:dyDescent="0.3">
      <c r="A1231" t="str">
        <f t="shared" si="19"/>
        <v>12Liverpool</v>
      </c>
      <c r="B1231">
        <v>12</v>
      </c>
      <c r="C1231" t="s">
        <v>211</v>
      </c>
      <c r="D1231" t="s">
        <v>8662</v>
      </c>
      <c r="E1231" t="s">
        <v>5266</v>
      </c>
      <c r="F1231" t="s">
        <v>7646</v>
      </c>
      <c r="H1231" s="34">
        <v>1600000</v>
      </c>
      <c r="I1231" s="53"/>
    </row>
    <row r="1232" spans="1:9" x14ac:dyDescent="0.3">
      <c r="A1232" t="str">
        <f t="shared" si="19"/>
        <v>13Liverpool</v>
      </c>
      <c r="B1232">
        <v>13</v>
      </c>
      <c r="C1232" t="s">
        <v>211</v>
      </c>
      <c r="D1232" t="s">
        <v>1006</v>
      </c>
      <c r="E1232" t="s">
        <v>812</v>
      </c>
      <c r="H1232" s="34">
        <v>188000</v>
      </c>
      <c r="I1232" s="53"/>
    </row>
    <row r="1233" spans="1:9" x14ac:dyDescent="0.3">
      <c r="A1233" t="str">
        <f t="shared" si="19"/>
        <v>14Liverpool</v>
      </c>
      <c r="B1233">
        <v>14</v>
      </c>
      <c r="C1233" t="s">
        <v>211</v>
      </c>
      <c r="D1233" t="s">
        <v>8663</v>
      </c>
      <c r="E1233" t="s">
        <v>806</v>
      </c>
      <c r="F1233" t="s">
        <v>917</v>
      </c>
      <c r="H1233" s="34">
        <v>360000</v>
      </c>
      <c r="I1233" s="53"/>
    </row>
    <row r="1234" spans="1:9" x14ac:dyDescent="0.3">
      <c r="A1234" t="str">
        <f t="shared" si="19"/>
        <v>15Liverpool</v>
      </c>
      <c r="B1234">
        <v>15</v>
      </c>
      <c r="C1234" t="s">
        <v>211</v>
      </c>
      <c r="D1234" t="s">
        <v>8664</v>
      </c>
      <c r="E1234" t="s">
        <v>800</v>
      </c>
      <c r="F1234" t="s">
        <v>2108</v>
      </c>
      <c r="H1234" s="34">
        <v>160000</v>
      </c>
      <c r="I1234" s="53"/>
    </row>
    <row r="1235" spans="1:9" x14ac:dyDescent="0.3">
      <c r="A1235" t="str">
        <f t="shared" si="19"/>
        <v>16Liverpool</v>
      </c>
      <c r="B1235">
        <v>16</v>
      </c>
      <c r="C1235" t="s">
        <v>211</v>
      </c>
      <c r="D1235" t="s">
        <v>8665</v>
      </c>
      <c r="E1235" t="s">
        <v>1106</v>
      </c>
      <c r="F1235" t="s">
        <v>7628</v>
      </c>
      <c r="H1235" s="34">
        <v>300000</v>
      </c>
      <c r="I1235" s="53"/>
    </row>
    <row r="1236" spans="1:9" x14ac:dyDescent="0.3">
      <c r="A1236" t="str">
        <f t="shared" si="19"/>
        <v>17Liverpool</v>
      </c>
      <c r="B1236">
        <v>17</v>
      </c>
      <c r="C1236" t="s">
        <v>211</v>
      </c>
      <c r="D1236" t="s">
        <v>8666</v>
      </c>
      <c r="E1236" t="s">
        <v>7649</v>
      </c>
      <c r="F1236" t="s">
        <v>7638</v>
      </c>
      <c r="H1236" s="34">
        <v>200000</v>
      </c>
      <c r="I1236" s="53"/>
    </row>
    <row r="1237" spans="1:9" x14ac:dyDescent="0.3">
      <c r="A1237" t="str">
        <f t="shared" si="19"/>
        <v>18Liverpool</v>
      </c>
      <c r="B1237">
        <v>18</v>
      </c>
      <c r="C1237" t="s">
        <v>211</v>
      </c>
      <c r="D1237" t="s">
        <v>8667</v>
      </c>
      <c r="E1237" t="s">
        <v>800</v>
      </c>
      <c r="F1237" t="s">
        <v>2108</v>
      </c>
      <c r="H1237" s="34">
        <v>65000</v>
      </c>
      <c r="I1237" s="53"/>
    </row>
    <row r="1238" spans="1:9" x14ac:dyDescent="0.3">
      <c r="A1238" t="str">
        <f t="shared" si="19"/>
        <v>19Liverpool</v>
      </c>
      <c r="B1238">
        <v>19</v>
      </c>
      <c r="C1238" t="s">
        <v>211</v>
      </c>
      <c r="D1238" t="s">
        <v>8668</v>
      </c>
      <c r="E1238" t="s">
        <v>806</v>
      </c>
      <c r="F1238" t="s">
        <v>917</v>
      </c>
      <c r="H1238" s="34">
        <v>300000</v>
      </c>
      <c r="I1238" s="53"/>
    </row>
    <row r="1239" spans="1:9" x14ac:dyDescent="0.3">
      <c r="A1239" t="str">
        <f t="shared" si="19"/>
        <v>20Liverpool</v>
      </c>
      <c r="B1239">
        <v>20</v>
      </c>
      <c r="C1239" t="s">
        <v>211</v>
      </c>
      <c r="D1239" t="s">
        <v>8669</v>
      </c>
      <c r="E1239" t="s">
        <v>1106</v>
      </c>
      <c r="F1239" t="s">
        <v>7628</v>
      </c>
      <c r="H1239" s="34">
        <v>540000</v>
      </c>
      <c r="I1239" s="53"/>
    </row>
    <row r="1240" spans="1:9" x14ac:dyDescent="0.3">
      <c r="A1240" t="str">
        <f t="shared" si="19"/>
        <v>21Liverpool</v>
      </c>
      <c r="B1240">
        <v>21</v>
      </c>
      <c r="C1240" t="s">
        <v>211</v>
      </c>
      <c r="D1240" t="s">
        <v>8670</v>
      </c>
      <c r="E1240" t="s">
        <v>812</v>
      </c>
      <c r="H1240" s="34">
        <v>50000</v>
      </c>
      <c r="I1240" s="53"/>
    </row>
    <row r="1241" spans="1:9" x14ac:dyDescent="0.3">
      <c r="A1241" t="str">
        <f t="shared" si="19"/>
        <v>22Liverpool</v>
      </c>
      <c r="B1241">
        <v>22</v>
      </c>
      <c r="C1241" t="s">
        <v>211</v>
      </c>
      <c r="D1241" t="s">
        <v>8671</v>
      </c>
      <c r="E1241" t="s">
        <v>812</v>
      </c>
      <c r="H1241" s="34">
        <v>350000</v>
      </c>
      <c r="I1241" s="53"/>
    </row>
    <row r="1242" spans="1:9" x14ac:dyDescent="0.3">
      <c r="A1242" t="str">
        <f t="shared" si="19"/>
        <v>1Luton</v>
      </c>
      <c r="B1242">
        <v>1</v>
      </c>
      <c r="C1242" t="s">
        <v>213</v>
      </c>
      <c r="D1242" t="s">
        <v>7660</v>
      </c>
      <c r="E1242" t="s">
        <v>7660</v>
      </c>
      <c r="F1242" t="s">
        <v>7704</v>
      </c>
      <c r="H1242" s="34">
        <v>15726</v>
      </c>
      <c r="I1242" s="53"/>
    </row>
    <row r="1243" spans="1:9" x14ac:dyDescent="0.3">
      <c r="A1243" t="str">
        <f t="shared" si="19"/>
        <v>2Luton</v>
      </c>
      <c r="B1243">
        <v>2</v>
      </c>
      <c r="C1243" t="s">
        <v>213</v>
      </c>
      <c r="D1243" t="s">
        <v>8672</v>
      </c>
      <c r="E1243" t="s">
        <v>7658</v>
      </c>
      <c r="F1243" t="s">
        <v>7704</v>
      </c>
      <c r="H1243" s="34">
        <v>40000</v>
      </c>
      <c r="I1243" s="53"/>
    </row>
    <row r="1244" spans="1:9" x14ac:dyDescent="0.3">
      <c r="A1244" t="str">
        <f t="shared" si="19"/>
        <v>3Luton</v>
      </c>
      <c r="B1244">
        <v>3</v>
      </c>
      <c r="C1244" t="s">
        <v>213</v>
      </c>
      <c r="D1244" t="s">
        <v>8673</v>
      </c>
      <c r="E1244" t="s">
        <v>842</v>
      </c>
      <c r="F1244" t="s">
        <v>7636</v>
      </c>
      <c r="H1244" s="34">
        <v>300000</v>
      </c>
      <c r="I1244" s="53"/>
    </row>
    <row r="1245" spans="1:9" x14ac:dyDescent="0.3">
      <c r="A1245" t="str">
        <f t="shared" si="19"/>
        <v>4Luton</v>
      </c>
      <c r="B1245">
        <v>4</v>
      </c>
      <c r="C1245" t="s">
        <v>213</v>
      </c>
      <c r="D1245" t="s">
        <v>8674</v>
      </c>
      <c r="E1245" t="s">
        <v>5266</v>
      </c>
      <c r="F1245" t="s">
        <v>7639</v>
      </c>
      <c r="H1245" s="34">
        <v>96771</v>
      </c>
      <c r="I1245" s="53"/>
    </row>
    <row r="1246" spans="1:9" x14ac:dyDescent="0.3">
      <c r="A1246" t="str">
        <f t="shared" si="19"/>
        <v>5Luton</v>
      </c>
      <c r="B1246">
        <v>5</v>
      </c>
      <c r="C1246" t="s">
        <v>213</v>
      </c>
      <c r="D1246" t="s">
        <v>8675</v>
      </c>
      <c r="E1246" t="s">
        <v>1113</v>
      </c>
      <c r="F1246" t="s">
        <v>7637</v>
      </c>
      <c r="H1246" s="34">
        <v>20000</v>
      </c>
      <c r="I1246" s="53"/>
    </row>
    <row r="1247" spans="1:9" x14ac:dyDescent="0.3">
      <c r="A1247" t="str">
        <f t="shared" si="19"/>
        <v>6Luton</v>
      </c>
      <c r="B1247">
        <v>6</v>
      </c>
      <c r="C1247" t="s">
        <v>213</v>
      </c>
      <c r="D1247" t="s">
        <v>8676</v>
      </c>
      <c r="E1247" t="s">
        <v>812</v>
      </c>
      <c r="F1247" t="s">
        <v>7704</v>
      </c>
      <c r="H1247" s="34">
        <v>200000</v>
      </c>
      <c r="I1247" s="53"/>
    </row>
    <row r="1248" spans="1:9" x14ac:dyDescent="0.3">
      <c r="A1248" t="str">
        <f t="shared" si="19"/>
        <v>7Luton</v>
      </c>
      <c r="B1248">
        <v>7</v>
      </c>
      <c r="C1248" t="s">
        <v>213</v>
      </c>
      <c r="D1248" t="s">
        <v>8677</v>
      </c>
      <c r="E1248" t="s">
        <v>7658</v>
      </c>
      <c r="F1248" t="s">
        <v>7704</v>
      </c>
      <c r="H1248" s="34">
        <v>93951</v>
      </c>
      <c r="I1248" s="53"/>
    </row>
    <row r="1249" spans="1:9" x14ac:dyDescent="0.3">
      <c r="A1249" t="str">
        <f t="shared" si="19"/>
        <v>8Luton</v>
      </c>
      <c r="B1249">
        <v>8</v>
      </c>
      <c r="C1249" t="s">
        <v>213</v>
      </c>
      <c r="D1249" t="s">
        <v>1063</v>
      </c>
      <c r="E1249" t="s">
        <v>1106</v>
      </c>
      <c r="F1249" t="s">
        <v>7628</v>
      </c>
      <c r="H1249" s="34">
        <v>39000</v>
      </c>
      <c r="I1249" s="53"/>
    </row>
    <row r="1250" spans="1:9" x14ac:dyDescent="0.3">
      <c r="A1250" t="str">
        <f t="shared" si="19"/>
        <v>9Luton</v>
      </c>
      <c r="B1250">
        <v>9</v>
      </c>
      <c r="C1250" t="s">
        <v>213</v>
      </c>
      <c r="D1250" t="s">
        <v>8678</v>
      </c>
      <c r="E1250" t="s">
        <v>7657</v>
      </c>
      <c r="F1250" t="s">
        <v>7632</v>
      </c>
      <c r="H1250" s="34">
        <v>81360</v>
      </c>
      <c r="I1250" s="53"/>
    </row>
    <row r="1251" spans="1:9" x14ac:dyDescent="0.3">
      <c r="A1251" t="str">
        <f t="shared" si="19"/>
        <v>10Luton</v>
      </c>
      <c r="B1251">
        <v>10</v>
      </c>
      <c r="C1251" t="s">
        <v>213</v>
      </c>
      <c r="D1251" t="s">
        <v>7711</v>
      </c>
      <c r="E1251" t="s">
        <v>7657</v>
      </c>
      <c r="F1251" t="s">
        <v>7632</v>
      </c>
      <c r="H1251" s="34">
        <v>33203</v>
      </c>
      <c r="I1251" s="53"/>
    </row>
    <row r="1252" spans="1:9" x14ac:dyDescent="0.3">
      <c r="A1252" t="str">
        <f t="shared" si="19"/>
        <v>11Luton</v>
      </c>
      <c r="B1252">
        <v>11</v>
      </c>
      <c r="C1252" t="s">
        <v>213</v>
      </c>
      <c r="D1252" t="s">
        <v>8679</v>
      </c>
      <c r="E1252" t="s">
        <v>800</v>
      </c>
      <c r="F1252" t="s">
        <v>812</v>
      </c>
      <c r="H1252" s="34">
        <v>25000</v>
      </c>
      <c r="I1252" s="53"/>
    </row>
    <row r="1253" spans="1:9" x14ac:dyDescent="0.3">
      <c r="A1253" t="str">
        <f t="shared" si="19"/>
        <v>12Luton</v>
      </c>
      <c r="B1253">
        <v>12</v>
      </c>
      <c r="C1253" t="s">
        <v>213</v>
      </c>
      <c r="D1253" t="s">
        <v>8680</v>
      </c>
      <c r="E1253" t="s">
        <v>842</v>
      </c>
      <c r="F1253" t="s">
        <v>7636</v>
      </c>
      <c r="H1253" s="34">
        <v>18073</v>
      </c>
      <c r="I1253" s="53"/>
    </row>
    <row r="1254" spans="1:9" x14ac:dyDescent="0.3">
      <c r="A1254" t="str">
        <f t="shared" si="19"/>
        <v>13Luton</v>
      </c>
      <c r="B1254">
        <v>13</v>
      </c>
      <c r="C1254" t="s">
        <v>213</v>
      </c>
      <c r="D1254" t="s">
        <v>7714</v>
      </c>
      <c r="E1254" t="s">
        <v>7658</v>
      </c>
      <c r="F1254" t="s">
        <v>7704</v>
      </c>
      <c r="H1254" s="34">
        <v>11685</v>
      </c>
      <c r="I1254" s="53"/>
    </row>
    <row r="1255" spans="1:9" x14ac:dyDescent="0.3">
      <c r="A1255" t="str">
        <f t="shared" si="19"/>
        <v>14Luton</v>
      </c>
      <c r="B1255">
        <v>14</v>
      </c>
      <c r="C1255" t="s">
        <v>213</v>
      </c>
      <c r="D1255" t="s">
        <v>7715</v>
      </c>
      <c r="E1255" t="s">
        <v>812</v>
      </c>
      <c r="F1255" t="s">
        <v>7704</v>
      </c>
      <c r="H1255" s="34">
        <v>93165</v>
      </c>
      <c r="I1255" s="53"/>
    </row>
    <row r="1256" spans="1:9" x14ac:dyDescent="0.3">
      <c r="A1256" t="str">
        <f t="shared" si="19"/>
        <v>15Luton</v>
      </c>
      <c r="B1256">
        <v>15</v>
      </c>
      <c r="C1256" t="s">
        <v>213</v>
      </c>
      <c r="D1256" t="s">
        <v>8681</v>
      </c>
      <c r="E1256" t="s">
        <v>7658</v>
      </c>
      <c r="F1256" t="s">
        <v>7704</v>
      </c>
      <c r="H1256" s="34">
        <v>14719</v>
      </c>
      <c r="I1256" s="53"/>
    </row>
    <row r="1257" spans="1:9" x14ac:dyDescent="0.3">
      <c r="A1257" t="str">
        <f t="shared" si="19"/>
        <v>16Luton</v>
      </c>
      <c r="B1257">
        <v>16</v>
      </c>
      <c r="C1257" t="s">
        <v>213</v>
      </c>
      <c r="D1257" t="s">
        <v>7717</v>
      </c>
      <c r="E1257" t="s">
        <v>812</v>
      </c>
      <c r="F1257" t="s">
        <v>7704</v>
      </c>
      <c r="H1257" s="34">
        <v>28808</v>
      </c>
      <c r="I1257" s="53"/>
    </row>
    <row r="1258" spans="1:9" x14ac:dyDescent="0.3">
      <c r="A1258" t="str">
        <f t="shared" si="19"/>
        <v>17Luton</v>
      </c>
      <c r="B1258">
        <v>17</v>
      </c>
      <c r="C1258" t="s">
        <v>213</v>
      </c>
      <c r="D1258" t="s">
        <v>1075</v>
      </c>
      <c r="E1258" t="s">
        <v>1106</v>
      </c>
      <c r="F1258" t="s">
        <v>7628</v>
      </c>
      <c r="H1258" s="34">
        <v>369817</v>
      </c>
      <c r="I1258" s="53"/>
    </row>
    <row r="1259" spans="1:9" x14ac:dyDescent="0.3">
      <c r="A1259" t="str">
        <f t="shared" si="19"/>
        <v>18Luton</v>
      </c>
      <c r="B1259">
        <v>18</v>
      </c>
      <c r="C1259" t="s">
        <v>213</v>
      </c>
      <c r="D1259" t="s">
        <v>8682</v>
      </c>
      <c r="E1259" t="s">
        <v>7658</v>
      </c>
      <c r="F1259" t="s">
        <v>7704</v>
      </c>
      <c r="H1259" s="34">
        <v>128084</v>
      </c>
      <c r="I1259" s="53"/>
    </row>
    <row r="1260" spans="1:9" x14ac:dyDescent="0.3">
      <c r="A1260" t="str">
        <f t="shared" si="19"/>
        <v>19Luton</v>
      </c>
      <c r="B1260">
        <v>19</v>
      </c>
      <c r="C1260" t="s">
        <v>213</v>
      </c>
      <c r="D1260" t="s">
        <v>8683</v>
      </c>
      <c r="E1260" t="s">
        <v>812</v>
      </c>
      <c r="F1260" t="s">
        <v>7704</v>
      </c>
      <c r="H1260" s="34">
        <v>150000</v>
      </c>
      <c r="I1260" s="53"/>
    </row>
    <row r="1261" spans="1:9" x14ac:dyDescent="0.3">
      <c r="A1261" t="str">
        <f t="shared" si="19"/>
        <v>1Manchester</v>
      </c>
      <c r="B1261">
        <v>1</v>
      </c>
      <c r="C1261" t="s">
        <v>215</v>
      </c>
      <c r="D1261" t="s">
        <v>1616</v>
      </c>
      <c r="E1261" t="s">
        <v>806</v>
      </c>
      <c r="F1261" t="s">
        <v>917</v>
      </c>
      <c r="H1261" s="34">
        <v>2284000</v>
      </c>
      <c r="I1261" s="53"/>
    </row>
    <row r="1262" spans="1:9" x14ac:dyDescent="0.3">
      <c r="A1262" t="str">
        <f t="shared" si="19"/>
        <v>2Manchester</v>
      </c>
      <c r="B1262">
        <v>2</v>
      </c>
      <c r="C1262" t="s">
        <v>215</v>
      </c>
      <c r="D1262" t="s">
        <v>8684</v>
      </c>
      <c r="E1262" t="s">
        <v>812</v>
      </c>
      <c r="H1262" s="34">
        <v>488008</v>
      </c>
      <c r="I1262" s="53"/>
    </row>
    <row r="1263" spans="1:9" x14ac:dyDescent="0.3">
      <c r="A1263" t="str">
        <f t="shared" si="19"/>
        <v>3Manchester</v>
      </c>
      <c r="B1263">
        <v>3</v>
      </c>
      <c r="C1263" t="s">
        <v>215</v>
      </c>
      <c r="D1263" t="s">
        <v>8685</v>
      </c>
      <c r="E1263" t="s">
        <v>806</v>
      </c>
      <c r="F1263" t="s">
        <v>917</v>
      </c>
      <c r="H1263" s="34">
        <v>200000</v>
      </c>
      <c r="I1263" s="53"/>
    </row>
    <row r="1264" spans="1:9" x14ac:dyDescent="0.3">
      <c r="A1264" t="str">
        <f t="shared" si="19"/>
        <v>4Manchester</v>
      </c>
      <c r="B1264">
        <v>4</v>
      </c>
      <c r="C1264" t="s">
        <v>215</v>
      </c>
      <c r="D1264" t="s">
        <v>8685</v>
      </c>
      <c r="E1264" t="s">
        <v>806</v>
      </c>
      <c r="F1264" t="s">
        <v>812</v>
      </c>
      <c r="H1264" s="34">
        <v>100000</v>
      </c>
      <c r="I1264" s="53"/>
    </row>
    <row r="1265" spans="1:9" x14ac:dyDescent="0.3">
      <c r="A1265" t="str">
        <f t="shared" si="19"/>
        <v>5Manchester</v>
      </c>
      <c r="B1265">
        <v>5</v>
      </c>
      <c r="C1265" t="s">
        <v>215</v>
      </c>
      <c r="D1265" t="s">
        <v>8686</v>
      </c>
      <c r="E1265" t="s">
        <v>806</v>
      </c>
      <c r="F1265" t="s">
        <v>812</v>
      </c>
      <c r="H1265" s="34">
        <v>196275</v>
      </c>
      <c r="I1265" s="53"/>
    </row>
    <row r="1266" spans="1:9" x14ac:dyDescent="0.3">
      <c r="A1266" t="str">
        <f t="shared" si="19"/>
        <v>6Manchester</v>
      </c>
      <c r="B1266">
        <v>6</v>
      </c>
      <c r="C1266" t="s">
        <v>215</v>
      </c>
      <c r="D1266" t="s">
        <v>1447</v>
      </c>
      <c r="E1266" t="s">
        <v>842</v>
      </c>
      <c r="F1266" t="s">
        <v>7636</v>
      </c>
      <c r="H1266" s="34">
        <v>142450</v>
      </c>
      <c r="I1266" s="53"/>
    </row>
    <row r="1267" spans="1:9" x14ac:dyDescent="0.3">
      <c r="A1267" t="str">
        <f t="shared" si="19"/>
        <v>7Manchester</v>
      </c>
      <c r="B1267">
        <v>7</v>
      </c>
      <c r="C1267" t="s">
        <v>215</v>
      </c>
      <c r="D1267" t="s">
        <v>8687</v>
      </c>
      <c r="E1267" t="s">
        <v>5266</v>
      </c>
      <c r="F1267" t="s">
        <v>7639</v>
      </c>
      <c r="H1267" s="34">
        <v>200000</v>
      </c>
      <c r="I1267" s="53"/>
    </row>
    <row r="1268" spans="1:9" x14ac:dyDescent="0.3">
      <c r="A1268" t="str">
        <f t="shared" si="19"/>
        <v>8Manchester</v>
      </c>
      <c r="B1268">
        <v>8</v>
      </c>
      <c r="C1268" t="s">
        <v>215</v>
      </c>
      <c r="D1268" t="s">
        <v>8688</v>
      </c>
      <c r="E1268" t="s">
        <v>1847</v>
      </c>
      <c r="H1268" s="34">
        <v>174008</v>
      </c>
      <c r="I1268" s="53"/>
    </row>
    <row r="1269" spans="1:9" x14ac:dyDescent="0.3">
      <c r="A1269" t="str">
        <f t="shared" si="19"/>
        <v>9Manchester</v>
      </c>
      <c r="B1269">
        <v>9</v>
      </c>
      <c r="C1269" t="s">
        <v>215</v>
      </c>
      <c r="D1269" t="s">
        <v>8689</v>
      </c>
      <c r="E1269" t="s">
        <v>1113</v>
      </c>
      <c r="F1269" t="s">
        <v>7629</v>
      </c>
      <c r="H1269" s="34">
        <v>615600</v>
      </c>
      <c r="I1269" s="53"/>
    </row>
    <row r="1270" spans="1:9" x14ac:dyDescent="0.3">
      <c r="A1270" t="str">
        <f t="shared" si="19"/>
        <v>10Manchester</v>
      </c>
      <c r="B1270">
        <v>10</v>
      </c>
      <c r="C1270" t="s">
        <v>215</v>
      </c>
      <c r="D1270" t="s">
        <v>8690</v>
      </c>
      <c r="E1270" t="s">
        <v>806</v>
      </c>
      <c r="F1270" t="s">
        <v>807</v>
      </c>
      <c r="H1270" s="34">
        <v>391050</v>
      </c>
      <c r="I1270" s="53"/>
    </row>
    <row r="1271" spans="1:9" x14ac:dyDescent="0.3">
      <c r="A1271" t="str">
        <f t="shared" si="19"/>
        <v>11Manchester</v>
      </c>
      <c r="B1271">
        <v>11</v>
      </c>
      <c r="C1271" t="s">
        <v>215</v>
      </c>
      <c r="D1271" t="s">
        <v>8690</v>
      </c>
      <c r="E1271" t="s">
        <v>806</v>
      </c>
      <c r="F1271" t="s">
        <v>917</v>
      </c>
      <c r="H1271" s="34">
        <v>391050</v>
      </c>
      <c r="I1271" s="53"/>
    </row>
    <row r="1272" spans="1:9" x14ac:dyDescent="0.3">
      <c r="A1272" t="str">
        <f t="shared" si="19"/>
        <v>12Manchester</v>
      </c>
      <c r="B1272">
        <v>12</v>
      </c>
      <c r="C1272" t="s">
        <v>215</v>
      </c>
      <c r="D1272" t="s">
        <v>8691</v>
      </c>
      <c r="E1272" t="s">
        <v>1113</v>
      </c>
      <c r="F1272" t="s">
        <v>7629</v>
      </c>
      <c r="H1272" s="34">
        <v>60400</v>
      </c>
      <c r="I1272" s="53"/>
    </row>
    <row r="1273" spans="1:9" x14ac:dyDescent="0.3">
      <c r="A1273" t="str">
        <f t="shared" si="19"/>
        <v>13Manchester</v>
      </c>
      <c r="B1273">
        <v>13</v>
      </c>
      <c r="C1273" t="s">
        <v>215</v>
      </c>
      <c r="D1273" t="s">
        <v>8692</v>
      </c>
      <c r="E1273" t="s">
        <v>806</v>
      </c>
      <c r="F1273" t="s">
        <v>807</v>
      </c>
      <c r="H1273" s="34">
        <v>308000</v>
      </c>
      <c r="I1273" s="53"/>
    </row>
    <row r="1274" spans="1:9" x14ac:dyDescent="0.3">
      <c r="A1274" t="str">
        <f t="shared" si="19"/>
        <v>14Manchester</v>
      </c>
      <c r="B1274">
        <v>14</v>
      </c>
      <c r="C1274" t="s">
        <v>215</v>
      </c>
      <c r="D1274" t="s">
        <v>8693</v>
      </c>
      <c r="E1274" t="s">
        <v>800</v>
      </c>
      <c r="F1274" t="s">
        <v>2108</v>
      </c>
      <c r="H1274" s="34">
        <v>150000</v>
      </c>
      <c r="I1274" s="53"/>
    </row>
    <row r="1275" spans="1:9" x14ac:dyDescent="0.3">
      <c r="A1275" t="str">
        <f t="shared" si="19"/>
        <v>15Manchester</v>
      </c>
      <c r="B1275">
        <v>15</v>
      </c>
      <c r="C1275" t="s">
        <v>215</v>
      </c>
      <c r="D1275" t="s">
        <v>8694</v>
      </c>
      <c r="E1275" t="s">
        <v>800</v>
      </c>
      <c r="F1275" t="s">
        <v>903</v>
      </c>
      <c r="H1275" s="34">
        <v>144120</v>
      </c>
      <c r="I1275" s="53"/>
    </row>
    <row r="1276" spans="1:9" x14ac:dyDescent="0.3">
      <c r="A1276" t="str">
        <f t="shared" si="19"/>
        <v>16Manchester</v>
      </c>
      <c r="B1276">
        <v>16</v>
      </c>
      <c r="C1276" t="s">
        <v>215</v>
      </c>
      <c r="D1276" t="s">
        <v>8695</v>
      </c>
      <c r="E1276" t="s">
        <v>812</v>
      </c>
      <c r="H1276" s="34">
        <v>50000</v>
      </c>
      <c r="I1276" s="53"/>
    </row>
    <row r="1277" spans="1:9" x14ac:dyDescent="0.3">
      <c r="A1277" t="str">
        <f t="shared" si="19"/>
        <v>17Manchester</v>
      </c>
      <c r="B1277">
        <v>17</v>
      </c>
      <c r="C1277" t="s">
        <v>215</v>
      </c>
      <c r="D1277" t="s">
        <v>5384</v>
      </c>
      <c r="E1277" t="s">
        <v>842</v>
      </c>
      <c r="F1277" t="s">
        <v>812</v>
      </c>
      <c r="H1277" s="34">
        <v>219076</v>
      </c>
      <c r="I1277" s="53"/>
    </row>
    <row r="1278" spans="1:9" x14ac:dyDescent="0.3">
      <c r="A1278" t="str">
        <f t="shared" si="19"/>
        <v>1Medway</v>
      </c>
      <c r="B1278">
        <v>1</v>
      </c>
      <c r="C1278" t="s">
        <v>217</v>
      </c>
      <c r="D1278" t="s">
        <v>7912</v>
      </c>
      <c r="E1278" t="s">
        <v>7662</v>
      </c>
      <c r="H1278" s="34">
        <v>20000</v>
      </c>
      <c r="I1278" s="53"/>
    </row>
    <row r="1279" spans="1:9" x14ac:dyDescent="0.3">
      <c r="A1279" t="str">
        <f t="shared" si="19"/>
        <v>2Medway</v>
      </c>
      <c r="B1279">
        <v>2</v>
      </c>
      <c r="C1279" t="s">
        <v>217</v>
      </c>
      <c r="D1279" t="s">
        <v>8696</v>
      </c>
      <c r="E1279" t="s">
        <v>800</v>
      </c>
      <c r="F1279" t="s">
        <v>903</v>
      </c>
      <c r="H1279" s="34">
        <v>50000</v>
      </c>
      <c r="I1279" s="53"/>
    </row>
    <row r="1280" spans="1:9" x14ac:dyDescent="0.3">
      <c r="A1280" t="str">
        <f t="shared" si="19"/>
        <v>3Medway</v>
      </c>
      <c r="B1280">
        <v>3</v>
      </c>
      <c r="C1280" t="s">
        <v>217</v>
      </c>
      <c r="D1280" t="s">
        <v>8696</v>
      </c>
      <c r="E1280" t="s">
        <v>800</v>
      </c>
      <c r="F1280" t="s">
        <v>812</v>
      </c>
      <c r="H1280" s="34">
        <v>60000</v>
      </c>
      <c r="I1280" s="53"/>
    </row>
    <row r="1281" spans="1:9" x14ac:dyDescent="0.3">
      <c r="A1281" t="str">
        <f t="shared" si="19"/>
        <v>4Medway</v>
      </c>
      <c r="B1281">
        <v>4</v>
      </c>
      <c r="C1281" t="s">
        <v>217</v>
      </c>
      <c r="D1281" t="s">
        <v>8696</v>
      </c>
      <c r="E1281" t="s">
        <v>800</v>
      </c>
      <c r="F1281" t="s">
        <v>2108</v>
      </c>
      <c r="H1281" s="34">
        <v>36800</v>
      </c>
      <c r="I1281" s="53"/>
    </row>
    <row r="1282" spans="1:9" x14ac:dyDescent="0.3">
      <c r="A1282" t="str">
        <f t="shared" ref="A1282:A1345" si="20">B1282&amp;C1282</f>
        <v>5Medway</v>
      </c>
      <c r="B1282">
        <v>5</v>
      </c>
      <c r="C1282" t="s">
        <v>217</v>
      </c>
      <c r="D1282" t="s">
        <v>3492</v>
      </c>
      <c r="E1282" t="s">
        <v>7657</v>
      </c>
      <c r="F1282" t="s">
        <v>7632</v>
      </c>
      <c r="H1282" s="34">
        <v>320000</v>
      </c>
      <c r="I1282" s="53"/>
    </row>
    <row r="1283" spans="1:9" x14ac:dyDescent="0.3">
      <c r="A1283" t="str">
        <f t="shared" si="20"/>
        <v>6Medway</v>
      </c>
      <c r="B1283">
        <v>6</v>
      </c>
      <c r="C1283" t="s">
        <v>217</v>
      </c>
      <c r="D1283" t="s">
        <v>3492</v>
      </c>
      <c r="E1283" t="s">
        <v>842</v>
      </c>
      <c r="F1283" t="s">
        <v>843</v>
      </c>
      <c r="H1283" s="34">
        <v>96000</v>
      </c>
      <c r="I1283" s="53"/>
    </row>
    <row r="1284" spans="1:9" x14ac:dyDescent="0.3">
      <c r="A1284" t="str">
        <f t="shared" si="20"/>
        <v>7Medway</v>
      </c>
      <c r="B1284">
        <v>7</v>
      </c>
      <c r="C1284" t="s">
        <v>217</v>
      </c>
      <c r="D1284" t="s">
        <v>3492</v>
      </c>
      <c r="E1284" t="s">
        <v>842</v>
      </c>
      <c r="F1284" t="s">
        <v>7636</v>
      </c>
      <c r="H1284" s="34">
        <v>224000</v>
      </c>
      <c r="I1284" s="53"/>
    </row>
    <row r="1285" spans="1:9" x14ac:dyDescent="0.3">
      <c r="A1285" t="str">
        <f t="shared" si="20"/>
        <v>8Medway</v>
      </c>
      <c r="B1285">
        <v>8</v>
      </c>
      <c r="C1285" t="s">
        <v>217</v>
      </c>
      <c r="D1285" t="s">
        <v>3492</v>
      </c>
      <c r="E1285" t="s">
        <v>842</v>
      </c>
      <c r="F1285" t="s">
        <v>812</v>
      </c>
      <c r="H1285" s="34">
        <v>69973.26999999999</v>
      </c>
      <c r="I1285" s="53"/>
    </row>
    <row r="1286" spans="1:9" x14ac:dyDescent="0.3">
      <c r="A1286" t="str">
        <f t="shared" si="20"/>
        <v>9Medway</v>
      </c>
      <c r="B1286">
        <v>9</v>
      </c>
      <c r="C1286" t="s">
        <v>217</v>
      </c>
      <c r="D1286" t="s">
        <v>812</v>
      </c>
      <c r="E1286" t="s">
        <v>794</v>
      </c>
      <c r="H1286" s="34">
        <v>20000</v>
      </c>
      <c r="I1286" s="53"/>
    </row>
    <row r="1287" spans="1:9" x14ac:dyDescent="0.3">
      <c r="A1287" t="str">
        <f t="shared" si="20"/>
        <v>10Medway</v>
      </c>
      <c r="B1287">
        <v>10</v>
      </c>
      <c r="C1287" t="s">
        <v>217</v>
      </c>
      <c r="D1287" t="s">
        <v>8697</v>
      </c>
      <c r="E1287" t="s">
        <v>7657</v>
      </c>
      <c r="F1287" t="s">
        <v>7632</v>
      </c>
      <c r="H1287" s="34">
        <v>210000</v>
      </c>
      <c r="I1287" s="53"/>
    </row>
    <row r="1288" spans="1:9" x14ac:dyDescent="0.3">
      <c r="A1288" t="str">
        <f t="shared" si="20"/>
        <v>11Medway</v>
      </c>
      <c r="B1288">
        <v>11</v>
      </c>
      <c r="C1288" t="s">
        <v>217</v>
      </c>
      <c r="D1288" t="s">
        <v>2593</v>
      </c>
      <c r="E1288" t="s">
        <v>7657</v>
      </c>
      <c r="F1288" t="s">
        <v>7632</v>
      </c>
      <c r="H1288" s="34">
        <v>340000</v>
      </c>
      <c r="I1288" s="53"/>
    </row>
    <row r="1289" spans="1:9" x14ac:dyDescent="0.3">
      <c r="A1289" t="str">
        <f t="shared" si="20"/>
        <v>12Medway</v>
      </c>
      <c r="B1289">
        <v>12</v>
      </c>
      <c r="C1289" t="s">
        <v>217</v>
      </c>
      <c r="D1289" t="s">
        <v>2593</v>
      </c>
      <c r="E1289" t="s">
        <v>842</v>
      </c>
      <c r="F1289" t="s">
        <v>812</v>
      </c>
      <c r="H1289" s="34">
        <v>139000</v>
      </c>
      <c r="I1289" s="53"/>
    </row>
    <row r="1290" spans="1:9" x14ac:dyDescent="0.3">
      <c r="A1290" t="str">
        <f t="shared" si="20"/>
        <v>13Medway</v>
      </c>
      <c r="B1290">
        <v>13</v>
      </c>
      <c r="C1290" t="s">
        <v>217</v>
      </c>
      <c r="D1290" t="s">
        <v>2593</v>
      </c>
      <c r="E1290" t="s">
        <v>7649</v>
      </c>
      <c r="F1290" t="s">
        <v>7638</v>
      </c>
      <c r="H1290" s="34">
        <v>59200</v>
      </c>
      <c r="I1290" s="53"/>
    </row>
    <row r="1291" spans="1:9" x14ac:dyDescent="0.3">
      <c r="A1291" t="str">
        <f t="shared" si="20"/>
        <v>14Medway</v>
      </c>
      <c r="B1291">
        <v>14</v>
      </c>
      <c r="C1291" t="s">
        <v>217</v>
      </c>
      <c r="D1291" t="s">
        <v>2593</v>
      </c>
      <c r="E1291" t="s">
        <v>806</v>
      </c>
      <c r="F1291" t="s">
        <v>807</v>
      </c>
      <c r="H1291" s="34">
        <v>250000</v>
      </c>
      <c r="I1291" s="53"/>
    </row>
    <row r="1292" spans="1:9" x14ac:dyDescent="0.3">
      <c r="A1292" t="str">
        <f t="shared" si="20"/>
        <v>15Medway</v>
      </c>
      <c r="B1292">
        <v>15</v>
      </c>
      <c r="C1292" t="s">
        <v>217</v>
      </c>
      <c r="D1292" t="s">
        <v>2593</v>
      </c>
      <c r="E1292" t="s">
        <v>806</v>
      </c>
      <c r="F1292" t="s">
        <v>917</v>
      </c>
      <c r="H1292" s="34">
        <v>198000</v>
      </c>
      <c r="I1292" s="53"/>
    </row>
    <row r="1293" spans="1:9" x14ac:dyDescent="0.3">
      <c r="A1293" t="str">
        <f t="shared" si="20"/>
        <v>16Medway</v>
      </c>
      <c r="B1293">
        <v>16</v>
      </c>
      <c r="C1293" t="s">
        <v>217</v>
      </c>
      <c r="D1293" t="s">
        <v>2593</v>
      </c>
      <c r="E1293" t="s">
        <v>806</v>
      </c>
      <c r="F1293" t="s">
        <v>812</v>
      </c>
      <c r="H1293" s="34">
        <v>573300</v>
      </c>
      <c r="I1293" s="53"/>
    </row>
    <row r="1294" spans="1:9" x14ac:dyDescent="0.3">
      <c r="A1294" t="str">
        <f t="shared" si="20"/>
        <v>1Merton</v>
      </c>
      <c r="B1294">
        <v>1</v>
      </c>
      <c r="C1294" t="s">
        <v>219</v>
      </c>
      <c r="D1294" t="s">
        <v>8698</v>
      </c>
      <c r="E1294" t="s">
        <v>1106</v>
      </c>
      <c r="F1294" t="s">
        <v>7628</v>
      </c>
      <c r="H1294" s="34">
        <v>199906</v>
      </c>
      <c r="I1294" s="53"/>
    </row>
    <row r="1295" spans="1:9" x14ac:dyDescent="0.3">
      <c r="A1295" t="str">
        <f t="shared" si="20"/>
        <v>2Merton</v>
      </c>
      <c r="B1295">
        <v>2</v>
      </c>
      <c r="C1295" t="s">
        <v>219</v>
      </c>
      <c r="D1295" t="s">
        <v>8698</v>
      </c>
      <c r="E1295" t="s">
        <v>806</v>
      </c>
      <c r="F1295" t="s">
        <v>807</v>
      </c>
      <c r="H1295" s="34">
        <v>408000</v>
      </c>
      <c r="I1295" s="53"/>
    </row>
    <row r="1296" spans="1:9" x14ac:dyDescent="0.3">
      <c r="A1296" t="str">
        <f t="shared" si="20"/>
        <v>3Merton</v>
      </c>
      <c r="B1296">
        <v>3</v>
      </c>
      <c r="C1296" t="s">
        <v>219</v>
      </c>
      <c r="D1296" t="s">
        <v>8699</v>
      </c>
      <c r="E1296" t="s">
        <v>800</v>
      </c>
      <c r="F1296" t="s">
        <v>903</v>
      </c>
      <c r="H1296" s="34">
        <v>60649</v>
      </c>
      <c r="I1296" s="53"/>
    </row>
    <row r="1297" spans="1:9" x14ac:dyDescent="0.3">
      <c r="A1297" t="str">
        <f t="shared" si="20"/>
        <v>4Merton</v>
      </c>
      <c r="B1297">
        <v>4</v>
      </c>
      <c r="C1297" t="s">
        <v>219</v>
      </c>
      <c r="D1297" t="s">
        <v>8700</v>
      </c>
      <c r="E1297" t="s">
        <v>7657</v>
      </c>
      <c r="F1297" t="s">
        <v>7632</v>
      </c>
      <c r="H1297" s="34">
        <v>150850</v>
      </c>
      <c r="I1297" s="53"/>
    </row>
    <row r="1298" spans="1:9" x14ac:dyDescent="0.3">
      <c r="A1298" t="str">
        <f t="shared" si="20"/>
        <v>5Merton</v>
      </c>
      <c r="B1298">
        <v>5</v>
      </c>
      <c r="C1298" t="s">
        <v>219</v>
      </c>
      <c r="D1298" t="s">
        <v>8701</v>
      </c>
      <c r="E1298" t="s">
        <v>842</v>
      </c>
      <c r="F1298" t="s">
        <v>7636</v>
      </c>
      <c r="H1298" s="34">
        <v>23526</v>
      </c>
      <c r="I1298" s="53"/>
    </row>
    <row r="1299" spans="1:9" x14ac:dyDescent="0.3">
      <c r="A1299" t="str">
        <f t="shared" si="20"/>
        <v>6Merton</v>
      </c>
      <c r="B1299">
        <v>6</v>
      </c>
      <c r="C1299" t="s">
        <v>219</v>
      </c>
      <c r="D1299" t="s">
        <v>8702</v>
      </c>
      <c r="E1299" t="s">
        <v>7658</v>
      </c>
      <c r="H1299" s="34">
        <v>29000</v>
      </c>
      <c r="I1299" s="53"/>
    </row>
    <row r="1300" spans="1:9" x14ac:dyDescent="0.3">
      <c r="A1300" t="str">
        <f t="shared" si="20"/>
        <v>7Merton</v>
      </c>
      <c r="B1300">
        <v>7</v>
      </c>
      <c r="C1300" t="s">
        <v>219</v>
      </c>
      <c r="D1300" t="s">
        <v>8703</v>
      </c>
      <c r="E1300" t="s">
        <v>7657</v>
      </c>
      <c r="F1300" t="s">
        <v>7640</v>
      </c>
      <c r="H1300" s="34">
        <v>50000</v>
      </c>
      <c r="I1300" s="53"/>
    </row>
    <row r="1301" spans="1:9" x14ac:dyDescent="0.3">
      <c r="A1301" t="str">
        <f t="shared" si="20"/>
        <v>8Merton</v>
      </c>
      <c r="B1301">
        <v>8</v>
      </c>
      <c r="C1301" t="s">
        <v>219</v>
      </c>
      <c r="D1301" t="s">
        <v>8704</v>
      </c>
      <c r="E1301" t="s">
        <v>7657</v>
      </c>
      <c r="F1301" t="s">
        <v>7640</v>
      </c>
      <c r="H1301" s="34">
        <v>343467</v>
      </c>
      <c r="I1301" s="53"/>
    </row>
    <row r="1302" spans="1:9" x14ac:dyDescent="0.3">
      <c r="A1302" t="str">
        <f t="shared" si="20"/>
        <v>9Merton</v>
      </c>
      <c r="B1302">
        <v>9</v>
      </c>
      <c r="C1302" t="s">
        <v>219</v>
      </c>
      <c r="D1302" t="s">
        <v>8705</v>
      </c>
      <c r="E1302" t="s">
        <v>806</v>
      </c>
      <c r="F1302" t="s">
        <v>807</v>
      </c>
      <c r="H1302" s="34">
        <v>137040</v>
      </c>
      <c r="I1302" s="53"/>
    </row>
    <row r="1303" spans="1:9" x14ac:dyDescent="0.3">
      <c r="A1303" t="str">
        <f t="shared" si="20"/>
        <v>10Merton</v>
      </c>
      <c r="B1303">
        <v>10</v>
      </c>
      <c r="C1303" t="s">
        <v>219</v>
      </c>
      <c r="D1303" t="s">
        <v>8706</v>
      </c>
      <c r="E1303" t="s">
        <v>800</v>
      </c>
      <c r="F1303" t="s">
        <v>2108</v>
      </c>
      <c r="H1303" s="34">
        <v>71600</v>
      </c>
      <c r="I1303" s="53"/>
    </row>
    <row r="1304" spans="1:9" x14ac:dyDescent="0.3">
      <c r="A1304" t="str">
        <f t="shared" si="20"/>
        <v>1Middlesbrough</v>
      </c>
      <c r="B1304">
        <v>1</v>
      </c>
      <c r="C1304" t="s">
        <v>221</v>
      </c>
      <c r="D1304" t="s">
        <v>8707</v>
      </c>
      <c r="E1304" t="s">
        <v>7662</v>
      </c>
      <c r="H1304" s="34">
        <v>12950</v>
      </c>
      <c r="I1304" s="53"/>
    </row>
    <row r="1305" spans="1:9" x14ac:dyDescent="0.3">
      <c r="A1305" t="str">
        <f t="shared" si="20"/>
        <v>2Middlesbrough</v>
      </c>
      <c r="B1305">
        <v>2</v>
      </c>
      <c r="C1305" t="s">
        <v>221</v>
      </c>
      <c r="D1305" t="s">
        <v>8075</v>
      </c>
      <c r="E1305" t="s">
        <v>7649</v>
      </c>
      <c r="F1305" t="s">
        <v>7638</v>
      </c>
      <c r="H1305" s="34">
        <v>86940</v>
      </c>
      <c r="I1305" s="53"/>
    </row>
    <row r="1306" spans="1:9" x14ac:dyDescent="0.3">
      <c r="A1306" t="str">
        <f t="shared" si="20"/>
        <v>3Middlesbrough</v>
      </c>
      <c r="B1306">
        <v>3</v>
      </c>
      <c r="C1306" t="s">
        <v>221</v>
      </c>
      <c r="D1306" t="s">
        <v>8708</v>
      </c>
      <c r="E1306" t="s">
        <v>806</v>
      </c>
      <c r="F1306" t="s">
        <v>807</v>
      </c>
      <c r="H1306" s="34">
        <v>103622</v>
      </c>
      <c r="I1306" s="53"/>
    </row>
    <row r="1307" spans="1:9" x14ac:dyDescent="0.3">
      <c r="A1307" t="str">
        <f t="shared" si="20"/>
        <v>4Middlesbrough</v>
      </c>
      <c r="B1307">
        <v>4</v>
      </c>
      <c r="C1307" t="s">
        <v>221</v>
      </c>
      <c r="D1307" t="s">
        <v>8709</v>
      </c>
      <c r="E1307" t="s">
        <v>806</v>
      </c>
      <c r="F1307" t="s">
        <v>807</v>
      </c>
      <c r="H1307" s="34">
        <v>56463</v>
      </c>
      <c r="I1307" s="53"/>
    </row>
    <row r="1308" spans="1:9" x14ac:dyDescent="0.3">
      <c r="A1308" t="str">
        <f t="shared" si="20"/>
        <v>5Middlesbrough</v>
      </c>
      <c r="B1308">
        <v>5</v>
      </c>
      <c r="C1308" t="s">
        <v>221</v>
      </c>
      <c r="D1308" t="s">
        <v>8710</v>
      </c>
      <c r="E1308" t="s">
        <v>5266</v>
      </c>
      <c r="F1308" t="s">
        <v>7639</v>
      </c>
      <c r="H1308" s="34">
        <v>20000</v>
      </c>
      <c r="I1308" s="53"/>
    </row>
    <row r="1309" spans="1:9" x14ac:dyDescent="0.3">
      <c r="A1309" t="str">
        <f t="shared" si="20"/>
        <v>6Middlesbrough</v>
      </c>
      <c r="B1309">
        <v>6</v>
      </c>
      <c r="C1309" t="s">
        <v>221</v>
      </c>
      <c r="D1309" t="s">
        <v>8711</v>
      </c>
      <c r="E1309" t="s">
        <v>812</v>
      </c>
      <c r="H1309" s="34">
        <v>8100</v>
      </c>
      <c r="I1309" s="53"/>
    </row>
    <row r="1310" spans="1:9" x14ac:dyDescent="0.3">
      <c r="A1310" t="str">
        <f t="shared" si="20"/>
        <v>7Middlesbrough</v>
      </c>
      <c r="B1310">
        <v>7</v>
      </c>
      <c r="C1310" t="s">
        <v>221</v>
      </c>
      <c r="D1310" t="s">
        <v>8712</v>
      </c>
      <c r="E1310" t="s">
        <v>806</v>
      </c>
      <c r="F1310" t="s">
        <v>812</v>
      </c>
      <c r="H1310" s="34">
        <v>9600</v>
      </c>
      <c r="I1310" s="53"/>
    </row>
    <row r="1311" spans="1:9" x14ac:dyDescent="0.3">
      <c r="A1311" t="str">
        <f t="shared" si="20"/>
        <v>8Middlesbrough</v>
      </c>
      <c r="B1311">
        <v>8</v>
      </c>
      <c r="C1311" t="s">
        <v>221</v>
      </c>
      <c r="D1311" t="s">
        <v>8713</v>
      </c>
      <c r="E1311" t="s">
        <v>806</v>
      </c>
      <c r="F1311" t="s">
        <v>7642</v>
      </c>
      <c r="H1311" s="34">
        <v>130017</v>
      </c>
      <c r="I1311" s="53"/>
    </row>
    <row r="1312" spans="1:9" x14ac:dyDescent="0.3">
      <c r="A1312" t="str">
        <f t="shared" si="20"/>
        <v>9Middlesbrough</v>
      </c>
      <c r="B1312">
        <v>9</v>
      </c>
      <c r="C1312" t="s">
        <v>221</v>
      </c>
      <c r="D1312" t="s">
        <v>8714</v>
      </c>
      <c r="E1312" t="s">
        <v>812</v>
      </c>
      <c r="H1312" s="34">
        <v>53843</v>
      </c>
      <c r="I1312" s="53"/>
    </row>
    <row r="1313" spans="1:9" x14ac:dyDescent="0.3">
      <c r="A1313" t="str">
        <f t="shared" si="20"/>
        <v>10Middlesbrough</v>
      </c>
      <c r="B1313">
        <v>10</v>
      </c>
      <c r="C1313" t="s">
        <v>221</v>
      </c>
      <c r="D1313" t="s">
        <v>8715</v>
      </c>
      <c r="E1313" t="s">
        <v>842</v>
      </c>
      <c r="F1313" t="s">
        <v>7636</v>
      </c>
      <c r="H1313" s="34">
        <v>17035</v>
      </c>
      <c r="I1313" s="53"/>
    </row>
    <row r="1314" spans="1:9" x14ac:dyDescent="0.3">
      <c r="A1314" t="str">
        <f t="shared" si="20"/>
        <v>11Middlesbrough</v>
      </c>
      <c r="B1314">
        <v>11</v>
      </c>
      <c r="C1314" t="s">
        <v>221</v>
      </c>
      <c r="D1314" t="s">
        <v>4321</v>
      </c>
      <c r="E1314" t="s">
        <v>842</v>
      </c>
      <c r="F1314" t="s">
        <v>7636</v>
      </c>
      <c r="H1314" s="34">
        <v>82227</v>
      </c>
      <c r="I1314" s="53"/>
    </row>
    <row r="1315" spans="1:9" x14ac:dyDescent="0.3">
      <c r="A1315" t="str">
        <f t="shared" si="20"/>
        <v>12Middlesbrough</v>
      </c>
      <c r="B1315">
        <v>12</v>
      </c>
      <c r="C1315" t="s">
        <v>221</v>
      </c>
      <c r="D1315" t="s">
        <v>8716</v>
      </c>
      <c r="E1315" t="s">
        <v>7658</v>
      </c>
      <c r="H1315" s="34">
        <v>20000</v>
      </c>
      <c r="I1315" s="53"/>
    </row>
    <row r="1316" spans="1:9" x14ac:dyDescent="0.3">
      <c r="A1316" t="str">
        <f t="shared" si="20"/>
        <v>13Middlesbrough</v>
      </c>
      <c r="B1316">
        <v>13</v>
      </c>
      <c r="C1316" t="s">
        <v>221</v>
      </c>
      <c r="D1316" t="s">
        <v>5266</v>
      </c>
      <c r="E1316" t="s">
        <v>5266</v>
      </c>
      <c r="F1316" t="s">
        <v>7646</v>
      </c>
      <c r="H1316" s="34">
        <v>230520</v>
      </c>
      <c r="I1316" s="53"/>
    </row>
    <row r="1317" spans="1:9" x14ac:dyDescent="0.3">
      <c r="A1317" t="str">
        <f t="shared" si="20"/>
        <v>14Middlesbrough</v>
      </c>
      <c r="B1317">
        <v>14</v>
      </c>
      <c r="C1317" t="s">
        <v>221</v>
      </c>
      <c r="D1317" t="s">
        <v>8717</v>
      </c>
      <c r="E1317" t="s">
        <v>5266</v>
      </c>
      <c r="F1317" t="s">
        <v>7639</v>
      </c>
      <c r="H1317" s="34">
        <v>43655</v>
      </c>
      <c r="I1317" s="53"/>
    </row>
    <row r="1318" spans="1:9" x14ac:dyDescent="0.3">
      <c r="A1318" t="str">
        <f t="shared" si="20"/>
        <v>15Middlesbrough</v>
      </c>
      <c r="B1318">
        <v>15</v>
      </c>
      <c r="C1318" t="s">
        <v>221</v>
      </c>
      <c r="D1318" t="s">
        <v>8718</v>
      </c>
      <c r="E1318" t="s">
        <v>7657</v>
      </c>
      <c r="H1318" s="34">
        <v>6209</v>
      </c>
      <c r="I1318" s="53"/>
    </row>
    <row r="1319" spans="1:9" x14ac:dyDescent="0.3">
      <c r="A1319" t="str">
        <f t="shared" si="20"/>
        <v>16Middlesbrough</v>
      </c>
      <c r="B1319">
        <v>16</v>
      </c>
      <c r="C1319" t="s">
        <v>221</v>
      </c>
      <c r="D1319" t="s">
        <v>8416</v>
      </c>
      <c r="E1319" t="s">
        <v>812</v>
      </c>
      <c r="H1319" s="34">
        <v>10000</v>
      </c>
      <c r="I1319" s="53"/>
    </row>
    <row r="1320" spans="1:9" x14ac:dyDescent="0.3">
      <c r="A1320" t="str">
        <f t="shared" si="20"/>
        <v>17Middlesbrough</v>
      </c>
      <c r="B1320">
        <v>17</v>
      </c>
      <c r="C1320" t="s">
        <v>221</v>
      </c>
      <c r="D1320" t="s">
        <v>8719</v>
      </c>
      <c r="E1320" t="s">
        <v>7649</v>
      </c>
      <c r="F1320" t="s">
        <v>7638</v>
      </c>
      <c r="H1320" s="34">
        <v>9518</v>
      </c>
      <c r="I1320" s="53"/>
    </row>
    <row r="1321" spans="1:9" x14ac:dyDescent="0.3">
      <c r="A1321" t="str">
        <f t="shared" si="20"/>
        <v>18Middlesbrough</v>
      </c>
      <c r="B1321">
        <v>18</v>
      </c>
      <c r="C1321" t="s">
        <v>221</v>
      </c>
      <c r="D1321" t="s">
        <v>4287</v>
      </c>
      <c r="E1321" t="s">
        <v>842</v>
      </c>
      <c r="F1321" t="s">
        <v>843</v>
      </c>
      <c r="H1321" s="34">
        <v>34886</v>
      </c>
      <c r="I1321" s="53"/>
    </row>
    <row r="1322" spans="1:9" x14ac:dyDescent="0.3">
      <c r="A1322" t="str">
        <f t="shared" si="20"/>
        <v>19Middlesbrough</v>
      </c>
      <c r="B1322">
        <v>19</v>
      </c>
      <c r="C1322" t="s">
        <v>221</v>
      </c>
      <c r="D1322" t="s">
        <v>4325</v>
      </c>
      <c r="E1322" t="s">
        <v>806</v>
      </c>
      <c r="F1322" t="s">
        <v>812</v>
      </c>
      <c r="H1322" s="34">
        <v>22700</v>
      </c>
      <c r="I1322" s="53"/>
    </row>
    <row r="1323" spans="1:9" x14ac:dyDescent="0.3">
      <c r="A1323" t="str">
        <f t="shared" si="20"/>
        <v>20Middlesbrough</v>
      </c>
      <c r="B1323">
        <v>20</v>
      </c>
      <c r="C1323" t="s">
        <v>221</v>
      </c>
      <c r="D1323" t="s">
        <v>8720</v>
      </c>
      <c r="E1323" t="s">
        <v>1113</v>
      </c>
      <c r="F1323" t="s">
        <v>7637</v>
      </c>
      <c r="H1323" s="34">
        <v>10680</v>
      </c>
      <c r="I1323" s="53"/>
    </row>
    <row r="1324" spans="1:9" x14ac:dyDescent="0.3">
      <c r="A1324" t="str">
        <f t="shared" si="20"/>
        <v>21Middlesbrough</v>
      </c>
      <c r="B1324">
        <v>21</v>
      </c>
      <c r="C1324" t="s">
        <v>221</v>
      </c>
      <c r="D1324" t="s">
        <v>4318</v>
      </c>
      <c r="E1324" t="s">
        <v>842</v>
      </c>
      <c r="F1324" t="s">
        <v>843</v>
      </c>
      <c r="H1324" s="34">
        <v>58154</v>
      </c>
      <c r="I1324" s="53"/>
    </row>
    <row r="1325" spans="1:9" x14ac:dyDescent="0.3">
      <c r="A1325" t="str">
        <f t="shared" si="20"/>
        <v>22Middlesbrough</v>
      </c>
      <c r="B1325">
        <v>22</v>
      </c>
      <c r="C1325" t="s">
        <v>221</v>
      </c>
      <c r="D1325" t="s">
        <v>8721</v>
      </c>
      <c r="E1325" t="s">
        <v>7657</v>
      </c>
      <c r="F1325" t="s">
        <v>7644</v>
      </c>
      <c r="H1325" s="34">
        <v>11300</v>
      </c>
      <c r="I1325" s="53"/>
    </row>
    <row r="1326" spans="1:9" x14ac:dyDescent="0.3">
      <c r="A1326" t="str">
        <f t="shared" si="20"/>
        <v>23Middlesbrough</v>
      </c>
      <c r="B1326">
        <v>23</v>
      </c>
      <c r="C1326" t="s">
        <v>221</v>
      </c>
      <c r="D1326" t="s">
        <v>8722</v>
      </c>
      <c r="E1326" t="s">
        <v>1113</v>
      </c>
      <c r="F1326" t="s">
        <v>7637</v>
      </c>
      <c r="H1326" s="34">
        <v>60410</v>
      </c>
      <c r="I1326" s="53"/>
    </row>
    <row r="1327" spans="1:9" x14ac:dyDescent="0.3">
      <c r="A1327" t="str">
        <f t="shared" si="20"/>
        <v>24Middlesbrough</v>
      </c>
      <c r="B1327">
        <v>24</v>
      </c>
      <c r="C1327" t="s">
        <v>221</v>
      </c>
      <c r="D1327" t="s">
        <v>8723</v>
      </c>
      <c r="E1327" t="s">
        <v>1106</v>
      </c>
      <c r="F1327" t="s">
        <v>7628</v>
      </c>
      <c r="H1327" s="34">
        <v>35426</v>
      </c>
      <c r="I1327" s="53"/>
    </row>
    <row r="1328" spans="1:9" x14ac:dyDescent="0.3">
      <c r="A1328" t="str">
        <f t="shared" si="20"/>
        <v>25Middlesbrough</v>
      </c>
      <c r="B1328">
        <v>25</v>
      </c>
      <c r="C1328" t="s">
        <v>221</v>
      </c>
      <c r="D1328" t="s">
        <v>8724</v>
      </c>
      <c r="E1328" t="s">
        <v>842</v>
      </c>
      <c r="F1328" t="s">
        <v>1594</v>
      </c>
      <c r="H1328" s="34">
        <v>5250</v>
      </c>
      <c r="I1328" s="53"/>
    </row>
    <row r="1329" spans="1:9" x14ac:dyDescent="0.3">
      <c r="A1329" t="str">
        <f t="shared" si="20"/>
        <v>26Middlesbrough</v>
      </c>
      <c r="B1329">
        <v>26</v>
      </c>
      <c r="C1329" t="s">
        <v>221</v>
      </c>
      <c r="D1329" t="s">
        <v>8725</v>
      </c>
      <c r="E1329" t="s">
        <v>800</v>
      </c>
      <c r="F1329" t="s">
        <v>812</v>
      </c>
      <c r="H1329" s="34">
        <v>29896</v>
      </c>
      <c r="I1329" s="53"/>
    </row>
    <row r="1330" spans="1:9" x14ac:dyDescent="0.3">
      <c r="A1330" t="str">
        <f t="shared" si="20"/>
        <v>27Middlesbrough</v>
      </c>
      <c r="B1330">
        <v>27</v>
      </c>
      <c r="C1330" t="s">
        <v>221</v>
      </c>
      <c r="D1330" t="s">
        <v>8726</v>
      </c>
      <c r="E1330" t="s">
        <v>1113</v>
      </c>
      <c r="F1330" t="s">
        <v>812</v>
      </c>
      <c r="H1330" s="34">
        <v>5000</v>
      </c>
      <c r="I1330" s="53"/>
    </row>
    <row r="1331" spans="1:9" x14ac:dyDescent="0.3">
      <c r="A1331" t="str">
        <f t="shared" si="20"/>
        <v>28Middlesbrough</v>
      </c>
      <c r="B1331">
        <v>28</v>
      </c>
      <c r="C1331" t="s">
        <v>221</v>
      </c>
      <c r="D1331" t="s">
        <v>8727</v>
      </c>
      <c r="E1331" t="s">
        <v>800</v>
      </c>
      <c r="F1331" t="s">
        <v>903</v>
      </c>
      <c r="H1331" s="34">
        <v>20628</v>
      </c>
      <c r="I1331" s="53"/>
    </row>
    <row r="1332" spans="1:9" x14ac:dyDescent="0.3">
      <c r="A1332" t="str">
        <f t="shared" si="20"/>
        <v>29Middlesbrough</v>
      </c>
      <c r="B1332">
        <v>29</v>
      </c>
      <c r="C1332" t="s">
        <v>221</v>
      </c>
      <c r="D1332" t="s">
        <v>8728</v>
      </c>
      <c r="E1332" t="s">
        <v>800</v>
      </c>
      <c r="F1332" t="s">
        <v>2108</v>
      </c>
      <c r="H1332" s="34">
        <v>50000</v>
      </c>
      <c r="I1332" s="53"/>
    </row>
    <row r="1333" spans="1:9" x14ac:dyDescent="0.3">
      <c r="A1333" t="str">
        <f t="shared" si="20"/>
        <v>30Middlesbrough</v>
      </c>
      <c r="B1333">
        <v>30</v>
      </c>
      <c r="C1333" t="s">
        <v>221</v>
      </c>
      <c r="D1333" t="s">
        <v>8729</v>
      </c>
      <c r="E1333" t="s">
        <v>812</v>
      </c>
      <c r="H1333" s="34">
        <v>50000</v>
      </c>
      <c r="I1333" s="53"/>
    </row>
    <row r="1334" spans="1:9" x14ac:dyDescent="0.3">
      <c r="A1334" t="str">
        <f t="shared" si="20"/>
        <v>1Milton Keynes</v>
      </c>
      <c r="B1334">
        <v>1</v>
      </c>
      <c r="C1334" t="s">
        <v>223</v>
      </c>
      <c r="D1334" t="s">
        <v>8730</v>
      </c>
      <c r="E1334" t="s">
        <v>7662</v>
      </c>
      <c r="H1334" s="34">
        <v>7500</v>
      </c>
      <c r="I1334" s="53"/>
    </row>
    <row r="1335" spans="1:9" x14ac:dyDescent="0.3">
      <c r="A1335" t="str">
        <f t="shared" si="20"/>
        <v>2Milton Keynes</v>
      </c>
      <c r="B1335">
        <v>2</v>
      </c>
      <c r="C1335" t="s">
        <v>223</v>
      </c>
      <c r="D1335" t="s">
        <v>8731</v>
      </c>
      <c r="E1335" t="s">
        <v>7658</v>
      </c>
      <c r="H1335" s="34">
        <v>18750</v>
      </c>
      <c r="I1335" s="53"/>
    </row>
    <row r="1336" spans="1:9" x14ac:dyDescent="0.3">
      <c r="A1336" t="str">
        <f t="shared" si="20"/>
        <v>3Milton Keynes</v>
      </c>
      <c r="B1336">
        <v>3</v>
      </c>
      <c r="C1336" t="s">
        <v>223</v>
      </c>
      <c r="D1336" t="s">
        <v>8732</v>
      </c>
      <c r="E1336" t="s">
        <v>842</v>
      </c>
      <c r="F1336" t="s">
        <v>7636</v>
      </c>
      <c r="H1336" s="34">
        <v>50000</v>
      </c>
      <c r="I1336" s="53"/>
    </row>
    <row r="1337" spans="1:9" x14ac:dyDescent="0.3">
      <c r="A1337" t="str">
        <f t="shared" si="20"/>
        <v>4Milton Keynes</v>
      </c>
      <c r="B1337">
        <v>4</v>
      </c>
      <c r="C1337" t="s">
        <v>223</v>
      </c>
      <c r="D1337" t="s">
        <v>8733</v>
      </c>
      <c r="E1337" t="s">
        <v>806</v>
      </c>
      <c r="F1337" t="s">
        <v>807</v>
      </c>
      <c r="H1337" s="34">
        <v>150000</v>
      </c>
      <c r="I1337" s="53"/>
    </row>
    <row r="1338" spans="1:9" x14ac:dyDescent="0.3">
      <c r="A1338" t="str">
        <f t="shared" si="20"/>
        <v>5Milton Keynes</v>
      </c>
      <c r="B1338">
        <v>5</v>
      </c>
      <c r="C1338" t="s">
        <v>223</v>
      </c>
      <c r="D1338" t="s">
        <v>7713</v>
      </c>
      <c r="E1338" t="s">
        <v>842</v>
      </c>
      <c r="F1338" t="s">
        <v>843</v>
      </c>
      <c r="H1338" s="34">
        <v>450949</v>
      </c>
      <c r="I1338" s="53"/>
    </row>
    <row r="1339" spans="1:9" x14ac:dyDescent="0.3">
      <c r="A1339" t="str">
        <f t="shared" si="20"/>
        <v>6Milton Keynes</v>
      </c>
      <c r="B1339">
        <v>6</v>
      </c>
      <c r="C1339" t="s">
        <v>223</v>
      </c>
      <c r="D1339" t="s">
        <v>8734</v>
      </c>
      <c r="E1339" t="s">
        <v>842</v>
      </c>
      <c r="F1339" t="s">
        <v>7636</v>
      </c>
      <c r="H1339" s="34">
        <v>80000</v>
      </c>
      <c r="I1339" s="53"/>
    </row>
    <row r="1340" spans="1:9" x14ac:dyDescent="0.3">
      <c r="A1340" t="str">
        <f t="shared" si="20"/>
        <v>7Milton Keynes</v>
      </c>
      <c r="B1340">
        <v>7</v>
      </c>
      <c r="C1340" t="s">
        <v>223</v>
      </c>
      <c r="D1340" t="s">
        <v>8735</v>
      </c>
      <c r="E1340" t="s">
        <v>7658</v>
      </c>
      <c r="H1340" s="34">
        <v>23608</v>
      </c>
      <c r="I1340" s="53"/>
    </row>
    <row r="1341" spans="1:9" x14ac:dyDescent="0.3">
      <c r="A1341" t="str">
        <f t="shared" si="20"/>
        <v>8Milton Keynes</v>
      </c>
      <c r="B1341">
        <v>8</v>
      </c>
      <c r="C1341" t="s">
        <v>223</v>
      </c>
      <c r="D1341" t="s">
        <v>8736</v>
      </c>
      <c r="E1341" t="s">
        <v>7658</v>
      </c>
      <c r="H1341" s="34">
        <v>72000</v>
      </c>
      <c r="I1341" s="53"/>
    </row>
    <row r="1342" spans="1:9" x14ac:dyDescent="0.3">
      <c r="A1342" t="str">
        <f t="shared" si="20"/>
        <v>9Milton Keynes</v>
      </c>
      <c r="B1342">
        <v>9</v>
      </c>
      <c r="C1342" t="s">
        <v>223</v>
      </c>
      <c r="D1342" t="s">
        <v>8737</v>
      </c>
      <c r="E1342" t="s">
        <v>806</v>
      </c>
      <c r="F1342" t="s">
        <v>807</v>
      </c>
      <c r="H1342" s="34">
        <v>187100</v>
      </c>
      <c r="I1342" s="53"/>
    </row>
    <row r="1343" spans="1:9" x14ac:dyDescent="0.3">
      <c r="A1343" t="str">
        <f t="shared" si="20"/>
        <v>10Milton Keynes</v>
      </c>
      <c r="B1343">
        <v>10</v>
      </c>
      <c r="C1343" t="s">
        <v>223</v>
      </c>
      <c r="D1343" t="s">
        <v>8738</v>
      </c>
      <c r="E1343" t="s">
        <v>806</v>
      </c>
      <c r="F1343" t="s">
        <v>807</v>
      </c>
      <c r="H1343" s="34">
        <v>449813</v>
      </c>
      <c r="I1343" s="53"/>
    </row>
    <row r="1344" spans="1:9" x14ac:dyDescent="0.3">
      <c r="A1344" t="str">
        <f t="shared" si="20"/>
        <v>11Milton Keynes</v>
      </c>
      <c r="B1344">
        <v>11</v>
      </c>
      <c r="C1344" t="s">
        <v>223</v>
      </c>
      <c r="D1344" t="s">
        <v>8739</v>
      </c>
      <c r="E1344" t="s">
        <v>7658</v>
      </c>
      <c r="H1344" s="34">
        <v>315000</v>
      </c>
      <c r="I1344" s="53"/>
    </row>
    <row r="1345" spans="1:9" x14ac:dyDescent="0.3">
      <c r="A1345" t="str">
        <f t="shared" si="20"/>
        <v>12Milton Keynes</v>
      </c>
      <c r="B1345">
        <v>12</v>
      </c>
      <c r="C1345" t="s">
        <v>223</v>
      </c>
      <c r="D1345" t="s">
        <v>8740</v>
      </c>
      <c r="E1345" t="s">
        <v>1113</v>
      </c>
      <c r="F1345" t="s">
        <v>7637</v>
      </c>
      <c r="H1345" s="34">
        <v>36365</v>
      </c>
      <c r="I1345" s="53"/>
    </row>
    <row r="1346" spans="1:9" x14ac:dyDescent="0.3">
      <c r="A1346" t="str">
        <f t="shared" ref="A1346:A1409" si="21">B1346&amp;C1346</f>
        <v>13Milton Keynes</v>
      </c>
      <c r="B1346">
        <v>13</v>
      </c>
      <c r="C1346" t="s">
        <v>223</v>
      </c>
      <c r="D1346" t="s">
        <v>8741</v>
      </c>
      <c r="E1346" t="s">
        <v>5266</v>
      </c>
      <c r="F1346" t="s">
        <v>7631</v>
      </c>
      <c r="H1346" s="34">
        <v>159360</v>
      </c>
      <c r="I1346" s="53"/>
    </row>
    <row r="1347" spans="1:9" x14ac:dyDescent="0.3">
      <c r="A1347" t="str">
        <f t="shared" si="21"/>
        <v>14Milton Keynes</v>
      </c>
      <c r="B1347">
        <v>14</v>
      </c>
      <c r="C1347" t="s">
        <v>223</v>
      </c>
      <c r="D1347" t="s">
        <v>7717</v>
      </c>
      <c r="E1347" t="s">
        <v>812</v>
      </c>
      <c r="H1347" s="34">
        <v>36430</v>
      </c>
      <c r="I1347" s="53"/>
    </row>
    <row r="1348" spans="1:9" x14ac:dyDescent="0.3">
      <c r="A1348" t="str">
        <f t="shared" si="21"/>
        <v>15Milton Keynes</v>
      </c>
      <c r="B1348">
        <v>15</v>
      </c>
      <c r="C1348" t="s">
        <v>223</v>
      </c>
      <c r="D1348" t="s">
        <v>8742</v>
      </c>
      <c r="E1348" t="s">
        <v>806</v>
      </c>
      <c r="F1348" t="s">
        <v>807</v>
      </c>
      <c r="H1348" s="34">
        <v>115000</v>
      </c>
      <c r="I1348" s="53"/>
    </row>
    <row r="1349" spans="1:9" x14ac:dyDescent="0.3">
      <c r="A1349" t="str">
        <f t="shared" si="21"/>
        <v>1Newcastle upon Tyne</v>
      </c>
      <c r="B1349">
        <v>1</v>
      </c>
      <c r="C1349" t="s">
        <v>225</v>
      </c>
      <c r="D1349" t="s">
        <v>8743</v>
      </c>
      <c r="E1349" t="s">
        <v>7657</v>
      </c>
      <c r="F1349" t="s">
        <v>7632</v>
      </c>
      <c r="H1349" s="34">
        <v>250000</v>
      </c>
      <c r="I1349" s="53"/>
    </row>
    <row r="1350" spans="1:9" x14ac:dyDescent="0.3">
      <c r="A1350" t="str">
        <f t="shared" si="21"/>
        <v>2Newcastle upon Tyne</v>
      </c>
      <c r="B1350">
        <v>2</v>
      </c>
      <c r="C1350" t="s">
        <v>225</v>
      </c>
      <c r="D1350" t="s">
        <v>8744</v>
      </c>
      <c r="E1350" t="s">
        <v>812</v>
      </c>
      <c r="F1350" t="s">
        <v>843</v>
      </c>
      <c r="H1350" s="34">
        <v>57000</v>
      </c>
      <c r="I1350" s="53"/>
    </row>
    <row r="1351" spans="1:9" x14ac:dyDescent="0.3">
      <c r="A1351" t="str">
        <f t="shared" si="21"/>
        <v>3Newcastle upon Tyne</v>
      </c>
      <c r="B1351">
        <v>3</v>
      </c>
      <c r="C1351" t="s">
        <v>225</v>
      </c>
      <c r="D1351" t="s">
        <v>8745</v>
      </c>
      <c r="E1351" t="s">
        <v>842</v>
      </c>
      <c r="F1351" t="s">
        <v>843</v>
      </c>
      <c r="H1351" s="34">
        <v>125000</v>
      </c>
      <c r="I1351" s="53"/>
    </row>
    <row r="1352" spans="1:9" x14ac:dyDescent="0.3">
      <c r="A1352" t="str">
        <f t="shared" si="21"/>
        <v>4Newcastle upon Tyne</v>
      </c>
      <c r="B1352">
        <v>4</v>
      </c>
      <c r="C1352" t="s">
        <v>225</v>
      </c>
      <c r="D1352" t="s">
        <v>8746</v>
      </c>
      <c r="E1352" t="s">
        <v>812</v>
      </c>
      <c r="F1352" t="s">
        <v>7704</v>
      </c>
      <c r="H1352" s="34">
        <v>120000</v>
      </c>
      <c r="I1352" s="53"/>
    </row>
    <row r="1353" spans="1:9" x14ac:dyDescent="0.3">
      <c r="A1353" t="str">
        <f t="shared" si="21"/>
        <v>5Newcastle upon Tyne</v>
      </c>
      <c r="B1353">
        <v>5</v>
      </c>
      <c r="C1353" t="s">
        <v>225</v>
      </c>
      <c r="D1353" t="s">
        <v>8746</v>
      </c>
      <c r="E1353" t="s">
        <v>812</v>
      </c>
      <c r="F1353" t="s">
        <v>812</v>
      </c>
      <c r="H1353" s="34">
        <v>474000</v>
      </c>
      <c r="I1353" s="53"/>
    </row>
    <row r="1354" spans="1:9" x14ac:dyDescent="0.3">
      <c r="A1354" t="str">
        <f t="shared" si="21"/>
        <v>6Newcastle upon Tyne</v>
      </c>
      <c r="B1354">
        <v>6</v>
      </c>
      <c r="C1354" t="s">
        <v>225</v>
      </c>
      <c r="D1354" t="s">
        <v>8747</v>
      </c>
      <c r="E1354" t="s">
        <v>812</v>
      </c>
      <c r="F1354" t="s">
        <v>812</v>
      </c>
      <c r="H1354" s="34">
        <v>114870</v>
      </c>
      <c r="I1354" s="53"/>
    </row>
    <row r="1355" spans="1:9" x14ac:dyDescent="0.3">
      <c r="A1355" t="str">
        <f t="shared" si="21"/>
        <v>7Newcastle upon Tyne</v>
      </c>
      <c r="B1355">
        <v>7</v>
      </c>
      <c r="C1355" t="s">
        <v>225</v>
      </c>
      <c r="D1355" t="s">
        <v>8748</v>
      </c>
      <c r="E1355" t="s">
        <v>812</v>
      </c>
      <c r="F1355" t="s">
        <v>812</v>
      </c>
      <c r="H1355" s="34">
        <v>5184</v>
      </c>
      <c r="I1355" s="53"/>
    </row>
    <row r="1356" spans="1:9" x14ac:dyDescent="0.3">
      <c r="A1356" t="str">
        <f t="shared" si="21"/>
        <v>8Newcastle upon Tyne</v>
      </c>
      <c r="B1356">
        <v>8</v>
      </c>
      <c r="C1356" t="s">
        <v>225</v>
      </c>
      <c r="D1356" t="s">
        <v>8749</v>
      </c>
      <c r="E1356" t="s">
        <v>1106</v>
      </c>
      <c r="F1356" t="s">
        <v>7628</v>
      </c>
      <c r="H1356" s="34">
        <v>85000</v>
      </c>
      <c r="I1356" s="53"/>
    </row>
    <row r="1357" spans="1:9" x14ac:dyDescent="0.3">
      <c r="A1357" t="str">
        <f t="shared" si="21"/>
        <v>9Newcastle upon Tyne</v>
      </c>
      <c r="B1357">
        <v>9</v>
      </c>
      <c r="C1357" t="s">
        <v>225</v>
      </c>
      <c r="D1357" t="s">
        <v>8750</v>
      </c>
      <c r="E1357" t="s">
        <v>812</v>
      </c>
      <c r="F1357" t="s">
        <v>7704</v>
      </c>
      <c r="H1357" s="34">
        <v>36562</v>
      </c>
      <c r="I1357" s="53"/>
    </row>
    <row r="1358" spans="1:9" x14ac:dyDescent="0.3">
      <c r="A1358" t="str">
        <f t="shared" si="21"/>
        <v>10Newcastle upon Tyne</v>
      </c>
      <c r="B1358">
        <v>10</v>
      </c>
      <c r="C1358" t="s">
        <v>225</v>
      </c>
      <c r="D1358" t="s">
        <v>8751</v>
      </c>
      <c r="E1358" t="s">
        <v>7662</v>
      </c>
      <c r="F1358" t="s">
        <v>7704</v>
      </c>
      <c r="H1358" s="34">
        <v>15000</v>
      </c>
      <c r="I1358" s="53"/>
    </row>
    <row r="1359" spans="1:9" x14ac:dyDescent="0.3">
      <c r="A1359" t="str">
        <f t="shared" si="21"/>
        <v>11Newcastle upon Tyne</v>
      </c>
      <c r="B1359">
        <v>11</v>
      </c>
      <c r="C1359" t="s">
        <v>225</v>
      </c>
      <c r="D1359" t="s">
        <v>8752</v>
      </c>
      <c r="E1359" t="s">
        <v>812</v>
      </c>
      <c r="F1359" t="s">
        <v>7704</v>
      </c>
      <c r="H1359" s="34">
        <v>20000</v>
      </c>
      <c r="I1359" s="53"/>
    </row>
    <row r="1360" spans="1:9" x14ac:dyDescent="0.3">
      <c r="A1360" t="str">
        <f t="shared" si="21"/>
        <v>12Newcastle upon Tyne</v>
      </c>
      <c r="B1360">
        <v>12</v>
      </c>
      <c r="C1360" t="s">
        <v>225</v>
      </c>
      <c r="D1360" t="s">
        <v>8753</v>
      </c>
      <c r="E1360" t="s">
        <v>842</v>
      </c>
      <c r="F1360" t="s">
        <v>843</v>
      </c>
      <c r="H1360" s="34">
        <v>120000</v>
      </c>
      <c r="I1360" s="53"/>
    </row>
    <row r="1361" spans="1:9" x14ac:dyDescent="0.3">
      <c r="A1361" t="str">
        <f t="shared" si="21"/>
        <v>13Newcastle upon Tyne</v>
      </c>
      <c r="B1361">
        <v>13</v>
      </c>
      <c r="C1361" t="s">
        <v>225</v>
      </c>
      <c r="D1361" t="s">
        <v>8754</v>
      </c>
      <c r="E1361" t="s">
        <v>842</v>
      </c>
      <c r="F1361" t="s">
        <v>843</v>
      </c>
      <c r="H1361" s="34">
        <v>60000</v>
      </c>
      <c r="I1361" s="53"/>
    </row>
    <row r="1362" spans="1:9" x14ac:dyDescent="0.3">
      <c r="A1362" t="str">
        <f t="shared" si="21"/>
        <v>14Newcastle upon Tyne</v>
      </c>
      <c r="B1362">
        <v>14</v>
      </c>
      <c r="C1362" t="s">
        <v>225</v>
      </c>
      <c r="D1362" t="s">
        <v>8755</v>
      </c>
      <c r="E1362" t="s">
        <v>842</v>
      </c>
      <c r="F1362" t="s">
        <v>843</v>
      </c>
      <c r="H1362" s="34">
        <v>50000</v>
      </c>
      <c r="I1362" s="53"/>
    </row>
    <row r="1363" spans="1:9" x14ac:dyDescent="0.3">
      <c r="A1363" t="str">
        <f t="shared" si="21"/>
        <v>15Newcastle upon Tyne</v>
      </c>
      <c r="B1363">
        <v>15</v>
      </c>
      <c r="C1363" t="s">
        <v>225</v>
      </c>
      <c r="D1363" t="s">
        <v>8756</v>
      </c>
      <c r="E1363" t="s">
        <v>5266</v>
      </c>
      <c r="F1363" t="s">
        <v>7631</v>
      </c>
      <c r="H1363" s="34">
        <v>80000</v>
      </c>
      <c r="I1363" s="53"/>
    </row>
    <row r="1364" spans="1:9" x14ac:dyDescent="0.3">
      <c r="A1364" t="str">
        <f t="shared" si="21"/>
        <v>16Newcastle upon Tyne</v>
      </c>
      <c r="B1364">
        <v>16</v>
      </c>
      <c r="C1364" t="s">
        <v>225</v>
      </c>
      <c r="D1364" t="s">
        <v>8757</v>
      </c>
      <c r="E1364" t="s">
        <v>7658</v>
      </c>
      <c r="F1364" t="s">
        <v>7639</v>
      </c>
      <c r="H1364" s="34">
        <v>27000</v>
      </c>
      <c r="I1364" s="53"/>
    </row>
    <row r="1365" spans="1:9" x14ac:dyDescent="0.3">
      <c r="A1365" t="str">
        <f t="shared" si="21"/>
        <v>17Newcastle upon Tyne</v>
      </c>
      <c r="B1365">
        <v>17</v>
      </c>
      <c r="C1365" t="s">
        <v>225</v>
      </c>
      <c r="D1365" t="s">
        <v>8758</v>
      </c>
      <c r="E1365" t="s">
        <v>5266</v>
      </c>
      <c r="F1365" t="s">
        <v>7639</v>
      </c>
      <c r="H1365" s="34">
        <v>240000</v>
      </c>
      <c r="I1365" s="53"/>
    </row>
    <row r="1366" spans="1:9" x14ac:dyDescent="0.3">
      <c r="A1366" t="str">
        <f t="shared" si="21"/>
        <v>18Newcastle upon Tyne</v>
      </c>
      <c r="B1366">
        <v>18</v>
      </c>
      <c r="C1366" t="s">
        <v>225</v>
      </c>
      <c r="D1366" t="s">
        <v>8759</v>
      </c>
      <c r="E1366" t="s">
        <v>1106</v>
      </c>
      <c r="F1366" t="s">
        <v>7628</v>
      </c>
      <c r="H1366" s="34">
        <v>6692</v>
      </c>
      <c r="I1366" s="53"/>
    </row>
    <row r="1367" spans="1:9" x14ac:dyDescent="0.3">
      <c r="A1367" t="str">
        <f t="shared" si="21"/>
        <v>19Newcastle upon Tyne</v>
      </c>
      <c r="B1367">
        <v>19</v>
      </c>
      <c r="C1367" t="s">
        <v>225</v>
      </c>
      <c r="D1367" t="s">
        <v>8760</v>
      </c>
      <c r="E1367" t="s">
        <v>842</v>
      </c>
      <c r="F1367" t="s">
        <v>812</v>
      </c>
      <c r="H1367" s="34">
        <v>35000</v>
      </c>
      <c r="I1367" s="53"/>
    </row>
    <row r="1368" spans="1:9" x14ac:dyDescent="0.3">
      <c r="A1368" t="str">
        <f t="shared" si="21"/>
        <v>20Newcastle upon Tyne</v>
      </c>
      <c r="B1368">
        <v>20</v>
      </c>
      <c r="C1368" t="s">
        <v>225</v>
      </c>
      <c r="D1368" t="s">
        <v>8761</v>
      </c>
      <c r="E1368" t="s">
        <v>806</v>
      </c>
      <c r="F1368" t="s">
        <v>917</v>
      </c>
      <c r="H1368" s="34">
        <v>36000</v>
      </c>
      <c r="I1368" s="53"/>
    </row>
    <row r="1369" spans="1:9" x14ac:dyDescent="0.3">
      <c r="A1369" t="str">
        <f t="shared" si="21"/>
        <v>21Newcastle upon Tyne</v>
      </c>
      <c r="B1369">
        <v>21</v>
      </c>
      <c r="C1369" t="s">
        <v>225</v>
      </c>
      <c r="D1369" t="s">
        <v>8762</v>
      </c>
      <c r="E1369" t="s">
        <v>806</v>
      </c>
      <c r="F1369" t="s">
        <v>917</v>
      </c>
      <c r="H1369" s="34">
        <v>140000</v>
      </c>
      <c r="I1369" s="53"/>
    </row>
    <row r="1370" spans="1:9" x14ac:dyDescent="0.3">
      <c r="A1370" t="str">
        <f t="shared" si="21"/>
        <v>22Newcastle upon Tyne</v>
      </c>
      <c r="B1370">
        <v>22</v>
      </c>
      <c r="C1370" t="s">
        <v>225</v>
      </c>
      <c r="D1370" t="s">
        <v>8763</v>
      </c>
      <c r="E1370" t="s">
        <v>7657</v>
      </c>
      <c r="F1370" t="s">
        <v>7640</v>
      </c>
      <c r="H1370" s="34">
        <v>37009.599999999999</v>
      </c>
      <c r="I1370" s="53"/>
    </row>
    <row r="1371" spans="1:9" x14ac:dyDescent="0.3">
      <c r="A1371" t="str">
        <f t="shared" si="21"/>
        <v>23Newcastle upon Tyne</v>
      </c>
      <c r="B1371">
        <v>23</v>
      </c>
      <c r="C1371" t="s">
        <v>225</v>
      </c>
      <c r="D1371" t="s">
        <v>8764</v>
      </c>
      <c r="E1371" t="s">
        <v>7662</v>
      </c>
      <c r="F1371" t="s">
        <v>7704</v>
      </c>
      <c r="H1371" s="34">
        <v>15038</v>
      </c>
      <c r="I1371" s="53"/>
    </row>
    <row r="1372" spans="1:9" x14ac:dyDescent="0.3">
      <c r="A1372" t="str">
        <f t="shared" si="21"/>
        <v>24Newcastle upon Tyne</v>
      </c>
      <c r="B1372">
        <v>24</v>
      </c>
      <c r="C1372" t="s">
        <v>225</v>
      </c>
      <c r="D1372" t="s">
        <v>8765</v>
      </c>
      <c r="E1372" t="s">
        <v>812</v>
      </c>
      <c r="F1372" t="s">
        <v>7704</v>
      </c>
      <c r="H1372" s="34">
        <v>15000</v>
      </c>
      <c r="I1372" s="53"/>
    </row>
    <row r="1373" spans="1:9" x14ac:dyDescent="0.3">
      <c r="A1373" t="str">
        <f t="shared" si="21"/>
        <v>25Newcastle upon Tyne</v>
      </c>
      <c r="B1373">
        <v>25</v>
      </c>
      <c r="C1373" t="s">
        <v>225</v>
      </c>
      <c r="D1373" t="s">
        <v>8766</v>
      </c>
      <c r="E1373" t="s">
        <v>800</v>
      </c>
      <c r="F1373" t="s">
        <v>7704</v>
      </c>
      <c r="H1373" s="34">
        <v>47000</v>
      </c>
      <c r="I1373" s="53"/>
    </row>
    <row r="1374" spans="1:9" x14ac:dyDescent="0.3">
      <c r="A1374" t="str">
        <f t="shared" si="21"/>
        <v>26Newcastle upon Tyne</v>
      </c>
      <c r="B1374">
        <v>26</v>
      </c>
      <c r="C1374" t="s">
        <v>225</v>
      </c>
      <c r="D1374" t="s">
        <v>8767</v>
      </c>
      <c r="E1374" t="s">
        <v>7649</v>
      </c>
      <c r="F1374" t="s">
        <v>7704</v>
      </c>
      <c r="H1374" s="34">
        <v>23000</v>
      </c>
      <c r="I1374" s="53"/>
    </row>
    <row r="1375" spans="1:9" x14ac:dyDescent="0.3">
      <c r="A1375" t="str">
        <f t="shared" si="21"/>
        <v>27Newcastle upon Tyne</v>
      </c>
      <c r="B1375">
        <v>27</v>
      </c>
      <c r="C1375" t="s">
        <v>225</v>
      </c>
      <c r="D1375" t="s">
        <v>8768</v>
      </c>
      <c r="E1375" t="s">
        <v>812</v>
      </c>
      <c r="F1375" t="s">
        <v>7704</v>
      </c>
      <c r="H1375" s="34">
        <v>300000</v>
      </c>
      <c r="I1375" s="53"/>
    </row>
    <row r="1376" spans="1:9" x14ac:dyDescent="0.3">
      <c r="A1376" t="str">
        <f t="shared" si="21"/>
        <v>1Newham</v>
      </c>
      <c r="B1376">
        <v>1</v>
      </c>
      <c r="C1376" t="s">
        <v>227</v>
      </c>
      <c r="D1376" t="s">
        <v>8769</v>
      </c>
      <c r="E1376" t="s">
        <v>7704</v>
      </c>
      <c r="F1376" t="s">
        <v>7704</v>
      </c>
      <c r="H1376" s="34">
        <v>12236</v>
      </c>
      <c r="I1376" s="53"/>
    </row>
    <row r="1377" spans="1:9" x14ac:dyDescent="0.3">
      <c r="A1377" t="str">
        <f t="shared" si="21"/>
        <v>2Newham</v>
      </c>
      <c r="B1377">
        <v>2</v>
      </c>
      <c r="C1377" t="s">
        <v>227</v>
      </c>
      <c r="D1377" t="s">
        <v>8770</v>
      </c>
      <c r="E1377" t="s">
        <v>1113</v>
      </c>
      <c r="F1377" t="s">
        <v>7629</v>
      </c>
      <c r="H1377" s="34">
        <v>40000</v>
      </c>
      <c r="I1377" s="53"/>
    </row>
    <row r="1378" spans="1:9" x14ac:dyDescent="0.3">
      <c r="A1378" t="str">
        <f t="shared" si="21"/>
        <v>3Newham</v>
      </c>
      <c r="B1378">
        <v>3</v>
      </c>
      <c r="C1378" t="s">
        <v>227</v>
      </c>
      <c r="D1378" t="s">
        <v>8771</v>
      </c>
      <c r="E1378" t="s">
        <v>1106</v>
      </c>
      <c r="F1378" t="s">
        <v>7704</v>
      </c>
      <c r="H1378" s="34">
        <v>138960</v>
      </c>
      <c r="I1378" s="53"/>
    </row>
    <row r="1379" spans="1:9" x14ac:dyDescent="0.3">
      <c r="A1379" t="str">
        <f t="shared" si="21"/>
        <v>4Newham</v>
      </c>
      <c r="B1379">
        <v>4</v>
      </c>
      <c r="C1379" t="s">
        <v>227</v>
      </c>
      <c r="D1379" t="s">
        <v>8772</v>
      </c>
      <c r="E1379" t="s">
        <v>7658</v>
      </c>
      <c r="F1379" t="s">
        <v>7704</v>
      </c>
      <c r="H1379" s="34">
        <v>58530</v>
      </c>
      <c r="I1379" s="53"/>
    </row>
    <row r="1380" spans="1:9" x14ac:dyDescent="0.3">
      <c r="A1380" t="str">
        <f t="shared" si="21"/>
        <v>5Newham</v>
      </c>
      <c r="B1380">
        <v>5</v>
      </c>
      <c r="C1380" t="s">
        <v>227</v>
      </c>
      <c r="D1380" t="s">
        <v>8773</v>
      </c>
      <c r="E1380" t="s">
        <v>7658</v>
      </c>
      <c r="F1380" t="s">
        <v>7704</v>
      </c>
      <c r="H1380" s="34">
        <v>110000</v>
      </c>
      <c r="I1380" s="53"/>
    </row>
    <row r="1381" spans="1:9" x14ac:dyDescent="0.3">
      <c r="A1381" t="str">
        <f t="shared" si="21"/>
        <v>6Newham</v>
      </c>
      <c r="B1381">
        <v>6</v>
      </c>
      <c r="C1381" t="s">
        <v>227</v>
      </c>
      <c r="D1381" t="s">
        <v>8774</v>
      </c>
      <c r="E1381" t="s">
        <v>800</v>
      </c>
      <c r="F1381" t="s">
        <v>903</v>
      </c>
      <c r="H1381" s="34">
        <v>210000</v>
      </c>
      <c r="I1381" s="53"/>
    </row>
    <row r="1382" spans="1:9" x14ac:dyDescent="0.3">
      <c r="A1382" t="str">
        <f t="shared" si="21"/>
        <v>7Newham</v>
      </c>
      <c r="B1382">
        <v>7</v>
      </c>
      <c r="C1382" t="s">
        <v>227</v>
      </c>
      <c r="D1382" t="s">
        <v>8775</v>
      </c>
      <c r="E1382" t="s">
        <v>7658</v>
      </c>
      <c r="F1382" t="s">
        <v>7704</v>
      </c>
      <c r="H1382" s="34">
        <v>90500</v>
      </c>
      <c r="I1382" s="53"/>
    </row>
    <row r="1383" spans="1:9" x14ac:dyDescent="0.3">
      <c r="A1383" t="str">
        <f t="shared" si="21"/>
        <v>8Newham</v>
      </c>
      <c r="B1383">
        <v>8</v>
      </c>
      <c r="C1383" t="s">
        <v>227</v>
      </c>
      <c r="D1383" t="s">
        <v>8776</v>
      </c>
      <c r="E1383" t="s">
        <v>842</v>
      </c>
      <c r="F1383" t="s">
        <v>843</v>
      </c>
      <c r="H1383" s="34">
        <v>944817</v>
      </c>
      <c r="I1383" s="53"/>
    </row>
    <row r="1384" spans="1:9" x14ac:dyDescent="0.3">
      <c r="A1384" t="str">
        <f t="shared" si="21"/>
        <v>9Newham</v>
      </c>
      <c r="B1384">
        <v>9</v>
      </c>
      <c r="C1384" t="s">
        <v>227</v>
      </c>
      <c r="D1384" t="s">
        <v>8777</v>
      </c>
      <c r="E1384" t="s">
        <v>7658</v>
      </c>
      <c r="F1384" t="s">
        <v>7704</v>
      </c>
      <c r="H1384" s="34">
        <v>250000</v>
      </c>
      <c r="I1384" s="53"/>
    </row>
    <row r="1385" spans="1:9" x14ac:dyDescent="0.3">
      <c r="A1385" t="str">
        <f t="shared" si="21"/>
        <v>10Newham</v>
      </c>
      <c r="B1385">
        <v>10</v>
      </c>
      <c r="C1385" t="s">
        <v>227</v>
      </c>
      <c r="D1385" t="s">
        <v>8778</v>
      </c>
      <c r="E1385" t="s">
        <v>7658</v>
      </c>
      <c r="F1385" t="s">
        <v>7704</v>
      </c>
      <c r="H1385" s="34">
        <v>31000</v>
      </c>
      <c r="I1385" s="53"/>
    </row>
    <row r="1386" spans="1:9" x14ac:dyDescent="0.3">
      <c r="A1386" t="str">
        <f t="shared" si="21"/>
        <v>11Newham</v>
      </c>
      <c r="B1386">
        <v>11</v>
      </c>
      <c r="C1386" t="s">
        <v>227</v>
      </c>
      <c r="D1386" t="s">
        <v>8779</v>
      </c>
      <c r="E1386" t="s">
        <v>7658</v>
      </c>
      <c r="F1386" t="s">
        <v>7704</v>
      </c>
      <c r="H1386" s="34">
        <v>96544</v>
      </c>
      <c r="I1386" s="53"/>
    </row>
    <row r="1387" spans="1:9" x14ac:dyDescent="0.3">
      <c r="A1387" t="str">
        <f t="shared" si="21"/>
        <v>12Newham</v>
      </c>
      <c r="B1387">
        <v>12</v>
      </c>
      <c r="C1387" t="s">
        <v>227</v>
      </c>
      <c r="D1387" t="s">
        <v>8780</v>
      </c>
      <c r="E1387" t="s">
        <v>7658</v>
      </c>
      <c r="F1387" t="s">
        <v>7704</v>
      </c>
      <c r="H1387" s="34">
        <v>17797</v>
      </c>
      <c r="I1387" s="53"/>
    </row>
    <row r="1388" spans="1:9" x14ac:dyDescent="0.3">
      <c r="A1388" t="str">
        <f t="shared" si="21"/>
        <v>13Newham</v>
      </c>
      <c r="B1388">
        <v>13</v>
      </c>
      <c r="C1388" t="s">
        <v>227</v>
      </c>
      <c r="D1388" t="s">
        <v>8781</v>
      </c>
      <c r="E1388" t="s">
        <v>7649</v>
      </c>
      <c r="F1388" t="s">
        <v>7638</v>
      </c>
      <c r="H1388" s="34">
        <v>167640</v>
      </c>
      <c r="I1388" s="53"/>
    </row>
    <row r="1389" spans="1:9" x14ac:dyDescent="0.3">
      <c r="A1389" t="str">
        <f t="shared" si="21"/>
        <v>14Newham</v>
      </c>
      <c r="B1389">
        <v>14</v>
      </c>
      <c r="C1389" t="s">
        <v>227</v>
      </c>
      <c r="D1389" t="s">
        <v>8366</v>
      </c>
      <c r="E1389" t="s">
        <v>7658</v>
      </c>
      <c r="F1389" t="s">
        <v>7704</v>
      </c>
      <c r="H1389" s="34">
        <v>71847</v>
      </c>
      <c r="I1389" s="53"/>
    </row>
    <row r="1390" spans="1:9" x14ac:dyDescent="0.3">
      <c r="A1390" t="str">
        <f t="shared" si="21"/>
        <v>15Newham</v>
      </c>
      <c r="B1390">
        <v>15</v>
      </c>
      <c r="C1390" t="s">
        <v>227</v>
      </c>
      <c r="D1390" t="s">
        <v>8782</v>
      </c>
      <c r="E1390" t="s">
        <v>7658</v>
      </c>
      <c r="F1390" t="s">
        <v>7704</v>
      </c>
      <c r="H1390" s="34">
        <v>23248</v>
      </c>
      <c r="I1390" s="53"/>
    </row>
    <row r="1391" spans="1:9" x14ac:dyDescent="0.3">
      <c r="A1391" t="str">
        <f t="shared" si="21"/>
        <v>1Norfolk</v>
      </c>
      <c r="B1391">
        <v>1</v>
      </c>
      <c r="C1391" t="s">
        <v>229</v>
      </c>
      <c r="D1391" t="s">
        <v>8783</v>
      </c>
      <c r="E1391" t="s">
        <v>812</v>
      </c>
      <c r="F1391" t="s">
        <v>7704</v>
      </c>
      <c r="H1391" s="34">
        <v>50000</v>
      </c>
      <c r="I1391" s="53"/>
    </row>
    <row r="1392" spans="1:9" x14ac:dyDescent="0.3">
      <c r="A1392" t="str">
        <f t="shared" si="21"/>
        <v>2Norfolk</v>
      </c>
      <c r="B1392">
        <v>2</v>
      </c>
      <c r="C1392" t="s">
        <v>229</v>
      </c>
      <c r="D1392" t="s">
        <v>8784</v>
      </c>
      <c r="E1392" t="s">
        <v>812</v>
      </c>
      <c r="F1392" t="s">
        <v>7704</v>
      </c>
      <c r="H1392" s="34">
        <v>25000</v>
      </c>
      <c r="I1392" s="53"/>
    </row>
    <row r="1393" spans="1:9" x14ac:dyDescent="0.3">
      <c r="A1393" t="str">
        <f t="shared" si="21"/>
        <v>3Norfolk</v>
      </c>
      <c r="B1393">
        <v>3</v>
      </c>
      <c r="C1393" t="s">
        <v>229</v>
      </c>
      <c r="D1393" t="s">
        <v>8785</v>
      </c>
      <c r="E1393" t="s">
        <v>1113</v>
      </c>
      <c r="F1393" t="s">
        <v>8786</v>
      </c>
      <c r="H1393" s="34">
        <v>160000</v>
      </c>
      <c r="I1393" s="53"/>
    </row>
    <row r="1394" spans="1:9" x14ac:dyDescent="0.3">
      <c r="A1394" t="str">
        <f t="shared" si="21"/>
        <v>4Norfolk</v>
      </c>
      <c r="B1394">
        <v>4</v>
      </c>
      <c r="C1394" t="s">
        <v>229</v>
      </c>
      <c r="D1394" t="s">
        <v>8787</v>
      </c>
      <c r="E1394" t="s">
        <v>1113</v>
      </c>
      <c r="F1394" t="s">
        <v>7637</v>
      </c>
      <c r="H1394" s="34">
        <v>1234000</v>
      </c>
      <c r="I1394" s="53"/>
    </row>
    <row r="1395" spans="1:9" x14ac:dyDescent="0.3">
      <c r="A1395" t="str">
        <f t="shared" si="21"/>
        <v>5Norfolk</v>
      </c>
      <c r="B1395">
        <v>5</v>
      </c>
      <c r="C1395" t="s">
        <v>229</v>
      </c>
      <c r="D1395" t="s">
        <v>8788</v>
      </c>
      <c r="E1395" t="s">
        <v>1106</v>
      </c>
      <c r="F1395" t="s">
        <v>7628</v>
      </c>
      <c r="H1395" s="34">
        <v>13750</v>
      </c>
      <c r="I1395" s="53"/>
    </row>
    <row r="1396" spans="1:9" x14ac:dyDescent="0.3">
      <c r="A1396" t="str">
        <f t="shared" si="21"/>
        <v>6Norfolk</v>
      </c>
      <c r="B1396">
        <v>6</v>
      </c>
      <c r="C1396" t="s">
        <v>229</v>
      </c>
      <c r="D1396" t="s">
        <v>8789</v>
      </c>
      <c r="E1396" t="s">
        <v>1106</v>
      </c>
      <c r="F1396" t="s">
        <v>7628</v>
      </c>
      <c r="H1396" s="34">
        <v>15625</v>
      </c>
      <c r="I1396" s="53"/>
    </row>
    <row r="1397" spans="1:9" x14ac:dyDescent="0.3">
      <c r="A1397" t="str">
        <f t="shared" si="21"/>
        <v>7Norfolk</v>
      </c>
      <c r="B1397">
        <v>7</v>
      </c>
      <c r="C1397" t="s">
        <v>229</v>
      </c>
      <c r="D1397" t="s">
        <v>8790</v>
      </c>
      <c r="E1397" t="s">
        <v>7657</v>
      </c>
      <c r="F1397" t="s">
        <v>7632</v>
      </c>
      <c r="H1397" s="34">
        <v>107000</v>
      </c>
      <c r="I1397" s="53"/>
    </row>
    <row r="1398" spans="1:9" x14ac:dyDescent="0.3">
      <c r="A1398" t="str">
        <f t="shared" si="21"/>
        <v>8Norfolk</v>
      </c>
      <c r="B1398">
        <v>8</v>
      </c>
      <c r="C1398" t="s">
        <v>229</v>
      </c>
      <c r="D1398" t="s">
        <v>8791</v>
      </c>
      <c r="E1398" t="s">
        <v>1106</v>
      </c>
      <c r="F1398" t="s">
        <v>812</v>
      </c>
      <c r="H1398" s="34">
        <v>66747</v>
      </c>
      <c r="I1398" s="53"/>
    </row>
    <row r="1399" spans="1:9" x14ac:dyDescent="0.3">
      <c r="A1399" t="str">
        <f t="shared" si="21"/>
        <v>9Norfolk</v>
      </c>
      <c r="B1399">
        <v>9</v>
      </c>
      <c r="C1399" t="s">
        <v>229</v>
      </c>
      <c r="D1399" t="s">
        <v>8792</v>
      </c>
      <c r="E1399" t="s">
        <v>1113</v>
      </c>
      <c r="F1399" t="s">
        <v>8786</v>
      </c>
      <c r="H1399" s="34">
        <v>36000</v>
      </c>
      <c r="I1399" s="53"/>
    </row>
    <row r="1400" spans="1:9" x14ac:dyDescent="0.3">
      <c r="A1400" t="str">
        <f t="shared" si="21"/>
        <v>10Norfolk</v>
      </c>
      <c r="B1400">
        <v>10</v>
      </c>
      <c r="C1400" t="s">
        <v>229</v>
      </c>
      <c r="D1400" t="s">
        <v>8793</v>
      </c>
      <c r="E1400" t="s">
        <v>812</v>
      </c>
      <c r="F1400" t="s">
        <v>7704</v>
      </c>
      <c r="H1400" s="34">
        <v>50000</v>
      </c>
      <c r="I1400" s="53"/>
    </row>
    <row r="1401" spans="1:9" x14ac:dyDescent="0.3">
      <c r="A1401" t="str">
        <f t="shared" si="21"/>
        <v>11Norfolk</v>
      </c>
      <c r="B1401">
        <v>11</v>
      </c>
      <c r="C1401" t="s">
        <v>229</v>
      </c>
      <c r="D1401" t="s">
        <v>8794</v>
      </c>
      <c r="E1401" t="s">
        <v>812</v>
      </c>
      <c r="F1401" t="s">
        <v>7704</v>
      </c>
      <c r="H1401" s="34">
        <v>11666</v>
      </c>
      <c r="I1401" s="53"/>
    </row>
    <row r="1402" spans="1:9" x14ac:dyDescent="0.3">
      <c r="A1402" t="str">
        <f t="shared" si="21"/>
        <v>12Norfolk</v>
      </c>
      <c r="B1402">
        <v>12</v>
      </c>
      <c r="C1402" t="s">
        <v>229</v>
      </c>
      <c r="D1402" t="s">
        <v>8795</v>
      </c>
      <c r="E1402" t="s">
        <v>812</v>
      </c>
      <c r="F1402" t="s">
        <v>7704</v>
      </c>
      <c r="H1402" s="34">
        <v>110000</v>
      </c>
      <c r="I1402" s="53"/>
    </row>
    <row r="1403" spans="1:9" x14ac:dyDescent="0.3">
      <c r="A1403" t="str">
        <f t="shared" si="21"/>
        <v>13Norfolk</v>
      </c>
      <c r="B1403">
        <v>13</v>
      </c>
      <c r="C1403" t="s">
        <v>229</v>
      </c>
      <c r="D1403" t="s">
        <v>8796</v>
      </c>
      <c r="E1403" t="s">
        <v>842</v>
      </c>
      <c r="F1403" t="s">
        <v>843</v>
      </c>
      <c r="H1403" s="34">
        <v>107390</v>
      </c>
      <c r="I1403" s="53"/>
    </row>
    <row r="1404" spans="1:9" x14ac:dyDescent="0.3">
      <c r="A1404" t="str">
        <f t="shared" si="21"/>
        <v>14Norfolk</v>
      </c>
      <c r="B1404">
        <v>14</v>
      </c>
      <c r="C1404" t="s">
        <v>229</v>
      </c>
      <c r="D1404" t="s">
        <v>8797</v>
      </c>
      <c r="E1404" t="s">
        <v>812</v>
      </c>
      <c r="F1404" t="s">
        <v>7704</v>
      </c>
      <c r="H1404" s="34">
        <v>116500</v>
      </c>
      <c r="I1404" s="53"/>
    </row>
    <row r="1405" spans="1:9" x14ac:dyDescent="0.3">
      <c r="A1405" t="str">
        <f t="shared" si="21"/>
        <v>15Norfolk</v>
      </c>
      <c r="B1405">
        <v>15</v>
      </c>
      <c r="C1405" t="s">
        <v>229</v>
      </c>
      <c r="D1405" t="s">
        <v>8798</v>
      </c>
      <c r="E1405" t="s">
        <v>1106</v>
      </c>
      <c r="F1405" t="s">
        <v>7628</v>
      </c>
      <c r="H1405" s="34">
        <v>99750</v>
      </c>
      <c r="I1405" s="53"/>
    </row>
    <row r="1406" spans="1:9" x14ac:dyDescent="0.3">
      <c r="A1406" t="str">
        <f t="shared" si="21"/>
        <v>16Norfolk</v>
      </c>
      <c r="B1406">
        <v>16</v>
      </c>
      <c r="C1406" t="s">
        <v>229</v>
      </c>
      <c r="D1406" t="s">
        <v>8799</v>
      </c>
      <c r="E1406" t="s">
        <v>1106</v>
      </c>
      <c r="F1406" t="s">
        <v>7628</v>
      </c>
      <c r="H1406" s="34">
        <v>9500</v>
      </c>
      <c r="I1406" s="53"/>
    </row>
    <row r="1407" spans="1:9" x14ac:dyDescent="0.3">
      <c r="A1407" t="str">
        <f t="shared" si="21"/>
        <v>17Norfolk</v>
      </c>
      <c r="B1407">
        <v>17</v>
      </c>
      <c r="C1407" t="s">
        <v>229</v>
      </c>
      <c r="D1407" t="s">
        <v>2321</v>
      </c>
      <c r="E1407" t="s">
        <v>812</v>
      </c>
      <c r="F1407" t="s">
        <v>7704</v>
      </c>
      <c r="H1407" s="34">
        <v>54000</v>
      </c>
      <c r="I1407" s="53"/>
    </row>
    <row r="1408" spans="1:9" x14ac:dyDescent="0.3">
      <c r="A1408" t="str">
        <f t="shared" si="21"/>
        <v>18Norfolk</v>
      </c>
      <c r="B1408">
        <v>18</v>
      </c>
      <c r="C1408" t="s">
        <v>229</v>
      </c>
      <c r="D1408" t="s">
        <v>8800</v>
      </c>
      <c r="E1408" t="s">
        <v>7657</v>
      </c>
      <c r="F1408" t="s">
        <v>7632</v>
      </c>
      <c r="H1408" s="34">
        <v>17000</v>
      </c>
      <c r="I1408" s="53"/>
    </row>
    <row r="1409" spans="1:9" x14ac:dyDescent="0.3">
      <c r="A1409" t="str">
        <f t="shared" si="21"/>
        <v>19Norfolk</v>
      </c>
      <c r="B1409">
        <v>19</v>
      </c>
      <c r="C1409" t="s">
        <v>229</v>
      </c>
      <c r="D1409" t="s">
        <v>8801</v>
      </c>
      <c r="E1409" t="s">
        <v>812</v>
      </c>
      <c r="F1409" t="s">
        <v>7704</v>
      </c>
      <c r="H1409" s="34">
        <v>5000</v>
      </c>
      <c r="I1409" s="53"/>
    </row>
    <row r="1410" spans="1:9" x14ac:dyDescent="0.3">
      <c r="A1410" t="str">
        <f t="shared" ref="A1410:A1473" si="22">B1410&amp;C1410</f>
        <v>20Norfolk</v>
      </c>
      <c r="B1410">
        <v>20</v>
      </c>
      <c r="C1410" t="s">
        <v>229</v>
      </c>
      <c r="D1410" t="s">
        <v>8802</v>
      </c>
      <c r="E1410" t="s">
        <v>7662</v>
      </c>
      <c r="F1410" t="s">
        <v>7704</v>
      </c>
      <c r="H1410" s="34">
        <v>71370.354604468041</v>
      </c>
      <c r="I1410" s="53"/>
    </row>
    <row r="1411" spans="1:9" x14ac:dyDescent="0.3">
      <c r="A1411" t="str">
        <f t="shared" si="22"/>
        <v>21Norfolk</v>
      </c>
      <c r="B1411">
        <v>21</v>
      </c>
      <c r="C1411" t="s">
        <v>229</v>
      </c>
      <c r="D1411" t="s">
        <v>8803</v>
      </c>
      <c r="E1411" t="s">
        <v>812</v>
      </c>
      <c r="F1411" t="s">
        <v>7704</v>
      </c>
      <c r="H1411" s="34">
        <v>160000</v>
      </c>
      <c r="I1411" s="53"/>
    </row>
    <row r="1412" spans="1:9" x14ac:dyDescent="0.3">
      <c r="A1412" t="str">
        <f t="shared" si="22"/>
        <v>22Norfolk</v>
      </c>
      <c r="B1412">
        <v>22</v>
      </c>
      <c r="C1412" t="s">
        <v>229</v>
      </c>
      <c r="D1412" t="s">
        <v>8804</v>
      </c>
      <c r="E1412" t="s">
        <v>812</v>
      </c>
      <c r="F1412" t="s">
        <v>7704</v>
      </c>
      <c r="H1412" s="34">
        <v>50000</v>
      </c>
      <c r="I1412" s="53"/>
    </row>
    <row r="1413" spans="1:9" x14ac:dyDescent="0.3">
      <c r="A1413" t="str">
        <f t="shared" si="22"/>
        <v>23Norfolk</v>
      </c>
      <c r="B1413">
        <v>23</v>
      </c>
      <c r="C1413" t="s">
        <v>229</v>
      </c>
      <c r="D1413" t="s">
        <v>8805</v>
      </c>
      <c r="E1413" t="s">
        <v>812</v>
      </c>
      <c r="F1413" t="s">
        <v>7704</v>
      </c>
      <c r="H1413" s="34">
        <v>125568</v>
      </c>
      <c r="I1413" s="53"/>
    </row>
    <row r="1414" spans="1:9" x14ac:dyDescent="0.3">
      <c r="A1414" t="str">
        <f t="shared" si="22"/>
        <v>24Norfolk</v>
      </c>
      <c r="B1414">
        <v>24</v>
      </c>
      <c r="C1414" t="s">
        <v>229</v>
      </c>
      <c r="D1414" t="s">
        <v>8806</v>
      </c>
      <c r="E1414" t="s">
        <v>812</v>
      </c>
      <c r="F1414" t="s">
        <v>7704</v>
      </c>
      <c r="H1414" s="34">
        <v>99147.98000000001</v>
      </c>
      <c r="I1414" s="53"/>
    </row>
    <row r="1415" spans="1:9" x14ac:dyDescent="0.3">
      <c r="A1415" t="str">
        <f t="shared" si="22"/>
        <v>25Norfolk</v>
      </c>
      <c r="B1415">
        <v>25</v>
      </c>
      <c r="C1415" t="s">
        <v>229</v>
      </c>
      <c r="D1415" t="s">
        <v>8807</v>
      </c>
      <c r="E1415" t="s">
        <v>1106</v>
      </c>
      <c r="F1415" t="s">
        <v>812</v>
      </c>
      <c r="H1415" s="34">
        <v>114423</v>
      </c>
      <c r="I1415" s="53"/>
    </row>
    <row r="1416" spans="1:9" x14ac:dyDescent="0.3">
      <c r="A1416" t="str">
        <f t="shared" si="22"/>
        <v>26Norfolk</v>
      </c>
      <c r="B1416">
        <v>26</v>
      </c>
      <c r="C1416" t="s">
        <v>229</v>
      </c>
      <c r="D1416" t="s">
        <v>8808</v>
      </c>
      <c r="E1416" t="s">
        <v>7658</v>
      </c>
      <c r="F1416" t="s">
        <v>7704</v>
      </c>
      <c r="H1416" s="34">
        <v>42319.5</v>
      </c>
      <c r="I1416" s="53"/>
    </row>
    <row r="1417" spans="1:9" x14ac:dyDescent="0.3">
      <c r="A1417" t="str">
        <f t="shared" si="22"/>
        <v>27Norfolk</v>
      </c>
      <c r="B1417">
        <v>27</v>
      </c>
      <c r="C1417" t="s">
        <v>229</v>
      </c>
      <c r="D1417" t="s">
        <v>8809</v>
      </c>
      <c r="E1417" t="s">
        <v>7657</v>
      </c>
      <c r="F1417" t="s">
        <v>7640</v>
      </c>
      <c r="H1417" s="34">
        <v>133371</v>
      </c>
      <c r="I1417" s="53"/>
    </row>
    <row r="1418" spans="1:9" x14ac:dyDescent="0.3">
      <c r="A1418" t="str">
        <f t="shared" si="22"/>
        <v>28Norfolk</v>
      </c>
      <c r="B1418">
        <v>28</v>
      </c>
      <c r="C1418" t="s">
        <v>229</v>
      </c>
      <c r="D1418" t="s">
        <v>8810</v>
      </c>
      <c r="E1418" t="s">
        <v>1106</v>
      </c>
      <c r="F1418" t="s">
        <v>7628</v>
      </c>
      <c r="H1418" s="34">
        <v>120000</v>
      </c>
      <c r="I1418" s="53"/>
    </row>
    <row r="1419" spans="1:9" x14ac:dyDescent="0.3">
      <c r="A1419" t="str">
        <f t="shared" si="22"/>
        <v>29Norfolk</v>
      </c>
      <c r="B1419">
        <v>29</v>
      </c>
      <c r="C1419" t="s">
        <v>229</v>
      </c>
      <c r="D1419" t="s">
        <v>8811</v>
      </c>
      <c r="E1419" t="s">
        <v>1106</v>
      </c>
      <c r="F1419" t="s">
        <v>7628</v>
      </c>
      <c r="H1419" s="34">
        <v>46000</v>
      </c>
      <c r="I1419" s="53"/>
    </row>
    <row r="1420" spans="1:9" x14ac:dyDescent="0.3">
      <c r="A1420" t="str">
        <f t="shared" si="22"/>
        <v>30Norfolk</v>
      </c>
      <c r="B1420">
        <v>30</v>
      </c>
      <c r="C1420" t="s">
        <v>229</v>
      </c>
      <c r="D1420" t="s">
        <v>8812</v>
      </c>
      <c r="E1420" t="s">
        <v>1106</v>
      </c>
      <c r="F1420" t="s">
        <v>812</v>
      </c>
      <c r="H1420" s="34">
        <v>160000</v>
      </c>
      <c r="I1420" s="53"/>
    </row>
    <row r="1421" spans="1:9" x14ac:dyDescent="0.3">
      <c r="A1421" t="str">
        <f t="shared" si="22"/>
        <v>31Norfolk</v>
      </c>
      <c r="B1421">
        <v>31</v>
      </c>
      <c r="C1421" t="s">
        <v>229</v>
      </c>
      <c r="D1421" t="s">
        <v>8813</v>
      </c>
      <c r="E1421" t="s">
        <v>842</v>
      </c>
      <c r="F1421" t="s">
        <v>7636</v>
      </c>
      <c r="H1421" s="34">
        <v>270000</v>
      </c>
      <c r="I1421" s="53"/>
    </row>
    <row r="1422" spans="1:9" x14ac:dyDescent="0.3">
      <c r="A1422" t="str">
        <f t="shared" si="22"/>
        <v>32Norfolk</v>
      </c>
      <c r="B1422">
        <v>32</v>
      </c>
      <c r="C1422" t="s">
        <v>229</v>
      </c>
      <c r="D1422" t="s">
        <v>8814</v>
      </c>
      <c r="E1422" t="s">
        <v>842</v>
      </c>
      <c r="F1422" t="s">
        <v>7636</v>
      </c>
      <c r="H1422" s="34">
        <v>200000</v>
      </c>
      <c r="I1422" s="53"/>
    </row>
    <row r="1423" spans="1:9" x14ac:dyDescent="0.3">
      <c r="A1423" t="str">
        <f t="shared" si="22"/>
        <v>33Norfolk</v>
      </c>
      <c r="B1423">
        <v>33</v>
      </c>
      <c r="C1423" t="s">
        <v>229</v>
      </c>
      <c r="D1423" t="s">
        <v>8815</v>
      </c>
      <c r="E1423" t="s">
        <v>842</v>
      </c>
      <c r="F1423" t="s">
        <v>7636</v>
      </c>
      <c r="H1423" s="34">
        <v>792000</v>
      </c>
      <c r="I1423" s="53"/>
    </row>
    <row r="1424" spans="1:9" x14ac:dyDescent="0.3">
      <c r="A1424" t="str">
        <f t="shared" si="22"/>
        <v>34Norfolk</v>
      </c>
      <c r="B1424">
        <v>34</v>
      </c>
      <c r="C1424" t="s">
        <v>229</v>
      </c>
      <c r="D1424" t="s">
        <v>8816</v>
      </c>
      <c r="E1424" t="s">
        <v>812</v>
      </c>
      <c r="F1424" t="s">
        <v>7704</v>
      </c>
      <c r="H1424" s="34">
        <v>25000</v>
      </c>
      <c r="I1424" s="53"/>
    </row>
    <row r="1425" spans="1:9" x14ac:dyDescent="0.3">
      <c r="A1425" t="str">
        <f t="shared" si="22"/>
        <v>35Norfolk</v>
      </c>
      <c r="B1425">
        <v>35</v>
      </c>
      <c r="C1425" t="s">
        <v>229</v>
      </c>
      <c r="D1425" t="s">
        <v>8817</v>
      </c>
      <c r="E1425" t="s">
        <v>7658</v>
      </c>
      <c r="F1425" t="s">
        <v>7704</v>
      </c>
      <c r="H1425" s="34">
        <v>10882.5</v>
      </c>
      <c r="I1425" s="53"/>
    </row>
    <row r="1426" spans="1:9" x14ac:dyDescent="0.3">
      <c r="A1426" t="str">
        <f t="shared" si="22"/>
        <v>36Norfolk</v>
      </c>
      <c r="B1426">
        <v>36</v>
      </c>
      <c r="C1426" t="s">
        <v>229</v>
      </c>
      <c r="D1426" t="s">
        <v>8818</v>
      </c>
      <c r="E1426" t="s">
        <v>7649</v>
      </c>
      <c r="F1426" t="s">
        <v>8819</v>
      </c>
      <c r="H1426" s="34">
        <v>2950</v>
      </c>
      <c r="I1426" s="53"/>
    </row>
    <row r="1427" spans="1:9" x14ac:dyDescent="0.3">
      <c r="A1427" t="str">
        <f t="shared" si="22"/>
        <v>37Norfolk</v>
      </c>
      <c r="B1427">
        <v>37</v>
      </c>
      <c r="C1427" t="s">
        <v>229</v>
      </c>
      <c r="D1427" t="s">
        <v>1183</v>
      </c>
      <c r="E1427" t="s">
        <v>806</v>
      </c>
      <c r="F1427" t="s">
        <v>7642</v>
      </c>
      <c r="H1427" s="34">
        <v>175000</v>
      </c>
      <c r="I1427" s="53"/>
    </row>
    <row r="1428" spans="1:9" x14ac:dyDescent="0.3">
      <c r="A1428" t="str">
        <f t="shared" si="22"/>
        <v>38Norfolk</v>
      </c>
      <c r="B1428">
        <v>38</v>
      </c>
      <c r="C1428" t="s">
        <v>229</v>
      </c>
      <c r="D1428" t="s">
        <v>8820</v>
      </c>
      <c r="E1428" t="s">
        <v>842</v>
      </c>
      <c r="F1428" t="s">
        <v>7636</v>
      </c>
      <c r="H1428" s="34">
        <v>285000</v>
      </c>
      <c r="I1428" s="53"/>
    </row>
    <row r="1429" spans="1:9" x14ac:dyDescent="0.3">
      <c r="A1429" t="str">
        <f t="shared" si="22"/>
        <v>39Norfolk</v>
      </c>
      <c r="B1429">
        <v>39</v>
      </c>
      <c r="C1429" t="s">
        <v>229</v>
      </c>
      <c r="D1429" t="s">
        <v>8821</v>
      </c>
      <c r="E1429" t="s">
        <v>1106</v>
      </c>
      <c r="F1429" t="s">
        <v>7628</v>
      </c>
      <c r="H1429" s="34">
        <v>84000</v>
      </c>
      <c r="I1429" s="53"/>
    </row>
    <row r="1430" spans="1:9" x14ac:dyDescent="0.3">
      <c r="A1430" t="str">
        <f t="shared" si="22"/>
        <v>40Norfolk</v>
      </c>
      <c r="B1430">
        <v>40</v>
      </c>
      <c r="C1430" t="s">
        <v>229</v>
      </c>
      <c r="D1430" t="s">
        <v>8822</v>
      </c>
      <c r="E1430" t="s">
        <v>1106</v>
      </c>
      <c r="F1430" t="s">
        <v>7628</v>
      </c>
      <c r="H1430" s="34">
        <v>23000</v>
      </c>
      <c r="I1430" s="53"/>
    </row>
    <row r="1431" spans="1:9" x14ac:dyDescent="0.3">
      <c r="A1431" t="str">
        <f t="shared" si="22"/>
        <v>41Norfolk</v>
      </c>
      <c r="B1431">
        <v>41</v>
      </c>
      <c r="C1431" t="s">
        <v>229</v>
      </c>
      <c r="D1431" t="s">
        <v>8823</v>
      </c>
      <c r="E1431" t="s">
        <v>1113</v>
      </c>
      <c r="F1431" t="s">
        <v>8786</v>
      </c>
      <c r="H1431" s="34">
        <v>20250</v>
      </c>
      <c r="I1431" s="53"/>
    </row>
    <row r="1432" spans="1:9" x14ac:dyDescent="0.3">
      <c r="A1432" t="str">
        <f t="shared" si="22"/>
        <v>42Norfolk</v>
      </c>
      <c r="B1432">
        <v>42</v>
      </c>
      <c r="C1432" t="s">
        <v>229</v>
      </c>
      <c r="D1432" t="s">
        <v>8824</v>
      </c>
      <c r="E1432" t="s">
        <v>1106</v>
      </c>
      <c r="F1432" t="s">
        <v>812</v>
      </c>
      <c r="H1432" s="34">
        <v>47000</v>
      </c>
      <c r="I1432" s="53"/>
    </row>
    <row r="1433" spans="1:9" x14ac:dyDescent="0.3">
      <c r="A1433" t="str">
        <f t="shared" si="22"/>
        <v>43Norfolk</v>
      </c>
      <c r="B1433">
        <v>43</v>
      </c>
      <c r="C1433" t="s">
        <v>229</v>
      </c>
      <c r="D1433" t="s">
        <v>8825</v>
      </c>
      <c r="E1433" t="s">
        <v>842</v>
      </c>
      <c r="F1433" t="s">
        <v>7636</v>
      </c>
      <c r="H1433" s="34">
        <v>1000000</v>
      </c>
      <c r="I1433" s="53"/>
    </row>
    <row r="1434" spans="1:9" x14ac:dyDescent="0.3">
      <c r="A1434" t="str">
        <f t="shared" si="22"/>
        <v>44Norfolk</v>
      </c>
      <c r="B1434">
        <v>44</v>
      </c>
      <c r="C1434" t="s">
        <v>229</v>
      </c>
      <c r="D1434" t="s">
        <v>8826</v>
      </c>
      <c r="E1434" t="s">
        <v>1106</v>
      </c>
      <c r="F1434" t="s">
        <v>7628</v>
      </c>
      <c r="H1434" s="34">
        <v>252000</v>
      </c>
      <c r="I1434" s="53"/>
    </row>
    <row r="1435" spans="1:9" x14ac:dyDescent="0.3">
      <c r="A1435" t="str">
        <f t="shared" si="22"/>
        <v>45Norfolk</v>
      </c>
      <c r="B1435">
        <v>45</v>
      </c>
      <c r="C1435" t="s">
        <v>229</v>
      </c>
      <c r="D1435" t="s">
        <v>8827</v>
      </c>
      <c r="E1435" t="s">
        <v>7657</v>
      </c>
      <c r="F1435" t="s">
        <v>7632</v>
      </c>
      <c r="H1435" s="34">
        <v>28859.999999999996</v>
      </c>
      <c r="I1435" s="53"/>
    </row>
    <row r="1436" spans="1:9" x14ac:dyDescent="0.3">
      <c r="A1436" t="str">
        <f t="shared" si="22"/>
        <v>46Norfolk</v>
      </c>
      <c r="B1436">
        <v>46</v>
      </c>
      <c r="C1436" t="s">
        <v>229</v>
      </c>
      <c r="D1436" t="s">
        <v>8827</v>
      </c>
      <c r="E1436" t="s">
        <v>1106</v>
      </c>
      <c r="F1436" t="s">
        <v>7628</v>
      </c>
      <c r="H1436" s="34">
        <v>40150</v>
      </c>
      <c r="I1436" s="53"/>
    </row>
    <row r="1437" spans="1:9" x14ac:dyDescent="0.3">
      <c r="A1437" t="str">
        <f t="shared" si="22"/>
        <v>47Norfolk</v>
      </c>
      <c r="B1437">
        <v>47</v>
      </c>
      <c r="C1437" t="s">
        <v>229</v>
      </c>
      <c r="D1437" t="s">
        <v>8827</v>
      </c>
      <c r="E1437" t="s">
        <v>812</v>
      </c>
      <c r="F1437" t="s">
        <v>7704</v>
      </c>
      <c r="H1437" s="34">
        <v>10000</v>
      </c>
      <c r="I1437" s="53"/>
    </row>
    <row r="1438" spans="1:9" x14ac:dyDescent="0.3">
      <c r="A1438" t="str">
        <f t="shared" si="22"/>
        <v>48Norfolk</v>
      </c>
      <c r="B1438">
        <v>48</v>
      </c>
      <c r="C1438" t="s">
        <v>229</v>
      </c>
      <c r="D1438" t="s">
        <v>8827</v>
      </c>
      <c r="E1438" t="s">
        <v>806</v>
      </c>
      <c r="F1438" t="s">
        <v>7642</v>
      </c>
      <c r="H1438" s="34">
        <v>75399.999999999985</v>
      </c>
      <c r="I1438" s="53"/>
    </row>
    <row r="1439" spans="1:9" x14ac:dyDescent="0.3">
      <c r="A1439" t="str">
        <f t="shared" si="22"/>
        <v>49Norfolk</v>
      </c>
      <c r="B1439">
        <v>49</v>
      </c>
      <c r="C1439" t="s">
        <v>229</v>
      </c>
      <c r="D1439" t="s">
        <v>8828</v>
      </c>
      <c r="E1439" t="s">
        <v>812</v>
      </c>
      <c r="F1439" t="s">
        <v>7704</v>
      </c>
      <c r="H1439" s="34">
        <v>65000</v>
      </c>
      <c r="I1439" s="53"/>
    </row>
    <row r="1440" spans="1:9" x14ac:dyDescent="0.3">
      <c r="A1440" t="str">
        <f t="shared" si="22"/>
        <v>50Norfolk</v>
      </c>
      <c r="B1440">
        <v>50</v>
      </c>
      <c r="C1440" t="s">
        <v>229</v>
      </c>
      <c r="D1440" t="s">
        <v>8829</v>
      </c>
      <c r="E1440" t="s">
        <v>812</v>
      </c>
      <c r="F1440" t="s">
        <v>7704</v>
      </c>
      <c r="H1440" s="34">
        <v>675000</v>
      </c>
      <c r="I1440" s="53"/>
    </row>
    <row r="1441" spans="1:9" x14ac:dyDescent="0.3">
      <c r="A1441" t="str">
        <f t="shared" si="22"/>
        <v>51Norfolk</v>
      </c>
      <c r="B1441">
        <v>51</v>
      </c>
      <c r="C1441" t="s">
        <v>229</v>
      </c>
      <c r="D1441" t="s">
        <v>8830</v>
      </c>
      <c r="E1441" t="s">
        <v>812</v>
      </c>
      <c r="F1441" t="s">
        <v>7704</v>
      </c>
      <c r="H1441" s="34">
        <v>15000</v>
      </c>
      <c r="I1441" s="53"/>
    </row>
    <row r="1442" spans="1:9" x14ac:dyDescent="0.3">
      <c r="A1442" t="str">
        <f t="shared" si="22"/>
        <v>52Norfolk</v>
      </c>
      <c r="B1442">
        <v>52</v>
      </c>
      <c r="C1442" t="s">
        <v>229</v>
      </c>
      <c r="D1442" t="s">
        <v>8831</v>
      </c>
      <c r="E1442" t="s">
        <v>812</v>
      </c>
      <c r="F1442" t="s">
        <v>7704</v>
      </c>
      <c r="H1442" s="34">
        <v>243700</v>
      </c>
      <c r="I1442" s="53"/>
    </row>
    <row r="1443" spans="1:9" x14ac:dyDescent="0.3">
      <c r="A1443" t="str">
        <f t="shared" si="22"/>
        <v>53Norfolk</v>
      </c>
      <c r="B1443">
        <v>53</v>
      </c>
      <c r="C1443" t="s">
        <v>229</v>
      </c>
      <c r="D1443" t="s">
        <v>8832</v>
      </c>
      <c r="E1443" t="s">
        <v>7658</v>
      </c>
      <c r="F1443" t="s">
        <v>7704</v>
      </c>
      <c r="H1443" s="34">
        <v>16875</v>
      </c>
      <c r="I1443" s="53"/>
    </row>
    <row r="1444" spans="1:9" x14ac:dyDescent="0.3">
      <c r="A1444" t="str">
        <f t="shared" si="22"/>
        <v>54Norfolk</v>
      </c>
      <c r="B1444">
        <v>54</v>
      </c>
      <c r="C1444" t="s">
        <v>229</v>
      </c>
      <c r="D1444" t="s">
        <v>8833</v>
      </c>
      <c r="E1444" t="s">
        <v>842</v>
      </c>
      <c r="F1444" t="s">
        <v>7636</v>
      </c>
      <c r="H1444" s="34">
        <v>345000</v>
      </c>
      <c r="I1444" s="53"/>
    </row>
    <row r="1445" spans="1:9" x14ac:dyDescent="0.3">
      <c r="A1445" t="str">
        <f t="shared" si="22"/>
        <v>55Norfolk</v>
      </c>
      <c r="B1445">
        <v>55</v>
      </c>
      <c r="C1445" t="s">
        <v>229</v>
      </c>
      <c r="D1445" t="s">
        <v>8834</v>
      </c>
      <c r="E1445" t="s">
        <v>1106</v>
      </c>
      <c r="F1445" t="s">
        <v>7628</v>
      </c>
      <c r="H1445" s="34">
        <v>160000</v>
      </c>
      <c r="I1445" s="53"/>
    </row>
    <row r="1446" spans="1:9" x14ac:dyDescent="0.3">
      <c r="A1446" t="str">
        <f t="shared" si="22"/>
        <v>56Norfolk</v>
      </c>
      <c r="B1446">
        <v>56</v>
      </c>
      <c r="C1446" t="s">
        <v>229</v>
      </c>
      <c r="D1446" t="s">
        <v>8835</v>
      </c>
      <c r="E1446" t="s">
        <v>1106</v>
      </c>
      <c r="F1446" t="s">
        <v>812</v>
      </c>
      <c r="H1446" s="34">
        <v>19175</v>
      </c>
      <c r="I1446" s="53"/>
    </row>
    <row r="1447" spans="1:9" x14ac:dyDescent="0.3">
      <c r="A1447" t="str">
        <f t="shared" si="22"/>
        <v>57Norfolk</v>
      </c>
      <c r="B1447">
        <v>57</v>
      </c>
      <c r="C1447" t="s">
        <v>229</v>
      </c>
      <c r="D1447" t="s">
        <v>8836</v>
      </c>
      <c r="E1447" t="s">
        <v>7658</v>
      </c>
      <c r="F1447" t="s">
        <v>7704</v>
      </c>
      <c r="H1447" s="34">
        <v>18400</v>
      </c>
      <c r="I1447" s="53"/>
    </row>
    <row r="1448" spans="1:9" x14ac:dyDescent="0.3">
      <c r="A1448" t="str">
        <f t="shared" si="22"/>
        <v>58Norfolk</v>
      </c>
      <c r="B1448">
        <v>58</v>
      </c>
      <c r="C1448" t="s">
        <v>229</v>
      </c>
      <c r="D1448" t="s">
        <v>8837</v>
      </c>
      <c r="E1448" t="s">
        <v>812</v>
      </c>
      <c r="F1448" t="s">
        <v>7704</v>
      </c>
      <c r="H1448" s="34">
        <v>15300</v>
      </c>
      <c r="I1448" s="53"/>
    </row>
    <row r="1449" spans="1:9" x14ac:dyDescent="0.3">
      <c r="A1449" t="str">
        <f t="shared" si="22"/>
        <v>59Norfolk</v>
      </c>
      <c r="B1449">
        <v>59</v>
      </c>
      <c r="C1449" t="s">
        <v>229</v>
      </c>
      <c r="D1449" t="s">
        <v>8838</v>
      </c>
      <c r="E1449" t="s">
        <v>1106</v>
      </c>
      <c r="F1449" t="s">
        <v>7628</v>
      </c>
      <c r="H1449" s="34">
        <v>352000</v>
      </c>
      <c r="I1449" s="53"/>
    </row>
    <row r="1450" spans="1:9" x14ac:dyDescent="0.3">
      <c r="A1450" t="str">
        <f t="shared" si="22"/>
        <v>60Norfolk</v>
      </c>
      <c r="B1450">
        <v>60</v>
      </c>
      <c r="C1450" t="s">
        <v>229</v>
      </c>
      <c r="D1450" t="s">
        <v>8839</v>
      </c>
      <c r="E1450" t="s">
        <v>1113</v>
      </c>
      <c r="F1450" t="s">
        <v>7637</v>
      </c>
      <c r="H1450" s="34">
        <v>16000</v>
      </c>
      <c r="I1450" s="53"/>
    </row>
    <row r="1451" spans="1:9" x14ac:dyDescent="0.3">
      <c r="A1451" t="str">
        <f t="shared" si="22"/>
        <v>61Norfolk</v>
      </c>
      <c r="B1451">
        <v>61</v>
      </c>
      <c r="C1451" t="s">
        <v>229</v>
      </c>
      <c r="D1451" t="s">
        <v>8840</v>
      </c>
      <c r="E1451" t="s">
        <v>7658</v>
      </c>
      <c r="F1451" t="s">
        <v>7704</v>
      </c>
      <c r="H1451" s="34">
        <v>25500</v>
      </c>
      <c r="I1451" s="53"/>
    </row>
    <row r="1452" spans="1:9" x14ac:dyDescent="0.3">
      <c r="A1452" t="str">
        <f t="shared" si="22"/>
        <v>62Norfolk</v>
      </c>
      <c r="B1452">
        <v>62</v>
      </c>
      <c r="C1452" t="s">
        <v>229</v>
      </c>
      <c r="D1452" t="s">
        <v>8841</v>
      </c>
      <c r="E1452" t="s">
        <v>806</v>
      </c>
      <c r="F1452" t="s">
        <v>917</v>
      </c>
      <c r="H1452" s="34">
        <v>264000</v>
      </c>
      <c r="I1452" s="53"/>
    </row>
    <row r="1453" spans="1:9" x14ac:dyDescent="0.3">
      <c r="A1453" t="str">
        <f t="shared" si="22"/>
        <v>63Norfolk</v>
      </c>
      <c r="B1453">
        <v>63</v>
      </c>
      <c r="C1453" t="s">
        <v>229</v>
      </c>
      <c r="D1453" t="s">
        <v>8842</v>
      </c>
      <c r="E1453" t="s">
        <v>7660</v>
      </c>
      <c r="F1453" t="s">
        <v>7704</v>
      </c>
      <c r="H1453" s="34">
        <v>688034</v>
      </c>
      <c r="I1453" s="53"/>
    </row>
    <row r="1454" spans="1:9" x14ac:dyDescent="0.3">
      <c r="A1454" t="str">
        <f t="shared" si="22"/>
        <v>1North East Lincolnshire</v>
      </c>
      <c r="B1454">
        <v>1</v>
      </c>
      <c r="C1454" t="s">
        <v>231</v>
      </c>
      <c r="D1454" t="s">
        <v>8843</v>
      </c>
      <c r="E1454" t="s">
        <v>1113</v>
      </c>
      <c r="F1454" t="s">
        <v>7637</v>
      </c>
      <c r="H1454" s="34">
        <v>18000</v>
      </c>
      <c r="I1454" s="53"/>
    </row>
    <row r="1455" spans="1:9" x14ac:dyDescent="0.3">
      <c r="A1455" t="str">
        <f t="shared" si="22"/>
        <v>2North East Lincolnshire</v>
      </c>
      <c r="B1455">
        <v>2</v>
      </c>
      <c r="C1455" t="s">
        <v>231</v>
      </c>
      <c r="D1455" t="s">
        <v>8844</v>
      </c>
      <c r="E1455" t="s">
        <v>806</v>
      </c>
      <c r="F1455" t="s">
        <v>807</v>
      </c>
      <c r="H1455" s="34">
        <v>170358</v>
      </c>
      <c r="I1455" s="53"/>
    </row>
    <row r="1456" spans="1:9" x14ac:dyDescent="0.3">
      <c r="A1456" t="str">
        <f t="shared" si="22"/>
        <v>3North East Lincolnshire</v>
      </c>
      <c r="B1456">
        <v>3</v>
      </c>
      <c r="C1456" t="s">
        <v>231</v>
      </c>
      <c r="D1456" t="s">
        <v>8845</v>
      </c>
      <c r="E1456" t="s">
        <v>842</v>
      </c>
      <c r="F1456" t="s">
        <v>843</v>
      </c>
      <c r="H1456" s="34">
        <v>255500</v>
      </c>
      <c r="I1456" s="53"/>
    </row>
    <row r="1457" spans="1:9" x14ac:dyDescent="0.3">
      <c r="A1457" t="str">
        <f t="shared" si="22"/>
        <v>4North East Lincolnshire</v>
      </c>
      <c r="B1457">
        <v>4</v>
      </c>
      <c r="C1457" t="s">
        <v>231</v>
      </c>
      <c r="D1457" t="s">
        <v>8504</v>
      </c>
      <c r="E1457" t="s">
        <v>7657</v>
      </c>
      <c r="H1457" s="34">
        <v>381360</v>
      </c>
      <c r="I1457" s="53"/>
    </row>
    <row r="1458" spans="1:9" x14ac:dyDescent="0.3">
      <c r="A1458" t="str">
        <f t="shared" si="22"/>
        <v>5North East Lincolnshire</v>
      </c>
      <c r="B1458">
        <v>5</v>
      </c>
      <c r="C1458" t="s">
        <v>231</v>
      </c>
      <c r="D1458" t="s">
        <v>8846</v>
      </c>
      <c r="E1458" t="s">
        <v>812</v>
      </c>
      <c r="H1458" s="34">
        <v>40000</v>
      </c>
      <c r="I1458" s="53"/>
    </row>
    <row r="1459" spans="1:9" x14ac:dyDescent="0.3">
      <c r="A1459" t="str">
        <f t="shared" si="22"/>
        <v>6North East Lincolnshire</v>
      </c>
      <c r="B1459">
        <v>6</v>
      </c>
      <c r="C1459" t="s">
        <v>231</v>
      </c>
      <c r="D1459" t="s">
        <v>8125</v>
      </c>
      <c r="E1459" t="s">
        <v>7662</v>
      </c>
      <c r="H1459" s="34">
        <v>18413</v>
      </c>
      <c r="I1459" s="53"/>
    </row>
    <row r="1460" spans="1:9" x14ac:dyDescent="0.3">
      <c r="A1460" t="str">
        <f t="shared" si="22"/>
        <v>7North East Lincolnshire</v>
      </c>
      <c r="B1460">
        <v>7</v>
      </c>
      <c r="C1460" t="s">
        <v>231</v>
      </c>
      <c r="D1460" t="s">
        <v>8847</v>
      </c>
      <c r="E1460" t="s">
        <v>1106</v>
      </c>
      <c r="F1460" t="s">
        <v>7628</v>
      </c>
      <c r="H1460" s="34">
        <v>434400</v>
      </c>
      <c r="I1460" s="53"/>
    </row>
    <row r="1461" spans="1:9" x14ac:dyDescent="0.3">
      <c r="A1461" t="str">
        <f t="shared" si="22"/>
        <v>8North East Lincolnshire</v>
      </c>
      <c r="B1461">
        <v>8</v>
      </c>
      <c r="C1461" t="s">
        <v>231</v>
      </c>
      <c r="D1461" t="s">
        <v>8848</v>
      </c>
      <c r="E1461" t="s">
        <v>842</v>
      </c>
      <c r="F1461" t="s">
        <v>7636</v>
      </c>
      <c r="H1461" s="34">
        <v>203832</v>
      </c>
      <c r="I1461" s="53"/>
    </row>
    <row r="1462" spans="1:9" x14ac:dyDescent="0.3">
      <c r="A1462" t="str">
        <f t="shared" si="22"/>
        <v>9North East Lincolnshire</v>
      </c>
      <c r="B1462">
        <v>9</v>
      </c>
      <c r="C1462" t="s">
        <v>231</v>
      </c>
      <c r="D1462" t="s">
        <v>8849</v>
      </c>
      <c r="E1462" t="s">
        <v>5266</v>
      </c>
      <c r="F1462" t="s">
        <v>7646</v>
      </c>
      <c r="H1462" s="34">
        <v>210000</v>
      </c>
      <c r="I1462" s="53"/>
    </row>
    <row r="1463" spans="1:9" x14ac:dyDescent="0.3">
      <c r="A1463" t="str">
        <f t="shared" si="22"/>
        <v>10North East Lincolnshire</v>
      </c>
      <c r="B1463">
        <v>10</v>
      </c>
      <c r="C1463" t="s">
        <v>231</v>
      </c>
      <c r="D1463" t="s">
        <v>8850</v>
      </c>
      <c r="E1463" t="s">
        <v>800</v>
      </c>
      <c r="F1463" t="s">
        <v>2108</v>
      </c>
      <c r="H1463" s="34">
        <v>77000</v>
      </c>
      <c r="I1463" s="53"/>
    </row>
    <row r="1464" spans="1:9" x14ac:dyDescent="0.3">
      <c r="A1464" t="str">
        <f t="shared" si="22"/>
        <v>11North East Lincolnshire</v>
      </c>
      <c r="B1464">
        <v>11</v>
      </c>
      <c r="C1464" t="s">
        <v>231</v>
      </c>
      <c r="D1464" t="s">
        <v>8851</v>
      </c>
      <c r="E1464" t="s">
        <v>7658</v>
      </c>
      <c r="H1464" s="34">
        <v>32500</v>
      </c>
      <c r="I1464" s="53"/>
    </row>
    <row r="1465" spans="1:9" x14ac:dyDescent="0.3">
      <c r="A1465" t="str">
        <f t="shared" si="22"/>
        <v>1North Lincolnshire</v>
      </c>
      <c r="B1465">
        <v>1</v>
      </c>
      <c r="C1465" t="s">
        <v>233</v>
      </c>
      <c r="D1465" t="s">
        <v>8852</v>
      </c>
      <c r="E1465" t="s">
        <v>806</v>
      </c>
      <c r="F1465" t="s">
        <v>807</v>
      </c>
      <c r="H1465" s="34">
        <v>381138</v>
      </c>
      <c r="I1465" s="53"/>
    </row>
    <row r="1466" spans="1:9" x14ac:dyDescent="0.3">
      <c r="A1466" t="str">
        <f t="shared" si="22"/>
        <v>2North Lincolnshire</v>
      </c>
      <c r="B1466">
        <v>2</v>
      </c>
      <c r="C1466" t="s">
        <v>233</v>
      </c>
      <c r="D1466" t="s">
        <v>8853</v>
      </c>
      <c r="E1466" t="s">
        <v>7660</v>
      </c>
      <c r="F1466" t="s">
        <v>7704</v>
      </c>
      <c r="H1466" s="34">
        <v>54473</v>
      </c>
      <c r="I1466" s="53"/>
    </row>
    <row r="1467" spans="1:9" x14ac:dyDescent="0.3">
      <c r="A1467" t="str">
        <f t="shared" si="22"/>
        <v>3North Lincolnshire</v>
      </c>
      <c r="B1467">
        <v>3</v>
      </c>
      <c r="C1467" t="s">
        <v>233</v>
      </c>
      <c r="D1467" t="s">
        <v>8854</v>
      </c>
      <c r="E1467" t="s">
        <v>842</v>
      </c>
      <c r="F1467" t="s">
        <v>7636</v>
      </c>
      <c r="H1467" s="34">
        <v>342099</v>
      </c>
      <c r="I1467" s="53"/>
    </row>
    <row r="1468" spans="1:9" x14ac:dyDescent="0.3">
      <c r="A1468" t="str">
        <f t="shared" si="22"/>
        <v>4North Lincolnshire</v>
      </c>
      <c r="B1468">
        <v>4</v>
      </c>
      <c r="C1468" t="s">
        <v>233</v>
      </c>
      <c r="D1468" t="s">
        <v>8855</v>
      </c>
      <c r="E1468" t="s">
        <v>812</v>
      </c>
      <c r="F1468" t="s">
        <v>7704</v>
      </c>
      <c r="H1468" s="34">
        <v>32000</v>
      </c>
      <c r="I1468" s="53"/>
    </row>
    <row r="1469" spans="1:9" x14ac:dyDescent="0.3">
      <c r="A1469" t="str">
        <f t="shared" si="22"/>
        <v>5North Lincolnshire</v>
      </c>
      <c r="B1469">
        <v>5</v>
      </c>
      <c r="C1469" t="s">
        <v>233</v>
      </c>
      <c r="D1469" t="s">
        <v>8856</v>
      </c>
      <c r="E1469" t="s">
        <v>7658</v>
      </c>
      <c r="F1469" t="s">
        <v>369</v>
      </c>
      <c r="H1469" s="34">
        <v>336419</v>
      </c>
      <c r="I1469" s="53"/>
    </row>
    <row r="1470" spans="1:9" x14ac:dyDescent="0.3">
      <c r="A1470" t="str">
        <f t="shared" si="22"/>
        <v>6North Lincolnshire</v>
      </c>
      <c r="B1470">
        <v>6</v>
      </c>
      <c r="C1470" t="s">
        <v>233</v>
      </c>
      <c r="D1470" t="s">
        <v>8857</v>
      </c>
      <c r="E1470" t="s">
        <v>7662</v>
      </c>
      <c r="F1470" t="s">
        <v>7704</v>
      </c>
      <c r="H1470" s="34">
        <v>17960</v>
      </c>
      <c r="I1470" s="53"/>
    </row>
    <row r="1471" spans="1:9" x14ac:dyDescent="0.3">
      <c r="A1471" t="str">
        <f t="shared" si="22"/>
        <v>7North Lincolnshire</v>
      </c>
      <c r="B1471">
        <v>7</v>
      </c>
      <c r="C1471" t="s">
        <v>233</v>
      </c>
      <c r="D1471" t="s">
        <v>8858</v>
      </c>
      <c r="E1471" t="s">
        <v>812</v>
      </c>
      <c r="F1471" t="s">
        <v>7704</v>
      </c>
      <c r="H1471" s="34">
        <v>60000</v>
      </c>
      <c r="I1471" s="53"/>
    </row>
    <row r="1472" spans="1:9" x14ac:dyDescent="0.3">
      <c r="A1472" t="str">
        <f t="shared" si="22"/>
        <v>8North Lincolnshire</v>
      </c>
      <c r="B1472">
        <v>8</v>
      </c>
      <c r="C1472" t="s">
        <v>233</v>
      </c>
      <c r="D1472" t="s">
        <v>8859</v>
      </c>
      <c r="E1472" t="s">
        <v>812</v>
      </c>
      <c r="F1472" t="s">
        <v>7704</v>
      </c>
      <c r="H1472" s="34">
        <v>22209</v>
      </c>
      <c r="I1472" s="53"/>
    </row>
    <row r="1473" spans="1:9" x14ac:dyDescent="0.3">
      <c r="A1473" t="str">
        <f t="shared" si="22"/>
        <v>9North Lincolnshire</v>
      </c>
      <c r="B1473">
        <v>9</v>
      </c>
      <c r="C1473" t="s">
        <v>233</v>
      </c>
      <c r="D1473" t="s">
        <v>8860</v>
      </c>
      <c r="E1473" t="s">
        <v>7657</v>
      </c>
      <c r="F1473" t="s">
        <v>7632</v>
      </c>
      <c r="H1473" s="34">
        <v>130613</v>
      </c>
      <c r="I1473" s="53"/>
    </row>
    <row r="1474" spans="1:9" x14ac:dyDescent="0.3">
      <c r="A1474" t="str">
        <f t="shared" ref="A1474:A1537" si="23">B1474&amp;C1474</f>
        <v>10North Lincolnshire</v>
      </c>
      <c r="B1474">
        <v>10</v>
      </c>
      <c r="C1474" t="s">
        <v>233</v>
      </c>
      <c r="D1474" t="s">
        <v>8861</v>
      </c>
      <c r="E1474" t="s">
        <v>7657</v>
      </c>
      <c r="F1474" t="s">
        <v>7632</v>
      </c>
      <c r="H1474" s="34">
        <v>93461</v>
      </c>
      <c r="I1474" s="53"/>
    </row>
    <row r="1475" spans="1:9" x14ac:dyDescent="0.3">
      <c r="A1475" t="str">
        <f t="shared" si="23"/>
        <v>11North Lincolnshire</v>
      </c>
      <c r="B1475">
        <v>11</v>
      </c>
      <c r="C1475" t="s">
        <v>233</v>
      </c>
      <c r="D1475" t="s">
        <v>8862</v>
      </c>
      <c r="E1475" t="s">
        <v>800</v>
      </c>
      <c r="F1475" t="s">
        <v>2108</v>
      </c>
      <c r="H1475" s="34">
        <v>177000</v>
      </c>
      <c r="I1475" s="53"/>
    </row>
    <row r="1476" spans="1:9" x14ac:dyDescent="0.3">
      <c r="A1476" t="str">
        <f t="shared" si="23"/>
        <v>12North Lincolnshire</v>
      </c>
      <c r="B1476">
        <v>12</v>
      </c>
      <c r="C1476" t="s">
        <v>233</v>
      </c>
      <c r="D1476" t="s">
        <v>8863</v>
      </c>
      <c r="E1476" t="s">
        <v>812</v>
      </c>
      <c r="F1476" t="s">
        <v>7704</v>
      </c>
      <c r="H1476" s="34">
        <v>109000</v>
      </c>
      <c r="I1476" s="53"/>
    </row>
    <row r="1477" spans="1:9" x14ac:dyDescent="0.3">
      <c r="A1477" t="str">
        <f t="shared" si="23"/>
        <v>13North Lincolnshire</v>
      </c>
      <c r="B1477">
        <v>13</v>
      </c>
      <c r="C1477" t="s">
        <v>233</v>
      </c>
      <c r="D1477" t="s">
        <v>8864</v>
      </c>
      <c r="E1477" t="s">
        <v>812</v>
      </c>
      <c r="F1477" t="s">
        <v>7704</v>
      </c>
      <c r="H1477" s="34">
        <v>40000</v>
      </c>
      <c r="I1477" s="53"/>
    </row>
    <row r="1478" spans="1:9" x14ac:dyDescent="0.3">
      <c r="A1478" t="str">
        <f t="shared" si="23"/>
        <v>1North Northamptonshire</v>
      </c>
      <c r="B1478">
        <v>1</v>
      </c>
      <c r="C1478" t="s">
        <v>235</v>
      </c>
      <c r="D1478" t="s">
        <v>8865</v>
      </c>
      <c r="E1478" t="s">
        <v>812</v>
      </c>
      <c r="H1478" s="34">
        <v>15600</v>
      </c>
      <c r="I1478" s="53"/>
    </row>
    <row r="1479" spans="1:9" x14ac:dyDescent="0.3">
      <c r="A1479" t="str">
        <f t="shared" si="23"/>
        <v>2North Northamptonshire</v>
      </c>
      <c r="B1479">
        <v>2</v>
      </c>
      <c r="C1479" t="s">
        <v>235</v>
      </c>
      <c r="D1479" t="s">
        <v>8866</v>
      </c>
      <c r="E1479" t="s">
        <v>7657</v>
      </c>
      <c r="F1479" t="s">
        <v>7632</v>
      </c>
      <c r="H1479" s="34">
        <v>38250</v>
      </c>
      <c r="I1479" s="53"/>
    </row>
    <row r="1480" spans="1:9" x14ac:dyDescent="0.3">
      <c r="A1480" t="str">
        <f t="shared" si="23"/>
        <v>3North Northamptonshire</v>
      </c>
      <c r="B1480">
        <v>3</v>
      </c>
      <c r="C1480" t="s">
        <v>235</v>
      </c>
      <c r="D1480" t="s">
        <v>8867</v>
      </c>
      <c r="E1480" t="s">
        <v>7657</v>
      </c>
      <c r="F1480" t="s">
        <v>7632</v>
      </c>
      <c r="H1480" s="34">
        <v>125456</v>
      </c>
      <c r="I1480" s="53"/>
    </row>
    <row r="1481" spans="1:9" x14ac:dyDescent="0.3">
      <c r="A1481" t="str">
        <f t="shared" si="23"/>
        <v>4North Northamptonshire</v>
      </c>
      <c r="B1481">
        <v>4</v>
      </c>
      <c r="C1481" t="s">
        <v>235</v>
      </c>
      <c r="D1481" t="s">
        <v>8868</v>
      </c>
      <c r="E1481" t="s">
        <v>812</v>
      </c>
      <c r="H1481" s="34">
        <v>50000</v>
      </c>
      <c r="I1481" s="53"/>
    </row>
    <row r="1482" spans="1:9" x14ac:dyDescent="0.3">
      <c r="A1482" t="str">
        <f t="shared" si="23"/>
        <v>5North Northamptonshire</v>
      </c>
      <c r="B1482">
        <v>5</v>
      </c>
      <c r="C1482" t="s">
        <v>235</v>
      </c>
      <c r="D1482" t="s">
        <v>8869</v>
      </c>
      <c r="E1482" t="s">
        <v>842</v>
      </c>
      <c r="F1482" t="s">
        <v>843</v>
      </c>
      <c r="H1482" s="34">
        <v>200000</v>
      </c>
      <c r="I1482" s="53"/>
    </row>
    <row r="1483" spans="1:9" x14ac:dyDescent="0.3">
      <c r="A1483" t="str">
        <f t="shared" si="23"/>
        <v>6North Northamptonshire</v>
      </c>
      <c r="B1483">
        <v>6</v>
      </c>
      <c r="C1483" t="s">
        <v>235</v>
      </c>
      <c r="D1483" t="s">
        <v>8870</v>
      </c>
      <c r="E1483" t="s">
        <v>7657</v>
      </c>
      <c r="F1483" t="s">
        <v>7632</v>
      </c>
      <c r="H1483" s="34">
        <v>17000</v>
      </c>
      <c r="I1483" s="53"/>
    </row>
    <row r="1484" spans="1:9" x14ac:dyDescent="0.3">
      <c r="A1484" t="str">
        <f t="shared" si="23"/>
        <v>7North Northamptonshire</v>
      </c>
      <c r="B1484">
        <v>7</v>
      </c>
      <c r="C1484" t="s">
        <v>235</v>
      </c>
      <c r="D1484" t="s">
        <v>8871</v>
      </c>
      <c r="E1484" t="s">
        <v>7662</v>
      </c>
      <c r="H1484" s="34">
        <v>17500</v>
      </c>
      <c r="I1484" s="53"/>
    </row>
    <row r="1485" spans="1:9" x14ac:dyDescent="0.3">
      <c r="A1485" t="str">
        <f t="shared" si="23"/>
        <v>8North Northamptonshire</v>
      </c>
      <c r="B1485">
        <v>8</v>
      </c>
      <c r="C1485" t="s">
        <v>235</v>
      </c>
      <c r="D1485" t="s">
        <v>8872</v>
      </c>
      <c r="E1485" t="s">
        <v>1106</v>
      </c>
      <c r="F1485" t="s">
        <v>7628</v>
      </c>
      <c r="H1485" s="34">
        <v>153000</v>
      </c>
      <c r="I1485" s="53"/>
    </row>
    <row r="1486" spans="1:9" x14ac:dyDescent="0.3">
      <c r="A1486" t="str">
        <f t="shared" si="23"/>
        <v>9North Northamptonshire</v>
      </c>
      <c r="B1486">
        <v>9</v>
      </c>
      <c r="C1486" t="s">
        <v>235</v>
      </c>
      <c r="D1486" t="s">
        <v>8873</v>
      </c>
      <c r="E1486" t="s">
        <v>7657</v>
      </c>
      <c r="F1486" t="s">
        <v>7632</v>
      </c>
      <c r="H1486" s="34">
        <v>1080650</v>
      </c>
      <c r="I1486" s="53"/>
    </row>
    <row r="1487" spans="1:9" x14ac:dyDescent="0.3">
      <c r="A1487" t="str">
        <f t="shared" si="23"/>
        <v>10North Northamptonshire</v>
      </c>
      <c r="B1487">
        <v>10</v>
      </c>
      <c r="C1487" t="s">
        <v>235</v>
      </c>
      <c r="D1487" t="s">
        <v>8874</v>
      </c>
      <c r="E1487" t="s">
        <v>800</v>
      </c>
      <c r="F1487" t="s">
        <v>2108</v>
      </c>
      <c r="H1487" s="34">
        <v>44460</v>
      </c>
      <c r="I1487" s="53"/>
    </row>
    <row r="1488" spans="1:9" x14ac:dyDescent="0.3">
      <c r="A1488" t="str">
        <f t="shared" si="23"/>
        <v>11North Northamptonshire</v>
      </c>
      <c r="B1488">
        <v>11</v>
      </c>
      <c r="C1488" t="s">
        <v>235</v>
      </c>
      <c r="D1488" t="s">
        <v>8875</v>
      </c>
      <c r="E1488" t="s">
        <v>5266</v>
      </c>
      <c r="F1488" t="s">
        <v>7639</v>
      </c>
      <c r="H1488" s="34">
        <v>220000</v>
      </c>
      <c r="I1488" s="53"/>
    </row>
    <row r="1489" spans="1:9" x14ac:dyDescent="0.3">
      <c r="A1489" t="str">
        <f t="shared" si="23"/>
        <v>12North Northamptonshire</v>
      </c>
      <c r="B1489">
        <v>12</v>
      </c>
      <c r="C1489" t="s">
        <v>235</v>
      </c>
      <c r="D1489" t="s">
        <v>8876</v>
      </c>
      <c r="E1489" t="s">
        <v>812</v>
      </c>
      <c r="H1489" s="34">
        <v>32617</v>
      </c>
      <c r="I1489" s="53"/>
    </row>
    <row r="1490" spans="1:9" x14ac:dyDescent="0.3">
      <c r="A1490" t="str">
        <f t="shared" si="23"/>
        <v>13North Northamptonshire</v>
      </c>
      <c r="B1490">
        <v>13</v>
      </c>
      <c r="C1490" t="s">
        <v>235</v>
      </c>
      <c r="D1490" t="s">
        <v>8877</v>
      </c>
      <c r="E1490" t="s">
        <v>1113</v>
      </c>
      <c r="F1490" t="s">
        <v>7629</v>
      </c>
      <c r="H1490" s="34">
        <v>74303</v>
      </c>
      <c r="I1490" s="53"/>
    </row>
    <row r="1491" spans="1:9" x14ac:dyDescent="0.3">
      <c r="A1491" t="str">
        <f t="shared" si="23"/>
        <v>14North Northamptonshire</v>
      </c>
      <c r="B1491">
        <v>14</v>
      </c>
      <c r="C1491" t="s">
        <v>235</v>
      </c>
      <c r="D1491" t="s">
        <v>8878</v>
      </c>
      <c r="E1491" t="s">
        <v>842</v>
      </c>
      <c r="F1491" t="s">
        <v>843</v>
      </c>
      <c r="H1491" s="34">
        <v>106216</v>
      </c>
      <c r="I1491" s="53"/>
    </row>
    <row r="1492" spans="1:9" x14ac:dyDescent="0.3">
      <c r="A1492" t="str">
        <f t="shared" si="23"/>
        <v>15North Northamptonshire</v>
      </c>
      <c r="B1492">
        <v>15</v>
      </c>
      <c r="C1492" t="s">
        <v>235</v>
      </c>
      <c r="D1492" t="s">
        <v>8879</v>
      </c>
      <c r="E1492" t="s">
        <v>806</v>
      </c>
      <c r="F1492" t="s">
        <v>7642</v>
      </c>
      <c r="H1492" s="34">
        <v>170000</v>
      </c>
      <c r="I1492" s="53"/>
    </row>
    <row r="1493" spans="1:9" x14ac:dyDescent="0.3">
      <c r="A1493" t="str">
        <f t="shared" si="23"/>
        <v>16North Northamptonshire</v>
      </c>
      <c r="B1493">
        <v>16</v>
      </c>
      <c r="C1493" t="s">
        <v>235</v>
      </c>
      <c r="D1493" t="s">
        <v>8880</v>
      </c>
      <c r="E1493" t="s">
        <v>806</v>
      </c>
      <c r="F1493" t="s">
        <v>807</v>
      </c>
      <c r="H1493" s="34">
        <v>153000</v>
      </c>
      <c r="I1493" s="53"/>
    </row>
    <row r="1494" spans="1:9" x14ac:dyDescent="0.3">
      <c r="A1494" t="str">
        <f t="shared" si="23"/>
        <v>17North Northamptonshire</v>
      </c>
      <c r="B1494">
        <v>17</v>
      </c>
      <c r="C1494" t="s">
        <v>235</v>
      </c>
      <c r="D1494" t="s">
        <v>8881</v>
      </c>
      <c r="E1494" t="s">
        <v>1106</v>
      </c>
      <c r="F1494" t="s">
        <v>7628</v>
      </c>
      <c r="H1494" s="34">
        <v>662400</v>
      </c>
      <c r="I1494" s="53"/>
    </row>
    <row r="1495" spans="1:9" x14ac:dyDescent="0.3">
      <c r="A1495" t="str">
        <f t="shared" si="23"/>
        <v>18North Northamptonshire</v>
      </c>
      <c r="B1495">
        <v>18</v>
      </c>
      <c r="C1495" t="s">
        <v>235</v>
      </c>
      <c r="D1495" t="s">
        <v>8882</v>
      </c>
      <c r="E1495" t="s">
        <v>7657</v>
      </c>
      <c r="F1495" t="s">
        <v>7632</v>
      </c>
      <c r="H1495" s="34">
        <v>22409</v>
      </c>
      <c r="I1495" s="53"/>
    </row>
    <row r="1496" spans="1:9" x14ac:dyDescent="0.3">
      <c r="A1496" t="str">
        <f t="shared" si="23"/>
        <v>19North Northamptonshire</v>
      </c>
      <c r="B1496">
        <v>19</v>
      </c>
      <c r="C1496" t="s">
        <v>235</v>
      </c>
      <c r="D1496" t="s">
        <v>8883</v>
      </c>
      <c r="E1496" t="s">
        <v>812</v>
      </c>
      <c r="H1496" s="34">
        <v>59350</v>
      </c>
      <c r="I1496" s="53"/>
    </row>
    <row r="1497" spans="1:9" x14ac:dyDescent="0.3">
      <c r="A1497" t="str">
        <f t="shared" si="23"/>
        <v>1North Somerset</v>
      </c>
      <c r="B1497">
        <v>1</v>
      </c>
      <c r="C1497" t="s">
        <v>237</v>
      </c>
      <c r="D1497" t="s">
        <v>8884</v>
      </c>
      <c r="E1497" t="s">
        <v>7649</v>
      </c>
      <c r="F1497" t="s">
        <v>7638</v>
      </c>
      <c r="H1497" s="34">
        <v>10000</v>
      </c>
      <c r="I1497" s="53"/>
    </row>
    <row r="1498" spans="1:9" x14ac:dyDescent="0.3">
      <c r="A1498" t="str">
        <f t="shared" si="23"/>
        <v>2North Somerset</v>
      </c>
      <c r="B1498">
        <v>2</v>
      </c>
      <c r="C1498" t="s">
        <v>237</v>
      </c>
      <c r="D1498" t="s">
        <v>7825</v>
      </c>
      <c r="E1498" t="s">
        <v>842</v>
      </c>
      <c r="F1498" t="s">
        <v>843</v>
      </c>
      <c r="H1498" s="34">
        <v>13750</v>
      </c>
      <c r="I1498" s="53"/>
    </row>
    <row r="1499" spans="1:9" x14ac:dyDescent="0.3">
      <c r="A1499" t="str">
        <f t="shared" si="23"/>
        <v>3North Somerset</v>
      </c>
      <c r="B1499">
        <v>3</v>
      </c>
      <c r="C1499" t="s">
        <v>237</v>
      </c>
      <c r="D1499" t="s">
        <v>7827</v>
      </c>
      <c r="E1499" t="s">
        <v>7662</v>
      </c>
      <c r="H1499" s="34">
        <v>7600</v>
      </c>
      <c r="I1499" s="53"/>
    </row>
    <row r="1500" spans="1:9" x14ac:dyDescent="0.3">
      <c r="A1500" t="str">
        <f t="shared" si="23"/>
        <v>4North Somerset</v>
      </c>
      <c r="B1500">
        <v>4</v>
      </c>
      <c r="C1500" t="s">
        <v>237</v>
      </c>
      <c r="D1500" t="s">
        <v>8885</v>
      </c>
      <c r="E1500" t="s">
        <v>5266</v>
      </c>
      <c r="F1500" t="s">
        <v>7646</v>
      </c>
      <c r="H1500" s="34">
        <v>75000</v>
      </c>
      <c r="I1500" s="53"/>
    </row>
    <row r="1501" spans="1:9" x14ac:dyDescent="0.3">
      <c r="A1501" t="str">
        <f t="shared" si="23"/>
        <v>5North Somerset</v>
      </c>
      <c r="B1501">
        <v>5</v>
      </c>
      <c r="C1501" t="s">
        <v>237</v>
      </c>
      <c r="D1501" t="s">
        <v>1106</v>
      </c>
      <c r="E1501" t="s">
        <v>7657</v>
      </c>
      <c r="F1501" t="s">
        <v>7644</v>
      </c>
      <c r="H1501" s="34">
        <v>280000</v>
      </c>
      <c r="I1501" s="53"/>
    </row>
    <row r="1502" spans="1:9" x14ac:dyDescent="0.3">
      <c r="A1502" t="str">
        <f t="shared" si="23"/>
        <v>6North Somerset</v>
      </c>
      <c r="B1502">
        <v>6</v>
      </c>
      <c r="C1502" t="s">
        <v>237</v>
      </c>
      <c r="D1502" t="s">
        <v>7830</v>
      </c>
      <c r="E1502" t="s">
        <v>7662</v>
      </c>
      <c r="H1502" s="34">
        <v>7500</v>
      </c>
      <c r="I1502" s="53"/>
    </row>
    <row r="1503" spans="1:9" x14ac:dyDescent="0.3">
      <c r="A1503" t="str">
        <f t="shared" si="23"/>
        <v>7North Somerset</v>
      </c>
      <c r="B1503">
        <v>7</v>
      </c>
      <c r="C1503" t="s">
        <v>237</v>
      </c>
      <c r="D1503" t="s">
        <v>4916</v>
      </c>
      <c r="E1503" t="s">
        <v>1106</v>
      </c>
      <c r="F1503" t="s">
        <v>7628</v>
      </c>
      <c r="H1503" s="34">
        <v>50000</v>
      </c>
      <c r="I1503" s="53"/>
    </row>
    <row r="1504" spans="1:9" x14ac:dyDescent="0.3">
      <c r="A1504" t="str">
        <f t="shared" si="23"/>
        <v>8North Somerset</v>
      </c>
      <c r="B1504">
        <v>8</v>
      </c>
      <c r="C1504" t="s">
        <v>237</v>
      </c>
      <c r="D1504" t="s">
        <v>7831</v>
      </c>
      <c r="E1504" t="s">
        <v>842</v>
      </c>
      <c r="F1504" t="s">
        <v>843</v>
      </c>
      <c r="H1504" s="34">
        <v>40000</v>
      </c>
      <c r="I1504" s="53"/>
    </row>
    <row r="1505" spans="1:9" x14ac:dyDescent="0.3">
      <c r="A1505" t="str">
        <f t="shared" si="23"/>
        <v>9North Somerset</v>
      </c>
      <c r="B1505">
        <v>9</v>
      </c>
      <c r="C1505" t="s">
        <v>237</v>
      </c>
      <c r="D1505" t="s">
        <v>8886</v>
      </c>
      <c r="E1505" t="s">
        <v>7657</v>
      </c>
      <c r="F1505" t="s">
        <v>7644</v>
      </c>
      <c r="H1505" s="34">
        <v>26300</v>
      </c>
      <c r="I1505" s="53"/>
    </row>
    <row r="1506" spans="1:9" x14ac:dyDescent="0.3">
      <c r="A1506" t="str">
        <f t="shared" si="23"/>
        <v>10North Somerset</v>
      </c>
      <c r="B1506">
        <v>10</v>
      </c>
      <c r="C1506" t="s">
        <v>237</v>
      </c>
      <c r="D1506" t="s">
        <v>8887</v>
      </c>
      <c r="E1506" t="s">
        <v>812</v>
      </c>
      <c r="H1506" s="34">
        <v>10000</v>
      </c>
      <c r="I1506" s="53"/>
    </row>
    <row r="1507" spans="1:9" x14ac:dyDescent="0.3">
      <c r="A1507" t="str">
        <f t="shared" si="23"/>
        <v>11North Somerset</v>
      </c>
      <c r="B1507">
        <v>11</v>
      </c>
      <c r="C1507" t="s">
        <v>237</v>
      </c>
      <c r="D1507" t="s">
        <v>7832</v>
      </c>
      <c r="E1507" t="s">
        <v>7649</v>
      </c>
      <c r="F1507" t="s">
        <v>7638</v>
      </c>
      <c r="H1507" s="34">
        <v>21975</v>
      </c>
      <c r="I1507" s="53"/>
    </row>
    <row r="1508" spans="1:9" x14ac:dyDescent="0.3">
      <c r="A1508" t="str">
        <f t="shared" si="23"/>
        <v>12North Somerset</v>
      </c>
      <c r="B1508">
        <v>12</v>
      </c>
      <c r="C1508" t="s">
        <v>237</v>
      </c>
      <c r="D1508" t="s">
        <v>5592</v>
      </c>
      <c r="E1508" t="s">
        <v>5266</v>
      </c>
      <c r="F1508" t="s">
        <v>7631</v>
      </c>
      <c r="H1508" s="34">
        <v>25000</v>
      </c>
      <c r="I1508" s="53"/>
    </row>
    <row r="1509" spans="1:9" x14ac:dyDescent="0.3">
      <c r="A1509" t="str">
        <f t="shared" si="23"/>
        <v>13North Somerset</v>
      </c>
      <c r="B1509">
        <v>13</v>
      </c>
      <c r="C1509" t="s">
        <v>237</v>
      </c>
      <c r="D1509" t="s">
        <v>7713</v>
      </c>
      <c r="E1509" t="s">
        <v>842</v>
      </c>
      <c r="F1509" t="s">
        <v>7636</v>
      </c>
      <c r="H1509" s="34">
        <v>25000</v>
      </c>
      <c r="I1509" s="53"/>
    </row>
    <row r="1510" spans="1:9" x14ac:dyDescent="0.3">
      <c r="A1510" t="str">
        <f t="shared" si="23"/>
        <v>14North Somerset</v>
      </c>
      <c r="B1510">
        <v>14</v>
      </c>
      <c r="C1510" t="s">
        <v>237</v>
      </c>
      <c r="D1510" t="s">
        <v>7713</v>
      </c>
      <c r="E1510" t="s">
        <v>5266</v>
      </c>
      <c r="F1510" t="s">
        <v>7646</v>
      </c>
      <c r="H1510" s="34">
        <v>400000</v>
      </c>
      <c r="I1510" s="53"/>
    </row>
    <row r="1511" spans="1:9" x14ac:dyDescent="0.3">
      <c r="A1511" t="str">
        <f t="shared" si="23"/>
        <v>15North Somerset</v>
      </c>
      <c r="B1511">
        <v>15</v>
      </c>
      <c r="C1511" t="s">
        <v>237</v>
      </c>
      <c r="D1511" t="s">
        <v>7713</v>
      </c>
      <c r="E1511" t="s">
        <v>7658</v>
      </c>
      <c r="H1511" s="34">
        <v>141055</v>
      </c>
      <c r="I1511" s="53"/>
    </row>
    <row r="1512" spans="1:9" x14ac:dyDescent="0.3">
      <c r="A1512" t="str">
        <f t="shared" si="23"/>
        <v>16North Somerset</v>
      </c>
      <c r="B1512">
        <v>16</v>
      </c>
      <c r="C1512" t="s">
        <v>237</v>
      </c>
      <c r="D1512" t="s">
        <v>7713</v>
      </c>
      <c r="E1512" t="s">
        <v>1113</v>
      </c>
      <c r="F1512" t="s">
        <v>7629</v>
      </c>
      <c r="H1512" s="34">
        <v>285000</v>
      </c>
      <c r="I1512" s="53"/>
    </row>
    <row r="1513" spans="1:9" x14ac:dyDescent="0.3">
      <c r="A1513" t="str">
        <f t="shared" si="23"/>
        <v>17North Somerset</v>
      </c>
      <c r="B1513">
        <v>17</v>
      </c>
      <c r="C1513" t="s">
        <v>237</v>
      </c>
      <c r="D1513" t="s">
        <v>6660</v>
      </c>
      <c r="E1513" t="s">
        <v>800</v>
      </c>
      <c r="F1513" t="s">
        <v>903</v>
      </c>
      <c r="H1513" s="34">
        <v>200000</v>
      </c>
      <c r="I1513" s="53"/>
    </row>
    <row r="1514" spans="1:9" x14ac:dyDescent="0.3">
      <c r="A1514" t="str">
        <f t="shared" si="23"/>
        <v>18North Somerset</v>
      </c>
      <c r="B1514">
        <v>18</v>
      </c>
      <c r="C1514" t="s">
        <v>237</v>
      </c>
      <c r="D1514" t="s">
        <v>6660</v>
      </c>
      <c r="E1514" t="s">
        <v>800</v>
      </c>
      <c r="F1514" t="s">
        <v>2108</v>
      </c>
      <c r="H1514" s="34">
        <v>70000</v>
      </c>
      <c r="I1514" s="53"/>
    </row>
    <row r="1515" spans="1:9" x14ac:dyDescent="0.3">
      <c r="A1515" t="str">
        <f t="shared" si="23"/>
        <v>19North Somerset</v>
      </c>
      <c r="B1515">
        <v>19</v>
      </c>
      <c r="C1515" t="s">
        <v>237</v>
      </c>
      <c r="D1515" t="s">
        <v>7833</v>
      </c>
      <c r="E1515" t="s">
        <v>7649</v>
      </c>
      <c r="F1515" t="s">
        <v>7638</v>
      </c>
      <c r="H1515" s="34">
        <v>6538</v>
      </c>
      <c r="I1515" s="53"/>
    </row>
    <row r="1516" spans="1:9" x14ac:dyDescent="0.3">
      <c r="A1516" t="str">
        <f t="shared" si="23"/>
        <v>20North Somerset</v>
      </c>
      <c r="B1516">
        <v>20</v>
      </c>
      <c r="C1516" t="s">
        <v>237</v>
      </c>
      <c r="D1516" t="s">
        <v>3492</v>
      </c>
      <c r="E1516" t="s">
        <v>842</v>
      </c>
      <c r="F1516" t="s">
        <v>843</v>
      </c>
      <c r="H1516" s="34">
        <v>25000</v>
      </c>
      <c r="I1516" s="53"/>
    </row>
    <row r="1517" spans="1:9" x14ac:dyDescent="0.3">
      <c r="A1517" t="str">
        <f t="shared" si="23"/>
        <v>21North Somerset</v>
      </c>
      <c r="B1517">
        <v>21</v>
      </c>
      <c r="C1517" t="s">
        <v>237</v>
      </c>
      <c r="D1517" t="s">
        <v>8888</v>
      </c>
      <c r="E1517" t="s">
        <v>806</v>
      </c>
      <c r="F1517" t="s">
        <v>917</v>
      </c>
      <c r="H1517" s="34">
        <v>80000</v>
      </c>
      <c r="I1517" s="53"/>
    </row>
    <row r="1518" spans="1:9" x14ac:dyDescent="0.3">
      <c r="A1518" t="str">
        <f t="shared" si="23"/>
        <v>22North Somerset</v>
      </c>
      <c r="B1518">
        <v>22</v>
      </c>
      <c r="C1518" t="s">
        <v>237</v>
      </c>
      <c r="D1518" t="s">
        <v>7836</v>
      </c>
      <c r="E1518" t="s">
        <v>7649</v>
      </c>
      <c r="F1518" t="s">
        <v>7638</v>
      </c>
      <c r="H1518" s="34">
        <v>30000</v>
      </c>
      <c r="I1518" s="53"/>
    </row>
    <row r="1519" spans="1:9" x14ac:dyDescent="0.3">
      <c r="A1519" t="str">
        <f t="shared" si="23"/>
        <v>23North Somerset</v>
      </c>
      <c r="B1519">
        <v>23</v>
      </c>
      <c r="C1519" t="s">
        <v>237</v>
      </c>
      <c r="D1519" t="s">
        <v>7837</v>
      </c>
      <c r="E1519" t="s">
        <v>1106</v>
      </c>
      <c r="F1519" t="s">
        <v>7628</v>
      </c>
      <c r="H1519" s="34">
        <v>70000</v>
      </c>
      <c r="I1519" s="53"/>
    </row>
    <row r="1520" spans="1:9" x14ac:dyDescent="0.3">
      <c r="A1520" t="str">
        <f t="shared" si="23"/>
        <v>24North Somerset</v>
      </c>
      <c r="B1520">
        <v>24</v>
      </c>
      <c r="C1520" t="s">
        <v>237</v>
      </c>
      <c r="D1520" t="s">
        <v>8889</v>
      </c>
      <c r="E1520" t="s">
        <v>1106</v>
      </c>
      <c r="F1520" t="s">
        <v>7628</v>
      </c>
      <c r="H1520" s="34">
        <v>30000</v>
      </c>
      <c r="I1520" s="53"/>
    </row>
    <row r="1521" spans="1:9" x14ac:dyDescent="0.3">
      <c r="A1521" t="str">
        <f t="shared" si="23"/>
        <v>25North Somerset</v>
      </c>
      <c r="B1521">
        <v>25</v>
      </c>
      <c r="C1521" t="s">
        <v>237</v>
      </c>
      <c r="D1521" t="s">
        <v>7840</v>
      </c>
      <c r="E1521" t="s">
        <v>5266</v>
      </c>
      <c r="F1521" t="s">
        <v>7639</v>
      </c>
      <c r="H1521" s="34">
        <v>3750</v>
      </c>
      <c r="I1521" s="53"/>
    </row>
    <row r="1522" spans="1:9" x14ac:dyDescent="0.3">
      <c r="A1522" t="str">
        <f t="shared" si="23"/>
        <v>26North Somerset</v>
      </c>
      <c r="B1522">
        <v>26</v>
      </c>
      <c r="C1522" t="s">
        <v>237</v>
      </c>
      <c r="D1522" t="s">
        <v>7840</v>
      </c>
      <c r="E1522" t="s">
        <v>7658</v>
      </c>
      <c r="H1522" s="34">
        <v>310000</v>
      </c>
      <c r="I1522" s="53"/>
    </row>
    <row r="1523" spans="1:9" x14ac:dyDescent="0.3">
      <c r="A1523" t="str">
        <f t="shared" si="23"/>
        <v>27North Somerset</v>
      </c>
      <c r="B1523">
        <v>27</v>
      </c>
      <c r="C1523" t="s">
        <v>237</v>
      </c>
      <c r="D1523" t="s">
        <v>7841</v>
      </c>
      <c r="E1523" t="s">
        <v>7657</v>
      </c>
      <c r="F1523" t="s">
        <v>7632</v>
      </c>
      <c r="H1523" s="34">
        <v>14750</v>
      </c>
      <c r="I1523" s="53"/>
    </row>
    <row r="1524" spans="1:9" x14ac:dyDescent="0.3">
      <c r="A1524" t="str">
        <f t="shared" si="23"/>
        <v>28North Somerset</v>
      </c>
      <c r="B1524">
        <v>28</v>
      </c>
      <c r="C1524" t="s">
        <v>237</v>
      </c>
      <c r="D1524" t="s">
        <v>8890</v>
      </c>
      <c r="E1524" t="s">
        <v>806</v>
      </c>
      <c r="F1524" t="s">
        <v>807</v>
      </c>
      <c r="H1524" s="34">
        <v>65000</v>
      </c>
      <c r="I1524" s="53"/>
    </row>
    <row r="1525" spans="1:9" x14ac:dyDescent="0.3">
      <c r="A1525" t="str">
        <f t="shared" si="23"/>
        <v>29North Somerset</v>
      </c>
      <c r="B1525">
        <v>29</v>
      </c>
      <c r="C1525" t="s">
        <v>237</v>
      </c>
      <c r="D1525" t="s">
        <v>7843</v>
      </c>
      <c r="E1525" t="s">
        <v>1113</v>
      </c>
      <c r="F1525" t="s">
        <v>7637</v>
      </c>
      <c r="H1525" s="34">
        <v>47718</v>
      </c>
      <c r="I1525" s="53"/>
    </row>
    <row r="1526" spans="1:9" x14ac:dyDescent="0.3">
      <c r="A1526" t="str">
        <f t="shared" si="23"/>
        <v>30North Somerset</v>
      </c>
      <c r="B1526">
        <v>30</v>
      </c>
      <c r="C1526" t="s">
        <v>237</v>
      </c>
      <c r="D1526" t="s">
        <v>7844</v>
      </c>
      <c r="E1526" t="s">
        <v>806</v>
      </c>
      <c r="F1526" t="s">
        <v>807</v>
      </c>
      <c r="H1526" s="34">
        <v>80000</v>
      </c>
      <c r="I1526" s="53"/>
    </row>
    <row r="1527" spans="1:9" x14ac:dyDescent="0.3">
      <c r="A1527" t="str">
        <f t="shared" si="23"/>
        <v>31North Somerset</v>
      </c>
      <c r="B1527">
        <v>31</v>
      </c>
      <c r="C1527" t="s">
        <v>237</v>
      </c>
      <c r="D1527" t="s">
        <v>8891</v>
      </c>
      <c r="E1527" t="s">
        <v>7657</v>
      </c>
      <c r="F1527" t="s">
        <v>7632</v>
      </c>
      <c r="H1527" s="34">
        <v>40000</v>
      </c>
      <c r="I1527" s="53"/>
    </row>
    <row r="1528" spans="1:9" x14ac:dyDescent="0.3">
      <c r="A1528" t="str">
        <f t="shared" si="23"/>
        <v>32North Somerset</v>
      </c>
      <c r="B1528">
        <v>32</v>
      </c>
      <c r="C1528" t="s">
        <v>237</v>
      </c>
      <c r="D1528" t="s">
        <v>7845</v>
      </c>
      <c r="E1528" t="s">
        <v>1113</v>
      </c>
      <c r="F1528" t="s">
        <v>7629</v>
      </c>
      <c r="H1528" s="34">
        <v>625000</v>
      </c>
      <c r="I1528" s="53"/>
    </row>
    <row r="1529" spans="1:9" x14ac:dyDescent="0.3">
      <c r="A1529" t="str">
        <f t="shared" si="23"/>
        <v>33North Somerset</v>
      </c>
      <c r="B1529">
        <v>33</v>
      </c>
      <c r="C1529" t="s">
        <v>237</v>
      </c>
      <c r="D1529" t="s">
        <v>7847</v>
      </c>
      <c r="E1529" t="s">
        <v>800</v>
      </c>
      <c r="F1529" t="s">
        <v>903</v>
      </c>
      <c r="H1529" s="34">
        <v>15000</v>
      </c>
      <c r="I1529" s="53"/>
    </row>
    <row r="1530" spans="1:9" x14ac:dyDescent="0.3">
      <c r="A1530" t="str">
        <f t="shared" si="23"/>
        <v>34North Somerset</v>
      </c>
      <c r="B1530">
        <v>34</v>
      </c>
      <c r="C1530" t="s">
        <v>237</v>
      </c>
      <c r="D1530" t="s">
        <v>7849</v>
      </c>
      <c r="E1530" t="s">
        <v>842</v>
      </c>
      <c r="F1530" t="s">
        <v>1594</v>
      </c>
      <c r="H1530" s="34">
        <v>50000</v>
      </c>
      <c r="I1530" s="53"/>
    </row>
    <row r="1531" spans="1:9" x14ac:dyDescent="0.3">
      <c r="A1531" t="str">
        <f t="shared" si="23"/>
        <v>1North Tyneside</v>
      </c>
      <c r="B1531">
        <v>1</v>
      </c>
      <c r="C1531" t="s">
        <v>239</v>
      </c>
      <c r="D1531" t="s">
        <v>8892</v>
      </c>
      <c r="E1531" t="s">
        <v>812</v>
      </c>
      <c r="H1531" s="34">
        <v>54520</v>
      </c>
      <c r="I1531" s="53"/>
    </row>
    <row r="1532" spans="1:9" x14ac:dyDescent="0.3">
      <c r="A1532" t="str">
        <f t="shared" si="23"/>
        <v>2North Tyneside</v>
      </c>
      <c r="B1532">
        <v>2</v>
      </c>
      <c r="C1532" t="s">
        <v>239</v>
      </c>
      <c r="D1532" t="s">
        <v>8893</v>
      </c>
      <c r="E1532" t="s">
        <v>812</v>
      </c>
      <c r="H1532" s="34">
        <v>10000</v>
      </c>
      <c r="I1532" s="53"/>
    </row>
    <row r="1533" spans="1:9" x14ac:dyDescent="0.3">
      <c r="A1533" t="str">
        <f t="shared" si="23"/>
        <v>3North Tyneside</v>
      </c>
      <c r="B1533">
        <v>3</v>
      </c>
      <c r="C1533" t="s">
        <v>239</v>
      </c>
      <c r="D1533" t="s">
        <v>8894</v>
      </c>
      <c r="E1533" t="s">
        <v>7662</v>
      </c>
      <c r="F1533" t="s">
        <v>369</v>
      </c>
      <c r="H1533" s="34">
        <v>8590</v>
      </c>
      <c r="I1533" s="53"/>
    </row>
    <row r="1534" spans="1:9" x14ac:dyDescent="0.3">
      <c r="A1534" t="str">
        <f t="shared" si="23"/>
        <v>4North Tyneside</v>
      </c>
      <c r="B1534">
        <v>4</v>
      </c>
      <c r="C1534" t="s">
        <v>239</v>
      </c>
      <c r="D1534" t="s">
        <v>8895</v>
      </c>
      <c r="E1534" t="s">
        <v>7662</v>
      </c>
      <c r="H1534" s="34">
        <v>9024</v>
      </c>
      <c r="I1534" s="53"/>
    </row>
    <row r="1535" spans="1:9" x14ac:dyDescent="0.3">
      <c r="A1535" t="str">
        <f t="shared" si="23"/>
        <v>5North Tyneside</v>
      </c>
      <c r="B1535">
        <v>5</v>
      </c>
      <c r="C1535" t="s">
        <v>239</v>
      </c>
      <c r="D1535" t="s">
        <v>1578</v>
      </c>
      <c r="E1535" t="s">
        <v>800</v>
      </c>
      <c r="F1535" t="s">
        <v>903</v>
      </c>
      <c r="H1535" s="34">
        <v>50000</v>
      </c>
      <c r="I1535" s="53"/>
    </row>
    <row r="1536" spans="1:9" x14ac:dyDescent="0.3">
      <c r="A1536" t="str">
        <f t="shared" si="23"/>
        <v>6North Tyneside</v>
      </c>
      <c r="B1536">
        <v>6</v>
      </c>
      <c r="C1536" t="s">
        <v>239</v>
      </c>
      <c r="D1536" t="s">
        <v>8896</v>
      </c>
      <c r="E1536" t="s">
        <v>806</v>
      </c>
      <c r="F1536" t="s">
        <v>807</v>
      </c>
      <c r="H1536" s="34">
        <v>197948</v>
      </c>
      <c r="I1536" s="53"/>
    </row>
    <row r="1537" spans="1:9" x14ac:dyDescent="0.3">
      <c r="A1537" t="str">
        <f t="shared" si="23"/>
        <v>7North Tyneside</v>
      </c>
      <c r="B1537">
        <v>7</v>
      </c>
      <c r="C1537" t="s">
        <v>239</v>
      </c>
      <c r="D1537" t="s">
        <v>8897</v>
      </c>
      <c r="E1537" t="s">
        <v>842</v>
      </c>
      <c r="F1537" t="s">
        <v>1594</v>
      </c>
      <c r="H1537" s="34">
        <v>200000</v>
      </c>
      <c r="I1537" s="53"/>
    </row>
    <row r="1538" spans="1:9" x14ac:dyDescent="0.3">
      <c r="A1538" t="str">
        <f t="shared" ref="A1538:A1601" si="24">B1538&amp;C1538</f>
        <v>8North Tyneside</v>
      </c>
      <c r="B1538">
        <v>8</v>
      </c>
      <c r="C1538" t="s">
        <v>239</v>
      </c>
      <c r="D1538" t="s">
        <v>8898</v>
      </c>
      <c r="E1538" t="s">
        <v>842</v>
      </c>
      <c r="F1538" t="s">
        <v>7636</v>
      </c>
      <c r="H1538" s="34">
        <v>146000</v>
      </c>
      <c r="I1538" s="53"/>
    </row>
    <row r="1539" spans="1:9" x14ac:dyDescent="0.3">
      <c r="A1539" t="str">
        <f t="shared" si="24"/>
        <v>9North Tyneside</v>
      </c>
      <c r="B1539">
        <v>9</v>
      </c>
      <c r="C1539" t="s">
        <v>239</v>
      </c>
      <c r="D1539" t="s">
        <v>8899</v>
      </c>
      <c r="E1539" t="s">
        <v>1106</v>
      </c>
      <c r="F1539" t="s">
        <v>7628</v>
      </c>
      <c r="H1539" s="34">
        <v>30000</v>
      </c>
      <c r="I1539" s="53"/>
    </row>
    <row r="1540" spans="1:9" x14ac:dyDescent="0.3">
      <c r="A1540" t="str">
        <f t="shared" si="24"/>
        <v>10North Tyneside</v>
      </c>
      <c r="B1540">
        <v>10</v>
      </c>
      <c r="C1540" t="s">
        <v>239</v>
      </c>
      <c r="D1540" t="s">
        <v>8900</v>
      </c>
      <c r="E1540" t="s">
        <v>842</v>
      </c>
      <c r="F1540" t="s">
        <v>7636</v>
      </c>
      <c r="H1540" s="34">
        <v>102000</v>
      </c>
      <c r="I1540" s="53"/>
    </row>
    <row r="1541" spans="1:9" x14ac:dyDescent="0.3">
      <c r="A1541" t="str">
        <f t="shared" si="24"/>
        <v>11North Tyneside</v>
      </c>
      <c r="B1541">
        <v>11</v>
      </c>
      <c r="C1541" t="s">
        <v>239</v>
      </c>
      <c r="D1541" t="s">
        <v>8901</v>
      </c>
      <c r="E1541" t="s">
        <v>806</v>
      </c>
      <c r="F1541" t="s">
        <v>917</v>
      </c>
      <c r="H1541" s="34">
        <v>235000</v>
      </c>
      <c r="I1541" s="53"/>
    </row>
    <row r="1542" spans="1:9" x14ac:dyDescent="0.3">
      <c r="A1542" t="str">
        <f t="shared" si="24"/>
        <v>12North Tyneside</v>
      </c>
      <c r="B1542">
        <v>12</v>
      </c>
      <c r="C1542" t="s">
        <v>239</v>
      </c>
      <c r="D1542" t="s">
        <v>8902</v>
      </c>
      <c r="E1542" t="s">
        <v>842</v>
      </c>
      <c r="F1542" t="s">
        <v>7636</v>
      </c>
      <c r="H1542" s="34">
        <v>74000</v>
      </c>
      <c r="I1542" s="53"/>
    </row>
    <row r="1543" spans="1:9" x14ac:dyDescent="0.3">
      <c r="A1543" t="str">
        <f t="shared" si="24"/>
        <v>13North Tyneside</v>
      </c>
      <c r="B1543">
        <v>13</v>
      </c>
      <c r="C1543" t="s">
        <v>239</v>
      </c>
      <c r="D1543" t="s">
        <v>8903</v>
      </c>
      <c r="E1543" t="s">
        <v>1106</v>
      </c>
      <c r="F1543" t="s">
        <v>7628</v>
      </c>
      <c r="H1543" s="34">
        <v>235000</v>
      </c>
      <c r="I1543" s="53"/>
    </row>
    <row r="1544" spans="1:9" x14ac:dyDescent="0.3">
      <c r="A1544" t="str">
        <f t="shared" si="24"/>
        <v>14North Tyneside</v>
      </c>
      <c r="B1544">
        <v>14</v>
      </c>
      <c r="C1544" t="s">
        <v>239</v>
      </c>
      <c r="D1544" t="s">
        <v>8904</v>
      </c>
      <c r="E1544" t="s">
        <v>806</v>
      </c>
      <c r="F1544" t="s">
        <v>807</v>
      </c>
      <c r="H1544" s="34">
        <v>399641</v>
      </c>
      <c r="I1544" s="53"/>
    </row>
    <row r="1545" spans="1:9" x14ac:dyDescent="0.3">
      <c r="A1545" t="str">
        <f t="shared" si="24"/>
        <v>15North Tyneside</v>
      </c>
      <c r="B1545">
        <v>15</v>
      </c>
      <c r="C1545" t="s">
        <v>239</v>
      </c>
      <c r="D1545" t="s">
        <v>8905</v>
      </c>
      <c r="E1545" t="s">
        <v>812</v>
      </c>
      <c r="H1545" s="34">
        <v>10000</v>
      </c>
      <c r="I1545" s="53"/>
    </row>
    <row r="1546" spans="1:9" x14ac:dyDescent="0.3">
      <c r="A1546" t="str">
        <f t="shared" si="24"/>
        <v>1North Yorkshire</v>
      </c>
      <c r="B1546">
        <v>1</v>
      </c>
      <c r="C1546" t="s">
        <v>241</v>
      </c>
      <c r="D1546" t="s">
        <v>8906</v>
      </c>
      <c r="E1546" t="s">
        <v>806</v>
      </c>
      <c r="F1546" t="s">
        <v>7642</v>
      </c>
      <c r="H1546" s="34">
        <v>100000</v>
      </c>
      <c r="I1546" s="53"/>
    </row>
    <row r="1547" spans="1:9" x14ac:dyDescent="0.3">
      <c r="A1547" t="str">
        <f t="shared" si="24"/>
        <v>2North Yorkshire</v>
      </c>
      <c r="B1547">
        <v>2</v>
      </c>
      <c r="C1547" t="s">
        <v>241</v>
      </c>
      <c r="D1547" t="s">
        <v>8907</v>
      </c>
      <c r="E1547" t="s">
        <v>842</v>
      </c>
      <c r="F1547" t="s">
        <v>843</v>
      </c>
      <c r="H1547" s="34">
        <v>700000</v>
      </c>
      <c r="I1547" s="53"/>
    </row>
    <row r="1548" spans="1:9" x14ac:dyDescent="0.3">
      <c r="A1548" t="str">
        <f t="shared" si="24"/>
        <v>3North Yorkshire</v>
      </c>
      <c r="B1548">
        <v>3</v>
      </c>
      <c r="C1548" t="s">
        <v>241</v>
      </c>
      <c r="D1548" t="s">
        <v>7749</v>
      </c>
      <c r="E1548" t="s">
        <v>7662</v>
      </c>
      <c r="H1548" s="34">
        <v>57307.89</v>
      </c>
      <c r="I1548" s="53"/>
    </row>
    <row r="1549" spans="1:9" x14ac:dyDescent="0.3">
      <c r="A1549" t="str">
        <f t="shared" si="24"/>
        <v>4North Yorkshire</v>
      </c>
      <c r="B1549">
        <v>4</v>
      </c>
      <c r="C1549" t="s">
        <v>241</v>
      </c>
      <c r="D1549" t="s">
        <v>8908</v>
      </c>
      <c r="E1549" t="s">
        <v>1106</v>
      </c>
      <c r="F1549" t="s">
        <v>7628</v>
      </c>
      <c r="H1549" s="34">
        <v>142000</v>
      </c>
      <c r="I1549" s="53"/>
    </row>
    <row r="1550" spans="1:9" x14ac:dyDescent="0.3">
      <c r="A1550" t="str">
        <f t="shared" si="24"/>
        <v>5North Yorkshire</v>
      </c>
      <c r="B1550">
        <v>5</v>
      </c>
      <c r="C1550" t="s">
        <v>241</v>
      </c>
      <c r="D1550" t="s">
        <v>8909</v>
      </c>
      <c r="E1550" t="s">
        <v>806</v>
      </c>
      <c r="F1550" t="s">
        <v>807</v>
      </c>
      <c r="H1550" s="34">
        <v>90000</v>
      </c>
      <c r="I1550" s="53"/>
    </row>
    <row r="1551" spans="1:9" x14ac:dyDescent="0.3">
      <c r="A1551" t="str">
        <f t="shared" si="24"/>
        <v>6North Yorkshire</v>
      </c>
      <c r="B1551">
        <v>6</v>
      </c>
      <c r="C1551" t="s">
        <v>241</v>
      </c>
      <c r="D1551" t="s">
        <v>8910</v>
      </c>
      <c r="E1551" t="s">
        <v>806</v>
      </c>
      <c r="F1551" t="s">
        <v>7642</v>
      </c>
      <c r="H1551" s="34">
        <v>153000</v>
      </c>
      <c r="I1551" s="53"/>
    </row>
    <row r="1552" spans="1:9" x14ac:dyDescent="0.3">
      <c r="A1552" t="str">
        <f t="shared" si="24"/>
        <v>7North Yorkshire</v>
      </c>
      <c r="B1552">
        <v>7</v>
      </c>
      <c r="C1552" t="s">
        <v>241</v>
      </c>
      <c r="D1552" t="s">
        <v>8911</v>
      </c>
      <c r="E1552" t="s">
        <v>7649</v>
      </c>
      <c r="F1552" t="s">
        <v>7638</v>
      </c>
      <c r="H1552" s="34">
        <v>125000</v>
      </c>
      <c r="I1552" s="53"/>
    </row>
    <row r="1553" spans="1:9" x14ac:dyDescent="0.3">
      <c r="A1553" t="str">
        <f t="shared" si="24"/>
        <v>8North Yorkshire</v>
      </c>
      <c r="B1553">
        <v>8</v>
      </c>
      <c r="C1553" t="s">
        <v>241</v>
      </c>
      <c r="D1553" t="s">
        <v>8912</v>
      </c>
      <c r="E1553" t="s">
        <v>1106</v>
      </c>
      <c r="F1553" t="s">
        <v>7628</v>
      </c>
      <c r="H1553" s="34">
        <v>200000</v>
      </c>
      <c r="I1553" s="53"/>
    </row>
    <row r="1554" spans="1:9" x14ac:dyDescent="0.3">
      <c r="A1554" t="str">
        <f t="shared" si="24"/>
        <v>9North Yorkshire</v>
      </c>
      <c r="B1554">
        <v>9</v>
      </c>
      <c r="C1554" t="s">
        <v>241</v>
      </c>
      <c r="D1554" t="s">
        <v>8913</v>
      </c>
      <c r="E1554" t="s">
        <v>842</v>
      </c>
      <c r="F1554" t="s">
        <v>812</v>
      </c>
      <c r="H1554" s="34">
        <v>500000</v>
      </c>
      <c r="I1554" s="53"/>
    </row>
    <row r="1555" spans="1:9" x14ac:dyDescent="0.3">
      <c r="A1555" t="str">
        <f t="shared" si="24"/>
        <v>10North Yorkshire</v>
      </c>
      <c r="B1555">
        <v>10</v>
      </c>
      <c r="C1555" t="s">
        <v>241</v>
      </c>
      <c r="D1555" t="s">
        <v>8914</v>
      </c>
      <c r="E1555" t="s">
        <v>842</v>
      </c>
      <c r="F1555" t="s">
        <v>843</v>
      </c>
      <c r="H1555" s="34">
        <v>130000</v>
      </c>
      <c r="I1555" s="53"/>
    </row>
    <row r="1556" spans="1:9" x14ac:dyDescent="0.3">
      <c r="A1556" t="str">
        <f t="shared" si="24"/>
        <v>11North Yorkshire</v>
      </c>
      <c r="B1556">
        <v>11</v>
      </c>
      <c r="C1556" t="s">
        <v>241</v>
      </c>
      <c r="D1556" t="s">
        <v>8915</v>
      </c>
      <c r="E1556" t="s">
        <v>800</v>
      </c>
      <c r="F1556" t="s">
        <v>903</v>
      </c>
      <c r="H1556" s="34">
        <v>138000</v>
      </c>
      <c r="I1556" s="53"/>
    </row>
    <row r="1557" spans="1:9" x14ac:dyDescent="0.3">
      <c r="A1557" t="str">
        <f t="shared" si="24"/>
        <v>12North Yorkshire</v>
      </c>
      <c r="B1557">
        <v>12</v>
      </c>
      <c r="C1557" t="s">
        <v>241</v>
      </c>
      <c r="D1557" t="s">
        <v>8916</v>
      </c>
      <c r="E1557" t="s">
        <v>806</v>
      </c>
      <c r="H1557" s="34">
        <v>241000</v>
      </c>
      <c r="I1557" s="53"/>
    </row>
    <row r="1558" spans="1:9" x14ac:dyDescent="0.3">
      <c r="A1558" t="str">
        <f t="shared" si="24"/>
        <v>13North Yorkshire</v>
      </c>
      <c r="B1558">
        <v>13</v>
      </c>
      <c r="C1558" t="s">
        <v>241</v>
      </c>
      <c r="D1558" t="s">
        <v>8917</v>
      </c>
      <c r="E1558" t="s">
        <v>842</v>
      </c>
      <c r="F1558" t="s">
        <v>812</v>
      </c>
      <c r="H1558" s="34">
        <v>46000</v>
      </c>
      <c r="I1558" s="53"/>
    </row>
    <row r="1559" spans="1:9" x14ac:dyDescent="0.3">
      <c r="A1559" t="str">
        <f t="shared" si="24"/>
        <v>14North Yorkshire</v>
      </c>
      <c r="B1559">
        <v>14</v>
      </c>
      <c r="C1559" t="s">
        <v>241</v>
      </c>
      <c r="D1559" t="s">
        <v>7437</v>
      </c>
      <c r="E1559" t="s">
        <v>800</v>
      </c>
      <c r="H1559" s="34">
        <v>95000</v>
      </c>
      <c r="I1559" s="53"/>
    </row>
    <row r="1560" spans="1:9" x14ac:dyDescent="0.3">
      <c r="A1560" t="str">
        <f t="shared" si="24"/>
        <v>15North Yorkshire</v>
      </c>
      <c r="B1560">
        <v>15</v>
      </c>
      <c r="C1560" t="s">
        <v>241</v>
      </c>
      <c r="D1560" t="s">
        <v>8918</v>
      </c>
      <c r="E1560" t="s">
        <v>1106</v>
      </c>
      <c r="H1560" s="34">
        <v>60000</v>
      </c>
      <c r="I1560" s="53"/>
    </row>
    <row r="1561" spans="1:9" x14ac:dyDescent="0.3">
      <c r="A1561" t="str">
        <f t="shared" si="24"/>
        <v>16North Yorkshire</v>
      </c>
      <c r="B1561">
        <v>16</v>
      </c>
      <c r="C1561" t="s">
        <v>241</v>
      </c>
      <c r="D1561" t="s">
        <v>8919</v>
      </c>
      <c r="E1561" t="s">
        <v>1106</v>
      </c>
      <c r="F1561" t="s">
        <v>7628</v>
      </c>
      <c r="H1561" s="34">
        <v>255667</v>
      </c>
      <c r="I1561" s="53"/>
    </row>
    <row r="1562" spans="1:9" x14ac:dyDescent="0.3">
      <c r="A1562" t="str">
        <f t="shared" si="24"/>
        <v>17North Yorkshire</v>
      </c>
      <c r="B1562">
        <v>17</v>
      </c>
      <c r="C1562" t="s">
        <v>241</v>
      </c>
      <c r="D1562" t="s">
        <v>8920</v>
      </c>
      <c r="E1562" t="s">
        <v>842</v>
      </c>
      <c r="F1562" t="s">
        <v>7636</v>
      </c>
      <c r="H1562" s="34">
        <v>790000</v>
      </c>
      <c r="I1562" s="53"/>
    </row>
    <row r="1563" spans="1:9" x14ac:dyDescent="0.3">
      <c r="A1563" t="str">
        <f t="shared" si="24"/>
        <v>18North Yorkshire</v>
      </c>
      <c r="B1563">
        <v>18</v>
      </c>
      <c r="C1563" t="s">
        <v>241</v>
      </c>
      <c r="D1563" t="s">
        <v>8921</v>
      </c>
      <c r="E1563" t="s">
        <v>842</v>
      </c>
      <c r="F1563" t="s">
        <v>7636</v>
      </c>
      <c r="H1563" s="34">
        <v>14000</v>
      </c>
      <c r="I1563" s="53"/>
    </row>
    <row r="1564" spans="1:9" x14ac:dyDescent="0.3">
      <c r="A1564" t="str">
        <f t="shared" si="24"/>
        <v>19North Yorkshire</v>
      </c>
      <c r="B1564">
        <v>19</v>
      </c>
      <c r="C1564" t="s">
        <v>241</v>
      </c>
      <c r="D1564" t="s">
        <v>8922</v>
      </c>
      <c r="E1564" t="s">
        <v>1106</v>
      </c>
      <c r="H1564" s="34">
        <v>213000</v>
      </c>
      <c r="I1564" s="53"/>
    </row>
    <row r="1565" spans="1:9" x14ac:dyDescent="0.3">
      <c r="A1565" t="str">
        <f t="shared" si="24"/>
        <v>20North Yorkshire</v>
      </c>
      <c r="B1565">
        <v>20</v>
      </c>
      <c r="C1565" t="s">
        <v>241</v>
      </c>
      <c r="D1565" t="s">
        <v>8923</v>
      </c>
      <c r="E1565" t="s">
        <v>7657</v>
      </c>
      <c r="H1565" s="34">
        <v>249000</v>
      </c>
      <c r="I1565" s="53"/>
    </row>
    <row r="1566" spans="1:9" x14ac:dyDescent="0.3">
      <c r="A1566" t="str">
        <f t="shared" si="24"/>
        <v>21North Yorkshire</v>
      </c>
      <c r="B1566">
        <v>21</v>
      </c>
      <c r="C1566" t="s">
        <v>241</v>
      </c>
      <c r="D1566" t="s">
        <v>8924</v>
      </c>
      <c r="E1566" t="s">
        <v>842</v>
      </c>
      <c r="F1566" t="s">
        <v>812</v>
      </c>
      <c r="H1566" s="34">
        <v>35000</v>
      </c>
      <c r="I1566" s="53"/>
    </row>
    <row r="1567" spans="1:9" x14ac:dyDescent="0.3">
      <c r="A1567" t="str">
        <f t="shared" si="24"/>
        <v>22North Yorkshire</v>
      </c>
      <c r="B1567">
        <v>22</v>
      </c>
      <c r="C1567" t="s">
        <v>241</v>
      </c>
      <c r="D1567" t="s">
        <v>8925</v>
      </c>
      <c r="E1567" t="s">
        <v>806</v>
      </c>
      <c r="F1567" t="s">
        <v>812</v>
      </c>
      <c r="H1567" s="34">
        <v>20226</v>
      </c>
      <c r="I1567" s="53"/>
    </row>
    <row r="1568" spans="1:9" x14ac:dyDescent="0.3">
      <c r="A1568" t="str">
        <f t="shared" si="24"/>
        <v>23North Yorkshire</v>
      </c>
      <c r="B1568">
        <v>23</v>
      </c>
      <c r="C1568" t="s">
        <v>241</v>
      </c>
      <c r="D1568" t="s">
        <v>8662</v>
      </c>
      <c r="E1568" t="s">
        <v>5266</v>
      </c>
      <c r="F1568" t="s">
        <v>7646</v>
      </c>
      <c r="H1568" s="34">
        <v>500000</v>
      </c>
      <c r="I1568" s="53"/>
    </row>
    <row r="1569" spans="1:9" x14ac:dyDescent="0.3">
      <c r="A1569" t="str">
        <f t="shared" si="24"/>
        <v>24North Yorkshire</v>
      </c>
      <c r="B1569">
        <v>24</v>
      </c>
      <c r="C1569" t="s">
        <v>241</v>
      </c>
      <c r="D1569" t="s">
        <v>1006</v>
      </c>
      <c r="E1569" t="s">
        <v>7657</v>
      </c>
      <c r="H1569" s="34">
        <v>200000</v>
      </c>
      <c r="I1569" s="53"/>
    </row>
    <row r="1570" spans="1:9" x14ac:dyDescent="0.3">
      <c r="A1570" t="str">
        <f t="shared" si="24"/>
        <v>25North Yorkshire</v>
      </c>
      <c r="B1570">
        <v>25</v>
      </c>
      <c r="C1570" t="s">
        <v>241</v>
      </c>
      <c r="D1570" t="s">
        <v>8926</v>
      </c>
      <c r="E1570" t="s">
        <v>842</v>
      </c>
      <c r="F1570" t="s">
        <v>812</v>
      </c>
      <c r="H1570" s="34">
        <v>75000</v>
      </c>
      <c r="I1570" s="53"/>
    </row>
    <row r="1571" spans="1:9" x14ac:dyDescent="0.3">
      <c r="A1571" t="str">
        <f t="shared" si="24"/>
        <v>26North Yorkshire</v>
      </c>
      <c r="B1571">
        <v>26</v>
      </c>
      <c r="C1571" t="s">
        <v>241</v>
      </c>
      <c r="D1571" t="s">
        <v>8927</v>
      </c>
      <c r="E1571" t="s">
        <v>812</v>
      </c>
      <c r="F1571" t="s">
        <v>812</v>
      </c>
      <c r="H1571" s="34">
        <v>50000</v>
      </c>
      <c r="I1571" s="53"/>
    </row>
    <row r="1572" spans="1:9" x14ac:dyDescent="0.3">
      <c r="A1572" t="str">
        <f t="shared" si="24"/>
        <v>27North Yorkshire</v>
      </c>
      <c r="B1572">
        <v>27</v>
      </c>
      <c r="C1572" t="s">
        <v>241</v>
      </c>
      <c r="D1572" t="s">
        <v>8928</v>
      </c>
      <c r="E1572" t="s">
        <v>812</v>
      </c>
      <c r="H1572" s="34">
        <v>228000</v>
      </c>
      <c r="I1572" s="53"/>
    </row>
    <row r="1573" spans="1:9" x14ac:dyDescent="0.3">
      <c r="A1573" t="str">
        <f t="shared" si="24"/>
        <v>28North Yorkshire</v>
      </c>
      <c r="B1573">
        <v>28</v>
      </c>
      <c r="C1573" t="s">
        <v>241</v>
      </c>
      <c r="D1573" t="s">
        <v>8929</v>
      </c>
      <c r="E1573" t="s">
        <v>1106</v>
      </c>
      <c r="F1573" t="s">
        <v>7628</v>
      </c>
      <c r="H1573" s="34">
        <v>500000</v>
      </c>
      <c r="I1573" s="53"/>
    </row>
    <row r="1574" spans="1:9" x14ac:dyDescent="0.3">
      <c r="A1574" t="str">
        <f t="shared" si="24"/>
        <v>29North Yorkshire</v>
      </c>
      <c r="B1574">
        <v>29</v>
      </c>
      <c r="C1574" t="s">
        <v>241</v>
      </c>
      <c r="D1574" t="s">
        <v>8930</v>
      </c>
      <c r="E1574" t="s">
        <v>842</v>
      </c>
      <c r="F1574" t="s">
        <v>812</v>
      </c>
      <c r="H1574" s="34">
        <v>120000</v>
      </c>
      <c r="I1574" s="53"/>
    </row>
    <row r="1575" spans="1:9" x14ac:dyDescent="0.3">
      <c r="A1575" t="str">
        <f t="shared" si="24"/>
        <v>1Northumberland</v>
      </c>
      <c r="B1575">
        <v>1</v>
      </c>
      <c r="C1575" t="s">
        <v>243</v>
      </c>
      <c r="D1575" t="s">
        <v>8931</v>
      </c>
      <c r="E1575" t="s">
        <v>7662</v>
      </c>
      <c r="H1575" s="34">
        <v>25995</v>
      </c>
      <c r="I1575" s="53"/>
    </row>
    <row r="1576" spans="1:9" x14ac:dyDescent="0.3">
      <c r="A1576" t="str">
        <f t="shared" si="24"/>
        <v>2Northumberland</v>
      </c>
      <c r="B1576">
        <v>2</v>
      </c>
      <c r="C1576" t="s">
        <v>243</v>
      </c>
      <c r="D1576" t="s">
        <v>8932</v>
      </c>
      <c r="E1576" t="s">
        <v>5266</v>
      </c>
      <c r="F1576" t="s">
        <v>7646</v>
      </c>
      <c r="H1576" s="34">
        <v>940000</v>
      </c>
      <c r="I1576" s="53"/>
    </row>
    <row r="1577" spans="1:9" x14ac:dyDescent="0.3">
      <c r="A1577" t="str">
        <f t="shared" si="24"/>
        <v>3Northumberland</v>
      </c>
      <c r="B1577">
        <v>3</v>
      </c>
      <c r="C1577" t="s">
        <v>243</v>
      </c>
      <c r="D1577" t="s">
        <v>8933</v>
      </c>
      <c r="E1577" t="s">
        <v>5266</v>
      </c>
      <c r="F1577" t="s">
        <v>7646</v>
      </c>
      <c r="H1577" s="34">
        <v>608000</v>
      </c>
      <c r="I1577" s="53"/>
    </row>
    <row r="1578" spans="1:9" x14ac:dyDescent="0.3">
      <c r="A1578" t="str">
        <f t="shared" si="24"/>
        <v>4Northumberland</v>
      </c>
      <c r="B1578">
        <v>4</v>
      </c>
      <c r="C1578" t="s">
        <v>243</v>
      </c>
      <c r="D1578" t="s">
        <v>8934</v>
      </c>
      <c r="E1578" t="s">
        <v>842</v>
      </c>
      <c r="F1578" t="s">
        <v>843</v>
      </c>
      <c r="H1578" s="34">
        <v>500000</v>
      </c>
      <c r="I1578" s="53"/>
    </row>
    <row r="1579" spans="1:9" x14ac:dyDescent="0.3">
      <c r="A1579" t="str">
        <f t="shared" si="24"/>
        <v>5Northumberland</v>
      </c>
      <c r="B1579">
        <v>5</v>
      </c>
      <c r="C1579" t="s">
        <v>243</v>
      </c>
      <c r="D1579" t="s">
        <v>8935</v>
      </c>
      <c r="E1579" t="s">
        <v>800</v>
      </c>
      <c r="F1579" t="s">
        <v>812</v>
      </c>
      <c r="H1579" s="34">
        <v>200595.86</v>
      </c>
      <c r="I1579" s="53"/>
    </row>
    <row r="1580" spans="1:9" x14ac:dyDescent="0.3">
      <c r="A1580" t="str">
        <f t="shared" si="24"/>
        <v>6Northumberland</v>
      </c>
      <c r="B1580">
        <v>6</v>
      </c>
      <c r="C1580" t="s">
        <v>243</v>
      </c>
      <c r="D1580" t="s">
        <v>8936</v>
      </c>
      <c r="E1580" t="s">
        <v>806</v>
      </c>
      <c r="F1580" t="s">
        <v>812</v>
      </c>
      <c r="H1580" s="34">
        <v>100000</v>
      </c>
      <c r="I1580" s="53"/>
    </row>
    <row r="1581" spans="1:9" x14ac:dyDescent="0.3">
      <c r="A1581" t="str">
        <f t="shared" si="24"/>
        <v>7Northumberland</v>
      </c>
      <c r="B1581">
        <v>7</v>
      </c>
      <c r="C1581" t="s">
        <v>243</v>
      </c>
      <c r="D1581" t="s">
        <v>8937</v>
      </c>
      <c r="E1581" t="s">
        <v>806</v>
      </c>
      <c r="F1581" t="s">
        <v>812</v>
      </c>
      <c r="H1581" s="34">
        <v>135000</v>
      </c>
      <c r="I1581" s="53"/>
    </row>
    <row r="1582" spans="1:9" x14ac:dyDescent="0.3">
      <c r="A1582" t="str">
        <f t="shared" si="24"/>
        <v>8Northumberland</v>
      </c>
      <c r="B1582">
        <v>8</v>
      </c>
      <c r="C1582" t="s">
        <v>243</v>
      </c>
      <c r="D1582" t="s">
        <v>8938</v>
      </c>
      <c r="E1582" t="s">
        <v>842</v>
      </c>
      <c r="F1582" t="s">
        <v>7636</v>
      </c>
      <c r="H1582" s="34">
        <v>50000</v>
      </c>
      <c r="I1582" s="53"/>
    </row>
    <row r="1583" spans="1:9" x14ac:dyDescent="0.3">
      <c r="A1583" t="str">
        <f t="shared" si="24"/>
        <v>9Northumberland</v>
      </c>
      <c r="B1583">
        <v>9</v>
      </c>
      <c r="C1583" t="s">
        <v>243</v>
      </c>
      <c r="D1583" t="s">
        <v>8939</v>
      </c>
      <c r="E1583" t="s">
        <v>806</v>
      </c>
      <c r="F1583" t="s">
        <v>917</v>
      </c>
      <c r="H1583" s="34">
        <v>40000</v>
      </c>
      <c r="I1583" s="53"/>
    </row>
    <row r="1584" spans="1:9" x14ac:dyDescent="0.3">
      <c r="A1584" t="str">
        <f t="shared" si="24"/>
        <v>1Nottingham</v>
      </c>
      <c r="B1584">
        <v>1</v>
      </c>
      <c r="C1584" t="s">
        <v>245</v>
      </c>
      <c r="D1584" t="s">
        <v>8940</v>
      </c>
      <c r="E1584" t="s">
        <v>7649</v>
      </c>
      <c r="F1584" t="s">
        <v>7638</v>
      </c>
      <c r="H1584" s="34">
        <v>37684</v>
      </c>
      <c r="I1584" s="53"/>
    </row>
    <row r="1585" spans="1:9" x14ac:dyDescent="0.3">
      <c r="A1585" t="str">
        <f t="shared" si="24"/>
        <v>2Nottingham</v>
      </c>
      <c r="B1585">
        <v>2</v>
      </c>
      <c r="C1585" t="s">
        <v>245</v>
      </c>
      <c r="D1585" t="s">
        <v>8941</v>
      </c>
      <c r="E1585" t="s">
        <v>7657</v>
      </c>
      <c r="F1585" t="s">
        <v>7632</v>
      </c>
      <c r="H1585" s="34">
        <v>228958</v>
      </c>
      <c r="I1585" s="53"/>
    </row>
    <row r="1586" spans="1:9" x14ac:dyDescent="0.3">
      <c r="A1586" t="str">
        <f t="shared" si="24"/>
        <v>3Nottingham</v>
      </c>
      <c r="B1586">
        <v>3</v>
      </c>
      <c r="C1586" t="s">
        <v>245</v>
      </c>
      <c r="D1586" t="s">
        <v>8942</v>
      </c>
      <c r="E1586" t="s">
        <v>842</v>
      </c>
      <c r="F1586" t="s">
        <v>843</v>
      </c>
      <c r="H1586" s="34">
        <v>228798</v>
      </c>
      <c r="I1586" s="53"/>
    </row>
    <row r="1587" spans="1:9" x14ac:dyDescent="0.3">
      <c r="A1587" t="str">
        <f t="shared" si="24"/>
        <v>4Nottingham</v>
      </c>
      <c r="B1587">
        <v>4</v>
      </c>
      <c r="C1587" t="s">
        <v>245</v>
      </c>
      <c r="D1587" t="s">
        <v>8943</v>
      </c>
      <c r="E1587" t="s">
        <v>842</v>
      </c>
      <c r="F1587" t="s">
        <v>843</v>
      </c>
      <c r="H1587" s="34">
        <v>16528</v>
      </c>
      <c r="I1587" s="53"/>
    </row>
    <row r="1588" spans="1:9" x14ac:dyDescent="0.3">
      <c r="A1588" t="str">
        <f t="shared" si="24"/>
        <v>5Nottingham</v>
      </c>
      <c r="B1588">
        <v>5</v>
      </c>
      <c r="C1588" t="s">
        <v>245</v>
      </c>
      <c r="D1588" t="s">
        <v>8944</v>
      </c>
      <c r="E1588" t="s">
        <v>1113</v>
      </c>
      <c r="F1588" t="s">
        <v>7629</v>
      </c>
      <c r="H1588" s="34">
        <v>172000</v>
      </c>
      <c r="I1588" s="53"/>
    </row>
    <row r="1589" spans="1:9" x14ac:dyDescent="0.3">
      <c r="A1589" t="str">
        <f t="shared" si="24"/>
        <v>6Nottingham</v>
      </c>
      <c r="B1589">
        <v>6</v>
      </c>
      <c r="C1589" t="s">
        <v>245</v>
      </c>
      <c r="D1589" t="s">
        <v>8945</v>
      </c>
      <c r="E1589" t="s">
        <v>842</v>
      </c>
      <c r="F1589" t="s">
        <v>812</v>
      </c>
      <c r="H1589" s="34">
        <v>30000</v>
      </c>
      <c r="I1589" s="53"/>
    </row>
    <row r="1590" spans="1:9" x14ac:dyDescent="0.3">
      <c r="A1590" t="str">
        <f t="shared" si="24"/>
        <v>7Nottingham</v>
      </c>
      <c r="B1590">
        <v>7</v>
      </c>
      <c r="C1590" t="s">
        <v>245</v>
      </c>
      <c r="D1590" t="s">
        <v>8946</v>
      </c>
      <c r="E1590" t="s">
        <v>7649</v>
      </c>
      <c r="F1590" t="s">
        <v>7638</v>
      </c>
      <c r="H1590" s="34">
        <v>134502</v>
      </c>
      <c r="I1590" s="53"/>
    </row>
    <row r="1591" spans="1:9" x14ac:dyDescent="0.3">
      <c r="A1591" t="str">
        <f t="shared" si="24"/>
        <v>8Nottingham</v>
      </c>
      <c r="B1591">
        <v>8</v>
      </c>
      <c r="C1591" t="s">
        <v>245</v>
      </c>
      <c r="D1591" t="s">
        <v>8947</v>
      </c>
      <c r="E1591" t="s">
        <v>5266</v>
      </c>
      <c r="F1591" t="s">
        <v>7631</v>
      </c>
      <c r="H1591" s="34">
        <v>172948</v>
      </c>
      <c r="I1591" s="53"/>
    </row>
    <row r="1592" spans="1:9" x14ac:dyDescent="0.3">
      <c r="A1592" t="str">
        <f t="shared" si="24"/>
        <v>9Nottingham</v>
      </c>
      <c r="B1592">
        <v>9</v>
      </c>
      <c r="C1592" t="s">
        <v>245</v>
      </c>
      <c r="D1592" t="s">
        <v>8948</v>
      </c>
      <c r="E1592" t="s">
        <v>842</v>
      </c>
      <c r="F1592" t="s">
        <v>843</v>
      </c>
      <c r="H1592" s="34">
        <v>275162</v>
      </c>
      <c r="I1592" s="53"/>
    </row>
    <row r="1593" spans="1:9" x14ac:dyDescent="0.3">
      <c r="A1593" t="str">
        <f t="shared" si="24"/>
        <v>10Nottingham</v>
      </c>
      <c r="B1593">
        <v>10</v>
      </c>
      <c r="C1593" t="s">
        <v>245</v>
      </c>
      <c r="D1593" t="s">
        <v>8948</v>
      </c>
      <c r="E1593" t="s">
        <v>806</v>
      </c>
      <c r="F1593" t="s">
        <v>807</v>
      </c>
      <c r="H1593" s="34">
        <v>465892</v>
      </c>
      <c r="I1593" s="53"/>
    </row>
    <row r="1594" spans="1:9" x14ac:dyDescent="0.3">
      <c r="A1594" t="str">
        <f t="shared" si="24"/>
        <v>11Nottingham</v>
      </c>
      <c r="B1594">
        <v>11</v>
      </c>
      <c r="C1594" t="s">
        <v>245</v>
      </c>
      <c r="D1594" t="s">
        <v>8949</v>
      </c>
      <c r="E1594" t="s">
        <v>7649</v>
      </c>
      <c r="F1594" t="s">
        <v>7638</v>
      </c>
      <c r="H1594" s="34">
        <v>23700</v>
      </c>
      <c r="I1594" s="53"/>
    </row>
    <row r="1595" spans="1:9" x14ac:dyDescent="0.3">
      <c r="A1595" t="str">
        <f t="shared" si="24"/>
        <v>12Nottingham</v>
      </c>
      <c r="B1595">
        <v>12</v>
      </c>
      <c r="C1595" t="s">
        <v>245</v>
      </c>
      <c r="D1595" t="s">
        <v>8950</v>
      </c>
      <c r="E1595" t="s">
        <v>1113</v>
      </c>
      <c r="F1595" t="s">
        <v>7629</v>
      </c>
      <c r="H1595" s="34">
        <v>233824</v>
      </c>
      <c r="I1595" s="53"/>
    </row>
    <row r="1596" spans="1:9" x14ac:dyDescent="0.3">
      <c r="A1596" t="str">
        <f t="shared" si="24"/>
        <v>13Nottingham</v>
      </c>
      <c r="B1596">
        <v>13</v>
      </c>
      <c r="C1596" t="s">
        <v>245</v>
      </c>
      <c r="D1596" t="s">
        <v>4829</v>
      </c>
      <c r="E1596" t="s">
        <v>1113</v>
      </c>
      <c r="F1596" t="s">
        <v>7629</v>
      </c>
      <c r="H1596" s="34">
        <v>1121690</v>
      </c>
      <c r="I1596" s="53"/>
    </row>
    <row r="1597" spans="1:9" x14ac:dyDescent="0.3">
      <c r="A1597" t="str">
        <f t="shared" si="24"/>
        <v>14Nottingham</v>
      </c>
      <c r="B1597">
        <v>14</v>
      </c>
      <c r="C1597" t="s">
        <v>245</v>
      </c>
      <c r="D1597" t="s">
        <v>8951</v>
      </c>
      <c r="E1597" t="s">
        <v>1113</v>
      </c>
      <c r="F1597" t="s">
        <v>7637</v>
      </c>
      <c r="H1597" s="34">
        <v>6717</v>
      </c>
      <c r="I1597" s="53"/>
    </row>
    <row r="1598" spans="1:9" x14ac:dyDescent="0.3">
      <c r="A1598" t="str">
        <f t="shared" si="24"/>
        <v>15Nottingham</v>
      </c>
      <c r="B1598">
        <v>15</v>
      </c>
      <c r="C1598" t="s">
        <v>245</v>
      </c>
      <c r="D1598" t="s">
        <v>8952</v>
      </c>
      <c r="E1598" t="s">
        <v>7658</v>
      </c>
      <c r="H1598" s="34">
        <v>76547</v>
      </c>
      <c r="I1598" s="53"/>
    </row>
    <row r="1599" spans="1:9" x14ac:dyDescent="0.3">
      <c r="A1599" t="str">
        <f t="shared" si="24"/>
        <v>16Nottingham</v>
      </c>
      <c r="B1599">
        <v>16</v>
      </c>
      <c r="C1599" t="s">
        <v>245</v>
      </c>
      <c r="D1599" t="s">
        <v>8953</v>
      </c>
      <c r="E1599" t="s">
        <v>842</v>
      </c>
      <c r="F1599" t="s">
        <v>812</v>
      </c>
      <c r="H1599" s="34">
        <v>36553</v>
      </c>
      <c r="I1599" s="53"/>
    </row>
    <row r="1600" spans="1:9" x14ac:dyDescent="0.3">
      <c r="A1600" t="str">
        <f t="shared" si="24"/>
        <v>17Nottingham</v>
      </c>
      <c r="B1600">
        <v>17</v>
      </c>
      <c r="C1600" t="s">
        <v>245</v>
      </c>
      <c r="D1600" t="s">
        <v>8954</v>
      </c>
      <c r="E1600" t="s">
        <v>5266</v>
      </c>
      <c r="F1600" t="s">
        <v>7643</v>
      </c>
      <c r="H1600" s="34">
        <v>19102</v>
      </c>
      <c r="I1600" s="53"/>
    </row>
    <row r="1601" spans="1:9" x14ac:dyDescent="0.3">
      <c r="A1601" t="str">
        <f t="shared" si="24"/>
        <v>1Nottinghamshire</v>
      </c>
      <c r="B1601">
        <v>1</v>
      </c>
      <c r="C1601" t="s">
        <v>247</v>
      </c>
      <c r="D1601" t="s">
        <v>8955</v>
      </c>
      <c r="E1601" t="s">
        <v>842</v>
      </c>
      <c r="F1601" t="s">
        <v>7636</v>
      </c>
      <c r="H1601" s="34">
        <v>300000</v>
      </c>
      <c r="I1601" s="53"/>
    </row>
    <row r="1602" spans="1:9" x14ac:dyDescent="0.3">
      <c r="A1602" t="str">
        <f t="shared" ref="A1602:A1665" si="25">B1602&amp;C1602</f>
        <v>2Nottinghamshire</v>
      </c>
      <c r="B1602">
        <v>2</v>
      </c>
      <c r="C1602" t="s">
        <v>247</v>
      </c>
      <c r="D1602" t="s">
        <v>8956</v>
      </c>
      <c r="E1602" t="s">
        <v>7658</v>
      </c>
      <c r="F1602" t="s">
        <v>7704</v>
      </c>
      <c r="H1602" s="34">
        <v>90000</v>
      </c>
      <c r="I1602" s="53"/>
    </row>
    <row r="1603" spans="1:9" x14ac:dyDescent="0.3">
      <c r="A1603" t="str">
        <f t="shared" si="25"/>
        <v>3Nottinghamshire</v>
      </c>
      <c r="B1603">
        <v>3</v>
      </c>
      <c r="C1603" t="s">
        <v>247</v>
      </c>
      <c r="D1603" t="s">
        <v>8957</v>
      </c>
      <c r="E1603" t="s">
        <v>7657</v>
      </c>
      <c r="F1603" t="s">
        <v>7632</v>
      </c>
      <c r="H1603" s="34">
        <v>30000</v>
      </c>
      <c r="I1603" s="53"/>
    </row>
    <row r="1604" spans="1:9" x14ac:dyDescent="0.3">
      <c r="A1604" t="str">
        <f t="shared" si="25"/>
        <v>4Nottinghamshire</v>
      </c>
      <c r="B1604">
        <v>4</v>
      </c>
      <c r="C1604" t="s">
        <v>247</v>
      </c>
      <c r="D1604" t="s">
        <v>8958</v>
      </c>
      <c r="E1604" t="s">
        <v>7649</v>
      </c>
      <c r="F1604" t="s">
        <v>7638</v>
      </c>
      <c r="H1604" s="34">
        <v>132378</v>
      </c>
      <c r="I1604" s="53"/>
    </row>
    <row r="1605" spans="1:9" x14ac:dyDescent="0.3">
      <c r="A1605" t="str">
        <f t="shared" si="25"/>
        <v>5Nottinghamshire</v>
      </c>
      <c r="B1605">
        <v>5</v>
      </c>
      <c r="C1605" t="s">
        <v>247</v>
      </c>
      <c r="D1605" t="s">
        <v>8940</v>
      </c>
      <c r="E1605" t="s">
        <v>7649</v>
      </c>
      <c r="F1605" t="s">
        <v>7638</v>
      </c>
      <c r="H1605" s="34">
        <v>85751</v>
      </c>
      <c r="I1605" s="53"/>
    </row>
    <row r="1606" spans="1:9" x14ac:dyDescent="0.3">
      <c r="A1606" t="str">
        <f t="shared" si="25"/>
        <v>6Nottinghamshire</v>
      </c>
      <c r="B1606">
        <v>6</v>
      </c>
      <c r="C1606" t="s">
        <v>247</v>
      </c>
      <c r="D1606" t="s">
        <v>8959</v>
      </c>
      <c r="E1606" t="s">
        <v>1106</v>
      </c>
      <c r="F1606" t="s">
        <v>7628</v>
      </c>
      <c r="H1606" s="34">
        <v>88000</v>
      </c>
      <c r="I1606" s="53"/>
    </row>
    <row r="1607" spans="1:9" x14ac:dyDescent="0.3">
      <c r="A1607" t="str">
        <f t="shared" si="25"/>
        <v>7Nottinghamshire</v>
      </c>
      <c r="B1607">
        <v>7</v>
      </c>
      <c r="C1607" t="s">
        <v>247</v>
      </c>
      <c r="D1607" t="s">
        <v>7912</v>
      </c>
      <c r="E1607" t="s">
        <v>7662</v>
      </c>
      <c r="F1607" t="s">
        <v>7704</v>
      </c>
      <c r="H1607" s="34">
        <v>29000</v>
      </c>
      <c r="I1607" s="53"/>
    </row>
    <row r="1608" spans="1:9" x14ac:dyDescent="0.3">
      <c r="A1608" t="str">
        <f t="shared" si="25"/>
        <v>8Nottinghamshire</v>
      </c>
      <c r="B1608">
        <v>8</v>
      </c>
      <c r="C1608" t="s">
        <v>247</v>
      </c>
      <c r="D1608" t="s">
        <v>8960</v>
      </c>
      <c r="E1608" t="s">
        <v>806</v>
      </c>
      <c r="F1608" t="s">
        <v>7642</v>
      </c>
      <c r="H1608" s="34">
        <v>23700</v>
      </c>
      <c r="I1608" s="53"/>
    </row>
    <row r="1609" spans="1:9" x14ac:dyDescent="0.3">
      <c r="A1609" t="str">
        <f t="shared" si="25"/>
        <v>9Nottinghamshire</v>
      </c>
      <c r="B1609">
        <v>9</v>
      </c>
      <c r="C1609" t="s">
        <v>247</v>
      </c>
      <c r="D1609" t="s">
        <v>8961</v>
      </c>
      <c r="E1609" t="s">
        <v>842</v>
      </c>
      <c r="F1609" t="s">
        <v>843</v>
      </c>
      <c r="H1609" s="34">
        <v>441180</v>
      </c>
      <c r="I1609" s="53"/>
    </row>
    <row r="1610" spans="1:9" x14ac:dyDescent="0.3">
      <c r="A1610" t="str">
        <f t="shared" si="25"/>
        <v>10Nottinghamshire</v>
      </c>
      <c r="B1610">
        <v>10</v>
      </c>
      <c r="C1610" t="s">
        <v>247</v>
      </c>
      <c r="D1610" t="s">
        <v>8962</v>
      </c>
      <c r="E1610" t="s">
        <v>7649</v>
      </c>
      <c r="F1610" t="s">
        <v>7638</v>
      </c>
      <c r="H1610" s="34">
        <v>4800</v>
      </c>
      <c r="I1610" s="53"/>
    </row>
    <row r="1611" spans="1:9" x14ac:dyDescent="0.3">
      <c r="A1611" t="str">
        <f t="shared" si="25"/>
        <v>11Nottinghamshire</v>
      </c>
      <c r="B1611">
        <v>11</v>
      </c>
      <c r="C1611" t="s">
        <v>247</v>
      </c>
      <c r="D1611" t="s">
        <v>8963</v>
      </c>
      <c r="E1611" t="s">
        <v>7657</v>
      </c>
      <c r="F1611" t="s">
        <v>7632</v>
      </c>
      <c r="H1611" s="34">
        <v>260000</v>
      </c>
      <c r="I1611" s="53"/>
    </row>
    <row r="1612" spans="1:9" x14ac:dyDescent="0.3">
      <c r="A1612" t="str">
        <f t="shared" si="25"/>
        <v>12Nottinghamshire</v>
      </c>
      <c r="B1612">
        <v>12</v>
      </c>
      <c r="C1612" t="s">
        <v>247</v>
      </c>
      <c r="D1612" t="s">
        <v>8964</v>
      </c>
      <c r="E1612" t="s">
        <v>7657</v>
      </c>
      <c r="F1612" t="s">
        <v>7644</v>
      </c>
      <c r="H1612" s="34">
        <v>150000</v>
      </c>
      <c r="I1612" s="53"/>
    </row>
    <row r="1613" spans="1:9" x14ac:dyDescent="0.3">
      <c r="A1613" t="str">
        <f t="shared" si="25"/>
        <v>13Nottinghamshire</v>
      </c>
      <c r="B1613">
        <v>13</v>
      </c>
      <c r="C1613" t="s">
        <v>247</v>
      </c>
      <c r="D1613" t="s">
        <v>8965</v>
      </c>
      <c r="E1613" t="s">
        <v>1113</v>
      </c>
      <c r="F1613" t="s">
        <v>7629</v>
      </c>
      <c r="H1613" s="34">
        <v>22500</v>
      </c>
      <c r="I1613" s="53"/>
    </row>
    <row r="1614" spans="1:9" x14ac:dyDescent="0.3">
      <c r="A1614" t="str">
        <f t="shared" si="25"/>
        <v>14Nottinghamshire</v>
      </c>
      <c r="B1614">
        <v>14</v>
      </c>
      <c r="C1614" t="s">
        <v>247</v>
      </c>
      <c r="D1614" t="s">
        <v>8966</v>
      </c>
      <c r="E1614" t="s">
        <v>806</v>
      </c>
      <c r="F1614" t="s">
        <v>807</v>
      </c>
      <c r="H1614" s="34">
        <v>400000</v>
      </c>
      <c r="I1614" s="53"/>
    </row>
    <row r="1615" spans="1:9" x14ac:dyDescent="0.3">
      <c r="A1615" t="str">
        <f t="shared" si="25"/>
        <v>15Nottinghamshire</v>
      </c>
      <c r="B1615">
        <v>15</v>
      </c>
      <c r="C1615" t="s">
        <v>247</v>
      </c>
      <c r="D1615" t="s">
        <v>8967</v>
      </c>
      <c r="E1615" t="s">
        <v>5266</v>
      </c>
      <c r="F1615" t="s">
        <v>7639</v>
      </c>
      <c r="H1615" s="34">
        <v>750000</v>
      </c>
      <c r="I1615" s="53"/>
    </row>
    <row r="1616" spans="1:9" x14ac:dyDescent="0.3">
      <c r="A1616" t="str">
        <f t="shared" si="25"/>
        <v>16Nottinghamshire</v>
      </c>
      <c r="B1616">
        <v>16</v>
      </c>
      <c r="C1616" t="s">
        <v>247</v>
      </c>
      <c r="D1616" t="s">
        <v>8968</v>
      </c>
      <c r="E1616" t="s">
        <v>842</v>
      </c>
      <c r="F1616" t="s">
        <v>7636</v>
      </c>
      <c r="H1616" s="34">
        <v>600000</v>
      </c>
      <c r="I1616" s="53"/>
    </row>
    <row r="1617" spans="1:9" x14ac:dyDescent="0.3">
      <c r="A1617" t="str">
        <f t="shared" si="25"/>
        <v>17Nottinghamshire</v>
      </c>
      <c r="B1617">
        <v>17</v>
      </c>
      <c r="C1617" t="s">
        <v>247</v>
      </c>
      <c r="D1617" t="s">
        <v>8969</v>
      </c>
      <c r="E1617" t="s">
        <v>1113</v>
      </c>
      <c r="F1617" t="s">
        <v>7629</v>
      </c>
      <c r="H1617" s="34">
        <v>295000</v>
      </c>
      <c r="I1617" s="53"/>
    </row>
    <row r="1618" spans="1:9" x14ac:dyDescent="0.3">
      <c r="A1618" t="str">
        <f t="shared" si="25"/>
        <v>18Nottinghamshire</v>
      </c>
      <c r="B1618">
        <v>18</v>
      </c>
      <c r="C1618" t="s">
        <v>247</v>
      </c>
      <c r="D1618" t="s">
        <v>8950</v>
      </c>
      <c r="E1618" t="s">
        <v>1113</v>
      </c>
      <c r="F1618" t="s">
        <v>7629</v>
      </c>
      <c r="H1618" s="34">
        <v>202000</v>
      </c>
      <c r="I1618" s="53"/>
    </row>
    <row r="1619" spans="1:9" x14ac:dyDescent="0.3">
      <c r="A1619" t="str">
        <f t="shared" si="25"/>
        <v>19Nottinghamshire</v>
      </c>
      <c r="B1619">
        <v>19</v>
      </c>
      <c r="C1619" t="s">
        <v>247</v>
      </c>
      <c r="D1619" t="s">
        <v>8970</v>
      </c>
      <c r="E1619" t="s">
        <v>7649</v>
      </c>
      <c r="F1619" t="s">
        <v>7704</v>
      </c>
      <c r="H1619" s="34">
        <v>97000</v>
      </c>
      <c r="I1619" s="53"/>
    </row>
    <row r="1620" spans="1:9" x14ac:dyDescent="0.3">
      <c r="A1620" t="str">
        <f t="shared" si="25"/>
        <v>20Nottinghamshire</v>
      </c>
      <c r="B1620">
        <v>20</v>
      </c>
      <c r="C1620" t="s">
        <v>247</v>
      </c>
      <c r="D1620" t="s">
        <v>8971</v>
      </c>
      <c r="E1620" t="s">
        <v>7649</v>
      </c>
      <c r="F1620" t="s">
        <v>7704</v>
      </c>
      <c r="H1620" s="34">
        <v>55000</v>
      </c>
      <c r="I1620" s="53"/>
    </row>
    <row r="1621" spans="1:9" x14ac:dyDescent="0.3">
      <c r="A1621" t="str">
        <f t="shared" si="25"/>
        <v>21Nottinghamshire</v>
      </c>
      <c r="B1621">
        <v>21</v>
      </c>
      <c r="C1621" t="s">
        <v>247</v>
      </c>
      <c r="D1621" t="s">
        <v>8972</v>
      </c>
      <c r="E1621" t="s">
        <v>1106</v>
      </c>
      <c r="F1621" t="s">
        <v>7704</v>
      </c>
      <c r="H1621" s="34">
        <v>324000</v>
      </c>
      <c r="I1621" s="53"/>
    </row>
    <row r="1622" spans="1:9" x14ac:dyDescent="0.3">
      <c r="A1622" t="str">
        <f t="shared" si="25"/>
        <v>22Nottinghamshire</v>
      </c>
      <c r="B1622">
        <v>22</v>
      </c>
      <c r="C1622" t="s">
        <v>247</v>
      </c>
      <c r="D1622" t="s">
        <v>8973</v>
      </c>
      <c r="E1622" t="s">
        <v>1106</v>
      </c>
      <c r="F1622" t="s">
        <v>7704</v>
      </c>
      <c r="H1622" s="34">
        <v>418000</v>
      </c>
      <c r="I1622" s="53"/>
    </row>
    <row r="1623" spans="1:9" x14ac:dyDescent="0.3">
      <c r="A1623" t="str">
        <f t="shared" si="25"/>
        <v>23Nottinghamshire</v>
      </c>
      <c r="B1623">
        <v>23</v>
      </c>
      <c r="C1623" t="s">
        <v>247</v>
      </c>
      <c r="D1623" t="s">
        <v>4829</v>
      </c>
      <c r="E1623" t="s">
        <v>1113</v>
      </c>
      <c r="F1623" t="s">
        <v>7629</v>
      </c>
      <c r="H1623" s="34">
        <v>1423493</v>
      </c>
      <c r="I1623" s="53"/>
    </row>
    <row r="1624" spans="1:9" x14ac:dyDescent="0.3">
      <c r="A1624" t="str">
        <f t="shared" si="25"/>
        <v>24Nottinghamshire</v>
      </c>
      <c r="B1624">
        <v>24</v>
      </c>
      <c r="C1624" t="s">
        <v>247</v>
      </c>
      <c r="D1624" t="s">
        <v>8951</v>
      </c>
      <c r="E1624" t="s">
        <v>1113</v>
      </c>
      <c r="F1624" t="s">
        <v>7637</v>
      </c>
      <c r="H1624" s="34">
        <v>15283</v>
      </c>
      <c r="I1624" s="53"/>
    </row>
    <row r="1625" spans="1:9" x14ac:dyDescent="0.3">
      <c r="A1625" t="str">
        <f t="shared" si="25"/>
        <v>25Nottinghamshire</v>
      </c>
      <c r="B1625">
        <v>25</v>
      </c>
      <c r="C1625" t="s">
        <v>247</v>
      </c>
      <c r="D1625" t="s">
        <v>885</v>
      </c>
      <c r="E1625" t="s">
        <v>7649</v>
      </c>
      <c r="F1625" t="s">
        <v>7638</v>
      </c>
      <c r="H1625" s="34">
        <v>90000</v>
      </c>
      <c r="I1625" s="53"/>
    </row>
    <row r="1626" spans="1:9" x14ac:dyDescent="0.3">
      <c r="A1626" t="str">
        <f t="shared" si="25"/>
        <v>26Nottinghamshire</v>
      </c>
      <c r="B1626">
        <v>26</v>
      </c>
      <c r="C1626" t="s">
        <v>247</v>
      </c>
      <c r="D1626" t="s">
        <v>8974</v>
      </c>
      <c r="E1626" t="s">
        <v>1113</v>
      </c>
      <c r="F1626" t="s">
        <v>7629</v>
      </c>
      <c r="H1626" s="34">
        <v>150000</v>
      </c>
      <c r="I1626" s="53"/>
    </row>
    <row r="1627" spans="1:9" x14ac:dyDescent="0.3">
      <c r="A1627" t="str">
        <f t="shared" si="25"/>
        <v>27Nottinghamshire</v>
      </c>
      <c r="B1627">
        <v>27</v>
      </c>
      <c r="C1627" t="s">
        <v>247</v>
      </c>
      <c r="D1627" t="s">
        <v>8975</v>
      </c>
      <c r="E1627" t="s">
        <v>806</v>
      </c>
      <c r="F1627" t="s">
        <v>7642</v>
      </c>
      <c r="H1627" s="34">
        <v>100000</v>
      </c>
      <c r="I1627" s="53"/>
    </row>
    <row r="1628" spans="1:9" x14ac:dyDescent="0.3">
      <c r="A1628" t="str">
        <f t="shared" si="25"/>
        <v>28Nottinghamshire</v>
      </c>
      <c r="B1628">
        <v>28</v>
      </c>
      <c r="C1628" t="s">
        <v>247</v>
      </c>
      <c r="D1628" t="s">
        <v>1160</v>
      </c>
      <c r="E1628" t="s">
        <v>800</v>
      </c>
      <c r="F1628" t="s">
        <v>812</v>
      </c>
      <c r="H1628" s="34">
        <v>140000</v>
      </c>
      <c r="I1628" s="53"/>
    </row>
    <row r="1629" spans="1:9" x14ac:dyDescent="0.3">
      <c r="A1629" t="str">
        <f t="shared" si="25"/>
        <v>1Oldham</v>
      </c>
      <c r="B1629">
        <v>1</v>
      </c>
      <c r="C1629" t="s">
        <v>249</v>
      </c>
      <c r="D1629" t="s">
        <v>7662</v>
      </c>
      <c r="E1629" t="s">
        <v>7662</v>
      </c>
      <c r="H1629" s="34">
        <v>25730</v>
      </c>
      <c r="I1629" s="53"/>
    </row>
    <row r="1630" spans="1:9" x14ac:dyDescent="0.3">
      <c r="A1630" t="str">
        <f t="shared" si="25"/>
        <v>2Oldham</v>
      </c>
      <c r="B1630">
        <v>2</v>
      </c>
      <c r="C1630" t="s">
        <v>249</v>
      </c>
      <c r="D1630" t="s">
        <v>8976</v>
      </c>
      <c r="E1630" t="s">
        <v>5266</v>
      </c>
      <c r="F1630" t="s">
        <v>7639</v>
      </c>
      <c r="H1630" s="34">
        <v>333177</v>
      </c>
      <c r="I1630" s="53"/>
    </row>
    <row r="1631" spans="1:9" x14ac:dyDescent="0.3">
      <c r="A1631" t="str">
        <f t="shared" si="25"/>
        <v>3Oldham</v>
      </c>
      <c r="B1631">
        <v>3</v>
      </c>
      <c r="C1631" t="s">
        <v>249</v>
      </c>
      <c r="D1631" t="s">
        <v>8977</v>
      </c>
      <c r="E1631" t="s">
        <v>806</v>
      </c>
      <c r="F1631" t="s">
        <v>812</v>
      </c>
      <c r="H1631" s="34">
        <v>380000</v>
      </c>
      <c r="I1631" s="53"/>
    </row>
    <row r="1632" spans="1:9" x14ac:dyDescent="0.3">
      <c r="A1632" t="str">
        <f t="shared" si="25"/>
        <v>4Oldham</v>
      </c>
      <c r="B1632">
        <v>4</v>
      </c>
      <c r="C1632" t="s">
        <v>249</v>
      </c>
      <c r="D1632" t="s">
        <v>8978</v>
      </c>
      <c r="E1632" t="s">
        <v>812</v>
      </c>
      <c r="H1632" s="34">
        <v>780711</v>
      </c>
      <c r="I1632" s="53"/>
    </row>
    <row r="1633" spans="1:9" x14ac:dyDescent="0.3">
      <c r="A1633" t="str">
        <f t="shared" si="25"/>
        <v>5Oldham</v>
      </c>
      <c r="B1633">
        <v>5</v>
      </c>
      <c r="C1633" t="s">
        <v>249</v>
      </c>
      <c r="D1633" t="s">
        <v>8979</v>
      </c>
      <c r="E1633" t="s">
        <v>842</v>
      </c>
      <c r="F1633" t="s">
        <v>7636</v>
      </c>
      <c r="H1633" s="34">
        <v>20000</v>
      </c>
      <c r="I1633" s="53"/>
    </row>
    <row r="1634" spans="1:9" x14ac:dyDescent="0.3">
      <c r="A1634" t="str">
        <f t="shared" si="25"/>
        <v>6Oldham</v>
      </c>
      <c r="B1634">
        <v>6</v>
      </c>
      <c r="C1634" t="s">
        <v>249</v>
      </c>
      <c r="D1634" t="s">
        <v>8980</v>
      </c>
      <c r="E1634" t="s">
        <v>806</v>
      </c>
      <c r="F1634" t="s">
        <v>807</v>
      </c>
      <c r="H1634" s="34">
        <v>100000</v>
      </c>
      <c r="I1634" s="53"/>
    </row>
    <row r="1635" spans="1:9" x14ac:dyDescent="0.3">
      <c r="A1635" t="str">
        <f t="shared" si="25"/>
        <v>7Oldham</v>
      </c>
      <c r="B1635">
        <v>7</v>
      </c>
      <c r="C1635" t="s">
        <v>249</v>
      </c>
      <c r="D1635" t="s">
        <v>8981</v>
      </c>
      <c r="E1635" t="s">
        <v>5266</v>
      </c>
      <c r="F1635" t="s">
        <v>7639</v>
      </c>
      <c r="H1635" s="34">
        <v>934270</v>
      </c>
      <c r="I1635" s="53"/>
    </row>
    <row r="1636" spans="1:9" x14ac:dyDescent="0.3">
      <c r="A1636" t="str">
        <f t="shared" si="25"/>
        <v>1Oxfordshire</v>
      </c>
      <c r="B1636">
        <v>1</v>
      </c>
      <c r="C1636" t="s">
        <v>251</v>
      </c>
      <c r="D1636" t="s">
        <v>8982</v>
      </c>
      <c r="E1636" t="s">
        <v>5266</v>
      </c>
      <c r="F1636" t="s">
        <v>7631</v>
      </c>
      <c r="H1636" s="34">
        <v>700000</v>
      </c>
      <c r="I1636" s="53"/>
    </row>
    <row r="1637" spans="1:9" x14ac:dyDescent="0.3">
      <c r="A1637" t="str">
        <f t="shared" si="25"/>
        <v>2Oxfordshire</v>
      </c>
      <c r="B1637">
        <v>2</v>
      </c>
      <c r="C1637" t="s">
        <v>251</v>
      </c>
      <c r="D1637" t="s">
        <v>8982</v>
      </c>
      <c r="E1637" t="s">
        <v>7658</v>
      </c>
      <c r="F1637" t="s">
        <v>7704</v>
      </c>
      <c r="H1637" s="34">
        <v>415000</v>
      </c>
      <c r="I1637" s="53"/>
    </row>
    <row r="1638" spans="1:9" x14ac:dyDescent="0.3">
      <c r="A1638" t="str">
        <f t="shared" si="25"/>
        <v>3Oxfordshire</v>
      </c>
      <c r="B1638">
        <v>3</v>
      </c>
      <c r="C1638" t="s">
        <v>251</v>
      </c>
      <c r="D1638" t="s">
        <v>1616</v>
      </c>
      <c r="E1638" t="s">
        <v>1106</v>
      </c>
      <c r="F1638" t="s">
        <v>7628</v>
      </c>
      <c r="H1638" s="34">
        <v>1600000</v>
      </c>
      <c r="I1638" s="53"/>
    </row>
    <row r="1639" spans="1:9" x14ac:dyDescent="0.3">
      <c r="A1639" t="str">
        <f t="shared" si="25"/>
        <v>4Oxfordshire</v>
      </c>
      <c r="B1639">
        <v>4</v>
      </c>
      <c r="C1639" t="s">
        <v>251</v>
      </c>
      <c r="D1639" t="s">
        <v>8983</v>
      </c>
      <c r="E1639" t="s">
        <v>1106</v>
      </c>
      <c r="F1639" t="s">
        <v>7628</v>
      </c>
      <c r="H1639" s="34">
        <v>276000</v>
      </c>
      <c r="I1639" s="53"/>
    </row>
    <row r="1640" spans="1:9" x14ac:dyDescent="0.3">
      <c r="A1640" t="str">
        <f t="shared" si="25"/>
        <v>5Oxfordshire</v>
      </c>
      <c r="B1640">
        <v>5</v>
      </c>
      <c r="C1640" t="s">
        <v>251</v>
      </c>
      <c r="D1640" t="s">
        <v>8984</v>
      </c>
      <c r="E1640" t="s">
        <v>1106</v>
      </c>
      <c r="F1640" t="s">
        <v>7628</v>
      </c>
      <c r="H1640" s="34">
        <v>410000</v>
      </c>
      <c r="I1640" s="53"/>
    </row>
    <row r="1641" spans="1:9" x14ac:dyDescent="0.3">
      <c r="A1641" t="str">
        <f t="shared" si="25"/>
        <v>6Oxfordshire</v>
      </c>
      <c r="B1641">
        <v>6</v>
      </c>
      <c r="C1641" t="s">
        <v>251</v>
      </c>
      <c r="D1641" t="s">
        <v>8985</v>
      </c>
      <c r="E1641" t="s">
        <v>1113</v>
      </c>
      <c r="F1641" t="s">
        <v>7629</v>
      </c>
      <c r="H1641" s="34">
        <v>762411</v>
      </c>
      <c r="I1641" s="53"/>
    </row>
    <row r="1642" spans="1:9" x14ac:dyDescent="0.3">
      <c r="A1642" t="str">
        <f t="shared" si="25"/>
        <v>7Oxfordshire</v>
      </c>
      <c r="B1642">
        <v>7</v>
      </c>
      <c r="C1642" t="s">
        <v>251</v>
      </c>
      <c r="D1642" t="s">
        <v>8986</v>
      </c>
      <c r="E1642" t="s">
        <v>812</v>
      </c>
      <c r="F1642" t="s">
        <v>7629</v>
      </c>
      <c r="H1642" s="34">
        <v>95000</v>
      </c>
    </row>
    <row r="1643" spans="1:9" x14ac:dyDescent="0.3">
      <c r="A1643" t="str">
        <f t="shared" si="25"/>
        <v>8Oxfordshire</v>
      </c>
      <c r="B1643">
        <v>8</v>
      </c>
      <c r="C1643" t="s">
        <v>251</v>
      </c>
      <c r="D1643" t="s">
        <v>8987</v>
      </c>
      <c r="E1643" t="s">
        <v>1106</v>
      </c>
      <c r="F1643" t="s">
        <v>7628</v>
      </c>
      <c r="H1643" s="34">
        <v>691218</v>
      </c>
    </row>
    <row r="1644" spans="1:9" x14ac:dyDescent="0.3">
      <c r="A1644" t="str">
        <f t="shared" si="25"/>
        <v>1Peterborough</v>
      </c>
      <c r="B1644">
        <v>1</v>
      </c>
      <c r="C1644" t="s">
        <v>253</v>
      </c>
      <c r="D1644" t="s">
        <v>7893</v>
      </c>
      <c r="E1644" t="s">
        <v>5266</v>
      </c>
      <c r="F1644" t="s">
        <v>7639</v>
      </c>
      <c r="H1644" s="34">
        <v>26000</v>
      </c>
    </row>
    <row r="1645" spans="1:9" x14ac:dyDescent="0.3">
      <c r="A1645" t="str">
        <f t="shared" si="25"/>
        <v>2Peterborough</v>
      </c>
      <c r="B1645">
        <v>2</v>
      </c>
      <c r="C1645" t="s">
        <v>253</v>
      </c>
      <c r="D1645" t="s">
        <v>7662</v>
      </c>
      <c r="E1645" t="s">
        <v>7662</v>
      </c>
      <c r="H1645" s="34">
        <v>6613</v>
      </c>
    </row>
    <row r="1646" spans="1:9" x14ac:dyDescent="0.3">
      <c r="A1646" t="str">
        <f t="shared" si="25"/>
        <v>3Peterborough</v>
      </c>
      <c r="B1646">
        <v>3</v>
      </c>
      <c r="C1646" t="s">
        <v>253</v>
      </c>
      <c r="D1646" t="s">
        <v>7894</v>
      </c>
      <c r="E1646" t="s">
        <v>7657</v>
      </c>
      <c r="F1646" t="s">
        <v>7632</v>
      </c>
      <c r="H1646" s="34">
        <v>60000</v>
      </c>
    </row>
    <row r="1647" spans="1:9" x14ac:dyDescent="0.3">
      <c r="A1647" t="str">
        <f t="shared" si="25"/>
        <v>4Peterborough</v>
      </c>
      <c r="B1647">
        <v>4</v>
      </c>
      <c r="C1647" t="s">
        <v>253</v>
      </c>
      <c r="D1647" t="s">
        <v>7895</v>
      </c>
      <c r="E1647" t="s">
        <v>806</v>
      </c>
      <c r="F1647" t="s">
        <v>807</v>
      </c>
      <c r="H1647" s="34">
        <v>73200</v>
      </c>
    </row>
    <row r="1648" spans="1:9" x14ac:dyDescent="0.3">
      <c r="A1648" t="str">
        <f t="shared" si="25"/>
        <v>5Peterborough</v>
      </c>
      <c r="B1648">
        <v>5</v>
      </c>
      <c r="C1648" t="s">
        <v>253</v>
      </c>
      <c r="D1648" t="s">
        <v>1051</v>
      </c>
      <c r="E1648" t="s">
        <v>800</v>
      </c>
      <c r="F1648" t="s">
        <v>903</v>
      </c>
      <c r="H1648" s="34">
        <v>100000</v>
      </c>
    </row>
    <row r="1649" spans="1:8" x14ac:dyDescent="0.3">
      <c r="A1649" t="str">
        <f t="shared" si="25"/>
        <v>6Peterborough</v>
      </c>
      <c r="B1649">
        <v>6</v>
      </c>
      <c r="C1649" t="s">
        <v>253</v>
      </c>
      <c r="D1649" t="s">
        <v>7896</v>
      </c>
      <c r="E1649" t="s">
        <v>812</v>
      </c>
      <c r="H1649" s="34">
        <v>65000</v>
      </c>
    </row>
    <row r="1650" spans="1:8" x14ac:dyDescent="0.3">
      <c r="A1650" t="str">
        <f t="shared" si="25"/>
        <v>7Peterborough</v>
      </c>
      <c r="B1650">
        <v>7</v>
      </c>
      <c r="C1650" t="s">
        <v>253</v>
      </c>
      <c r="D1650" t="s">
        <v>7897</v>
      </c>
      <c r="E1650" t="s">
        <v>812</v>
      </c>
      <c r="F1650" t="s">
        <v>812</v>
      </c>
      <c r="H1650" s="34">
        <v>16900</v>
      </c>
    </row>
    <row r="1651" spans="1:8" x14ac:dyDescent="0.3">
      <c r="A1651" t="str">
        <f t="shared" si="25"/>
        <v>8Peterborough</v>
      </c>
      <c r="B1651">
        <v>8</v>
      </c>
      <c r="C1651" t="s">
        <v>253</v>
      </c>
      <c r="D1651" t="s">
        <v>7898</v>
      </c>
      <c r="E1651" t="s">
        <v>842</v>
      </c>
      <c r="F1651" t="s">
        <v>812</v>
      </c>
      <c r="H1651" s="34">
        <v>81120</v>
      </c>
    </row>
    <row r="1652" spans="1:8" x14ac:dyDescent="0.3">
      <c r="A1652" t="str">
        <f t="shared" si="25"/>
        <v>9Peterborough</v>
      </c>
      <c r="B1652">
        <v>9</v>
      </c>
      <c r="C1652" t="s">
        <v>253</v>
      </c>
      <c r="D1652" t="s">
        <v>7899</v>
      </c>
      <c r="E1652" t="s">
        <v>812</v>
      </c>
      <c r="H1652" s="34">
        <v>20000</v>
      </c>
    </row>
    <row r="1653" spans="1:8" x14ac:dyDescent="0.3">
      <c r="A1653" t="str">
        <f t="shared" si="25"/>
        <v>10Peterborough</v>
      </c>
      <c r="B1653">
        <v>10</v>
      </c>
      <c r="C1653" t="s">
        <v>253</v>
      </c>
      <c r="D1653" t="s">
        <v>7900</v>
      </c>
      <c r="E1653" t="s">
        <v>842</v>
      </c>
      <c r="F1653" t="s">
        <v>7636</v>
      </c>
      <c r="H1653" s="34">
        <v>80000</v>
      </c>
    </row>
    <row r="1654" spans="1:8" x14ac:dyDescent="0.3">
      <c r="A1654" t="str">
        <f t="shared" si="25"/>
        <v>11Peterborough</v>
      </c>
      <c r="B1654">
        <v>11</v>
      </c>
      <c r="C1654" t="s">
        <v>253</v>
      </c>
      <c r="D1654" t="s">
        <v>7901</v>
      </c>
      <c r="E1654" t="s">
        <v>1113</v>
      </c>
      <c r="F1654" t="s">
        <v>812</v>
      </c>
      <c r="H1654" s="34">
        <v>28600</v>
      </c>
    </row>
    <row r="1655" spans="1:8" x14ac:dyDescent="0.3">
      <c r="A1655" t="str">
        <f t="shared" si="25"/>
        <v>12Peterborough</v>
      </c>
      <c r="B1655">
        <v>12</v>
      </c>
      <c r="C1655" t="s">
        <v>253</v>
      </c>
      <c r="D1655" t="s">
        <v>7902</v>
      </c>
      <c r="E1655" t="s">
        <v>1113</v>
      </c>
      <c r="F1655" t="s">
        <v>812</v>
      </c>
      <c r="H1655" s="34">
        <v>31200</v>
      </c>
    </row>
    <row r="1656" spans="1:8" x14ac:dyDescent="0.3">
      <c r="A1656" t="str">
        <f t="shared" si="25"/>
        <v>13Peterborough</v>
      </c>
      <c r="B1656">
        <v>13</v>
      </c>
      <c r="C1656" t="s">
        <v>253</v>
      </c>
      <c r="D1656" t="s">
        <v>7903</v>
      </c>
      <c r="E1656" t="s">
        <v>7658</v>
      </c>
      <c r="H1656" s="34">
        <v>11700</v>
      </c>
    </row>
    <row r="1657" spans="1:8" x14ac:dyDescent="0.3">
      <c r="A1657" t="str">
        <f t="shared" si="25"/>
        <v>14Peterborough</v>
      </c>
      <c r="B1657">
        <v>14</v>
      </c>
      <c r="C1657" t="s">
        <v>253</v>
      </c>
      <c r="D1657" t="s">
        <v>7904</v>
      </c>
      <c r="E1657" t="s">
        <v>812</v>
      </c>
      <c r="H1657" s="34">
        <v>20000</v>
      </c>
    </row>
    <row r="1658" spans="1:8" x14ac:dyDescent="0.3">
      <c r="A1658" t="str">
        <f t="shared" si="25"/>
        <v>15Peterborough</v>
      </c>
      <c r="B1658">
        <v>15</v>
      </c>
      <c r="C1658" t="s">
        <v>253</v>
      </c>
      <c r="D1658" t="s">
        <v>7905</v>
      </c>
      <c r="E1658" t="s">
        <v>5266</v>
      </c>
      <c r="F1658" t="s">
        <v>7631</v>
      </c>
      <c r="H1658" s="34">
        <v>15500</v>
      </c>
    </row>
    <row r="1659" spans="1:8" x14ac:dyDescent="0.3">
      <c r="A1659" t="str">
        <f t="shared" si="25"/>
        <v>16Peterborough</v>
      </c>
      <c r="B1659">
        <v>16</v>
      </c>
      <c r="C1659" t="s">
        <v>253</v>
      </c>
      <c r="D1659" t="s">
        <v>4233</v>
      </c>
      <c r="E1659" t="s">
        <v>7657</v>
      </c>
      <c r="F1659" t="s">
        <v>7640</v>
      </c>
      <c r="H1659" s="34">
        <v>153122</v>
      </c>
    </row>
    <row r="1660" spans="1:8" x14ac:dyDescent="0.3">
      <c r="A1660" t="str">
        <f t="shared" si="25"/>
        <v>17Peterborough</v>
      </c>
      <c r="B1660">
        <v>17</v>
      </c>
      <c r="C1660" t="s">
        <v>253</v>
      </c>
      <c r="D1660" t="s">
        <v>7906</v>
      </c>
      <c r="E1660" t="s">
        <v>7657</v>
      </c>
      <c r="F1660" t="s">
        <v>7632</v>
      </c>
      <c r="H1660" s="34">
        <v>32949</v>
      </c>
    </row>
    <row r="1661" spans="1:8" x14ac:dyDescent="0.3">
      <c r="A1661" t="str">
        <f t="shared" si="25"/>
        <v>18Peterborough</v>
      </c>
      <c r="B1661">
        <v>18</v>
      </c>
      <c r="C1661" t="s">
        <v>253</v>
      </c>
      <c r="D1661" t="s">
        <v>7907</v>
      </c>
      <c r="E1661" t="s">
        <v>812</v>
      </c>
      <c r="H1661" s="34">
        <v>169000</v>
      </c>
    </row>
    <row r="1662" spans="1:8" x14ac:dyDescent="0.3">
      <c r="A1662" t="str">
        <f t="shared" si="25"/>
        <v>19Peterborough</v>
      </c>
      <c r="B1662">
        <v>19</v>
      </c>
      <c r="C1662" t="s">
        <v>253</v>
      </c>
      <c r="D1662" t="s">
        <v>8988</v>
      </c>
      <c r="E1662" t="s">
        <v>7657</v>
      </c>
      <c r="F1662" t="s">
        <v>7640</v>
      </c>
      <c r="H1662" s="34">
        <v>143000</v>
      </c>
    </row>
    <row r="1663" spans="1:8" x14ac:dyDescent="0.3">
      <c r="A1663" t="str">
        <f t="shared" si="25"/>
        <v>20Peterborough</v>
      </c>
      <c r="B1663">
        <v>20</v>
      </c>
      <c r="C1663" t="s">
        <v>253</v>
      </c>
      <c r="D1663" t="s">
        <v>7909</v>
      </c>
      <c r="E1663" t="s">
        <v>842</v>
      </c>
      <c r="F1663" t="s">
        <v>7636</v>
      </c>
      <c r="H1663" s="34">
        <v>386872.83</v>
      </c>
    </row>
    <row r="1664" spans="1:8" x14ac:dyDescent="0.3">
      <c r="A1664" t="str">
        <f t="shared" si="25"/>
        <v>21Peterborough</v>
      </c>
      <c r="B1664">
        <v>21</v>
      </c>
      <c r="C1664" t="s">
        <v>253</v>
      </c>
      <c r="D1664" t="s">
        <v>7910</v>
      </c>
      <c r="E1664" t="s">
        <v>5266</v>
      </c>
      <c r="F1664" t="s">
        <v>7643</v>
      </c>
      <c r="H1664" s="34">
        <v>52000</v>
      </c>
    </row>
    <row r="1665" spans="1:8" x14ac:dyDescent="0.3">
      <c r="A1665" t="str">
        <f t="shared" si="25"/>
        <v>1Plymouth</v>
      </c>
      <c r="B1665">
        <v>1</v>
      </c>
      <c r="C1665" t="s">
        <v>255</v>
      </c>
      <c r="D1665" t="s">
        <v>8989</v>
      </c>
      <c r="E1665" t="s">
        <v>806</v>
      </c>
      <c r="F1665" t="s">
        <v>807</v>
      </c>
      <c r="H1665" s="34">
        <v>982772</v>
      </c>
    </row>
    <row r="1666" spans="1:8" x14ac:dyDescent="0.3">
      <c r="A1666" t="str">
        <f t="shared" ref="A1666:A1670" si="26">B1666&amp;C1666</f>
        <v>2Plymouth</v>
      </c>
      <c r="B1666">
        <v>2</v>
      </c>
      <c r="C1666" t="s">
        <v>255</v>
      </c>
      <c r="D1666" t="s">
        <v>8990</v>
      </c>
      <c r="E1666" t="s">
        <v>7649</v>
      </c>
      <c r="F1666" t="s">
        <v>7638</v>
      </c>
      <c r="H1666" s="34">
        <v>400000</v>
      </c>
    </row>
    <row r="1667" spans="1:8" x14ac:dyDescent="0.3">
      <c r="A1667" t="str">
        <f t="shared" si="26"/>
        <v>3Plymouth</v>
      </c>
      <c r="B1667">
        <v>3</v>
      </c>
      <c r="C1667" t="s">
        <v>255</v>
      </c>
      <c r="D1667" t="s">
        <v>8991</v>
      </c>
      <c r="E1667" t="s">
        <v>7658</v>
      </c>
      <c r="H1667" s="34">
        <v>208151</v>
      </c>
    </row>
    <row r="1668" spans="1:8" x14ac:dyDescent="0.3">
      <c r="A1668" t="str">
        <f t="shared" si="26"/>
        <v>4Plymouth</v>
      </c>
      <c r="B1668">
        <v>4</v>
      </c>
      <c r="C1668" t="s">
        <v>255</v>
      </c>
      <c r="D1668" t="s">
        <v>5329</v>
      </c>
      <c r="E1668" t="s">
        <v>1113</v>
      </c>
      <c r="F1668" t="s">
        <v>7629</v>
      </c>
      <c r="H1668" s="34">
        <v>833342</v>
      </c>
    </row>
    <row r="1669" spans="1:8" x14ac:dyDescent="0.3">
      <c r="A1669" t="str">
        <f t="shared" si="26"/>
        <v>1Portsmouth</v>
      </c>
      <c r="B1669">
        <v>1</v>
      </c>
      <c r="C1669" t="s">
        <v>257</v>
      </c>
      <c r="D1669" t="s">
        <v>7912</v>
      </c>
      <c r="E1669" t="s">
        <v>7662</v>
      </c>
      <c r="H1669" s="34">
        <v>7420</v>
      </c>
    </row>
    <row r="1670" spans="1:8" x14ac:dyDescent="0.3">
      <c r="A1670" t="str">
        <f t="shared" si="26"/>
        <v>2Portsmouth</v>
      </c>
      <c r="B1670">
        <v>2</v>
      </c>
      <c r="C1670" t="s">
        <v>257</v>
      </c>
      <c r="D1670" t="s">
        <v>8992</v>
      </c>
      <c r="E1670" t="s">
        <v>842</v>
      </c>
      <c r="F1670" t="s">
        <v>843</v>
      </c>
      <c r="H1670" s="34">
        <v>49000</v>
      </c>
    </row>
    <row r="1671" spans="1:8" x14ac:dyDescent="0.3">
      <c r="A1671" t="str">
        <f t="shared" ref="A1671:A1734" si="27">B1671&amp;C1671</f>
        <v>3Portsmouth</v>
      </c>
      <c r="B1671">
        <v>3</v>
      </c>
      <c r="C1671" t="s">
        <v>257</v>
      </c>
      <c r="D1671" t="s">
        <v>8993</v>
      </c>
      <c r="E1671" t="s">
        <v>806</v>
      </c>
      <c r="F1671" t="s">
        <v>812</v>
      </c>
      <c r="H1671">
        <v>332000</v>
      </c>
    </row>
    <row r="1672" spans="1:8" x14ac:dyDescent="0.3">
      <c r="A1672" t="str">
        <f t="shared" si="27"/>
        <v>4Portsmouth</v>
      </c>
      <c r="B1672">
        <v>4</v>
      </c>
      <c r="C1672" t="s">
        <v>257</v>
      </c>
      <c r="D1672" t="s">
        <v>4381</v>
      </c>
      <c r="E1672" t="s">
        <v>842</v>
      </c>
      <c r="F1672" t="s">
        <v>843</v>
      </c>
      <c r="H1672">
        <v>65824</v>
      </c>
    </row>
    <row r="1673" spans="1:8" x14ac:dyDescent="0.3">
      <c r="A1673" t="str">
        <f t="shared" si="27"/>
        <v>5Portsmouth</v>
      </c>
      <c r="B1673">
        <v>5</v>
      </c>
      <c r="C1673" t="s">
        <v>257</v>
      </c>
      <c r="D1673" t="s">
        <v>8994</v>
      </c>
      <c r="E1673" t="s">
        <v>7657</v>
      </c>
      <c r="F1673" t="s">
        <v>7632</v>
      </c>
      <c r="H1673">
        <v>287770</v>
      </c>
    </row>
    <row r="1674" spans="1:8" x14ac:dyDescent="0.3">
      <c r="A1674" t="str">
        <f t="shared" si="27"/>
        <v>6Portsmouth</v>
      </c>
      <c r="B1674">
        <v>6</v>
      </c>
      <c r="C1674" t="s">
        <v>257</v>
      </c>
      <c r="D1674" t="s">
        <v>5009</v>
      </c>
      <c r="E1674" t="s">
        <v>1106</v>
      </c>
      <c r="F1674" t="s">
        <v>7628</v>
      </c>
      <c r="H1674">
        <v>1066000</v>
      </c>
    </row>
    <row r="1675" spans="1:8" x14ac:dyDescent="0.3">
      <c r="A1675" t="str">
        <f t="shared" si="27"/>
        <v>7Portsmouth</v>
      </c>
      <c r="B1675">
        <v>7</v>
      </c>
      <c r="C1675" t="s">
        <v>257</v>
      </c>
      <c r="D1675" t="s">
        <v>8995</v>
      </c>
      <c r="E1675" t="s">
        <v>806</v>
      </c>
      <c r="F1675" t="s">
        <v>917</v>
      </c>
      <c r="H1675">
        <v>269000</v>
      </c>
    </row>
    <row r="1676" spans="1:8" x14ac:dyDescent="0.3">
      <c r="A1676" t="str">
        <f t="shared" si="27"/>
        <v>8Portsmouth</v>
      </c>
      <c r="B1676">
        <v>8</v>
      </c>
      <c r="C1676" t="s">
        <v>257</v>
      </c>
      <c r="D1676" t="s">
        <v>8996</v>
      </c>
      <c r="E1676" t="s">
        <v>7657</v>
      </c>
      <c r="F1676" t="s">
        <v>7644</v>
      </c>
      <c r="H1676">
        <v>85000</v>
      </c>
    </row>
    <row r="1677" spans="1:8" x14ac:dyDescent="0.3">
      <c r="A1677" t="str">
        <f t="shared" si="27"/>
        <v>1Reading</v>
      </c>
      <c r="B1677">
        <v>1</v>
      </c>
      <c r="C1677" t="s">
        <v>259</v>
      </c>
      <c r="D1677" t="s">
        <v>8997</v>
      </c>
      <c r="E1677" t="s">
        <v>842</v>
      </c>
      <c r="F1677" t="s">
        <v>7636</v>
      </c>
      <c r="H1677">
        <v>100000</v>
      </c>
    </row>
    <row r="1678" spans="1:8" x14ac:dyDescent="0.3">
      <c r="A1678" t="str">
        <f t="shared" si="27"/>
        <v>2Reading</v>
      </c>
      <c r="B1678">
        <v>2</v>
      </c>
      <c r="C1678" t="s">
        <v>259</v>
      </c>
      <c r="D1678" t="s">
        <v>8998</v>
      </c>
      <c r="E1678" t="s">
        <v>1106</v>
      </c>
      <c r="F1678" t="s">
        <v>7628</v>
      </c>
      <c r="H1678">
        <v>124800</v>
      </c>
    </row>
    <row r="1679" spans="1:8" x14ac:dyDescent="0.3">
      <c r="A1679" t="str">
        <f t="shared" si="27"/>
        <v>3Reading</v>
      </c>
      <c r="B1679">
        <v>3</v>
      </c>
      <c r="C1679" t="s">
        <v>259</v>
      </c>
      <c r="D1679" t="s">
        <v>8999</v>
      </c>
      <c r="E1679" t="s">
        <v>812</v>
      </c>
      <c r="H1679">
        <v>10000</v>
      </c>
    </row>
    <row r="1680" spans="1:8" x14ac:dyDescent="0.3">
      <c r="A1680" t="str">
        <f t="shared" si="27"/>
        <v>4Reading</v>
      </c>
      <c r="B1680">
        <v>4</v>
      </c>
      <c r="C1680" t="s">
        <v>259</v>
      </c>
      <c r="D1680" t="s">
        <v>9000</v>
      </c>
      <c r="E1680" t="s">
        <v>806</v>
      </c>
      <c r="F1680" t="s">
        <v>7642</v>
      </c>
      <c r="H1680">
        <v>242000</v>
      </c>
    </row>
    <row r="1681" spans="1:8" x14ac:dyDescent="0.3">
      <c r="A1681" t="str">
        <f t="shared" si="27"/>
        <v>5Reading</v>
      </c>
      <c r="B1681">
        <v>5</v>
      </c>
      <c r="C1681" t="s">
        <v>259</v>
      </c>
      <c r="D1681" t="s">
        <v>9001</v>
      </c>
      <c r="E1681" t="s">
        <v>7657</v>
      </c>
      <c r="F1681" t="s">
        <v>7632</v>
      </c>
      <c r="H1681">
        <v>163000</v>
      </c>
    </row>
    <row r="1682" spans="1:8" x14ac:dyDescent="0.3">
      <c r="A1682" t="str">
        <f t="shared" si="27"/>
        <v>6Reading</v>
      </c>
      <c r="B1682">
        <v>6</v>
      </c>
      <c r="C1682" t="s">
        <v>259</v>
      </c>
      <c r="D1682" t="s">
        <v>9002</v>
      </c>
      <c r="E1682" t="s">
        <v>7657</v>
      </c>
      <c r="F1682" t="s">
        <v>7632</v>
      </c>
      <c r="H1682">
        <v>60000</v>
      </c>
    </row>
    <row r="1683" spans="1:8" x14ac:dyDescent="0.3">
      <c r="A1683" t="str">
        <f t="shared" si="27"/>
        <v>7Reading</v>
      </c>
      <c r="B1683">
        <v>7</v>
      </c>
      <c r="C1683" t="s">
        <v>259</v>
      </c>
      <c r="D1683" t="s">
        <v>9003</v>
      </c>
      <c r="E1683" t="s">
        <v>812</v>
      </c>
      <c r="H1683">
        <v>20000</v>
      </c>
    </row>
    <row r="1684" spans="1:8" x14ac:dyDescent="0.3">
      <c r="A1684" t="str">
        <f t="shared" si="27"/>
        <v>8Reading</v>
      </c>
      <c r="B1684">
        <v>8</v>
      </c>
      <c r="C1684" t="s">
        <v>259</v>
      </c>
      <c r="D1684" t="s">
        <v>9004</v>
      </c>
      <c r="E1684" t="s">
        <v>7660</v>
      </c>
      <c r="H1684">
        <v>70000</v>
      </c>
    </row>
    <row r="1685" spans="1:8" x14ac:dyDescent="0.3">
      <c r="A1685" t="str">
        <f t="shared" si="27"/>
        <v>9Reading</v>
      </c>
      <c r="B1685">
        <v>9</v>
      </c>
      <c r="C1685" t="s">
        <v>259</v>
      </c>
      <c r="D1685" t="s">
        <v>9005</v>
      </c>
      <c r="E1685" t="s">
        <v>7662</v>
      </c>
      <c r="H1685">
        <v>12785</v>
      </c>
    </row>
    <row r="1686" spans="1:8" x14ac:dyDescent="0.3">
      <c r="A1686" t="str">
        <f t="shared" si="27"/>
        <v>10Reading</v>
      </c>
      <c r="B1686">
        <v>10</v>
      </c>
      <c r="C1686" t="s">
        <v>259</v>
      </c>
      <c r="D1686" t="s">
        <v>9006</v>
      </c>
      <c r="E1686" t="s">
        <v>7657</v>
      </c>
      <c r="F1686" t="s">
        <v>7632</v>
      </c>
      <c r="H1686">
        <v>50000</v>
      </c>
    </row>
    <row r="1687" spans="1:8" x14ac:dyDescent="0.3">
      <c r="A1687" t="str">
        <f t="shared" si="27"/>
        <v>11Reading</v>
      </c>
      <c r="B1687">
        <v>11</v>
      </c>
      <c r="C1687" t="s">
        <v>259</v>
      </c>
      <c r="D1687" t="s">
        <v>9007</v>
      </c>
      <c r="E1687" t="s">
        <v>812</v>
      </c>
      <c r="H1687">
        <v>15000</v>
      </c>
    </row>
    <row r="1688" spans="1:8" x14ac:dyDescent="0.3">
      <c r="A1688" t="str">
        <f t="shared" si="27"/>
        <v>12Reading</v>
      </c>
      <c r="B1688">
        <v>12</v>
      </c>
      <c r="C1688" t="s">
        <v>259</v>
      </c>
      <c r="D1688" t="s">
        <v>9008</v>
      </c>
      <c r="E1688" t="s">
        <v>800</v>
      </c>
      <c r="F1688" t="s">
        <v>903</v>
      </c>
      <c r="H1688">
        <v>110000</v>
      </c>
    </row>
    <row r="1689" spans="1:8" x14ac:dyDescent="0.3">
      <c r="A1689" t="str">
        <f t="shared" si="27"/>
        <v>13Reading</v>
      </c>
      <c r="B1689">
        <v>13</v>
      </c>
      <c r="C1689" t="s">
        <v>259</v>
      </c>
      <c r="D1689" t="s">
        <v>9009</v>
      </c>
      <c r="E1689" t="s">
        <v>7649</v>
      </c>
      <c r="F1689" t="s">
        <v>7638</v>
      </c>
      <c r="H1689">
        <v>20000</v>
      </c>
    </row>
    <row r="1690" spans="1:8" x14ac:dyDescent="0.3">
      <c r="A1690" t="str">
        <f t="shared" si="27"/>
        <v>14Reading</v>
      </c>
      <c r="B1690">
        <v>14</v>
      </c>
      <c r="C1690" t="s">
        <v>259</v>
      </c>
      <c r="D1690" t="s">
        <v>9010</v>
      </c>
      <c r="E1690" t="s">
        <v>7657</v>
      </c>
      <c r="F1690" t="s">
        <v>7640</v>
      </c>
      <c r="H1690">
        <v>52000</v>
      </c>
    </row>
    <row r="1691" spans="1:8" x14ac:dyDescent="0.3">
      <c r="A1691" t="str">
        <f t="shared" si="27"/>
        <v>15Reading</v>
      </c>
      <c r="B1691">
        <v>15</v>
      </c>
      <c r="C1691" t="s">
        <v>259</v>
      </c>
      <c r="D1691" t="s">
        <v>9011</v>
      </c>
      <c r="E1691" t="s">
        <v>806</v>
      </c>
      <c r="F1691" t="s">
        <v>7642</v>
      </c>
      <c r="H1691">
        <v>60000</v>
      </c>
    </row>
    <row r="1692" spans="1:8" x14ac:dyDescent="0.3">
      <c r="A1692" t="str">
        <f t="shared" si="27"/>
        <v>16Reading</v>
      </c>
      <c r="B1692">
        <v>16</v>
      </c>
      <c r="C1692" t="s">
        <v>259</v>
      </c>
      <c r="D1692" t="s">
        <v>9012</v>
      </c>
      <c r="E1692" t="s">
        <v>7657</v>
      </c>
      <c r="F1692" t="s">
        <v>7632</v>
      </c>
      <c r="H1692">
        <v>25000</v>
      </c>
    </row>
    <row r="1693" spans="1:8" x14ac:dyDescent="0.3">
      <c r="A1693" t="str">
        <f t="shared" si="27"/>
        <v>17Reading</v>
      </c>
      <c r="B1693">
        <v>17</v>
      </c>
      <c r="C1693" t="s">
        <v>259</v>
      </c>
      <c r="D1693" t="s">
        <v>9013</v>
      </c>
      <c r="E1693" t="s">
        <v>7660</v>
      </c>
      <c r="H1693">
        <v>130196</v>
      </c>
    </row>
    <row r="1694" spans="1:8" x14ac:dyDescent="0.3">
      <c r="A1694" t="str">
        <f t="shared" si="27"/>
        <v>18Reading</v>
      </c>
      <c r="B1694">
        <v>18</v>
      </c>
      <c r="C1694" t="s">
        <v>259</v>
      </c>
      <c r="D1694" t="s">
        <v>9014</v>
      </c>
      <c r="E1694" t="s">
        <v>5266</v>
      </c>
      <c r="F1694" t="s">
        <v>7643</v>
      </c>
      <c r="H1694">
        <v>20000</v>
      </c>
    </row>
    <row r="1695" spans="1:8" x14ac:dyDescent="0.3">
      <c r="A1695" t="str">
        <f t="shared" si="27"/>
        <v>1Redbridge</v>
      </c>
      <c r="B1695">
        <v>1</v>
      </c>
      <c r="C1695" t="s">
        <v>261</v>
      </c>
      <c r="D1695" t="s">
        <v>7704</v>
      </c>
      <c r="E1695" t="s">
        <v>7657</v>
      </c>
      <c r="F1695" t="s">
        <v>7632</v>
      </c>
      <c r="H1695">
        <v>128750</v>
      </c>
    </row>
    <row r="1696" spans="1:8" x14ac:dyDescent="0.3">
      <c r="A1696" t="str">
        <f t="shared" si="27"/>
        <v>2Redbridge</v>
      </c>
      <c r="B1696">
        <v>2</v>
      </c>
      <c r="C1696" t="s">
        <v>261</v>
      </c>
      <c r="D1696" t="s">
        <v>7704</v>
      </c>
      <c r="E1696" t="s">
        <v>7657</v>
      </c>
      <c r="F1696" t="s">
        <v>7640</v>
      </c>
      <c r="H1696">
        <v>31326</v>
      </c>
    </row>
    <row r="1697" spans="1:8" x14ac:dyDescent="0.3">
      <c r="A1697" t="str">
        <f t="shared" si="27"/>
        <v>3Redbridge</v>
      </c>
      <c r="B1697">
        <v>3</v>
      </c>
      <c r="C1697" t="s">
        <v>261</v>
      </c>
      <c r="D1697" t="s">
        <v>7704</v>
      </c>
      <c r="E1697" t="s">
        <v>7657</v>
      </c>
      <c r="F1697" t="s">
        <v>7644</v>
      </c>
      <c r="H1697">
        <v>81321</v>
      </c>
    </row>
    <row r="1698" spans="1:8" x14ac:dyDescent="0.3">
      <c r="A1698" t="str">
        <f t="shared" si="27"/>
        <v>4Redbridge</v>
      </c>
      <c r="B1698">
        <v>4</v>
      </c>
      <c r="C1698" t="s">
        <v>261</v>
      </c>
      <c r="D1698" t="s">
        <v>7704</v>
      </c>
      <c r="E1698" t="s">
        <v>800</v>
      </c>
      <c r="F1698" t="s">
        <v>903</v>
      </c>
      <c r="H1698">
        <v>28755</v>
      </c>
    </row>
    <row r="1699" spans="1:8" x14ac:dyDescent="0.3">
      <c r="A1699" t="str">
        <f t="shared" si="27"/>
        <v>5Redbridge</v>
      </c>
      <c r="B1699">
        <v>5</v>
      </c>
      <c r="C1699" t="s">
        <v>261</v>
      </c>
      <c r="D1699" t="s">
        <v>7704</v>
      </c>
      <c r="E1699" t="s">
        <v>800</v>
      </c>
      <c r="F1699" t="s">
        <v>2108</v>
      </c>
      <c r="H1699">
        <v>26609</v>
      </c>
    </row>
    <row r="1700" spans="1:8" x14ac:dyDescent="0.3">
      <c r="A1700" t="str">
        <f t="shared" si="27"/>
        <v>6Redbridge</v>
      </c>
      <c r="B1700">
        <v>6</v>
      </c>
      <c r="C1700" t="s">
        <v>261</v>
      </c>
      <c r="D1700" t="s">
        <v>7704</v>
      </c>
      <c r="E1700" t="s">
        <v>1106</v>
      </c>
      <c r="F1700" t="s">
        <v>7704</v>
      </c>
      <c r="H1700">
        <v>36000</v>
      </c>
    </row>
    <row r="1701" spans="1:8" x14ac:dyDescent="0.3">
      <c r="A1701" t="str">
        <f t="shared" si="27"/>
        <v>7Redbridge</v>
      </c>
      <c r="B1701">
        <v>7</v>
      </c>
      <c r="C1701" t="s">
        <v>261</v>
      </c>
      <c r="D1701" t="s">
        <v>7704</v>
      </c>
      <c r="E1701" t="s">
        <v>1106</v>
      </c>
      <c r="F1701" t="s">
        <v>7628</v>
      </c>
      <c r="H1701">
        <v>77298</v>
      </c>
    </row>
    <row r="1702" spans="1:8" x14ac:dyDescent="0.3">
      <c r="A1702" t="str">
        <f t="shared" si="27"/>
        <v>8Redbridge</v>
      </c>
      <c r="B1702">
        <v>8</v>
      </c>
      <c r="C1702" t="s">
        <v>261</v>
      </c>
      <c r="D1702" t="s">
        <v>7704</v>
      </c>
      <c r="E1702" t="s">
        <v>842</v>
      </c>
      <c r="F1702" t="s">
        <v>843</v>
      </c>
      <c r="H1702">
        <v>840063</v>
      </c>
    </row>
    <row r="1703" spans="1:8" x14ac:dyDescent="0.3">
      <c r="A1703" t="str">
        <f t="shared" si="27"/>
        <v>9Redbridge</v>
      </c>
      <c r="B1703">
        <v>9</v>
      </c>
      <c r="C1703" t="s">
        <v>261</v>
      </c>
      <c r="D1703" t="s">
        <v>7704</v>
      </c>
      <c r="E1703" t="s">
        <v>7649</v>
      </c>
      <c r="F1703" t="s">
        <v>7638</v>
      </c>
      <c r="H1703">
        <v>15000</v>
      </c>
    </row>
    <row r="1704" spans="1:8" x14ac:dyDescent="0.3">
      <c r="A1704" t="str">
        <f t="shared" si="27"/>
        <v>10Redbridge</v>
      </c>
      <c r="B1704">
        <v>10</v>
      </c>
      <c r="C1704" t="s">
        <v>261</v>
      </c>
      <c r="D1704" t="s">
        <v>7704</v>
      </c>
      <c r="E1704" t="s">
        <v>7658</v>
      </c>
      <c r="F1704" t="s">
        <v>7704</v>
      </c>
      <c r="H1704">
        <v>36300</v>
      </c>
    </row>
    <row r="1705" spans="1:8" x14ac:dyDescent="0.3">
      <c r="A1705" t="str">
        <f t="shared" si="27"/>
        <v>11Redbridge</v>
      </c>
      <c r="B1705">
        <v>11</v>
      </c>
      <c r="C1705" t="s">
        <v>261</v>
      </c>
      <c r="D1705" t="s">
        <v>7704</v>
      </c>
      <c r="E1705" t="s">
        <v>1113</v>
      </c>
      <c r="F1705" t="s">
        <v>812</v>
      </c>
      <c r="H1705">
        <v>32146</v>
      </c>
    </row>
    <row r="1706" spans="1:8" x14ac:dyDescent="0.3">
      <c r="A1706" t="str">
        <f t="shared" si="27"/>
        <v>12Redbridge</v>
      </c>
      <c r="B1706">
        <v>12</v>
      </c>
      <c r="C1706" t="s">
        <v>261</v>
      </c>
      <c r="D1706" t="s">
        <v>7704</v>
      </c>
      <c r="E1706" t="s">
        <v>1113</v>
      </c>
      <c r="F1706" t="s">
        <v>7637</v>
      </c>
      <c r="H1706">
        <v>41556</v>
      </c>
    </row>
    <row r="1707" spans="1:8" x14ac:dyDescent="0.3">
      <c r="A1707" t="str">
        <f t="shared" si="27"/>
        <v>13Redbridge</v>
      </c>
      <c r="B1707">
        <v>13</v>
      </c>
      <c r="C1707" t="s">
        <v>261</v>
      </c>
      <c r="D1707" t="s">
        <v>7704</v>
      </c>
      <c r="E1707" t="s">
        <v>806</v>
      </c>
      <c r="F1707" t="s">
        <v>807</v>
      </c>
      <c r="H1707">
        <v>437186</v>
      </c>
    </row>
    <row r="1708" spans="1:8" x14ac:dyDescent="0.3">
      <c r="A1708" t="str">
        <f t="shared" si="27"/>
        <v>14Redbridge</v>
      </c>
      <c r="B1708">
        <v>14</v>
      </c>
      <c r="C1708" t="s">
        <v>261</v>
      </c>
      <c r="D1708" t="s">
        <v>7704</v>
      </c>
      <c r="E1708" t="s">
        <v>806</v>
      </c>
      <c r="F1708" t="s">
        <v>917</v>
      </c>
      <c r="H1708">
        <v>430000</v>
      </c>
    </row>
    <row r="1709" spans="1:8" x14ac:dyDescent="0.3">
      <c r="A1709" t="str">
        <f t="shared" si="27"/>
        <v>1Redcar and Cleveland</v>
      </c>
      <c r="B1709">
        <v>1</v>
      </c>
      <c r="C1709" t="s">
        <v>263</v>
      </c>
      <c r="D1709" t="s">
        <v>8707</v>
      </c>
      <c r="E1709" t="s">
        <v>7662</v>
      </c>
      <c r="H1709">
        <v>12305</v>
      </c>
    </row>
    <row r="1710" spans="1:8" x14ac:dyDescent="0.3">
      <c r="A1710" t="str">
        <f t="shared" si="27"/>
        <v>2Redcar and Cleveland</v>
      </c>
      <c r="B1710">
        <v>2</v>
      </c>
      <c r="C1710" t="s">
        <v>263</v>
      </c>
      <c r="D1710" t="s">
        <v>8075</v>
      </c>
      <c r="E1710" t="s">
        <v>7649</v>
      </c>
      <c r="F1710" t="s">
        <v>7638</v>
      </c>
      <c r="H1710">
        <v>83160</v>
      </c>
    </row>
    <row r="1711" spans="1:8" x14ac:dyDescent="0.3">
      <c r="A1711" t="str">
        <f t="shared" si="27"/>
        <v>3Redcar and Cleveland</v>
      </c>
      <c r="B1711">
        <v>3</v>
      </c>
      <c r="C1711" t="s">
        <v>263</v>
      </c>
      <c r="D1711" t="s">
        <v>9015</v>
      </c>
      <c r="E1711" t="s">
        <v>812</v>
      </c>
      <c r="H1711">
        <v>16500</v>
      </c>
    </row>
    <row r="1712" spans="1:8" x14ac:dyDescent="0.3">
      <c r="A1712" t="str">
        <f t="shared" si="27"/>
        <v>4Redcar and Cleveland</v>
      </c>
      <c r="B1712">
        <v>4</v>
      </c>
      <c r="C1712" t="s">
        <v>263</v>
      </c>
      <c r="D1712" t="s">
        <v>9016</v>
      </c>
      <c r="E1712" t="s">
        <v>842</v>
      </c>
      <c r="F1712" t="s">
        <v>7636</v>
      </c>
      <c r="H1712">
        <v>144301</v>
      </c>
    </row>
    <row r="1713" spans="1:8" x14ac:dyDescent="0.3">
      <c r="A1713" t="str">
        <f t="shared" si="27"/>
        <v>5Redcar and Cleveland</v>
      </c>
      <c r="B1713">
        <v>5</v>
      </c>
      <c r="C1713" t="s">
        <v>263</v>
      </c>
      <c r="D1713" t="s">
        <v>8710</v>
      </c>
      <c r="E1713" t="s">
        <v>812</v>
      </c>
      <c r="H1713">
        <v>20000</v>
      </c>
    </row>
    <row r="1714" spans="1:8" x14ac:dyDescent="0.3">
      <c r="A1714" t="str">
        <f t="shared" si="27"/>
        <v>6Redcar and Cleveland</v>
      </c>
      <c r="B1714">
        <v>6</v>
      </c>
      <c r="C1714" t="s">
        <v>263</v>
      </c>
      <c r="D1714" t="s">
        <v>9017</v>
      </c>
      <c r="E1714" t="s">
        <v>5266</v>
      </c>
      <c r="F1714" t="s">
        <v>7646</v>
      </c>
      <c r="H1714">
        <v>482000</v>
      </c>
    </row>
    <row r="1715" spans="1:8" x14ac:dyDescent="0.3">
      <c r="A1715" t="str">
        <f t="shared" si="27"/>
        <v>7Redcar and Cleveland</v>
      </c>
      <c r="B1715">
        <v>7</v>
      </c>
      <c r="C1715" t="s">
        <v>263</v>
      </c>
      <c r="D1715" t="s">
        <v>8711</v>
      </c>
      <c r="E1715" t="s">
        <v>812</v>
      </c>
      <c r="H1715">
        <v>7500</v>
      </c>
    </row>
    <row r="1716" spans="1:8" x14ac:dyDescent="0.3">
      <c r="A1716" t="str">
        <f t="shared" si="27"/>
        <v>8Redcar and Cleveland</v>
      </c>
      <c r="B1716">
        <v>8</v>
      </c>
      <c r="C1716" t="s">
        <v>263</v>
      </c>
      <c r="D1716" t="s">
        <v>9018</v>
      </c>
      <c r="E1716" t="s">
        <v>806</v>
      </c>
      <c r="F1716" t="s">
        <v>807</v>
      </c>
      <c r="H1716">
        <v>56000</v>
      </c>
    </row>
    <row r="1717" spans="1:8" x14ac:dyDescent="0.3">
      <c r="A1717" t="str">
        <f t="shared" si="27"/>
        <v>9Redcar and Cleveland</v>
      </c>
      <c r="B1717">
        <v>9</v>
      </c>
      <c r="C1717" t="s">
        <v>263</v>
      </c>
      <c r="D1717" t="s">
        <v>9019</v>
      </c>
      <c r="E1717" t="s">
        <v>1106</v>
      </c>
      <c r="F1717" t="s">
        <v>7628</v>
      </c>
      <c r="H1717">
        <v>73650</v>
      </c>
    </row>
    <row r="1718" spans="1:8" x14ac:dyDescent="0.3">
      <c r="A1718" t="str">
        <f t="shared" si="27"/>
        <v>10Redcar and Cleveland</v>
      </c>
      <c r="B1718">
        <v>10</v>
      </c>
      <c r="C1718" t="s">
        <v>263</v>
      </c>
      <c r="D1718" t="s">
        <v>8714</v>
      </c>
      <c r="E1718" t="s">
        <v>812</v>
      </c>
      <c r="H1718">
        <v>53843</v>
      </c>
    </row>
    <row r="1719" spans="1:8" x14ac:dyDescent="0.3">
      <c r="A1719" t="str">
        <f t="shared" si="27"/>
        <v>11Redcar and Cleveland</v>
      </c>
      <c r="B1719">
        <v>11</v>
      </c>
      <c r="C1719" t="s">
        <v>263</v>
      </c>
      <c r="D1719" t="s">
        <v>8715</v>
      </c>
      <c r="E1719" t="s">
        <v>842</v>
      </c>
      <c r="F1719" t="s">
        <v>7636</v>
      </c>
      <c r="H1719">
        <v>17126</v>
      </c>
    </row>
    <row r="1720" spans="1:8" x14ac:dyDescent="0.3">
      <c r="A1720" t="str">
        <f t="shared" si="27"/>
        <v>12Redcar and Cleveland</v>
      </c>
      <c r="B1720">
        <v>12</v>
      </c>
      <c r="C1720" t="s">
        <v>263</v>
      </c>
      <c r="D1720" t="s">
        <v>8718</v>
      </c>
      <c r="E1720" t="s">
        <v>7657</v>
      </c>
      <c r="H1720">
        <v>6209</v>
      </c>
    </row>
    <row r="1721" spans="1:8" x14ac:dyDescent="0.3">
      <c r="A1721" t="str">
        <f t="shared" si="27"/>
        <v>13Redcar and Cleveland</v>
      </c>
      <c r="B1721">
        <v>13</v>
      </c>
      <c r="C1721" t="s">
        <v>263</v>
      </c>
      <c r="D1721" t="s">
        <v>9020</v>
      </c>
      <c r="E1721" t="s">
        <v>5266</v>
      </c>
      <c r="F1721" t="s">
        <v>7639</v>
      </c>
      <c r="H1721">
        <v>42567</v>
      </c>
    </row>
    <row r="1722" spans="1:8" x14ac:dyDescent="0.3">
      <c r="A1722" t="str">
        <f t="shared" si="27"/>
        <v>14Redcar and Cleveland</v>
      </c>
      <c r="B1722">
        <v>14</v>
      </c>
      <c r="C1722" t="s">
        <v>263</v>
      </c>
      <c r="D1722" t="s">
        <v>8416</v>
      </c>
      <c r="E1722" t="s">
        <v>812</v>
      </c>
      <c r="H1722">
        <v>10000</v>
      </c>
    </row>
    <row r="1723" spans="1:8" x14ac:dyDescent="0.3">
      <c r="A1723" t="str">
        <f t="shared" si="27"/>
        <v>15Redcar and Cleveland</v>
      </c>
      <c r="B1723">
        <v>15</v>
      </c>
      <c r="C1723" t="s">
        <v>263</v>
      </c>
      <c r="D1723" t="s">
        <v>8719</v>
      </c>
      <c r="E1723" t="s">
        <v>7649</v>
      </c>
      <c r="F1723" t="s">
        <v>7638</v>
      </c>
      <c r="H1723">
        <v>8813</v>
      </c>
    </row>
    <row r="1724" spans="1:8" x14ac:dyDescent="0.3">
      <c r="A1724" t="str">
        <f t="shared" si="27"/>
        <v>16Redcar and Cleveland</v>
      </c>
      <c r="B1724">
        <v>16</v>
      </c>
      <c r="C1724" t="s">
        <v>263</v>
      </c>
      <c r="D1724" t="s">
        <v>4287</v>
      </c>
      <c r="E1724" t="s">
        <v>842</v>
      </c>
      <c r="F1724" t="s">
        <v>843</v>
      </c>
      <c r="H1724">
        <v>92035</v>
      </c>
    </row>
    <row r="1725" spans="1:8" x14ac:dyDescent="0.3">
      <c r="A1725" t="str">
        <f t="shared" si="27"/>
        <v>17Redcar and Cleveland</v>
      </c>
      <c r="B1725">
        <v>17</v>
      </c>
      <c r="C1725" t="s">
        <v>263</v>
      </c>
      <c r="D1725" t="s">
        <v>8720</v>
      </c>
      <c r="E1725" t="s">
        <v>1113</v>
      </c>
      <c r="F1725" t="s">
        <v>7637</v>
      </c>
      <c r="H1725">
        <v>10690</v>
      </c>
    </row>
    <row r="1726" spans="1:8" x14ac:dyDescent="0.3">
      <c r="A1726" t="str">
        <f t="shared" si="27"/>
        <v>18Redcar and Cleveland</v>
      </c>
      <c r="B1726">
        <v>18</v>
      </c>
      <c r="C1726" t="s">
        <v>263</v>
      </c>
      <c r="D1726" t="s">
        <v>9021</v>
      </c>
      <c r="E1726" t="s">
        <v>1113</v>
      </c>
      <c r="F1726" t="s">
        <v>7637</v>
      </c>
      <c r="H1726">
        <v>14700</v>
      </c>
    </row>
    <row r="1727" spans="1:8" x14ac:dyDescent="0.3">
      <c r="A1727" t="str">
        <f t="shared" si="27"/>
        <v>19Redcar and Cleveland</v>
      </c>
      <c r="B1727">
        <v>19</v>
      </c>
      <c r="C1727" t="s">
        <v>263</v>
      </c>
      <c r="D1727" t="s">
        <v>8724</v>
      </c>
      <c r="E1727" t="s">
        <v>842</v>
      </c>
      <c r="F1727" t="s">
        <v>1594</v>
      </c>
      <c r="H1727">
        <v>5250</v>
      </c>
    </row>
    <row r="1728" spans="1:8" x14ac:dyDescent="0.3">
      <c r="A1728" t="str">
        <f t="shared" si="27"/>
        <v>20Redcar and Cleveland</v>
      </c>
      <c r="B1728">
        <v>20</v>
      </c>
      <c r="C1728" t="s">
        <v>263</v>
      </c>
      <c r="D1728" t="s">
        <v>8725</v>
      </c>
      <c r="E1728" t="s">
        <v>800</v>
      </c>
      <c r="F1728" t="s">
        <v>812</v>
      </c>
      <c r="H1728">
        <v>29896</v>
      </c>
    </row>
    <row r="1729" spans="1:8" x14ac:dyDescent="0.3">
      <c r="A1729" t="str">
        <f t="shared" si="27"/>
        <v>21Redcar and Cleveland</v>
      </c>
      <c r="B1729">
        <v>21</v>
      </c>
      <c r="C1729" t="s">
        <v>263</v>
      </c>
      <c r="D1729" t="s">
        <v>9022</v>
      </c>
      <c r="E1729" t="s">
        <v>812</v>
      </c>
      <c r="H1729">
        <v>19950</v>
      </c>
    </row>
    <row r="1730" spans="1:8" x14ac:dyDescent="0.3">
      <c r="A1730" t="str">
        <f t="shared" si="27"/>
        <v>22Redcar and Cleveland</v>
      </c>
      <c r="B1730">
        <v>22</v>
      </c>
      <c r="C1730" t="s">
        <v>263</v>
      </c>
      <c r="D1730" t="s">
        <v>8726</v>
      </c>
      <c r="E1730" t="s">
        <v>1113</v>
      </c>
      <c r="F1730" t="s">
        <v>812</v>
      </c>
      <c r="H1730">
        <v>5000</v>
      </c>
    </row>
    <row r="1731" spans="1:8" x14ac:dyDescent="0.3">
      <c r="A1731" t="str">
        <f t="shared" si="27"/>
        <v>23Redcar and Cleveland</v>
      </c>
      <c r="B1731">
        <v>23</v>
      </c>
      <c r="C1731" t="s">
        <v>263</v>
      </c>
      <c r="D1731" t="s">
        <v>8727</v>
      </c>
      <c r="E1731" t="s">
        <v>800</v>
      </c>
      <c r="F1731" t="s">
        <v>903</v>
      </c>
      <c r="H1731">
        <v>19100</v>
      </c>
    </row>
    <row r="1732" spans="1:8" x14ac:dyDescent="0.3">
      <c r="A1732" t="str">
        <f t="shared" si="27"/>
        <v>1Richmond upon Thames</v>
      </c>
      <c r="B1732">
        <v>1</v>
      </c>
      <c r="C1732" t="s">
        <v>265</v>
      </c>
      <c r="D1732" t="s">
        <v>6749</v>
      </c>
      <c r="E1732" t="s">
        <v>800</v>
      </c>
      <c r="F1732" t="s">
        <v>903</v>
      </c>
      <c r="H1732">
        <v>225244</v>
      </c>
    </row>
    <row r="1733" spans="1:8" x14ac:dyDescent="0.3">
      <c r="A1733" t="str">
        <f t="shared" si="27"/>
        <v>2Richmond upon Thames</v>
      </c>
      <c r="B1733">
        <v>2</v>
      </c>
      <c r="C1733" t="s">
        <v>265</v>
      </c>
      <c r="D1733" t="s">
        <v>7748</v>
      </c>
      <c r="E1733" t="s">
        <v>842</v>
      </c>
      <c r="F1733" t="s">
        <v>7636</v>
      </c>
      <c r="H1733">
        <v>82145</v>
      </c>
    </row>
    <row r="1734" spans="1:8" x14ac:dyDescent="0.3">
      <c r="A1734" t="str">
        <f t="shared" si="27"/>
        <v>3Richmond upon Thames</v>
      </c>
      <c r="B1734">
        <v>3</v>
      </c>
      <c r="C1734" t="s">
        <v>265</v>
      </c>
      <c r="D1734" t="s">
        <v>6763</v>
      </c>
      <c r="E1734" t="s">
        <v>806</v>
      </c>
      <c r="F1734" t="s">
        <v>807</v>
      </c>
      <c r="H1734">
        <v>201000</v>
      </c>
    </row>
    <row r="1735" spans="1:8" x14ac:dyDescent="0.3">
      <c r="A1735" t="str">
        <f t="shared" ref="A1735:A1798" si="28">B1735&amp;C1735</f>
        <v>4Richmond upon Thames</v>
      </c>
      <c r="B1735">
        <v>4</v>
      </c>
      <c r="C1735" t="s">
        <v>265</v>
      </c>
      <c r="D1735" t="s">
        <v>9023</v>
      </c>
      <c r="E1735" t="s">
        <v>806</v>
      </c>
      <c r="F1735" t="s">
        <v>917</v>
      </c>
      <c r="H1735">
        <v>86800</v>
      </c>
    </row>
    <row r="1736" spans="1:8" x14ac:dyDescent="0.3">
      <c r="A1736" t="str">
        <f t="shared" si="28"/>
        <v>5Richmond upon Thames</v>
      </c>
      <c r="B1736">
        <v>5</v>
      </c>
      <c r="C1736" t="s">
        <v>265</v>
      </c>
      <c r="D1736" t="s">
        <v>9024</v>
      </c>
      <c r="E1736" t="s">
        <v>7649</v>
      </c>
      <c r="F1736" t="s">
        <v>7638</v>
      </c>
      <c r="H1736">
        <v>181255</v>
      </c>
    </row>
    <row r="1737" spans="1:8" x14ac:dyDescent="0.3">
      <c r="A1737" t="str">
        <f t="shared" si="28"/>
        <v>6Richmond upon Thames</v>
      </c>
      <c r="B1737">
        <v>6</v>
      </c>
      <c r="C1737" t="s">
        <v>265</v>
      </c>
      <c r="D1737" t="s">
        <v>9025</v>
      </c>
      <c r="E1737" t="s">
        <v>806</v>
      </c>
      <c r="F1737" t="s">
        <v>812</v>
      </c>
      <c r="H1737">
        <v>297000</v>
      </c>
    </row>
    <row r="1738" spans="1:8" x14ac:dyDescent="0.3">
      <c r="A1738" t="str">
        <f t="shared" si="28"/>
        <v>7Richmond upon Thames</v>
      </c>
      <c r="B1738">
        <v>7</v>
      </c>
      <c r="C1738" t="s">
        <v>265</v>
      </c>
      <c r="D1738" t="s">
        <v>9026</v>
      </c>
      <c r="E1738" t="s">
        <v>7657</v>
      </c>
      <c r="F1738" t="s">
        <v>7632</v>
      </c>
      <c r="H1738">
        <v>206582</v>
      </c>
    </row>
    <row r="1739" spans="1:8" x14ac:dyDescent="0.3">
      <c r="A1739" t="str">
        <f t="shared" si="28"/>
        <v>1Rochdale</v>
      </c>
      <c r="B1739">
        <v>1</v>
      </c>
      <c r="C1739" t="s">
        <v>267</v>
      </c>
      <c r="D1739" t="s">
        <v>9027</v>
      </c>
      <c r="E1739" t="s">
        <v>806</v>
      </c>
      <c r="F1739" t="s">
        <v>812</v>
      </c>
      <c r="H1739">
        <v>100000</v>
      </c>
    </row>
    <row r="1740" spans="1:8" x14ac:dyDescent="0.3">
      <c r="A1740" t="str">
        <f t="shared" si="28"/>
        <v>2Rochdale</v>
      </c>
      <c r="B1740">
        <v>2</v>
      </c>
      <c r="C1740" t="s">
        <v>267</v>
      </c>
      <c r="D1740" t="s">
        <v>9028</v>
      </c>
      <c r="E1740" t="s">
        <v>1106</v>
      </c>
      <c r="F1740" t="s">
        <v>7628</v>
      </c>
      <c r="H1740">
        <v>418000</v>
      </c>
    </row>
    <row r="1741" spans="1:8" x14ac:dyDescent="0.3">
      <c r="A1741" t="str">
        <f t="shared" si="28"/>
        <v>3Rochdale</v>
      </c>
      <c r="B1741">
        <v>3</v>
      </c>
      <c r="C1741" t="s">
        <v>267</v>
      </c>
      <c r="D1741" t="s">
        <v>9029</v>
      </c>
      <c r="E1741" t="s">
        <v>7657</v>
      </c>
      <c r="F1741" t="s">
        <v>7632</v>
      </c>
      <c r="H1741">
        <v>30232</v>
      </c>
    </row>
    <row r="1742" spans="1:8" x14ac:dyDescent="0.3">
      <c r="A1742" t="str">
        <f t="shared" si="28"/>
        <v>4Rochdale</v>
      </c>
      <c r="B1742">
        <v>4</v>
      </c>
      <c r="C1742" t="s">
        <v>267</v>
      </c>
      <c r="D1742" t="s">
        <v>7662</v>
      </c>
      <c r="E1742" t="s">
        <v>7662</v>
      </c>
      <c r="H1742">
        <v>25400</v>
      </c>
    </row>
    <row r="1743" spans="1:8" x14ac:dyDescent="0.3">
      <c r="A1743" t="str">
        <f t="shared" si="28"/>
        <v>5Rochdale</v>
      </c>
      <c r="B1743">
        <v>5</v>
      </c>
      <c r="C1743" t="s">
        <v>267</v>
      </c>
      <c r="D1743" t="s">
        <v>9030</v>
      </c>
      <c r="E1743" t="s">
        <v>7657</v>
      </c>
      <c r="F1743" t="s">
        <v>7632</v>
      </c>
      <c r="H1743">
        <v>135000</v>
      </c>
    </row>
    <row r="1744" spans="1:8" x14ac:dyDescent="0.3">
      <c r="A1744" t="str">
        <f t="shared" si="28"/>
        <v>6Rochdale</v>
      </c>
      <c r="B1744">
        <v>6</v>
      </c>
      <c r="C1744" t="s">
        <v>267</v>
      </c>
      <c r="D1744" t="s">
        <v>9031</v>
      </c>
      <c r="E1744" t="s">
        <v>1113</v>
      </c>
      <c r="F1744" t="s">
        <v>7629</v>
      </c>
      <c r="H1744">
        <v>20160</v>
      </c>
    </row>
    <row r="1745" spans="1:8" x14ac:dyDescent="0.3">
      <c r="A1745" t="str">
        <f t="shared" si="28"/>
        <v>7Rochdale</v>
      </c>
      <c r="B1745">
        <v>7</v>
      </c>
      <c r="C1745" t="s">
        <v>267</v>
      </c>
      <c r="D1745" t="s">
        <v>9032</v>
      </c>
      <c r="E1745" t="s">
        <v>7657</v>
      </c>
      <c r="F1745" t="s">
        <v>7632</v>
      </c>
      <c r="H1745">
        <v>170000</v>
      </c>
    </row>
    <row r="1746" spans="1:8" x14ac:dyDescent="0.3">
      <c r="A1746" t="str">
        <f t="shared" si="28"/>
        <v>8Rochdale</v>
      </c>
      <c r="B1746">
        <v>8</v>
      </c>
      <c r="C1746" t="s">
        <v>267</v>
      </c>
      <c r="D1746" t="s">
        <v>9033</v>
      </c>
      <c r="E1746" t="s">
        <v>806</v>
      </c>
      <c r="F1746" t="s">
        <v>807</v>
      </c>
      <c r="H1746">
        <v>480000</v>
      </c>
    </row>
    <row r="1747" spans="1:8" x14ac:dyDescent="0.3">
      <c r="A1747" t="str">
        <f t="shared" si="28"/>
        <v>9Rochdale</v>
      </c>
      <c r="B1747">
        <v>9</v>
      </c>
      <c r="C1747" t="s">
        <v>267</v>
      </c>
      <c r="D1747" t="s">
        <v>9034</v>
      </c>
      <c r="E1747" t="s">
        <v>842</v>
      </c>
      <c r="F1747" t="s">
        <v>7636</v>
      </c>
      <c r="H1747">
        <v>200000</v>
      </c>
    </row>
    <row r="1748" spans="1:8" x14ac:dyDescent="0.3">
      <c r="A1748" t="str">
        <f t="shared" si="28"/>
        <v>10Rochdale</v>
      </c>
      <c r="B1748">
        <v>10</v>
      </c>
      <c r="C1748" t="s">
        <v>267</v>
      </c>
      <c r="D1748" t="s">
        <v>9035</v>
      </c>
      <c r="E1748" t="s">
        <v>7657</v>
      </c>
      <c r="F1748" t="s">
        <v>7632</v>
      </c>
      <c r="H1748">
        <v>75000</v>
      </c>
    </row>
    <row r="1749" spans="1:8" x14ac:dyDescent="0.3">
      <c r="A1749" t="str">
        <f t="shared" si="28"/>
        <v>11Rochdale</v>
      </c>
      <c r="B1749">
        <v>11</v>
      </c>
      <c r="C1749" t="s">
        <v>267</v>
      </c>
      <c r="D1749" t="s">
        <v>9036</v>
      </c>
      <c r="E1749" t="s">
        <v>800</v>
      </c>
      <c r="F1749" t="s">
        <v>903</v>
      </c>
      <c r="H1749">
        <v>68000</v>
      </c>
    </row>
    <row r="1750" spans="1:8" x14ac:dyDescent="0.3">
      <c r="A1750" t="str">
        <f t="shared" si="28"/>
        <v>12Rochdale</v>
      </c>
      <c r="B1750">
        <v>12</v>
      </c>
      <c r="C1750" t="s">
        <v>267</v>
      </c>
      <c r="D1750" t="s">
        <v>9037</v>
      </c>
      <c r="E1750" t="s">
        <v>1113</v>
      </c>
      <c r="F1750" t="s">
        <v>7629</v>
      </c>
      <c r="H1750">
        <v>180000</v>
      </c>
    </row>
    <row r="1751" spans="1:8" x14ac:dyDescent="0.3">
      <c r="A1751" t="str">
        <f t="shared" si="28"/>
        <v>13Rochdale</v>
      </c>
      <c r="B1751">
        <v>13</v>
      </c>
      <c r="C1751" t="s">
        <v>267</v>
      </c>
      <c r="D1751" t="s">
        <v>9038</v>
      </c>
      <c r="E1751" t="s">
        <v>7657</v>
      </c>
      <c r="F1751" t="s">
        <v>7632</v>
      </c>
      <c r="H1751">
        <v>81000</v>
      </c>
    </row>
    <row r="1752" spans="1:8" x14ac:dyDescent="0.3">
      <c r="A1752" t="str">
        <f t="shared" si="28"/>
        <v>14Rochdale</v>
      </c>
      <c r="B1752">
        <v>14</v>
      </c>
      <c r="C1752" t="s">
        <v>267</v>
      </c>
      <c r="D1752" t="s">
        <v>9039</v>
      </c>
      <c r="E1752" t="s">
        <v>7649</v>
      </c>
      <c r="F1752" t="s">
        <v>7638</v>
      </c>
      <c r="H1752">
        <v>129000</v>
      </c>
    </row>
    <row r="1753" spans="1:8" x14ac:dyDescent="0.3">
      <c r="A1753" t="str">
        <f t="shared" si="28"/>
        <v>15Rochdale</v>
      </c>
      <c r="B1753">
        <v>15</v>
      </c>
      <c r="C1753" t="s">
        <v>267</v>
      </c>
      <c r="D1753" t="s">
        <v>9040</v>
      </c>
      <c r="E1753" t="s">
        <v>1113</v>
      </c>
      <c r="F1753" t="s">
        <v>7629</v>
      </c>
      <c r="H1753">
        <v>100000</v>
      </c>
    </row>
    <row r="1754" spans="1:8" x14ac:dyDescent="0.3">
      <c r="A1754" t="str">
        <f t="shared" si="28"/>
        <v>16Rochdale</v>
      </c>
      <c r="B1754">
        <v>16</v>
      </c>
      <c r="C1754" t="s">
        <v>267</v>
      </c>
      <c r="D1754" t="s">
        <v>9041</v>
      </c>
      <c r="E1754" t="s">
        <v>1113</v>
      </c>
      <c r="F1754" t="s">
        <v>7629</v>
      </c>
      <c r="H1754">
        <v>30000</v>
      </c>
    </row>
    <row r="1755" spans="1:8" x14ac:dyDescent="0.3">
      <c r="A1755" t="str">
        <f t="shared" si="28"/>
        <v>17Rochdale</v>
      </c>
      <c r="B1755">
        <v>17</v>
      </c>
      <c r="C1755" t="s">
        <v>267</v>
      </c>
      <c r="D1755" t="s">
        <v>9042</v>
      </c>
      <c r="E1755" t="s">
        <v>800</v>
      </c>
      <c r="F1755" t="s">
        <v>812</v>
      </c>
      <c r="H1755">
        <v>100000</v>
      </c>
    </row>
    <row r="1756" spans="1:8" x14ac:dyDescent="0.3">
      <c r="A1756" t="str">
        <f t="shared" si="28"/>
        <v>18Rochdale</v>
      </c>
      <c r="B1756">
        <v>18</v>
      </c>
      <c r="C1756" t="s">
        <v>267</v>
      </c>
      <c r="D1756" t="s">
        <v>9043</v>
      </c>
      <c r="E1756" t="s">
        <v>5266</v>
      </c>
      <c r="F1756" t="s">
        <v>7639</v>
      </c>
      <c r="H1756">
        <v>200000</v>
      </c>
    </row>
    <row r="1757" spans="1:8" x14ac:dyDescent="0.3">
      <c r="A1757" t="str">
        <f t="shared" si="28"/>
        <v>1Rotherham</v>
      </c>
      <c r="B1757">
        <v>1</v>
      </c>
      <c r="C1757" t="s">
        <v>269</v>
      </c>
      <c r="D1757" t="s">
        <v>7662</v>
      </c>
      <c r="E1757" t="s">
        <v>7662</v>
      </c>
      <c r="H1757">
        <v>27730</v>
      </c>
    </row>
    <row r="1758" spans="1:8" x14ac:dyDescent="0.3">
      <c r="A1758" t="str">
        <f t="shared" si="28"/>
        <v>2Rotherham</v>
      </c>
      <c r="B1758">
        <v>2</v>
      </c>
      <c r="C1758" t="s">
        <v>269</v>
      </c>
      <c r="D1758" t="s">
        <v>9044</v>
      </c>
      <c r="E1758" t="s">
        <v>7657</v>
      </c>
      <c r="F1758" t="s">
        <v>7632</v>
      </c>
      <c r="H1758">
        <v>15000</v>
      </c>
    </row>
    <row r="1759" spans="1:8" x14ac:dyDescent="0.3">
      <c r="A1759" t="str">
        <f t="shared" si="28"/>
        <v>3Rotherham</v>
      </c>
      <c r="B1759">
        <v>3</v>
      </c>
      <c r="C1759" t="s">
        <v>269</v>
      </c>
      <c r="D1759" t="s">
        <v>9045</v>
      </c>
      <c r="E1759" t="s">
        <v>7657</v>
      </c>
      <c r="F1759" t="s">
        <v>7644</v>
      </c>
      <c r="H1759">
        <v>12083</v>
      </c>
    </row>
    <row r="1760" spans="1:8" x14ac:dyDescent="0.3">
      <c r="A1760" t="str">
        <f t="shared" si="28"/>
        <v>4Rotherham</v>
      </c>
      <c r="B1760">
        <v>4</v>
      </c>
      <c r="C1760" t="s">
        <v>269</v>
      </c>
      <c r="D1760" t="s">
        <v>9046</v>
      </c>
      <c r="E1760" t="s">
        <v>7657</v>
      </c>
      <c r="F1760" t="s">
        <v>7632</v>
      </c>
      <c r="H1760">
        <v>30400</v>
      </c>
    </row>
    <row r="1761" spans="1:8" x14ac:dyDescent="0.3">
      <c r="A1761" t="str">
        <f t="shared" si="28"/>
        <v>5Rotherham</v>
      </c>
      <c r="B1761">
        <v>5</v>
      </c>
      <c r="C1761" t="s">
        <v>269</v>
      </c>
      <c r="D1761" t="s">
        <v>9047</v>
      </c>
      <c r="E1761" t="s">
        <v>1106</v>
      </c>
      <c r="F1761" t="s">
        <v>7628</v>
      </c>
      <c r="H1761">
        <v>711264</v>
      </c>
    </row>
    <row r="1762" spans="1:8" x14ac:dyDescent="0.3">
      <c r="A1762" t="str">
        <f t="shared" si="28"/>
        <v>6Rotherham</v>
      </c>
      <c r="B1762">
        <v>6</v>
      </c>
      <c r="C1762" t="s">
        <v>269</v>
      </c>
      <c r="D1762" t="s">
        <v>9048</v>
      </c>
      <c r="E1762" t="s">
        <v>5266</v>
      </c>
      <c r="F1762" t="s">
        <v>7646</v>
      </c>
      <c r="H1762">
        <v>137387</v>
      </c>
    </row>
    <row r="1763" spans="1:8" x14ac:dyDescent="0.3">
      <c r="A1763" t="str">
        <f t="shared" si="28"/>
        <v>7Rotherham</v>
      </c>
      <c r="B1763">
        <v>7</v>
      </c>
      <c r="C1763" t="s">
        <v>269</v>
      </c>
      <c r="D1763" t="s">
        <v>9049</v>
      </c>
      <c r="E1763" t="s">
        <v>5266</v>
      </c>
      <c r="F1763" t="s">
        <v>7646</v>
      </c>
      <c r="H1763">
        <v>66704</v>
      </c>
    </row>
    <row r="1764" spans="1:8" x14ac:dyDescent="0.3">
      <c r="A1764" t="str">
        <f t="shared" si="28"/>
        <v>8Rotherham</v>
      </c>
      <c r="B1764">
        <v>8</v>
      </c>
      <c r="C1764" t="s">
        <v>269</v>
      </c>
      <c r="D1764" t="s">
        <v>9050</v>
      </c>
      <c r="E1764" t="s">
        <v>800</v>
      </c>
      <c r="F1764" t="s">
        <v>903</v>
      </c>
      <c r="H1764">
        <v>124000</v>
      </c>
    </row>
    <row r="1765" spans="1:8" x14ac:dyDescent="0.3">
      <c r="A1765" t="str">
        <f t="shared" si="28"/>
        <v>9Rotherham</v>
      </c>
      <c r="B1765">
        <v>9</v>
      </c>
      <c r="C1765" t="s">
        <v>269</v>
      </c>
      <c r="D1765" t="s">
        <v>9051</v>
      </c>
      <c r="E1765" t="s">
        <v>1113</v>
      </c>
      <c r="F1765" t="s">
        <v>7637</v>
      </c>
      <c r="H1765">
        <v>45000</v>
      </c>
    </row>
    <row r="1766" spans="1:8" x14ac:dyDescent="0.3">
      <c r="A1766" t="str">
        <f t="shared" si="28"/>
        <v>10Rotherham</v>
      </c>
      <c r="B1766">
        <v>10</v>
      </c>
      <c r="C1766" t="s">
        <v>269</v>
      </c>
      <c r="D1766" t="s">
        <v>9052</v>
      </c>
      <c r="E1766" t="s">
        <v>7649</v>
      </c>
      <c r="F1766" t="s">
        <v>7638</v>
      </c>
      <c r="H1766">
        <v>10970.75</v>
      </c>
    </row>
    <row r="1767" spans="1:8" x14ac:dyDescent="0.3">
      <c r="A1767" t="str">
        <f t="shared" si="28"/>
        <v>11Rotherham</v>
      </c>
      <c r="B1767">
        <v>11</v>
      </c>
      <c r="C1767" t="s">
        <v>269</v>
      </c>
      <c r="D1767" t="s">
        <v>9053</v>
      </c>
      <c r="E1767" t="s">
        <v>7657</v>
      </c>
      <c r="F1767" t="s">
        <v>7640</v>
      </c>
      <c r="H1767">
        <v>216719.03759999998</v>
      </c>
    </row>
    <row r="1768" spans="1:8" x14ac:dyDescent="0.3">
      <c r="A1768" t="str">
        <f t="shared" si="28"/>
        <v>12Rotherham</v>
      </c>
      <c r="B1768">
        <v>12</v>
      </c>
      <c r="C1768" t="s">
        <v>269</v>
      </c>
      <c r="D1768" t="s">
        <v>9054</v>
      </c>
      <c r="E1768" t="s">
        <v>7657</v>
      </c>
      <c r="F1768" t="s">
        <v>7632</v>
      </c>
      <c r="H1768">
        <v>254869</v>
      </c>
    </row>
    <row r="1769" spans="1:8" x14ac:dyDescent="0.3">
      <c r="A1769" t="str">
        <f t="shared" si="28"/>
        <v>13Rotherham</v>
      </c>
      <c r="B1769">
        <v>13</v>
      </c>
      <c r="C1769" t="s">
        <v>269</v>
      </c>
      <c r="D1769" t="s">
        <v>9055</v>
      </c>
      <c r="E1769" t="s">
        <v>7649</v>
      </c>
      <c r="H1769">
        <v>10000</v>
      </c>
    </row>
    <row r="1770" spans="1:8" x14ac:dyDescent="0.3">
      <c r="A1770" t="str">
        <f t="shared" si="28"/>
        <v>14Rotherham</v>
      </c>
      <c r="B1770">
        <v>14</v>
      </c>
      <c r="C1770" t="s">
        <v>269</v>
      </c>
      <c r="D1770" t="s">
        <v>9056</v>
      </c>
      <c r="E1770" t="s">
        <v>1113</v>
      </c>
      <c r="H1770">
        <v>5000</v>
      </c>
    </row>
    <row r="1771" spans="1:8" x14ac:dyDescent="0.3">
      <c r="A1771" t="str">
        <f t="shared" si="28"/>
        <v>15Rotherham</v>
      </c>
      <c r="B1771">
        <v>15</v>
      </c>
      <c r="C1771" t="s">
        <v>269</v>
      </c>
      <c r="D1771" t="s">
        <v>9057</v>
      </c>
      <c r="E1771" t="s">
        <v>7657</v>
      </c>
      <c r="F1771" t="s">
        <v>7640</v>
      </c>
      <c r="H1771">
        <v>20000</v>
      </c>
    </row>
    <row r="1772" spans="1:8" x14ac:dyDescent="0.3">
      <c r="A1772" t="str">
        <f t="shared" si="28"/>
        <v>16Rotherham</v>
      </c>
      <c r="B1772">
        <v>16</v>
      </c>
      <c r="C1772" t="s">
        <v>269</v>
      </c>
      <c r="D1772" t="s">
        <v>9058</v>
      </c>
      <c r="E1772" t="s">
        <v>7657</v>
      </c>
      <c r="F1772" t="s">
        <v>7640</v>
      </c>
      <c r="H1772">
        <v>15000</v>
      </c>
    </row>
    <row r="1773" spans="1:8" x14ac:dyDescent="0.3">
      <c r="A1773" t="str">
        <f t="shared" si="28"/>
        <v>17Rotherham</v>
      </c>
      <c r="B1773">
        <v>17</v>
      </c>
      <c r="C1773" t="s">
        <v>269</v>
      </c>
      <c r="D1773" t="s">
        <v>2575</v>
      </c>
      <c r="E1773" t="s">
        <v>7657</v>
      </c>
      <c r="F1773" t="s">
        <v>7632</v>
      </c>
      <c r="H1773">
        <v>12083</v>
      </c>
    </row>
    <row r="1774" spans="1:8" x14ac:dyDescent="0.3">
      <c r="A1774" t="str">
        <f t="shared" si="28"/>
        <v>18Rotherham</v>
      </c>
      <c r="B1774">
        <v>18</v>
      </c>
      <c r="C1774" t="s">
        <v>269</v>
      </c>
      <c r="D1774" t="s">
        <v>9059</v>
      </c>
      <c r="E1774" t="s">
        <v>5266</v>
      </c>
      <c r="F1774" t="s">
        <v>7639</v>
      </c>
      <c r="H1774">
        <v>219310</v>
      </c>
    </row>
    <row r="1775" spans="1:8" x14ac:dyDescent="0.3">
      <c r="A1775" t="str">
        <f t="shared" si="28"/>
        <v>19Rotherham</v>
      </c>
      <c r="B1775">
        <v>19</v>
      </c>
      <c r="C1775" t="s">
        <v>269</v>
      </c>
      <c r="D1775" t="s">
        <v>9060</v>
      </c>
      <c r="E1775" t="s">
        <v>7657</v>
      </c>
      <c r="F1775" t="s">
        <v>7632</v>
      </c>
      <c r="H1775">
        <v>21090</v>
      </c>
    </row>
    <row r="1776" spans="1:8" x14ac:dyDescent="0.3">
      <c r="A1776" t="str">
        <f t="shared" si="28"/>
        <v>20Rotherham</v>
      </c>
      <c r="B1776">
        <v>20</v>
      </c>
      <c r="C1776" t="s">
        <v>269</v>
      </c>
      <c r="D1776" t="s">
        <v>9061</v>
      </c>
      <c r="E1776" t="s">
        <v>7657</v>
      </c>
      <c r="F1776" t="s">
        <v>7632</v>
      </c>
      <c r="H1776">
        <v>152625</v>
      </c>
    </row>
    <row r="1777" spans="1:8" x14ac:dyDescent="0.3">
      <c r="A1777" t="str">
        <f t="shared" si="28"/>
        <v>21Rotherham</v>
      </c>
      <c r="B1777">
        <v>21</v>
      </c>
      <c r="C1777" t="s">
        <v>269</v>
      </c>
      <c r="D1777" t="s">
        <v>9062</v>
      </c>
      <c r="E1777" t="s">
        <v>7657</v>
      </c>
      <c r="F1777" t="s">
        <v>7640</v>
      </c>
      <c r="H1777">
        <v>29392.7</v>
      </c>
    </row>
    <row r="1778" spans="1:8" x14ac:dyDescent="0.3">
      <c r="A1778" t="str">
        <f t="shared" si="28"/>
        <v>22Rotherham</v>
      </c>
      <c r="B1778">
        <v>22</v>
      </c>
      <c r="C1778" t="s">
        <v>269</v>
      </c>
      <c r="D1778" t="s">
        <v>9063</v>
      </c>
      <c r="E1778" t="s">
        <v>1106</v>
      </c>
      <c r="F1778" t="s">
        <v>812</v>
      </c>
      <c r="H1778">
        <v>60750</v>
      </c>
    </row>
    <row r="1779" spans="1:8" x14ac:dyDescent="0.3">
      <c r="A1779" t="str">
        <f t="shared" si="28"/>
        <v>23Rotherham</v>
      </c>
      <c r="B1779">
        <v>23</v>
      </c>
      <c r="C1779" t="s">
        <v>269</v>
      </c>
      <c r="D1779" t="s">
        <v>9064</v>
      </c>
      <c r="E1779" t="s">
        <v>7649</v>
      </c>
      <c r="F1779" t="s">
        <v>7638</v>
      </c>
      <c r="H1779">
        <v>63216.25</v>
      </c>
    </row>
    <row r="1780" spans="1:8" x14ac:dyDescent="0.3">
      <c r="A1780" t="str">
        <f t="shared" si="28"/>
        <v>24Rotherham</v>
      </c>
      <c r="B1780">
        <v>24</v>
      </c>
      <c r="C1780" t="s">
        <v>269</v>
      </c>
      <c r="D1780" t="s">
        <v>954</v>
      </c>
      <c r="E1780" t="s">
        <v>806</v>
      </c>
      <c r="F1780" t="s">
        <v>807</v>
      </c>
      <c r="H1780">
        <v>86760</v>
      </c>
    </row>
    <row r="1781" spans="1:8" x14ac:dyDescent="0.3">
      <c r="A1781" t="str">
        <f t="shared" si="28"/>
        <v>25Rotherham</v>
      </c>
      <c r="B1781">
        <v>25</v>
      </c>
      <c r="C1781" t="s">
        <v>269</v>
      </c>
      <c r="D1781" t="s">
        <v>9065</v>
      </c>
      <c r="E1781" t="s">
        <v>1106</v>
      </c>
      <c r="F1781" t="s">
        <v>7628</v>
      </c>
      <c r="H1781">
        <v>127761</v>
      </c>
    </row>
    <row r="1782" spans="1:8" x14ac:dyDescent="0.3">
      <c r="A1782" t="str">
        <f t="shared" si="28"/>
        <v>26Rotherham</v>
      </c>
      <c r="B1782">
        <v>26</v>
      </c>
      <c r="C1782" t="s">
        <v>269</v>
      </c>
      <c r="D1782" t="s">
        <v>9066</v>
      </c>
      <c r="E1782" t="s">
        <v>7657</v>
      </c>
      <c r="F1782" t="s">
        <v>7632</v>
      </c>
      <c r="H1782">
        <v>59250</v>
      </c>
    </row>
    <row r="1783" spans="1:8" x14ac:dyDescent="0.3">
      <c r="A1783" t="str">
        <f t="shared" si="28"/>
        <v>27Rotherham</v>
      </c>
      <c r="B1783">
        <v>27</v>
      </c>
      <c r="C1783" t="s">
        <v>269</v>
      </c>
      <c r="D1783" t="s">
        <v>9067</v>
      </c>
      <c r="E1783" t="s">
        <v>806</v>
      </c>
      <c r="F1783" t="s">
        <v>7642</v>
      </c>
      <c r="H1783">
        <v>15000</v>
      </c>
    </row>
    <row r="1784" spans="1:8" x14ac:dyDescent="0.3">
      <c r="A1784" t="str">
        <f t="shared" si="28"/>
        <v>28Rotherham</v>
      </c>
      <c r="B1784">
        <v>28</v>
      </c>
      <c r="C1784" t="s">
        <v>269</v>
      </c>
      <c r="D1784" t="s">
        <v>9068</v>
      </c>
      <c r="E1784" t="s">
        <v>800</v>
      </c>
      <c r="F1784" t="s">
        <v>812</v>
      </c>
      <c r="H1784">
        <v>60500</v>
      </c>
    </row>
    <row r="1785" spans="1:8" x14ac:dyDescent="0.3">
      <c r="A1785" t="str">
        <f t="shared" si="28"/>
        <v>29Rotherham</v>
      </c>
      <c r="B1785">
        <v>29</v>
      </c>
      <c r="C1785" t="s">
        <v>269</v>
      </c>
      <c r="D1785" t="s">
        <v>9069</v>
      </c>
      <c r="E1785" t="s">
        <v>7657</v>
      </c>
      <c r="F1785" t="s">
        <v>7632</v>
      </c>
      <c r="H1785">
        <v>104032</v>
      </c>
    </row>
    <row r="1786" spans="1:8" x14ac:dyDescent="0.3">
      <c r="A1786" t="str">
        <f t="shared" si="28"/>
        <v>30Rotherham</v>
      </c>
      <c r="B1786">
        <v>30</v>
      </c>
      <c r="C1786" t="s">
        <v>269</v>
      </c>
      <c r="D1786" t="s">
        <v>9070</v>
      </c>
      <c r="E1786" t="s">
        <v>1113</v>
      </c>
      <c r="F1786" t="s">
        <v>7629</v>
      </c>
      <c r="H1786">
        <v>30000</v>
      </c>
    </row>
    <row r="1787" spans="1:8" x14ac:dyDescent="0.3">
      <c r="A1787" t="str">
        <f t="shared" si="28"/>
        <v>31Rotherham</v>
      </c>
      <c r="B1787">
        <v>31</v>
      </c>
      <c r="C1787" t="s">
        <v>269</v>
      </c>
      <c r="D1787" t="s">
        <v>9071</v>
      </c>
      <c r="E1787" t="s">
        <v>1113</v>
      </c>
      <c r="F1787" t="s">
        <v>7629</v>
      </c>
      <c r="H1787">
        <v>29176</v>
      </c>
    </row>
    <row r="1788" spans="1:8" x14ac:dyDescent="0.3">
      <c r="A1788" t="str">
        <f t="shared" si="28"/>
        <v>1Rutland</v>
      </c>
      <c r="B1788">
        <v>1</v>
      </c>
      <c r="C1788" t="s">
        <v>271</v>
      </c>
      <c r="D1788" t="s">
        <v>7749</v>
      </c>
      <c r="E1788" t="s">
        <v>7657</v>
      </c>
      <c r="F1788" t="s">
        <v>7640</v>
      </c>
      <c r="H1788">
        <v>1552</v>
      </c>
    </row>
    <row r="1789" spans="1:8" x14ac:dyDescent="0.3">
      <c r="A1789" t="str">
        <f t="shared" si="28"/>
        <v>2Rutland</v>
      </c>
      <c r="B1789">
        <v>2</v>
      </c>
      <c r="C1789" t="s">
        <v>271</v>
      </c>
      <c r="D1789" t="s">
        <v>9072</v>
      </c>
      <c r="E1789" t="s">
        <v>800</v>
      </c>
      <c r="F1789" t="s">
        <v>2108</v>
      </c>
      <c r="H1789">
        <v>5000</v>
      </c>
    </row>
    <row r="1790" spans="1:8" x14ac:dyDescent="0.3">
      <c r="A1790" t="str">
        <f t="shared" si="28"/>
        <v>3Rutland</v>
      </c>
      <c r="B1790">
        <v>3</v>
      </c>
      <c r="C1790" t="s">
        <v>271</v>
      </c>
      <c r="D1790" t="s">
        <v>8620</v>
      </c>
      <c r="E1790" t="s">
        <v>1106</v>
      </c>
      <c r="F1790" t="s">
        <v>7628</v>
      </c>
      <c r="H1790">
        <v>22800</v>
      </c>
    </row>
    <row r="1791" spans="1:8" x14ac:dyDescent="0.3">
      <c r="A1791" t="str">
        <f t="shared" si="28"/>
        <v>4Rutland</v>
      </c>
      <c r="B1791">
        <v>4</v>
      </c>
      <c r="C1791" t="s">
        <v>271</v>
      </c>
      <c r="D1791" t="s">
        <v>8621</v>
      </c>
      <c r="E1791" t="s">
        <v>7657</v>
      </c>
      <c r="F1791" t="s">
        <v>7640</v>
      </c>
      <c r="H1791">
        <v>9159</v>
      </c>
    </row>
    <row r="1792" spans="1:8" x14ac:dyDescent="0.3">
      <c r="A1792" t="str">
        <f t="shared" si="28"/>
        <v>5Rutland</v>
      </c>
      <c r="B1792">
        <v>5</v>
      </c>
      <c r="C1792" t="s">
        <v>271</v>
      </c>
      <c r="D1792" t="s">
        <v>9073</v>
      </c>
      <c r="E1792" t="s">
        <v>7657</v>
      </c>
      <c r="F1792" t="s">
        <v>7640</v>
      </c>
      <c r="H1792">
        <v>6000</v>
      </c>
    </row>
    <row r="1793" spans="1:8" x14ac:dyDescent="0.3">
      <c r="A1793" t="str">
        <f t="shared" si="28"/>
        <v>6Rutland</v>
      </c>
      <c r="B1793">
        <v>6</v>
      </c>
      <c r="C1793" t="s">
        <v>271</v>
      </c>
      <c r="D1793" t="s">
        <v>9074</v>
      </c>
      <c r="E1793" t="s">
        <v>842</v>
      </c>
      <c r="F1793" t="s">
        <v>7636</v>
      </c>
      <c r="H1793">
        <v>51560</v>
      </c>
    </row>
    <row r="1794" spans="1:8" x14ac:dyDescent="0.3">
      <c r="A1794" t="str">
        <f t="shared" si="28"/>
        <v>7Rutland</v>
      </c>
      <c r="B1794">
        <v>7</v>
      </c>
      <c r="C1794" t="s">
        <v>271</v>
      </c>
      <c r="D1794" t="s">
        <v>8819</v>
      </c>
      <c r="E1794" t="s">
        <v>7649</v>
      </c>
      <c r="F1794" t="s">
        <v>7704</v>
      </c>
      <c r="H1794">
        <v>3100</v>
      </c>
    </row>
    <row r="1795" spans="1:8" x14ac:dyDescent="0.3">
      <c r="A1795" t="str">
        <f t="shared" si="28"/>
        <v>8Rutland</v>
      </c>
      <c r="B1795">
        <v>8</v>
      </c>
      <c r="C1795" t="s">
        <v>271</v>
      </c>
      <c r="D1795" t="s">
        <v>4233</v>
      </c>
      <c r="E1795" t="s">
        <v>1106</v>
      </c>
      <c r="F1795" t="s">
        <v>7628</v>
      </c>
      <c r="H1795">
        <v>90000</v>
      </c>
    </row>
    <row r="1796" spans="1:8" x14ac:dyDescent="0.3">
      <c r="A1796" t="str">
        <f t="shared" si="28"/>
        <v>9Rutland</v>
      </c>
      <c r="B1796">
        <v>9</v>
      </c>
      <c r="C1796" t="s">
        <v>271</v>
      </c>
      <c r="D1796" t="s">
        <v>8631</v>
      </c>
      <c r="E1796" t="s">
        <v>5266</v>
      </c>
      <c r="F1796" t="s">
        <v>7631</v>
      </c>
      <c r="H1796">
        <v>20000</v>
      </c>
    </row>
    <row r="1797" spans="1:8" x14ac:dyDescent="0.3">
      <c r="A1797" t="str">
        <f t="shared" si="28"/>
        <v>10Rutland</v>
      </c>
      <c r="B1797">
        <v>10</v>
      </c>
      <c r="C1797" t="s">
        <v>271</v>
      </c>
      <c r="D1797" t="s">
        <v>9075</v>
      </c>
      <c r="E1797" t="s">
        <v>812</v>
      </c>
      <c r="F1797" t="s">
        <v>7704</v>
      </c>
      <c r="H1797">
        <v>20000</v>
      </c>
    </row>
    <row r="1798" spans="1:8" x14ac:dyDescent="0.3">
      <c r="A1798" t="str">
        <f t="shared" si="28"/>
        <v>11Rutland</v>
      </c>
      <c r="B1798">
        <v>11</v>
      </c>
      <c r="C1798" t="s">
        <v>271</v>
      </c>
      <c r="D1798" t="s">
        <v>9076</v>
      </c>
      <c r="E1798" t="s">
        <v>842</v>
      </c>
      <c r="F1798" t="s">
        <v>7636</v>
      </c>
      <c r="H1798">
        <v>39200</v>
      </c>
    </row>
    <row r="1799" spans="1:8" x14ac:dyDescent="0.3">
      <c r="A1799" t="str">
        <f t="shared" ref="A1799:A1862" si="29">B1799&amp;C1799</f>
        <v>1Salford</v>
      </c>
      <c r="B1799">
        <v>1</v>
      </c>
      <c r="C1799" t="s">
        <v>273</v>
      </c>
      <c r="D1799" t="s">
        <v>9077</v>
      </c>
      <c r="E1799" t="s">
        <v>806</v>
      </c>
      <c r="F1799" t="s">
        <v>812</v>
      </c>
      <c r="H1799">
        <v>72000</v>
      </c>
    </row>
    <row r="1800" spans="1:8" x14ac:dyDescent="0.3">
      <c r="A1800" t="str">
        <f t="shared" si="29"/>
        <v>2Salford</v>
      </c>
      <c r="B1800">
        <v>2</v>
      </c>
      <c r="C1800" t="s">
        <v>273</v>
      </c>
      <c r="D1800" t="s">
        <v>9078</v>
      </c>
      <c r="E1800" t="s">
        <v>806</v>
      </c>
      <c r="F1800" t="s">
        <v>812</v>
      </c>
      <c r="H1800">
        <v>312000</v>
      </c>
    </row>
    <row r="1801" spans="1:8" x14ac:dyDescent="0.3">
      <c r="A1801" t="str">
        <f t="shared" si="29"/>
        <v>3Salford</v>
      </c>
      <c r="B1801">
        <v>3</v>
      </c>
      <c r="C1801" t="s">
        <v>273</v>
      </c>
      <c r="D1801" t="s">
        <v>9079</v>
      </c>
      <c r="E1801" t="s">
        <v>806</v>
      </c>
      <c r="F1801" t="s">
        <v>812</v>
      </c>
      <c r="H1801">
        <v>414000</v>
      </c>
    </row>
    <row r="1802" spans="1:8" x14ac:dyDescent="0.3">
      <c r="A1802" t="str">
        <f t="shared" si="29"/>
        <v>4Salford</v>
      </c>
      <c r="B1802">
        <v>4</v>
      </c>
      <c r="C1802" t="s">
        <v>273</v>
      </c>
      <c r="D1802" t="s">
        <v>9080</v>
      </c>
      <c r="E1802" t="s">
        <v>800</v>
      </c>
      <c r="F1802" t="s">
        <v>903</v>
      </c>
      <c r="H1802">
        <v>200000</v>
      </c>
    </row>
    <row r="1803" spans="1:8" x14ac:dyDescent="0.3">
      <c r="A1803" t="str">
        <f t="shared" si="29"/>
        <v>5Salford</v>
      </c>
      <c r="B1803">
        <v>5</v>
      </c>
      <c r="C1803" t="s">
        <v>273</v>
      </c>
      <c r="D1803" t="s">
        <v>9081</v>
      </c>
      <c r="E1803" t="s">
        <v>842</v>
      </c>
      <c r="F1803" t="s">
        <v>7636</v>
      </c>
      <c r="H1803">
        <v>700000</v>
      </c>
    </row>
    <row r="1804" spans="1:8" x14ac:dyDescent="0.3">
      <c r="A1804" t="str">
        <f t="shared" si="29"/>
        <v>6Salford</v>
      </c>
      <c r="B1804">
        <v>6</v>
      </c>
      <c r="C1804" t="s">
        <v>273</v>
      </c>
      <c r="D1804" t="s">
        <v>9082</v>
      </c>
      <c r="E1804" t="s">
        <v>842</v>
      </c>
      <c r="F1804" t="s">
        <v>7636</v>
      </c>
      <c r="H1804">
        <v>300000</v>
      </c>
    </row>
    <row r="1805" spans="1:8" x14ac:dyDescent="0.3">
      <c r="A1805" t="str">
        <f t="shared" si="29"/>
        <v>7Salford</v>
      </c>
      <c r="B1805">
        <v>7</v>
      </c>
      <c r="C1805" t="s">
        <v>273</v>
      </c>
      <c r="D1805" t="s">
        <v>9083</v>
      </c>
      <c r="E1805" t="s">
        <v>1113</v>
      </c>
      <c r="F1805" t="s">
        <v>7629</v>
      </c>
      <c r="H1805">
        <v>300000</v>
      </c>
    </row>
    <row r="1806" spans="1:8" x14ac:dyDescent="0.3">
      <c r="A1806" t="str">
        <f t="shared" si="29"/>
        <v>8Salford</v>
      </c>
      <c r="B1806">
        <v>8</v>
      </c>
      <c r="C1806" t="s">
        <v>273</v>
      </c>
      <c r="D1806" t="s">
        <v>9084</v>
      </c>
      <c r="E1806" t="s">
        <v>1106</v>
      </c>
      <c r="F1806" t="s">
        <v>7628</v>
      </c>
      <c r="H1806">
        <v>250000</v>
      </c>
    </row>
    <row r="1807" spans="1:8" x14ac:dyDescent="0.3">
      <c r="A1807" t="str">
        <f t="shared" si="29"/>
        <v>9Salford</v>
      </c>
      <c r="B1807">
        <v>9</v>
      </c>
      <c r="C1807" t="s">
        <v>273</v>
      </c>
      <c r="D1807" t="s">
        <v>9085</v>
      </c>
      <c r="E1807" t="s">
        <v>1113</v>
      </c>
      <c r="F1807" t="s">
        <v>7629</v>
      </c>
      <c r="H1807">
        <v>473000</v>
      </c>
    </row>
    <row r="1808" spans="1:8" x14ac:dyDescent="0.3">
      <c r="A1808" t="str">
        <f t="shared" si="29"/>
        <v>1Sandwell</v>
      </c>
      <c r="B1808">
        <v>1</v>
      </c>
      <c r="C1808" t="s">
        <v>275</v>
      </c>
      <c r="D1808" t="s">
        <v>9086</v>
      </c>
      <c r="E1808" t="s">
        <v>806</v>
      </c>
      <c r="F1808" t="s">
        <v>917</v>
      </c>
      <c r="H1808">
        <v>174000</v>
      </c>
    </row>
    <row r="1809" spans="1:8" x14ac:dyDescent="0.3">
      <c r="A1809" t="str">
        <f t="shared" si="29"/>
        <v>2Sandwell</v>
      </c>
      <c r="B1809">
        <v>2</v>
      </c>
      <c r="C1809" t="s">
        <v>275</v>
      </c>
      <c r="D1809" t="s">
        <v>9087</v>
      </c>
      <c r="E1809" t="s">
        <v>7657</v>
      </c>
      <c r="F1809" t="s">
        <v>7632</v>
      </c>
      <c r="H1809">
        <v>241500</v>
      </c>
    </row>
    <row r="1810" spans="1:8" x14ac:dyDescent="0.3">
      <c r="A1810" t="str">
        <f t="shared" si="29"/>
        <v>3Sandwell</v>
      </c>
      <c r="B1810">
        <v>3</v>
      </c>
      <c r="C1810" t="s">
        <v>275</v>
      </c>
      <c r="D1810" t="s">
        <v>9088</v>
      </c>
      <c r="E1810" t="s">
        <v>7657</v>
      </c>
      <c r="F1810" t="s">
        <v>7632</v>
      </c>
      <c r="H1810">
        <v>320000</v>
      </c>
    </row>
    <row r="1811" spans="1:8" x14ac:dyDescent="0.3">
      <c r="A1811" t="str">
        <f t="shared" si="29"/>
        <v>4Sandwell</v>
      </c>
      <c r="B1811">
        <v>4</v>
      </c>
      <c r="C1811" t="s">
        <v>275</v>
      </c>
      <c r="D1811" t="s">
        <v>7922</v>
      </c>
      <c r="E1811" t="s">
        <v>7662</v>
      </c>
      <c r="F1811" t="s">
        <v>7704</v>
      </c>
      <c r="H1811">
        <v>32390</v>
      </c>
    </row>
    <row r="1812" spans="1:8" x14ac:dyDescent="0.3">
      <c r="A1812" t="str">
        <f t="shared" si="29"/>
        <v>5Sandwell</v>
      </c>
      <c r="B1812">
        <v>5</v>
      </c>
      <c r="C1812" t="s">
        <v>275</v>
      </c>
      <c r="D1812" t="s">
        <v>9089</v>
      </c>
      <c r="E1812" t="s">
        <v>806</v>
      </c>
      <c r="F1812" t="s">
        <v>7642</v>
      </c>
      <c r="H1812">
        <v>37000</v>
      </c>
    </row>
    <row r="1813" spans="1:8" x14ac:dyDescent="0.3">
      <c r="A1813" t="str">
        <f t="shared" si="29"/>
        <v>6Sandwell</v>
      </c>
      <c r="B1813">
        <v>6</v>
      </c>
      <c r="C1813" t="s">
        <v>275</v>
      </c>
      <c r="D1813" t="s">
        <v>9090</v>
      </c>
      <c r="E1813" t="s">
        <v>7657</v>
      </c>
      <c r="F1813" t="s">
        <v>7632</v>
      </c>
      <c r="H1813">
        <v>50000</v>
      </c>
    </row>
    <row r="1814" spans="1:8" x14ac:dyDescent="0.3">
      <c r="A1814" t="str">
        <f t="shared" si="29"/>
        <v>7Sandwell</v>
      </c>
      <c r="B1814">
        <v>7</v>
      </c>
      <c r="C1814" t="s">
        <v>275</v>
      </c>
      <c r="D1814" t="s">
        <v>9091</v>
      </c>
      <c r="E1814" t="s">
        <v>5266</v>
      </c>
      <c r="F1814" t="s">
        <v>7646</v>
      </c>
      <c r="H1814">
        <v>200000</v>
      </c>
    </row>
    <row r="1815" spans="1:8" x14ac:dyDescent="0.3">
      <c r="A1815" t="str">
        <f t="shared" si="29"/>
        <v>8Sandwell</v>
      </c>
      <c r="B1815">
        <v>8</v>
      </c>
      <c r="C1815" t="s">
        <v>275</v>
      </c>
      <c r="D1815" t="s">
        <v>9092</v>
      </c>
      <c r="E1815" t="s">
        <v>1113</v>
      </c>
      <c r="F1815" t="s">
        <v>7629</v>
      </c>
      <c r="H1815">
        <v>45000</v>
      </c>
    </row>
    <row r="1816" spans="1:8" x14ac:dyDescent="0.3">
      <c r="A1816" t="str">
        <f t="shared" si="29"/>
        <v>9Sandwell</v>
      </c>
      <c r="B1816">
        <v>9</v>
      </c>
      <c r="C1816" t="s">
        <v>275</v>
      </c>
      <c r="D1816" t="s">
        <v>9093</v>
      </c>
      <c r="E1816" t="s">
        <v>7660</v>
      </c>
      <c r="F1816" t="s">
        <v>7704</v>
      </c>
      <c r="H1816">
        <v>67191</v>
      </c>
    </row>
    <row r="1817" spans="1:8" x14ac:dyDescent="0.3">
      <c r="A1817" t="str">
        <f t="shared" si="29"/>
        <v>10Sandwell</v>
      </c>
      <c r="B1817">
        <v>10</v>
      </c>
      <c r="C1817" t="s">
        <v>275</v>
      </c>
      <c r="D1817" t="s">
        <v>9094</v>
      </c>
      <c r="E1817" t="s">
        <v>842</v>
      </c>
      <c r="F1817" t="s">
        <v>7636</v>
      </c>
      <c r="H1817">
        <v>292000</v>
      </c>
    </row>
    <row r="1818" spans="1:8" x14ac:dyDescent="0.3">
      <c r="A1818" t="str">
        <f t="shared" si="29"/>
        <v>11Sandwell</v>
      </c>
      <c r="B1818">
        <v>11</v>
      </c>
      <c r="C1818" t="s">
        <v>275</v>
      </c>
      <c r="D1818" t="s">
        <v>9094</v>
      </c>
      <c r="E1818" t="s">
        <v>806</v>
      </c>
      <c r="F1818" t="s">
        <v>807</v>
      </c>
      <c r="H1818">
        <v>78000</v>
      </c>
    </row>
    <row r="1819" spans="1:8" x14ac:dyDescent="0.3">
      <c r="A1819" t="str">
        <f t="shared" si="29"/>
        <v>12Sandwell</v>
      </c>
      <c r="B1819">
        <v>12</v>
      </c>
      <c r="C1819" t="s">
        <v>275</v>
      </c>
      <c r="D1819" t="s">
        <v>9094</v>
      </c>
      <c r="E1819" t="s">
        <v>806</v>
      </c>
      <c r="F1819" t="s">
        <v>917</v>
      </c>
      <c r="H1819">
        <v>403000</v>
      </c>
    </row>
    <row r="1820" spans="1:8" x14ac:dyDescent="0.3">
      <c r="A1820" t="str">
        <f t="shared" si="29"/>
        <v>13Sandwell</v>
      </c>
      <c r="B1820">
        <v>13</v>
      </c>
      <c r="C1820" t="s">
        <v>275</v>
      </c>
      <c r="D1820" t="s">
        <v>9095</v>
      </c>
      <c r="E1820" t="s">
        <v>7658</v>
      </c>
      <c r="F1820" t="s">
        <v>7704</v>
      </c>
      <c r="H1820">
        <v>20000</v>
      </c>
    </row>
    <row r="1821" spans="1:8" x14ac:dyDescent="0.3">
      <c r="A1821" t="str">
        <f t="shared" si="29"/>
        <v>14Sandwell</v>
      </c>
      <c r="B1821">
        <v>14</v>
      </c>
      <c r="C1821" t="s">
        <v>275</v>
      </c>
      <c r="D1821" t="s">
        <v>9096</v>
      </c>
      <c r="E1821" t="s">
        <v>812</v>
      </c>
      <c r="F1821" t="s">
        <v>7704</v>
      </c>
      <c r="H1821">
        <v>40000</v>
      </c>
    </row>
    <row r="1822" spans="1:8" x14ac:dyDescent="0.3">
      <c r="A1822" t="str">
        <f t="shared" si="29"/>
        <v>15Sandwell</v>
      </c>
      <c r="B1822">
        <v>15</v>
      </c>
      <c r="C1822" t="s">
        <v>275</v>
      </c>
      <c r="D1822" t="s">
        <v>9097</v>
      </c>
      <c r="E1822" t="s">
        <v>7657</v>
      </c>
      <c r="F1822" t="s">
        <v>7632</v>
      </c>
      <c r="H1822">
        <v>333600</v>
      </c>
    </row>
    <row r="1823" spans="1:8" x14ac:dyDescent="0.3">
      <c r="A1823" t="str">
        <f t="shared" si="29"/>
        <v>16Sandwell</v>
      </c>
      <c r="B1823">
        <v>16</v>
      </c>
      <c r="C1823" t="s">
        <v>275</v>
      </c>
      <c r="D1823" t="s">
        <v>9098</v>
      </c>
      <c r="E1823" t="s">
        <v>806</v>
      </c>
      <c r="F1823" t="s">
        <v>917</v>
      </c>
      <c r="H1823">
        <v>194900</v>
      </c>
    </row>
    <row r="1824" spans="1:8" x14ac:dyDescent="0.3">
      <c r="A1824" t="str">
        <f t="shared" si="29"/>
        <v>17Sandwell</v>
      </c>
      <c r="B1824">
        <v>17</v>
      </c>
      <c r="C1824" t="s">
        <v>275</v>
      </c>
      <c r="D1824" t="s">
        <v>9099</v>
      </c>
      <c r="E1824" t="s">
        <v>812</v>
      </c>
      <c r="F1824" t="s">
        <v>7704</v>
      </c>
      <c r="H1824">
        <v>5000</v>
      </c>
    </row>
    <row r="1825" spans="1:8" x14ac:dyDescent="0.3">
      <c r="A1825" t="str">
        <f t="shared" si="29"/>
        <v>18Sandwell</v>
      </c>
      <c r="B1825">
        <v>18</v>
      </c>
      <c r="C1825" t="s">
        <v>275</v>
      </c>
      <c r="D1825" t="s">
        <v>9100</v>
      </c>
      <c r="E1825" t="s">
        <v>800</v>
      </c>
      <c r="F1825" t="s">
        <v>903</v>
      </c>
      <c r="H1825">
        <v>18000</v>
      </c>
    </row>
    <row r="1826" spans="1:8" x14ac:dyDescent="0.3">
      <c r="A1826" t="str">
        <f t="shared" si="29"/>
        <v>19Sandwell</v>
      </c>
      <c r="B1826">
        <v>19</v>
      </c>
      <c r="C1826" t="s">
        <v>275</v>
      </c>
      <c r="D1826" t="s">
        <v>9101</v>
      </c>
      <c r="E1826" t="s">
        <v>7658</v>
      </c>
      <c r="F1826" t="s">
        <v>7704</v>
      </c>
      <c r="H1826">
        <v>20000</v>
      </c>
    </row>
    <row r="1827" spans="1:8" x14ac:dyDescent="0.3">
      <c r="A1827" t="str">
        <f t="shared" si="29"/>
        <v>20Sandwell</v>
      </c>
      <c r="B1827">
        <v>20</v>
      </c>
      <c r="C1827" t="s">
        <v>275</v>
      </c>
      <c r="D1827" t="s">
        <v>9102</v>
      </c>
      <c r="E1827" t="s">
        <v>7657</v>
      </c>
      <c r="F1827" t="s">
        <v>7644</v>
      </c>
      <c r="H1827">
        <v>200000</v>
      </c>
    </row>
    <row r="1828" spans="1:8" x14ac:dyDescent="0.3">
      <c r="A1828" t="str">
        <f t="shared" si="29"/>
        <v>21Sandwell</v>
      </c>
      <c r="B1828">
        <v>21</v>
      </c>
      <c r="C1828" t="s">
        <v>275</v>
      </c>
      <c r="D1828" t="s">
        <v>9103</v>
      </c>
      <c r="E1828" t="s">
        <v>800</v>
      </c>
      <c r="F1828" t="s">
        <v>903</v>
      </c>
      <c r="H1828">
        <v>137640</v>
      </c>
    </row>
    <row r="1829" spans="1:8" x14ac:dyDescent="0.3">
      <c r="A1829" t="str">
        <f t="shared" si="29"/>
        <v>22Sandwell</v>
      </c>
      <c r="B1829">
        <v>22</v>
      </c>
      <c r="C1829" t="s">
        <v>275</v>
      </c>
      <c r="D1829" t="s">
        <v>9104</v>
      </c>
      <c r="E1829" t="s">
        <v>7649</v>
      </c>
      <c r="F1829" t="s">
        <v>7638</v>
      </c>
      <c r="H1829">
        <v>46026</v>
      </c>
    </row>
    <row r="1830" spans="1:8" x14ac:dyDescent="0.3">
      <c r="A1830" t="str">
        <f t="shared" si="29"/>
        <v>23Sandwell</v>
      </c>
      <c r="B1830">
        <v>23</v>
      </c>
      <c r="C1830" t="s">
        <v>275</v>
      </c>
      <c r="D1830" t="s">
        <v>9105</v>
      </c>
      <c r="E1830" t="s">
        <v>812</v>
      </c>
      <c r="F1830" t="s">
        <v>7704</v>
      </c>
      <c r="H1830">
        <v>3000</v>
      </c>
    </row>
    <row r="1831" spans="1:8" x14ac:dyDescent="0.3">
      <c r="A1831" t="str">
        <f t="shared" si="29"/>
        <v>24Sandwell</v>
      </c>
      <c r="B1831">
        <v>24</v>
      </c>
      <c r="C1831" t="s">
        <v>275</v>
      </c>
      <c r="D1831" t="s">
        <v>8154</v>
      </c>
      <c r="E1831" t="s">
        <v>800</v>
      </c>
      <c r="F1831" t="s">
        <v>812</v>
      </c>
      <c r="H1831">
        <v>218000</v>
      </c>
    </row>
    <row r="1832" spans="1:8" x14ac:dyDescent="0.3">
      <c r="A1832" t="str">
        <f t="shared" si="29"/>
        <v>25Sandwell</v>
      </c>
      <c r="B1832">
        <v>25</v>
      </c>
      <c r="C1832" t="s">
        <v>275</v>
      </c>
      <c r="D1832" t="s">
        <v>9106</v>
      </c>
      <c r="E1832" t="s">
        <v>800</v>
      </c>
      <c r="F1832" t="s">
        <v>903</v>
      </c>
      <c r="H1832">
        <v>5000</v>
      </c>
    </row>
    <row r="1833" spans="1:8" x14ac:dyDescent="0.3">
      <c r="A1833" t="str">
        <f t="shared" si="29"/>
        <v>26Sandwell</v>
      </c>
      <c r="B1833">
        <v>26</v>
      </c>
      <c r="C1833" t="s">
        <v>275</v>
      </c>
      <c r="D1833" t="s">
        <v>9107</v>
      </c>
      <c r="E1833" t="s">
        <v>7657</v>
      </c>
      <c r="F1833" t="s">
        <v>7632</v>
      </c>
      <c r="H1833">
        <v>57800</v>
      </c>
    </row>
    <row r="1834" spans="1:8" x14ac:dyDescent="0.3">
      <c r="A1834" t="str">
        <f t="shared" si="29"/>
        <v>1Sefton</v>
      </c>
      <c r="B1834">
        <v>1</v>
      </c>
      <c r="C1834" t="s">
        <v>277</v>
      </c>
      <c r="D1834" t="s">
        <v>9108</v>
      </c>
      <c r="E1834" t="s">
        <v>842</v>
      </c>
      <c r="F1834" t="s">
        <v>7636</v>
      </c>
      <c r="H1834">
        <v>112200</v>
      </c>
    </row>
    <row r="1835" spans="1:8" x14ac:dyDescent="0.3">
      <c r="A1835" t="str">
        <f t="shared" si="29"/>
        <v>2Sefton</v>
      </c>
      <c r="B1835">
        <v>2</v>
      </c>
      <c r="C1835" t="s">
        <v>277</v>
      </c>
      <c r="D1835" t="s">
        <v>9109</v>
      </c>
      <c r="E1835" t="s">
        <v>842</v>
      </c>
      <c r="F1835" t="s">
        <v>7636</v>
      </c>
      <c r="H1835">
        <v>112200</v>
      </c>
    </row>
    <row r="1836" spans="1:8" x14ac:dyDescent="0.3">
      <c r="A1836" t="str">
        <f t="shared" si="29"/>
        <v>3Sefton</v>
      </c>
      <c r="B1836">
        <v>3</v>
      </c>
      <c r="C1836" t="s">
        <v>277</v>
      </c>
      <c r="D1836" t="s">
        <v>9110</v>
      </c>
      <c r="E1836" t="s">
        <v>1113</v>
      </c>
      <c r="F1836" t="s">
        <v>7629</v>
      </c>
      <c r="H1836">
        <v>79000</v>
      </c>
    </row>
    <row r="1837" spans="1:8" x14ac:dyDescent="0.3">
      <c r="A1837" t="str">
        <f t="shared" si="29"/>
        <v>4Sefton</v>
      </c>
      <c r="B1837">
        <v>4</v>
      </c>
      <c r="C1837" t="s">
        <v>277</v>
      </c>
      <c r="D1837" t="s">
        <v>9111</v>
      </c>
      <c r="E1837" t="s">
        <v>1106</v>
      </c>
      <c r="F1837" t="s">
        <v>7628</v>
      </c>
      <c r="H1837">
        <v>28000</v>
      </c>
    </row>
    <row r="1838" spans="1:8" x14ac:dyDescent="0.3">
      <c r="A1838" t="str">
        <f t="shared" si="29"/>
        <v>5Sefton</v>
      </c>
      <c r="B1838">
        <v>5</v>
      </c>
      <c r="C1838" t="s">
        <v>277</v>
      </c>
      <c r="D1838" t="s">
        <v>8490</v>
      </c>
      <c r="E1838" t="s">
        <v>7657</v>
      </c>
      <c r="F1838" t="s">
        <v>7632</v>
      </c>
      <c r="H1838">
        <v>900000</v>
      </c>
    </row>
    <row r="1839" spans="1:8" x14ac:dyDescent="0.3">
      <c r="A1839" t="str">
        <f t="shared" si="29"/>
        <v>6Sefton</v>
      </c>
      <c r="B1839">
        <v>6</v>
      </c>
      <c r="C1839" t="s">
        <v>277</v>
      </c>
      <c r="D1839" t="s">
        <v>9112</v>
      </c>
      <c r="E1839" t="s">
        <v>7658</v>
      </c>
      <c r="F1839" t="s">
        <v>7704</v>
      </c>
      <c r="H1839">
        <v>35000</v>
      </c>
    </row>
    <row r="1840" spans="1:8" x14ac:dyDescent="0.3">
      <c r="A1840" t="str">
        <f t="shared" si="29"/>
        <v>7Sefton</v>
      </c>
      <c r="B1840">
        <v>7</v>
      </c>
      <c r="C1840" t="s">
        <v>277</v>
      </c>
      <c r="D1840" t="s">
        <v>9113</v>
      </c>
      <c r="E1840" t="s">
        <v>7658</v>
      </c>
      <c r="F1840" t="s">
        <v>7704</v>
      </c>
      <c r="H1840">
        <v>87000</v>
      </c>
    </row>
    <row r="1841" spans="1:8" x14ac:dyDescent="0.3">
      <c r="A1841" t="str">
        <f t="shared" si="29"/>
        <v>8Sefton</v>
      </c>
      <c r="B1841">
        <v>8</v>
      </c>
      <c r="C1841" t="s">
        <v>277</v>
      </c>
      <c r="D1841" t="s">
        <v>9114</v>
      </c>
      <c r="E1841" t="s">
        <v>7658</v>
      </c>
      <c r="F1841" t="s">
        <v>7704</v>
      </c>
      <c r="H1841">
        <v>49000</v>
      </c>
    </row>
    <row r="1842" spans="1:8" x14ac:dyDescent="0.3">
      <c r="A1842" t="str">
        <f t="shared" si="29"/>
        <v>9Sefton</v>
      </c>
      <c r="B1842">
        <v>9</v>
      </c>
      <c r="C1842" t="s">
        <v>277</v>
      </c>
      <c r="D1842" t="s">
        <v>7924</v>
      </c>
      <c r="E1842" t="s">
        <v>7658</v>
      </c>
      <c r="F1842" t="s">
        <v>7704</v>
      </c>
      <c r="H1842">
        <v>200300</v>
      </c>
    </row>
    <row r="1843" spans="1:8" x14ac:dyDescent="0.3">
      <c r="A1843" t="str">
        <f t="shared" si="29"/>
        <v>10Sefton</v>
      </c>
      <c r="B1843">
        <v>10</v>
      </c>
      <c r="C1843" t="s">
        <v>277</v>
      </c>
      <c r="D1843" t="s">
        <v>9115</v>
      </c>
      <c r="E1843" t="s">
        <v>7657</v>
      </c>
      <c r="F1843" t="s">
        <v>7632</v>
      </c>
      <c r="H1843">
        <v>30000</v>
      </c>
    </row>
    <row r="1844" spans="1:8" x14ac:dyDescent="0.3">
      <c r="A1844" t="str">
        <f t="shared" si="29"/>
        <v>11Sefton</v>
      </c>
      <c r="B1844">
        <v>11</v>
      </c>
      <c r="C1844" t="s">
        <v>277</v>
      </c>
      <c r="D1844" t="s">
        <v>9116</v>
      </c>
      <c r="E1844" t="s">
        <v>842</v>
      </c>
      <c r="F1844" t="s">
        <v>1594</v>
      </c>
      <c r="H1844">
        <v>50000</v>
      </c>
    </row>
    <row r="1845" spans="1:8" x14ac:dyDescent="0.3">
      <c r="A1845" t="str">
        <f t="shared" si="29"/>
        <v>12Sefton</v>
      </c>
      <c r="B1845">
        <v>12</v>
      </c>
      <c r="C1845" t="s">
        <v>277</v>
      </c>
      <c r="D1845" t="s">
        <v>9117</v>
      </c>
      <c r="E1845" t="s">
        <v>1106</v>
      </c>
      <c r="F1845" t="s">
        <v>7628</v>
      </c>
      <c r="H1845">
        <v>250000</v>
      </c>
    </row>
    <row r="1846" spans="1:8" x14ac:dyDescent="0.3">
      <c r="A1846" t="str">
        <f t="shared" si="29"/>
        <v>13Sefton</v>
      </c>
      <c r="B1846">
        <v>13</v>
      </c>
      <c r="C1846" t="s">
        <v>277</v>
      </c>
      <c r="D1846" t="s">
        <v>9118</v>
      </c>
      <c r="E1846" t="s">
        <v>7657</v>
      </c>
      <c r="F1846" t="s">
        <v>7640</v>
      </c>
      <c r="H1846">
        <v>90000</v>
      </c>
    </row>
    <row r="1847" spans="1:8" x14ac:dyDescent="0.3">
      <c r="A1847" t="str">
        <f t="shared" si="29"/>
        <v>14Sefton</v>
      </c>
      <c r="B1847">
        <v>14</v>
      </c>
      <c r="C1847" t="s">
        <v>277</v>
      </c>
      <c r="D1847" t="s">
        <v>9119</v>
      </c>
      <c r="E1847" t="s">
        <v>7704</v>
      </c>
      <c r="F1847" t="s">
        <v>7704</v>
      </c>
      <c r="H1847">
        <v>15520</v>
      </c>
    </row>
    <row r="1848" spans="1:8" x14ac:dyDescent="0.3">
      <c r="A1848" t="str">
        <f t="shared" si="29"/>
        <v>15Sefton</v>
      </c>
      <c r="B1848">
        <v>15</v>
      </c>
      <c r="C1848" t="s">
        <v>277</v>
      </c>
      <c r="D1848" t="s">
        <v>9120</v>
      </c>
      <c r="E1848" t="s">
        <v>7658</v>
      </c>
      <c r="F1848" t="s">
        <v>7704</v>
      </c>
      <c r="H1848">
        <v>162000</v>
      </c>
    </row>
    <row r="1849" spans="1:8" x14ac:dyDescent="0.3">
      <c r="A1849" t="str">
        <f t="shared" si="29"/>
        <v>16Sefton</v>
      </c>
      <c r="B1849">
        <v>16</v>
      </c>
      <c r="C1849" t="s">
        <v>277</v>
      </c>
      <c r="D1849" t="s">
        <v>9121</v>
      </c>
      <c r="E1849" t="s">
        <v>1113</v>
      </c>
      <c r="F1849" t="s">
        <v>7637</v>
      </c>
      <c r="H1849">
        <v>85078</v>
      </c>
    </row>
    <row r="1850" spans="1:8" x14ac:dyDescent="0.3">
      <c r="A1850" t="str">
        <f t="shared" si="29"/>
        <v>17Sefton</v>
      </c>
      <c r="B1850">
        <v>17</v>
      </c>
      <c r="C1850" t="s">
        <v>277</v>
      </c>
      <c r="D1850" t="s">
        <v>9122</v>
      </c>
      <c r="E1850" t="s">
        <v>1106</v>
      </c>
      <c r="F1850" t="s">
        <v>7628</v>
      </c>
      <c r="H1850">
        <v>61000</v>
      </c>
    </row>
    <row r="1851" spans="1:8" x14ac:dyDescent="0.3">
      <c r="A1851" t="str">
        <f t="shared" si="29"/>
        <v>18Sefton</v>
      </c>
      <c r="B1851">
        <v>18</v>
      </c>
      <c r="C1851" t="s">
        <v>277</v>
      </c>
      <c r="D1851" t="s">
        <v>1183</v>
      </c>
      <c r="E1851" t="s">
        <v>1106</v>
      </c>
      <c r="F1851" t="s">
        <v>7628</v>
      </c>
      <c r="H1851">
        <v>250000</v>
      </c>
    </row>
    <row r="1852" spans="1:8" x14ac:dyDescent="0.3">
      <c r="A1852" t="str">
        <f t="shared" si="29"/>
        <v>19Sefton</v>
      </c>
      <c r="B1852">
        <v>19</v>
      </c>
      <c r="C1852" t="s">
        <v>277</v>
      </c>
      <c r="D1852" t="s">
        <v>9123</v>
      </c>
      <c r="E1852" t="s">
        <v>7657</v>
      </c>
      <c r="F1852" t="s">
        <v>7632</v>
      </c>
      <c r="H1852">
        <v>30000</v>
      </c>
    </row>
    <row r="1853" spans="1:8" x14ac:dyDescent="0.3">
      <c r="A1853" t="str">
        <f t="shared" si="29"/>
        <v>20Sefton</v>
      </c>
      <c r="B1853">
        <v>20</v>
      </c>
      <c r="C1853" t="s">
        <v>277</v>
      </c>
      <c r="D1853" t="s">
        <v>9124</v>
      </c>
      <c r="E1853" t="s">
        <v>1106</v>
      </c>
      <c r="F1853" t="s">
        <v>7628</v>
      </c>
      <c r="H1853">
        <v>35000</v>
      </c>
    </row>
    <row r="1854" spans="1:8" x14ac:dyDescent="0.3">
      <c r="A1854" t="str">
        <f t="shared" si="29"/>
        <v>21Sefton</v>
      </c>
      <c r="B1854">
        <v>21</v>
      </c>
      <c r="C1854" t="s">
        <v>277</v>
      </c>
      <c r="D1854" t="s">
        <v>9125</v>
      </c>
      <c r="E1854" t="s">
        <v>800</v>
      </c>
      <c r="F1854" t="s">
        <v>812</v>
      </c>
      <c r="H1854">
        <v>20000</v>
      </c>
    </row>
    <row r="1855" spans="1:8" x14ac:dyDescent="0.3">
      <c r="A1855" t="str">
        <f t="shared" si="29"/>
        <v>22Sefton</v>
      </c>
      <c r="B1855">
        <v>22</v>
      </c>
      <c r="C1855" t="s">
        <v>277</v>
      </c>
      <c r="D1855" t="s">
        <v>9126</v>
      </c>
      <c r="E1855" t="s">
        <v>7658</v>
      </c>
      <c r="F1855" t="s">
        <v>7704</v>
      </c>
      <c r="H1855">
        <v>110000</v>
      </c>
    </row>
    <row r="1856" spans="1:8" x14ac:dyDescent="0.3">
      <c r="A1856" t="str">
        <f t="shared" si="29"/>
        <v>23Sefton</v>
      </c>
      <c r="B1856">
        <v>23</v>
      </c>
      <c r="C1856" t="s">
        <v>277</v>
      </c>
      <c r="D1856" t="s">
        <v>9127</v>
      </c>
      <c r="E1856" t="s">
        <v>1106</v>
      </c>
      <c r="F1856" t="s">
        <v>7628</v>
      </c>
      <c r="H1856">
        <v>335826</v>
      </c>
    </row>
    <row r="1857" spans="1:8" x14ac:dyDescent="0.3">
      <c r="A1857" t="str">
        <f t="shared" si="29"/>
        <v>24Sefton</v>
      </c>
      <c r="B1857">
        <v>24</v>
      </c>
      <c r="C1857" t="s">
        <v>277</v>
      </c>
      <c r="D1857" t="s">
        <v>9128</v>
      </c>
      <c r="E1857" t="s">
        <v>1106</v>
      </c>
      <c r="F1857" t="s">
        <v>7628</v>
      </c>
      <c r="H1857">
        <v>29000</v>
      </c>
    </row>
    <row r="1858" spans="1:8" x14ac:dyDescent="0.3">
      <c r="A1858" t="str">
        <f t="shared" si="29"/>
        <v>25Sefton</v>
      </c>
      <c r="B1858">
        <v>25</v>
      </c>
      <c r="C1858" t="s">
        <v>277</v>
      </c>
      <c r="D1858" t="s">
        <v>9129</v>
      </c>
      <c r="E1858" t="s">
        <v>7660</v>
      </c>
      <c r="F1858" t="s">
        <v>7704</v>
      </c>
      <c r="H1858">
        <v>230000</v>
      </c>
    </row>
    <row r="1859" spans="1:8" x14ac:dyDescent="0.3">
      <c r="A1859" t="str">
        <f t="shared" si="29"/>
        <v>1Sheffield</v>
      </c>
      <c r="B1859">
        <v>1</v>
      </c>
      <c r="C1859" t="s">
        <v>279</v>
      </c>
      <c r="D1859" t="s">
        <v>9130</v>
      </c>
      <c r="E1859" t="s">
        <v>1106</v>
      </c>
      <c r="F1859" t="s">
        <v>7628</v>
      </c>
      <c r="H1859">
        <v>100000</v>
      </c>
    </row>
    <row r="1860" spans="1:8" x14ac:dyDescent="0.3">
      <c r="A1860" t="str">
        <f t="shared" si="29"/>
        <v>2Sheffield</v>
      </c>
      <c r="B1860">
        <v>2</v>
      </c>
      <c r="C1860" t="s">
        <v>279</v>
      </c>
      <c r="D1860" t="s">
        <v>9131</v>
      </c>
      <c r="E1860" t="s">
        <v>1106</v>
      </c>
      <c r="F1860" t="s">
        <v>812</v>
      </c>
      <c r="H1860">
        <v>200000</v>
      </c>
    </row>
    <row r="1861" spans="1:8" x14ac:dyDescent="0.3">
      <c r="A1861" t="str">
        <f t="shared" si="29"/>
        <v>3Sheffield</v>
      </c>
      <c r="B1861">
        <v>3</v>
      </c>
      <c r="C1861" t="s">
        <v>279</v>
      </c>
      <c r="D1861" t="s">
        <v>9132</v>
      </c>
      <c r="E1861" t="s">
        <v>7649</v>
      </c>
      <c r="F1861" t="s">
        <v>7638</v>
      </c>
      <c r="H1861">
        <v>50000</v>
      </c>
    </row>
    <row r="1862" spans="1:8" x14ac:dyDescent="0.3">
      <c r="A1862" t="str">
        <f t="shared" si="29"/>
        <v>4Sheffield</v>
      </c>
      <c r="B1862">
        <v>4</v>
      </c>
      <c r="C1862" t="s">
        <v>279</v>
      </c>
      <c r="D1862" t="s">
        <v>9133</v>
      </c>
      <c r="E1862" t="s">
        <v>842</v>
      </c>
      <c r="F1862" t="s">
        <v>7636</v>
      </c>
      <c r="H1862">
        <v>120000</v>
      </c>
    </row>
    <row r="1863" spans="1:8" x14ac:dyDescent="0.3">
      <c r="A1863" t="str">
        <f t="shared" ref="A1863:A1926" si="30">B1863&amp;C1863</f>
        <v>5Sheffield</v>
      </c>
      <c r="B1863">
        <v>5</v>
      </c>
      <c r="C1863" t="s">
        <v>279</v>
      </c>
      <c r="D1863" t="s">
        <v>9134</v>
      </c>
      <c r="E1863" t="s">
        <v>1113</v>
      </c>
      <c r="F1863" t="s">
        <v>812</v>
      </c>
      <c r="H1863">
        <v>120000</v>
      </c>
    </row>
    <row r="1864" spans="1:8" x14ac:dyDescent="0.3">
      <c r="A1864" t="str">
        <f t="shared" si="30"/>
        <v>6Sheffield</v>
      </c>
      <c r="B1864">
        <v>6</v>
      </c>
      <c r="C1864" t="s">
        <v>279</v>
      </c>
      <c r="D1864" t="s">
        <v>9135</v>
      </c>
      <c r="E1864" t="s">
        <v>7649</v>
      </c>
      <c r="F1864" t="s">
        <v>7638</v>
      </c>
      <c r="H1864">
        <v>245000</v>
      </c>
    </row>
    <row r="1865" spans="1:8" x14ac:dyDescent="0.3">
      <c r="A1865" t="str">
        <f t="shared" si="30"/>
        <v>7Sheffield</v>
      </c>
      <c r="B1865">
        <v>7</v>
      </c>
      <c r="C1865" t="s">
        <v>279</v>
      </c>
      <c r="D1865" t="s">
        <v>9136</v>
      </c>
      <c r="E1865" t="s">
        <v>800</v>
      </c>
      <c r="F1865" t="s">
        <v>903</v>
      </c>
      <c r="H1865">
        <v>56000</v>
      </c>
    </row>
    <row r="1866" spans="1:8" x14ac:dyDescent="0.3">
      <c r="A1866" t="str">
        <f t="shared" si="30"/>
        <v>8Sheffield</v>
      </c>
      <c r="B1866">
        <v>8</v>
      </c>
      <c r="C1866" t="s">
        <v>279</v>
      </c>
      <c r="D1866" t="s">
        <v>9137</v>
      </c>
      <c r="E1866" t="s">
        <v>842</v>
      </c>
      <c r="F1866" t="s">
        <v>7636</v>
      </c>
      <c r="H1866">
        <v>135000</v>
      </c>
    </row>
    <row r="1867" spans="1:8" x14ac:dyDescent="0.3">
      <c r="A1867" t="str">
        <f t="shared" si="30"/>
        <v>9Sheffield</v>
      </c>
      <c r="B1867">
        <v>9</v>
      </c>
      <c r="C1867" t="s">
        <v>279</v>
      </c>
      <c r="D1867" t="s">
        <v>9138</v>
      </c>
      <c r="E1867" t="s">
        <v>842</v>
      </c>
      <c r="F1867" t="s">
        <v>7636</v>
      </c>
      <c r="H1867">
        <v>270000</v>
      </c>
    </row>
    <row r="1868" spans="1:8" x14ac:dyDescent="0.3">
      <c r="A1868" t="str">
        <f t="shared" si="30"/>
        <v>10Sheffield</v>
      </c>
      <c r="B1868">
        <v>10</v>
      </c>
      <c r="C1868" t="s">
        <v>279</v>
      </c>
      <c r="D1868" t="s">
        <v>9139</v>
      </c>
      <c r="E1868" t="s">
        <v>7649</v>
      </c>
      <c r="F1868" t="s">
        <v>7638</v>
      </c>
      <c r="H1868">
        <v>160000</v>
      </c>
    </row>
    <row r="1869" spans="1:8" x14ac:dyDescent="0.3">
      <c r="A1869" t="str">
        <f t="shared" si="30"/>
        <v>11Sheffield</v>
      </c>
      <c r="B1869">
        <v>11</v>
      </c>
      <c r="C1869" t="s">
        <v>279</v>
      </c>
      <c r="D1869" t="s">
        <v>9140</v>
      </c>
      <c r="E1869" t="s">
        <v>7662</v>
      </c>
      <c r="H1869">
        <v>33200</v>
      </c>
    </row>
    <row r="1870" spans="1:8" x14ac:dyDescent="0.3">
      <c r="A1870" t="str">
        <f t="shared" si="30"/>
        <v>12Sheffield</v>
      </c>
      <c r="B1870">
        <v>12</v>
      </c>
      <c r="C1870" t="s">
        <v>279</v>
      </c>
      <c r="D1870" t="s">
        <v>9141</v>
      </c>
      <c r="E1870" t="s">
        <v>7662</v>
      </c>
      <c r="F1870" t="s">
        <v>369</v>
      </c>
      <c r="H1870">
        <v>22500</v>
      </c>
    </row>
    <row r="1871" spans="1:8" x14ac:dyDescent="0.3">
      <c r="A1871" t="str">
        <f t="shared" si="30"/>
        <v>13Sheffield</v>
      </c>
      <c r="B1871">
        <v>13</v>
      </c>
      <c r="C1871" t="s">
        <v>279</v>
      </c>
      <c r="D1871" t="s">
        <v>9142</v>
      </c>
      <c r="E1871" t="s">
        <v>1113</v>
      </c>
      <c r="F1871" t="s">
        <v>7629</v>
      </c>
      <c r="H1871">
        <v>400000</v>
      </c>
    </row>
    <row r="1872" spans="1:8" x14ac:dyDescent="0.3">
      <c r="A1872" t="str">
        <f t="shared" si="30"/>
        <v>14Sheffield</v>
      </c>
      <c r="B1872">
        <v>14</v>
      </c>
      <c r="C1872" t="s">
        <v>279</v>
      </c>
      <c r="D1872" t="s">
        <v>9143</v>
      </c>
      <c r="E1872" t="s">
        <v>806</v>
      </c>
      <c r="F1872" t="s">
        <v>917</v>
      </c>
      <c r="H1872">
        <v>12471</v>
      </c>
    </row>
    <row r="1873" spans="1:8" x14ac:dyDescent="0.3">
      <c r="A1873" t="str">
        <f t="shared" si="30"/>
        <v>15Sheffield</v>
      </c>
      <c r="B1873">
        <v>15</v>
      </c>
      <c r="C1873" t="s">
        <v>279</v>
      </c>
      <c r="D1873" t="s">
        <v>9144</v>
      </c>
      <c r="E1873" t="s">
        <v>812</v>
      </c>
      <c r="H1873">
        <v>25000</v>
      </c>
    </row>
    <row r="1874" spans="1:8" x14ac:dyDescent="0.3">
      <c r="A1874" t="str">
        <f t="shared" si="30"/>
        <v>16Sheffield</v>
      </c>
      <c r="B1874">
        <v>16</v>
      </c>
      <c r="C1874" t="s">
        <v>279</v>
      </c>
      <c r="D1874" t="s">
        <v>9145</v>
      </c>
      <c r="E1874" t="s">
        <v>800</v>
      </c>
      <c r="F1874" t="s">
        <v>2108</v>
      </c>
      <c r="H1874">
        <v>40000</v>
      </c>
    </row>
    <row r="1875" spans="1:8" x14ac:dyDescent="0.3">
      <c r="A1875" t="str">
        <f t="shared" si="30"/>
        <v>17Sheffield</v>
      </c>
      <c r="B1875">
        <v>17</v>
      </c>
      <c r="C1875" t="s">
        <v>279</v>
      </c>
      <c r="D1875" t="s">
        <v>9146</v>
      </c>
      <c r="E1875" t="s">
        <v>812</v>
      </c>
      <c r="H1875">
        <v>80000</v>
      </c>
    </row>
    <row r="1876" spans="1:8" x14ac:dyDescent="0.3">
      <c r="A1876" t="str">
        <f t="shared" si="30"/>
        <v>18Sheffield</v>
      </c>
      <c r="B1876">
        <v>18</v>
      </c>
      <c r="C1876" t="s">
        <v>279</v>
      </c>
      <c r="D1876" t="s">
        <v>9147</v>
      </c>
      <c r="E1876" t="s">
        <v>812</v>
      </c>
      <c r="H1876">
        <v>400000</v>
      </c>
    </row>
    <row r="1877" spans="1:8" x14ac:dyDescent="0.3">
      <c r="A1877" t="str">
        <f t="shared" si="30"/>
        <v>19Sheffield</v>
      </c>
      <c r="B1877">
        <v>19</v>
      </c>
      <c r="C1877" t="s">
        <v>279</v>
      </c>
      <c r="D1877" t="s">
        <v>9148</v>
      </c>
      <c r="E1877" t="s">
        <v>842</v>
      </c>
      <c r="F1877" t="s">
        <v>7636</v>
      </c>
      <c r="H1877">
        <v>10000</v>
      </c>
    </row>
    <row r="1878" spans="1:8" x14ac:dyDescent="0.3">
      <c r="A1878" t="str">
        <f t="shared" si="30"/>
        <v>20Sheffield</v>
      </c>
      <c r="B1878">
        <v>20</v>
      </c>
      <c r="C1878" t="s">
        <v>279</v>
      </c>
      <c r="D1878" t="s">
        <v>9149</v>
      </c>
      <c r="E1878" t="s">
        <v>812</v>
      </c>
      <c r="H1878">
        <v>70000</v>
      </c>
    </row>
    <row r="1879" spans="1:8" x14ac:dyDescent="0.3">
      <c r="A1879" t="str">
        <f t="shared" si="30"/>
        <v>21Sheffield</v>
      </c>
      <c r="B1879">
        <v>21</v>
      </c>
      <c r="C1879" t="s">
        <v>279</v>
      </c>
      <c r="D1879" t="s">
        <v>9150</v>
      </c>
      <c r="E1879" t="s">
        <v>842</v>
      </c>
      <c r="F1879" t="s">
        <v>7636</v>
      </c>
      <c r="H1879">
        <v>259200</v>
      </c>
    </row>
    <row r="1880" spans="1:8" x14ac:dyDescent="0.3">
      <c r="A1880" t="str">
        <f t="shared" si="30"/>
        <v>22Sheffield</v>
      </c>
      <c r="B1880">
        <v>22</v>
      </c>
      <c r="C1880" t="s">
        <v>279</v>
      </c>
      <c r="D1880" t="s">
        <v>9151</v>
      </c>
      <c r="E1880" t="s">
        <v>812</v>
      </c>
      <c r="H1880">
        <v>50000</v>
      </c>
    </row>
    <row r="1881" spans="1:8" x14ac:dyDescent="0.3">
      <c r="A1881" t="str">
        <f t="shared" si="30"/>
        <v>23Sheffield</v>
      </c>
      <c r="B1881">
        <v>23</v>
      </c>
      <c r="C1881" t="s">
        <v>279</v>
      </c>
      <c r="D1881" t="s">
        <v>9152</v>
      </c>
      <c r="E1881" t="s">
        <v>842</v>
      </c>
      <c r="F1881" t="s">
        <v>7636</v>
      </c>
      <c r="H1881">
        <v>160000</v>
      </c>
    </row>
    <row r="1882" spans="1:8" x14ac:dyDescent="0.3">
      <c r="A1882" t="str">
        <f t="shared" si="30"/>
        <v>24Sheffield</v>
      </c>
      <c r="B1882">
        <v>24</v>
      </c>
      <c r="C1882" t="s">
        <v>279</v>
      </c>
      <c r="D1882" t="s">
        <v>9153</v>
      </c>
      <c r="E1882" t="s">
        <v>812</v>
      </c>
      <c r="H1882">
        <v>150000</v>
      </c>
    </row>
    <row r="1883" spans="1:8" x14ac:dyDescent="0.3">
      <c r="A1883" t="str">
        <f t="shared" si="30"/>
        <v>25Sheffield</v>
      </c>
      <c r="B1883">
        <v>25</v>
      </c>
      <c r="C1883" t="s">
        <v>279</v>
      </c>
      <c r="D1883" t="s">
        <v>9154</v>
      </c>
      <c r="E1883" t="s">
        <v>1106</v>
      </c>
      <c r="F1883" t="s">
        <v>812</v>
      </c>
      <c r="H1883">
        <v>180000</v>
      </c>
    </row>
    <row r="1884" spans="1:8" x14ac:dyDescent="0.3">
      <c r="A1884" t="str">
        <f t="shared" si="30"/>
        <v>26Sheffield</v>
      </c>
      <c r="B1884">
        <v>26</v>
      </c>
      <c r="C1884" t="s">
        <v>279</v>
      </c>
      <c r="D1884" t="s">
        <v>9155</v>
      </c>
      <c r="E1884" t="s">
        <v>7658</v>
      </c>
      <c r="H1884">
        <v>15000</v>
      </c>
    </row>
    <row r="1885" spans="1:8" x14ac:dyDescent="0.3">
      <c r="A1885" t="str">
        <f t="shared" si="30"/>
        <v>27Sheffield</v>
      </c>
      <c r="B1885">
        <v>27</v>
      </c>
      <c r="C1885" t="s">
        <v>279</v>
      </c>
      <c r="D1885" t="s">
        <v>9156</v>
      </c>
      <c r="E1885" t="s">
        <v>7657</v>
      </c>
      <c r="F1885" t="s">
        <v>7644</v>
      </c>
      <c r="H1885">
        <v>50000</v>
      </c>
    </row>
    <row r="1886" spans="1:8" x14ac:dyDescent="0.3">
      <c r="A1886" t="str">
        <f t="shared" si="30"/>
        <v>28Sheffield</v>
      </c>
      <c r="B1886">
        <v>28</v>
      </c>
      <c r="C1886" t="s">
        <v>279</v>
      </c>
      <c r="D1886" t="s">
        <v>9157</v>
      </c>
      <c r="E1886" t="s">
        <v>7649</v>
      </c>
      <c r="F1886" t="s">
        <v>7638</v>
      </c>
      <c r="H1886">
        <v>40000</v>
      </c>
    </row>
    <row r="1887" spans="1:8" x14ac:dyDescent="0.3">
      <c r="A1887" t="str">
        <f t="shared" si="30"/>
        <v>29Sheffield</v>
      </c>
      <c r="B1887">
        <v>29</v>
      </c>
      <c r="C1887" t="s">
        <v>279</v>
      </c>
      <c r="D1887" t="s">
        <v>9158</v>
      </c>
      <c r="E1887" t="s">
        <v>842</v>
      </c>
      <c r="F1887" t="s">
        <v>7636</v>
      </c>
      <c r="H1887">
        <v>100000</v>
      </c>
    </row>
    <row r="1888" spans="1:8" x14ac:dyDescent="0.3">
      <c r="A1888" t="str">
        <f t="shared" si="30"/>
        <v>30Sheffield</v>
      </c>
      <c r="B1888">
        <v>30</v>
      </c>
      <c r="C1888" t="s">
        <v>279</v>
      </c>
      <c r="D1888" t="s">
        <v>9159</v>
      </c>
      <c r="E1888" t="s">
        <v>7657</v>
      </c>
      <c r="F1888" t="s">
        <v>7644</v>
      </c>
      <c r="H1888">
        <v>685886</v>
      </c>
    </row>
    <row r="1889" spans="1:8" x14ac:dyDescent="0.3">
      <c r="A1889" t="str">
        <f t="shared" si="30"/>
        <v>31Sheffield</v>
      </c>
      <c r="B1889">
        <v>31</v>
      </c>
      <c r="C1889" t="s">
        <v>279</v>
      </c>
      <c r="D1889" t="s">
        <v>9160</v>
      </c>
      <c r="E1889" t="s">
        <v>7657</v>
      </c>
      <c r="F1889" t="s">
        <v>7644</v>
      </c>
      <c r="H1889">
        <v>130000</v>
      </c>
    </row>
    <row r="1890" spans="1:8" x14ac:dyDescent="0.3">
      <c r="A1890" t="str">
        <f t="shared" si="30"/>
        <v>32Sheffield</v>
      </c>
      <c r="B1890">
        <v>32</v>
      </c>
      <c r="C1890" t="s">
        <v>279</v>
      </c>
      <c r="D1890" t="s">
        <v>3592</v>
      </c>
      <c r="E1890" t="s">
        <v>842</v>
      </c>
      <c r="F1890" t="s">
        <v>7636</v>
      </c>
      <c r="H1890">
        <v>420000</v>
      </c>
    </row>
    <row r="1891" spans="1:8" x14ac:dyDescent="0.3">
      <c r="A1891" t="str">
        <f t="shared" si="30"/>
        <v>33Sheffield</v>
      </c>
      <c r="B1891">
        <v>33</v>
      </c>
      <c r="C1891" t="s">
        <v>279</v>
      </c>
      <c r="D1891" t="s">
        <v>9161</v>
      </c>
      <c r="E1891" t="s">
        <v>812</v>
      </c>
      <c r="H1891">
        <v>285000</v>
      </c>
    </row>
    <row r="1892" spans="1:8" x14ac:dyDescent="0.3">
      <c r="A1892" t="str">
        <f t="shared" si="30"/>
        <v>34Sheffield</v>
      </c>
      <c r="B1892">
        <v>34</v>
      </c>
      <c r="C1892" t="s">
        <v>279</v>
      </c>
      <c r="D1892" t="s">
        <v>6878</v>
      </c>
      <c r="E1892" t="s">
        <v>800</v>
      </c>
      <c r="F1892" t="s">
        <v>2108</v>
      </c>
      <c r="H1892">
        <v>260000</v>
      </c>
    </row>
    <row r="1893" spans="1:8" x14ac:dyDescent="0.3">
      <c r="A1893" t="str">
        <f t="shared" si="30"/>
        <v>35Sheffield</v>
      </c>
      <c r="B1893">
        <v>35</v>
      </c>
      <c r="C1893" t="s">
        <v>279</v>
      </c>
      <c r="D1893" t="s">
        <v>9162</v>
      </c>
      <c r="E1893" t="s">
        <v>842</v>
      </c>
      <c r="F1893" t="s">
        <v>7636</v>
      </c>
      <c r="H1893">
        <v>10000</v>
      </c>
    </row>
    <row r="1894" spans="1:8" x14ac:dyDescent="0.3">
      <c r="A1894" t="str">
        <f t="shared" si="30"/>
        <v>36Sheffield</v>
      </c>
      <c r="B1894">
        <v>36</v>
      </c>
      <c r="C1894" t="s">
        <v>279</v>
      </c>
      <c r="D1894" t="s">
        <v>9163</v>
      </c>
      <c r="E1894" t="s">
        <v>812</v>
      </c>
      <c r="H1894">
        <v>60000</v>
      </c>
    </row>
    <row r="1895" spans="1:8" x14ac:dyDescent="0.3">
      <c r="A1895" t="str">
        <f t="shared" si="30"/>
        <v>37Sheffield</v>
      </c>
      <c r="B1895">
        <v>37</v>
      </c>
      <c r="C1895" t="s">
        <v>279</v>
      </c>
      <c r="D1895" t="s">
        <v>9164</v>
      </c>
      <c r="E1895" t="s">
        <v>1113</v>
      </c>
      <c r="F1895" t="s">
        <v>7629</v>
      </c>
      <c r="H1895">
        <v>171000</v>
      </c>
    </row>
    <row r="1896" spans="1:8" x14ac:dyDescent="0.3">
      <c r="A1896" t="str">
        <f t="shared" si="30"/>
        <v>1Shropshire</v>
      </c>
      <c r="B1896">
        <v>1</v>
      </c>
      <c r="C1896" t="s">
        <v>281</v>
      </c>
      <c r="D1896" t="s">
        <v>9165</v>
      </c>
      <c r="E1896" t="s">
        <v>7662</v>
      </c>
      <c r="H1896">
        <v>31615</v>
      </c>
    </row>
    <row r="1897" spans="1:8" x14ac:dyDescent="0.3">
      <c r="A1897" t="str">
        <f t="shared" si="30"/>
        <v>2Shropshire</v>
      </c>
      <c r="B1897">
        <v>2</v>
      </c>
      <c r="C1897" t="s">
        <v>281</v>
      </c>
      <c r="D1897" t="s">
        <v>9166</v>
      </c>
      <c r="E1897" t="s">
        <v>842</v>
      </c>
      <c r="F1897" t="s">
        <v>843</v>
      </c>
      <c r="H1897">
        <v>37485</v>
      </c>
    </row>
    <row r="1898" spans="1:8" x14ac:dyDescent="0.3">
      <c r="A1898" t="str">
        <f t="shared" si="30"/>
        <v>3Shropshire</v>
      </c>
      <c r="B1898">
        <v>3</v>
      </c>
      <c r="C1898" t="s">
        <v>281</v>
      </c>
      <c r="D1898" t="s">
        <v>9167</v>
      </c>
      <c r="E1898" t="s">
        <v>842</v>
      </c>
      <c r="F1898" t="s">
        <v>7636</v>
      </c>
      <c r="H1898">
        <v>75000</v>
      </c>
    </row>
    <row r="1899" spans="1:8" x14ac:dyDescent="0.3">
      <c r="A1899" t="str">
        <f t="shared" si="30"/>
        <v>4Shropshire</v>
      </c>
      <c r="B1899">
        <v>4</v>
      </c>
      <c r="C1899" t="s">
        <v>281</v>
      </c>
      <c r="D1899" t="s">
        <v>9168</v>
      </c>
      <c r="E1899" t="s">
        <v>1113</v>
      </c>
      <c r="F1899" t="s">
        <v>7629</v>
      </c>
      <c r="H1899">
        <v>42167</v>
      </c>
    </row>
    <row r="1900" spans="1:8" x14ac:dyDescent="0.3">
      <c r="A1900" t="str">
        <f t="shared" si="30"/>
        <v>5Shropshire</v>
      </c>
      <c r="B1900">
        <v>5</v>
      </c>
      <c r="C1900" t="s">
        <v>281</v>
      </c>
      <c r="D1900" t="s">
        <v>1051</v>
      </c>
      <c r="E1900" t="s">
        <v>800</v>
      </c>
      <c r="F1900" t="s">
        <v>903</v>
      </c>
      <c r="H1900">
        <v>30000</v>
      </c>
    </row>
    <row r="1901" spans="1:8" x14ac:dyDescent="0.3">
      <c r="A1901" t="str">
        <f t="shared" si="30"/>
        <v>6Shropshire</v>
      </c>
      <c r="B1901">
        <v>6</v>
      </c>
      <c r="C1901" t="s">
        <v>281</v>
      </c>
      <c r="D1901" t="s">
        <v>9169</v>
      </c>
      <c r="E1901" t="s">
        <v>1106</v>
      </c>
      <c r="F1901" t="s">
        <v>7628</v>
      </c>
      <c r="H1901">
        <v>405000</v>
      </c>
    </row>
    <row r="1902" spans="1:8" x14ac:dyDescent="0.3">
      <c r="A1902" t="str">
        <f t="shared" si="30"/>
        <v>7Shropshire</v>
      </c>
      <c r="B1902">
        <v>7</v>
      </c>
      <c r="C1902" t="s">
        <v>281</v>
      </c>
      <c r="D1902" t="s">
        <v>9170</v>
      </c>
      <c r="E1902" t="s">
        <v>806</v>
      </c>
      <c r="F1902" t="s">
        <v>807</v>
      </c>
      <c r="H1902">
        <v>1592905</v>
      </c>
    </row>
    <row r="1903" spans="1:8" x14ac:dyDescent="0.3">
      <c r="A1903" t="str">
        <f t="shared" si="30"/>
        <v>8Shropshire</v>
      </c>
      <c r="B1903">
        <v>8</v>
      </c>
      <c r="C1903" t="s">
        <v>281</v>
      </c>
      <c r="D1903" t="s">
        <v>9171</v>
      </c>
      <c r="E1903" t="s">
        <v>842</v>
      </c>
      <c r="F1903" t="s">
        <v>7636</v>
      </c>
      <c r="H1903">
        <v>609147</v>
      </c>
    </row>
    <row r="1904" spans="1:8" x14ac:dyDescent="0.3">
      <c r="A1904" t="str">
        <f t="shared" si="30"/>
        <v>9Shropshire</v>
      </c>
      <c r="B1904">
        <v>9</v>
      </c>
      <c r="C1904" t="s">
        <v>281</v>
      </c>
      <c r="D1904" t="s">
        <v>9172</v>
      </c>
      <c r="E1904" t="s">
        <v>1113</v>
      </c>
      <c r="F1904" t="s">
        <v>7629</v>
      </c>
      <c r="H1904">
        <v>75000</v>
      </c>
    </row>
    <row r="1905" spans="1:8" x14ac:dyDescent="0.3">
      <c r="A1905" t="str">
        <f t="shared" si="30"/>
        <v>10Shropshire</v>
      </c>
      <c r="B1905">
        <v>10</v>
      </c>
      <c r="C1905" t="s">
        <v>281</v>
      </c>
      <c r="D1905" t="s">
        <v>9173</v>
      </c>
      <c r="E1905" t="s">
        <v>842</v>
      </c>
      <c r="F1905" t="s">
        <v>7636</v>
      </c>
      <c r="H1905">
        <v>180000</v>
      </c>
    </row>
    <row r="1906" spans="1:8" x14ac:dyDescent="0.3">
      <c r="A1906" t="str">
        <f t="shared" si="30"/>
        <v>1Slough</v>
      </c>
      <c r="B1906">
        <v>1</v>
      </c>
      <c r="C1906" t="s">
        <v>283</v>
      </c>
      <c r="D1906" t="s">
        <v>9174</v>
      </c>
      <c r="E1906" t="s">
        <v>842</v>
      </c>
      <c r="F1906" t="s">
        <v>7636</v>
      </c>
      <c r="H1906">
        <v>18000</v>
      </c>
    </row>
    <row r="1907" spans="1:8" x14ac:dyDescent="0.3">
      <c r="A1907" t="str">
        <f t="shared" si="30"/>
        <v>2Slough</v>
      </c>
      <c r="B1907">
        <v>2</v>
      </c>
      <c r="C1907" t="s">
        <v>283</v>
      </c>
      <c r="D1907" t="s">
        <v>9175</v>
      </c>
      <c r="E1907" t="s">
        <v>7657</v>
      </c>
      <c r="F1907" t="s">
        <v>7632</v>
      </c>
      <c r="H1907">
        <v>58000</v>
      </c>
    </row>
    <row r="1908" spans="1:8" x14ac:dyDescent="0.3">
      <c r="A1908" t="str">
        <f t="shared" si="30"/>
        <v>3Slough</v>
      </c>
      <c r="B1908">
        <v>3</v>
      </c>
      <c r="C1908" t="s">
        <v>283</v>
      </c>
      <c r="D1908" t="s">
        <v>1578</v>
      </c>
      <c r="E1908" t="s">
        <v>800</v>
      </c>
      <c r="F1908" t="s">
        <v>2108</v>
      </c>
      <c r="H1908">
        <v>30000</v>
      </c>
    </row>
    <row r="1909" spans="1:8" x14ac:dyDescent="0.3">
      <c r="A1909" t="str">
        <f t="shared" si="30"/>
        <v>4Slough</v>
      </c>
      <c r="B1909">
        <v>4</v>
      </c>
      <c r="C1909" t="s">
        <v>283</v>
      </c>
      <c r="D1909" t="s">
        <v>9176</v>
      </c>
      <c r="E1909" t="s">
        <v>812</v>
      </c>
      <c r="H1909">
        <v>12000</v>
      </c>
    </row>
    <row r="1910" spans="1:8" x14ac:dyDescent="0.3">
      <c r="A1910" t="str">
        <f t="shared" si="30"/>
        <v>5Slough</v>
      </c>
      <c r="B1910">
        <v>5</v>
      </c>
      <c r="C1910" t="s">
        <v>283</v>
      </c>
      <c r="D1910" t="s">
        <v>9177</v>
      </c>
      <c r="E1910" t="s">
        <v>812</v>
      </c>
      <c r="H1910">
        <v>20000</v>
      </c>
    </row>
    <row r="1911" spans="1:8" x14ac:dyDescent="0.3">
      <c r="A1911" t="str">
        <f t="shared" si="30"/>
        <v>6Slough</v>
      </c>
      <c r="B1911">
        <v>6</v>
      </c>
      <c r="C1911" t="s">
        <v>283</v>
      </c>
      <c r="D1911" t="s">
        <v>9178</v>
      </c>
      <c r="E1911" t="s">
        <v>806</v>
      </c>
      <c r="F1911" t="s">
        <v>917</v>
      </c>
      <c r="H1911">
        <v>230000</v>
      </c>
    </row>
    <row r="1912" spans="1:8" x14ac:dyDescent="0.3">
      <c r="A1912" t="str">
        <f t="shared" si="30"/>
        <v>7Slough</v>
      </c>
      <c r="B1912">
        <v>7</v>
      </c>
      <c r="C1912" t="s">
        <v>283</v>
      </c>
      <c r="D1912" t="s">
        <v>9179</v>
      </c>
      <c r="E1912" t="s">
        <v>842</v>
      </c>
      <c r="F1912" t="s">
        <v>7636</v>
      </c>
      <c r="H1912">
        <v>123544</v>
      </c>
    </row>
    <row r="1913" spans="1:8" x14ac:dyDescent="0.3">
      <c r="A1913" t="str">
        <f t="shared" si="30"/>
        <v>8Slough</v>
      </c>
      <c r="B1913">
        <v>8</v>
      </c>
      <c r="C1913" t="s">
        <v>283</v>
      </c>
      <c r="D1913" t="s">
        <v>9180</v>
      </c>
      <c r="E1913" t="s">
        <v>842</v>
      </c>
      <c r="F1913" t="s">
        <v>7636</v>
      </c>
      <c r="H1913">
        <v>80346</v>
      </c>
    </row>
    <row r="1914" spans="1:8" x14ac:dyDescent="0.3">
      <c r="A1914" t="str">
        <f t="shared" si="30"/>
        <v>9Slough</v>
      </c>
      <c r="B1914">
        <v>9</v>
      </c>
      <c r="C1914" t="s">
        <v>283</v>
      </c>
      <c r="D1914" t="s">
        <v>9181</v>
      </c>
      <c r="E1914" t="s">
        <v>812</v>
      </c>
      <c r="H1914">
        <v>30000</v>
      </c>
    </row>
    <row r="1915" spans="1:8" x14ac:dyDescent="0.3">
      <c r="A1915" t="str">
        <f t="shared" si="30"/>
        <v>10Slough</v>
      </c>
      <c r="B1915">
        <v>10</v>
      </c>
      <c r="C1915" t="s">
        <v>283</v>
      </c>
      <c r="D1915" t="s">
        <v>9182</v>
      </c>
      <c r="E1915" t="s">
        <v>812</v>
      </c>
      <c r="H1915">
        <v>15000</v>
      </c>
    </row>
    <row r="1916" spans="1:8" x14ac:dyDescent="0.3">
      <c r="A1916" t="str">
        <f t="shared" si="30"/>
        <v>1Solihull</v>
      </c>
      <c r="B1916">
        <v>1</v>
      </c>
      <c r="C1916" t="s">
        <v>285</v>
      </c>
      <c r="D1916" t="s">
        <v>9183</v>
      </c>
      <c r="E1916" t="s">
        <v>7657</v>
      </c>
      <c r="F1916" t="s">
        <v>7632</v>
      </c>
      <c r="H1916">
        <v>60000</v>
      </c>
    </row>
    <row r="1917" spans="1:8" x14ac:dyDescent="0.3">
      <c r="A1917" t="str">
        <f t="shared" si="30"/>
        <v>2Solihull</v>
      </c>
      <c r="B1917">
        <v>2</v>
      </c>
      <c r="C1917" t="s">
        <v>285</v>
      </c>
      <c r="D1917" t="s">
        <v>9184</v>
      </c>
      <c r="E1917" t="s">
        <v>806</v>
      </c>
      <c r="F1917" t="s">
        <v>917</v>
      </c>
      <c r="H1917">
        <v>78000</v>
      </c>
    </row>
    <row r="1918" spans="1:8" x14ac:dyDescent="0.3">
      <c r="A1918" t="str">
        <f t="shared" si="30"/>
        <v>3Solihull</v>
      </c>
      <c r="B1918">
        <v>3</v>
      </c>
      <c r="C1918" t="s">
        <v>285</v>
      </c>
      <c r="D1918" t="s">
        <v>9185</v>
      </c>
      <c r="E1918" t="s">
        <v>806</v>
      </c>
      <c r="F1918" t="s">
        <v>7642</v>
      </c>
      <c r="H1918">
        <v>72000</v>
      </c>
    </row>
    <row r="1919" spans="1:8" x14ac:dyDescent="0.3">
      <c r="A1919" t="str">
        <f t="shared" si="30"/>
        <v>4Solihull</v>
      </c>
      <c r="B1919">
        <v>4</v>
      </c>
      <c r="C1919" t="s">
        <v>285</v>
      </c>
      <c r="D1919" t="s">
        <v>9186</v>
      </c>
      <c r="E1919" t="s">
        <v>1106</v>
      </c>
      <c r="F1919" t="s">
        <v>7628</v>
      </c>
      <c r="H1919">
        <v>60000</v>
      </c>
    </row>
    <row r="1920" spans="1:8" x14ac:dyDescent="0.3">
      <c r="A1920" t="str">
        <f t="shared" si="30"/>
        <v>5Solihull</v>
      </c>
      <c r="B1920">
        <v>5</v>
      </c>
      <c r="C1920" t="s">
        <v>285</v>
      </c>
      <c r="D1920" t="s">
        <v>9187</v>
      </c>
      <c r="E1920" t="s">
        <v>1113</v>
      </c>
      <c r="F1920" t="s">
        <v>7629</v>
      </c>
      <c r="H1920">
        <v>25000</v>
      </c>
    </row>
    <row r="1921" spans="1:8" x14ac:dyDescent="0.3">
      <c r="A1921" t="str">
        <f t="shared" si="30"/>
        <v>6Solihull</v>
      </c>
      <c r="B1921">
        <v>6</v>
      </c>
      <c r="C1921" t="s">
        <v>285</v>
      </c>
      <c r="D1921" t="s">
        <v>9188</v>
      </c>
      <c r="E1921" t="s">
        <v>1113</v>
      </c>
      <c r="F1921" t="s">
        <v>7629</v>
      </c>
      <c r="H1921">
        <v>45528</v>
      </c>
    </row>
    <row r="1922" spans="1:8" x14ac:dyDescent="0.3">
      <c r="A1922" t="str">
        <f t="shared" si="30"/>
        <v>7Solihull</v>
      </c>
      <c r="B1922">
        <v>7</v>
      </c>
      <c r="C1922" t="s">
        <v>285</v>
      </c>
      <c r="D1922" t="s">
        <v>9189</v>
      </c>
      <c r="E1922" t="s">
        <v>812</v>
      </c>
      <c r="F1922" t="s">
        <v>7704</v>
      </c>
      <c r="H1922">
        <v>56000</v>
      </c>
    </row>
    <row r="1923" spans="1:8" x14ac:dyDescent="0.3">
      <c r="A1923" t="str">
        <f t="shared" si="30"/>
        <v>8Solihull</v>
      </c>
      <c r="B1923">
        <v>8</v>
      </c>
      <c r="C1923" t="s">
        <v>285</v>
      </c>
      <c r="D1923" t="s">
        <v>9190</v>
      </c>
      <c r="E1923" t="s">
        <v>7662</v>
      </c>
      <c r="F1923" t="s">
        <v>7704</v>
      </c>
      <c r="H1923">
        <v>8100</v>
      </c>
    </row>
    <row r="1924" spans="1:8" x14ac:dyDescent="0.3">
      <c r="A1924" t="str">
        <f t="shared" si="30"/>
        <v>9Solihull</v>
      </c>
      <c r="B1924">
        <v>9</v>
      </c>
      <c r="C1924" t="s">
        <v>285</v>
      </c>
      <c r="D1924" t="s">
        <v>9191</v>
      </c>
      <c r="E1924" t="s">
        <v>7662</v>
      </c>
      <c r="F1924" t="s">
        <v>7704</v>
      </c>
      <c r="H1924">
        <v>7250</v>
      </c>
    </row>
    <row r="1925" spans="1:8" x14ac:dyDescent="0.3">
      <c r="A1925" t="str">
        <f t="shared" si="30"/>
        <v>10Solihull</v>
      </c>
      <c r="B1925">
        <v>10</v>
      </c>
      <c r="C1925" t="s">
        <v>285</v>
      </c>
      <c r="D1925" t="s">
        <v>7894</v>
      </c>
      <c r="E1925" t="s">
        <v>842</v>
      </c>
      <c r="F1925" t="s">
        <v>7636</v>
      </c>
      <c r="H1925">
        <v>7500</v>
      </c>
    </row>
    <row r="1926" spans="1:8" x14ac:dyDescent="0.3">
      <c r="A1926" t="str">
        <f t="shared" si="30"/>
        <v>11Solihull</v>
      </c>
      <c r="B1926">
        <v>11</v>
      </c>
      <c r="C1926" t="s">
        <v>285</v>
      </c>
      <c r="D1926" t="s">
        <v>7894</v>
      </c>
      <c r="E1926" t="s">
        <v>806</v>
      </c>
      <c r="F1926" t="s">
        <v>7642</v>
      </c>
      <c r="H1926">
        <v>7500</v>
      </c>
    </row>
    <row r="1927" spans="1:8" x14ac:dyDescent="0.3">
      <c r="A1927" t="str">
        <f t="shared" ref="A1927:A1990" si="31">B1927&amp;C1927</f>
        <v>12Solihull</v>
      </c>
      <c r="B1927">
        <v>12</v>
      </c>
      <c r="C1927" t="s">
        <v>285</v>
      </c>
      <c r="D1927" t="s">
        <v>9192</v>
      </c>
      <c r="E1927" t="s">
        <v>812</v>
      </c>
      <c r="F1927" t="s">
        <v>7704</v>
      </c>
      <c r="H1927">
        <v>10000</v>
      </c>
    </row>
    <row r="1928" spans="1:8" x14ac:dyDescent="0.3">
      <c r="A1928" t="str">
        <f t="shared" si="31"/>
        <v>13Solihull</v>
      </c>
      <c r="B1928">
        <v>13</v>
      </c>
      <c r="C1928" t="s">
        <v>285</v>
      </c>
      <c r="D1928" t="s">
        <v>7963</v>
      </c>
      <c r="E1928" t="s">
        <v>800</v>
      </c>
      <c r="F1928" t="s">
        <v>903</v>
      </c>
      <c r="H1928">
        <v>75000</v>
      </c>
    </row>
    <row r="1929" spans="1:8" x14ac:dyDescent="0.3">
      <c r="A1929" t="str">
        <f t="shared" si="31"/>
        <v>14Solihull</v>
      </c>
      <c r="B1929">
        <v>14</v>
      </c>
      <c r="C1929" t="s">
        <v>285</v>
      </c>
      <c r="D1929" t="s">
        <v>9193</v>
      </c>
      <c r="E1929" t="s">
        <v>812</v>
      </c>
      <c r="F1929" t="s">
        <v>7704</v>
      </c>
      <c r="H1929">
        <v>45000</v>
      </c>
    </row>
    <row r="1930" spans="1:8" x14ac:dyDescent="0.3">
      <c r="A1930" t="str">
        <f t="shared" si="31"/>
        <v>15Solihull</v>
      </c>
      <c r="B1930">
        <v>15</v>
      </c>
      <c r="C1930" t="s">
        <v>285</v>
      </c>
      <c r="D1930" t="s">
        <v>9194</v>
      </c>
      <c r="E1930" t="s">
        <v>800</v>
      </c>
      <c r="F1930" t="s">
        <v>2108</v>
      </c>
      <c r="H1930">
        <v>54120</v>
      </c>
    </row>
    <row r="1931" spans="1:8" x14ac:dyDescent="0.3">
      <c r="A1931" t="str">
        <f t="shared" si="31"/>
        <v>16Solihull</v>
      </c>
      <c r="B1931">
        <v>16</v>
      </c>
      <c r="C1931" t="s">
        <v>285</v>
      </c>
      <c r="D1931" t="s">
        <v>9195</v>
      </c>
      <c r="E1931" t="s">
        <v>1113</v>
      </c>
      <c r="F1931" t="s">
        <v>7629</v>
      </c>
      <c r="H1931">
        <v>348047</v>
      </c>
    </row>
    <row r="1932" spans="1:8" x14ac:dyDescent="0.3">
      <c r="A1932" t="str">
        <f t="shared" si="31"/>
        <v>17Solihull</v>
      </c>
      <c r="B1932">
        <v>17</v>
      </c>
      <c r="C1932" t="s">
        <v>285</v>
      </c>
      <c r="D1932" t="s">
        <v>9196</v>
      </c>
      <c r="E1932" t="s">
        <v>7657</v>
      </c>
      <c r="F1932" t="s">
        <v>7632</v>
      </c>
      <c r="H1932">
        <v>150000</v>
      </c>
    </row>
    <row r="1933" spans="1:8" x14ac:dyDescent="0.3">
      <c r="A1933" t="str">
        <f t="shared" si="31"/>
        <v>18Solihull</v>
      </c>
      <c r="B1933">
        <v>18</v>
      </c>
      <c r="C1933" t="s">
        <v>285</v>
      </c>
      <c r="D1933" t="s">
        <v>9197</v>
      </c>
      <c r="E1933" t="s">
        <v>812</v>
      </c>
      <c r="F1933" t="s">
        <v>7704</v>
      </c>
      <c r="H1933">
        <v>20000</v>
      </c>
    </row>
    <row r="1934" spans="1:8" x14ac:dyDescent="0.3">
      <c r="A1934" t="str">
        <f t="shared" si="31"/>
        <v>19Solihull</v>
      </c>
      <c r="B1934">
        <v>19</v>
      </c>
      <c r="C1934" t="s">
        <v>285</v>
      </c>
      <c r="D1934" t="s">
        <v>9198</v>
      </c>
      <c r="E1934" t="s">
        <v>7649</v>
      </c>
      <c r="F1934" t="s">
        <v>7638</v>
      </c>
      <c r="H1934">
        <v>30000</v>
      </c>
    </row>
    <row r="1935" spans="1:8" x14ac:dyDescent="0.3">
      <c r="A1935" t="str">
        <f t="shared" si="31"/>
        <v>20Solihull</v>
      </c>
      <c r="B1935">
        <v>20</v>
      </c>
      <c r="C1935" t="s">
        <v>285</v>
      </c>
      <c r="D1935" t="s">
        <v>9199</v>
      </c>
      <c r="E1935" t="s">
        <v>7657</v>
      </c>
      <c r="F1935" t="s">
        <v>7632</v>
      </c>
      <c r="H1935">
        <v>25000</v>
      </c>
    </row>
    <row r="1936" spans="1:8" x14ac:dyDescent="0.3">
      <c r="A1936" t="str">
        <f t="shared" si="31"/>
        <v>21Solihull</v>
      </c>
      <c r="B1936">
        <v>21</v>
      </c>
      <c r="C1936" t="s">
        <v>285</v>
      </c>
      <c r="D1936" t="s">
        <v>9200</v>
      </c>
      <c r="E1936" t="s">
        <v>5266</v>
      </c>
      <c r="F1936" t="s">
        <v>7643</v>
      </c>
      <c r="H1936">
        <v>360000</v>
      </c>
    </row>
    <row r="1937" spans="1:8" x14ac:dyDescent="0.3">
      <c r="A1937" t="str">
        <f t="shared" si="31"/>
        <v>1Somerset</v>
      </c>
      <c r="B1937">
        <v>1</v>
      </c>
      <c r="C1937" t="s">
        <v>287</v>
      </c>
      <c r="D1937" t="s">
        <v>9201</v>
      </c>
      <c r="E1937" t="s">
        <v>812</v>
      </c>
      <c r="H1937">
        <v>40000</v>
      </c>
    </row>
    <row r="1938" spans="1:8" x14ac:dyDescent="0.3">
      <c r="A1938" t="str">
        <f t="shared" si="31"/>
        <v>2Somerset</v>
      </c>
      <c r="B1938">
        <v>2</v>
      </c>
      <c r="C1938" t="s">
        <v>287</v>
      </c>
      <c r="D1938" t="s">
        <v>9202</v>
      </c>
      <c r="E1938" t="s">
        <v>1113</v>
      </c>
      <c r="F1938" t="s">
        <v>812</v>
      </c>
      <c r="H1938">
        <v>30000</v>
      </c>
    </row>
    <row r="1939" spans="1:8" x14ac:dyDescent="0.3">
      <c r="A1939" t="str">
        <f t="shared" si="31"/>
        <v>3Somerset</v>
      </c>
      <c r="B1939">
        <v>3</v>
      </c>
      <c r="C1939" t="s">
        <v>287</v>
      </c>
      <c r="D1939" t="s">
        <v>9203</v>
      </c>
      <c r="E1939" t="s">
        <v>7657</v>
      </c>
      <c r="F1939" t="s">
        <v>7632</v>
      </c>
      <c r="H1939">
        <v>206932</v>
      </c>
    </row>
    <row r="1940" spans="1:8" x14ac:dyDescent="0.3">
      <c r="A1940" t="str">
        <f t="shared" si="31"/>
        <v>4Somerset</v>
      </c>
      <c r="B1940">
        <v>4</v>
      </c>
      <c r="C1940" t="s">
        <v>287</v>
      </c>
      <c r="D1940" t="s">
        <v>9204</v>
      </c>
      <c r="E1940" t="s">
        <v>806</v>
      </c>
      <c r="F1940" t="s">
        <v>807</v>
      </c>
      <c r="H1940">
        <v>300000</v>
      </c>
    </row>
    <row r="1941" spans="1:8" x14ac:dyDescent="0.3">
      <c r="A1941" t="str">
        <f t="shared" si="31"/>
        <v>5Somerset</v>
      </c>
      <c r="B1941">
        <v>5</v>
      </c>
      <c r="C1941" t="s">
        <v>287</v>
      </c>
      <c r="D1941" t="s">
        <v>9205</v>
      </c>
      <c r="E1941" t="s">
        <v>1113</v>
      </c>
      <c r="F1941" t="s">
        <v>7629</v>
      </c>
      <c r="H1941">
        <v>18806</v>
      </c>
    </row>
    <row r="1942" spans="1:8" x14ac:dyDescent="0.3">
      <c r="A1942" t="str">
        <f t="shared" si="31"/>
        <v>6Somerset</v>
      </c>
      <c r="B1942">
        <v>6</v>
      </c>
      <c r="C1942" t="s">
        <v>287</v>
      </c>
      <c r="D1942" t="s">
        <v>9206</v>
      </c>
      <c r="E1942" t="s">
        <v>812</v>
      </c>
      <c r="H1942">
        <v>7000</v>
      </c>
    </row>
    <row r="1943" spans="1:8" x14ac:dyDescent="0.3">
      <c r="A1943" t="str">
        <f t="shared" si="31"/>
        <v>7Somerset</v>
      </c>
      <c r="B1943">
        <v>7</v>
      </c>
      <c r="C1943" t="s">
        <v>287</v>
      </c>
      <c r="D1943" t="s">
        <v>9207</v>
      </c>
      <c r="E1943" t="s">
        <v>812</v>
      </c>
      <c r="H1943">
        <v>9000</v>
      </c>
    </row>
    <row r="1944" spans="1:8" x14ac:dyDescent="0.3">
      <c r="A1944" t="str">
        <f t="shared" si="31"/>
        <v>8Somerset</v>
      </c>
      <c r="B1944">
        <v>8</v>
      </c>
      <c r="C1944" t="s">
        <v>287</v>
      </c>
      <c r="D1944" t="s">
        <v>9208</v>
      </c>
      <c r="E1944" t="s">
        <v>7660</v>
      </c>
      <c r="H1944">
        <v>108000</v>
      </c>
    </row>
    <row r="1945" spans="1:8" x14ac:dyDescent="0.3">
      <c r="A1945" t="str">
        <f t="shared" si="31"/>
        <v>9Somerset</v>
      </c>
      <c r="B1945">
        <v>9</v>
      </c>
      <c r="C1945" t="s">
        <v>287</v>
      </c>
      <c r="D1945" t="s">
        <v>9209</v>
      </c>
      <c r="E1945" t="s">
        <v>800</v>
      </c>
      <c r="F1945" t="s">
        <v>812</v>
      </c>
      <c r="H1945">
        <v>6000</v>
      </c>
    </row>
    <row r="1946" spans="1:8" x14ac:dyDescent="0.3">
      <c r="A1946" t="str">
        <f t="shared" si="31"/>
        <v>10Somerset</v>
      </c>
      <c r="B1946">
        <v>10</v>
      </c>
      <c r="C1946" t="s">
        <v>287</v>
      </c>
      <c r="D1946" t="s">
        <v>9210</v>
      </c>
      <c r="E1946" t="s">
        <v>1106</v>
      </c>
      <c r="F1946" t="s">
        <v>7628</v>
      </c>
      <c r="H1946">
        <v>100000</v>
      </c>
    </row>
    <row r="1947" spans="1:8" x14ac:dyDescent="0.3">
      <c r="A1947" t="str">
        <f t="shared" si="31"/>
        <v>11Somerset</v>
      </c>
      <c r="B1947">
        <v>11</v>
      </c>
      <c r="C1947" t="s">
        <v>287</v>
      </c>
      <c r="D1947" t="s">
        <v>9211</v>
      </c>
      <c r="E1947" t="s">
        <v>842</v>
      </c>
      <c r="F1947" t="s">
        <v>843</v>
      </c>
      <c r="H1947">
        <v>46000</v>
      </c>
    </row>
    <row r="1948" spans="1:8" x14ac:dyDescent="0.3">
      <c r="A1948" t="str">
        <f t="shared" si="31"/>
        <v>12Somerset</v>
      </c>
      <c r="B1948">
        <v>12</v>
      </c>
      <c r="C1948" t="s">
        <v>287</v>
      </c>
      <c r="D1948" t="s">
        <v>9212</v>
      </c>
      <c r="E1948" t="s">
        <v>7660</v>
      </c>
      <c r="H1948">
        <v>6000</v>
      </c>
    </row>
    <row r="1949" spans="1:8" x14ac:dyDescent="0.3">
      <c r="A1949" t="str">
        <f t="shared" si="31"/>
        <v>13Somerset</v>
      </c>
      <c r="B1949">
        <v>13</v>
      </c>
      <c r="C1949" t="s">
        <v>287</v>
      </c>
      <c r="D1949" t="s">
        <v>9213</v>
      </c>
      <c r="E1949" t="s">
        <v>842</v>
      </c>
      <c r="F1949" t="s">
        <v>843</v>
      </c>
      <c r="H1949">
        <v>360000</v>
      </c>
    </row>
    <row r="1950" spans="1:8" x14ac:dyDescent="0.3">
      <c r="A1950" t="str">
        <f t="shared" si="31"/>
        <v>14Somerset</v>
      </c>
      <c r="B1950">
        <v>14</v>
      </c>
      <c r="C1950" t="s">
        <v>287</v>
      </c>
      <c r="D1950" t="s">
        <v>9214</v>
      </c>
      <c r="E1950" t="s">
        <v>842</v>
      </c>
      <c r="F1950" t="s">
        <v>7636</v>
      </c>
      <c r="H1950">
        <v>30000</v>
      </c>
    </row>
    <row r="1951" spans="1:8" x14ac:dyDescent="0.3">
      <c r="A1951" t="str">
        <f t="shared" si="31"/>
        <v>15Somerset</v>
      </c>
      <c r="B1951">
        <v>15</v>
      </c>
      <c r="C1951" t="s">
        <v>287</v>
      </c>
      <c r="D1951" t="s">
        <v>9215</v>
      </c>
      <c r="E1951" t="s">
        <v>842</v>
      </c>
      <c r="F1951" t="s">
        <v>843</v>
      </c>
      <c r="H1951">
        <v>360000</v>
      </c>
    </row>
    <row r="1952" spans="1:8" x14ac:dyDescent="0.3">
      <c r="A1952" t="str">
        <f t="shared" si="31"/>
        <v>16Somerset</v>
      </c>
      <c r="B1952">
        <v>16</v>
      </c>
      <c r="C1952" t="s">
        <v>287</v>
      </c>
      <c r="D1952" t="s">
        <v>9216</v>
      </c>
      <c r="E1952" t="s">
        <v>812</v>
      </c>
      <c r="H1952">
        <v>250000</v>
      </c>
    </row>
    <row r="1953" spans="1:8" x14ac:dyDescent="0.3">
      <c r="A1953" t="str">
        <f t="shared" si="31"/>
        <v>17Somerset</v>
      </c>
      <c r="B1953">
        <v>17</v>
      </c>
      <c r="C1953" t="s">
        <v>287</v>
      </c>
      <c r="D1953" t="s">
        <v>9217</v>
      </c>
      <c r="E1953" t="s">
        <v>806</v>
      </c>
      <c r="F1953" t="s">
        <v>812</v>
      </c>
      <c r="H1953">
        <v>50000</v>
      </c>
    </row>
    <row r="1954" spans="1:8" x14ac:dyDescent="0.3">
      <c r="A1954" t="str">
        <f t="shared" si="31"/>
        <v>18Somerset</v>
      </c>
      <c r="B1954">
        <v>18</v>
      </c>
      <c r="C1954" t="s">
        <v>287</v>
      </c>
      <c r="D1954" t="s">
        <v>9218</v>
      </c>
      <c r="E1954" t="s">
        <v>806</v>
      </c>
      <c r="F1954" t="s">
        <v>812</v>
      </c>
      <c r="H1954">
        <v>200000</v>
      </c>
    </row>
    <row r="1955" spans="1:8" x14ac:dyDescent="0.3">
      <c r="A1955" t="str">
        <f t="shared" si="31"/>
        <v>19Somerset</v>
      </c>
      <c r="B1955">
        <v>19</v>
      </c>
      <c r="C1955" t="s">
        <v>287</v>
      </c>
      <c r="D1955" t="s">
        <v>9219</v>
      </c>
      <c r="E1955" t="s">
        <v>806</v>
      </c>
      <c r="F1955" t="s">
        <v>917</v>
      </c>
      <c r="H1955">
        <v>466000</v>
      </c>
    </row>
    <row r="1956" spans="1:8" x14ac:dyDescent="0.3">
      <c r="A1956" t="str">
        <f t="shared" si="31"/>
        <v>20Somerset</v>
      </c>
      <c r="B1956">
        <v>20</v>
      </c>
      <c r="C1956" t="s">
        <v>287</v>
      </c>
      <c r="D1956" t="s">
        <v>9220</v>
      </c>
      <c r="E1956" t="s">
        <v>842</v>
      </c>
      <c r="F1956" t="s">
        <v>1594</v>
      </c>
      <c r="H1956">
        <v>10000</v>
      </c>
    </row>
    <row r="1957" spans="1:8" x14ac:dyDescent="0.3">
      <c r="A1957" t="str">
        <f t="shared" si="31"/>
        <v>21Somerset</v>
      </c>
      <c r="B1957">
        <v>21</v>
      </c>
      <c r="C1957" t="s">
        <v>287</v>
      </c>
      <c r="D1957" t="s">
        <v>9221</v>
      </c>
      <c r="E1957" t="s">
        <v>7658</v>
      </c>
      <c r="H1957">
        <v>4000</v>
      </c>
    </row>
    <row r="1958" spans="1:8" x14ac:dyDescent="0.3">
      <c r="A1958" t="str">
        <f t="shared" si="31"/>
        <v>22Somerset</v>
      </c>
      <c r="B1958">
        <v>22</v>
      </c>
      <c r="C1958" t="s">
        <v>287</v>
      </c>
      <c r="D1958" t="s">
        <v>9222</v>
      </c>
      <c r="E1958" t="s">
        <v>806</v>
      </c>
      <c r="F1958" t="s">
        <v>807</v>
      </c>
      <c r="H1958">
        <v>16000</v>
      </c>
    </row>
    <row r="1959" spans="1:8" x14ac:dyDescent="0.3">
      <c r="A1959" t="str">
        <f t="shared" si="31"/>
        <v>23Somerset</v>
      </c>
      <c r="B1959">
        <v>23</v>
      </c>
      <c r="C1959" t="s">
        <v>287</v>
      </c>
      <c r="D1959" t="s">
        <v>9223</v>
      </c>
      <c r="E1959" t="s">
        <v>842</v>
      </c>
      <c r="F1959" t="s">
        <v>843</v>
      </c>
      <c r="H1959">
        <v>300000</v>
      </c>
    </row>
    <row r="1960" spans="1:8" x14ac:dyDescent="0.3">
      <c r="A1960" t="str">
        <f t="shared" si="31"/>
        <v>24Somerset</v>
      </c>
      <c r="B1960">
        <v>24</v>
      </c>
      <c r="C1960" t="s">
        <v>287</v>
      </c>
      <c r="D1960" t="s">
        <v>9224</v>
      </c>
      <c r="E1960" t="s">
        <v>7662</v>
      </c>
      <c r="H1960">
        <v>60000</v>
      </c>
    </row>
    <row r="1961" spans="1:8" x14ac:dyDescent="0.3">
      <c r="A1961" t="str">
        <f t="shared" si="31"/>
        <v>25Somerset</v>
      </c>
      <c r="B1961">
        <v>25</v>
      </c>
      <c r="C1961" t="s">
        <v>287</v>
      </c>
      <c r="D1961" t="s">
        <v>9225</v>
      </c>
      <c r="E1961" t="s">
        <v>7660</v>
      </c>
      <c r="H1961">
        <v>2514696</v>
      </c>
    </row>
    <row r="1962" spans="1:8" x14ac:dyDescent="0.3">
      <c r="A1962" t="str">
        <f t="shared" si="31"/>
        <v>26Somerset</v>
      </c>
      <c r="B1962">
        <v>26</v>
      </c>
      <c r="C1962" t="s">
        <v>287</v>
      </c>
      <c r="D1962" t="s">
        <v>9226</v>
      </c>
      <c r="E1962" t="s">
        <v>842</v>
      </c>
      <c r="F1962" t="s">
        <v>843</v>
      </c>
      <c r="H1962">
        <v>50000</v>
      </c>
    </row>
    <row r="1963" spans="1:8" x14ac:dyDescent="0.3">
      <c r="A1963" t="str">
        <f t="shared" si="31"/>
        <v>27Somerset</v>
      </c>
      <c r="B1963">
        <v>27</v>
      </c>
      <c r="C1963" t="s">
        <v>287</v>
      </c>
      <c r="D1963" t="s">
        <v>9227</v>
      </c>
      <c r="E1963" t="s">
        <v>812</v>
      </c>
      <c r="H1963">
        <v>289180</v>
      </c>
    </row>
    <row r="1964" spans="1:8" x14ac:dyDescent="0.3">
      <c r="A1964" t="str">
        <f t="shared" si="31"/>
        <v>28Somerset</v>
      </c>
      <c r="B1964">
        <v>28</v>
      </c>
      <c r="C1964" t="s">
        <v>287</v>
      </c>
      <c r="D1964" t="s">
        <v>9228</v>
      </c>
      <c r="E1964" t="s">
        <v>800</v>
      </c>
      <c r="F1964" t="s">
        <v>903</v>
      </c>
      <c r="H1964">
        <v>50000</v>
      </c>
    </row>
    <row r="1965" spans="1:8" x14ac:dyDescent="0.3">
      <c r="A1965" t="str">
        <f t="shared" si="31"/>
        <v>29Somerset</v>
      </c>
      <c r="B1965">
        <v>29</v>
      </c>
      <c r="C1965" t="s">
        <v>287</v>
      </c>
      <c r="D1965" t="s">
        <v>9229</v>
      </c>
      <c r="E1965" t="s">
        <v>812</v>
      </c>
      <c r="H1965">
        <v>68164</v>
      </c>
    </row>
    <row r="1966" spans="1:8" x14ac:dyDescent="0.3">
      <c r="A1966" t="str">
        <f t="shared" si="31"/>
        <v>30Somerset</v>
      </c>
      <c r="B1966">
        <v>30</v>
      </c>
      <c r="C1966" t="s">
        <v>287</v>
      </c>
      <c r="D1966" t="s">
        <v>9230</v>
      </c>
      <c r="E1966" t="s">
        <v>1106</v>
      </c>
      <c r="F1966" t="s">
        <v>812</v>
      </c>
      <c r="H1966">
        <v>300430</v>
      </c>
    </row>
    <row r="1967" spans="1:8" x14ac:dyDescent="0.3">
      <c r="A1967" t="str">
        <f t="shared" si="31"/>
        <v>31Somerset</v>
      </c>
      <c r="B1967">
        <v>31</v>
      </c>
      <c r="C1967" t="s">
        <v>287</v>
      </c>
      <c r="D1967" t="s">
        <v>9231</v>
      </c>
      <c r="E1967" t="s">
        <v>7658</v>
      </c>
      <c r="H1967">
        <v>272416</v>
      </c>
    </row>
    <row r="1968" spans="1:8" x14ac:dyDescent="0.3">
      <c r="A1968" t="str">
        <f t="shared" si="31"/>
        <v>1South Gloucestershire</v>
      </c>
      <c r="B1968">
        <v>1</v>
      </c>
      <c r="C1968" t="s">
        <v>289</v>
      </c>
      <c r="D1968" t="s">
        <v>9232</v>
      </c>
      <c r="E1968" t="s">
        <v>7649</v>
      </c>
      <c r="F1968" t="s">
        <v>7638</v>
      </c>
      <c r="H1968">
        <v>10000</v>
      </c>
    </row>
    <row r="1969" spans="1:8" x14ac:dyDescent="0.3">
      <c r="A1969" t="str">
        <f t="shared" si="31"/>
        <v>2South Gloucestershire</v>
      </c>
      <c r="B1969">
        <v>2</v>
      </c>
      <c r="C1969" t="s">
        <v>289</v>
      </c>
      <c r="D1969" t="s">
        <v>7825</v>
      </c>
      <c r="E1969" t="s">
        <v>806</v>
      </c>
      <c r="F1969" t="s">
        <v>917</v>
      </c>
      <c r="H1969">
        <v>65000</v>
      </c>
    </row>
    <row r="1970" spans="1:8" x14ac:dyDescent="0.3">
      <c r="A1970" t="str">
        <f t="shared" si="31"/>
        <v>3South Gloucestershire</v>
      </c>
      <c r="B1970">
        <v>3</v>
      </c>
      <c r="C1970" t="s">
        <v>289</v>
      </c>
      <c r="D1970" t="s">
        <v>2468</v>
      </c>
      <c r="E1970" t="s">
        <v>7649</v>
      </c>
      <c r="F1970" t="s">
        <v>7638</v>
      </c>
      <c r="H1970">
        <v>170000</v>
      </c>
    </row>
    <row r="1971" spans="1:8" x14ac:dyDescent="0.3">
      <c r="A1971" t="str">
        <f t="shared" si="31"/>
        <v>4South Gloucestershire</v>
      </c>
      <c r="B1971">
        <v>4</v>
      </c>
      <c r="C1971" t="s">
        <v>289</v>
      </c>
      <c r="D1971" t="s">
        <v>9233</v>
      </c>
      <c r="E1971" t="s">
        <v>842</v>
      </c>
      <c r="F1971" t="s">
        <v>812</v>
      </c>
      <c r="H1971">
        <v>13750</v>
      </c>
    </row>
    <row r="1972" spans="1:8" x14ac:dyDescent="0.3">
      <c r="A1972" t="str">
        <f t="shared" si="31"/>
        <v>5South Gloucestershire</v>
      </c>
      <c r="B1972">
        <v>5</v>
      </c>
      <c r="C1972" t="s">
        <v>289</v>
      </c>
      <c r="D1972" t="s">
        <v>7827</v>
      </c>
      <c r="E1972" t="s">
        <v>7662</v>
      </c>
      <c r="F1972" t="s">
        <v>7704</v>
      </c>
      <c r="H1972">
        <v>7500</v>
      </c>
    </row>
    <row r="1973" spans="1:8" x14ac:dyDescent="0.3">
      <c r="A1973" t="str">
        <f t="shared" si="31"/>
        <v>6South Gloucestershire</v>
      </c>
      <c r="B1973">
        <v>6</v>
      </c>
      <c r="C1973" t="s">
        <v>289</v>
      </c>
      <c r="D1973" t="s">
        <v>8125</v>
      </c>
      <c r="E1973" t="s">
        <v>7662</v>
      </c>
      <c r="F1973" t="s">
        <v>7704</v>
      </c>
      <c r="H1973">
        <v>5958</v>
      </c>
    </row>
    <row r="1974" spans="1:8" x14ac:dyDescent="0.3">
      <c r="A1974" t="str">
        <f t="shared" si="31"/>
        <v>7South Gloucestershire</v>
      </c>
      <c r="B1974">
        <v>7</v>
      </c>
      <c r="C1974" t="s">
        <v>289</v>
      </c>
      <c r="D1974" t="s">
        <v>7828</v>
      </c>
      <c r="E1974" t="s">
        <v>5266</v>
      </c>
      <c r="F1974" t="s">
        <v>7646</v>
      </c>
      <c r="H1974">
        <v>30000</v>
      </c>
    </row>
    <row r="1975" spans="1:8" x14ac:dyDescent="0.3">
      <c r="A1975" t="str">
        <f t="shared" si="31"/>
        <v>8South Gloucestershire</v>
      </c>
      <c r="B1975">
        <v>8</v>
      </c>
      <c r="C1975" t="s">
        <v>289</v>
      </c>
      <c r="D1975" t="s">
        <v>2248</v>
      </c>
      <c r="E1975" t="s">
        <v>842</v>
      </c>
      <c r="F1975" t="s">
        <v>7704</v>
      </c>
      <c r="H1975">
        <v>20000</v>
      </c>
    </row>
    <row r="1976" spans="1:8" x14ac:dyDescent="0.3">
      <c r="A1976" t="str">
        <f t="shared" si="31"/>
        <v>9South Gloucestershire</v>
      </c>
      <c r="B1976">
        <v>9</v>
      </c>
      <c r="C1976" t="s">
        <v>289</v>
      </c>
      <c r="D1976" t="s">
        <v>7830</v>
      </c>
      <c r="E1976" t="s">
        <v>7662</v>
      </c>
      <c r="F1976" t="s">
        <v>7704</v>
      </c>
      <c r="H1976">
        <v>5000</v>
      </c>
    </row>
    <row r="1977" spans="1:8" x14ac:dyDescent="0.3">
      <c r="A1977" t="str">
        <f t="shared" si="31"/>
        <v>10South Gloucestershire</v>
      </c>
      <c r="B1977">
        <v>10</v>
      </c>
      <c r="C1977" t="s">
        <v>289</v>
      </c>
      <c r="D1977" t="s">
        <v>4916</v>
      </c>
      <c r="E1977" t="s">
        <v>1106</v>
      </c>
      <c r="F1977" t="s">
        <v>7628</v>
      </c>
      <c r="H1977">
        <v>100000</v>
      </c>
    </row>
    <row r="1978" spans="1:8" x14ac:dyDescent="0.3">
      <c r="A1978" t="str">
        <f t="shared" si="31"/>
        <v>11South Gloucestershire</v>
      </c>
      <c r="B1978">
        <v>11</v>
      </c>
      <c r="C1978" t="s">
        <v>289</v>
      </c>
      <c r="D1978" t="s">
        <v>9234</v>
      </c>
      <c r="E1978" t="s">
        <v>800</v>
      </c>
      <c r="F1978" t="s">
        <v>903</v>
      </c>
      <c r="H1978">
        <v>260000</v>
      </c>
    </row>
    <row r="1979" spans="1:8" x14ac:dyDescent="0.3">
      <c r="A1979" t="str">
        <f t="shared" si="31"/>
        <v>12South Gloucestershire</v>
      </c>
      <c r="B1979">
        <v>12</v>
      </c>
      <c r="C1979" t="s">
        <v>289</v>
      </c>
      <c r="D1979" t="s">
        <v>7831</v>
      </c>
      <c r="E1979" t="s">
        <v>842</v>
      </c>
      <c r="F1979" t="s">
        <v>843</v>
      </c>
      <c r="H1979">
        <v>40000</v>
      </c>
    </row>
    <row r="1980" spans="1:8" x14ac:dyDescent="0.3">
      <c r="A1980" t="str">
        <f t="shared" si="31"/>
        <v>13South Gloucestershire</v>
      </c>
      <c r="B1980">
        <v>13</v>
      </c>
      <c r="C1980" t="s">
        <v>289</v>
      </c>
      <c r="D1980" t="s">
        <v>7832</v>
      </c>
      <c r="E1980" t="s">
        <v>7649</v>
      </c>
      <c r="F1980" t="s">
        <v>7638</v>
      </c>
      <c r="H1980">
        <v>21975</v>
      </c>
    </row>
    <row r="1981" spans="1:8" x14ac:dyDescent="0.3">
      <c r="A1981" t="str">
        <f t="shared" si="31"/>
        <v>14South Gloucestershire</v>
      </c>
      <c r="B1981">
        <v>14</v>
      </c>
      <c r="C1981" t="s">
        <v>289</v>
      </c>
      <c r="D1981" t="s">
        <v>7713</v>
      </c>
      <c r="E1981" t="s">
        <v>842</v>
      </c>
      <c r="F1981" t="s">
        <v>7704</v>
      </c>
      <c r="H1981">
        <v>20000</v>
      </c>
    </row>
    <row r="1982" spans="1:8" x14ac:dyDescent="0.3">
      <c r="A1982" t="str">
        <f t="shared" si="31"/>
        <v>15South Gloucestershire</v>
      </c>
      <c r="B1982">
        <v>15</v>
      </c>
      <c r="C1982" t="s">
        <v>289</v>
      </c>
      <c r="D1982" t="s">
        <v>9235</v>
      </c>
      <c r="E1982" t="s">
        <v>7658</v>
      </c>
      <c r="F1982" t="s">
        <v>7704</v>
      </c>
      <c r="H1982">
        <v>40000</v>
      </c>
    </row>
    <row r="1983" spans="1:8" x14ac:dyDescent="0.3">
      <c r="A1983" t="str">
        <f t="shared" si="31"/>
        <v>16South Gloucestershire</v>
      </c>
      <c r="B1983">
        <v>16</v>
      </c>
      <c r="C1983" t="s">
        <v>289</v>
      </c>
      <c r="D1983" t="s">
        <v>7833</v>
      </c>
      <c r="E1983" t="s">
        <v>7649</v>
      </c>
      <c r="F1983" t="s">
        <v>7638</v>
      </c>
      <c r="H1983">
        <v>16567</v>
      </c>
    </row>
    <row r="1984" spans="1:8" x14ac:dyDescent="0.3">
      <c r="A1984" t="str">
        <f t="shared" si="31"/>
        <v>17South Gloucestershire</v>
      </c>
      <c r="B1984">
        <v>17</v>
      </c>
      <c r="C1984" t="s">
        <v>289</v>
      </c>
      <c r="D1984" t="s">
        <v>7834</v>
      </c>
      <c r="E1984" t="s">
        <v>806</v>
      </c>
      <c r="F1984" t="s">
        <v>917</v>
      </c>
      <c r="H1984">
        <v>80000</v>
      </c>
    </row>
    <row r="1985" spans="1:8" x14ac:dyDescent="0.3">
      <c r="A1985" t="str">
        <f t="shared" si="31"/>
        <v>18South Gloucestershire</v>
      </c>
      <c r="B1985">
        <v>18</v>
      </c>
      <c r="C1985" t="s">
        <v>289</v>
      </c>
      <c r="D1985" t="s">
        <v>7836</v>
      </c>
      <c r="E1985" t="s">
        <v>7649</v>
      </c>
      <c r="F1985" t="s">
        <v>7704</v>
      </c>
      <c r="H1985">
        <v>60000</v>
      </c>
    </row>
    <row r="1986" spans="1:8" x14ac:dyDescent="0.3">
      <c r="A1986" t="str">
        <f t="shared" si="31"/>
        <v>19South Gloucestershire</v>
      </c>
      <c r="B1986">
        <v>19</v>
      </c>
      <c r="C1986" t="s">
        <v>289</v>
      </c>
      <c r="D1986" t="s">
        <v>7837</v>
      </c>
      <c r="E1986" t="s">
        <v>1106</v>
      </c>
      <c r="F1986" t="s">
        <v>7628</v>
      </c>
      <c r="H1986">
        <v>50000</v>
      </c>
    </row>
    <row r="1987" spans="1:8" x14ac:dyDescent="0.3">
      <c r="A1987" t="str">
        <f t="shared" si="31"/>
        <v>20South Gloucestershire</v>
      </c>
      <c r="B1987">
        <v>20</v>
      </c>
      <c r="C1987" t="s">
        <v>289</v>
      </c>
      <c r="D1987" t="s">
        <v>9236</v>
      </c>
      <c r="E1987" t="s">
        <v>800</v>
      </c>
      <c r="F1987" t="s">
        <v>812</v>
      </c>
      <c r="H1987">
        <v>20000</v>
      </c>
    </row>
    <row r="1988" spans="1:8" x14ac:dyDescent="0.3">
      <c r="A1988" t="str">
        <f t="shared" si="31"/>
        <v>21South Gloucestershire</v>
      </c>
      <c r="B1988">
        <v>21</v>
      </c>
      <c r="C1988" t="s">
        <v>289</v>
      </c>
      <c r="D1988" t="s">
        <v>4637</v>
      </c>
      <c r="E1988" t="s">
        <v>7658</v>
      </c>
      <c r="F1988" t="s">
        <v>7704</v>
      </c>
      <c r="H1988">
        <v>30000</v>
      </c>
    </row>
    <row r="1989" spans="1:8" x14ac:dyDescent="0.3">
      <c r="A1989" t="str">
        <f t="shared" si="31"/>
        <v>22South Gloucestershire</v>
      </c>
      <c r="B1989">
        <v>22</v>
      </c>
      <c r="C1989" t="s">
        <v>289</v>
      </c>
      <c r="D1989" t="s">
        <v>9237</v>
      </c>
      <c r="E1989" t="s">
        <v>842</v>
      </c>
      <c r="F1989" t="s">
        <v>7636</v>
      </c>
      <c r="H1989">
        <v>168000</v>
      </c>
    </row>
    <row r="1990" spans="1:8" x14ac:dyDescent="0.3">
      <c r="A1990" t="str">
        <f t="shared" si="31"/>
        <v>23South Gloucestershire</v>
      </c>
      <c r="B1990">
        <v>23</v>
      </c>
      <c r="C1990" t="s">
        <v>289</v>
      </c>
      <c r="D1990" t="s">
        <v>9238</v>
      </c>
      <c r="E1990" t="s">
        <v>5266</v>
      </c>
      <c r="F1990" t="s">
        <v>7646</v>
      </c>
      <c r="H1990">
        <v>400000</v>
      </c>
    </row>
    <row r="1991" spans="1:8" x14ac:dyDescent="0.3">
      <c r="A1991" t="str">
        <f t="shared" ref="A1991:A2054" si="32">B1991&amp;C1991</f>
        <v>24South Gloucestershire</v>
      </c>
      <c r="B1991">
        <v>24</v>
      </c>
      <c r="C1991" t="s">
        <v>289</v>
      </c>
      <c r="D1991" t="s">
        <v>7840</v>
      </c>
      <c r="E1991" t="s">
        <v>7658</v>
      </c>
      <c r="F1991" t="s">
        <v>7704</v>
      </c>
      <c r="H1991">
        <v>3750</v>
      </c>
    </row>
    <row r="1992" spans="1:8" x14ac:dyDescent="0.3">
      <c r="A1992" t="str">
        <f t="shared" si="32"/>
        <v>25South Gloucestershire</v>
      </c>
      <c r="B1992">
        <v>25</v>
      </c>
      <c r="C1992" t="s">
        <v>289</v>
      </c>
      <c r="D1992" t="s">
        <v>7841</v>
      </c>
      <c r="E1992" t="s">
        <v>7657</v>
      </c>
      <c r="F1992" t="s">
        <v>7632</v>
      </c>
      <c r="H1992">
        <v>14750</v>
      </c>
    </row>
    <row r="1993" spans="1:8" x14ac:dyDescent="0.3">
      <c r="A1993" t="str">
        <f t="shared" si="32"/>
        <v>26South Gloucestershire</v>
      </c>
      <c r="B1993">
        <v>26</v>
      </c>
      <c r="C1993" t="s">
        <v>289</v>
      </c>
      <c r="D1993" t="s">
        <v>9239</v>
      </c>
      <c r="E1993" t="s">
        <v>7657</v>
      </c>
      <c r="F1993" t="s">
        <v>7632</v>
      </c>
      <c r="H1993">
        <v>70000</v>
      </c>
    </row>
    <row r="1994" spans="1:8" x14ac:dyDescent="0.3">
      <c r="A1994" t="str">
        <f t="shared" si="32"/>
        <v>27South Gloucestershire</v>
      </c>
      <c r="B1994">
        <v>27</v>
      </c>
      <c r="C1994" t="s">
        <v>289</v>
      </c>
      <c r="D1994" t="s">
        <v>9240</v>
      </c>
      <c r="E1994" t="s">
        <v>842</v>
      </c>
      <c r="F1994" t="s">
        <v>7636</v>
      </c>
      <c r="H1994">
        <v>90000</v>
      </c>
    </row>
    <row r="1995" spans="1:8" x14ac:dyDescent="0.3">
      <c r="A1995" t="str">
        <f t="shared" si="32"/>
        <v>28South Gloucestershire</v>
      </c>
      <c r="B1995">
        <v>28</v>
      </c>
      <c r="C1995" t="s">
        <v>289</v>
      </c>
      <c r="D1995" t="s">
        <v>9241</v>
      </c>
      <c r="E1995" t="s">
        <v>7657</v>
      </c>
      <c r="F1995" t="s">
        <v>7632</v>
      </c>
      <c r="H1995">
        <v>140000</v>
      </c>
    </row>
    <row r="1996" spans="1:8" x14ac:dyDescent="0.3">
      <c r="A1996" t="str">
        <f t="shared" si="32"/>
        <v>29South Gloucestershire</v>
      </c>
      <c r="B1996">
        <v>29</v>
      </c>
      <c r="C1996" t="s">
        <v>289</v>
      </c>
      <c r="D1996" t="s">
        <v>9242</v>
      </c>
      <c r="E1996" t="s">
        <v>800</v>
      </c>
      <c r="F1996" t="s">
        <v>903</v>
      </c>
      <c r="H1996">
        <v>15000</v>
      </c>
    </row>
    <row r="1997" spans="1:8" x14ac:dyDescent="0.3">
      <c r="A1997" t="str">
        <f t="shared" si="32"/>
        <v>30South Gloucestershire</v>
      </c>
      <c r="B1997">
        <v>30</v>
      </c>
      <c r="C1997" t="s">
        <v>289</v>
      </c>
      <c r="D1997" t="s">
        <v>9242</v>
      </c>
      <c r="E1997" t="s">
        <v>800</v>
      </c>
      <c r="F1997" t="s">
        <v>2108</v>
      </c>
      <c r="H1997">
        <v>15000</v>
      </c>
    </row>
    <row r="1998" spans="1:8" x14ac:dyDescent="0.3">
      <c r="A1998" t="str">
        <f t="shared" si="32"/>
        <v>31South Gloucestershire</v>
      </c>
      <c r="B1998">
        <v>31</v>
      </c>
      <c r="C1998" t="s">
        <v>289</v>
      </c>
      <c r="D1998" t="s">
        <v>8975</v>
      </c>
      <c r="E1998" t="s">
        <v>806</v>
      </c>
      <c r="F1998" t="s">
        <v>917</v>
      </c>
      <c r="H1998">
        <v>200000</v>
      </c>
    </row>
    <row r="1999" spans="1:8" x14ac:dyDescent="0.3">
      <c r="A1999" t="str">
        <f t="shared" si="32"/>
        <v>32South Gloucestershire</v>
      </c>
      <c r="B1999">
        <v>32</v>
      </c>
      <c r="C1999" t="s">
        <v>289</v>
      </c>
      <c r="D1999" t="s">
        <v>9243</v>
      </c>
      <c r="E1999" t="s">
        <v>7662</v>
      </c>
      <c r="F1999" t="s">
        <v>7704</v>
      </c>
      <c r="H1999">
        <v>7500</v>
      </c>
    </row>
    <row r="2000" spans="1:8" x14ac:dyDescent="0.3">
      <c r="A2000" t="str">
        <f t="shared" si="32"/>
        <v>33South Gloucestershire</v>
      </c>
      <c r="B2000">
        <v>33</v>
      </c>
      <c r="C2000" t="s">
        <v>289</v>
      </c>
      <c r="D2000" t="s">
        <v>7843</v>
      </c>
      <c r="E2000" t="s">
        <v>1113</v>
      </c>
      <c r="F2000" t="s">
        <v>7637</v>
      </c>
      <c r="H2000">
        <v>150000</v>
      </c>
    </row>
    <row r="2001" spans="1:8" x14ac:dyDescent="0.3">
      <c r="A2001" t="str">
        <f t="shared" si="32"/>
        <v>34South Gloucestershire</v>
      </c>
      <c r="B2001">
        <v>34</v>
      </c>
      <c r="C2001" t="s">
        <v>289</v>
      </c>
      <c r="D2001" t="s">
        <v>7844</v>
      </c>
      <c r="E2001" t="s">
        <v>806</v>
      </c>
      <c r="F2001" t="s">
        <v>917</v>
      </c>
      <c r="H2001">
        <v>25000</v>
      </c>
    </row>
    <row r="2002" spans="1:8" x14ac:dyDescent="0.3">
      <c r="A2002" t="str">
        <f t="shared" si="32"/>
        <v>35South Gloucestershire</v>
      </c>
      <c r="B2002">
        <v>35</v>
      </c>
      <c r="C2002" t="s">
        <v>289</v>
      </c>
      <c r="D2002" t="s">
        <v>7845</v>
      </c>
      <c r="E2002" t="s">
        <v>1113</v>
      </c>
      <c r="F2002" t="s">
        <v>7629</v>
      </c>
      <c r="H2002">
        <v>629500</v>
      </c>
    </row>
    <row r="2003" spans="1:8" x14ac:dyDescent="0.3">
      <c r="A2003" t="str">
        <f t="shared" si="32"/>
        <v>36South Gloucestershire</v>
      </c>
      <c r="B2003">
        <v>36</v>
      </c>
      <c r="C2003" t="s">
        <v>289</v>
      </c>
      <c r="D2003" t="s">
        <v>9244</v>
      </c>
      <c r="E2003" t="s">
        <v>800</v>
      </c>
      <c r="F2003" t="s">
        <v>903</v>
      </c>
      <c r="H2003">
        <v>100000</v>
      </c>
    </row>
    <row r="2004" spans="1:8" x14ac:dyDescent="0.3">
      <c r="A2004" t="str">
        <f t="shared" si="32"/>
        <v>37South Gloucestershire</v>
      </c>
      <c r="B2004">
        <v>37</v>
      </c>
      <c r="C2004" t="s">
        <v>289</v>
      </c>
      <c r="D2004" t="s">
        <v>7847</v>
      </c>
      <c r="E2004" t="s">
        <v>800</v>
      </c>
      <c r="F2004" t="s">
        <v>903</v>
      </c>
      <c r="H2004">
        <v>15000</v>
      </c>
    </row>
    <row r="2005" spans="1:8" x14ac:dyDescent="0.3">
      <c r="A2005" t="str">
        <f t="shared" si="32"/>
        <v>38South Gloucestershire</v>
      </c>
      <c r="B2005">
        <v>38</v>
      </c>
      <c r="C2005" t="s">
        <v>289</v>
      </c>
      <c r="D2005" t="s">
        <v>9245</v>
      </c>
      <c r="E2005" t="s">
        <v>1113</v>
      </c>
      <c r="F2005" t="s">
        <v>7629</v>
      </c>
      <c r="H2005">
        <v>55490</v>
      </c>
    </row>
    <row r="2006" spans="1:8" x14ac:dyDescent="0.3">
      <c r="A2006" t="str">
        <f t="shared" si="32"/>
        <v>39South Gloucestershire</v>
      </c>
      <c r="B2006">
        <v>39</v>
      </c>
      <c r="C2006" t="s">
        <v>289</v>
      </c>
      <c r="D2006" t="s">
        <v>9246</v>
      </c>
      <c r="E2006" t="s">
        <v>842</v>
      </c>
      <c r="F2006" t="s">
        <v>7704</v>
      </c>
      <c r="H2006">
        <v>82000</v>
      </c>
    </row>
    <row r="2007" spans="1:8" x14ac:dyDescent="0.3">
      <c r="A2007" t="str">
        <f t="shared" si="32"/>
        <v>1South Tyneside</v>
      </c>
      <c r="B2007">
        <v>1</v>
      </c>
      <c r="C2007" t="s">
        <v>291</v>
      </c>
      <c r="D2007" t="s">
        <v>3401</v>
      </c>
      <c r="E2007" t="s">
        <v>1106</v>
      </c>
      <c r="F2007" t="s">
        <v>7628</v>
      </c>
      <c r="H2007">
        <v>116000</v>
      </c>
    </row>
    <row r="2008" spans="1:8" x14ac:dyDescent="0.3">
      <c r="A2008" t="str">
        <f t="shared" si="32"/>
        <v>2South Tyneside</v>
      </c>
      <c r="B2008">
        <v>2</v>
      </c>
      <c r="C2008" t="s">
        <v>291</v>
      </c>
      <c r="D2008" t="s">
        <v>9247</v>
      </c>
      <c r="E2008" t="s">
        <v>1113</v>
      </c>
      <c r="F2008" t="s">
        <v>7629</v>
      </c>
      <c r="H2008">
        <v>744000</v>
      </c>
    </row>
    <row r="2009" spans="1:8" x14ac:dyDescent="0.3">
      <c r="A2009" t="str">
        <f t="shared" si="32"/>
        <v>3South Tyneside</v>
      </c>
      <c r="B2009">
        <v>3</v>
      </c>
      <c r="C2009" t="s">
        <v>291</v>
      </c>
      <c r="D2009" t="s">
        <v>1441</v>
      </c>
      <c r="E2009" t="s">
        <v>812</v>
      </c>
      <c r="F2009" t="s">
        <v>369</v>
      </c>
      <c r="H2009">
        <v>335000</v>
      </c>
    </row>
    <row r="2010" spans="1:8" x14ac:dyDescent="0.3">
      <c r="A2010" t="str">
        <f t="shared" si="32"/>
        <v>4South Tyneside</v>
      </c>
      <c r="B2010">
        <v>4</v>
      </c>
      <c r="C2010" t="s">
        <v>291</v>
      </c>
      <c r="D2010" t="s">
        <v>1006</v>
      </c>
      <c r="E2010" t="s">
        <v>806</v>
      </c>
      <c r="F2010" t="s">
        <v>7642</v>
      </c>
      <c r="H2010">
        <v>130000</v>
      </c>
    </row>
    <row r="2011" spans="1:8" x14ac:dyDescent="0.3">
      <c r="A2011" t="str">
        <f t="shared" si="32"/>
        <v>5South Tyneside</v>
      </c>
      <c r="B2011">
        <v>5</v>
      </c>
      <c r="C2011" t="s">
        <v>291</v>
      </c>
      <c r="D2011" t="s">
        <v>8149</v>
      </c>
      <c r="E2011" t="s">
        <v>1106</v>
      </c>
      <c r="F2011" t="s">
        <v>812</v>
      </c>
      <c r="H2011">
        <v>120000</v>
      </c>
    </row>
    <row r="2012" spans="1:8" x14ac:dyDescent="0.3">
      <c r="A2012" t="str">
        <f t="shared" si="32"/>
        <v>6South Tyneside</v>
      </c>
      <c r="B2012">
        <v>6</v>
      </c>
      <c r="C2012" t="s">
        <v>291</v>
      </c>
      <c r="D2012" t="s">
        <v>9248</v>
      </c>
      <c r="E2012" t="s">
        <v>806</v>
      </c>
      <c r="F2012" t="s">
        <v>807</v>
      </c>
      <c r="H2012">
        <v>119000</v>
      </c>
    </row>
    <row r="2013" spans="1:8" x14ac:dyDescent="0.3">
      <c r="A2013" t="str">
        <f t="shared" si="32"/>
        <v>1Southampton</v>
      </c>
      <c r="B2013">
        <v>1</v>
      </c>
      <c r="C2013" t="s">
        <v>293</v>
      </c>
      <c r="D2013" t="s">
        <v>9249</v>
      </c>
      <c r="E2013" t="s">
        <v>806</v>
      </c>
      <c r="F2013" t="s">
        <v>7642</v>
      </c>
      <c r="H2013">
        <v>270000</v>
      </c>
    </row>
    <row r="2014" spans="1:8" x14ac:dyDescent="0.3">
      <c r="A2014" t="str">
        <f t="shared" si="32"/>
        <v>2Southampton</v>
      </c>
      <c r="B2014">
        <v>2</v>
      </c>
      <c r="C2014" t="s">
        <v>293</v>
      </c>
      <c r="D2014" t="s">
        <v>9250</v>
      </c>
      <c r="E2014" t="s">
        <v>812</v>
      </c>
      <c r="H2014">
        <v>137000</v>
      </c>
    </row>
    <row r="2015" spans="1:8" x14ac:dyDescent="0.3">
      <c r="A2015" t="str">
        <f t="shared" si="32"/>
        <v>3Southampton</v>
      </c>
      <c r="B2015">
        <v>3</v>
      </c>
      <c r="C2015" t="s">
        <v>293</v>
      </c>
      <c r="D2015" t="s">
        <v>9251</v>
      </c>
      <c r="E2015" t="s">
        <v>842</v>
      </c>
      <c r="F2015" t="s">
        <v>7636</v>
      </c>
      <c r="H2015">
        <v>145480</v>
      </c>
    </row>
    <row r="2016" spans="1:8" x14ac:dyDescent="0.3">
      <c r="A2016" t="str">
        <f t="shared" si="32"/>
        <v>4Southampton</v>
      </c>
      <c r="B2016">
        <v>4</v>
      </c>
      <c r="C2016" t="s">
        <v>293</v>
      </c>
      <c r="D2016" t="s">
        <v>9252</v>
      </c>
      <c r="E2016" t="s">
        <v>806</v>
      </c>
      <c r="F2016" t="s">
        <v>917</v>
      </c>
      <c r="H2016">
        <v>156858</v>
      </c>
    </row>
    <row r="2017" spans="1:8" x14ac:dyDescent="0.3">
      <c r="A2017" t="str">
        <f t="shared" si="32"/>
        <v>5Southampton</v>
      </c>
      <c r="B2017">
        <v>5</v>
      </c>
      <c r="C2017" t="s">
        <v>293</v>
      </c>
      <c r="D2017" t="s">
        <v>9253</v>
      </c>
      <c r="E2017" t="s">
        <v>806</v>
      </c>
      <c r="F2017" t="s">
        <v>807</v>
      </c>
      <c r="H2017">
        <v>273410</v>
      </c>
    </row>
    <row r="2018" spans="1:8" x14ac:dyDescent="0.3">
      <c r="A2018" t="str">
        <f t="shared" si="32"/>
        <v>6Southampton</v>
      </c>
      <c r="B2018">
        <v>6</v>
      </c>
      <c r="C2018" t="s">
        <v>293</v>
      </c>
      <c r="D2018" t="s">
        <v>9254</v>
      </c>
      <c r="E2018" t="s">
        <v>7658</v>
      </c>
      <c r="H2018">
        <v>100000</v>
      </c>
    </row>
    <row r="2019" spans="1:8" x14ac:dyDescent="0.3">
      <c r="A2019" t="str">
        <f t="shared" si="32"/>
        <v>7Southampton</v>
      </c>
      <c r="B2019">
        <v>7</v>
      </c>
      <c r="C2019" t="s">
        <v>293</v>
      </c>
      <c r="D2019" t="s">
        <v>9255</v>
      </c>
      <c r="E2019" t="s">
        <v>812</v>
      </c>
      <c r="H2019">
        <v>100000</v>
      </c>
    </row>
    <row r="2020" spans="1:8" x14ac:dyDescent="0.3">
      <c r="A2020" t="str">
        <f t="shared" si="32"/>
        <v>8Southampton</v>
      </c>
      <c r="B2020">
        <v>8</v>
      </c>
      <c r="C2020" t="s">
        <v>293</v>
      </c>
      <c r="D2020" t="s">
        <v>9256</v>
      </c>
      <c r="E2020" t="s">
        <v>7657</v>
      </c>
      <c r="F2020" t="s">
        <v>7632</v>
      </c>
      <c r="H2020">
        <v>348740</v>
      </c>
    </row>
    <row r="2021" spans="1:8" x14ac:dyDescent="0.3">
      <c r="A2021" t="str">
        <f t="shared" si="32"/>
        <v>9Southampton</v>
      </c>
      <c r="B2021">
        <v>9</v>
      </c>
      <c r="C2021" t="s">
        <v>293</v>
      </c>
      <c r="D2021" t="s">
        <v>9257</v>
      </c>
      <c r="E2021" t="s">
        <v>806</v>
      </c>
      <c r="F2021" t="s">
        <v>7642</v>
      </c>
      <c r="H2021">
        <v>649021</v>
      </c>
    </row>
    <row r="2022" spans="1:8" x14ac:dyDescent="0.3">
      <c r="A2022" t="str">
        <f t="shared" si="32"/>
        <v>10Southampton</v>
      </c>
      <c r="B2022">
        <v>10</v>
      </c>
      <c r="C2022" t="s">
        <v>293</v>
      </c>
      <c r="D2022" t="s">
        <v>9258</v>
      </c>
      <c r="E2022" t="s">
        <v>842</v>
      </c>
      <c r="F2022" t="s">
        <v>7636</v>
      </c>
      <c r="H2022">
        <v>573979</v>
      </c>
    </row>
    <row r="2023" spans="1:8" x14ac:dyDescent="0.3">
      <c r="A2023" t="str">
        <f t="shared" si="32"/>
        <v>1Southend-on-Sea</v>
      </c>
      <c r="B2023">
        <v>1</v>
      </c>
      <c r="C2023" t="s">
        <v>295</v>
      </c>
      <c r="D2023" t="s">
        <v>9259</v>
      </c>
      <c r="E2023" t="s">
        <v>7657</v>
      </c>
      <c r="F2023" t="s">
        <v>7644</v>
      </c>
      <c r="H2023">
        <v>33580</v>
      </c>
    </row>
    <row r="2024" spans="1:8" x14ac:dyDescent="0.3">
      <c r="A2024" t="str">
        <f t="shared" si="32"/>
        <v>2Southend-on-Sea</v>
      </c>
      <c r="B2024">
        <v>2</v>
      </c>
      <c r="C2024" t="s">
        <v>295</v>
      </c>
      <c r="D2024" t="s">
        <v>2468</v>
      </c>
      <c r="E2024" t="s">
        <v>842</v>
      </c>
      <c r="F2024" t="s">
        <v>7636</v>
      </c>
      <c r="H2024">
        <v>61775</v>
      </c>
    </row>
    <row r="2025" spans="1:8" x14ac:dyDescent="0.3">
      <c r="A2025" t="str">
        <f t="shared" si="32"/>
        <v>3Southend-on-Sea</v>
      </c>
      <c r="B2025">
        <v>3</v>
      </c>
      <c r="C2025" t="s">
        <v>295</v>
      </c>
      <c r="D2025" t="s">
        <v>7757</v>
      </c>
      <c r="E2025" t="s">
        <v>1113</v>
      </c>
      <c r="F2025" t="s">
        <v>7629</v>
      </c>
      <c r="H2025">
        <v>88667</v>
      </c>
    </row>
    <row r="2026" spans="1:8" x14ac:dyDescent="0.3">
      <c r="A2026" t="str">
        <f t="shared" si="32"/>
        <v>4Southend-on-Sea</v>
      </c>
      <c r="B2026">
        <v>4</v>
      </c>
      <c r="C2026" t="s">
        <v>295</v>
      </c>
      <c r="D2026" t="s">
        <v>9260</v>
      </c>
      <c r="E2026" t="s">
        <v>806</v>
      </c>
      <c r="F2026" t="s">
        <v>807</v>
      </c>
      <c r="H2026">
        <v>110000</v>
      </c>
    </row>
    <row r="2027" spans="1:8" x14ac:dyDescent="0.3">
      <c r="A2027" t="str">
        <f t="shared" si="32"/>
        <v>5Southend-on-Sea</v>
      </c>
      <c r="B2027">
        <v>5</v>
      </c>
      <c r="C2027" t="s">
        <v>295</v>
      </c>
      <c r="D2027" t="s">
        <v>9261</v>
      </c>
      <c r="E2027" t="s">
        <v>7657</v>
      </c>
      <c r="F2027" t="s">
        <v>7704</v>
      </c>
      <c r="H2027">
        <v>126225</v>
      </c>
    </row>
    <row r="2028" spans="1:8" x14ac:dyDescent="0.3">
      <c r="A2028" t="str">
        <f t="shared" si="32"/>
        <v>6Southend-on-Sea</v>
      </c>
      <c r="B2028">
        <v>6</v>
      </c>
      <c r="C2028" t="s">
        <v>295</v>
      </c>
      <c r="D2028" t="s">
        <v>9262</v>
      </c>
      <c r="E2028" t="s">
        <v>806</v>
      </c>
      <c r="F2028" t="s">
        <v>807</v>
      </c>
      <c r="H2028">
        <v>100000</v>
      </c>
    </row>
    <row r="2029" spans="1:8" x14ac:dyDescent="0.3">
      <c r="A2029" t="str">
        <f t="shared" si="32"/>
        <v>7Southend-on-Sea</v>
      </c>
      <c r="B2029">
        <v>7</v>
      </c>
      <c r="C2029" t="s">
        <v>295</v>
      </c>
      <c r="D2029" t="s">
        <v>9263</v>
      </c>
      <c r="E2029" t="s">
        <v>7649</v>
      </c>
      <c r="F2029" t="s">
        <v>7638</v>
      </c>
      <c r="H2029">
        <v>30000</v>
      </c>
    </row>
    <row r="2030" spans="1:8" x14ac:dyDescent="0.3">
      <c r="A2030" t="str">
        <f t="shared" si="32"/>
        <v>8Southend-on-Sea</v>
      </c>
      <c r="B2030">
        <v>8</v>
      </c>
      <c r="C2030" t="s">
        <v>295</v>
      </c>
      <c r="D2030" t="s">
        <v>9264</v>
      </c>
      <c r="E2030" t="s">
        <v>7657</v>
      </c>
      <c r="F2030" t="s">
        <v>7640</v>
      </c>
      <c r="H2030">
        <v>5680</v>
      </c>
    </row>
    <row r="2031" spans="1:8" x14ac:dyDescent="0.3">
      <c r="A2031" t="str">
        <f t="shared" si="32"/>
        <v>9Southend-on-Sea</v>
      </c>
      <c r="B2031">
        <v>9</v>
      </c>
      <c r="C2031" t="s">
        <v>295</v>
      </c>
      <c r="D2031" t="s">
        <v>9265</v>
      </c>
      <c r="E2031" t="s">
        <v>812</v>
      </c>
      <c r="F2031" t="s">
        <v>7704</v>
      </c>
      <c r="H2031">
        <v>9700</v>
      </c>
    </row>
    <row r="2032" spans="1:8" x14ac:dyDescent="0.3">
      <c r="A2032" t="str">
        <f t="shared" si="32"/>
        <v>10Southend-on-Sea</v>
      </c>
      <c r="B2032">
        <v>10</v>
      </c>
      <c r="C2032" t="s">
        <v>295</v>
      </c>
      <c r="D2032" t="s">
        <v>9266</v>
      </c>
      <c r="E2032" t="s">
        <v>806</v>
      </c>
      <c r="F2032" t="s">
        <v>917</v>
      </c>
      <c r="H2032">
        <v>51460</v>
      </c>
    </row>
    <row r="2033" spans="1:8" x14ac:dyDescent="0.3">
      <c r="A2033" t="str">
        <f t="shared" si="32"/>
        <v>11Southend-on-Sea</v>
      </c>
      <c r="B2033">
        <v>11</v>
      </c>
      <c r="C2033" t="s">
        <v>295</v>
      </c>
      <c r="D2033" t="s">
        <v>9267</v>
      </c>
      <c r="E2033" t="s">
        <v>5266</v>
      </c>
      <c r="F2033" t="s">
        <v>7639</v>
      </c>
      <c r="H2033">
        <v>300000</v>
      </c>
    </row>
    <row r="2034" spans="1:8" x14ac:dyDescent="0.3">
      <c r="A2034" t="str">
        <f t="shared" si="32"/>
        <v>12Southend-on-Sea</v>
      </c>
      <c r="B2034">
        <v>12</v>
      </c>
      <c r="C2034" t="s">
        <v>295</v>
      </c>
      <c r="D2034" t="s">
        <v>9268</v>
      </c>
      <c r="E2034" t="s">
        <v>7657</v>
      </c>
      <c r="F2034" t="s">
        <v>7640</v>
      </c>
      <c r="H2034">
        <v>270000</v>
      </c>
    </row>
    <row r="2035" spans="1:8" x14ac:dyDescent="0.3">
      <c r="A2035" t="str">
        <f t="shared" si="32"/>
        <v>13Southend-on-Sea</v>
      </c>
      <c r="B2035">
        <v>13</v>
      </c>
      <c r="C2035" t="s">
        <v>295</v>
      </c>
      <c r="D2035" t="s">
        <v>9269</v>
      </c>
      <c r="E2035" t="s">
        <v>7657</v>
      </c>
      <c r="F2035" t="s">
        <v>7640</v>
      </c>
      <c r="H2035">
        <v>36760</v>
      </c>
    </row>
    <row r="2036" spans="1:8" x14ac:dyDescent="0.3">
      <c r="A2036" t="str">
        <f t="shared" si="32"/>
        <v>1Southwark</v>
      </c>
      <c r="B2036">
        <v>1</v>
      </c>
      <c r="C2036" t="s">
        <v>297</v>
      </c>
      <c r="D2036" t="s">
        <v>9270</v>
      </c>
      <c r="E2036" t="s">
        <v>812</v>
      </c>
      <c r="H2036">
        <v>53360</v>
      </c>
    </row>
    <row r="2037" spans="1:8" x14ac:dyDescent="0.3">
      <c r="A2037" t="str">
        <f t="shared" si="32"/>
        <v>2Southwark</v>
      </c>
      <c r="B2037">
        <v>2</v>
      </c>
      <c r="C2037" t="s">
        <v>297</v>
      </c>
      <c r="D2037" t="s">
        <v>7662</v>
      </c>
      <c r="E2037" t="s">
        <v>7662</v>
      </c>
      <c r="H2037">
        <v>25607</v>
      </c>
    </row>
    <row r="2038" spans="1:8" x14ac:dyDescent="0.3">
      <c r="A2038" t="str">
        <f t="shared" si="32"/>
        <v>3Southwark</v>
      </c>
      <c r="B2038">
        <v>3</v>
      </c>
      <c r="C2038" t="s">
        <v>297</v>
      </c>
      <c r="D2038" t="s">
        <v>9271</v>
      </c>
      <c r="E2038" t="s">
        <v>812</v>
      </c>
      <c r="H2038">
        <v>250000</v>
      </c>
    </row>
    <row r="2039" spans="1:8" x14ac:dyDescent="0.3">
      <c r="A2039" t="str">
        <f t="shared" si="32"/>
        <v>4Southwark</v>
      </c>
      <c r="B2039">
        <v>4</v>
      </c>
      <c r="C2039" t="s">
        <v>297</v>
      </c>
      <c r="D2039" t="s">
        <v>9272</v>
      </c>
      <c r="E2039" t="s">
        <v>812</v>
      </c>
      <c r="H2039">
        <v>35000</v>
      </c>
    </row>
    <row r="2040" spans="1:8" x14ac:dyDescent="0.3">
      <c r="A2040" t="str">
        <f t="shared" si="32"/>
        <v>5Southwark</v>
      </c>
      <c r="B2040">
        <v>5</v>
      </c>
      <c r="C2040" t="s">
        <v>297</v>
      </c>
      <c r="D2040" t="s">
        <v>9273</v>
      </c>
      <c r="E2040" t="s">
        <v>7660</v>
      </c>
      <c r="H2040">
        <v>100000</v>
      </c>
    </row>
    <row r="2041" spans="1:8" x14ac:dyDescent="0.3">
      <c r="A2041" t="str">
        <f t="shared" si="32"/>
        <v>6Southwark</v>
      </c>
      <c r="B2041">
        <v>6</v>
      </c>
      <c r="C2041" t="s">
        <v>297</v>
      </c>
      <c r="D2041" t="s">
        <v>9274</v>
      </c>
      <c r="E2041" t="s">
        <v>800</v>
      </c>
      <c r="F2041" t="s">
        <v>812</v>
      </c>
      <c r="H2041">
        <v>55000</v>
      </c>
    </row>
    <row r="2042" spans="1:8" x14ac:dyDescent="0.3">
      <c r="A2042" t="str">
        <f t="shared" si="32"/>
        <v>7Southwark</v>
      </c>
      <c r="B2042">
        <v>7</v>
      </c>
      <c r="C2042" t="s">
        <v>297</v>
      </c>
      <c r="D2042" t="s">
        <v>5879</v>
      </c>
      <c r="E2042" t="s">
        <v>842</v>
      </c>
      <c r="F2042" t="s">
        <v>843</v>
      </c>
      <c r="H2042">
        <v>177375</v>
      </c>
    </row>
    <row r="2043" spans="1:8" x14ac:dyDescent="0.3">
      <c r="A2043" t="str">
        <f t="shared" si="32"/>
        <v>8Southwark</v>
      </c>
      <c r="B2043">
        <v>8</v>
      </c>
      <c r="C2043" t="s">
        <v>297</v>
      </c>
      <c r="D2043" t="s">
        <v>9275</v>
      </c>
      <c r="E2043" t="s">
        <v>1106</v>
      </c>
      <c r="F2043" t="s">
        <v>812</v>
      </c>
      <c r="H2043">
        <v>33600</v>
      </c>
    </row>
    <row r="2044" spans="1:8" x14ac:dyDescent="0.3">
      <c r="A2044" t="str">
        <f t="shared" si="32"/>
        <v>9Southwark</v>
      </c>
      <c r="B2044">
        <v>9</v>
      </c>
      <c r="C2044" t="s">
        <v>297</v>
      </c>
      <c r="D2044" t="s">
        <v>9276</v>
      </c>
      <c r="E2044" t="s">
        <v>812</v>
      </c>
      <c r="H2044">
        <v>53360</v>
      </c>
    </row>
    <row r="2045" spans="1:8" x14ac:dyDescent="0.3">
      <c r="A2045" t="str">
        <f t="shared" si="32"/>
        <v>10Southwark</v>
      </c>
      <c r="B2045">
        <v>10</v>
      </c>
      <c r="C2045" t="s">
        <v>297</v>
      </c>
      <c r="D2045" t="s">
        <v>5875</v>
      </c>
      <c r="E2045" t="s">
        <v>806</v>
      </c>
      <c r="F2045" t="s">
        <v>917</v>
      </c>
      <c r="H2045">
        <v>263000</v>
      </c>
    </row>
    <row r="2046" spans="1:8" x14ac:dyDescent="0.3">
      <c r="A2046" t="str">
        <f t="shared" si="32"/>
        <v>11Southwark</v>
      </c>
      <c r="B2046">
        <v>11</v>
      </c>
      <c r="C2046" t="s">
        <v>297</v>
      </c>
      <c r="D2046" t="s">
        <v>9277</v>
      </c>
      <c r="E2046" t="s">
        <v>812</v>
      </c>
      <c r="H2046">
        <v>20000</v>
      </c>
    </row>
    <row r="2047" spans="1:8" x14ac:dyDescent="0.3">
      <c r="A2047" t="str">
        <f t="shared" si="32"/>
        <v>12Southwark</v>
      </c>
      <c r="B2047">
        <v>12</v>
      </c>
      <c r="C2047" t="s">
        <v>297</v>
      </c>
      <c r="D2047" t="s">
        <v>5877</v>
      </c>
      <c r="E2047" t="s">
        <v>1113</v>
      </c>
      <c r="F2047" t="s">
        <v>7637</v>
      </c>
      <c r="H2047">
        <v>100000</v>
      </c>
    </row>
    <row r="2048" spans="1:8" x14ac:dyDescent="0.3">
      <c r="A2048" t="str">
        <f t="shared" si="32"/>
        <v>13Southwark</v>
      </c>
      <c r="B2048">
        <v>13</v>
      </c>
      <c r="C2048" t="s">
        <v>297</v>
      </c>
      <c r="D2048" t="s">
        <v>9278</v>
      </c>
      <c r="E2048" t="s">
        <v>812</v>
      </c>
      <c r="H2048">
        <v>27500</v>
      </c>
    </row>
    <row r="2049" spans="1:8" x14ac:dyDescent="0.3">
      <c r="A2049" t="str">
        <f t="shared" si="32"/>
        <v>14Southwark</v>
      </c>
      <c r="B2049">
        <v>14</v>
      </c>
      <c r="C2049" t="s">
        <v>297</v>
      </c>
      <c r="D2049" t="s">
        <v>9279</v>
      </c>
      <c r="E2049" t="s">
        <v>1106</v>
      </c>
      <c r="F2049" t="s">
        <v>7628</v>
      </c>
      <c r="H2049">
        <v>77000</v>
      </c>
    </row>
    <row r="2050" spans="1:8" x14ac:dyDescent="0.3">
      <c r="A2050" t="str">
        <f t="shared" si="32"/>
        <v>15Southwark</v>
      </c>
      <c r="B2050">
        <v>15</v>
      </c>
      <c r="C2050" t="s">
        <v>297</v>
      </c>
      <c r="D2050" t="s">
        <v>9280</v>
      </c>
      <c r="E2050" t="s">
        <v>812</v>
      </c>
      <c r="H2050">
        <v>106720</v>
      </c>
    </row>
    <row r="2051" spans="1:8" x14ac:dyDescent="0.3">
      <c r="A2051" t="str">
        <f t="shared" si="32"/>
        <v>16Southwark</v>
      </c>
      <c r="B2051">
        <v>16</v>
      </c>
      <c r="C2051" t="s">
        <v>297</v>
      </c>
      <c r="D2051" t="s">
        <v>9281</v>
      </c>
      <c r="E2051" t="s">
        <v>812</v>
      </c>
      <c r="H2051">
        <v>38265</v>
      </c>
    </row>
    <row r="2052" spans="1:8" x14ac:dyDescent="0.3">
      <c r="A2052" t="str">
        <f t="shared" si="32"/>
        <v>17Southwark</v>
      </c>
      <c r="B2052">
        <v>17</v>
      </c>
      <c r="C2052" t="s">
        <v>297</v>
      </c>
      <c r="D2052" t="s">
        <v>9282</v>
      </c>
      <c r="E2052" t="s">
        <v>5266</v>
      </c>
      <c r="F2052" t="s">
        <v>7639</v>
      </c>
      <c r="H2052">
        <v>150000</v>
      </c>
    </row>
    <row r="2053" spans="1:8" x14ac:dyDescent="0.3">
      <c r="A2053" t="str">
        <f t="shared" si="32"/>
        <v>18Southwark</v>
      </c>
      <c r="B2053">
        <v>18</v>
      </c>
      <c r="C2053" t="s">
        <v>297</v>
      </c>
      <c r="D2053" t="s">
        <v>9283</v>
      </c>
      <c r="E2053" t="s">
        <v>5266</v>
      </c>
      <c r="F2053" t="s">
        <v>7639</v>
      </c>
      <c r="H2053">
        <v>40000</v>
      </c>
    </row>
    <row r="2054" spans="1:8" x14ac:dyDescent="0.3">
      <c r="A2054" t="str">
        <f t="shared" si="32"/>
        <v>19Southwark</v>
      </c>
      <c r="B2054">
        <v>19</v>
      </c>
      <c r="C2054" t="s">
        <v>297</v>
      </c>
      <c r="D2054" t="s">
        <v>9284</v>
      </c>
      <c r="E2054" t="s">
        <v>1113</v>
      </c>
      <c r="F2054" t="s">
        <v>7629</v>
      </c>
      <c r="H2054">
        <v>20100</v>
      </c>
    </row>
    <row r="2055" spans="1:8" x14ac:dyDescent="0.3">
      <c r="A2055" t="str">
        <f t="shared" ref="A2055:A2118" si="33">B2055&amp;C2055</f>
        <v>20Southwark</v>
      </c>
      <c r="B2055">
        <v>20</v>
      </c>
      <c r="C2055" t="s">
        <v>297</v>
      </c>
      <c r="D2055" t="s">
        <v>9285</v>
      </c>
      <c r="E2055" t="s">
        <v>812</v>
      </c>
      <c r="H2055">
        <v>60000</v>
      </c>
    </row>
    <row r="2056" spans="1:8" x14ac:dyDescent="0.3">
      <c r="A2056" t="str">
        <f t="shared" si="33"/>
        <v>21Southwark</v>
      </c>
      <c r="B2056">
        <v>21</v>
      </c>
      <c r="C2056" t="s">
        <v>297</v>
      </c>
      <c r="D2056" t="s">
        <v>9286</v>
      </c>
      <c r="E2056" t="s">
        <v>812</v>
      </c>
      <c r="H2056">
        <v>201286</v>
      </c>
    </row>
    <row r="2057" spans="1:8" x14ac:dyDescent="0.3">
      <c r="A2057" t="str">
        <f t="shared" si="33"/>
        <v>22Southwark</v>
      </c>
      <c r="B2057">
        <v>22</v>
      </c>
      <c r="C2057" t="s">
        <v>297</v>
      </c>
      <c r="D2057" t="s">
        <v>5882</v>
      </c>
      <c r="E2057" t="s">
        <v>1106</v>
      </c>
      <c r="F2057" t="s">
        <v>7628</v>
      </c>
      <c r="H2057">
        <v>188998</v>
      </c>
    </row>
    <row r="2058" spans="1:8" x14ac:dyDescent="0.3">
      <c r="A2058" t="str">
        <f t="shared" si="33"/>
        <v>23Southwark</v>
      </c>
      <c r="B2058">
        <v>23</v>
      </c>
      <c r="C2058" t="s">
        <v>297</v>
      </c>
      <c r="D2058" t="s">
        <v>9287</v>
      </c>
      <c r="E2058" t="s">
        <v>812</v>
      </c>
      <c r="H2058">
        <v>160767</v>
      </c>
    </row>
    <row r="2059" spans="1:8" x14ac:dyDescent="0.3">
      <c r="A2059" t="str">
        <f t="shared" si="33"/>
        <v>24Southwark</v>
      </c>
      <c r="B2059">
        <v>24</v>
      </c>
      <c r="C2059" t="s">
        <v>297</v>
      </c>
      <c r="D2059" t="s">
        <v>9288</v>
      </c>
      <c r="E2059" t="s">
        <v>812</v>
      </c>
      <c r="H2059">
        <v>48828</v>
      </c>
    </row>
    <row r="2060" spans="1:8" x14ac:dyDescent="0.3">
      <c r="A2060" t="str">
        <f t="shared" si="33"/>
        <v>25Southwark</v>
      </c>
      <c r="B2060">
        <v>25</v>
      </c>
      <c r="C2060" t="s">
        <v>297</v>
      </c>
      <c r="D2060" t="s">
        <v>9289</v>
      </c>
      <c r="E2060" t="s">
        <v>1113</v>
      </c>
      <c r="F2060" t="s">
        <v>7629</v>
      </c>
      <c r="H2060">
        <v>50000</v>
      </c>
    </row>
    <row r="2061" spans="1:8" x14ac:dyDescent="0.3">
      <c r="A2061" t="str">
        <f t="shared" si="33"/>
        <v>26Southwark</v>
      </c>
      <c r="B2061">
        <v>26</v>
      </c>
      <c r="C2061" t="s">
        <v>297</v>
      </c>
      <c r="D2061" t="s">
        <v>9290</v>
      </c>
      <c r="E2061" t="s">
        <v>1113</v>
      </c>
      <c r="F2061" t="s">
        <v>7629</v>
      </c>
      <c r="H2061">
        <v>50000</v>
      </c>
    </row>
    <row r="2062" spans="1:8" x14ac:dyDescent="0.3">
      <c r="A2062" t="str">
        <f t="shared" si="33"/>
        <v>27Southwark</v>
      </c>
      <c r="B2062">
        <v>27</v>
      </c>
      <c r="C2062" t="s">
        <v>297</v>
      </c>
      <c r="D2062" t="s">
        <v>9291</v>
      </c>
      <c r="E2062" t="s">
        <v>806</v>
      </c>
      <c r="F2062" t="s">
        <v>7642</v>
      </c>
      <c r="H2062">
        <v>175000</v>
      </c>
    </row>
    <row r="2063" spans="1:8" x14ac:dyDescent="0.3">
      <c r="A2063" t="str">
        <f t="shared" si="33"/>
        <v>1St. Helens</v>
      </c>
      <c r="B2063">
        <v>1</v>
      </c>
      <c r="C2063" t="s">
        <v>299</v>
      </c>
      <c r="D2063" t="s">
        <v>9292</v>
      </c>
      <c r="E2063" t="s">
        <v>7657</v>
      </c>
      <c r="F2063" t="s">
        <v>7632</v>
      </c>
      <c r="H2063">
        <v>126000</v>
      </c>
    </row>
    <row r="2064" spans="1:8" x14ac:dyDescent="0.3">
      <c r="A2064" t="str">
        <f t="shared" si="33"/>
        <v>2St. Helens</v>
      </c>
      <c r="B2064">
        <v>2</v>
      </c>
      <c r="C2064" t="s">
        <v>299</v>
      </c>
      <c r="D2064" t="s">
        <v>8707</v>
      </c>
      <c r="E2064" t="s">
        <v>7662</v>
      </c>
      <c r="F2064" t="s">
        <v>7704</v>
      </c>
      <c r="H2064">
        <v>10000</v>
      </c>
    </row>
    <row r="2065" spans="1:8" x14ac:dyDescent="0.3">
      <c r="A2065" t="str">
        <f t="shared" si="33"/>
        <v>3St. Helens</v>
      </c>
      <c r="B2065">
        <v>3</v>
      </c>
      <c r="C2065" t="s">
        <v>299</v>
      </c>
      <c r="D2065" t="s">
        <v>9293</v>
      </c>
      <c r="E2065" t="s">
        <v>806</v>
      </c>
      <c r="F2065" t="s">
        <v>917</v>
      </c>
      <c r="H2065">
        <v>80000</v>
      </c>
    </row>
    <row r="2066" spans="1:8" x14ac:dyDescent="0.3">
      <c r="A2066" t="str">
        <f t="shared" si="33"/>
        <v>4St. Helens</v>
      </c>
      <c r="B2066">
        <v>4</v>
      </c>
      <c r="C2066" t="s">
        <v>299</v>
      </c>
      <c r="D2066" t="s">
        <v>9294</v>
      </c>
      <c r="E2066" t="s">
        <v>7657</v>
      </c>
      <c r="F2066" t="s">
        <v>7640</v>
      </c>
      <c r="H2066">
        <v>45000</v>
      </c>
    </row>
    <row r="2067" spans="1:8" x14ac:dyDescent="0.3">
      <c r="A2067" t="str">
        <f t="shared" si="33"/>
        <v>5St. Helens</v>
      </c>
      <c r="B2067">
        <v>5</v>
      </c>
      <c r="C2067" t="s">
        <v>299</v>
      </c>
      <c r="D2067" t="s">
        <v>9295</v>
      </c>
      <c r="E2067" t="s">
        <v>7657</v>
      </c>
      <c r="F2067" t="s">
        <v>7632</v>
      </c>
      <c r="H2067">
        <v>100000</v>
      </c>
    </row>
    <row r="2068" spans="1:8" x14ac:dyDescent="0.3">
      <c r="A2068" t="str">
        <f t="shared" si="33"/>
        <v>6St. Helens</v>
      </c>
      <c r="B2068">
        <v>6</v>
      </c>
      <c r="C2068" t="s">
        <v>299</v>
      </c>
      <c r="D2068" t="s">
        <v>9296</v>
      </c>
      <c r="E2068" t="s">
        <v>7649</v>
      </c>
      <c r="F2068" t="s">
        <v>7638</v>
      </c>
      <c r="H2068">
        <v>42000</v>
      </c>
    </row>
    <row r="2069" spans="1:8" x14ac:dyDescent="0.3">
      <c r="A2069" t="str">
        <f t="shared" si="33"/>
        <v>7St. Helens</v>
      </c>
      <c r="B2069">
        <v>7</v>
      </c>
      <c r="C2069" t="s">
        <v>299</v>
      </c>
      <c r="D2069" t="s">
        <v>9297</v>
      </c>
      <c r="E2069" t="s">
        <v>842</v>
      </c>
      <c r="F2069" t="s">
        <v>843</v>
      </c>
      <c r="H2069">
        <v>292000</v>
      </c>
    </row>
    <row r="2070" spans="1:8" x14ac:dyDescent="0.3">
      <c r="A2070" t="str">
        <f t="shared" si="33"/>
        <v>8St. Helens</v>
      </c>
      <c r="B2070">
        <v>8</v>
      </c>
      <c r="C2070" t="s">
        <v>299</v>
      </c>
      <c r="D2070" t="s">
        <v>9298</v>
      </c>
      <c r="E2070" t="s">
        <v>7657</v>
      </c>
      <c r="F2070" t="s">
        <v>7640</v>
      </c>
      <c r="H2070">
        <v>110000</v>
      </c>
    </row>
    <row r="2071" spans="1:8" x14ac:dyDescent="0.3">
      <c r="A2071" t="str">
        <f t="shared" si="33"/>
        <v>9St. Helens</v>
      </c>
      <c r="B2071">
        <v>9</v>
      </c>
      <c r="C2071" t="s">
        <v>299</v>
      </c>
      <c r="D2071" t="s">
        <v>9299</v>
      </c>
      <c r="E2071" t="s">
        <v>7657</v>
      </c>
      <c r="F2071" t="s">
        <v>7640</v>
      </c>
      <c r="H2071">
        <v>76000</v>
      </c>
    </row>
    <row r="2072" spans="1:8" x14ac:dyDescent="0.3">
      <c r="A2072" t="str">
        <f t="shared" si="33"/>
        <v>10St. Helens</v>
      </c>
      <c r="B2072">
        <v>10</v>
      </c>
      <c r="C2072" t="s">
        <v>299</v>
      </c>
      <c r="D2072" t="s">
        <v>9300</v>
      </c>
      <c r="E2072" t="s">
        <v>800</v>
      </c>
      <c r="F2072" t="s">
        <v>903</v>
      </c>
      <c r="H2072">
        <v>171000</v>
      </c>
    </row>
    <row r="2073" spans="1:8" x14ac:dyDescent="0.3">
      <c r="A2073" t="str">
        <f t="shared" si="33"/>
        <v>11St. Helens</v>
      </c>
      <c r="B2073">
        <v>11</v>
      </c>
      <c r="C2073" t="s">
        <v>299</v>
      </c>
      <c r="D2073" t="s">
        <v>9301</v>
      </c>
      <c r="E2073" t="s">
        <v>7649</v>
      </c>
      <c r="F2073" t="s">
        <v>7638</v>
      </c>
      <c r="H2073">
        <v>80000</v>
      </c>
    </row>
    <row r="2074" spans="1:8" x14ac:dyDescent="0.3">
      <c r="A2074" t="str">
        <f t="shared" si="33"/>
        <v>12St. Helens</v>
      </c>
      <c r="B2074">
        <v>12</v>
      </c>
      <c r="C2074" t="s">
        <v>299</v>
      </c>
      <c r="D2074" t="s">
        <v>9302</v>
      </c>
      <c r="E2074" t="s">
        <v>7649</v>
      </c>
      <c r="F2074" t="s">
        <v>7638</v>
      </c>
      <c r="H2074">
        <v>182518</v>
      </c>
    </row>
    <row r="2075" spans="1:8" x14ac:dyDescent="0.3">
      <c r="A2075" t="str">
        <f t="shared" si="33"/>
        <v>13St. Helens</v>
      </c>
      <c r="B2075">
        <v>13</v>
      </c>
      <c r="C2075" t="s">
        <v>299</v>
      </c>
      <c r="D2075" t="s">
        <v>9303</v>
      </c>
      <c r="E2075" t="s">
        <v>806</v>
      </c>
      <c r="F2075" t="s">
        <v>917</v>
      </c>
      <c r="H2075">
        <v>20000</v>
      </c>
    </row>
    <row r="2076" spans="1:8" x14ac:dyDescent="0.3">
      <c r="A2076" t="str">
        <f t="shared" si="33"/>
        <v>14St. Helens</v>
      </c>
      <c r="B2076">
        <v>14</v>
      </c>
      <c r="C2076" t="s">
        <v>299</v>
      </c>
      <c r="D2076" t="s">
        <v>9304</v>
      </c>
      <c r="E2076" t="s">
        <v>800</v>
      </c>
      <c r="F2076" t="s">
        <v>2108</v>
      </c>
      <c r="H2076">
        <v>38000</v>
      </c>
    </row>
    <row r="2077" spans="1:8" x14ac:dyDescent="0.3">
      <c r="A2077" t="str">
        <f t="shared" si="33"/>
        <v>15St. Helens</v>
      </c>
      <c r="B2077">
        <v>15</v>
      </c>
      <c r="C2077" t="s">
        <v>299</v>
      </c>
      <c r="D2077" t="s">
        <v>9305</v>
      </c>
      <c r="E2077" t="s">
        <v>7649</v>
      </c>
      <c r="F2077" t="s">
        <v>7638</v>
      </c>
      <c r="H2077">
        <v>40000</v>
      </c>
    </row>
    <row r="2078" spans="1:8" x14ac:dyDescent="0.3">
      <c r="A2078" t="str">
        <f t="shared" si="33"/>
        <v>16St. Helens</v>
      </c>
      <c r="B2078">
        <v>16</v>
      </c>
      <c r="C2078" t="s">
        <v>299</v>
      </c>
      <c r="D2078" t="s">
        <v>9306</v>
      </c>
      <c r="E2078" t="s">
        <v>7649</v>
      </c>
      <c r="F2078" t="s">
        <v>7638</v>
      </c>
      <c r="H2078">
        <v>36000</v>
      </c>
    </row>
    <row r="2079" spans="1:8" x14ac:dyDescent="0.3">
      <c r="A2079" t="str">
        <f t="shared" si="33"/>
        <v>17St. Helens</v>
      </c>
      <c r="B2079">
        <v>17</v>
      </c>
      <c r="C2079" t="s">
        <v>299</v>
      </c>
      <c r="D2079" t="s">
        <v>8952</v>
      </c>
      <c r="E2079" t="s">
        <v>7657</v>
      </c>
      <c r="F2079" t="s">
        <v>7644</v>
      </c>
      <c r="H2079">
        <v>5000</v>
      </c>
    </row>
    <row r="2080" spans="1:8" x14ac:dyDescent="0.3">
      <c r="A2080" t="str">
        <f t="shared" si="33"/>
        <v>18St. Helens</v>
      </c>
      <c r="B2080">
        <v>18</v>
      </c>
      <c r="C2080" t="s">
        <v>299</v>
      </c>
      <c r="D2080" t="s">
        <v>9307</v>
      </c>
      <c r="E2080" t="s">
        <v>1106</v>
      </c>
      <c r="F2080" t="s">
        <v>7628</v>
      </c>
      <c r="H2080">
        <v>200380</v>
      </c>
    </row>
    <row r="2081" spans="1:8" x14ac:dyDescent="0.3">
      <c r="A2081" t="str">
        <f t="shared" si="33"/>
        <v>19St. Helens</v>
      </c>
      <c r="B2081">
        <v>19</v>
      </c>
      <c r="C2081" t="s">
        <v>299</v>
      </c>
      <c r="D2081" t="s">
        <v>9308</v>
      </c>
      <c r="E2081" t="s">
        <v>7649</v>
      </c>
      <c r="F2081" t="s">
        <v>7638</v>
      </c>
      <c r="H2081">
        <v>60000</v>
      </c>
    </row>
    <row r="2082" spans="1:8" x14ac:dyDescent="0.3">
      <c r="A2082" t="str">
        <f t="shared" si="33"/>
        <v>20St. Helens</v>
      </c>
      <c r="B2082">
        <v>20</v>
      </c>
      <c r="C2082" t="s">
        <v>299</v>
      </c>
      <c r="D2082" t="s">
        <v>8294</v>
      </c>
      <c r="E2082" t="s">
        <v>842</v>
      </c>
      <c r="F2082" t="s">
        <v>812</v>
      </c>
      <c r="H2082">
        <v>60000</v>
      </c>
    </row>
    <row r="2083" spans="1:8" x14ac:dyDescent="0.3">
      <c r="A2083" t="str">
        <f t="shared" si="33"/>
        <v>1Staffordshire</v>
      </c>
      <c r="B2083">
        <v>1</v>
      </c>
      <c r="C2083" t="s">
        <v>301</v>
      </c>
      <c r="D2083" t="s">
        <v>9309</v>
      </c>
      <c r="E2083" t="s">
        <v>7704</v>
      </c>
      <c r="F2083" t="s">
        <v>7704</v>
      </c>
      <c r="H2083">
        <v>1425349</v>
      </c>
    </row>
    <row r="2084" spans="1:8" x14ac:dyDescent="0.3">
      <c r="A2084" t="str">
        <f t="shared" si="33"/>
        <v>2Staffordshire</v>
      </c>
      <c r="B2084">
        <v>2</v>
      </c>
      <c r="C2084" t="s">
        <v>301</v>
      </c>
      <c r="D2084" t="s">
        <v>9310</v>
      </c>
      <c r="E2084" t="s">
        <v>812</v>
      </c>
      <c r="F2084" t="s">
        <v>7704</v>
      </c>
      <c r="H2084">
        <v>99900</v>
      </c>
    </row>
    <row r="2085" spans="1:8" x14ac:dyDescent="0.3">
      <c r="A2085" t="str">
        <f t="shared" si="33"/>
        <v>3Staffordshire</v>
      </c>
      <c r="B2085">
        <v>3</v>
      </c>
      <c r="C2085" t="s">
        <v>301</v>
      </c>
      <c r="D2085" t="s">
        <v>9311</v>
      </c>
      <c r="E2085" t="s">
        <v>806</v>
      </c>
      <c r="F2085" t="s">
        <v>812</v>
      </c>
      <c r="H2085">
        <v>350000</v>
      </c>
    </row>
    <row r="2086" spans="1:8" x14ac:dyDescent="0.3">
      <c r="A2086" t="str">
        <f t="shared" si="33"/>
        <v>4Staffordshire</v>
      </c>
      <c r="B2086">
        <v>4</v>
      </c>
      <c r="C2086" t="s">
        <v>301</v>
      </c>
      <c r="D2086" t="s">
        <v>9312</v>
      </c>
      <c r="E2086" t="s">
        <v>842</v>
      </c>
      <c r="F2086" t="s">
        <v>812</v>
      </c>
      <c r="H2086">
        <v>350000</v>
      </c>
    </row>
    <row r="2087" spans="1:8" x14ac:dyDescent="0.3">
      <c r="A2087" t="str">
        <f t="shared" si="33"/>
        <v>5Staffordshire</v>
      </c>
      <c r="B2087">
        <v>5</v>
      </c>
      <c r="C2087" t="s">
        <v>301</v>
      </c>
      <c r="D2087" t="s">
        <v>9313</v>
      </c>
      <c r="E2087" t="s">
        <v>812</v>
      </c>
      <c r="F2087" t="s">
        <v>7704</v>
      </c>
      <c r="H2087">
        <v>7200</v>
      </c>
    </row>
    <row r="2088" spans="1:8" x14ac:dyDescent="0.3">
      <c r="A2088" t="str">
        <f t="shared" si="33"/>
        <v>6Staffordshire</v>
      </c>
      <c r="B2088">
        <v>6</v>
      </c>
      <c r="C2088" t="s">
        <v>301</v>
      </c>
      <c r="D2088" t="s">
        <v>9314</v>
      </c>
      <c r="E2088" t="s">
        <v>7660</v>
      </c>
      <c r="F2088" t="s">
        <v>7704</v>
      </c>
      <c r="H2088">
        <v>103260</v>
      </c>
    </row>
    <row r="2089" spans="1:8" x14ac:dyDescent="0.3">
      <c r="A2089" t="str">
        <f t="shared" si="33"/>
        <v>7Staffordshire</v>
      </c>
      <c r="B2089">
        <v>7</v>
      </c>
      <c r="C2089" t="s">
        <v>301</v>
      </c>
      <c r="D2089" t="s">
        <v>9315</v>
      </c>
      <c r="E2089" t="s">
        <v>812</v>
      </c>
      <c r="F2089" t="s">
        <v>7704</v>
      </c>
      <c r="H2089">
        <v>165600</v>
      </c>
    </row>
    <row r="2090" spans="1:8" x14ac:dyDescent="0.3">
      <c r="A2090" t="str">
        <f t="shared" si="33"/>
        <v>8Staffordshire</v>
      </c>
      <c r="B2090">
        <v>8</v>
      </c>
      <c r="C2090" t="s">
        <v>301</v>
      </c>
      <c r="D2090" t="s">
        <v>9316</v>
      </c>
      <c r="E2090" t="s">
        <v>1113</v>
      </c>
      <c r="F2090" t="s">
        <v>7637</v>
      </c>
      <c r="H2090">
        <v>232000</v>
      </c>
    </row>
    <row r="2091" spans="1:8" x14ac:dyDescent="0.3">
      <c r="A2091" t="str">
        <f t="shared" si="33"/>
        <v>9Staffordshire</v>
      </c>
      <c r="B2091">
        <v>9</v>
      </c>
      <c r="C2091" t="s">
        <v>301</v>
      </c>
      <c r="D2091" t="s">
        <v>9317</v>
      </c>
      <c r="E2091" t="s">
        <v>842</v>
      </c>
      <c r="F2091" t="s">
        <v>7636</v>
      </c>
      <c r="H2091">
        <v>72000</v>
      </c>
    </row>
    <row r="2092" spans="1:8" x14ac:dyDescent="0.3">
      <c r="A2092" t="str">
        <f t="shared" si="33"/>
        <v>10Staffordshire</v>
      </c>
      <c r="B2092">
        <v>10</v>
      </c>
      <c r="C2092" t="s">
        <v>301</v>
      </c>
      <c r="D2092" t="s">
        <v>9318</v>
      </c>
      <c r="E2092" t="s">
        <v>812</v>
      </c>
      <c r="F2092" t="s">
        <v>7704</v>
      </c>
      <c r="H2092">
        <v>72000</v>
      </c>
    </row>
    <row r="2093" spans="1:8" x14ac:dyDescent="0.3">
      <c r="A2093" t="str">
        <f t="shared" si="33"/>
        <v>11Staffordshire</v>
      </c>
      <c r="B2093">
        <v>11</v>
      </c>
      <c r="C2093" t="s">
        <v>301</v>
      </c>
      <c r="D2093" t="s">
        <v>9319</v>
      </c>
      <c r="E2093" t="s">
        <v>1106</v>
      </c>
      <c r="F2093" t="s">
        <v>812</v>
      </c>
      <c r="H2093">
        <v>259200</v>
      </c>
    </row>
    <row r="2094" spans="1:8" x14ac:dyDescent="0.3">
      <c r="A2094" t="str">
        <f t="shared" si="33"/>
        <v>12Staffordshire</v>
      </c>
      <c r="B2094">
        <v>12</v>
      </c>
      <c r="C2094" t="s">
        <v>301</v>
      </c>
      <c r="D2094" t="s">
        <v>9320</v>
      </c>
      <c r="E2094" t="s">
        <v>842</v>
      </c>
      <c r="F2094" t="s">
        <v>7636</v>
      </c>
      <c r="H2094">
        <v>108000</v>
      </c>
    </row>
    <row r="2095" spans="1:8" x14ac:dyDescent="0.3">
      <c r="A2095" t="str">
        <f t="shared" si="33"/>
        <v>13Staffordshire</v>
      </c>
      <c r="B2095">
        <v>13</v>
      </c>
      <c r="C2095" t="s">
        <v>301</v>
      </c>
      <c r="D2095" t="s">
        <v>9321</v>
      </c>
      <c r="E2095" t="s">
        <v>842</v>
      </c>
      <c r="F2095" t="s">
        <v>812</v>
      </c>
      <c r="H2095">
        <v>42000</v>
      </c>
    </row>
    <row r="2096" spans="1:8" x14ac:dyDescent="0.3">
      <c r="A2096" t="str">
        <f t="shared" si="33"/>
        <v>14Staffordshire</v>
      </c>
      <c r="B2096">
        <v>14</v>
      </c>
      <c r="C2096" t="s">
        <v>301</v>
      </c>
      <c r="D2096" t="s">
        <v>9322</v>
      </c>
      <c r="E2096" t="s">
        <v>842</v>
      </c>
      <c r="F2096" t="s">
        <v>843</v>
      </c>
      <c r="H2096">
        <v>10000</v>
      </c>
    </row>
    <row r="2097" spans="1:8" x14ac:dyDescent="0.3">
      <c r="A2097" t="str">
        <f t="shared" si="33"/>
        <v>15Staffordshire</v>
      </c>
      <c r="B2097">
        <v>15</v>
      </c>
      <c r="C2097" t="s">
        <v>301</v>
      </c>
      <c r="D2097" t="s">
        <v>9323</v>
      </c>
      <c r="E2097" t="s">
        <v>842</v>
      </c>
      <c r="F2097" t="s">
        <v>7636</v>
      </c>
      <c r="H2097">
        <v>314800</v>
      </c>
    </row>
    <row r="2098" spans="1:8" x14ac:dyDescent="0.3">
      <c r="A2098" t="str">
        <f t="shared" si="33"/>
        <v>16Staffordshire</v>
      </c>
      <c r="B2098">
        <v>16</v>
      </c>
      <c r="C2098" t="s">
        <v>301</v>
      </c>
      <c r="D2098" t="s">
        <v>9324</v>
      </c>
      <c r="E2098" t="s">
        <v>7662</v>
      </c>
      <c r="F2098" t="s">
        <v>7704</v>
      </c>
      <c r="H2098">
        <v>34171</v>
      </c>
    </row>
    <row r="2099" spans="1:8" x14ac:dyDescent="0.3">
      <c r="A2099" t="str">
        <f t="shared" si="33"/>
        <v>17Staffordshire</v>
      </c>
      <c r="B2099">
        <v>17</v>
      </c>
      <c r="C2099" t="s">
        <v>301</v>
      </c>
      <c r="D2099" t="s">
        <v>9325</v>
      </c>
      <c r="E2099" t="s">
        <v>806</v>
      </c>
      <c r="F2099" t="s">
        <v>812</v>
      </c>
      <c r="H2099">
        <v>250000</v>
      </c>
    </row>
    <row r="2100" spans="1:8" x14ac:dyDescent="0.3">
      <c r="A2100" t="str">
        <f t="shared" si="33"/>
        <v>18Staffordshire</v>
      </c>
      <c r="B2100">
        <v>18</v>
      </c>
      <c r="C2100" t="s">
        <v>301</v>
      </c>
      <c r="D2100" t="s">
        <v>9326</v>
      </c>
      <c r="E2100" t="s">
        <v>800</v>
      </c>
      <c r="F2100" t="s">
        <v>2108</v>
      </c>
      <c r="H2100">
        <v>170000</v>
      </c>
    </row>
    <row r="2101" spans="1:8" x14ac:dyDescent="0.3">
      <c r="A2101" t="str">
        <f t="shared" si="33"/>
        <v>19Staffordshire</v>
      </c>
      <c r="B2101">
        <v>19</v>
      </c>
      <c r="C2101" t="s">
        <v>301</v>
      </c>
      <c r="D2101" t="s">
        <v>9327</v>
      </c>
      <c r="E2101" t="s">
        <v>812</v>
      </c>
      <c r="F2101" t="s">
        <v>7704</v>
      </c>
      <c r="H2101">
        <v>42000</v>
      </c>
    </row>
    <row r="2102" spans="1:8" x14ac:dyDescent="0.3">
      <c r="A2102" t="str">
        <f t="shared" si="33"/>
        <v>20Staffordshire</v>
      </c>
      <c r="B2102">
        <v>20</v>
      </c>
      <c r="C2102" t="s">
        <v>301</v>
      </c>
      <c r="D2102" t="s">
        <v>9328</v>
      </c>
      <c r="E2102" t="s">
        <v>812</v>
      </c>
      <c r="F2102" t="s">
        <v>7704</v>
      </c>
      <c r="H2102">
        <v>38800</v>
      </c>
    </row>
    <row r="2103" spans="1:8" x14ac:dyDescent="0.3">
      <c r="A2103" t="str">
        <f t="shared" si="33"/>
        <v>21Staffordshire</v>
      </c>
      <c r="B2103">
        <v>21</v>
      </c>
      <c r="C2103" t="s">
        <v>301</v>
      </c>
      <c r="D2103" t="s">
        <v>9329</v>
      </c>
      <c r="E2103" t="s">
        <v>1106</v>
      </c>
      <c r="F2103" t="s">
        <v>7628</v>
      </c>
      <c r="H2103">
        <v>83000</v>
      </c>
    </row>
    <row r="2104" spans="1:8" x14ac:dyDescent="0.3">
      <c r="A2104" t="str">
        <f t="shared" si="33"/>
        <v>22Staffordshire</v>
      </c>
      <c r="B2104">
        <v>22</v>
      </c>
      <c r="C2104" t="s">
        <v>301</v>
      </c>
      <c r="D2104" t="s">
        <v>9330</v>
      </c>
      <c r="E2104" t="s">
        <v>812</v>
      </c>
      <c r="F2104" t="s">
        <v>7704</v>
      </c>
      <c r="H2104">
        <v>72000</v>
      </c>
    </row>
    <row r="2105" spans="1:8" x14ac:dyDescent="0.3">
      <c r="A2105" t="str">
        <f t="shared" si="33"/>
        <v>23Staffordshire</v>
      </c>
      <c r="B2105">
        <v>23</v>
      </c>
      <c r="C2105" t="s">
        <v>301</v>
      </c>
      <c r="D2105" t="s">
        <v>9331</v>
      </c>
      <c r="E2105" t="s">
        <v>812</v>
      </c>
      <c r="F2105" t="s">
        <v>7704</v>
      </c>
      <c r="H2105">
        <v>172800</v>
      </c>
    </row>
    <row r="2106" spans="1:8" x14ac:dyDescent="0.3">
      <c r="A2106" t="str">
        <f t="shared" si="33"/>
        <v>24Staffordshire</v>
      </c>
      <c r="B2106">
        <v>24</v>
      </c>
      <c r="C2106" t="s">
        <v>301</v>
      </c>
      <c r="D2106" t="s">
        <v>9332</v>
      </c>
      <c r="E2106" t="s">
        <v>842</v>
      </c>
      <c r="F2106" t="s">
        <v>7636</v>
      </c>
      <c r="H2106">
        <v>130000</v>
      </c>
    </row>
    <row r="2107" spans="1:8" x14ac:dyDescent="0.3">
      <c r="A2107" t="str">
        <f t="shared" si="33"/>
        <v>25Staffordshire</v>
      </c>
      <c r="B2107">
        <v>25</v>
      </c>
      <c r="C2107" t="s">
        <v>301</v>
      </c>
      <c r="D2107" t="s">
        <v>9333</v>
      </c>
      <c r="E2107" t="s">
        <v>812</v>
      </c>
      <c r="F2107" t="s">
        <v>7704</v>
      </c>
      <c r="H2107">
        <v>172000</v>
      </c>
    </row>
    <row r="2108" spans="1:8" x14ac:dyDescent="0.3">
      <c r="A2108" t="str">
        <f t="shared" si="33"/>
        <v>26Staffordshire</v>
      </c>
      <c r="B2108">
        <v>26</v>
      </c>
      <c r="C2108" t="s">
        <v>301</v>
      </c>
      <c r="D2108" t="s">
        <v>9334</v>
      </c>
      <c r="E2108" t="s">
        <v>7662</v>
      </c>
      <c r="F2108" t="s">
        <v>7704</v>
      </c>
      <c r="H2108">
        <v>29516</v>
      </c>
    </row>
    <row r="2109" spans="1:8" x14ac:dyDescent="0.3">
      <c r="A2109" t="str">
        <f t="shared" si="33"/>
        <v>27Staffordshire</v>
      </c>
      <c r="B2109">
        <v>27</v>
      </c>
      <c r="C2109" t="s">
        <v>301</v>
      </c>
      <c r="D2109" t="s">
        <v>9335</v>
      </c>
      <c r="E2109" t="s">
        <v>842</v>
      </c>
      <c r="F2109" t="s">
        <v>812</v>
      </c>
      <c r="H2109">
        <v>160000</v>
      </c>
    </row>
    <row r="2110" spans="1:8" x14ac:dyDescent="0.3">
      <c r="A2110" t="str">
        <f t="shared" si="33"/>
        <v>28Staffordshire</v>
      </c>
      <c r="B2110">
        <v>28</v>
      </c>
      <c r="C2110" t="s">
        <v>301</v>
      </c>
      <c r="D2110" t="s">
        <v>9336</v>
      </c>
      <c r="E2110" t="s">
        <v>7658</v>
      </c>
      <c r="F2110" t="s">
        <v>7704</v>
      </c>
      <c r="H2110">
        <v>25000</v>
      </c>
    </row>
    <row r="2111" spans="1:8" x14ac:dyDescent="0.3">
      <c r="A2111" t="str">
        <f t="shared" si="33"/>
        <v>29Staffordshire</v>
      </c>
      <c r="B2111">
        <v>29</v>
      </c>
      <c r="C2111" t="s">
        <v>301</v>
      </c>
      <c r="D2111" t="s">
        <v>9337</v>
      </c>
      <c r="E2111" t="s">
        <v>806</v>
      </c>
      <c r="F2111" t="s">
        <v>812</v>
      </c>
      <c r="H2111">
        <v>25000</v>
      </c>
    </row>
    <row r="2112" spans="1:8" x14ac:dyDescent="0.3">
      <c r="A2112" t="str">
        <f t="shared" si="33"/>
        <v>30Staffordshire</v>
      </c>
      <c r="B2112">
        <v>30</v>
      </c>
      <c r="C2112" t="s">
        <v>301</v>
      </c>
      <c r="D2112" t="s">
        <v>9338</v>
      </c>
      <c r="E2112" t="s">
        <v>7658</v>
      </c>
      <c r="F2112" t="s">
        <v>7704</v>
      </c>
      <c r="H2112">
        <v>80000</v>
      </c>
    </row>
    <row r="2113" spans="1:8" x14ac:dyDescent="0.3">
      <c r="A2113" t="str">
        <f t="shared" si="33"/>
        <v>31Staffordshire</v>
      </c>
      <c r="B2113">
        <v>31</v>
      </c>
      <c r="C2113" t="s">
        <v>301</v>
      </c>
      <c r="D2113" t="s">
        <v>9339</v>
      </c>
      <c r="E2113" t="s">
        <v>812</v>
      </c>
      <c r="F2113" t="s">
        <v>7704</v>
      </c>
      <c r="H2113">
        <v>50000</v>
      </c>
    </row>
    <row r="2114" spans="1:8" x14ac:dyDescent="0.3">
      <c r="A2114" t="str">
        <f t="shared" si="33"/>
        <v>32Staffordshire</v>
      </c>
      <c r="B2114">
        <v>32</v>
      </c>
      <c r="C2114" t="s">
        <v>301</v>
      </c>
      <c r="D2114" t="s">
        <v>9340</v>
      </c>
      <c r="E2114" t="s">
        <v>806</v>
      </c>
      <c r="F2114" t="s">
        <v>812</v>
      </c>
      <c r="H2114">
        <v>279361</v>
      </c>
    </row>
    <row r="2115" spans="1:8" x14ac:dyDescent="0.3">
      <c r="A2115" t="str">
        <f t="shared" si="33"/>
        <v>33Staffordshire</v>
      </c>
      <c r="B2115">
        <v>33</v>
      </c>
      <c r="C2115" t="s">
        <v>301</v>
      </c>
      <c r="D2115" t="s">
        <v>9341</v>
      </c>
      <c r="E2115" t="s">
        <v>812</v>
      </c>
      <c r="F2115" t="s">
        <v>7704</v>
      </c>
      <c r="H2115">
        <v>86400</v>
      </c>
    </row>
    <row r="2116" spans="1:8" x14ac:dyDescent="0.3">
      <c r="A2116" t="str">
        <f t="shared" si="33"/>
        <v>34Staffordshire</v>
      </c>
      <c r="B2116">
        <v>34</v>
      </c>
      <c r="C2116" t="s">
        <v>301</v>
      </c>
      <c r="D2116" t="s">
        <v>9342</v>
      </c>
      <c r="E2116" t="s">
        <v>842</v>
      </c>
      <c r="F2116" t="s">
        <v>7636</v>
      </c>
      <c r="H2116">
        <v>87000</v>
      </c>
    </row>
    <row r="2117" spans="1:8" x14ac:dyDescent="0.3">
      <c r="A2117" t="str">
        <f t="shared" si="33"/>
        <v>35Staffordshire</v>
      </c>
      <c r="B2117">
        <v>35</v>
      </c>
      <c r="C2117" t="s">
        <v>301</v>
      </c>
      <c r="D2117" t="s">
        <v>9343</v>
      </c>
      <c r="E2117" t="s">
        <v>812</v>
      </c>
      <c r="F2117" t="s">
        <v>7704</v>
      </c>
      <c r="H2117">
        <v>36000</v>
      </c>
    </row>
    <row r="2118" spans="1:8" x14ac:dyDescent="0.3">
      <c r="A2118" t="str">
        <f t="shared" si="33"/>
        <v>36Staffordshire</v>
      </c>
      <c r="B2118">
        <v>36</v>
      </c>
      <c r="C2118" t="s">
        <v>301</v>
      </c>
      <c r="D2118" t="s">
        <v>9344</v>
      </c>
      <c r="E2118" t="s">
        <v>812</v>
      </c>
      <c r="F2118" t="s">
        <v>7704</v>
      </c>
      <c r="H2118">
        <v>14400</v>
      </c>
    </row>
    <row r="2119" spans="1:8" x14ac:dyDescent="0.3">
      <c r="A2119" t="str">
        <f t="shared" ref="A2119:A2182" si="34">B2119&amp;C2119</f>
        <v>37Staffordshire</v>
      </c>
      <c r="B2119">
        <v>37</v>
      </c>
      <c r="C2119" t="s">
        <v>301</v>
      </c>
      <c r="D2119" t="s">
        <v>9345</v>
      </c>
      <c r="E2119" t="s">
        <v>812</v>
      </c>
      <c r="F2119" t="s">
        <v>7704</v>
      </c>
      <c r="H2119">
        <v>720000</v>
      </c>
    </row>
    <row r="2120" spans="1:8" x14ac:dyDescent="0.3">
      <c r="A2120" t="str">
        <f t="shared" si="34"/>
        <v>1Stockport</v>
      </c>
      <c r="B2120">
        <v>1</v>
      </c>
      <c r="C2120" t="s">
        <v>303</v>
      </c>
      <c r="D2120" t="s">
        <v>7657</v>
      </c>
      <c r="E2120" t="s">
        <v>7657</v>
      </c>
      <c r="F2120" t="s">
        <v>7632</v>
      </c>
      <c r="H2120">
        <v>264000</v>
      </c>
    </row>
    <row r="2121" spans="1:8" x14ac:dyDescent="0.3">
      <c r="A2121" t="str">
        <f t="shared" si="34"/>
        <v>2Stockport</v>
      </c>
      <c r="B2121">
        <v>2</v>
      </c>
      <c r="C2121" t="s">
        <v>303</v>
      </c>
      <c r="D2121" t="s">
        <v>9346</v>
      </c>
      <c r="E2121" t="s">
        <v>842</v>
      </c>
      <c r="F2121" t="s">
        <v>7636</v>
      </c>
      <c r="H2121">
        <v>534228</v>
      </c>
    </row>
    <row r="2122" spans="1:8" x14ac:dyDescent="0.3">
      <c r="A2122" t="str">
        <f t="shared" si="34"/>
        <v>3Stockport</v>
      </c>
      <c r="B2122">
        <v>3</v>
      </c>
      <c r="C2122" t="s">
        <v>303</v>
      </c>
      <c r="D2122" t="s">
        <v>9347</v>
      </c>
      <c r="E2122" t="s">
        <v>1106</v>
      </c>
      <c r="F2122" t="s">
        <v>7628</v>
      </c>
      <c r="H2122">
        <v>1339216</v>
      </c>
    </row>
    <row r="2123" spans="1:8" x14ac:dyDescent="0.3">
      <c r="A2123" t="str">
        <f t="shared" si="34"/>
        <v>4Stockport</v>
      </c>
      <c r="B2123">
        <v>4</v>
      </c>
      <c r="C2123" t="s">
        <v>303</v>
      </c>
      <c r="D2123" t="s">
        <v>7753</v>
      </c>
      <c r="E2123" t="s">
        <v>842</v>
      </c>
      <c r="F2123" t="s">
        <v>7636</v>
      </c>
      <c r="H2123">
        <v>155000</v>
      </c>
    </row>
    <row r="2124" spans="1:8" x14ac:dyDescent="0.3">
      <c r="A2124" t="str">
        <f t="shared" si="34"/>
        <v>5Stockport</v>
      </c>
      <c r="B2124">
        <v>5</v>
      </c>
      <c r="C2124" t="s">
        <v>303</v>
      </c>
      <c r="D2124" t="s">
        <v>5266</v>
      </c>
      <c r="E2124" t="s">
        <v>5266</v>
      </c>
      <c r="F2124" t="s">
        <v>7639</v>
      </c>
      <c r="H2124">
        <v>200000</v>
      </c>
    </row>
    <row r="2125" spans="1:8" x14ac:dyDescent="0.3">
      <c r="A2125" t="str">
        <f t="shared" si="34"/>
        <v>6Stockport</v>
      </c>
      <c r="B2125">
        <v>6</v>
      </c>
      <c r="C2125" t="s">
        <v>303</v>
      </c>
      <c r="D2125" t="s">
        <v>1113</v>
      </c>
      <c r="E2125" t="s">
        <v>1113</v>
      </c>
      <c r="F2125" t="s">
        <v>7629</v>
      </c>
      <c r="H2125">
        <v>450346</v>
      </c>
    </row>
    <row r="2126" spans="1:8" x14ac:dyDescent="0.3">
      <c r="A2126" t="str">
        <f t="shared" si="34"/>
        <v>1Stockton-on-Tees</v>
      </c>
      <c r="B2126">
        <v>1</v>
      </c>
      <c r="C2126" t="s">
        <v>305</v>
      </c>
      <c r="D2126" t="s">
        <v>9348</v>
      </c>
      <c r="E2126" t="s">
        <v>806</v>
      </c>
      <c r="F2126" t="s">
        <v>7642</v>
      </c>
      <c r="H2126">
        <v>33600</v>
      </c>
    </row>
    <row r="2127" spans="1:8" x14ac:dyDescent="0.3">
      <c r="A2127" t="str">
        <f t="shared" si="34"/>
        <v>2Stockton-on-Tees</v>
      </c>
      <c r="B2127">
        <v>2</v>
      </c>
      <c r="C2127" t="s">
        <v>305</v>
      </c>
      <c r="D2127" t="s">
        <v>8413</v>
      </c>
      <c r="E2127" t="s">
        <v>1106</v>
      </c>
      <c r="F2127" t="s">
        <v>7628</v>
      </c>
      <c r="H2127">
        <v>584935</v>
      </c>
    </row>
    <row r="2128" spans="1:8" x14ac:dyDescent="0.3">
      <c r="A2128" t="str">
        <f t="shared" si="34"/>
        <v>3Stockton-on-Tees</v>
      </c>
      <c r="B2128">
        <v>3</v>
      </c>
      <c r="C2128" t="s">
        <v>305</v>
      </c>
      <c r="D2128" t="s">
        <v>8075</v>
      </c>
      <c r="E2128" t="s">
        <v>7649</v>
      </c>
      <c r="F2128" t="s">
        <v>7638</v>
      </c>
      <c r="H2128">
        <v>94500</v>
      </c>
    </row>
    <row r="2129" spans="1:8" x14ac:dyDescent="0.3">
      <c r="A2129" t="str">
        <f t="shared" si="34"/>
        <v>4Stockton-on-Tees</v>
      </c>
      <c r="B2129">
        <v>4</v>
      </c>
      <c r="C2129" t="s">
        <v>305</v>
      </c>
      <c r="D2129" t="s">
        <v>8076</v>
      </c>
      <c r="E2129" t="s">
        <v>5266</v>
      </c>
      <c r="F2129" t="s">
        <v>7643</v>
      </c>
      <c r="H2129">
        <v>25000</v>
      </c>
    </row>
    <row r="2130" spans="1:8" x14ac:dyDescent="0.3">
      <c r="A2130" t="str">
        <f t="shared" si="34"/>
        <v>5Stockton-on-Tees</v>
      </c>
      <c r="B2130">
        <v>5</v>
      </c>
      <c r="C2130" t="s">
        <v>305</v>
      </c>
      <c r="D2130" t="s">
        <v>8414</v>
      </c>
      <c r="E2130" t="s">
        <v>812</v>
      </c>
      <c r="H2130">
        <v>9000</v>
      </c>
    </row>
    <row r="2131" spans="1:8" x14ac:dyDescent="0.3">
      <c r="A2131" t="str">
        <f t="shared" si="34"/>
        <v>6Stockton-on-Tees</v>
      </c>
      <c r="B2131">
        <v>6</v>
      </c>
      <c r="C2131" t="s">
        <v>305</v>
      </c>
      <c r="D2131" t="s">
        <v>8415</v>
      </c>
      <c r="E2131" t="s">
        <v>7649</v>
      </c>
      <c r="F2131" t="s">
        <v>7638</v>
      </c>
      <c r="H2131">
        <v>10575</v>
      </c>
    </row>
    <row r="2132" spans="1:8" x14ac:dyDescent="0.3">
      <c r="A2132" t="str">
        <f t="shared" si="34"/>
        <v>7Stockton-on-Tees</v>
      </c>
      <c r="B2132">
        <v>7</v>
      </c>
      <c r="C2132" t="s">
        <v>305</v>
      </c>
      <c r="D2132" t="s">
        <v>9349</v>
      </c>
      <c r="E2132" t="s">
        <v>806</v>
      </c>
      <c r="F2132" t="s">
        <v>812</v>
      </c>
      <c r="H2132">
        <v>45000</v>
      </c>
    </row>
    <row r="2133" spans="1:8" x14ac:dyDescent="0.3">
      <c r="A2133" t="str">
        <f t="shared" si="34"/>
        <v>8Stockton-on-Tees</v>
      </c>
      <c r="B2133">
        <v>8</v>
      </c>
      <c r="C2133" t="s">
        <v>305</v>
      </c>
      <c r="D2133" t="s">
        <v>9350</v>
      </c>
      <c r="E2133" t="s">
        <v>7657</v>
      </c>
      <c r="F2133" t="s">
        <v>7632</v>
      </c>
      <c r="H2133">
        <v>75000</v>
      </c>
    </row>
    <row r="2134" spans="1:8" x14ac:dyDescent="0.3">
      <c r="A2134" t="str">
        <f t="shared" si="34"/>
        <v>9Stockton-on-Tees</v>
      </c>
      <c r="B2134">
        <v>9</v>
      </c>
      <c r="C2134" t="s">
        <v>305</v>
      </c>
      <c r="D2134" t="s">
        <v>9351</v>
      </c>
      <c r="E2134" t="s">
        <v>7649</v>
      </c>
      <c r="F2134" t="s">
        <v>7638</v>
      </c>
      <c r="H2134">
        <v>21664</v>
      </c>
    </row>
    <row r="2135" spans="1:8" x14ac:dyDescent="0.3">
      <c r="A2135" t="str">
        <f t="shared" si="34"/>
        <v>10Stockton-on-Tees</v>
      </c>
      <c r="B2135">
        <v>10</v>
      </c>
      <c r="C2135" t="s">
        <v>305</v>
      </c>
      <c r="D2135" t="s">
        <v>8082</v>
      </c>
      <c r="E2135" t="s">
        <v>812</v>
      </c>
      <c r="H2135">
        <v>10000</v>
      </c>
    </row>
    <row r="2136" spans="1:8" x14ac:dyDescent="0.3">
      <c r="A2136" t="str">
        <f t="shared" si="34"/>
        <v>11Stockton-on-Tees</v>
      </c>
      <c r="B2136">
        <v>11</v>
      </c>
      <c r="C2136" t="s">
        <v>305</v>
      </c>
      <c r="D2136" t="s">
        <v>9352</v>
      </c>
      <c r="E2136" t="s">
        <v>7649</v>
      </c>
      <c r="F2136" t="s">
        <v>7638</v>
      </c>
      <c r="H2136">
        <v>15000</v>
      </c>
    </row>
    <row r="2137" spans="1:8" x14ac:dyDescent="0.3">
      <c r="A2137" t="str">
        <f t="shared" si="34"/>
        <v>12Stockton-on-Tees</v>
      </c>
      <c r="B2137">
        <v>12</v>
      </c>
      <c r="C2137" t="s">
        <v>305</v>
      </c>
      <c r="D2137" t="s">
        <v>9353</v>
      </c>
      <c r="E2137" t="s">
        <v>5266</v>
      </c>
      <c r="F2137" t="s">
        <v>7646</v>
      </c>
      <c r="H2137">
        <v>485000</v>
      </c>
    </row>
    <row r="2138" spans="1:8" x14ac:dyDescent="0.3">
      <c r="A2138" t="str">
        <f t="shared" si="34"/>
        <v>13Stockton-on-Tees</v>
      </c>
      <c r="B2138">
        <v>13</v>
      </c>
      <c r="C2138" t="s">
        <v>305</v>
      </c>
      <c r="D2138" t="s">
        <v>8419</v>
      </c>
      <c r="E2138" t="s">
        <v>7649</v>
      </c>
      <c r="F2138" t="s">
        <v>7638</v>
      </c>
      <c r="H2138">
        <v>22920</v>
      </c>
    </row>
    <row r="2139" spans="1:8" x14ac:dyDescent="0.3">
      <c r="A2139" t="str">
        <f t="shared" si="34"/>
        <v>14Stockton-on-Tees</v>
      </c>
      <c r="B2139">
        <v>14</v>
      </c>
      <c r="C2139" t="s">
        <v>305</v>
      </c>
      <c r="D2139" t="s">
        <v>9354</v>
      </c>
      <c r="E2139" t="s">
        <v>5266</v>
      </c>
      <c r="F2139" t="s">
        <v>7631</v>
      </c>
      <c r="H2139">
        <v>12000</v>
      </c>
    </row>
    <row r="2140" spans="1:8" x14ac:dyDescent="0.3">
      <c r="A2140" t="str">
        <f t="shared" si="34"/>
        <v>1Stoke-on-Trent</v>
      </c>
      <c r="B2140">
        <v>1</v>
      </c>
      <c r="C2140" t="s">
        <v>307</v>
      </c>
      <c r="D2140" t="s">
        <v>9355</v>
      </c>
      <c r="E2140" t="s">
        <v>812</v>
      </c>
      <c r="H2140">
        <v>22500</v>
      </c>
    </row>
    <row r="2141" spans="1:8" x14ac:dyDescent="0.3">
      <c r="A2141" t="str">
        <f t="shared" si="34"/>
        <v>2Stoke-on-Trent</v>
      </c>
      <c r="B2141">
        <v>2</v>
      </c>
      <c r="C2141" t="s">
        <v>307</v>
      </c>
      <c r="D2141" t="s">
        <v>9356</v>
      </c>
      <c r="E2141" t="s">
        <v>800</v>
      </c>
      <c r="F2141" t="s">
        <v>2108</v>
      </c>
      <c r="H2141">
        <v>80000</v>
      </c>
    </row>
    <row r="2142" spans="1:8" x14ac:dyDescent="0.3">
      <c r="A2142" t="str">
        <f t="shared" si="34"/>
        <v>3Stoke-on-Trent</v>
      </c>
      <c r="B2142">
        <v>3</v>
      </c>
      <c r="C2142" t="s">
        <v>307</v>
      </c>
      <c r="D2142" t="s">
        <v>9357</v>
      </c>
      <c r="E2142" t="s">
        <v>812</v>
      </c>
      <c r="H2142">
        <v>22500</v>
      </c>
    </row>
    <row r="2143" spans="1:8" x14ac:dyDescent="0.3">
      <c r="A2143" t="str">
        <f t="shared" si="34"/>
        <v>4Stoke-on-Trent</v>
      </c>
      <c r="B2143">
        <v>4</v>
      </c>
      <c r="C2143" t="s">
        <v>307</v>
      </c>
      <c r="D2143" t="s">
        <v>9358</v>
      </c>
      <c r="E2143" t="s">
        <v>812</v>
      </c>
      <c r="H2143">
        <v>5600</v>
      </c>
    </row>
    <row r="2144" spans="1:8" x14ac:dyDescent="0.3">
      <c r="A2144" t="str">
        <f t="shared" si="34"/>
        <v>5Stoke-on-Trent</v>
      </c>
      <c r="B2144">
        <v>5</v>
      </c>
      <c r="C2144" t="s">
        <v>307</v>
      </c>
      <c r="D2144" t="s">
        <v>9359</v>
      </c>
      <c r="E2144" t="s">
        <v>1106</v>
      </c>
      <c r="F2144" t="s">
        <v>812</v>
      </c>
      <c r="H2144">
        <v>64400</v>
      </c>
    </row>
    <row r="2145" spans="1:8" x14ac:dyDescent="0.3">
      <c r="A2145" t="str">
        <f t="shared" si="34"/>
        <v>6Stoke-on-Trent</v>
      </c>
      <c r="B2145">
        <v>6</v>
      </c>
      <c r="C2145" t="s">
        <v>307</v>
      </c>
      <c r="D2145" t="s">
        <v>9360</v>
      </c>
      <c r="E2145" t="s">
        <v>842</v>
      </c>
      <c r="F2145" t="s">
        <v>7636</v>
      </c>
      <c r="H2145">
        <v>28000</v>
      </c>
    </row>
    <row r="2146" spans="1:8" x14ac:dyDescent="0.3">
      <c r="A2146" t="str">
        <f t="shared" si="34"/>
        <v>7Stoke-on-Trent</v>
      </c>
      <c r="B2146">
        <v>7</v>
      </c>
      <c r="C2146" t="s">
        <v>307</v>
      </c>
      <c r="D2146" t="s">
        <v>9360</v>
      </c>
      <c r="E2146" t="s">
        <v>812</v>
      </c>
      <c r="H2146">
        <v>28000</v>
      </c>
    </row>
    <row r="2147" spans="1:8" x14ac:dyDescent="0.3">
      <c r="A2147" t="str">
        <f t="shared" si="34"/>
        <v>8Stoke-on-Trent</v>
      </c>
      <c r="B2147">
        <v>8</v>
      </c>
      <c r="C2147" t="s">
        <v>307</v>
      </c>
      <c r="D2147" t="s">
        <v>9361</v>
      </c>
      <c r="E2147" t="s">
        <v>1106</v>
      </c>
      <c r="F2147" t="s">
        <v>7628</v>
      </c>
      <c r="H2147">
        <v>108000</v>
      </c>
    </row>
    <row r="2148" spans="1:8" x14ac:dyDescent="0.3">
      <c r="A2148" t="str">
        <f t="shared" si="34"/>
        <v>9Stoke-on-Trent</v>
      </c>
      <c r="B2148">
        <v>9</v>
      </c>
      <c r="C2148" t="s">
        <v>307</v>
      </c>
      <c r="D2148" t="s">
        <v>9361</v>
      </c>
      <c r="E2148" t="s">
        <v>842</v>
      </c>
      <c r="F2148" t="s">
        <v>7636</v>
      </c>
      <c r="H2148">
        <v>45000</v>
      </c>
    </row>
    <row r="2149" spans="1:8" x14ac:dyDescent="0.3">
      <c r="A2149" t="str">
        <f t="shared" si="34"/>
        <v>10Stoke-on-Trent</v>
      </c>
      <c r="B2149">
        <v>10</v>
      </c>
      <c r="C2149" t="s">
        <v>307</v>
      </c>
      <c r="D2149" t="s">
        <v>9362</v>
      </c>
      <c r="E2149" t="s">
        <v>812</v>
      </c>
      <c r="H2149">
        <v>530780</v>
      </c>
    </row>
    <row r="2150" spans="1:8" x14ac:dyDescent="0.3">
      <c r="A2150" t="str">
        <f t="shared" si="34"/>
        <v>11Stoke-on-Trent</v>
      </c>
      <c r="B2150">
        <v>11</v>
      </c>
      <c r="C2150" t="s">
        <v>307</v>
      </c>
      <c r="D2150" t="s">
        <v>9363</v>
      </c>
      <c r="E2150" t="s">
        <v>842</v>
      </c>
      <c r="F2150" t="s">
        <v>7636</v>
      </c>
      <c r="H2150">
        <v>160000</v>
      </c>
    </row>
    <row r="2151" spans="1:8" x14ac:dyDescent="0.3">
      <c r="A2151" t="str">
        <f t="shared" si="34"/>
        <v>12Stoke-on-Trent</v>
      </c>
      <c r="B2151">
        <v>12</v>
      </c>
      <c r="C2151" t="s">
        <v>307</v>
      </c>
      <c r="D2151" t="s">
        <v>9364</v>
      </c>
      <c r="E2151" t="s">
        <v>800</v>
      </c>
      <c r="F2151" t="s">
        <v>903</v>
      </c>
      <c r="H2151">
        <v>50000</v>
      </c>
    </row>
    <row r="2152" spans="1:8" x14ac:dyDescent="0.3">
      <c r="A2152" t="str">
        <f t="shared" si="34"/>
        <v>13Stoke-on-Trent</v>
      </c>
      <c r="B2152">
        <v>13</v>
      </c>
      <c r="C2152" t="s">
        <v>307</v>
      </c>
      <c r="D2152" t="s">
        <v>9365</v>
      </c>
      <c r="E2152" t="s">
        <v>842</v>
      </c>
      <c r="F2152" t="s">
        <v>812</v>
      </c>
      <c r="H2152">
        <v>213783</v>
      </c>
    </row>
    <row r="2153" spans="1:8" x14ac:dyDescent="0.3">
      <c r="A2153" t="str">
        <f t="shared" si="34"/>
        <v>14Stoke-on-Trent</v>
      </c>
      <c r="B2153">
        <v>14</v>
      </c>
      <c r="C2153" t="s">
        <v>307</v>
      </c>
      <c r="D2153" t="s">
        <v>9366</v>
      </c>
      <c r="E2153" t="s">
        <v>812</v>
      </c>
      <c r="H2153">
        <v>12600</v>
      </c>
    </row>
    <row r="2154" spans="1:8" x14ac:dyDescent="0.3">
      <c r="A2154" t="str">
        <f t="shared" si="34"/>
        <v>15Stoke-on-Trent</v>
      </c>
      <c r="B2154">
        <v>15</v>
      </c>
      <c r="C2154" t="s">
        <v>307</v>
      </c>
      <c r="D2154" t="s">
        <v>9367</v>
      </c>
      <c r="E2154" t="s">
        <v>1106</v>
      </c>
      <c r="F2154" t="s">
        <v>812</v>
      </c>
      <c r="H2154">
        <v>120000</v>
      </c>
    </row>
    <row r="2155" spans="1:8" x14ac:dyDescent="0.3">
      <c r="A2155" t="str">
        <f t="shared" si="34"/>
        <v>16Stoke-on-Trent</v>
      </c>
      <c r="B2155">
        <v>16</v>
      </c>
      <c r="C2155" t="s">
        <v>307</v>
      </c>
      <c r="D2155" t="s">
        <v>9368</v>
      </c>
      <c r="E2155" t="s">
        <v>806</v>
      </c>
      <c r="F2155" t="s">
        <v>807</v>
      </c>
      <c r="H2155">
        <v>117000</v>
      </c>
    </row>
    <row r="2156" spans="1:8" x14ac:dyDescent="0.3">
      <c r="A2156" t="str">
        <f t="shared" si="34"/>
        <v>17Stoke-on-Trent</v>
      </c>
      <c r="B2156">
        <v>17</v>
      </c>
      <c r="C2156" t="s">
        <v>307</v>
      </c>
      <c r="D2156" t="s">
        <v>9328</v>
      </c>
      <c r="E2156" t="s">
        <v>7658</v>
      </c>
      <c r="F2156" t="s">
        <v>9369</v>
      </c>
      <c r="H2156">
        <v>11640</v>
      </c>
    </row>
    <row r="2157" spans="1:8" x14ac:dyDescent="0.3">
      <c r="A2157" t="str">
        <f t="shared" si="34"/>
        <v>18Stoke-on-Trent</v>
      </c>
      <c r="B2157">
        <v>18</v>
      </c>
      <c r="C2157" t="s">
        <v>307</v>
      </c>
      <c r="D2157" t="s">
        <v>9370</v>
      </c>
      <c r="E2157" t="s">
        <v>5266</v>
      </c>
      <c r="F2157" t="s">
        <v>7639</v>
      </c>
      <c r="H2157">
        <v>393800</v>
      </c>
    </row>
    <row r="2158" spans="1:8" x14ac:dyDescent="0.3">
      <c r="A2158" t="str">
        <f t="shared" si="34"/>
        <v>19Stoke-on-Trent</v>
      </c>
      <c r="B2158">
        <v>19</v>
      </c>
      <c r="C2158" t="s">
        <v>307</v>
      </c>
      <c r="D2158" t="s">
        <v>9371</v>
      </c>
      <c r="E2158" t="s">
        <v>5266</v>
      </c>
      <c r="F2158" t="s">
        <v>7639</v>
      </c>
      <c r="H2158">
        <v>10000</v>
      </c>
    </row>
    <row r="2159" spans="1:8" x14ac:dyDescent="0.3">
      <c r="A2159" t="str">
        <f t="shared" si="34"/>
        <v>20Stoke-on-Trent</v>
      </c>
      <c r="B2159">
        <v>20</v>
      </c>
      <c r="C2159" t="s">
        <v>307</v>
      </c>
      <c r="D2159" t="s">
        <v>9372</v>
      </c>
      <c r="E2159" t="s">
        <v>806</v>
      </c>
      <c r="F2159" t="s">
        <v>917</v>
      </c>
      <c r="H2159">
        <v>28000</v>
      </c>
    </row>
    <row r="2160" spans="1:8" x14ac:dyDescent="0.3">
      <c r="A2160" t="str">
        <f t="shared" si="34"/>
        <v>21Stoke-on-Trent</v>
      </c>
      <c r="B2160">
        <v>21</v>
      </c>
      <c r="C2160" t="s">
        <v>307</v>
      </c>
      <c r="D2160" t="s">
        <v>9373</v>
      </c>
      <c r="E2160" t="s">
        <v>812</v>
      </c>
      <c r="H2160">
        <v>2800</v>
      </c>
    </row>
    <row r="2161" spans="1:8" x14ac:dyDescent="0.3">
      <c r="A2161" t="str">
        <f t="shared" si="34"/>
        <v>22Stoke-on-Trent</v>
      </c>
      <c r="B2161">
        <v>22</v>
      </c>
      <c r="C2161" t="s">
        <v>307</v>
      </c>
      <c r="D2161" t="s">
        <v>9331</v>
      </c>
      <c r="E2161" t="s">
        <v>812</v>
      </c>
      <c r="H2161">
        <v>62700</v>
      </c>
    </row>
    <row r="2162" spans="1:8" x14ac:dyDescent="0.3">
      <c r="A2162" t="str">
        <f t="shared" si="34"/>
        <v>23Stoke-on-Trent</v>
      </c>
      <c r="B2162">
        <v>23</v>
      </c>
      <c r="C2162" t="s">
        <v>307</v>
      </c>
      <c r="D2162" t="s">
        <v>9333</v>
      </c>
      <c r="E2162" t="s">
        <v>812</v>
      </c>
      <c r="H2162">
        <v>28000</v>
      </c>
    </row>
    <row r="2163" spans="1:8" x14ac:dyDescent="0.3">
      <c r="A2163" t="str">
        <f t="shared" si="34"/>
        <v>24Stoke-on-Trent</v>
      </c>
      <c r="B2163">
        <v>24</v>
      </c>
      <c r="C2163" t="s">
        <v>307</v>
      </c>
      <c r="D2163" t="s">
        <v>9374</v>
      </c>
      <c r="E2163" t="s">
        <v>812</v>
      </c>
      <c r="F2163" t="s">
        <v>9375</v>
      </c>
      <c r="H2163">
        <v>50000</v>
      </c>
    </row>
    <row r="2164" spans="1:8" x14ac:dyDescent="0.3">
      <c r="A2164" t="str">
        <f t="shared" si="34"/>
        <v>25Stoke-on-Trent</v>
      </c>
      <c r="B2164">
        <v>25</v>
      </c>
      <c r="C2164" t="s">
        <v>307</v>
      </c>
      <c r="D2164" t="s">
        <v>9376</v>
      </c>
      <c r="E2164" t="s">
        <v>1113</v>
      </c>
      <c r="F2164" t="s">
        <v>7637</v>
      </c>
      <c r="H2164">
        <v>120000</v>
      </c>
    </row>
    <row r="2165" spans="1:8" x14ac:dyDescent="0.3">
      <c r="A2165" t="str">
        <f t="shared" si="34"/>
        <v>26Stoke-on-Trent</v>
      </c>
      <c r="B2165">
        <v>26</v>
      </c>
      <c r="C2165" t="s">
        <v>307</v>
      </c>
      <c r="D2165" t="s">
        <v>9377</v>
      </c>
      <c r="E2165" t="s">
        <v>7662</v>
      </c>
      <c r="H2165">
        <v>11090</v>
      </c>
    </row>
    <row r="2166" spans="1:8" x14ac:dyDescent="0.3">
      <c r="A2166" t="str">
        <f t="shared" si="34"/>
        <v>27Stoke-on-Trent</v>
      </c>
      <c r="B2166">
        <v>27</v>
      </c>
      <c r="C2166" t="s">
        <v>307</v>
      </c>
      <c r="D2166" t="s">
        <v>9378</v>
      </c>
      <c r="E2166" t="s">
        <v>812</v>
      </c>
      <c r="H2166">
        <v>7500</v>
      </c>
    </row>
    <row r="2167" spans="1:8" x14ac:dyDescent="0.3">
      <c r="A2167" t="str">
        <f t="shared" si="34"/>
        <v>28Stoke-on-Trent</v>
      </c>
      <c r="B2167">
        <v>28</v>
      </c>
      <c r="C2167" t="s">
        <v>307</v>
      </c>
      <c r="D2167" t="s">
        <v>9379</v>
      </c>
      <c r="E2167" t="s">
        <v>806</v>
      </c>
      <c r="F2167" t="s">
        <v>812</v>
      </c>
      <c r="H2167">
        <v>50000</v>
      </c>
    </row>
    <row r="2168" spans="1:8" x14ac:dyDescent="0.3">
      <c r="A2168" t="str">
        <f t="shared" si="34"/>
        <v>29Stoke-on-Trent</v>
      </c>
      <c r="B2168">
        <v>29</v>
      </c>
      <c r="C2168" t="s">
        <v>307</v>
      </c>
      <c r="D2168" t="s">
        <v>9380</v>
      </c>
      <c r="E2168" t="s">
        <v>7658</v>
      </c>
      <c r="F2168" t="s">
        <v>9381</v>
      </c>
      <c r="H2168">
        <v>7500</v>
      </c>
    </row>
    <row r="2169" spans="1:8" x14ac:dyDescent="0.3">
      <c r="A2169" t="str">
        <f t="shared" si="34"/>
        <v>30Stoke-on-Trent</v>
      </c>
      <c r="B2169">
        <v>30</v>
      </c>
      <c r="C2169" t="s">
        <v>307</v>
      </c>
      <c r="D2169" t="s">
        <v>9341</v>
      </c>
      <c r="E2169" t="s">
        <v>812</v>
      </c>
      <c r="H2169">
        <v>33600</v>
      </c>
    </row>
    <row r="2170" spans="1:8" x14ac:dyDescent="0.3">
      <c r="A2170" t="str">
        <f t="shared" si="34"/>
        <v>31Stoke-on-Trent</v>
      </c>
      <c r="B2170">
        <v>31</v>
      </c>
      <c r="C2170" t="s">
        <v>307</v>
      </c>
      <c r="D2170" t="s">
        <v>9343</v>
      </c>
      <c r="E2170" t="s">
        <v>794</v>
      </c>
      <c r="H2170">
        <v>14000</v>
      </c>
    </row>
    <row r="2171" spans="1:8" x14ac:dyDescent="0.3">
      <c r="A2171" t="str">
        <f t="shared" si="34"/>
        <v>1Suffolk</v>
      </c>
      <c r="B2171">
        <v>1</v>
      </c>
      <c r="C2171" t="s">
        <v>309</v>
      </c>
      <c r="D2171" t="s">
        <v>9382</v>
      </c>
      <c r="E2171" t="s">
        <v>7657</v>
      </c>
      <c r="F2171" t="s">
        <v>7632</v>
      </c>
      <c r="H2171">
        <v>108000</v>
      </c>
    </row>
    <row r="2172" spans="1:8" x14ac:dyDescent="0.3">
      <c r="A2172" t="str">
        <f t="shared" si="34"/>
        <v>2Suffolk</v>
      </c>
      <c r="B2172">
        <v>2</v>
      </c>
      <c r="C2172" t="s">
        <v>309</v>
      </c>
      <c r="D2172" t="s">
        <v>9383</v>
      </c>
      <c r="E2172" t="s">
        <v>842</v>
      </c>
      <c r="F2172" t="s">
        <v>843</v>
      </c>
      <c r="H2172">
        <v>500000</v>
      </c>
    </row>
    <row r="2173" spans="1:8" x14ac:dyDescent="0.3">
      <c r="A2173" t="str">
        <f t="shared" si="34"/>
        <v>3Suffolk</v>
      </c>
      <c r="B2173">
        <v>3</v>
      </c>
      <c r="C2173" t="s">
        <v>309</v>
      </c>
      <c r="D2173" t="s">
        <v>9384</v>
      </c>
      <c r="E2173" t="s">
        <v>1106</v>
      </c>
      <c r="F2173" t="s">
        <v>7628</v>
      </c>
      <c r="H2173">
        <v>63763</v>
      </c>
    </row>
    <row r="2174" spans="1:8" x14ac:dyDescent="0.3">
      <c r="A2174" t="str">
        <f t="shared" si="34"/>
        <v>4Suffolk</v>
      </c>
      <c r="B2174">
        <v>4</v>
      </c>
      <c r="C2174" t="s">
        <v>309</v>
      </c>
      <c r="D2174" t="s">
        <v>9385</v>
      </c>
      <c r="E2174" t="s">
        <v>7660</v>
      </c>
      <c r="H2174">
        <v>90000</v>
      </c>
    </row>
    <row r="2175" spans="1:8" x14ac:dyDescent="0.3">
      <c r="A2175" t="str">
        <f t="shared" si="34"/>
        <v>5Suffolk</v>
      </c>
      <c r="B2175">
        <v>5</v>
      </c>
      <c r="C2175" t="s">
        <v>309</v>
      </c>
      <c r="D2175" t="s">
        <v>9386</v>
      </c>
      <c r="E2175" t="s">
        <v>7660</v>
      </c>
      <c r="H2175">
        <v>108000</v>
      </c>
    </row>
    <row r="2176" spans="1:8" x14ac:dyDescent="0.3">
      <c r="A2176" t="str">
        <f t="shared" si="34"/>
        <v>6Suffolk</v>
      </c>
      <c r="B2176">
        <v>6</v>
      </c>
      <c r="C2176" t="s">
        <v>309</v>
      </c>
      <c r="D2176" t="s">
        <v>9387</v>
      </c>
      <c r="E2176" t="s">
        <v>1106</v>
      </c>
      <c r="F2176" t="s">
        <v>7628</v>
      </c>
      <c r="H2176">
        <v>1571197</v>
      </c>
    </row>
    <row r="2177" spans="1:8" x14ac:dyDescent="0.3">
      <c r="A2177" t="str">
        <f t="shared" si="34"/>
        <v>7Suffolk</v>
      </c>
      <c r="B2177">
        <v>7</v>
      </c>
      <c r="C2177" t="s">
        <v>309</v>
      </c>
      <c r="D2177" t="s">
        <v>9388</v>
      </c>
      <c r="E2177" t="s">
        <v>1106</v>
      </c>
      <c r="F2177" t="s">
        <v>7628</v>
      </c>
      <c r="H2177">
        <v>379500</v>
      </c>
    </row>
    <row r="2178" spans="1:8" x14ac:dyDescent="0.3">
      <c r="A2178" t="str">
        <f t="shared" si="34"/>
        <v>8Suffolk</v>
      </c>
      <c r="B2178">
        <v>8</v>
      </c>
      <c r="C2178" t="s">
        <v>309</v>
      </c>
      <c r="D2178" t="s">
        <v>9389</v>
      </c>
      <c r="E2178" t="s">
        <v>812</v>
      </c>
      <c r="H2178">
        <v>80000</v>
      </c>
    </row>
    <row r="2179" spans="1:8" x14ac:dyDescent="0.3">
      <c r="A2179" t="str">
        <f t="shared" si="34"/>
        <v>9Suffolk</v>
      </c>
      <c r="B2179">
        <v>9</v>
      </c>
      <c r="C2179" t="s">
        <v>309</v>
      </c>
      <c r="D2179" t="s">
        <v>9390</v>
      </c>
      <c r="E2179" t="s">
        <v>812</v>
      </c>
      <c r="H2179">
        <v>29000</v>
      </c>
    </row>
    <row r="2180" spans="1:8" x14ac:dyDescent="0.3">
      <c r="A2180" t="str">
        <f t="shared" si="34"/>
        <v>10Suffolk</v>
      </c>
      <c r="B2180">
        <v>10</v>
      </c>
      <c r="C2180" t="s">
        <v>309</v>
      </c>
      <c r="D2180" t="s">
        <v>9391</v>
      </c>
      <c r="E2180" t="s">
        <v>1106</v>
      </c>
      <c r="F2180" t="s">
        <v>7628</v>
      </c>
      <c r="H2180">
        <v>25500</v>
      </c>
    </row>
    <row r="2181" spans="1:8" x14ac:dyDescent="0.3">
      <c r="A2181" t="str">
        <f t="shared" si="34"/>
        <v>11Suffolk</v>
      </c>
      <c r="B2181">
        <v>11</v>
      </c>
      <c r="C2181" t="s">
        <v>309</v>
      </c>
      <c r="D2181" t="s">
        <v>9392</v>
      </c>
      <c r="E2181" t="s">
        <v>1106</v>
      </c>
      <c r="F2181" t="s">
        <v>7628</v>
      </c>
      <c r="H2181">
        <v>13800</v>
      </c>
    </row>
    <row r="2182" spans="1:8" x14ac:dyDescent="0.3">
      <c r="A2182" t="str">
        <f t="shared" si="34"/>
        <v>12Suffolk</v>
      </c>
      <c r="B2182">
        <v>12</v>
      </c>
      <c r="C2182" t="s">
        <v>309</v>
      </c>
      <c r="D2182" t="s">
        <v>9393</v>
      </c>
      <c r="E2182" t="s">
        <v>1106</v>
      </c>
      <c r="F2182" t="s">
        <v>7628</v>
      </c>
      <c r="H2182">
        <v>15600</v>
      </c>
    </row>
    <row r="2183" spans="1:8" x14ac:dyDescent="0.3">
      <c r="A2183" t="str">
        <f t="shared" ref="A2183:A2246" si="35">B2183&amp;C2183</f>
        <v>13Suffolk</v>
      </c>
      <c r="B2183">
        <v>13</v>
      </c>
      <c r="C2183" t="s">
        <v>309</v>
      </c>
      <c r="D2183" t="s">
        <v>9394</v>
      </c>
      <c r="E2183" t="s">
        <v>7657</v>
      </c>
      <c r="F2183" t="s">
        <v>7632</v>
      </c>
      <c r="H2183">
        <v>107000</v>
      </c>
    </row>
    <row r="2184" spans="1:8" x14ac:dyDescent="0.3">
      <c r="A2184" t="str">
        <f t="shared" si="35"/>
        <v>14Suffolk</v>
      </c>
      <c r="B2184">
        <v>14</v>
      </c>
      <c r="C2184" t="s">
        <v>309</v>
      </c>
      <c r="D2184" t="s">
        <v>9395</v>
      </c>
      <c r="E2184" t="s">
        <v>806</v>
      </c>
      <c r="F2184" t="s">
        <v>807</v>
      </c>
      <c r="H2184">
        <v>48490</v>
      </c>
    </row>
    <row r="2185" spans="1:8" x14ac:dyDescent="0.3">
      <c r="A2185" t="str">
        <f t="shared" si="35"/>
        <v>15Suffolk</v>
      </c>
      <c r="B2185">
        <v>15</v>
      </c>
      <c r="C2185" t="s">
        <v>309</v>
      </c>
      <c r="D2185" t="s">
        <v>9396</v>
      </c>
      <c r="E2185" t="s">
        <v>842</v>
      </c>
      <c r="F2185" t="s">
        <v>7636</v>
      </c>
      <c r="H2185">
        <v>4000</v>
      </c>
    </row>
    <row r="2186" spans="1:8" x14ac:dyDescent="0.3">
      <c r="A2186" t="str">
        <f t="shared" si="35"/>
        <v>16Suffolk</v>
      </c>
      <c r="B2186">
        <v>16</v>
      </c>
      <c r="C2186" t="s">
        <v>309</v>
      </c>
      <c r="D2186" t="s">
        <v>9397</v>
      </c>
      <c r="E2186" t="s">
        <v>800</v>
      </c>
      <c r="F2186" t="s">
        <v>903</v>
      </c>
      <c r="H2186">
        <v>15000</v>
      </c>
    </row>
    <row r="2187" spans="1:8" x14ac:dyDescent="0.3">
      <c r="A2187" t="str">
        <f t="shared" si="35"/>
        <v>17Suffolk</v>
      </c>
      <c r="B2187">
        <v>17</v>
      </c>
      <c r="C2187" t="s">
        <v>309</v>
      </c>
      <c r="D2187" t="s">
        <v>9398</v>
      </c>
      <c r="E2187" t="s">
        <v>842</v>
      </c>
      <c r="F2187" t="s">
        <v>843</v>
      </c>
      <c r="H2187">
        <v>30000</v>
      </c>
    </row>
    <row r="2188" spans="1:8" x14ac:dyDescent="0.3">
      <c r="A2188" t="str">
        <f t="shared" si="35"/>
        <v>18Suffolk</v>
      </c>
      <c r="B2188">
        <v>18</v>
      </c>
      <c r="C2188" t="s">
        <v>309</v>
      </c>
      <c r="D2188" t="s">
        <v>9398</v>
      </c>
      <c r="E2188" t="s">
        <v>842</v>
      </c>
      <c r="F2188" t="s">
        <v>7636</v>
      </c>
      <c r="H2188">
        <v>107400</v>
      </c>
    </row>
    <row r="2189" spans="1:8" x14ac:dyDescent="0.3">
      <c r="A2189" t="str">
        <f t="shared" si="35"/>
        <v>19Suffolk</v>
      </c>
      <c r="B2189">
        <v>19</v>
      </c>
      <c r="C2189" t="s">
        <v>309</v>
      </c>
      <c r="D2189" t="s">
        <v>9399</v>
      </c>
      <c r="E2189" t="s">
        <v>7657</v>
      </c>
      <c r="F2189" t="s">
        <v>7640</v>
      </c>
      <c r="H2189">
        <v>6000</v>
      </c>
    </row>
    <row r="2190" spans="1:8" x14ac:dyDescent="0.3">
      <c r="A2190" t="str">
        <f t="shared" si="35"/>
        <v>20Suffolk</v>
      </c>
      <c r="B2190">
        <v>20</v>
      </c>
      <c r="C2190" t="s">
        <v>309</v>
      </c>
      <c r="D2190" t="s">
        <v>9400</v>
      </c>
      <c r="E2190" t="s">
        <v>7657</v>
      </c>
      <c r="F2190" t="s">
        <v>7640</v>
      </c>
      <c r="H2190">
        <v>5000</v>
      </c>
    </row>
    <row r="2191" spans="1:8" x14ac:dyDescent="0.3">
      <c r="A2191" t="str">
        <f t="shared" si="35"/>
        <v>21Suffolk</v>
      </c>
      <c r="B2191">
        <v>21</v>
      </c>
      <c r="C2191" t="s">
        <v>309</v>
      </c>
      <c r="D2191" t="s">
        <v>9401</v>
      </c>
      <c r="E2191" t="s">
        <v>7662</v>
      </c>
      <c r="H2191">
        <v>12600</v>
      </c>
    </row>
    <row r="2192" spans="1:8" x14ac:dyDescent="0.3">
      <c r="A2192" t="str">
        <f t="shared" si="35"/>
        <v>22Suffolk</v>
      </c>
      <c r="B2192">
        <v>22</v>
      </c>
      <c r="C2192" t="s">
        <v>309</v>
      </c>
      <c r="D2192" t="s">
        <v>9402</v>
      </c>
      <c r="E2192" t="s">
        <v>7649</v>
      </c>
      <c r="F2192" t="s">
        <v>7638</v>
      </c>
      <c r="H2192">
        <v>13500</v>
      </c>
    </row>
    <row r="2193" spans="1:8" x14ac:dyDescent="0.3">
      <c r="A2193" t="str">
        <f t="shared" si="35"/>
        <v>23Suffolk</v>
      </c>
      <c r="B2193">
        <v>23</v>
      </c>
      <c r="C2193" t="s">
        <v>309</v>
      </c>
      <c r="D2193" t="s">
        <v>9403</v>
      </c>
      <c r="E2193" t="s">
        <v>7657</v>
      </c>
      <c r="F2193" t="s">
        <v>7632</v>
      </c>
      <c r="H2193">
        <v>42300</v>
      </c>
    </row>
    <row r="2194" spans="1:8" x14ac:dyDescent="0.3">
      <c r="A2194" t="str">
        <f t="shared" si="35"/>
        <v>24Suffolk</v>
      </c>
      <c r="B2194">
        <v>24</v>
      </c>
      <c r="C2194" t="s">
        <v>309</v>
      </c>
      <c r="D2194" t="s">
        <v>9404</v>
      </c>
      <c r="E2194" t="s">
        <v>842</v>
      </c>
      <c r="F2194" t="s">
        <v>843</v>
      </c>
      <c r="H2194">
        <v>236690</v>
      </c>
    </row>
    <row r="2195" spans="1:8" x14ac:dyDescent="0.3">
      <c r="A2195" t="str">
        <f t="shared" si="35"/>
        <v>25Suffolk</v>
      </c>
      <c r="B2195">
        <v>25</v>
      </c>
      <c r="C2195" t="s">
        <v>309</v>
      </c>
      <c r="D2195" t="s">
        <v>9405</v>
      </c>
      <c r="E2195" t="s">
        <v>1113</v>
      </c>
      <c r="F2195" t="s">
        <v>7637</v>
      </c>
      <c r="H2195">
        <v>178000</v>
      </c>
    </row>
    <row r="2196" spans="1:8" x14ac:dyDescent="0.3">
      <c r="A2196" t="str">
        <f t="shared" si="35"/>
        <v>26Suffolk</v>
      </c>
      <c r="B2196">
        <v>26</v>
      </c>
      <c r="C2196" t="s">
        <v>309</v>
      </c>
      <c r="D2196" t="s">
        <v>9406</v>
      </c>
      <c r="E2196" t="s">
        <v>7657</v>
      </c>
      <c r="F2196" t="s">
        <v>7632</v>
      </c>
      <c r="H2196">
        <v>10900</v>
      </c>
    </row>
    <row r="2197" spans="1:8" x14ac:dyDescent="0.3">
      <c r="A2197" t="str">
        <f t="shared" si="35"/>
        <v>27Suffolk</v>
      </c>
      <c r="B2197">
        <v>27</v>
      </c>
      <c r="C2197" t="s">
        <v>309</v>
      </c>
      <c r="D2197" t="s">
        <v>9407</v>
      </c>
      <c r="E2197" t="s">
        <v>1106</v>
      </c>
      <c r="F2197" t="s">
        <v>7628</v>
      </c>
      <c r="H2197">
        <v>175000</v>
      </c>
    </row>
    <row r="2198" spans="1:8" x14ac:dyDescent="0.3">
      <c r="A2198" t="str">
        <f t="shared" si="35"/>
        <v>28Suffolk</v>
      </c>
      <c r="B2198">
        <v>28</v>
      </c>
      <c r="C2198" t="s">
        <v>309</v>
      </c>
      <c r="D2198" t="s">
        <v>9408</v>
      </c>
      <c r="E2198" t="s">
        <v>842</v>
      </c>
      <c r="F2198" t="s">
        <v>7636</v>
      </c>
      <c r="H2198">
        <v>31700</v>
      </c>
    </row>
    <row r="2199" spans="1:8" x14ac:dyDescent="0.3">
      <c r="A2199" t="str">
        <f t="shared" si="35"/>
        <v>29Suffolk</v>
      </c>
      <c r="B2199">
        <v>29</v>
      </c>
      <c r="C2199" t="s">
        <v>309</v>
      </c>
      <c r="D2199" t="s">
        <v>9409</v>
      </c>
      <c r="E2199" t="s">
        <v>1106</v>
      </c>
      <c r="F2199" t="s">
        <v>7628</v>
      </c>
      <c r="H2199">
        <v>21250</v>
      </c>
    </row>
    <row r="2200" spans="1:8" x14ac:dyDescent="0.3">
      <c r="A2200" t="str">
        <f t="shared" si="35"/>
        <v>30Suffolk</v>
      </c>
      <c r="B2200">
        <v>30</v>
      </c>
      <c r="C2200" t="s">
        <v>309</v>
      </c>
      <c r="D2200" t="s">
        <v>9410</v>
      </c>
      <c r="E2200" t="s">
        <v>7657</v>
      </c>
      <c r="F2200" t="s">
        <v>7640</v>
      </c>
      <c r="H2200">
        <v>2300</v>
      </c>
    </row>
    <row r="2201" spans="1:8" x14ac:dyDescent="0.3">
      <c r="A2201" t="str">
        <f t="shared" si="35"/>
        <v>31Suffolk</v>
      </c>
      <c r="B2201">
        <v>31</v>
      </c>
      <c r="C2201" t="s">
        <v>309</v>
      </c>
      <c r="D2201" t="s">
        <v>9411</v>
      </c>
      <c r="E2201" t="s">
        <v>7657</v>
      </c>
      <c r="F2201" t="s">
        <v>7644</v>
      </c>
      <c r="H2201">
        <v>28860</v>
      </c>
    </row>
    <row r="2202" spans="1:8" x14ac:dyDescent="0.3">
      <c r="A2202" t="str">
        <f t="shared" si="35"/>
        <v>32Suffolk</v>
      </c>
      <c r="B2202">
        <v>32</v>
      </c>
      <c r="C2202" t="s">
        <v>309</v>
      </c>
      <c r="D2202" t="s">
        <v>9411</v>
      </c>
      <c r="E2202" t="s">
        <v>1106</v>
      </c>
      <c r="F2202" t="s">
        <v>7628</v>
      </c>
      <c r="H2202">
        <v>115600</v>
      </c>
    </row>
    <row r="2203" spans="1:8" x14ac:dyDescent="0.3">
      <c r="A2203" t="str">
        <f t="shared" si="35"/>
        <v>33Suffolk</v>
      </c>
      <c r="B2203">
        <v>33</v>
      </c>
      <c r="C2203" t="s">
        <v>309</v>
      </c>
      <c r="D2203" t="s">
        <v>9412</v>
      </c>
      <c r="E2203" t="s">
        <v>1106</v>
      </c>
      <c r="F2203" t="s">
        <v>7628</v>
      </c>
      <c r="H2203">
        <v>10000</v>
      </c>
    </row>
    <row r="2204" spans="1:8" x14ac:dyDescent="0.3">
      <c r="A2204" t="str">
        <f t="shared" si="35"/>
        <v>34Suffolk</v>
      </c>
      <c r="B2204">
        <v>34</v>
      </c>
      <c r="C2204" t="s">
        <v>309</v>
      </c>
      <c r="D2204" t="s">
        <v>9413</v>
      </c>
      <c r="E2204" t="s">
        <v>812</v>
      </c>
      <c r="H2204">
        <v>75000</v>
      </c>
    </row>
    <row r="2205" spans="1:8" x14ac:dyDescent="0.3">
      <c r="A2205" t="str">
        <f t="shared" si="35"/>
        <v>35Suffolk</v>
      </c>
      <c r="B2205">
        <v>35</v>
      </c>
      <c r="C2205" t="s">
        <v>309</v>
      </c>
      <c r="D2205" t="s">
        <v>9414</v>
      </c>
      <c r="E2205" t="s">
        <v>7657</v>
      </c>
      <c r="F2205" t="s">
        <v>7640</v>
      </c>
      <c r="H2205">
        <v>1900</v>
      </c>
    </row>
    <row r="2206" spans="1:8" x14ac:dyDescent="0.3">
      <c r="A2206" t="str">
        <f t="shared" si="35"/>
        <v>36Suffolk</v>
      </c>
      <c r="B2206">
        <v>36</v>
      </c>
      <c r="C2206" t="s">
        <v>309</v>
      </c>
      <c r="D2206" t="s">
        <v>9415</v>
      </c>
      <c r="E2206" t="s">
        <v>7657</v>
      </c>
      <c r="F2206" t="s">
        <v>7640</v>
      </c>
      <c r="H2206">
        <v>1700</v>
      </c>
    </row>
    <row r="2207" spans="1:8" x14ac:dyDescent="0.3">
      <c r="A2207" t="str">
        <f t="shared" si="35"/>
        <v>37Suffolk</v>
      </c>
      <c r="B2207">
        <v>37</v>
      </c>
      <c r="C2207" t="s">
        <v>309</v>
      </c>
      <c r="D2207" t="s">
        <v>9416</v>
      </c>
      <c r="E2207" t="s">
        <v>812</v>
      </c>
      <c r="H2207">
        <v>2800</v>
      </c>
    </row>
    <row r="2208" spans="1:8" x14ac:dyDescent="0.3">
      <c r="A2208" t="str">
        <f t="shared" si="35"/>
        <v>38Suffolk</v>
      </c>
      <c r="B2208">
        <v>38</v>
      </c>
      <c r="C2208" t="s">
        <v>309</v>
      </c>
      <c r="D2208" t="s">
        <v>9417</v>
      </c>
      <c r="E2208" t="s">
        <v>1106</v>
      </c>
      <c r="F2208" t="s">
        <v>7628</v>
      </c>
      <c r="H2208">
        <v>255000</v>
      </c>
    </row>
    <row r="2209" spans="1:8" x14ac:dyDescent="0.3">
      <c r="A2209" t="str">
        <f t="shared" si="35"/>
        <v>39Suffolk</v>
      </c>
      <c r="B2209">
        <v>39</v>
      </c>
      <c r="C2209" t="s">
        <v>309</v>
      </c>
      <c r="D2209" t="s">
        <v>9418</v>
      </c>
      <c r="E2209" t="s">
        <v>812</v>
      </c>
      <c r="H2209">
        <v>100000</v>
      </c>
    </row>
    <row r="2210" spans="1:8" x14ac:dyDescent="0.3">
      <c r="A2210" t="str">
        <f t="shared" si="35"/>
        <v>40Suffolk</v>
      </c>
      <c r="B2210">
        <v>40</v>
      </c>
      <c r="C2210" t="s">
        <v>309</v>
      </c>
      <c r="D2210" t="s">
        <v>9419</v>
      </c>
      <c r="E2210" t="s">
        <v>1106</v>
      </c>
      <c r="F2210" t="s">
        <v>7628</v>
      </c>
      <c r="H2210">
        <v>636088</v>
      </c>
    </row>
    <row r="2211" spans="1:8" x14ac:dyDescent="0.3">
      <c r="A2211" t="str">
        <f t="shared" si="35"/>
        <v>41Suffolk</v>
      </c>
      <c r="B2211">
        <v>41</v>
      </c>
      <c r="C2211" t="s">
        <v>309</v>
      </c>
      <c r="D2211" t="s">
        <v>9420</v>
      </c>
      <c r="E2211" t="s">
        <v>7649</v>
      </c>
      <c r="F2211" t="s">
        <v>7638</v>
      </c>
      <c r="H2211">
        <v>75000</v>
      </c>
    </row>
    <row r="2212" spans="1:8" x14ac:dyDescent="0.3">
      <c r="A2212" t="str">
        <f t="shared" si="35"/>
        <v>42Suffolk</v>
      </c>
      <c r="B2212">
        <v>42</v>
      </c>
      <c r="C2212" t="s">
        <v>309</v>
      </c>
      <c r="D2212" t="s">
        <v>9421</v>
      </c>
      <c r="E2212" t="s">
        <v>800</v>
      </c>
      <c r="F2212" t="s">
        <v>903</v>
      </c>
      <c r="H2212">
        <v>160000</v>
      </c>
    </row>
    <row r="2213" spans="1:8" x14ac:dyDescent="0.3">
      <c r="A2213" t="str">
        <f t="shared" si="35"/>
        <v>43Suffolk</v>
      </c>
      <c r="B2213">
        <v>43</v>
      </c>
      <c r="C2213" t="s">
        <v>309</v>
      </c>
      <c r="D2213" t="s">
        <v>9422</v>
      </c>
      <c r="E2213" t="s">
        <v>1106</v>
      </c>
      <c r="F2213" t="s">
        <v>7628</v>
      </c>
      <c r="H2213">
        <v>43000</v>
      </c>
    </row>
    <row r="2214" spans="1:8" x14ac:dyDescent="0.3">
      <c r="A2214" t="str">
        <f t="shared" si="35"/>
        <v>44Suffolk</v>
      </c>
      <c r="B2214">
        <v>44</v>
      </c>
      <c r="C2214" t="s">
        <v>309</v>
      </c>
      <c r="D2214" t="s">
        <v>9423</v>
      </c>
      <c r="E2214" t="s">
        <v>800</v>
      </c>
      <c r="F2214" t="s">
        <v>903</v>
      </c>
      <c r="H2214">
        <v>4912</v>
      </c>
    </row>
    <row r="2215" spans="1:8" x14ac:dyDescent="0.3">
      <c r="A2215" t="str">
        <f t="shared" si="35"/>
        <v>45Suffolk</v>
      </c>
      <c r="B2215">
        <v>45</v>
      </c>
      <c r="C2215" t="s">
        <v>309</v>
      </c>
      <c r="D2215" t="s">
        <v>9424</v>
      </c>
      <c r="E2215" t="s">
        <v>1113</v>
      </c>
      <c r="F2215" t="s">
        <v>7629</v>
      </c>
      <c r="H2215">
        <v>571483</v>
      </c>
    </row>
    <row r="2216" spans="1:8" x14ac:dyDescent="0.3">
      <c r="A2216" t="str">
        <f t="shared" si="35"/>
        <v>46Suffolk</v>
      </c>
      <c r="B2216">
        <v>46</v>
      </c>
      <c r="C2216" t="s">
        <v>309</v>
      </c>
      <c r="D2216" t="s">
        <v>9425</v>
      </c>
      <c r="E2216" t="s">
        <v>812</v>
      </c>
      <c r="H2216">
        <v>84000</v>
      </c>
    </row>
    <row r="2217" spans="1:8" x14ac:dyDescent="0.3">
      <c r="A2217" t="str">
        <f t="shared" si="35"/>
        <v>1Sunderland</v>
      </c>
      <c r="B2217">
        <v>1</v>
      </c>
      <c r="C2217" t="s">
        <v>311</v>
      </c>
      <c r="D2217" t="s">
        <v>9426</v>
      </c>
      <c r="E2217" t="s">
        <v>7649</v>
      </c>
      <c r="F2217" t="s">
        <v>7638</v>
      </c>
      <c r="H2217">
        <v>100000</v>
      </c>
    </row>
    <row r="2218" spans="1:8" x14ac:dyDescent="0.3">
      <c r="A2218" t="str">
        <f t="shared" si="35"/>
        <v>2Sunderland</v>
      </c>
      <c r="B2218">
        <v>2</v>
      </c>
      <c r="C2218" t="s">
        <v>311</v>
      </c>
      <c r="D2218" t="s">
        <v>9427</v>
      </c>
      <c r="E2218" t="s">
        <v>800</v>
      </c>
      <c r="F2218" t="s">
        <v>903</v>
      </c>
      <c r="H2218">
        <v>300000</v>
      </c>
    </row>
    <row r="2219" spans="1:8" x14ac:dyDescent="0.3">
      <c r="A2219" t="str">
        <f t="shared" si="35"/>
        <v>3Sunderland</v>
      </c>
      <c r="B2219">
        <v>3</v>
      </c>
      <c r="C2219" t="s">
        <v>311</v>
      </c>
      <c r="D2219" t="s">
        <v>9428</v>
      </c>
      <c r="E2219" t="s">
        <v>812</v>
      </c>
      <c r="H2219">
        <v>60000</v>
      </c>
    </row>
    <row r="2220" spans="1:8" x14ac:dyDescent="0.3">
      <c r="A2220" t="str">
        <f t="shared" si="35"/>
        <v>4Sunderland</v>
      </c>
      <c r="B2220">
        <v>4</v>
      </c>
      <c r="C2220" t="s">
        <v>311</v>
      </c>
      <c r="D2220" t="s">
        <v>3557</v>
      </c>
      <c r="E2220" t="s">
        <v>1113</v>
      </c>
      <c r="F2220" t="s">
        <v>7629</v>
      </c>
      <c r="H2220">
        <v>500000</v>
      </c>
    </row>
    <row r="2221" spans="1:8" x14ac:dyDescent="0.3">
      <c r="A2221" t="str">
        <f t="shared" si="35"/>
        <v>5Sunderland</v>
      </c>
      <c r="B2221">
        <v>5</v>
      </c>
      <c r="C2221" t="s">
        <v>311</v>
      </c>
      <c r="D2221" t="s">
        <v>9429</v>
      </c>
      <c r="E2221" t="s">
        <v>842</v>
      </c>
      <c r="F2221" t="s">
        <v>843</v>
      </c>
      <c r="H2221">
        <v>15143</v>
      </c>
    </row>
    <row r="2222" spans="1:8" x14ac:dyDescent="0.3">
      <c r="A2222" t="str">
        <f t="shared" si="35"/>
        <v>6Sunderland</v>
      </c>
      <c r="B2222">
        <v>6</v>
      </c>
      <c r="C2222" t="s">
        <v>311</v>
      </c>
      <c r="D2222" t="s">
        <v>9429</v>
      </c>
      <c r="E2222" t="s">
        <v>842</v>
      </c>
      <c r="F2222" t="s">
        <v>1594</v>
      </c>
      <c r="H2222">
        <v>212004</v>
      </c>
    </row>
    <row r="2223" spans="1:8" x14ac:dyDescent="0.3">
      <c r="A2223" t="str">
        <f t="shared" si="35"/>
        <v>7Sunderland</v>
      </c>
      <c r="B2223">
        <v>7</v>
      </c>
      <c r="C2223" t="s">
        <v>311</v>
      </c>
      <c r="D2223" t="s">
        <v>9429</v>
      </c>
      <c r="E2223" t="s">
        <v>7658</v>
      </c>
      <c r="H2223">
        <v>519334</v>
      </c>
    </row>
    <row r="2224" spans="1:8" x14ac:dyDescent="0.3">
      <c r="A2224" t="str">
        <f t="shared" si="35"/>
        <v>8Sunderland</v>
      </c>
      <c r="B2224">
        <v>8</v>
      </c>
      <c r="C2224" t="s">
        <v>311</v>
      </c>
      <c r="D2224" t="s">
        <v>9430</v>
      </c>
      <c r="E2224" t="s">
        <v>7649</v>
      </c>
      <c r="F2224" t="s">
        <v>7638</v>
      </c>
      <c r="H2224">
        <v>220000</v>
      </c>
    </row>
    <row r="2225" spans="1:8" x14ac:dyDescent="0.3">
      <c r="A2225" t="str">
        <f t="shared" si="35"/>
        <v>9Sunderland</v>
      </c>
      <c r="B2225">
        <v>9</v>
      </c>
      <c r="C2225" t="s">
        <v>311</v>
      </c>
      <c r="D2225" t="s">
        <v>9431</v>
      </c>
      <c r="E2225" t="s">
        <v>842</v>
      </c>
      <c r="F2225" t="s">
        <v>7636</v>
      </c>
      <c r="H2225">
        <v>150000</v>
      </c>
    </row>
    <row r="2226" spans="1:8" x14ac:dyDescent="0.3">
      <c r="A2226" t="str">
        <f t="shared" si="35"/>
        <v>10Sunderland</v>
      </c>
      <c r="B2226">
        <v>10</v>
      </c>
      <c r="C2226" t="s">
        <v>311</v>
      </c>
      <c r="D2226" t="s">
        <v>9432</v>
      </c>
      <c r="E2226" t="s">
        <v>7660</v>
      </c>
      <c r="H2226">
        <v>352000</v>
      </c>
    </row>
    <row r="2227" spans="1:8" x14ac:dyDescent="0.3">
      <c r="A2227" t="str">
        <f t="shared" si="35"/>
        <v>11Sunderland</v>
      </c>
      <c r="B2227">
        <v>11</v>
      </c>
      <c r="C2227" t="s">
        <v>311</v>
      </c>
      <c r="D2227" t="s">
        <v>9433</v>
      </c>
      <c r="E2227" t="s">
        <v>842</v>
      </c>
      <c r="F2227" t="s">
        <v>1594</v>
      </c>
      <c r="H2227">
        <v>150000</v>
      </c>
    </row>
    <row r="2228" spans="1:8" x14ac:dyDescent="0.3">
      <c r="A2228" t="str">
        <f t="shared" si="35"/>
        <v>12Sunderland</v>
      </c>
      <c r="B2228">
        <v>12</v>
      </c>
      <c r="C2228" t="s">
        <v>311</v>
      </c>
      <c r="D2228" t="s">
        <v>9434</v>
      </c>
      <c r="E2228" t="s">
        <v>7649</v>
      </c>
      <c r="F2228" t="s">
        <v>7638</v>
      </c>
      <c r="H2228">
        <v>100261</v>
      </c>
    </row>
    <row r="2229" spans="1:8" x14ac:dyDescent="0.3">
      <c r="A2229" t="str">
        <f t="shared" si="35"/>
        <v>1Surrey</v>
      </c>
      <c r="B2229">
        <v>1</v>
      </c>
      <c r="C2229" t="s">
        <v>313</v>
      </c>
      <c r="D2229" t="s">
        <v>9435</v>
      </c>
      <c r="E2229" t="s">
        <v>806</v>
      </c>
      <c r="F2229" t="s">
        <v>807</v>
      </c>
      <c r="H2229">
        <v>533677</v>
      </c>
    </row>
    <row r="2230" spans="1:8" x14ac:dyDescent="0.3">
      <c r="A2230" t="str">
        <f t="shared" si="35"/>
        <v>2Surrey</v>
      </c>
      <c r="B2230">
        <v>2</v>
      </c>
      <c r="C2230" t="s">
        <v>313</v>
      </c>
      <c r="D2230" t="s">
        <v>9435</v>
      </c>
      <c r="E2230" t="s">
        <v>806</v>
      </c>
      <c r="F2230" t="s">
        <v>917</v>
      </c>
      <c r="H2230">
        <v>1349287</v>
      </c>
    </row>
    <row r="2231" spans="1:8" x14ac:dyDescent="0.3">
      <c r="A2231" t="str">
        <f t="shared" si="35"/>
        <v>3Surrey</v>
      </c>
      <c r="B2231">
        <v>3</v>
      </c>
      <c r="C2231" t="s">
        <v>313</v>
      </c>
      <c r="D2231" t="s">
        <v>9436</v>
      </c>
      <c r="E2231" t="s">
        <v>1106</v>
      </c>
      <c r="F2231" t="s">
        <v>7628</v>
      </c>
      <c r="H2231">
        <v>56239</v>
      </c>
    </row>
    <row r="2232" spans="1:8" x14ac:dyDescent="0.3">
      <c r="A2232" t="str">
        <f t="shared" si="35"/>
        <v>4Surrey</v>
      </c>
      <c r="B2232">
        <v>4</v>
      </c>
      <c r="C2232" t="s">
        <v>313</v>
      </c>
      <c r="D2232" t="s">
        <v>9436</v>
      </c>
      <c r="E2232" t="s">
        <v>842</v>
      </c>
      <c r="F2232" t="s">
        <v>7636</v>
      </c>
      <c r="H2232">
        <v>130265</v>
      </c>
    </row>
    <row r="2233" spans="1:8" x14ac:dyDescent="0.3">
      <c r="A2233" t="str">
        <f t="shared" si="35"/>
        <v>5Surrey</v>
      </c>
      <c r="B2233">
        <v>5</v>
      </c>
      <c r="C2233" t="s">
        <v>313</v>
      </c>
      <c r="D2233" t="s">
        <v>9437</v>
      </c>
      <c r="E2233" t="s">
        <v>1106</v>
      </c>
      <c r="F2233" t="s">
        <v>7704</v>
      </c>
      <c r="H2233">
        <v>200000</v>
      </c>
    </row>
    <row r="2234" spans="1:8" x14ac:dyDescent="0.3">
      <c r="A2234" t="str">
        <f t="shared" si="35"/>
        <v>6Surrey</v>
      </c>
      <c r="B2234">
        <v>6</v>
      </c>
      <c r="C2234" t="s">
        <v>313</v>
      </c>
      <c r="D2234" t="s">
        <v>9437</v>
      </c>
      <c r="E2234" t="s">
        <v>842</v>
      </c>
      <c r="F2234" t="s">
        <v>7636</v>
      </c>
      <c r="H2234">
        <v>90852</v>
      </c>
    </row>
    <row r="2235" spans="1:8" x14ac:dyDescent="0.3">
      <c r="A2235" t="str">
        <f t="shared" si="35"/>
        <v>7Surrey</v>
      </c>
      <c r="B2235">
        <v>7</v>
      </c>
      <c r="C2235" t="s">
        <v>313</v>
      </c>
      <c r="D2235" t="s">
        <v>9438</v>
      </c>
      <c r="E2235" t="s">
        <v>812</v>
      </c>
      <c r="F2235" t="s">
        <v>7704</v>
      </c>
      <c r="H2235">
        <v>63290</v>
      </c>
    </row>
    <row r="2236" spans="1:8" x14ac:dyDescent="0.3">
      <c r="A2236" t="str">
        <f t="shared" si="35"/>
        <v>8Surrey</v>
      </c>
      <c r="B2236">
        <v>8</v>
      </c>
      <c r="C2236" t="s">
        <v>313</v>
      </c>
      <c r="D2236" t="s">
        <v>9439</v>
      </c>
      <c r="E2236" t="s">
        <v>1106</v>
      </c>
      <c r="F2236" t="s">
        <v>7628</v>
      </c>
      <c r="H2236">
        <v>4187536</v>
      </c>
    </row>
    <row r="2237" spans="1:8" x14ac:dyDescent="0.3">
      <c r="A2237" t="str">
        <f t="shared" si="35"/>
        <v>9Surrey</v>
      </c>
      <c r="B2237">
        <v>9</v>
      </c>
      <c r="C2237" t="s">
        <v>313</v>
      </c>
      <c r="D2237" t="s">
        <v>9439</v>
      </c>
      <c r="E2237" t="s">
        <v>842</v>
      </c>
      <c r="F2237" t="s">
        <v>7636</v>
      </c>
      <c r="H2237">
        <v>1225214</v>
      </c>
    </row>
    <row r="2238" spans="1:8" x14ac:dyDescent="0.3">
      <c r="A2238" t="str">
        <f t="shared" si="35"/>
        <v>10Surrey</v>
      </c>
      <c r="B2238">
        <v>10</v>
      </c>
      <c r="C2238" t="s">
        <v>313</v>
      </c>
      <c r="D2238" t="s">
        <v>9439</v>
      </c>
      <c r="E2238" t="s">
        <v>806</v>
      </c>
      <c r="F2238" t="s">
        <v>807</v>
      </c>
      <c r="H2238">
        <v>37663</v>
      </c>
    </row>
    <row r="2239" spans="1:8" x14ac:dyDescent="0.3">
      <c r="A2239" t="str">
        <f t="shared" si="35"/>
        <v>11Surrey</v>
      </c>
      <c r="B2239">
        <v>11</v>
      </c>
      <c r="C2239" t="s">
        <v>313</v>
      </c>
      <c r="D2239" t="s">
        <v>9439</v>
      </c>
      <c r="E2239" t="s">
        <v>806</v>
      </c>
      <c r="F2239" t="s">
        <v>917</v>
      </c>
      <c r="H2239">
        <v>677806</v>
      </c>
    </row>
    <row r="2240" spans="1:8" x14ac:dyDescent="0.3">
      <c r="A2240" t="str">
        <f t="shared" si="35"/>
        <v>1Sutton</v>
      </c>
      <c r="B2240">
        <v>1</v>
      </c>
      <c r="C2240" t="s">
        <v>315</v>
      </c>
      <c r="D2240" t="s">
        <v>9440</v>
      </c>
      <c r="E2240" t="s">
        <v>1106</v>
      </c>
      <c r="F2240" t="s">
        <v>7628</v>
      </c>
      <c r="H2240">
        <v>378292</v>
      </c>
    </row>
    <row r="2241" spans="1:8" x14ac:dyDescent="0.3">
      <c r="A2241" t="str">
        <f t="shared" si="35"/>
        <v>2Sutton</v>
      </c>
      <c r="B2241">
        <v>2</v>
      </c>
      <c r="C2241" t="s">
        <v>315</v>
      </c>
      <c r="D2241" t="s">
        <v>9441</v>
      </c>
      <c r="E2241" t="s">
        <v>7658</v>
      </c>
      <c r="H2241">
        <v>124000</v>
      </c>
    </row>
    <row r="2242" spans="1:8" x14ac:dyDescent="0.3">
      <c r="A2242" t="str">
        <f t="shared" si="35"/>
        <v>3Sutton</v>
      </c>
      <c r="B2242">
        <v>3</v>
      </c>
      <c r="C2242" t="s">
        <v>315</v>
      </c>
      <c r="D2242" t="s">
        <v>7924</v>
      </c>
      <c r="E2242" t="s">
        <v>7658</v>
      </c>
      <c r="H2242">
        <v>437488</v>
      </c>
    </row>
    <row r="2243" spans="1:8" x14ac:dyDescent="0.3">
      <c r="A2243" t="str">
        <f t="shared" si="35"/>
        <v>4Sutton</v>
      </c>
      <c r="B2243">
        <v>4</v>
      </c>
      <c r="C2243" t="s">
        <v>315</v>
      </c>
      <c r="D2243" t="s">
        <v>9442</v>
      </c>
      <c r="E2243" t="s">
        <v>842</v>
      </c>
      <c r="F2243" t="s">
        <v>7636</v>
      </c>
      <c r="H2243">
        <v>490402</v>
      </c>
    </row>
    <row r="2244" spans="1:8" x14ac:dyDescent="0.3">
      <c r="A2244" t="str">
        <f t="shared" si="35"/>
        <v>5Sutton</v>
      </c>
      <c r="B2244">
        <v>5</v>
      </c>
      <c r="C2244" t="s">
        <v>315</v>
      </c>
      <c r="D2244" t="s">
        <v>9443</v>
      </c>
      <c r="E2244" t="s">
        <v>812</v>
      </c>
      <c r="H2244">
        <v>35000</v>
      </c>
    </row>
    <row r="2245" spans="1:8" x14ac:dyDescent="0.3">
      <c r="A2245" t="str">
        <f t="shared" si="35"/>
        <v>1Swindon</v>
      </c>
      <c r="B2245">
        <v>1</v>
      </c>
      <c r="C2245" t="s">
        <v>317</v>
      </c>
      <c r="D2245" t="s">
        <v>7704</v>
      </c>
      <c r="E2245" t="s">
        <v>7662</v>
      </c>
      <c r="F2245" t="s">
        <v>7704</v>
      </c>
      <c r="H2245">
        <v>26000</v>
      </c>
    </row>
    <row r="2246" spans="1:8" x14ac:dyDescent="0.3">
      <c r="A2246" t="str">
        <f t="shared" si="35"/>
        <v>2Swindon</v>
      </c>
      <c r="B2246">
        <v>2</v>
      </c>
      <c r="C2246" t="s">
        <v>317</v>
      </c>
      <c r="D2246" t="s">
        <v>7704</v>
      </c>
      <c r="E2246" t="s">
        <v>800</v>
      </c>
      <c r="F2246" t="s">
        <v>7704</v>
      </c>
      <c r="H2246">
        <v>109000</v>
      </c>
    </row>
    <row r="2247" spans="1:8" x14ac:dyDescent="0.3">
      <c r="A2247" t="str">
        <f t="shared" ref="A2247:A2310" si="36">B2247&amp;C2247</f>
        <v>3Swindon</v>
      </c>
      <c r="B2247">
        <v>3</v>
      </c>
      <c r="C2247" t="s">
        <v>317</v>
      </c>
      <c r="D2247" t="s">
        <v>7704</v>
      </c>
      <c r="E2247" t="s">
        <v>800</v>
      </c>
      <c r="F2247" t="s">
        <v>903</v>
      </c>
      <c r="H2247">
        <v>115946</v>
      </c>
    </row>
    <row r="2248" spans="1:8" x14ac:dyDescent="0.3">
      <c r="A2248" t="str">
        <f t="shared" si="36"/>
        <v>4Swindon</v>
      </c>
      <c r="B2248">
        <v>4</v>
      </c>
      <c r="C2248" t="s">
        <v>317</v>
      </c>
      <c r="D2248" t="s">
        <v>7704</v>
      </c>
      <c r="E2248" t="s">
        <v>842</v>
      </c>
      <c r="F2248" t="s">
        <v>7704</v>
      </c>
      <c r="H2248">
        <v>326000</v>
      </c>
    </row>
    <row r="2249" spans="1:8" x14ac:dyDescent="0.3">
      <c r="A2249" t="str">
        <f t="shared" si="36"/>
        <v>5Swindon</v>
      </c>
      <c r="B2249">
        <v>5</v>
      </c>
      <c r="C2249" t="s">
        <v>317</v>
      </c>
      <c r="D2249" t="s">
        <v>7704</v>
      </c>
      <c r="E2249" t="s">
        <v>842</v>
      </c>
      <c r="F2249" t="s">
        <v>7636</v>
      </c>
      <c r="H2249">
        <v>168800</v>
      </c>
    </row>
    <row r="2250" spans="1:8" x14ac:dyDescent="0.3">
      <c r="A2250" t="str">
        <f t="shared" si="36"/>
        <v>6Swindon</v>
      </c>
      <c r="B2250">
        <v>6</v>
      </c>
      <c r="C2250" t="s">
        <v>317</v>
      </c>
      <c r="D2250" t="s">
        <v>7704</v>
      </c>
      <c r="E2250" t="s">
        <v>5266</v>
      </c>
      <c r="F2250" t="s">
        <v>7631</v>
      </c>
      <c r="H2250">
        <v>391896</v>
      </c>
    </row>
    <row r="2251" spans="1:8" x14ac:dyDescent="0.3">
      <c r="A2251" t="str">
        <f t="shared" si="36"/>
        <v>7Swindon</v>
      </c>
      <c r="B2251">
        <v>7</v>
      </c>
      <c r="C2251" t="s">
        <v>317</v>
      </c>
      <c r="D2251" t="s">
        <v>7704</v>
      </c>
      <c r="E2251" t="s">
        <v>7658</v>
      </c>
      <c r="F2251" t="s">
        <v>7704</v>
      </c>
      <c r="H2251">
        <v>367900</v>
      </c>
    </row>
    <row r="2252" spans="1:8" x14ac:dyDescent="0.3">
      <c r="A2252" t="str">
        <f t="shared" si="36"/>
        <v>8Swindon</v>
      </c>
      <c r="B2252">
        <v>8</v>
      </c>
      <c r="C2252" t="s">
        <v>317</v>
      </c>
      <c r="D2252" t="s">
        <v>7704</v>
      </c>
      <c r="E2252" t="s">
        <v>806</v>
      </c>
      <c r="F2252" t="s">
        <v>807</v>
      </c>
      <c r="H2252">
        <v>229600</v>
      </c>
    </row>
    <row r="2253" spans="1:8" x14ac:dyDescent="0.3">
      <c r="A2253" t="str">
        <f t="shared" si="36"/>
        <v>9Swindon</v>
      </c>
      <c r="B2253">
        <v>9</v>
      </c>
      <c r="C2253" t="s">
        <v>317</v>
      </c>
      <c r="D2253" t="s">
        <v>7704</v>
      </c>
      <c r="E2253" t="s">
        <v>806</v>
      </c>
      <c r="F2253" t="s">
        <v>917</v>
      </c>
      <c r="H2253">
        <v>252200</v>
      </c>
    </row>
    <row r="2254" spans="1:8" x14ac:dyDescent="0.3">
      <c r="A2254" t="str">
        <f t="shared" si="36"/>
        <v>10Swindon</v>
      </c>
      <c r="B2254">
        <v>10</v>
      </c>
      <c r="C2254" t="s">
        <v>317</v>
      </c>
      <c r="D2254" t="s">
        <v>9444</v>
      </c>
      <c r="E2254" t="s">
        <v>842</v>
      </c>
      <c r="F2254" t="s">
        <v>812</v>
      </c>
      <c r="H2254">
        <v>250000</v>
      </c>
    </row>
    <row r="2255" spans="1:8" x14ac:dyDescent="0.3">
      <c r="A2255" t="str">
        <f t="shared" si="36"/>
        <v>11Swindon</v>
      </c>
      <c r="B2255">
        <v>11</v>
      </c>
      <c r="C2255" t="s">
        <v>317</v>
      </c>
      <c r="D2255" t="s">
        <v>9445</v>
      </c>
      <c r="E2255" t="s">
        <v>842</v>
      </c>
      <c r="F2255" t="s">
        <v>812</v>
      </c>
      <c r="H2255">
        <v>197000</v>
      </c>
    </row>
    <row r="2256" spans="1:8" x14ac:dyDescent="0.3">
      <c r="A2256" t="str">
        <f t="shared" si="36"/>
        <v>12Swindon</v>
      </c>
      <c r="B2256">
        <v>12</v>
      </c>
      <c r="C2256" t="s">
        <v>317</v>
      </c>
      <c r="D2256" t="s">
        <v>9446</v>
      </c>
      <c r="E2256" t="s">
        <v>806</v>
      </c>
      <c r="F2256" t="s">
        <v>7642</v>
      </c>
      <c r="H2256">
        <v>60000</v>
      </c>
    </row>
    <row r="2257" spans="1:8" x14ac:dyDescent="0.3">
      <c r="A2257" t="str">
        <f t="shared" si="36"/>
        <v>13Swindon</v>
      </c>
      <c r="B2257">
        <v>13</v>
      </c>
      <c r="C2257" t="s">
        <v>317</v>
      </c>
      <c r="D2257" t="s">
        <v>9447</v>
      </c>
      <c r="E2257" t="s">
        <v>1106</v>
      </c>
      <c r="F2257" t="s">
        <v>7628</v>
      </c>
      <c r="H2257">
        <v>120000</v>
      </c>
    </row>
    <row r="2258" spans="1:8" x14ac:dyDescent="0.3">
      <c r="A2258" t="str">
        <f t="shared" si="36"/>
        <v>1Tameside</v>
      </c>
      <c r="B2258">
        <v>1</v>
      </c>
      <c r="C2258" t="s">
        <v>319</v>
      </c>
      <c r="D2258" t="s">
        <v>9448</v>
      </c>
      <c r="E2258" t="s">
        <v>812</v>
      </c>
      <c r="H2258">
        <v>500000</v>
      </c>
    </row>
    <row r="2259" spans="1:8" x14ac:dyDescent="0.3">
      <c r="A2259" t="str">
        <f t="shared" si="36"/>
        <v>2Tameside</v>
      </c>
      <c r="B2259">
        <v>2</v>
      </c>
      <c r="C2259" t="s">
        <v>319</v>
      </c>
      <c r="D2259" t="s">
        <v>9449</v>
      </c>
      <c r="E2259" t="s">
        <v>7657</v>
      </c>
      <c r="F2259" t="s">
        <v>7640</v>
      </c>
      <c r="H2259">
        <v>475000</v>
      </c>
    </row>
    <row r="2260" spans="1:8" x14ac:dyDescent="0.3">
      <c r="A2260" t="str">
        <f t="shared" si="36"/>
        <v>3Tameside</v>
      </c>
      <c r="B2260">
        <v>3</v>
      </c>
      <c r="C2260" t="s">
        <v>319</v>
      </c>
      <c r="D2260" t="s">
        <v>9450</v>
      </c>
      <c r="E2260" t="s">
        <v>842</v>
      </c>
      <c r="F2260" t="s">
        <v>843</v>
      </c>
      <c r="H2260">
        <v>599697</v>
      </c>
    </row>
    <row r="2261" spans="1:8" x14ac:dyDescent="0.3">
      <c r="A2261" t="str">
        <f t="shared" si="36"/>
        <v>4Tameside</v>
      </c>
      <c r="B2261">
        <v>4</v>
      </c>
      <c r="C2261" t="s">
        <v>319</v>
      </c>
      <c r="D2261" t="s">
        <v>9451</v>
      </c>
      <c r="E2261" t="s">
        <v>812</v>
      </c>
      <c r="H2261">
        <v>50000</v>
      </c>
    </row>
    <row r="2262" spans="1:8" x14ac:dyDescent="0.3">
      <c r="A2262" t="str">
        <f t="shared" si="36"/>
        <v>5Tameside</v>
      </c>
      <c r="B2262">
        <v>5</v>
      </c>
      <c r="C2262" t="s">
        <v>319</v>
      </c>
      <c r="D2262" t="s">
        <v>9452</v>
      </c>
      <c r="E2262" t="s">
        <v>7657</v>
      </c>
      <c r="F2262" t="s">
        <v>7640</v>
      </c>
      <c r="H2262">
        <v>300000</v>
      </c>
    </row>
    <row r="2263" spans="1:8" x14ac:dyDescent="0.3">
      <c r="A2263" t="str">
        <f t="shared" si="36"/>
        <v>6Tameside</v>
      </c>
      <c r="B2263">
        <v>6</v>
      </c>
      <c r="C2263" t="s">
        <v>319</v>
      </c>
      <c r="D2263" t="s">
        <v>6491</v>
      </c>
      <c r="E2263" t="s">
        <v>1106</v>
      </c>
      <c r="F2263" t="s">
        <v>7628</v>
      </c>
      <c r="H2263">
        <v>434848</v>
      </c>
    </row>
    <row r="2264" spans="1:8" x14ac:dyDescent="0.3">
      <c r="A2264" t="str">
        <f t="shared" si="36"/>
        <v>7Tameside</v>
      </c>
      <c r="B2264">
        <v>7</v>
      </c>
      <c r="C2264" t="s">
        <v>319</v>
      </c>
      <c r="D2264" t="s">
        <v>8607</v>
      </c>
      <c r="E2264" t="s">
        <v>7658</v>
      </c>
      <c r="H2264">
        <v>150000</v>
      </c>
    </row>
    <row r="2265" spans="1:8" x14ac:dyDescent="0.3">
      <c r="A2265" t="str">
        <f t="shared" si="36"/>
        <v>8Tameside</v>
      </c>
      <c r="B2265">
        <v>8</v>
      </c>
      <c r="C2265" t="s">
        <v>319</v>
      </c>
      <c r="D2265" t="s">
        <v>9453</v>
      </c>
      <c r="E2265" t="s">
        <v>812</v>
      </c>
      <c r="H2265">
        <v>62000</v>
      </c>
    </row>
    <row r="2266" spans="1:8" x14ac:dyDescent="0.3">
      <c r="A2266" t="str">
        <f t="shared" si="36"/>
        <v>9Tameside</v>
      </c>
      <c r="B2266">
        <v>9</v>
      </c>
      <c r="C2266" t="s">
        <v>319</v>
      </c>
      <c r="D2266" t="s">
        <v>2335</v>
      </c>
      <c r="E2266" t="s">
        <v>812</v>
      </c>
      <c r="H2266">
        <v>75000</v>
      </c>
    </row>
    <row r="2267" spans="1:8" x14ac:dyDescent="0.3">
      <c r="A2267" t="str">
        <f t="shared" si="36"/>
        <v>1Telford and Wrekin</v>
      </c>
      <c r="B2267">
        <v>1</v>
      </c>
      <c r="C2267" t="s">
        <v>321</v>
      </c>
      <c r="D2267" t="s">
        <v>9454</v>
      </c>
      <c r="E2267" t="s">
        <v>7657</v>
      </c>
      <c r="F2267" t="s">
        <v>7632</v>
      </c>
      <c r="H2267">
        <v>50538</v>
      </c>
    </row>
    <row r="2268" spans="1:8" x14ac:dyDescent="0.3">
      <c r="A2268" t="str">
        <f t="shared" si="36"/>
        <v>2Telford and Wrekin</v>
      </c>
      <c r="B2268">
        <v>2</v>
      </c>
      <c r="C2268" t="s">
        <v>321</v>
      </c>
      <c r="D2268" t="s">
        <v>9454</v>
      </c>
      <c r="E2268" t="s">
        <v>1106</v>
      </c>
      <c r="F2268" t="s">
        <v>812</v>
      </c>
      <c r="H2268">
        <v>673862</v>
      </c>
    </row>
    <row r="2269" spans="1:8" x14ac:dyDescent="0.3">
      <c r="A2269" t="str">
        <f t="shared" si="36"/>
        <v>3Telford and Wrekin</v>
      </c>
      <c r="B2269">
        <v>3</v>
      </c>
      <c r="C2269" t="s">
        <v>321</v>
      </c>
      <c r="D2269" t="s">
        <v>9454</v>
      </c>
      <c r="E2269" t="s">
        <v>1106</v>
      </c>
      <c r="F2269" t="s">
        <v>7628</v>
      </c>
      <c r="H2269">
        <v>653919</v>
      </c>
    </row>
    <row r="2270" spans="1:8" x14ac:dyDescent="0.3">
      <c r="A2270" t="str">
        <f t="shared" si="36"/>
        <v>4Telford and Wrekin</v>
      </c>
      <c r="B2270">
        <v>4</v>
      </c>
      <c r="C2270" t="s">
        <v>321</v>
      </c>
      <c r="D2270" t="s">
        <v>9454</v>
      </c>
      <c r="E2270" t="s">
        <v>842</v>
      </c>
      <c r="F2270" t="s">
        <v>7636</v>
      </c>
      <c r="H2270">
        <v>753830</v>
      </c>
    </row>
    <row r="2271" spans="1:8" x14ac:dyDescent="0.3">
      <c r="A2271" t="str">
        <f t="shared" si="36"/>
        <v>5Telford and Wrekin</v>
      </c>
      <c r="B2271">
        <v>5</v>
      </c>
      <c r="C2271" t="s">
        <v>321</v>
      </c>
      <c r="D2271" t="s">
        <v>9454</v>
      </c>
      <c r="E2271" t="s">
        <v>5266</v>
      </c>
      <c r="F2271" t="s">
        <v>7639</v>
      </c>
      <c r="H2271">
        <v>16293</v>
      </c>
    </row>
    <row r="2272" spans="1:8" x14ac:dyDescent="0.3">
      <c r="A2272" t="str">
        <f t="shared" si="36"/>
        <v>1Thurrock</v>
      </c>
      <c r="B2272">
        <v>1</v>
      </c>
      <c r="C2272" t="s">
        <v>323</v>
      </c>
      <c r="D2272" t="s">
        <v>9455</v>
      </c>
      <c r="E2272" t="s">
        <v>7657</v>
      </c>
      <c r="F2272" t="s">
        <v>7640</v>
      </c>
      <c r="H2272">
        <v>27700</v>
      </c>
    </row>
    <row r="2273" spans="1:8" x14ac:dyDescent="0.3">
      <c r="A2273" t="str">
        <f t="shared" si="36"/>
        <v>2Thurrock</v>
      </c>
      <c r="B2273">
        <v>2</v>
      </c>
      <c r="C2273" t="s">
        <v>323</v>
      </c>
      <c r="D2273" t="s">
        <v>9456</v>
      </c>
      <c r="E2273" t="s">
        <v>7657</v>
      </c>
      <c r="F2273" t="s">
        <v>7640</v>
      </c>
      <c r="H2273">
        <v>37820</v>
      </c>
    </row>
    <row r="2274" spans="1:8" x14ac:dyDescent="0.3">
      <c r="A2274" t="str">
        <f t="shared" si="36"/>
        <v>3Thurrock</v>
      </c>
      <c r="B2274">
        <v>3</v>
      </c>
      <c r="C2274" t="s">
        <v>323</v>
      </c>
      <c r="D2274" t="s">
        <v>9457</v>
      </c>
      <c r="E2274" t="s">
        <v>1113</v>
      </c>
      <c r="F2274" t="s">
        <v>7629</v>
      </c>
      <c r="H2274">
        <v>150000</v>
      </c>
    </row>
    <row r="2275" spans="1:8" x14ac:dyDescent="0.3">
      <c r="A2275" t="str">
        <f t="shared" si="36"/>
        <v>4Thurrock</v>
      </c>
      <c r="B2275">
        <v>4</v>
      </c>
      <c r="C2275" t="s">
        <v>323</v>
      </c>
      <c r="D2275" t="s">
        <v>9458</v>
      </c>
      <c r="E2275" t="s">
        <v>7662</v>
      </c>
      <c r="F2275" t="s">
        <v>7704</v>
      </c>
      <c r="H2275">
        <v>5450</v>
      </c>
    </row>
    <row r="2276" spans="1:8" x14ac:dyDescent="0.3">
      <c r="A2276" t="str">
        <f t="shared" si="36"/>
        <v>5Thurrock</v>
      </c>
      <c r="B2276">
        <v>5</v>
      </c>
      <c r="C2276" t="s">
        <v>323</v>
      </c>
      <c r="D2276" t="s">
        <v>9459</v>
      </c>
      <c r="E2276" t="s">
        <v>7649</v>
      </c>
      <c r="F2276" t="s">
        <v>7638</v>
      </c>
      <c r="H2276">
        <v>50000</v>
      </c>
    </row>
    <row r="2277" spans="1:8" x14ac:dyDescent="0.3">
      <c r="A2277" t="str">
        <f t="shared" si="36"/>
        <v>6Thurrock</v>
      </c>
      <c r="B2277">
        <v>6</v>
      </c>
      <c r="C2277" t="s">
        <v>323</v>
      </c>
      <c r="D2277" t="s">
        <v>9460</v>
      </c>
      <c r="E2277" t="s">
        <v>7660</v>
      </c>
      <c r="F2277" t="s">
        <v>7704</v>
      </c>
      <c r="H2277">
        <v>29720</v>
      </c>
    </row>
    <row r="2278" spans="1:8" x14ac:dyDescent="0.3">
      <c r="A2278" t="str">
        <f t="shared" si="36"/>
        <v>7Thurrock</v>
      </c>
      <c r="B2278">
        <v>7</v>
      </c>
      <c r="C2278" t="s">
        <v>323</v>
      </c>
      <c r="D2278" t="s">
        <v>9461</v>
      </c>
      <c r="E2278" t="s">
        <v>7649</v>
      </c>
      <c r="F2278" t="s">
        <v>7638</v>
      </c>
      <c r="H2278">
        <v>30000</v>
      </c>
    </row>
    <row r="2279" spans="1:8" x14ac:dyDescent="0.3">
      <c r="A2279" t="str">
        <f t="shared" si="36"/>
        <v>8Thurrock</v>
      </c>
      <c r="B2279">
        <v>8</v>
      </c>
      <c r="C2279" t="s">
        <v>323</v>
      </c>
      <c r="D2279" t="s">
        <v>9462</v>
      </c>
      <c r="E2279" t="s">
        <v>842</v>
      </c>
      <c r="F2279" t="s">
        <v>7636</v>
      </c>
      <c r="H2279">
        <v>50000</v>
      </c>
    </row>
    <row r="2280" spans="1:8" x14ac:dyDescent="0.3">
      <c r="A2280" t="str">
        <f t="shared" si="36"/>
        <v>9Thurrock</v>
      </c>
      <c r="B2280">
        <v>9</v>
      </c>
      <c r="C2280" t="s">
        <v>323</v>
      </c>
      <c r="D2280" t="s">
        <v>8254</v>
      </c>
      <c r="E2280" t="s">
        <v>806</v>
      </c>
      <c r="F2280" t="s">
        <v>812</v>
      </c>
      <c r="H2280">
        <v>100000</v>
      </c>
    </row>
    <row r="2281" spans="1:8" x14ac:dyDescent="0.3">
      <c r="A2281" t="str">
        <f t="shared" si="36"/>
        <v>10Thurrock</v>
      </c>
      <c r="B2281">
        <v>10</v>
      </c>
      <c r="C2281" t="s">
        <v>323</v>
      </c>
      <c r="D2281" t="s">
        <v>9463</v>
      </c>
      <c r="E2281" t="s">
        <v>812</v>
      </c>
      <c r="F2281" t="s">
        <v>7704</v>
      </c>
      <c r="H2281">
        <v>4690</v>
      </c>
    </row>
    <row r="2282" spans="1:8" x14ac:dyDescent="0.3">
      <c r="A2282" t="str">
        <f t="shared" si="36"/>
        <v>11Thurrock</v>
      </c>
      <c r="B2282">
        <v>11</v>
      </c>
      <c r="C2282" t="s">
        <v>323</v>
      </c>
      <c r="D2282" t="s">
        <v>9265</v>
      </c>
      <c r="E2282" t="s">
        <v>812</v>
      </c>
      <c r="F2282" t="s">
        <v>7704</v>
      </c>
      <c r="H2282">
        <v>10340</v>
      </c>
    </row>
    <row r="2283" spans="1:8" x14ac:dyDescent="0.3">
      <c r="A2283" t="str">
        <f t="shared" si="36"/>
        <v>12Thurrock</v>
      </c>
      <c r="B2283">
        <v>12</v>
      </c>
      <c r="C2283" t="s">
        <v>323</v>
      </c>
      <c r="D2283" t="s">
        <v>9464</v>
      </c>
      <c r="E2283" t="s">
        <v>7658</v>
      </c>
      <c r="F2283" t="s">
        <v>812</v>
      </c>
      <c r="H2283">
        <v>160000</v>
      </c>
    </row>
    <row r="2284" spans="1:8" x14ac:dyDescent="0.3">
      <c r="A2284" t="str">
        <f t="shared" si="36"/>
        <v>13Thurrock</v>
      </c>
      <c r="B2284">
        <v>13</v>
      </c>
      <c r="C2284" t="s">
        <v>323</v>
      </c>
      <c r="D2284" t="s">
        <v>9266</v>
      </c>
      <c r="E2284" t="s">
        <v>806</v>
      </c>
      <c r="F2284" t="s">
        <v>7704</v>
      </c>
      <c r="H2284">
        <v>72250</v>
      </c>
    </row>
    <row r="2285" spans="1:8" x14ac:dyDescent="0.3">
      <c r="A2285" t="str">
        <f t="shared" si="36"/>
        <v>14Thurrock</v>
      </c>
      <c r="B2285">
        <v>14</v>
      </c>
      <c r="C2285" t="s">
        <v>323</v>
      </c>
      <c r="D2285" t="s">
        <v>9465</v>
      </c>
      <c r="E2285" t="s">
        <v>7649</v>
      </c>
      <c r="F2285" t="s">
        <v>7638</v>
      </c>
      <c r="H2285">
        <v>50000</v>
      </c>
    </row>
    <row r="2286" spans="1:8" x14ac:dyDescent="0.3">
      <c r="A2286" t="str">
        <f t="shared" si="36"/>
        <v>15Thurrock</v>
      </c>
      <c r="B2286">
        <v>15</v>
      </c>
      <c r="C2286" t="s">
        <v>323</v>
      </c>
      <c r="D2286" t="s">
        <v>9466</v>
      </c>
      <c r="E2286" t="s">
        <v>7649</v>
      </c>
      <c r="F2286" t="s">
        <v>7636</v>
      </c>
      <c r="H2286">
        <v>100000</v>
      </c>
    </row>
    <row r="2287" spans="1:8" x14ac:dyDescent="0.3">
      <c r="A2287" t="str">
        <f t="shared" si="36"/>
        <v>16Thurrock</v>
      </c>
      <c r="B2287">
        <v>16</v>
      </c>
      <c r="C2287" t="s">
        <v>323</v>
      </c>
      <c r="D2287" t="s">
        <v>9467</v>
      </c>
      <c r="E2287" t="s">
        <v>7649</v>
      </c>
      <c r="F2287" t="s">
        <v>7636</v>
      </c>
      <c r="H2287">
        <v>80000</v>
      </c>
    </row>
    <row r="2288" spans="1:8" x14ac:dyDescent="0.3">
      <c r="A2288" t="str">
        <f t="shared" si="36"/>
        <v>17Thurrock</v>
      </c>
      <c r="B2288">
        <v>17</v>
      </c>
      <c r="C2288" t="s">
        <v>323</v>
      </c>
      <c r="D2288" t="s">
        <v>9468</v>
      </c>
      <c r="E2288" t="s">
        <v>812</v>
      </c>
      <c r="F2288" t="s">
        <v>7704</v>
      </c>
      <c r="H2288">
        <v>30320</v>
      </c>
    </row>
    <row r="2289" spans="1:8" x14ac:dyDescent="0.3">
      <c r="A2289" t="str">
        <f t="shared" si="36"/>
        <v>1Torbay</v>
      </c>
      <c r="B2289">
        <v>1</v>
      </c>
      <c r="C2289" t="s">
        <v>325</v>
      </c>
      <c r="D2289" t="s">
        <v>9469</v>
      </c>
      <c r="E2289" t="s">
        <v>1106</v>
      </c>
      <c r="F2289" t="s">
        <v>7628</v>
      </c>
      <c r="H2289">
        <v>263290</v>
      </c>
    </row>
    <row r="2290" spans="1:8" x14ac:dyDescent="0.3">
      <c r="A2290" t="str">
        <f t="shared" si="36"/>
        <v>2Torbay</v>
      </c>
      <c r="B2290">
        <v>2</v>
      </c>
      <c r="C2290" t="s">
        <v>325</v>
      </c>
      <c r="D2290" t="s">
        <v>9470</v>
      </c>
      <c r="E2290" t="s">
        <v>842</v>
      </c>
      <c r="F2290" t="s">
        <v>7636</v>
      </c>
      <c r="H2290">
        <v>308639</v>
      </c>
    </row>
    <row r="2291" spans="1:8" x14ac:dyDescent="0.3">
      <c r="A2291" t="str">
        <f t="shared" si="36"/>
        <v>3Torbay</v>
      </c>
      <c r="B2291">
        <v>3</v>
      </c>
      <c r="C2291" t="s">
        <v>325</v>
      </c>
      <c r="D2291" t="s">
        <v>8112</v>
      </c>
      <c r="E2291" t="s">
        <v>1106</v>
      </c>
      <c r="F2291" t="s">
        <v>7628</v>
      </c>
      <c r="H2291">
        <v>442762.89</v>
      </c>
    </row>
    <row r="2292" spans="1:8" x14ac:dyDescent="0.3">
      <c r="A2292" t="str">
        <f t="shared" si="36"/>
        <v>4Torbay</v>
      </c>
      <c r="B2292">
        <v>4</v>
      </c>
      <c r="C2292" t="s">
        <v>325</v>
      </c>
      <c r="D2292" t="s">
        <v>8112</v>
      </c>
      <c r="E2292" t="s">
        <v>806</v>
      </c>
      <c r="F2292" t="s">
        <v>917</v>
      </c>
      <c r="H2292">
        <v>312076.11</v>
      </c>
    </row>
    <row r="2293" spans="1:8" x14ac:dyDescent="0.3">
      <c r="A2293" t="str">
        <f t="shared" si="36"/>
        <v>5Torbay</v>
      </c>
      <c r="B2293">
        <v>5</v>
      </c>
      <c r="C2293" t="s">
        <v>325</v>
      </c>
      <c r="D2293" t="s">
        <v>9471</v>
      </c>
      <c r="E2293" t="s">
        <v>812</v>
      </c>
      <c r="H2293">
        <v>14250</v>
      </c>
    </row>
    <row r="2294" spans="1:8" x14ac:dyDescent="0.3">
      <c r="A2294" t="str">
        <f t="shared" si="36"/>
        <v>6Torbay</v>
      </c>
      <c r="B2294">
        <v>6</v>
      </c>
      <c r="C2294" t="s">
        <v>325</v>
      </c>
      <c r="D2294" t="s">
        <v>9472</v>
      </c>
      <c r="E2294" t="s">
        <v>7657</v>
      </c>
      <c r="F2294" t="s">
        <v>7644</v>
      </c>
      <c r="H2294">
        <v>37804</v>
      </c>
    </row>
    <row r="2295" spans="1:8" x14ac:dyDescent="0.3">
      <c r="A2295" t="str">
        <f t="shared" si="36"/>
        <v>7Torbay</v>
      </c>
      <c r="B2295">
        <v>7</v>
      </c>
      <c r="C2295" t="s">
        <v>325</v>
      </c>
      <c r="D2295" t="s">
        <v>1072</v>
      </c>
      <c r="E2295" t="s">
        <v>1113</v>
      </c>
      <c r="F2295" t="s">
        <v>7629</v>
      </c>
      <c r="H2295">
        <v>6500</v>
      </c>
    </row>
    <row r="2296" spans="1:8" x14ac:dyDescent="0.3">
      <c r="A2296" t="str">
        <f t="shared" si="36"/>
        <v>8Torbay</v>
      </c>
      <c r="B2296">
        <v>8</v>
      </c>
      <c r="C2296" t="s">
        <v>325</v>
      </c>
      <c r="D2296" t="s">
        <v>9473</v>
      </c>
      <c r="E2296" t="s">
        <v>1113</v>
      </c>
      <c r="F2296" t="s">
        <v>7637</v>
      </c>
      <c r="H2296">
        <v>60000</v>
      </c>
    </row>
    <row r="2297" spans="1:8" x14ac:dyDescent="0.3">
      <c r="A2297" t="str">
        <f t="shared" si="36"/>
        <v>1Tower Hamlets</v>
      </c>
      <c r="B2297">
        <v>1</v>
      </c>
      <c r="C2297" t="s">
        <v>327</v>
      </c>
      <c r="D2297" t="s">
        <v>9474</v>
      </c>
      <c r="E2297" t="s">
        <v>842</v>
      </c>
      <c r="F2297" t="s">
        <v>7636</v>
      </c>
      <c r="H2297">
        <v>1265738</v>
      </c>
    </row>
    <row r="2298" spans="1:8" x14ac:dyDescent="0.3">
      <c r="A2298" t="str">
        <f t="shared" si="36"/>
        <v>2Tower Hamlets</v>
      </c>
      <c r="B2298">
        <v>2</v>
      </c>
      <c r="C2298" t="s">
        <v>327</v>
      </c>
      <c r="D2298" t="s">
        <v>9475</v>
      </c>
      <c r="E2298" t="s">
        <v>1106</v>
      </c>
      <c r="F2298" t="s">
        <v>7628</v>
      </c>
      <c r="H2298">
        <v>81318</v>
      </c>
    </row>
    <row r="2299" spans="1:8" x14ac:dyDescent="0.3">
      <c r="A2299" t="str">
        <f t="shared" si="36"/>
        <v>3Tower Hamlets</v>
      </c>
      <c r="B2299">
        <v>3</v>
      </c>
      <c r="C2299" t="s">
        <v>327</v>
      </c>
      <c r="D2299" t="s">
        <v>9476</v>
      </c>
      <c r="E2299" t="s">
        <v>842</v>
      </c>
      <c r="F2299" t="s">
        <v>843</v>
      </c>
      <c r="H2299">
        <v>22000</v>
      </c>
    </row>
    <row r="2300" spans="1:8" x14ac:dyDescent="0.3">
      <c r="A2300" t="str">
        <f t="shared" si="36"/>
        <v>4Tower Hamlets</v>
      </c>
      <c r="B2300">
        <v>4</v>
      </c>
      <c r="C2300" t="s">
        <v>327</v>
      </c>
      <c r="D2300" t="s">
        <v>9477</v>
      </c>
      <c r="E2300" t="s">
        <v>7657</v>
      </c>
      <c r="F2300" t="s">
        <v>7632</v>
      </c>
      <c r="H2300">
        <v>39045</v>
      </c>
    </row>
    <row r="2301" spans="1:8" x14ac:dyDescent="0.3">
      <c r="A2301" t="str">
        <f t="shared" si="36"/>
        <v>5Tower Hamlets</v>
      </c>
      <c r="B2301">
        <v>5</v>
      </c>
      <c r="C2301" t="s">
        <v>327</v>
      </c>
      <c r="D2301" t="s">
        <v>9478</v>
      </c>
      <c r="E2301" t="s">
        <v>1113</v>
      </c>
      <c r="F2301" t="s">
        <v>7629</v>
      </c>
      <c r="H2301">
        <v>70000</v>
      </c>
    </row>
    <row r="2302" spans="1:8" x14ac:dyDescent="0.3">
      <c r="A2302" t="str">
        <f t="shared" si="36"/>
        <v>6Tower Hamlets</v>
      </c>
      <c r="B2302">
        <v>6</v>
      </c>
      <c r="C2302" t="s">
        <v>327</v>
      </c>
      <c r="D2302" t="s">
        <v>9479</v>
      </c>
      <c r="E2302" t="s">
        <v>1106</v>
      </c>
      <c r="F2302" t="s">
        <v>7628</v>
      </c>
      <c r="H2302">
        <v>80000</v>
      </c>
    </row>
    <row r="2303" spans="1:8" x14ac:dyDescent="0.3">
      <c r="A2303" t="str">
        <f t="shared" si="36"/>
        <v>7Tower Hamlets</v>
      </c>
      <c r="B2303">
        <v>7</v>
      </c>
      <c r="C2303" t="s">
        <v>327</v>
      </c>
      <c r="D2303" t="s">
        <v>9480</v>
      </c>
      <c r="E2303" t="s">
        <v>7657</v>
      </c>
      <c r="F2303" t="s">
        <v>7632</v>
      </c>
      <c r="H2303">
        <v>98416</v>
      </c>
    </row>
    <row r="2304" spans="1:8" x14ac:dyDescent="0.3">
      <c r="A2304" t="str">
        <f t="shared" si="36"/>
        <v>8Tower Hamlets</v>
      </c>
      <c r="B2304">
        <v>8</v>
      </c>
      <c r="C2304" t="s">
        <v>327</v>
      </c>
      <c r="D2304" t="s">
        <v>9480</v>
      </c>
      <c r="E2304" t="s">
        <v>1106</v>
      </c>
      <c r="F2304" t="s">
        <v>812</v>
      </c>
      <c r="H2304">
        <v>145000</v>
      </c>
    </row>
    <row r="2305" spans="1:8" x14ac:dyDescent="0.3">
      <c r="A2305" t="str">
        <f t="shared" si="36"/>
        <v>9Tower Hamlets</v>
      </c>
      <c r="B2305">
        <v>9</v>
      </c>
      <c r="C2305" t="s">
        <v>327</v>
      </c>
      <c r="D2305" t="s">
        <v>9480</v>
      </c>
      <c r="E2305" t="s">
        <v>1106</v>
      </c>
      <c r="F2305" t="s">
        <v>7628</v>
      </c>
      <c r="H2305">
        <v>29840</v>
      </c>
    </row>
    <row r="2306" spans="1:8" x14ac:dyDescent="0.3">
      <c r="A2306" t="str">
        <f t="shared" si="36"/>
        <v>10Tower Hamlets</v>
      </c>
      <c r="B2306">
        <v>10</v>
      </c>
      <c r="C2306" t="s">
        <v>327</v>
      </c>
      <c r="D2306" t="s">
        <v>9481</v>
      </c>
      <c r="E2306" t="s">
        <v>7657</v>
      </c>
      <c r="F2306" t="s">
        <v>7640</v>
      </c>
      <c r="H2306">
        <v>45000</v>
      </c>
    </row>
    <row r="2307" spans="1:8" x14ac:dyDescent="0.3">
      <c r="A2307" t="str">
        <f t="shared" si="36"/>
        <v>11Tower Hamlets</v>
      </c>
      <c r="B2307">
        <v>11</v>
      </c>
      <c r="C2307" t="s">
        <v>327</v>
      </c>
      <c r="D2307" t="s">
        <v>1160</v>
      </c>
      <c r="E2307" t="s">
        <v>800</v>
      </c>
      <c r="F2307" t="s">
        <v>2108</v>
      </c>
      <c r="H2307">
        <v>166282</v>
      </c>
    </row>
    <row r="2308" spans="1:8" x14ac:dyDescent="0.3">
      <c r="A2308" t="str">
        <f t="shared" si="36"/>
        <v>1Trafford</v>
      </c>
      <c r="B2308">
        <v>1</v>
      </c>
      <c r="C2308" t="s">
        <v>329</v>
      </c>
      <c r="D2308" t="s">
        <v>1646</v>
      </c>
      <c r="E2308" t="s">
        <v>1106</v>
      </c>
      <c r="F2308" t="s">
        <v>7628</v>
      </c>
      <c r="H2308">
        <v>1666087</v>
      </c>
    </row>
    <row r="2309" spans="1:8" x14ac:dyDescent="0.3">
      <c r="A2309" t="str">
        <f t="shared" si="36"/>
        <v>2Trafford</v>
      </c>
      <c r="B2309">
        <v>2</v>
      </c>
      <c r="C2309" t="s">
        <v>329</v>
      </c>
      <c r="D2309" t="s">
        <v>9482</v>
      </c>
      <c r="E2309" t="s">
        <v>842</v>
      </c>
      <c r="F2309" t="s">
        <v>7636</v>
      </c>
      <c r="H2309">
        <v>400000</v>
      </c>
    </row>
    <row r="2310" spans="1:8" x14ac:dyDescent="0.3">
      <c r="A2310" t="str">
        <f t="shared" si="36"/>
        <v>3Trafford</v>
      </c>
      <c r="B2310">
        <v>3</v>
      </c>
      <c r="C2310" t="s">
        <v>329</v>
      </c>
      <c r="D2310" t="s">
        <v>5705</v>
      </c>
      <c r="E2310" t="s">
        <v>1106</v>
      </c>
      <c r="F2310" t="s">
        <v>7628</v>
      </c>
      <c r="H2310">
        <v>72000</v>
      </c>
    </row>
    <row r="2311" spans="1:8" x14ac:dyDescent="0.3">
      <c r="A2311" t="str">
        <f t="shared" ref="A2311:A2374" si="37">B2311&amp;C2311</f>
        <v>4Trafford</v>
      </c>
      <c r="B2311">
        <v>4</v>
      </c>
      <c r="C2311" t="s">
        <v>329</v>
      </c>
      <c r="D2311" t="s">
        <v>6615</v>
      </c>
      <c r="E2311" t="s">
        <v>1106</v>
      </c>
      <c r="F2311" t="s">
        <v>7628</v>
      </c>
      <c r="H2311">
        <v>30000</v>
      </c>
    </row>
    <row r="2312" spans="1:8" x14ac:dyDescent="0.3">
      <c r="A2312" t="str">
        <f t="shared" si="37"/>
        <v>1Wakefield</v>
      </c>
      <c r="B2312">
        <v>1</v>
      </c>
      <c r="C2312" t="s">
        <v>331</v>
      </c>
      <c r="D2312" t="s">
        <v>9483</v>
      </c>
      <c r="E2312" t="s">
        <v>7657</v>
      </c>
      <c r="F2312" t="s">
        <v>7632</v>
      </c>
      <c r="H2312">
        <v>80000</v>
      </c>
    </row>
    <row r="2313" spans="1:8" x14ac:dyDescent="0.3">
      <c r="A2313" t="str">
        <f t="shared" si="37"/>
        <v>2Wakefield</v>
      </c>
      <c r="B2313">
        <v>2</v>
      </c>
      <c r="C2313" t="s">
        <v>331</v>
      </c>
      <c r="D2313" t="s">
        <v>9484</v>
      </c>
      <c r="E2313" t="s">
        <v>7657</v>
      </c>
      <c r="F2313" t="s">
        <v>7632</v>
      </c>
      <c r="H2313">
        <v>189000</v>
      </c>
    </row>
    <row r="2314" spans="1:8" x14ac:dyDescent="0.3">
      <c r="A2314" t="str">
        <f t="shared" si="37"/>
        <v>3Wakefield</v>
      </c>
      <c r="B2314">
        <v>3</v>
      </c>
      <c r="C2314" t="s">
        <v>331</v>
      </c>
      <c r="D2314" t="s">
        <v>1578</v>
      </c>
      <c r="E2314" t="s">
        <v>800</v>
      </c>
      <c r="F2314" t="s">
        <v>2108</v>
      </c>
      <c r="H2314">
        <v>10000</v>
      </c>
    </row>
    <row r="2315" spans="1:8" x14ac:dyDescent="0.3">
      <c r="A2315" t="str">
        <f t="shared" si="37"/>
        <v>4Wakefield</v>
      </c>
      <c r="B2315">
        <v>4</v>
      </c>
      <c r="C2315" t="s">
        <v>331</v>
      </c>
      <c r="D2315" t="s">
        <v>6652</v>
      </c>
      <c r="E2315" t="s">
        <v>1106</v>
      </c>
      <c r="F2315" t="s">
        <v>7628</v>
      </c>
      <c r="H2315">
        <v>89000</v>
      </c>
    </row>
    <row r="2316" spans="1:8" x14ac:dyDescent="0.3">
      <c r="A2316" t="str">
        <f t="shared" si="37"/>
        <v>5Wakefield</v>
      </c>
      <c r="B2316">
        <v>5</v>
      </c>
      <c r="C2316" t="s">
        <v>331</v>
      </c>
      <c r="D2316" t="s">
        <v>9485</v>
      </c>
      <c r="E2316" t="s">
        <v>842</v>
      </c>
      <c r="F2316" t="s">
        <v>7636</v>
      </c>
      <c r="H2316">
        <v>140000</v>
      </c>
    </row>
    <row r="2317" spans="1:8" x14ac:dyDescent="0.3">
      <c r="A2317" t="str">
        <f t="shared" si="37"/>
        <v>6Wakefield</v>
      </c>
      <c r="B2317">
        <v>6</v>
      </c>
      <c r="C2317" t="s">
        <v>331</v>
      </c>
      <c r="D2317" t="s">
        <v>9486</v>
      </c>
      <c r="E2317" t="s">
        <v>5266</v>
      </c>
      <c r="F2317" t="s">
        <v>7639</v>
      </c>
      <c r="H2317">
        <v>432000</v>
      </c>
    </row>
    <row r="2318" spans="1:8" x14ac:dyDescent="0.3">
      <c r="A2318" t="str">
        <f t="shared" si="37"/>
        <v>7Wakefield</v>
      </c>
      <c r="B2318">
        <v>7</v>
      </c>
      <c r="C2318" t="s">
        <v>331</v>
      </c>
      <c r="D2318" t="s">
        <v>9487</v>
      </c>
      <c r="E2318" t="s">
        <v>5266</v>
      </c>
      <c r="F2318" t="s">
        <v>7639</v>
      </c>
      <c r="H2318">
        <v>28000</v>
      </c>
    </row>
    <row r="2319" spans="1:8" x14ac:dyDescent="0.3">
      <c r="A2319" t="str">
        <f t="shared" si="37"/>
        <v>8Wakefield</v>
      </c>
      <c r="B2319">
        <v>8</v>
      </c>
      <c r="C2319" t="s">
        <v>331</v>
      </c>
      <c r="D2319" t="s">
        <v>9488</v>
      </c>
      <c r="E2319" t="s">
        <v>1106</v>
      </c>
      <c r="F2319" t="s">
        <v>7628</v>
      </c>
      <c r="H2319">
        <v>178333</v>
      </c>
    </row>
    <row r="2320" spans="1:8" x14ac:dyDescent="0.3">
      <c r="A2320" t="str">
        <f t="shared" si="37"/>
        <v>9Wakefield</v>
      </c>
      <c r="B2320">
        <v>9</v>
      </c>
      <c r="C2320" t="s">
        <v>331</v>
      </c>
      <c r="D2320" t="s">
        <v>9488</v>
      </c>
      <c r="E2320" t="s">
        <v>842</v>
      </c>
      <c r="F2320" t="s">
        <v>7636</v>
      </c>
      <c r="H2320">
        <v>177334</v>
      </c>
    </row>
    <row r="2321" spans="1:8" x14ac:dyDescent="0.3">
      <c r="A2321" t="str">
        <f t="shared" si="37"/>
        <v>10Wakefield</v>
      </c>
      <c r="B2321">
        <v>10</v>
      </c>
      <c r="C2321" t="s">
        <v>331</v>
      </c>
      <c r="D2321" t="s">
        <v>9488</v>
      </c>
      <c r="E2321" t="s">
        <v>806</v>
      </c>
      <c r="F2321" t="s">
        <v>7642</v>
      </c>
      <c r="H2321">
        <v>178333</v>
      </c>
    </row>
    <row r="2322" spans="1:8" x14ac:dyDescent="0.3">
      <c r="A2322" t="str">
        <f t="shared" si="37"/>
        <v>11Wakefield</v>
      </c>
      <c r="B2322">
        <v>11</v>
      </c>
      <c r="C2322" t="s">
        <v>331</v>
      </c>
      <c r="D2322" t="s">
        <v>9489</v>
      </c>
      <c r="E2322" t="s">
        <v>7658</v>
      </c>
      <c r="F2322" t="s">
        <v>7704</v>
      </c>
      <c r="H2322">
        <v>70000</v>
      </c>
    </row>
    <row r="2323" spans="1:8" x14ac:dyDescent="0.3">
      <c r="A2323" t="str">
        <f t="shared" si="37"/>
        <v>12Wakefield</v>
      </c>
      <c r="B2323">
        <v>12</v>
      </c>
      <c r="C2323" t="s">
        <v>331</v>
      </c>
      <c r="D2323" t="s">
        <v>6649</v>
      </c>
      <c r="E2323" t="s">
        <v>1113</v>
      </c>
      <c r="F2323" t="s">
        <v>7629</v>
      </c>
      <c r="H2323">
        <v>86000</v>
      </c>
    </row>
    <row r="2324" spans="1:8" x14ac:dyDescent="0.3">
      <c r="A2324" t="str">
        <f t="shared" si="37"/>
        <v>13Wakefield</v>
      </c>
      <c r="B2324">
        <v>13</v>
      </c>
      <c r="C2324" t="s">
        <v>331</v>
      </c>
      <c r="D2324" t="s">
        <v>6654</v>
      </c>
      <c r="E2324" t="s">
        <v>1113</v>
      </c>
      <c r="F2324" t="s">
        <v>7637</v>
      </c>
      <c r="H2324">
        <v>42000</v>
      </c>
    </row>
    <row r="2325" spans="1:8" x14ac:dyDescent="0.3">
      <c r="A2325" t="str">
        <f t="shared" si="37"/>
        <v>14Wakefield</v>
      </c>
      <c r="B2325">
        <v>14</v>
      </c>
      <c r="C2325" t="s">
        <v>331</v>
      </c>
      <c r="D2325" t="s">
        <v>5039</v>
      </c>
      <c r="E2325" t="s">
        <v>806</v>
      </c>
      <c r="F2325" t="s">
        <v>807</v>
      </c>
      <c r="H2325">
        <v>400000</v>
      </c>
    </row>
    <row r="2326" spans="1:8" x14ac:dyDescent="0.3">
      <c r="A2326" t="str">
        <f t="shared" si="37"/>
        <v>15Wakefield</v>
      </c>
      <c r="B2326">
        <v>15</v>
      </c>
      <c r="C2326" t="s">
        <v>331</v>
      </c>
      <c r="D2326" t="s">
        <v>9490</v>
      </c>
      <c r="E2326" t="s">
        <v>7657</v>
      </c>
      <c r="F2326" t="s">
        <v>7644</v>
      </c>
      <c r="H2326">
        <v>13000</v>
      </c>
    </row>
    <row r="2327" spans="1:8" x14ac:dyDescent="0.3">
      <c r="A2327" t="str">
        <f t="shared" si="37"/>
        <v>16Wakefield</v>
      </c>
      <c r="B2327">
        <v>16</v>
      </c>
      <c r="C2327" t="s">
        <v>331</v>
      </c>
      <c r="D2327" t="s">
        <v>9491</v>
      </c>
      <c r="E2327" t="s">
        <v>1106</v>
      </c>
      <c r="F2327" t="s">
        <v>7628</v>
      </c>
      <c r="H2327">
        <v>347000</v>
      </c>
    </row>
    <row r="2328" spans="1:8" x14ac:dyDescent="0.3">
      <c r="A2328" t="str">
        <f t="shared" si="37"/>
        <v>17Wakefield</v>
      </c>
      <c r="B2328">
        <v>17</v>
      </c>
      <c r="C2328" t="s">
        <v>331</v>
      </c>
      <c r="D2328" t="s">
        <v>6646</v>
      </c>
      <c r="E2328" t="s">
        <v>842</v>
      </c>
      <c r="F2328" t="s">
        <v>7636</v>
      </c>
      <c r="H2328">
        <v>192000</v>
      </c>
    </row>
    <row r="2329" spans="1:8" x14ac:dyDescent="0.3">
      <c r="A2329" t="str">
        <f t="shared" si="37"/>
        <v>18Wakefield</v>
      </c>
      <c r="B2329">
        <v>18</v>
      </c>
      <c r="C2329" t="s">
        <v>331</v>
      </c>
      <c r="D2329" t="s">
        <v>9492</v>
      </c>
      <c r="E2329" t="s">
        <v>7662</v>
      </c>
      <c r="F2329" t="s">
        <v>7704</v>
      </c>
      <c r="H2329">
        <v>27000</v>
      </c>
    </row>
    <row r="2330" spans="1:8" x14ac:dyDescent="0.3">
      <c r="A2330" t="str">
        <f t="shared" si="37"/>
        <v>19Wakefield</v>
      </c>
      <c r="B2330">
        <v>19</v>
      </c>
      <c r="C2330" t="s">
        <v>331</v>
      </c>
      <c r="D2330" t="s">
        <v>9492</v>
      </c>
      <c r="E2330" t="s">
        <v>842</v>
      </c>
      <c r="F2330" t="s">
        <v>843</v>
      </c>
      <c r="H2330">
        <v>55000</v>
      </c>
    </row>
    <row r="2331" spans="1:8" x14ac:dyDescent="0.3">
      <c r="A2331" t="str">
        <f t="shared" si="37"/>
        <v>20Wakefield</v>
      </c>
      <c r="B2331">
        <v>20</v>
      </c>
      <c r="C2331" t="s">
        <v>331</v>
      </c>
      <c r="D2331" t="s">
        <v>9492</v>
      </c>
      <c r="E2331" t="s">
        <v>812</v>
      </c>
      <c r="F2331" t="s">
        <v>7704</v>
      </c>
      <c r="H2331">
        <v>46063</v>
      </c>
    </row>
    <row r="2332" spans="1:8" x14ac:dyDescent="0.3">
      <c r="A2332" t="str">
        <f t="shared" si="37"/>
        <v>21Wakefield</v>
      </c>
      <c r="B2332">
        <v>21</v>
      </c>
      <c r="C2332" t="s">
        <v>331</v>
      </c>
      <c r="D2332" t="s">
        <v>9493</v>
      </c>
      <c r="E2332" t="s">
        <v>7662</v>
      </c>
      <c r="F2332" t="s">
        <v>7704</v>
      </c>
      <c r="H2332">
        <v>6000</v>
      </c>
    </row>
    <row r="2333" spans="1:8" x14ac:dyDescent="0.3">
      <c r="A2333" t="str">
        <f t="shared" si="37"/>
        <v>22Wakefield</v>
      </c>
      <c r="B2333">
        <v>22</v>
      </c>
      <c r="C2333" t="s">
        <v>331</v>
      </c>
      <c r="D2333" t="s">
        <v>9494</v>
      </c>
      <c r="E2333" t="s">
        <v>800</v>
      </c>
      <c r="F2333" t="s">
        <v>903</v>
      </c>
      <c r="H2333">
        <v>523000</v>
      </c>
    </row>
    <row r="2334" spans="1:8" x14ac:dyDescent="0.3">
      <c r="A2334" t="str">
        <f t="shared" si="37"/>
        <v>23Wakefield</v>
      </c>
      <c r="B2334">
        <v>23</v>
      </c>
      <c r="C2334" t="s">
        <v>331</v>
      </c>
      <c r="D2334" t="s">
        <v>9495</v>
      </c>
      <c r="E2334" t="s">
        <v>5266</v>
      </c>
      <c r="F2334" t="s">
        <v>7639</v>
      </c>
      <c r="H2334">
        <v>481000</v>
      </c>
    </row>
    <row r="2335" spans="1:8" x14ac:dyDescent="0.3">
      <c r="A2335" t="str">
        <f t="shared" si="37"/>
        <v>1Walsall</v>
      </c>
      <c r="B2335">
        <v>1</v>
      </c>
      <c r="C2335" t="s">
        <v>333</v>
      </c>
      <c r="D2335" t="s">
        <v>9496</v>
      </c>
      <c r="E2335" t="s">
        <v>1106</v>
      </c>
      <c r="F2335" t="s">
        <v>812</v>
      </c>
      <c r="H2335">
        <v>75300</v>
      </c>
    </row>
    <row r="2336" spans="1:8" x14ac:dyDescent="0.3">
      <c r="A2336" t="str">
        <f t="shared" si="37"/>
        <v>2Walsall</v>
      </c>
      <c r="B2336">
        <v>2</v>
      </c>
      <c r="C2336" t="s">
        <v>333</v>
      </c>
      <c r="D2336" t="s">
        <v>9496</v>
      </c>
      <c r="E2336" t="s">
        <v>1106</v>
      </c>
      <c r="F2336" t="s">
        <v>7628</v>
      </c>
      <c r="H2336">
        <v>1049407</v>
      </c>
    </row>
    <row r="2337" spans="1:8" x14ac:dyDescent="0.3">
      <c r="A2337" t="str">
        <f t="shared" si="37"/>
        <v>3Walsall</v>
      </c>
      <c r="B2337">
        <v>3</v>
      </c>
      <c r="C2337" t="s">
        <v>333</v>
      </c>
      <c r="D2337" t="s">
        <v>9497</v>
      </c>
      <c r="E2337" t="s">
        <v>1113</v>
      </c>
      <c r="F2337" t="s">
        <v>7629</v>
      </c>
      <c r="H2337">
        <v>1033103</v>
      </c>
    </row>
    <row r="2338" spans="1:8" x14ac:dyDescent="0.3">
      <c r="A2338" t="str">
        <f t="shared" si="37"/>
        <v>4Walsall</v>
      </c>
      <c r="B2338">
        <v>4</v>
      </c>
      <c r="C2338" t="s">
        <v>333</v>
      </c>
      <c r="D2338" t="s">
        <v>9498</v>
      </c>
      <c r="E2338" t="s">
        <v>800</v>
      </c>
      <c r="F2338" t="s">
        <v>903</v>
      </c>
      <c r="H2338">
        <v>148153</v>
      </c>
    </row>
    <row r="2339" spans="1:8" x14ac:dyDescent="0.3">
      <c r="A2339" t="str">
        <f t="shared" si="37"/>
        <v>5Walsall</v>
      </c>
      <c r="B2339">
        <v>5</v>
      </c>
      <c r="C2339" t="s">
        <v>333</v>
      </c>
      <c r="D2339" t="s">
        <v>9499</v>
      </c>
      <c r="E2339" t="s">
        <v>800</v>
      </c>
      <c r="F2339" t="s">
        <v>903</v>
      </c>
      <c r="H2339">
        <v>13593</v>
      </c>
    </row>
    <row r="2340" spans="1:8" x14ac:dyDescent="0.3">
      <c r="A2340" t="str">
        <f t="shared" si="37"/>
        <v>6Walsall</v>
      </c>
      <c r="B2340">
        <v>6</v>
      </c>
      <c r="C2340" t="s">
        <v>333</v>
      </c>
      <c r="D2340" t="s">
        <v>9500</v>
      </c>
      <c r="E2340" t="s">
        <v>7662</v>
      </c>
      <c r="H2340">
        <v>25631</v>
      </c>
    </row>
    <row r="2341" spans="1:8" x14ac:dyDescent="0.3">
      <c r="A2341" t="str">
        <f t="shared" si="37"/>
        <v>7Walsall</v>
      </c>
      <c r="B2341">
        <v>7</v>
      </c>
      <c r="C2341" t="s">
        <v>333</v>
      </c>
      <c r="D2341" t="s">
        <v>9501</v>
      </c>
      <c r="E2341" t="s">
        <v>800</v>
      </c>
      <c r="F2341" t="s">
        <v>812</v>
      </c>
      <c r="H2341">
        <v>218000</v>
      </c>
    </row>
    <row r="2342" spans="1:8" x14ac:dyDescent="0.3">
      <c r="A2342" t="str">
        <f t="shared" si="37"/>
        <v>1Waltham Forest</v>
      </c>
      <c r="B2342">
        <v>1</v>
      </c>
      <c r="C2342" t="s">
        <v>335</v>
      </c>
      <c r="D2342" t="s">
        <v>9502</v>
      </c>
      <c r="E2342" t="s">
        <v>7662</v>
      </c>
      <c r="H2342">
        <v>17243</v>
      </c>
    </row>
    <row r="2343" spans="1:8" x14ac:dyDescent="0.3">
      <c r="A2343" t="str">
        <f t="shared" si="37"/>
        <v>2Waltham Forest</v>
      </c>
      <c r="B2343">
        <v>2</v>
      </c>
      <c r="C2343" t="s">
        <v>335</v>
      </c>
      <c r="D2343" t="s">
        <v>7870</v>
      </c>
      <c r="E2343" t="s">
        <v>1106</v>
      </c>
      <c r="F2343" t="s">
        <v>7628</v>
      </c>
      <c r="H2343">
        <v>890000</v>
      </c>
    </row>
    <row r="2344" spans="1:8" x14ac:dyDescent="0.3">
      <c r="A2344" t="str">
        <f t="shared" si="37"/>
        <v>3Waltham Forest</v>
      </c>
      <c r="B2344">
        <v>3</v>
      </c>
      <c r="C2344" t="s">
        <v>335</v>
      </c>
      <c r="D2344" t="s">
        <v>9503</v>
      </c>
      <c r="E2344" t="s">
        <v>7658</v>
      </c>
      <c r="H2344">
        <v>15000</v>
      </c>
    </row>
    <row r="2345" spans="1:8" x14ac:dyDescent="0.3">
      <c r="A2345" t="str">
        <f t="shared" si="37"/>
        <v>4Waltham Forest</v>
      </c>
      <c r="B2345">
        <v>4</v>
      </c>
      <c r="C2345" t="s">
        <v>335</v>
      </c>
      <c r="D2345" t="s">
        <v>1051</v>
      </c>
      <c r="E2345" t="s">
        <v>800</v>
      </c>
      <c r="F2345" t="s">
        <v>903</v>
      </c>
      <c r="H2345">
        <v>500000</v>
      </c>
    </row>
    <row r="2346" spans="1:8" x14ac:dyDescent="0.3">
      <c r="A2346" t="str">
        <f t="shared" si="37"/>
        <v>5Waltham Forest</v>
      </c>
      <c r="B2346">
        <v>5</v>
      </c>
      <c r="C2346" t="s">
        <v>335</v>
      </c>
      <c r="D2346" t="s">
        <v>9504</v>
      </c>
      <c r="E2346" t="s">
        <v>7657</v>
      </c>
      <c r="F2346" t="s">
        <v>7632</v>
      </c>
      <c r="H2346">
        <v>60000</v>
      </c>
    </row>
    <row r="2347" spans="1:8" x14ac:dyDescent="0.3">
      <c r="A2347" t="str">
        <f t="shared" si="37"/>
        <v>6Waltham Forest</v>
      </c>
      <c r="B2347">
        <v>6</v>
      </c>
      <c r="C2347" t="s">
        <v>335</v>
      </c>
      <c r="D2347" t="s">
        <v>434</v>
      </c>
      <c r="E2347" t="s">
        <v>1113</v>
      </c>
      <c r="F2347" t="s">
        <v>7629</v>
      </c>
      <c r="H2347">
        <v>494052</v>
      </c>
    </row>
    <row r="2348" spans="1:8" x14ac:dyDescent="0.3">
      <c r="A2348" t="str">
        <f t="shared" si="37"/>
        <v>1Wandsworth</v>
      </c>
      <c r="B2348">
        <v>1</v>
      </c>
      <c r="C2348" t="s">
        <v>337</v>
      </c>
      <c r="D2348" t="s">
        <v>6749</v>
      </c>
      <c r="E2348" t="s">
        <v>800</v>
      </c>
      <c r="F2348" t="s">
        <v>903</v>
      </c>
      <c r="H2348">
        <v>461713</v>
      </c>
    </row>
    <row r="2349" spans="1:8" x14ac:dyDescent="0.3">
      <c r="A2349" t="str">
        <f t="shared" si="37"/>
        <v>2Wandsworth</v>
      </c>
      <c r="B2349">
        <v>2</v>
      </c>
      <c r="C2349" t="s">
        <v>337</v>
      </c>
      <c r="D2349" t="s">
        <v>7748</v>
      </c>
      <c r="E2349" t="s">
        <v>842</v>
      </c>
      <c r="F2349" t="s">
        <v>7636</v>
      </c>
      <c r="H2349">
        <v>317230</v>
      </c>
    </row>
    <row r="2350" spans="1:8" x14ac:dyDescent="0.3">
      <c r="A2350" t="str">
        <f t="shared" si="37"/>
        <v>3Wandsworth</v>
      </c>
      <c r="B2350">
        <v>3</v>
      </c>
      <c r="C2350" t="s">
        <v>337</v>
      </c>
      <c r="D2350" t="s">
        <v>6763</v>
      </c>
      <c r="E2350" t="s">
        <v>806</v>
      </c>
      <c r="F2350" t="s">
        <v>807</v>
      </c>
      <c r="H2350">
        <v>382638</v>
      </c>
    </row>
    <row r="2351" spans="1:8" x14ac:dyDescent="0.3">
      <c r="A2351" t="str">
        <f t="shared" si="37"/>
        <v>4Wandsworth</v>
      </c>
      <c r="B2351">
        <v>4</v>
      </c>
      <c r="C2351" t="s">
        <v>337</v>
      </c>
      <c r="D2351" t="s">
        <v>9023</v>
      </c>
      <c r="E2351" t="s">
        <v>806</v>
      </c>
      <c r="F2351" t="s">
        <v>917</v>
      </c>
      <c r="H2351">
        <v>86800</v>
      </c>
    </row>
    <row r="2352" spans="1:8" x14ac:dyDescent="0.3">
      <c r="A2352" t="str">
        <f t="shared" si="37"/>
        <v>5Wandsworth</v>
      </c>
      <c r="B2352">
        <v>5</v>
      </c>
      <c r="C2352" t="s">
        <v>337</v>
      </c>
      <c r="D2352" t="s">
        <v>9024</v>
      </c>
      <c r="E2352" t="s">
        <v>7649</v>
      </c>
      <c r="F2352" t="s">
        <v>7638</v>
      </c>
      <c r="H2352">
        <v>359471</v>
      </c>
    </row>
    <row r="2353" spans="1:8" x14ac:dyDescent="0.3">
      <c r="A2353" t="str">
        <f t="shared" si="37"/>
        <v>6Wandsworth</v>
      </c>
      <c r="B2353">
        <v>6</v>
      </c>
      <c r="C2353" t="s">
        <v>337</v>
      </c>
      <c r="D2353" t="s">
        <v>9025</v>
      </c>
      <c r="E2353" t="s">
        <v>806</v>
      </c>
      <c r="F2353" t="s">
        <v>812</v>
      </c>
      <c r="H2353">
        <v>503000</v>
      </c>
    </row>
    <row r="2354" spans="1:8" x14ac:dyDescent="0.3">
      <c r="A2354" t="str">
        <f t="shared" si="37"/>
        <v>7Wandsworth</v>
      </c>
      <c r="B2354">
        <v>7</v>
      </c>
      <c r="C2354" t="s">
        <v>337</v>
      </c>
      <c r="D2354" t="s">
        <v>9026</v>
      </c>
      <c r="E2354" t="s">
        <v>7657</v>
      </c>
      <c r="F2354" t="s">
        <v>7632</v>
      </c>
      <c r="H2354">
        <v>428841</v>
      </c>
    </row>
    <row r="2355" spans="1:8" x14ac:dyDescent="0.3">
      <c r="A2355" t="str">
        <f t="shared" si="37"/>
        <v>1Warrington</v>
      </c>
      <c r="B2355">
        <v>1</v>
      </c>
      <c r="C2355" t="s">
        <v>339</v>
      </c>
      <c r="D2355" t="s">
        <v>9505</v>
      </c>
      <c r="E2355" t="s">
        <v>1106</v>
      </c>
      <c r="F2355" t="s">
        <v>7628</v>
      </c>
      <c r="H2355">
        <v>440000</v>
      </c>
    </row>
    <row r="2356" spans="1:8" x14ac:dyDescent="0.3">
      <c r="A2356" t="str">
        <f t="shared" si="37"/>
        <v>2Warrington</v>
      </c>
      <c r="B2356">
        <v>2</v>
      </c>
      <c r="C2356" t="s">
        <v>339</v>
      </c>
      <c r="D2356" t="s">
        <v>9506</v>
      </c>
      <c r="E2356" t="s">
        <v>7662</v>
      </c>
      <c r="H2356">
        <v>14500</v>
      </c>
    </row>
    <row r="2357" spans="1:8" x14ac:dyDescent="0.3">
      <c r="A2357" t="str">
        <f t="shared" si="37"/>
        <v>3Warrington</v>
      </c>
      <c r="B2357">
        <v>3</v>
      </c>
      <c r="C2357" t="s">
        <v>339</v>
      </c>
      <c r="D2357" t="s">
        <v>9507</v>
      </c>
      <c r="E2357" t="s">
        <v>806</v>
      </c>
      <c r="F2357" t="s">
        <v>917</v>
      </c>
      <c r="H2357">
        <v>150000</v>
      </c>
    </row>
    <row r="2358" spans="1:8" x14ac:dyDescent="0.3">
      <c r="A2358" t="str">
        <f t="shared" si="37"/>
        <v>4Warrington</v>
      </c>
      <c r="B2358">
        <v>4</v>
      </c>
      <c r="C2358" t="s">
        <v>339</v>
      </c>
      <c r="D2358" t="s">
        <v>9508</v>
      </c>
      <c r="E2358" t="s">
        <v>842</v>
      </c>
      <c r="F2358" t="s">
        <v>7636</v>
      </c>
      <c r="H2358">
        <v>120000</v>
      </c>
    </row>
    <row r="2359" spans="1:8" x14ac:dyDescent="0.3">
      <c r="A2359" t="str">
        <f t="shared" si="37"/>
        <v>5Warrington</v>
      </c>
      <c r="B2359">
        <v>5</v>
      </c>
      <c r="C2359" t="s">
        <v>339</v>
      </c>
      <c r="D2359" t="s">
        <v>9509</v>
      </c>
      <c r="E2359" t="s">
        <v>1113</v>
      </c>
      <c r="F2359" t="s">
        <v>812</v>
      </c>
      <c r="H2359">
        <v>363500</v>
      </c>
    </row>
    <row r="2360" spans="1:8" x14ac:dyDescent="0.3">
      <c r="A2360" t="str">
        <f t="shared" si="37"/>
        <v>6Warrington</v>
      </c>
      <c r="B2360">
        <v>6</v>
      </c>
      <c r="C2360" t="s">
        <v>339</v>
      </c>
      <c r="D2360" t="s">
        <v>9510</v>
      </c>
      <c r="E2360" t="s">
        <v>806</v>
      </c>
      <c r="F2360" t="s">
        <v>807</v>
      </c>
      <c r="H2360">
        <v>50000</v>
      </c>
    </row>
    <row r="2361" spans="1:8" x14ac:dyDescent="0.3">
      <c r="A2361" t="str">
        <f t="shared" si="37"/>
        <v>7Warrington</v>
      </c>
      <c r="B2361">
        <v>7</v>
      </c>
      <c r="C2361" t="s">
        <v>339</v>
      </c>
      <c r="D2361" t="s">
        <v>9511</v>
      </c>
      <c r="E2361" t="s">
        <v>806</v>
      </c>
      <c r="F2361" t="s">
        <v>917</v>
      </c>
      <c r="H2361">
        <v>107500</v>
      </c>
    </row>
    <row r="2362" spans="1:8" x14ac:dyDescent="0.3">
      <c r="A2362" t="str">
        <f t="shared" si="37"/>
        <v>8Warrington</v>
      </c>
      <c r="B2362">
        <v>8</v>
      </c>
      <c r="C2362" t="s">
        <v>339</v>
      </c>
      <c r="D2362" t="s">
        <v>9512</v>
      </c>
      <c r="E2362" t="s">
        <v>812</v>
      </c>
      <c r="H2362">
        <v>154000</v>
      </c>
    </row>
    <row r="2363" spans="1:8" x14ac:dyDescent="0.3">
      <c r="A2363" t="str">
        <f t="shared" si="37"/>
        <v>9Warrington</v>
      </c>
      <c r="B2363">
        <v>9</v>
      </c>
      <c r="C2363" t="s">
        <v>339</v>
      </c>
      <c r="D2363" t="s">
        <v>9513</v>
      </c>
      <c r="E2363" t="s">
        <v>1113</v>
      </c>
      <c r="F2363" t="s">
        <v>7637</v>
      </c>
      <c r="H2363">
        <v>182000</v>
      </c>
    </row>
    <row r="2364" spans="1:8" x14ac:dyDescent="0.3">
      <c r="A2364" t="str">
        <f t="shared" si="37"/>
        <v>10Warrington</v>
      </c>
      <c r="B2364">
        <v>10</v>
      </c>
      <c r="C2364" t="s">
        <v>339</v>
      </c>
      <c r="D2364" t="s">
        <v>9514</v>
      </c>
      <c r="E2364" t="s">
        <v>806</v>
      </c>
      <c r="F2364" t="s">
        <v>807</v>
      </c>
      <c r="H2364">
        <v>412000</v>
      </c>
    </row>
    <row r="2365" spans="1:8" x14ac:dyDescent="0.3">
      <c r="A2365" t="str">
        <f t="shared" si="37"/>
        <v>11Warrington</v>
      </c>
      <c r="B2365">
        <v>11</v>
      </c>
      <c r="C2365" t="s">
        <v>339</v>
      </c>
      <c r="D2365" t="s">
        <v>9515</v>
      </c>
      <c r="E2365" t="s">
        <v>842</v>
      </c>
      <c r="F2365" t="s">
        <v>812</v>
      </c>
      <c r="H2365">
        <v>35000</v>
      </c>
    </row>
    <row r="2366" spans="1:8" x14ac:dyDescent="0.3">
      <c r="A2366" t="str">
        <f t="shared" si="37"/>
        <v>12Warrington</v>
      </c>
      <c r="B2366">
        <v>12</v>
      </c>
      <c r="C2366" t="s">
        <v>339</v>
      </c>
      <c r="D2366" t="s">
        <v>9516</v>
      </c>
      <c r="E2366" t="s">
        <v>812</v>
      </c>
      <c r="H2366">
        <v>40000</v>
      </c>
    </row>
    <row r="2367" spans="1:8" x14ac:dyDescent="0.3">
      <c r="A2367" t="str">
        <f t="shared" si="37"/>
        <v>1Warwickshire</v>
      </c>
      <c r="B2367">
        <v>1</v>
      </c>
      <c r="C2367" t="s">
        <v>341</v>
      </c>
      <c r="D2367" t="s">
        <v>9517</v>
      </c>
      <c r="E2367" t="s">
        <v>800</v>
      </c>
      <c r="F2367" t="s">
        <v>812</v>
      </c>
      <c r="H2367">
        <v>67200</v>
      </c>
    </row>
    <row r="2368" spans="1:8" x14ac:dyDescent="0.3">
      <c r="A2368" t="str">
        <f t="shared" si="37"/>
        <v>2Warwickshire</v>
      </c>
      <c r="B2368">
        <v>2</v>
      </c>
      <c r="C2368" t="s">
        <v>341</v>
      </c>
      <c r="D2368" t="s">
        <v>9518</v>
      </c>
      <c r="E2368" t="s">
        <v>842</v>
      </c>
      <c r="F2368" t="s">
        <v>7636</v>
      </c>
      <c r="H2368">
        <v>183500</v>
      </c>
    </row>
    <row r="2369" spans="1:8" x14ac:dyDescent="0.3">
      <c r="A2369" t="str">
        <f t="shared" si="37"/>
        <v>3Warwickshire</v>
      </c>
      <c r="B2369">
        <v>3</v>
      </c>
      <c r="C2369" t="s">
        <v>341</v>
      </c>
      <c r="D2369" t="s">
        <v>9519</v>
      </c>
      <c r="E2369" t="s">
        <v>842</v>
      </c>
      <c r="F2369" t="s">
        <v>7636</v>
      </c>
      <c r="H2369">
        <v>36000</v>
      </c>
    </row>
    <row r="2370" spans="1:8" x14ac:dyDescent="0.3">
      <c r="A2370" t="str">
        <f t="shared" si="37"/>
        <v>4Warwickshire</v>
      </c>
      <c r="B2370">
        <v>4</v>
      </c>
      <c r="C2370" t="s">
        <v>341</v>
      </c>
      <c r="D2370" t="s">
        <v>9520</v>
      </c>
      <c r="E2370" t="s">
        <v>1106</v>
      </c>
      <c r="F2370" t="s">
        <v>7628</v>
      </c>
      <c r="H2370">
        <v>236333</v>
      </c>
    </row>
    <row r="2371" spans="1:8" x14ac:dyDescent="0.3">
      <c r="A2371" t="str">
        <f t="shared" si="37"/>
        <v>5Warwickshire</v>
      </c>
      <c r="B2371">
        <v>5</v>
      </c>
      <c r="C2371" t="s">
        <v>341</v>
      </c>
      <c r="D2371" t="s">
        <v>9521</v>
      </c>
      <c r="E2371" t="s">
        <v>1113</v>
      </c>
      <c r="F2371" t="s">
        <v>7629</v>
      </c>
      <c r="H2371">
        <v>296520</v>
      </c>
    </row>
    <row r="2372" spans="1:8" x14ac:dyDescent="0.3">
      <c r="A2372" t="str">
        <f t="shared" si="37"/>
        <v>6Warwickshire</v>
      </c>
      <c r="B2372">
        <v>6</v>
      </c>
      <c r="C2372" t="s">
        <v>341</v>
      </c>
      <c r="D2372" t="s">
        <v>9522</v>
      </c>
      <c r="E2372" t="s">
        <v>842</v>
      </c>
      <c r="F2372" t="s">
        <v>7636</v>
      </c>
      <c r="H2372">
        <v>639583</v>
      </c>
    </row>
    <row r="2373" spans="1:8" x14ac:dyDescent="0.3">
      <c r="A2373" t="str">
        <f t="shared" si="37"/>
        <v>7Warwickshire</v>
      </c>
      <c r="B2373">
        <v>7</v>
      </c>
      <c r="C2373" t="s">
        <v>341</v>
      </c>
      <c r="D2373" t="s">
        <v>9523</v>
      </c>
      <c r="E2373" t="s">
        <v>842</v>
      </c>
      <c r="F2373" t="s">
        <v>7636</v>
      </c>
      <c r="H2373">
        <v>218400</v>
      </c>
    </row>
    <row r="2374" spans="1:8" x14ac:dyDescent="0.3">
      <c r="A2374" t="str">
        <f t="shared" si="37"/>
        <v>8Warwickshire</v>
      </c>
      <c r="B2374">
        <v>8</v>
      </c>
      <c r="C2374" t="s">
        <v>341</v>
      </c>
      <c r="D2374" t="s">
        <v>9524</v>
      </c>
      <c r="E2374" t="s">
        <v>7649</v>
      </c>
      <c r="F2374" t="s">
        <v>7638</v>
      </c>
      <c r="H2374">
        <v>1247592</v>
      </c>
    </row>
    <row r="2375" spans="1:8" x14ac:dyDescent="0.3">
      <c r="A2375" t="str">
        <f t="shared" ref="A2375:A2438" si="38">B2375&amp;C2375</f>
        <v>9Warwickshire</v>
      </c>
      <c r="B2375">
        <v>9</v>
      </c>
      <c r="C2375" t="s">
        <v>341</v>
      </c>
      <c r="D2375" t="s">
        <v>9525</v>
      </c>
      <c r="E2375" t="s">
        <v>7662</v>
      </c>
      <c r="F2375" t="s">
        <v>7704</v>
      </c>
      <c r="H2375">
        <v>9600</v>
      </c>
    </row>
    <row r="2376" spans="1:8" x14ac:dyDescent="0.3">
      <c r="A2376" t="str">
        <f t="shared" si="38"/>
        <v>10Warwickshire</v>
      </c>
      <c r="B2376">
        <v>10</v>
      </c>
      <c r="C2376" t="s">
        <v>341</v>
      </c>
      <c r="D2376" t="s">
        <v>9526</v>
      </c>
      <c r="E2376" t="s">
        <v>7657</v>
      </c>
      <c r="F2376" t="s">
        <v>7632</v>
      </c>
      <c r="H2376">
        <v>146000</v>
      </c>
    </row>
    <row r="2377" spans="1:8" x14ac:dyDescent="0.3">
      <c r="A2377" t="str">
        <f t="shared" si="38"/>
        <v>11Warwickshire</v>
      </c>
      <c r="B2377">
        <v>11</v>
      </c>
      <c r="C2377" t="s">
        <v>341</v>
      </c>
      <c r="D2377" t="s">
        <v>9527</v>
      </c>
      <c r="E2377" t="s">
        <v>1113</v>
      </c>
      <c r="F2377" t="s">
        <v>7629</v>
      </c>
      <c r="H2377">
        <v>18000</v>
      </c>
    </row>
    <row r="2378" spans="1:8" x14ac:dyDescent="0.3">
      <c r="A2378" t="str">
        <f t="shared" si="38"/>
        <v>12Warwickshire</v>
      </c>
      <c r="B2378">
        <v>12</v>
      </c>
      <c r="C2378" t="s">
        <v>341</v>
      </c>
      <c r="D2378" t="s">
        <v>9528</v>
      </c>
      <c r="E2378" t="s">
        <v>7657</v>
      </c>
      <c r="F2378" t="s">
        <v>7632</v>
      </c>
      <c r="H2378">
        <v>200000</v>
      </c>
    </row>
    <row r="2379" spans="1:8" x14ac:dyDescent="0.3">
      <c r="A2379" t="str">
        <f t="shared" si="38"/>
        <v>13Warwickshire</v>
      </c>
      <c r="B2379">
        <v>13</v>
      </c>
      <c r="C2379" t="s">
        <v>341</v>
      </c>
      <c r="D2379" t="s">
        <v>9529</v>
      </c>
      <c r="E2379" t="s">
        <v>800</v>
      </c>
      <c r="F2379" t="s">
        <v>903</v>
      </c>
      <c r="H2379">
        <v>56000</v>
      </c>
    </row>
    <row r="2380" spans="1:8" x14ac:dyDescent="0.3">
      <c r="A2380" t="str">
        <f t="shared" si="38"/>
        <v>14Warwickshire</v>
      </c>
      <c r="B2380">
        <v>14</v>
      </c>
      <c r="C2380" t="s">
        <v>341</v>
      </c>
      <c r="D2380" t="s">
        <v>9530</v>
      </c>
      <c r="E2380" t="s">
        <v>806</v>
      </c>
      <c r="F2380" t="s">
        <v>807</v>
      </c>
      <c r="H2380">
        <v>1222570</v>
      </c>
    </row>
    <row r="2381" spans="1:8" x14ac:dyDescent="0.3">
      <c r="A2381" t="str">
        <f t="shared" si="38"/>
        <v>15Warwickshire</v>
      </c>
      <c r="B2381">
        <v>15</v>
      </c>
      <c r="C2381" t="s">
        <v>341</v>
      </c>
      <c r="D2381" t="s">
        <v>9531</v>
      </c>
      <c r="E2381" t="s">
        <v>806</v>
      </c>
      <c r="F2381" t="s">
        <v>807</v>
      </c>
      <c r="H2381">
        <v>20000</v>
      </c>
    </row>
    <row r="2382" spans="1:8" x14ac:dyDescent="0.3">
      <c r="A2382" t="str">
        <f t="shared" si="38"/>
        <v>16Warwickshire</v>
      </c>
      <c r="B2382">
        <v>16</v>
      </c>
      <c r="C2382" t="s">
        <v>341</v>
      </c>
      <c r="D2382" t="s">
        <v>9532</v>
      </c>
      <c r="E2382" t="s">
        <v>806</v>
      </c>
      <c r="F2382" t="s">
        <v>807</v>
      </c>
      <c r="H2382">
        <v>193746</v>
      </c>
    </row>
    <row r="2383" spans="1:8" x14ac:dyDescent="0.3">
      <c r="A2383" t="str">
        <f t="shared" si="38"/>
        <v>17Warwickshire</v>
      </c>
      <c r="B2383">
        <v>17</v>
      </c>
      <c r="C2383" t="s">
        <v>341</v>
      </c>
      <c r="D2383" t="s">
        <v>9533</v>
      </c>
      <c r="E2383" t="s">
        <v>1106</v>
      </c>
      <c r="F2383" t="s">
        <v>7628</v>
      </c>
      <c r="H2383">
        <v>100000</v>
      </c>
    </row>
    <row r="2384" spans="1:8" x14ac:dyDescent="0.3">
      <c r="A2384" t="str">
        <f t="shared" si="38"/>
        <v>18Warwickshire</v>
      </c>
      <c r="B2384">
        <v>18</v>
      </c>
      <c r="C2384" t="s">
        <v>341</v>
      </c>
      <c r="D2384" t="s">
        <v>9534</v>
      </c>
      <c r="E2384" t="s">
        <v>806</v>
      </c>
      <c r="F2384" t="s">
        <v>917</v>
      </c>
      <c r="H2384">
        <v>259500</v>
      </c>
    </row>
    <row r="2385" spans="1:8" x14ac:dyDescent="0.3">
      <c r="A2385" t="str">
        <f t="shared" si="38"/>
        <v>19Warwickshire</v>
      </c>
      <c r="B2385">
        <v>19</v>
      </c>
      <c r="C2385" t="s">
        <v>341</v>
      </c>
      <c r="D2385" t="s">
        <v>9535</v>
      </c>
      <c r="E2385" t="s">
        <v>806</v>
      </c>
      <c r="F2385" t="s">
        <v>917</v>
      </c>
      <c r="H2385">
        <v>43700</v>
      </c>
    </row>
    <row r="2386" spans="1:8" x14ac:dyDescent="0.3">
      <c r="A2386" t="str">
        <f t="shared" si="38"/>
        <v>20Warwickshire</v>
      </c>
      <c r="B2386">
        <v>20</v>
      </c>
      <c r="C2386" t="s">
        <v>341</v>
      </c>
      <c r="D2386" t="s">
        <v>9536</v>
      </c>
      <c r="E2386" t="s">
        <v>806</v>
      </c>
      <c r="F2386" t="s">
        <v>917</v>
      </c>
      <c r="H2386">
        <v>383700</v>
      </c>
    </row>
    <row r="2387" spans="1:8" x14ac:dyDescent="0.3">
      <c r="A2387" t="str">
        <f t="shared" si="38"/>
        <v>21Warwickshire</v>
      </c>
      <c r="B2387">
        <v>21</v>
      </c>
      <c r="C2387" t="s">
        <v>341</v>
      </c>
      <c r="D2387" t="s">
        <v>9537</v>
      </c>
      <c r="E2387" t="s">
        <v>842</v>
      </c>
      <c r="F2387" t="s">
        <v>1594</v>
      </c>
      <c r="H2387">
        <v>8600</v>
      </c>
    </row>
    <row r="2388" spans="1:8" x14ac:dyDescent="0.3">
      <c r="A2388" t="str">
        <f t="shared" si="38"/>
        <v>22Warwickshire</v>
      </c>
      <c r="B2388">
        <v>22</v>
      </c>
      <c r="C2388" t="s">
        <v>341</v>
      </c>
      <c r="D2388" t="s">
        <v>9538</v>
      </c>
      <c r="E2388" t="s">
        <v>812</v>
      </c>
      <c r="F2388" t="s">
        <v>7704</v>
      </c>
      <c r="H2388">
        <v>374052</v>
      </c>
    </row>
    <row r="2389" spans="1:8" x14ac:dyDescent="0.3">
      <c r="A2389" t="str">
        <f t="shared" si="38"/>
        <v>1West Berkshire</v>
      </c>
      <c r="B2389">
        <v>1</v>
      </c>
      <c r="C2389" t="s">
        <v>343</v>
      </c>
      <c r="D2389" t="s">
        <v>7912</v>
      </c>
      <c r="E2389" t="s">
        <v>7662</v>
      </c>
      <c r="F2389" t="s">
        <v>369</v>
      </c>
      <c r="H2389">
        <v>11844</v>
      </c>
    </row>
    <row r="2390" spans="1:8" x14ac:dyDescent="0.3">
      <c r="A2390" t="str">
        <f t="shared" si="38"/>
        <v>2West Berkshire</v>
      </c>
      <c r="B2390">
        <v>2</v>
      </c>
      <c r="C2390" t="s">
        <v>343</v>
      </c>
      <c r="D2390" t="s">
        <v>9539</v>
      </c>
      <c r="E2390" t="s">
        <v>7660</v>
      </c>
      <c r="F2390" t="s">
        <v>7704</v>
      </c>
      <c r="H2390">
        <v>59334</v>
      </c>
    </row>
    <row r="2391" spans="1:8" x14ac:dyDescent="0.3">
      <c r="A2391" t="str">
        <f t="shared" si="38"/>
        <v>3West Berkshire</v>
      </c>
      <c r="B2391">
        <v>3</v>
      </c>
      <c r="C2391" t="s">
        <v>343</v>
      </c>
      <c r="D2391" t="s">
        <v>5592</v>
      </c>
      <c r="E2391" t="s">
        <v>842</v>
      </c>
      <c r="F2391" t="s">
        <v>7704</v>
      </c>
      <c r="H2391">
        <v>99747</v>
      </c>
    </row>
    <row r="2392" spans="1:8" x14ac:dyDescent="0.3">
      <c r="A2392" t="str">
        <f t="shared" si="38"/>
        <v>4West Berkshire</v>
      </c>
      <c r="B2392">
        <v>4</v>
      </c>
      <c r="C2392" t="s">
        <v>343</v>
      </c>
      <c r="D2392" t="s">
        <v>5592</v>
      </c>
      <c r="E2392" t="s">
        <v>842</v>
      </c>
      <c r="F2392" t="s">
        <v>843</v>
      </c>
      <c r="H2392">
        <v>767253</v>
      </c>
    </row>
    <row r="2393" spans="1:8" x14ac:dyDescent="0.3">
      <c r="A2393" t="str">
        <f t="shared" si="38"/>
        <v>5West Berkshire</v>
      </c>
      <c r="B2393">
        <v>5</v>
      </c>
      <c r="C2393" t="s">
        <v>343</v>
      </c>
      <c r="D2393" t="s">
        <v>9540</v>
      </c>
      <c r="E2393" t="s">
        <v>842</v>
      </c>
      <c r="F2393" t="s">
        <v>812</v>
      </c>
      <c r="H2393">
        <v>9000</v>
      </c>
    </row>
    <row r="2394" spans="1:8" x14ac:dyDescent="0.3">
      <c r="A2394" t="str">
        <f t="shared" si="38"/>
        <v>6West Berkshire</v>
      </c>
      <c r="B2394">
        <v>6</v>
      </c>
      <c r="C2394" t="s">
        <v>343</v>
      </c>
      <c r="D2394" t="s">
        <v>9541</v>
      </c>
      <c r="E2394" t="s">
        <v>5266</v>
      </c>
      <c r="F2394" t="s">
        <v>7631</v>
      </c>
      <c r="H2394">
        <v>150000</v>
      </c>
    </row>
    <row r="2395" spans="1:8" x14ac:dyDescent="0.3">
      <c r="A2395" t="str">
        <f t="shared" si="38"/>
        <v>7West Berkshire</v>
      </c>
      <c r="B2395">
        <v>7</v>
      </c>
      <c r="C2395" t="s">
        <v>343</v>
      </c>
      <c r="D2395" t="s">
        <v>9542</v>
      </c>
      <c r="E2395" t="s">
        <v>7657</v>
      </c>
      <c r="F2395" t="s">
        <v>7632</v>
      </c>
      <c r="H2395">
        <v>23058</v>
      </c>
    </row>
    <row r="2396" spans="1:8" x14ac:dyDescent="0.3">
      <c r="A2396" t="str">
        <f t="shared" si="38"/>
        <v>8West Berkshire</v>
      </c>
      <c r="B2396">
        <v>8</v>
      </c>
      <c r="C2396" t="s">
        <v>343</v>
      </c>
      <c r="D2396" t="s">
        <v>9542</v>
      </c>
      <c r="E2396" t="s">
        <v>7657</v>
      </c>
      <c r="F2396" t="s">
        <v>7644</v>
      </c>
      <c r="H2396">
        <v>23058</v>
      </c>
    </row>
    <row r="2397" spans="1:8" x14ac:dyDescent="0.3">
      <c r="A2397" t="str">
        <f t="shared" si="38"/>
        <v>9West Berkshire</v>
      </c>
      <c r="B2397">
        <v>9</v>
      </c>
      <c r="C2397" t="s">
        <v>343</v>
      </c>
      <c r="D2397" t="s">
        <v>9542</v>
      </c>
      <c r="E2397" t="s">
        <v>7658</v>
      </c>
      <c r="F2397" t="s">
        <v>7704</v>
      </c>
      <c r="H2397">
        <v>23343</v>
      </c>
    </row>
    <row r="2398" spans="1:8" x14ac:dyDescent="0.3">
      <c r="A2398" t="str">
        <f t="shared" si="38"/>
        <v>10West Berkshire</v>
      </c>
      <c r="B2398">
        <v>10</v>
      </c>
      <c r="C2398" t="s">
        <v>343</v>
      </c>
      <c r="D2398" t="s">
        <v>9542</v>
      </c>
      <c r="E2398" t="s">
        <v>7658</v>
      </c>
      <c r="F2398" t="s">
        <v>7644</v>
      </c>
      <c r="H2398">
        <v>17778</v>
      </c>
    </row>
    <row r="2399" spans="1:8" x14ac:dyDescent="0.3">
      <c r="A2399" t="str">
        <f t="shared" si="38"/>
        <v>1West Northamptonshire</v>
      </c>
      <c r="B2399">
        <v>1</v>
      </c>
      <c r="C2399" t="s">
        <v>345</v>
      </c>
      <c r="D2399" t="s">
        <v>9543</v>
      </c>
      <c r="E2399" t="s">
        <v>806</v>
      </c>
      <c r="F2399" t="s">
        <v>917</v>
      </c>
      <c r="H2399">
        <v>187820</v>
      </c>
    </row>
    <row r="2400" spans="1:8" x14ac:dyDescent="0.3">
      <c r="A2400" t="str">
        <f t="shared" si="38"/>
        <v>2West Northamptonshire</v>
      </c>
      <c r="B2400">
        <v>2</v>
      </c>
      <c r="C2400" t="s">
        <v>345</v>
      </c>
      <c r="D2400" t="s">
        <v>9544</v>
      </c>
      <c r="E2400" t="s">
        <v>5266</v>
      </c>
      <c r="F2400" t="s">
        <v>7631</v>
      </c>
      <c r="H2400">
        <v>206000</v>
      </c>
    </row>
    <row r="2401" spans="1:8" x14ac:dyDescent="0.3">
      <c r="A2401" t="str">
        <f t="shared" si="38"/>
        <v>3West Northamptonshire</v>
      </c>
      <c r="B2401">
        <v>3</v>
      </c>
      <c r="C2401" t="s">
        <v>345</v>
      </c>
      <c r="D2401" t="s">
        <v>9545</v>
      </c>
      <c r="E2401" t="s">
        <v>1113</v>
      </c>
      <c r="F2401" t="s">
        <v>7629</v>
      </c>
      <c r="H2401">
        <v>45360</v>
      </c>
    </row>
    <row r="2402" spans="1:8" x14ac:dyDescent="0.3">
      <c r="A2402" t="str">
        <f t="shared" si="38"/>
        <v>4West Northamptonshire</v>
      </c>
      <c r="B2402">
        <v>4</v>
      </c>
      <c r="C2402" t="s">
        <v>345</v>
      </c>
      <c r="D2402" t="s">
        <v>9546</v>
      </c>
      <c r="E2402" t="s">
        <v>1106</v>
      </c>
      <c r="F2402" t="s">
        <v>7628</v>
      </c>
      <c r="H2402">
        <v>36000</v>
      </c>
    </row>
    <row r="2403" spans="1:8" x14ac:dyDescent="0.3">
      <c r="A2403" t="str">
        <f t="shared" si="38"/>
        <v>5West Northamptonshire</v>
      </c>
      <c r="B2403">
        <v>5</v>
      </c>
      <c r="C2403" t="s">
        <v>345</v>
      </c>
      <c r="D2403" t="s">
        <v>9547</v>
      </c>
      <c r="E2403" t="s">
        <v>7657</v>
      </c>
      <c r="F2403" t="s">
        <v>7640</v>
      </c>
      <c r="H2403">
        <v>89850</v>
      </c>
    </row>
    <row r="2404" spans="1:8" x14ac:dyDescent="0.3">
      <c r="A2404" t="str">
        <f t="shared" si="38"/>
        <v>6West Northamptonshire</v>
      </c>
      <c r="B2404">
        <v>6</v>
      </c>
      <c r="C2404" t="s">
        <v>345</v>
      </c>
      <c r="D2404" t="s">
        <v>9548</v>
      </c>
      <c r="E2404" t="s">
        <v>7662</v>
      </c>
      <c r="H2404">
        <v>17900</v>
      </c>
    </row>
    <row r="2405" spans="1:8" x14ac:dyDescent="0.3">
      <c r="A2405" t="str">
        <f t="shared" si="38"/>
        <v>7West Northamptonshire</v>
      </c>
      <c r="B2405">
        <v>7</v>
      </c>
      <c r="C2405" t="s">
        <v>345</v>
      </c>
      <c r="D2405" t="s">
        <v>3557</v>
      </c>
      <c r="E2405" t="s">
        <v>1113</v>
      </c>
      <c r="F2405" t="s">
        <v>7629</v>
      </c>
      <c r="H2405">
        <v>1188418</v>
      </c>
    </row>
    <row r="2406" spans="1:8" x14ac:dyDescent="0.3">
      <c r="A2406" t="str">
        <f t="shared" si="38"/>
        <v>8West Northamptonshire</v>
      </c>
      <c r="B2406">
        <v>8</v>
      </c>
      <c r="C2406" t="s">
        <v>345</v>
      </c>
      <c r="D2406" t="s">
        <v>9549</v>
      </c>
      <c r="E2406" t="s">
        <v>7657</v>
      </c>
      <c r="F2406" t="s">
        <v>7640</v>
      </c>
      <c r="H2406">
        <v>495923</v>
      </c>
    </row>
    <row r="2407" spans="1:8" x14ac:dyDescent="0.3">
      <c r="A2407" t="str">
        <f t="shared" si="38"/>
        <v>9West Northamptonshire</v>
      </c>
      <c r="B2407">
        <v>9</v>
      </c>
      <c r="C2407" t="s">
        <v>345</v>
      </c>
      <c r="D2407" t="s">
        <v>8628</v>
      </c>
      <c r="E2407" t="s">
        <v>7657</v>
      </c>
      <c r="F2407" t="s">
        <v>7640</v>
      </c>
      <c r="H2407">
        <v>14131</v>
      </c>
    </row>
    <row r="2408" spans="1:8" x14ac:dyDescent="0.3">
      <c r="A2408" t="str">
        <f t="shared" si="38"/>
        <v>10West Northamptonshire</v>
      </c>
      <c r="B2408">
        <v>10</v>
      </c>
      <c r="C2408" t="s">
        <v>345</v>
      </c>
      <c r="D2408" t="s">
        <v>9550</v>
      </c>
      <c r="E2408" t="s">
        <v>7657</v>
      </c>
      <c r="F2408" t="s">
        <v>7640</v>
      </c>
      <c r="H2408">
        <v>69500</v>
      </c>
    </row>
    <row r="2409" spans="1:8" x14ac:dyDescent="0.3">
      <c r="A2409" t="str">
        <f t="shared" si="38"/>
        <v>11West Northamptonshire</v>
      </c>
      <c r="B2409">
        <v>11</v>
      </c>
      <c r="C2409" t="s">
        <v>345</v>
      </c>
      <c r="D2409" t="s">
        <v>9551</v>
      </c>
      <c r="E2409" t="s">
        <v>1113</v>
      </c>
      <c r="F2409" t="s">
        <v>7629</v>
      </c>
      <c r="H2409">
        <v>176400</v>
      </c>
    </row>
    <row r="2410" spans="1:8" x14ac:dyDescent="0.3">
      <c r="A2410" t="str">
        <f t="shared" si="38"/>
        <v>12West Northamptonshire</v>
      </c>
      <c r="B2410">
        <v>12</v>
      </c>
      <c r="C2410" t="s">
        <v>345</v>
      </c>
      <c r="D2410" t="s">
        <v>9552</v>
      </c>
      <c r="E2410" t="s">
        <v>1106</v>
      </c>
      <c r="F2410" t="s">
        <v>7628</v>
      </c>
      <c r="H2410">
        <v>450281</v>
      </c>
    </row>
    <row r="2411" spans="1:8" x14ac:dyDescent="0.3">
      <c r="A2411" t="str">
        <f t="shared" si="38"/>
        <v>13West Northamptonshire</v>
      </c>
      <c r="B2411">
        <v>13</v>
      </c>
      <c r="C2411" t="s">
        <v>345</v>
      </c>
      <c r="D2411" t="s">
        <v>9553</v>
      </c>
      <c r="E2411" t="s">
        <v>1113</v>
      </c>
      <c r="F2411" t="s">
        <v>7629</v>
      </c>
      <c r="H2411">
        <v>105948</v>
      </c>
    </row>
    <row r="2412" spans="1:8" x14ac:dyDescent="0.3">
      <c r="A2412" t="str">
        <f t="shared" si="38"/>
        <v>14West Northamptonshire</v>
      </c>
      <c r="B2412">
        <v>14</v>
      </c>
      <c r="C2412" t="s">
        <v>345</v>
      </c>
      <c r="D2412" t="s">
        <v>9554</v>
      </c>
      <c r="E2412" t="s">
        <v>1106</v>
      </c>
      <c r="F2412" t="s">
        <v>7628</v>
      </c>
      <c r="H2412">
        <v>216000</v>
      </c>
    </row>
    <row r="2413" spans="1:8" x14ac:dyDescent="0.3">
      <c r="A2413" t="str">
        <f t="shared" si="38"/>
        <v>15West Northamptonshire</v>
      </c>
      <c r="B2413">
        <v>15</v>
      </c>
      <c r="C2413" t="s">
        <v>345</v>
      </c>
      <c r="D2413" t="s">
        <v>9555</v>
      </c>
      <c r="E2413" t="s">
        <v>5266</v>
      </c>
      <c r="F2413" t="s">
        <v>7639</v>
      </c>
      <c r="H2413">
        <v>413280</v>
      </c>
    </row>
    <row r="2414" spans="1:8" x14ac:dyDescent="0.3">
      <c r="A2414" t="str">
        <f t="shared" si="38"/>
        <v>16West Northamptonshire</v>
      </c>
      <c r="B2414">
        <v>16</v>
      </c>
      <c r="C2414" t="s">
        <v>345</v>
      </c>
      <c r="D2414" t="s">
        <v>9556</v>
      </c>
      <c r="E2414" t="s">
        <v>7657</v>
      </c>
      <c r="F2414" t="s">
        <v>7640</v>
      </c>
      <c r="H2414">
        <v>25000</v>
      </c>
    </row>
    <row r="2415" spans="1:8" x14ac:dyDescent="0.3">
      <c r="A2415" t="str">
        <f t="shared" si="38"/>
        <v>1West Sussex</v>
      </c>
      <c r="B2415">
        <v>1</v>
      </c>
      <c r="C2415" t="s">
        <v>347</v>
      </c>
      <c r="D2415" t="s">
        <v>9557</v>
      </c>
      <c r="E2415" t="s">
        <v>812</v>
      </c>
      <c r="F2415" t="s">
        <v>369</v>
      </c>
      <c r="H2415">
        <v>60000</v>
      </c>
    </row>
    <row r="2416" spans="1:8" x14ac:dyDescent="0.3">
      <c r="A2416" t="str">
        <f t="shared" si="38"/>
        <v>2West Sussex</v>
      </c>
      <c r="B2416">
        <v>2</v>
      </c>
      <c r="C2416" t="s">
        <v>347</v>
      </c>
      <c r="D2416" t="s">
        <v>9558</v>
      </c>
      <c r="E2416" t="s">
        <v>806</v>
      </c>
      <c r="F2416" t="s">
        <v>807</v>
      </c>
      <c r="H2416">
        <v>75000</v>
      </c>
    </row>
    <row r="2417" spans="1:8" x14ac:dyDescent="0.3">
      <c r="A2417" t="str">
        <f t="shared" si="38"/>
        <v>3West Sussex</v>
      </c>
      <c r="B2417">
        <v>3</v>
      </c>
      <c r="C2417" t="s">
        <v>347</v>
      </c>
      <c r="D2417" t="s">
        <v>9559</v>
      </c>
      <c r="E2417" t="s">
        <v>842</v>
      </c>
      <c r="F2417" t="s">
        <v>7636</v>
      </c>
      <c r="H2417">
        <v>160000</v>
      </c>
    </row>
    <row r="2418" spans="1:8" x14ac:dyDescent="0.3">
      <c r="A2418" t="str">
        <f t="shared" si="38"/>
        <v>4West Sussex</v>
      </c>
      <c r="B2418">
        <v>4</v>
      </c>
      <c r="C2418" t="s">
        <v>347</v>
      </c>
      <c r="D2418" t="s">
        <v>9560</v>
      </c>
      <c r="E2418" t="s">
        <v>806</v>
      </c>
      <c r="F2418" t="s">
        <v>917</v>
      </c>
      <c r="H2418">
        <v>780000</v>
      </c>
    </row>
    <row r="2419" spans="1:8" x14ac:dyDescent="0.3">
      <c r="A2419" t="str">
        <f t="shared" si="38"/>
        <v>5West Sussex</v>
      </c>
      <c r="B2419">
        <v>5</v>
      </c>
      <c r="C2419" t="s">
        <v>347</v>
      </c>
      <c r="D2419" t="s">
        <v>9561</v>
      </c>
      <c r="E2419" t="s">
        <v>842</v>
      </c>
      <c r="F2419" t="s">
        <v>7636</v>
      </c>
      <c r="H2419">
        <v>60000</v>
      </c>
    </row>
    <row r="2420" spans="1:8" x14ac:dyDescent="0.3">
      <c r="A2420" t="str">
        <f t="shared" si="38"/>
        <v>6West Sussex</v>
      </c>
      <c r="B2420">
        <v>6</v>
      </c>
      <c r="C2420" t="s">
        <v>347</v>
      </c>
      <c r="D2420" t="s">
        <v>9562</v>
      </c>
      <c r="E2420" t="s">
        <v>7657</v>
      </c>
      <c r="F2420" t="s">
        <v>7632</v>
      </c>
      <c r="H2420">
        <v>294498</v>
      </c>
    </row>
    <row r="2421" spans="1:8" x14ac:dyDescent="0.3">
      <c r="A2421" t="str">
        <f t="shared" si="38"/>
        <v>7West Sussex</v>
      </c>
      <c r="B2421">
        <v>7</v>
      </c>
      <c r="C2421" t="s">
        <v>347</v>
      </c>
      <c r="D2421" t="s">
        <v>9563</v>
      </c>
      <c r="E2421" t="s">
        <v>842</v>
      </c>
      <c r="F2421" t="s">
        <v>7636</v>
      </c>
      <c r="H2421">
        <v>333540</v>
      </c>
    </row>
    <row r="2422" spans="1:8" x14ac:dyDescent="0.3">
      <c r="A2422" t="str">
        <f t="shared" si="38"/>
        <v>8West Sussex</v>
      </c>
      <c r="B2422">
        <v>8</v>
      </c>
      <c r="C2422" t="s">
        <v>347</v>
      </c>
      <c r="D2422" t="s">
        <v>9564</v>
      </c>
      <c r="E2422" t="s">
        <v>812</v>
      </c>
      <c r="F2422" t="s">
        <v>7704</v>
      </c>
      <c r="H2422">
        <v>108980</v>
      </c>
    </row>
    <row r="2423" spans="1:8" x14ac:dyDescent="0.3">
      <c r="A2423" t="str">
        <f t="shared" si="38"/>
        <v>9West Sussex</v>
      </c>
      <c r="B2423">
        <v>9</v>
      </c>
      <c r="C2423" t="s">
        <v>347</v>
      </c>
      <c r="D2423" t="s">
        <v>9565</v>
      </c>
      <c r="E2423" t="s">
        <v>812</v>
      </c>
      <c r="F2423" t="s">
        <v>7704</v>
      </c>
      <c r="H2423">
        <v>24740</v>
      </c>
    </row>
    <row r="2424" spans="1:8" x14ac:dyDescent="0.3">
      <c r="A2424" t="str">
        <f t="shared" si="38"/>
        <v>10West Sussex</v>
      </c>
      <c r="B2424">
        <v>10</v>
      </c>
      <c r="C2424" t="s">
        <v>347</v>
      </c>
      <c r="D2424" t="s">
        <v>9566</v>
      </c>
      <c r="E2424" t="s">
        <v>812</v>
      </c>
      <c r="F2424" t="s">
        <v>7704</v>
      </c>
      <c r="H2424">
        <v>173866</v>
      </c>
    </row>
    <row r="2425" spans="1:8" x14ac:dyDescent="0.3">
      <c r="A2425" t="str">
        <f t="shared" si="38"/>
        <v>11West Sussex</v>
      </c>
      <c r="B2425">
        <v>11</v>
      </c>
      <c r="C2425" t="s">
        <v>347</v>
      </c>
      <c r="D2425" t="s">
        <v>9567</v>
      </c>
      <c r="E2425" t="s">
        <v>1106</v>
      </c>
      <c r="F2425" t="s">
        <v>7628</v>
      </c>
      <c r="H2425">
        <v>664337</v>
      </c>
    </row>
    <row r="2426" spans="1:8" x14ac:dyDescent="0.3">
      <c r="A2426" t="str">
        <f t="shared" si="38"/>
        <v>12West Sussex</v>
      </c>
      <c r="B2426">
        <v>12</v>
      </c>
      <c r="C2426" t="s">
        <v>347</v>
      </c>
      <c r="D2426" t="s">
        <v>9568</v>
      </c>
      <c r="E2426" t="s">
        <v>806</v>
      </c>
      <c r="F2426" t="s">
        <v>917</v>
      </c>
      <c r="H2426">
        <v>351000</v>
      </c>
    </row>
    <row r="2427" spans="1:8" x14ac:dyDescent="0.3">
      <c r="A2427" t="str">
        <f t="shared" si="38"/>
        <v>13West Sussex</v>
      </c>
      <c r="B2427">
        <v>13</v>
      </c>
      <c r="C2427" t="s">
        <v>347</v>
      </c>
      <c r="D2427" t="s">
        <v>9569</v>
      </c>
      <c r="E2427" t="s">
        <v>842</v>
      </c>
      <c r="F2427" t="s">
        <v>7636</v>
      </c>
      <c r="H2427">
        <v>390000</v>
      </c>
    </row>
    <row r="2428" spans="1:8" x14ac:dyDescent="0.3">
      <c r="A2428" t="str">
        <f t="shared" si="38"/>
        <v>14West Sussex</v>
      </c>
      <c r="B2428">
        <v>14</v>
      </c>
      <c r="C2428" t="s">
        <v>347</v>
      </c>
      <c r="D2428" t="s">
        <v>9570</v>
      </c>
      <c r="E2428" t="s">
        <v>806</v>
      </c>
      <c r="F2428" t="s">
        <v>7642</v>
      </c>
      <c r="H2428">
        <v>90000</v>
      </c>
    </row>
    <row r="2429" spans="1:8" x14ac:dyDescent="0.3">
      <c r="A2429" t="str">
        <f t="shared" si="38"/>
        <v>15West Sussex</v>
      </c>
      <c r="B2429">
        <v>15</v>
      </c>
      <c r="C2429" t="s">
        <v>347</v>
      </c>
      <c r="D2429" t="s">
        <v>9571</v>
      </c>
      <c r="E2429" t="s">
        <v>806</v>
      </c>
      <c r="F2429" t="s">
        <v>812</v>
      </c>
      <c r="H2429">
        <v>410000</v>
      </c>
    </row>
    <row r="2430" spans="1:8" x14ac:dyDescent="0.3">
      <c r="A2430" t="str">
        <f t="shared" si="38"/>
        <v>16West Sussex</v>
      </c>
      <c r="B2430">
        <v>16</v>
      </c>
      <c r="C2430" t="s">
        <v>347</v>
      </c>
      <c r="D2430" t="s">
        <v>9572</v>
      </c>
      <c r="E2430" t="s">
        <v>842</v>
      </c>
      <c r="F2430" t="s">
        <v>843</v>
      </c>
      <c r="H2430">
        <v>400000</v>
      </c>
    </row>
    <row r="2431" spans="1:8" x14ac:dyDescent="0.3">
      <c r="A2431" t="str">
        <f t="shared" si="38"/>
        <v>17West Sussex</v>
      </c>
      <c r="B2431">
        <v>17</v>
      </c>
      <c r="C2431" t="s">
        <v>347</v>
      </c>
      <c r="D2431" t="s">
        <v>9573</v>
      </c>
      <c r="E2431" t="s">
        <v>842</v>
      </c>
      <c r="F2431" t="s">
        <v>843</v>
      </c>
      <c r="H2431">
        <v>200000</v>
      </c>
    </row>
    <row r="2432" spans="1:8" x14ac:dyDescent="0.3">
      <c r="A2432" t="str">
        <f t="shared" si="38"/>
        <v>18West Sussex</v>
      </c>
      <c r="B2432">
        <v>18</v>
      </c>
      <c r="C2432" t="s">
        <v>347</v>
      </c>
      <c r="D2432" t="s">
        <v>9574</v>
      </c>
      <c r="E2432" t="s">
        <v>7658</v>
      </c>
      <c r="F2432" t="s">
        <v>7704</v>
      </c>
      <c r="H2432">
        <v>500000</v>
      </c>
    </row>
    <row r="2433" spans="1:8" x14ac:dyDescent="0.3">
      <c r="A2433" t="str">
        <f t="shared" si="38"/>
        <v>19West Sussex</v>
      </c>
      <c r="B2433">
        <v>19</v>
      </c>
      <c r="C2433" t="s">
        <v>347</v>
      </c>
      <c r="D2433" t="s">
        <v>9575</v>
      </c>
      <c r="E2433" t="s">
        <v>812</v>
      </c>
      <c r="F2433" t="s">
        <v>7704</v>
      </c>
      <c r="H2433">
        <v>150000</v>
      </c>
    </row>
    <row r="2434" spans="1:8" x14ac:dyDescent="0.3">
      <c r="A2434" t="str">
        <f t="shared" si="38"/>
        <v>20West Sussex</v>
      </c>
      <c r="B2434">
        <v>20</v>
      </c>
      <c r="C2434" t="s">
        <v>347</v>
      </c>
      <c r="D2434" t="s">
        <v>9576</v>
      </c>
      <c r="E2434" t="s">
        <v>812</v>
      </c>
      <c r="F2434" t="s">
        <v>7704</v>
      </c>
      <c r="H2434">
        <v>70000</v>
      </c>
    </row>
    <row r="2435" spans="1:8" x14ac:dyDescent="0.3">
      <c r="A2435" t="str">
        <f t="shared" si="38"/>
        <v>21West Sussex</v>
      </c>
      <c r="B2435">
        <v>21</v>
      </c>
      <c r="C2435" t="s">
        <v>347</v>
      </c>
      <c r="D2435" t="s">
        <v>9577</v>
      </c>
      <c r="E2435" t="s">
        <v>812</v>
      </c>
      <c r="F2435" t="s">
        <v>7704</v>
      </c>
      <c r="H2435">
        <v>54900</v>
      </c>
    </row>
    <row r="2436" spans="1:8" x14ac:dyDescent="0.3">
      <c r="A2436" t="str">
        <f t="shared" si="38"/>
        <v>22West Sussex</v>
      </c>
      <c r="B2436">
        <v>22</v>
      </c>
      <c r="C2436" t="s">
        <v>347</v>
      </c>
      <c r="D2436" t="s">
        <v>9578</v>
      </c>
      <c r="E2436" t="s">
        <v>812</v>
      </c>
      <c r="F2436" t="s">
        <v>7704</v>
      </c>
      <c r="H2436">
        <v>300000</v>
      </c>
    </row>
    <row r="2437" spans="1:8" x14ac:dyDescent="0.3">
      <c r="A2437" t="str">
        <f t="shared" si="38"/>
        <v>23West Sussex</v>
      </c>
      <c r="B2437">
        <v>23</v>
      </c>
      <c r="C2437" t="s">
        <v>347</v>
      </c>
      <c r="D2437" t="s">
        <v>9579</v>
      </c>
      <c r="E2437" t="s">
        <v>812</v>
      </c>
      <c r="F2437" t="s">
        <v>7704</v>
      </c>
      <c r="H2437">
        <v>100000</v>
      </c>
    </row>
    <row r="2438" spans="1:8" x14ac:dyDescent="0.3">
      <c r="A2438" t="str">
        <f t="shared" si="38"/>
        <v>24West Sussex</v>
      </c>
      <c r="B2438">
        <v>24</v>
      </c>
      <c r="C2438" t="s">
        <v>347</v>
      </c>
      <c r="D2438" t="s">
        <v>9580</v>
      </c>
      <c r="E2438" t="s">
        <v>1106</v>
      </c>
      <c r="F2438" t="s">
        <v>7628</v>
      </c>
      <c r="H2438">
        <v>212877</v>
      </c>
    </row>
    <row r="2439" spans="1:8" x14ac:dyDescent="0.3">
      <c r="A2439" t="str">
        <f t="shared" ref="A2439:A2502" si="39">B2439&amp;C2439</f>
        <v>25West Sussex</v>
      </c>
      <c r="B2439">
        <v>25</v>
      </c>
      <c r="C2439" t="s">
        <v>347</v>
      </c>
      <c r="D2439" t="s">
        <v>9581</v>
      </c>
      <c r="E2439" t="s">
        <v>812</v>
      </c>
      <c r="F2439" t="s">
        <v>7704</v>
      </c>
      <c r="H2439">
        <v>150000</v>
      </c>
    </row>
    <row r="2440" spans="1:8" x14ac:dyDescent="0.3">
      <c r="A2440" t="str">
        <f t="shared" si="39"/>
        <v>26West Sussex</v>
      </c>
      <c r="B2440">
        <v>26</v>
      </c>
      <c r="C2440" t="s">
        <v>347</v>
      </c>
      <c r="D2440" t="s">
        <v>9582</v>
      </c>
      <c r="E2440" t="s">
        <v>812</v>
      </c>
      <c r="F2440" t="s">
        <v>7704</v>
      </c>
      <c r="H2440">
        <v>120000</v>
      </c>
    </row>
    <row r="2441" spans="1:8" x14ac:dyDescent="0.3">
      <c r="A2441" t="str">
        <f t="shared" si="39"/>
        <v>27West Sussex</v>
      </c>
      <c r="B2441">
        <v>27</v>
      </c>
      <c r="C2441" t="s">
        <v>347</v>
      </c>
      <c r="D2441" t="s">
        <v>9583</v>
      </c>
      <c r="E2441" t="s">
        <v>800</v>
      </c>
      <c r="F2441" t="s">
        <v>812</v>
      </c>
      <c r="H2441">
        <v>13636</v>
      </c>
    </row>
    <row r="2442" spans="1:8" x14ac:dyDescent="0.3">
      <c r="A2442" t="str">
        <f t="shared" si="39"/>
        <v>28West Sussex</v>
      </c>
      <c r="B2442">
        <v>28</v>
      </c>
      <c r="C2442" t="s">
        <v>347</v>
      </c>
      <c r="D2442" t="s">
        <v>9584</v>
      </c>
      <c r="E2442" t="s">
        <v>812</v>
      </c>
      <c r="F2442" t="s">
        <v>7704</v>
      </c>
      <c r="H2442">
        <v>45000</v>
      </c>
    </row>
    <row r="2443" spans="1:8" x14ac:dyDescent="0.3">
      <c r="A2443" t="str">
        <f t="shared" si="39"/>
        <v>29West Sussex</v>
      </c>
      <c r="B2443">
        <v>29</v>
      </c>
      <c r="C2443" t="s">
        <v>347</v>
      </c>
      <c r="D2443" t="s">
        <v>9585</v>
      </c>
      <c r="E2443" t="s">
        <v>842</v>
      </c>
      <c r="F2443" t="s">
        <v>812</v>
      </c>
      <c r="H2443">
        <v>83053</v>
      </c>
    </row>
    <row r="2444" spans="1:8" x14ac:dyDescent="0.3">
      <c r="A2444" t="str">
        <f t="shared" si="39"/>
        <v>30West Sussex</v>
      </c>
      <c r="B2444">
        <v>30</v>
      </c>
      <c r="C2444" t="s">
        <v>347</v>
      </c>
      <c r="D2444" t="s">
        <v>9586</v>
      </c>
      <c r="E2444" t="s">
        <v>812</v>
      </c>
      <c r="F2444" t="s">
        <v>7704</v>
      </c>
      <c r="H2444">
        <v>36610</v>
      </c>
    </row>
    <row r="2445" spans="1:8" x14ac:dyDescent="0.3">
      <c r="A2445" t="str">
        <f t="shared" si="39"/>
        <v>31West Sussex</v>
      </c>
      <c r="B2445">
        <v>31</v>
      </c>
      <c r="C2445" t="s">
        <v>347</v>
      </c>
      <c r="D2445" t="s">
        <v>9587</v>
      </c>
      <c r="E2445" t="s">
        <v>812</v>
      </c>
      <c r="F2445" t="s">
        <v>7704</v>
      </c>
      <c r="H2445">
        <v>124998</v>
      </c>
    </row>
    <row r="2446" spans="1:8" x14ac:dyDescent="0.3">
      <c r="A2446" t="str">
        <f t="shared" si="39"/>
        <v>32West Sussex</v>
      </c>
      <c r="B2446">
        <v>32</v>
      </c>
      <c r="C2446" t="s">
        <v>347</v>
      </c>
      <c r="D2446" t="s">
        <v>9588</v>
      </c>
      <c r="E2446" t="s">
        <v>842</v>
      </c>
      <c r="F2446" t="s">
        <v>7636</v>
      </c>
      <c r="H2446">
        <v>160000</v>
      </c>
    </row>
    <row r="2447" spans="1:8" x14ac:dyDescent="0.3">
      <c r="A2447" t="str">
        <f t="shared" si="39"/>
        <v>33West Sussex</v>
      </c>
      <c r="B2447">
        <v>33</v>
      </c>
      <c r="C2447" t="s">
        <v>347</v>
      </c>
      <c r="D2447" t="s">
        <v>9589</v>
      </c>
      <c r="E2447" t="s">
        <v>842</v>
      </c>
      <c r="F2447" t="s">
        <v>812</v>
      </c>
      <c r="H2447">
        <v>64000</v>
      </c>
    </row>
    <row r="2448" spans="1:8" x14ac:dyDescent="0.3">
      <c r="A2448" t="str">
        <f t="shared" si="39"/>
        <v>34West Sussex</v>
      </c>
      <c r="B2448">
        <v>34</v>
      </c>
      <c r="C2448" t="s">
        <v>347</v>
      </c>
      <c r="D2448" t="s">
        <v>9590</v>
      </c>
      <c r="E2448" t="s">
        <v>7657</v>
      </c>
      <c r="F2448" t="s">
        <v>7632</v>
      </c>
      <c r="H2448">
        <v>200000</v>
      </c>
    </row>
    <row r="2449" spans="1:8" x14ac:dyDescent="0.3">
      <c r="A2449" t="str">
        <f t="shared" si="39"/>
        <v>1Westminster</v>
      </c>
      <c r="B2449">
        <v>1</v>
      </c>
      <c r="C2449" t="s">
        <v>349</v>
      </c>
      <c r="D2449" t="s">
        <v>7657</v>
      </c>
      <c r="E2449" t="s">
        <v>7657</v>
      </c>
      <c r="F2449" t="s">
        <v>7632</v>
      </c>
      <c r="H2449">
        <v>100000</v>
      </c>
    </row>
    <row r="2450" spans="1:8" x14ac:dyDescent="0.3">
      <c r="A2450" t="str">
        <f t="shared" si="39"/>
        <v>2Westminster</v>
      </c>
      <c r="B2450">
        <v>2</v>
      </c>
      <c r="C2450" t="s">
        <v>349</v>
      </c>
      <c r="D2450" t="s">
        <v>7827</v>
      </c>
      <c r="E2450" t="s">
        <v>7662</v>
      </c>
      <c r="H2450">
        <v>11026</v>
      </c>
    </row>
    <row r="2451" spans="1:8" x14ac:dyDescent="0.3">
      <c r="A2451" t="str">
        <f t="shared" si="39"/>
        <v>3Westminster</v>
      </c>
      <c r="B2451">
        <v>3</v>
      </c>
      <c r="C2451" t="s">
        <v>349</v>
      </c>
      <c r="D2451" t="s">
        <v>800</v>
      </c>
      <c r="E2451" t="s">
        <v>800</v>
      </c>
      <c r="F2451" t="s">
        <v>903</v>
      </c>
      <c r="H2451">
        <v>130000</v>
      </c>
    </row>
    <row r="2452" spans="1:8" x14ac:dyDescent="0.3">
      <c r="A2452" t="str">
        <f t="shared" si="39"/>
        <v>4Westminster</v>
      </c>
      <c r="B2452">
        <v>4</v>
      </c>
      <c r="C2452" t="s">
        <v>349</v>
      </c>
      <c r="D2452" t="s">
        <v>1106</v>
      </c>
      <c r="E2452" t="s">
        <v>1106</v>
      </c>
      <c r="F2452" t="s">
        <v>7628</v>
      </c>
      <c r="H2452">
        <v>280000</v>
      </c>
    </row>
    <row r="2453" spans="1:8" x14ac:dyDescent="0.3">
      <c r="A2453" t="str">
        <f t="shared" si="39"/>
        <v>5Westminster</v>
      </c>
      <c r="B2453">
        <v>5</v>
      </c>
      <c r="C2453" t="s">
        <v>349</v>
      </c>
      <c r="D2453" t="s">
        <v>8495</v>
      </c>
      <c r="E2453" t="s">
        <v>842</v>
      </c>
      <c r="F2453" t="s">
        <v>7636</v>
      </c>
      <c r="H2453">
        <v>995706</v>
      </c>
    </row>
    <row r="2454" spans="1:8" x14ac:dyDescent="0.3">
      <c r="A2454" t="str">
        <f t="shared" si="39"/>
        <v>6Westminster</v>
      </c>
      <c r="B2454">
        <v>6</v>
      </c>
      <c r="C2454" t="s">
        <v>349</v>
      </c>
      <c r="D2454" t="s">
        <v>5266</v>
      </c>
      <c r="E2454" t="s">
        <v>5266</v>
      </c>
      <c r="F2454" t="s">
        <v>7639</v>
      </c>
      <c r="H2454">
        <v>25000</v>
      </c>
    </row>
    <row r="2455" spans="1:8" x14ac:dyDescent="0.3">
      <c r="A2455" t="str">
        <f t="shared" si="39"/>
        <v>7Westminster</v>
      </c>
      <c r="B2455">
        <v>7</v>
      </c>
      <c r="C2455" t="s">
        <v>349</v>
      </c>
      <c r="D2455" t="s">
        <v>7649</v>
      </c>
      <c r="E2455" t="s">
        <v>7649</v>
      </c>
      <c r="F2455" t="s">
        <v>7638</v>
      </c>
      <c r="H2455">
        <v>100000</v>
      </c>
    </row>
    <row r="2456" spans="1:8" x14ac:dyDescent="0.3">
      <c r="A2456" t="str">
        <f t="shared" si="39"/>
        <v>8Westminster</v>
      </c>
      <c r="B2456">
        <v>8</v>
      </c>
      <c r="C2456" t="s">
        <v>349</v>
      </c>
      <c r="D2456" t="s">
        <v>7658</v>
      </c>
      <c r="E2456" t="s">
        <v>7658</v>
      </c>
      <c r="H2456">
        <v>30000</v>
      </c>
    </row>
    <row r="2457" spans="1:8" x14ac:dyDescent="0.3">
      <c r="A2457" t="str">
        <f t="shared" si="39"/>
        <v>9Westminster</v>
      </c>
      <c r="B2457">
        <v>9</v>
      </c>
      <c r="C2457" t="s">
        <v>349</v>
      </c>
      <c r="D2457" t="s">
        <v>8496</v>
      </c>
      <c r="E2457" t="s">
        <v>1106</v>
      </c>
      <c r="F2457" t="s">
        <v>7628</v>
      </c>
      <c r="H2457">
        <v>120000</v>
      </c>
    </row>
    <row r="2458" spans="1:8" x14ac:dyDescent="0.3">
      <c r="A2458" t="str">
        <f t="shared" si="39"/>
        <v>10Westminster</v>
      </c>
      <c r="B2458">
        <v>10</v>
      </c>
      <c r="C2458" t="s">
        <v>349</v>
      </c>
      <c r="D2458" t="s">
        <v>8497</v>
      </c>
      <c r="E2458" t="s">
        <v>812</v>
      </c>
      <c r="H2458">
        <v>81974</v>
      </c>
    </row>
    <row r="2459" spans="1:8" x14ac:dyDescent="0.3">
      <c r="A2459" t="str">
        <f t="shared" si="39"/>
        <v>11Westminster</v>
      </c>
      <c r="B2459">
        <v>11</v>
      </c>
      <c r="C2459" t="s">
        <v>349</v>
      </c>
      <c r="D2459" t="s">
        <v>8498</v>
      </c>
      <c r="E2459" t="s">
        <v>806</v>
      </c>
      <c r="F2459" t="s">
        <v>807</v>
      </c>
      <c r="H2459">
        <v>228927</v>
      </c>
    </row>
    <row r="2460" spans="1:8" x14ac:dyDescent="0.3">
      <c r="A2460" t="str">
        <f t="shared" si="39"/>
        <v>1Wigan</v>
      </c>
      <c r="B2460">
        <v>1</v>
      </c>
      <c r="C2460" t="s">
        <v>353</v>
      </c>
      <c r="D2460" t="s">
        <v>7077</v>
      </c>
      <c r="E2460" t="s">
        <v>806</v>
      </c>
      <c r="F2460" t="s">
        <v>7642</v>
      </c>
      <c r="H2460">
        <v>191000</v>
      </c>
    </row>
    <row r="2461" spans="1:8" x14ac:dyDescent="0.3">
      <c r="A2461" t="str">
        <f t="shared" si="39"/>
        <v>2Wigan</v>
      </c>
      <c r="B2461">
        <v>2</v>
      </c>
      <c r="C2461" t="s">
        <v>353</v>
      </c>
      <c r="D2461" t="s">
        <v>6796</v>
      </c>
      <c r="E2461" t="s">
        <v>842</v>
      </c>
      <c r="F2461" t="s">
        <v>7636</v>
      </c>
      <c r="H2461">
        <v>400000</v>
      </c>
    </row>
    <row r="2462" spans="1:8" x14ac:dyDescent="0.3">
      <c r="A2462" t="str">
        <f t="shared" si="39"/>
        <v>3Wigan</v>
      </c>
      <c r="B2462">
        <v>3</v>
      </c>
      <c r="C2462" t="s">
        <v>353</v>
      </c>
      <c r="D2462" t="s">
        <v>7083</v>
      </c>
      <c r="E2462" t="s">
        <v>1113</v>
      </c>
      <c r="F2462" t="s">
        <v>7629</v>
      </c>
      <c r="H2462">
        <v>196000</v>
      </c>
    </row>
    <row r="2463" spans="1:8" x14ac:dyDescent="0.3">
      <c r="A2463" t="str">
        <f t="shared" si="39"/>
        <v>4Wigan</v>
      </c>
      <c r="B2463">
        <v>4</v>
      </c>
      <c r="C2463" t="s">
        <v>353</v>
      </c>
      <c r="D2463" t="s">
        <v>9591</v>
      </c>
      <c r="E2463" t="s">
        <v>5266</v>
      </c>
      <c r="F2463" t="s">
        <v>7646</v>
      </c>
      <c r="H2463">
        <v>2220435</v>
      </c>
    </row>
    <row r="2464" spans="1:8" x14ac:dyDescent="0.3">
      <c r="A2464" t="str">
        <f t="shared" si="39"/>
        <v>5Wigan</v>
      </c>
      <c r="B2464">
        <v>5</v>
      </c>
      <c r="C2464" t="s">
        <v>353</v>
      </c>
      <c r="D2464" t="s">
        <v>9592</v>
      </c>
      <c r="E2464" t="s">
        <v>842</v>
      </c>
      <c r="F2464" t="s">
        <v>7636</v>
      </c>
      <c r="H2464">
        <v>274000</v>
      </c>
    </row>
    <row r="2465" spans="1:8" x14ac:dyDescent="0.3">
      <c r="A2465" t="str">
        <f t="shared" si="39"/>
        <v>6Wigan</v>
      </c>
      <c r="B2465">
        <v>6</v>
      </c>
      <c r="C2465" t="s">
        <v>353</v>
      </c>
      <c r="D2465" t="s">
        <v>9593</v>
      </c>
      <c r="E2465" t="s">
        <v>812</v>
      </c>
      <c r="H2465">
        <v>120000</v>
      </c>
    </row>
    <row r="2466" spans="1:8" x14ac:dyDescent="0.3">
      <c r="A2466" t="str">
        <f t="shared" si="39"/>
        <v>7Wigan</v>
      </c>
      <c r="B2466">
        <v>7</v>
      </c>
      <c r="C2466" t="s">
        <v>353</v>
      </c>
      <c r="D2466" t="s">
        <v>9594</v>
      </c>
      <c r="E2466" t="s">
        <v>800</v>
      </c>
      <c r="F2466" t="s">
        <v>903</v>
      </c>
      <c r="H2466">
        <v>250000</v>
      </c>
    </row>
    <row r="2467" spans="1:8" x14ac:dyDescent="0.3">
      <c r="A2467" t="str">
        <f t="shared" si="39"/>
        <v>1Wiltshire</v>
      </c>
      <c r="B2467">
        <v>1</v>
      </c>
      <c r="C2467" t="s">
        <v>355</v>
      </c>
      <c r="D2467" t="s">
        <v>9595</v>
      </c>
      <c r="E2467" t="s">
        <v>7658</v>
      </c>
      <c r="H2467">
        <v>109000</v>
      </c>
    </row>
    <row r="2468" spans="1:8" x14ac:dyDescent="0.3">
      <c r="A2468" t="str">
        <f t="shared" si="39"/>
        <v>2Wiltshire</v>
      </c>
      <c r="B2468">
        <v>2</v>
      </c>
      <c r="C2468" t="s">
        <v>355</v>
      </c>
      <c r="D2468" t="s">
        <v>9596</v>
      </c>
      <c r="E2468" t="s">
        <v>7658</v>
      </c>
      <c r="H2468">
        <v>375000</v>
      </c>
    </row>
    <row r="2469" spans="1:8" x14ac:dyDescent="0.3">
      <c r="A2469" t="str">
        <f t="shared" si="39"/>
        <v>3Wiltshire</v>
      </c>
      <c r="B2469">
        <v>3</v>
      </c>
      <c r="C2469" t="s">
        <v>355</v>
      </c>
      <c r="D2469" t="s">
        <v>9597</v>
      </c>
      <c r="E2469" t="s">
        <v>842</v>
      </c>
      <c r="F2469" t="s">
        <v>843</v>
      </c>
      <c r="H2469">
        <v>500000</v>
      </c>
    </row>
    <row r="2470" spans="1:8" x14ac:dyDescent="0.3">
      <c r="A2470" t="str">
        <f t="shared" si="39"/>
        <v>4Wiltshire</v>
      </c>
      <c r="B2470">
        <v>4</v>
      </c>
      <c r="C2470" t="s">
        <v>355</v>
      </c>
      <c r="D2470" t="s">
        <v>9598</v>
      </c>
      <c r="E2470" t="s">
        <v>806</v>
      </c>
      <c r="F2470" t="s">
        <v>812</v>
      </c>
      <c r="H2470">
        <v>1323000</v>
      </c>
    </row>
    <row r="2471" spans="1:8" x14ac:dyDescent="0.3">
      <c r="A2471" t="str">
        <f t="shared" si="39"/>
        <v>5Wiltshire</v>
      </c>
      <c r="B2471">
        <v>5</v>
      </c>
      <c r="C2471" t="s">
        <v>355</v>
      </c>
      <c r="D2471" t="s">
        <v>9599</v>
      </c>
      <c r="E2471" t="s">
        <v>5266</v>
      </c>
      <c r="F2471" t="s">
        <v>7639</v>
      </c>
      <c r="H2471">
        <v>778000</v>
      </c>
    </row>
    <row r="2472" spans="1:8" x14ac:dyDescent="0.3">
      <c r="A2472" t="str">
        <f t="shared" si="39"/>
        <v>6Wiltshire</v>
      </c>
      <c r="B2472">
        <v>6</v>
      </c>
      <c r="C2472" t="s">
        <v>355</v>
      </c>
      <c r="D2472" t="s">
        <v>9600</v>
      </c>
      <c r="E2472" t="s">
        <v>806</v>
      </c>
      <c r="F2472" t="s">
        <v>917</v>
      </c>
      <c r="H2472">
        <v>89000</v>
      </c>
    </row>
    <row r="2473" spans="1:8" x14ac:dyDescent="0.3">
      <c r="A2473" t="str">
        <f t="shared" si="39"/>
        <v>7Wiltshire</v>
      </c>
      <c r="B2473">
        <v>7</v>
      </c>
      <c r="C2473" t="s">
        <v>355</v>
      </c>
      <c r="D2473" t="s">
        <v>9601</v>
      </c>
      <c r="E2473" t="s">
        <v>7658</v>
      </c>
      <c r="H2473">
        <v>59000</v>
      </c>
    </row>
    <row r="2474" spans="1:8" x14ac:dyDescent="0.3">
      <c r="A2474" t="str">
        <f t="shared" si="39"/>
        <v>8Wiltshire</v>
      </c>
      <c r="B2474">
        <v>8</v>
      </c>
      <c r="C2474" t="s">
        <v>355</v>
      </c>
      <c r="D2474" t="s">
        <v>9602</v>
      </c>
      <c r="E2474" t="s">
        <v>7657</v>
      </c>
      <c r="F2474" t="s">
        <v>7632</v>
      </c>
      <c r="H2474">
        <v>178000</v>
      </c>
    </row>
    <row r="2475" spans="1:8" x14ac:dyDescent="0.3">
      <c r="A2475" t="str">
        <f t="shared" si="39"/>
        <v>9Wiltshire</v>
      </c>
      <c r="B2475">
        <v>9</v>
      </c>
      <c r="C2475" t="s">
        <v>355</v>
      </c>
      <c r="D2475" t="s">
        <v>7706</v>
      </c>
      <c r="E2475" t="s">
        <v>7662</v>
      </c>
      <c r="H2475">
        <v>45000</v>
      </c>
    </row>
    <row r="2476" spans="1:8" x14ac:dyDescent="0.3">
      <c r="A2476" t="str">
        <f t="shared" si="39"/>
        <v>10Wiltshire</v>
      </c>
      <c r="B2476">
        <v>10</v>
      </c>
      <c r="C2476" t="s">
        <v>355</v>
      </c>
      <c r="D2476" t="s">
        <v>9603</v>
      </c>
      <c r="E2476" t="s">
        <v>842</v>
      </c>
      <c r="H2476">
        <v>75000</v>
      </c>
    </row>
    <row r="2477" spans="1:8" x14ac:dyDescent="0.3">
      <c r="A2477" t="str">
        <f t="shared" si="39"/>
        <v>11Wiltshire</v>
      </c>
      <c r="B2477">
        <v>11</v>
      </c>
      <c r="C2477" t="s">
        <v>355</v>
      </c>
      <c r="D2477" t="s">
        <v>9604</v>
      </c>
      <c r="E2477" t="s">
        <v>7658</v>
      </c>
      <c r="F2477" t="s">
        <v>369</v>
      </c>
      <c r="H2477">
        <v>324000</v>
      </c>
    </row>
    <row r="2478" spans="1:8" x14ac:dyDescent="0.3">
      <c r="A2478" t="str">
        <f t="shared" si="39"/>
        <v>12Wiltshire</v>
      </c>
      <c r="B2478">
        <v>12</v>
      </c>
      <c r="C2478" t="s">
        <v>355</v>
      </c>
      <c r="D2478" t="s">
        <v>9605</v>
      </c>
      <c r="E2478" t="s">
        <v>7658</v>
      </c>
      <c r="H2478">
        <v>302000</v>
      </c>
    </row>
    <row r="2479" spans="1:8" x14ac:dyDescent="0.3">
      <c r="A2479" t="str">
        <f t="shared" si="39"/>
        <v>13Wiltshire</v>
      </c>
      <c r="B2479">
        <v>13</v>
      </c>
      <c r="C2479" t="s">
        <v>355</v>
      </c>
      <c r="D2479" t="s">
        <v>9606</v>
      </c>
      <c r="E2479" t="s">
        <v>812</v>
      </c>
      <c r="H2479">
        <v>85000</v>
      </c>
    </row>
    <row r="2480" spans="1:8" x14ac:dyDescent="0.3">
      <c r="A2480" t="str">
        <f t="shared" si="39"/>
        <v>1Windsor and Maidenhead</v>
      </c>
      <c r="B2480">
        <v>1</v>
      </c>
      <c r="C2480" t="s">
        <v>357</v>
      </c>
      <c r="D2480" t="s">
        <v>9607</v>
      </c>
      <c r="E2480" t="s">
        <v>842</v>
      </c>
      <c r="F2480" t="s">
        <v>7636</v>
      </c>
      <c r="H2480">
        <v>115200</v>
      </c>
    </row>
    <row r="2481" spans="1:8" x14ac:dyDescent="0.3">
      <c r="A2481" t="str">
        <f t="shared" si="39"/>
        <v>2Windsor and Maidenhead</v>
      </c>
      <c r="B2481">
        <v>2</v>
      </c>
      <c r="C2481" t="s">
        <v>357</v>
      </c>
      <c r="D2481" t="s">
        <v>9608</v>
      </c>
      <c r="E2481" t="s">
        <v>806</v>
      </c>
      <c r="F2481" t="s">
        <v>917</v>
      </c>
      <c r="H2481">
        <v>281848</v>
      </c>
    </row>
    <row r="2482" spans="1:8" x14ac:dyDescent="0.3">
      <c r="A2482" t="str">
        <f t="shared" si="39"/>
        <v>3Windsor and Maidenhead</v>
      </c>
      <c r="B2482">
        <v>3</v>
      </c>
      <c r="C2482" t="s">
        <v>357</v>
      </c>
      <c r="D2482" t="s">
        <v>9609</v>
      </c>
      <c r="E2482" t="s">
        <v>1113</v>
      </c>
      <c r="F2482" t="s">
        <v>7629</v>
      </c>
      <c r="H2482">
        <v>37435</v>
      </c>
    </row>
    <row r="2483" spans="1:8" x14ac:dyDescent="0.3">
      <c r="A2483" t="str">
        <f t="shared" si="39"/>
        <v>4Windsor and Maidenhead</v>
      </c>
      <c r="B2483">
        <v>4</v>
      </c>
      <c r="C2483" t="s">
        <v>357</v>
      </c>
      <c r="D2483" t="s">
        <v>9610</v>
      </c>
      <c r="E2483" t="s">
        <v>1113</v>
      </c>
      <c r="F2483" t="s">
        <v>7629</v>
      </c>
      <c r="H2483">
        <v>74870</v>
      </c>
    </row>
    <row r="2484" spans="1:8" x14ac:dyDescent="0.3">
      <c r="A2484" t="str">
        <f t="shared" si="39"/>
        <v>5Windsor and Maidenhead</v>
      </c>
      <c r="B2484">
        <v>5</v>
      </c>
      <c r="C2484" t="s">
        <v>357</v>
      </c>
      <c r="D2484" t="s">
        <v>9611</v>
      </c>
      <c r="E2484" t="s">
        <v>800</v>
      </c>
      <c r="F2484" t="s">
        <v>2108</v>
      </c>
      <c r="H2484">
        <v>27941</v>
      </c>
    </row>
    <row r="2485" spans="1:8" x14ac:dyDescent="0.3">
      <c r="A2485" t="str">
        <f t="shared" si="39"/>
        <v>6Windsor and Maidenhead</v>
      </c>
      <c r="B2485">
        <v>6</v>
      </c>
      <c r="C2485" t="s">
        <v>357</v>
      </c>
      <c r="D2485" t="s">
        <v>9612</v>
      </c>
      <c r="E2485" t="s">
        <v>1113</v>
      </c>
      <c r="F2485" t="s">
        <v>7629</v>
      </c>
      <c r="H2485">
        <v>32927</v>
      </c>
    </row>
    <row r="2486" spans="1:8" x14ac:dyDescent="0.3">
      <c r="A2486" t="str">
        <f t="shared" si="39"/>
        <v>1Wirral</v>
      </c>
      <c r="B2486">
        <v>1</v>
      </c>
      <c r="C2486" t="s">
        <v>359</v>
      </c>
      <c r="D2486" t="s">
        <v>8731</v>
      </c>
      <c r="E2486" t="s">
        <v>7657</v>
      </c>
      <c r="F2486" t="s">
        <v>7640</v>
      </c>
      <c r="H2486">
        <v>8808</v>
      </c>
    </row>
    <row r="2487" spans="1:8" x14ac:dyDescent="0.3">
      <c r="A2487" t="str">
        <f t="shared" si="39"/>
        <v>2Wirral</v>
      </c>
      <c r="B2487">
        <v>2</v>
      </c>
      <c r="C2487" t="s">
        <v>359</v>
      </c>
      <c r="D2487" t="s">
        <v>9613</v>
      </c>
      <c r="E2487" t="s">
        <v>7657</v>
      </c>
      <c r="F2487" t="s">
        <v>7632</v>
      </c>
      <c r="H2487">
        <v>9000</v>
      </c>
    </row>
    <row r="2488" spans="1:8" x14ac:dyDescent="0.3">
      <c r="A2488" t="str">
        <f t="shared" si="39"/>
        <v>3Wirral</v>
      </c>
      <c r="B2488">
        <v>3</v>
      </c>
      <c r="C2488" t="s">
        <v>359</v>
      </c>
      <c r="D2488" t="s">
        <v>9614</v>
      </c>
      <c r="E2488" t="s">
        <v>7657</v>
      </c>
      <c r="F2488" t="s">
        <v>7632</v>
      </c>
      <c r="H2488">
        <v>46000</v>
      </c>
    </row>
    <row r="2489" spans="1:8" x14ac:dyDescent="0.3">
      <c r="A2489" t="str">
        <f t="shared" si="39"/>
        <v>4Wirral</v>
      </c>
      <c r="B2489">
        <v>4</v>
      </c>
      <c r="C2489" t="s">
        <v>359</v>
      </c>
      <c r="D2489" t="s">
        <v>3557</v>
      </c>
      <c r="E2489" t="s">
        <v>1106</v>
      </c>
      <c r="F2489" t="s">
        <v>7628</v>
      </c>
      <c r="H2489">
        <v>569000</v>
      </c>
    </row>
    <row r="2490" spans="1:8" x14ac:dyDescent="0.3">
      <c r="A2490" t="str">
        <f t="shared" si="39"/>
        <v>5Wirral</v>
      </c>
      <c r="B2490">
        <v>5</v>
      </c>
      <c r="C2490" t="s">
        <v>359</v>
      </c>
      <c r="D2490" t="s">
        <v>9615</v>
      </c>
      <c r="E2490" t="s">
        <v>7658</v>
      </c>
      <c r="H2490">
        <v>40500</v>
      </c>
    </row>
    <row r="2491" spans="1:8" x14ac:dyDescent="0.3">
      <c r="A2491" t="str">
        <f t="shared" si="39"/>
        <v>6Wirral</v>
      </c>
      <c r="B2491">
        <v>6</v>
      </c>
      <c r="C2491" t="s">
        <v>359</v>
      </c>
      <c r="D2491" t="s">
        <v>9616</v>
      </c>
      <c r="E2491" t="s">
        <v>5266</v>
      </c>
      <c r="F2491" t="s">
        <v>7631</v>
      </c>
      <c r="H2491">
        <v>362000</v>
      </c>
    </row>
    <row r="2492" spans="1:8" x14ac:dyDescent="0.3">
      <c r="A2492" t="str">
        <f t="shared" si="39"/>
        <v>7Wirral</v>
      </c>
      <c r="B2492">
        <v>7</v>
      </c>
      <c r="C2492" t="s">
        <v>359</v>
      </c>
      <c r="D2492" t="s">
        <v>9617</v>
      </c>
      <c r="E2492" t="s">
        <v>7657</v>
      </c>
      <c r="F2492" t="s">
        <v>7632</v>
      </c>
      <c r="H2492">
        <v>300000</v>
      </c>
    </row>
    <row r="2493" spans="1:8" x14ac:dyDescent="0.3">
      <c r="A2493" t="str">
        <f t="shared" si="39"/>
        <v>8Wirral</v>
      </c>
      <c r="B2493">
        <v>8</v>
      </c>
      <c r="C2493" t="s">
        <v>359</v>
      </c>
      <c r="D2493" t="s">
        <v>9618</v>
      </c>
      <c r="E2493" t="s">
        <v>7657</v>
      </c>
      <c r="F2493" t="s">
        <v>7632</v>
      </c>
      <c r="H2493">
        <v>30000</v>
      </c>
    </row>
    <row r="2494" spans="1:8" x14ac:dyDescent="0.3">
      <c r="A2494" t="str">
        <f t="shared" si="39"/>
        <v>9Wirral</v>
      </c>
      <c r="B2494">
        <v>9</v>
      </c>
      <c r="C2494" t="s">
        <v>359</v>
      </c>
      <c r="D2494" t="s">
        <v>1977</v>
      </c>
      <c r="E2494" t="s">
        <v>1113</v>
      </c>
      <c r="F2494" t="s">
        <v>7637</v>
      </c>
      <c r="H2494">
        <v>853747</v>
      </c>
    </row>
    <row r="2495" spans="1:8" x14ac:dyDescent="0.3">
      <c r="A2495" t="str">
        <f t="shared" si="39"/>
        <v>10Wirral</v>
      </c>
      <c r="B2495">
        <v>10</v>
      </c>
      <c r="C2495" t="s">
        <v>359</v>
      </c>
      <c r="D2495" t="s">
        <v>9619</v>
      </c>
      <c r="E2495" t="s">
        <v>7657</v>
      </c>
      <c r="F2495" t="s">
        <v>7632</v>
      </c>
      <c r="H2495">
        <v>150000</v>
      </c>
    </row>
    <row r="2496" spans="1:8" x14ac:dyDescent="0.3">
      <c r="A2496" t="str">
        <f t="shared" si="39"/>
        <v>11Wirral</v>
      </c>
      <c r="B2496">
        <v>11</v>
      </c>
      <c r="C2496" t="s">
        <v>359</v>
      </c>
      <c r="D2496" t="s">
        <v>9620</v>
      </c>
      <c r="E2496" t="s">
        <v>842</v>
      </c>
      <c r="F2496" t="s">
        <v>1594</v>
      </c>
      <c r="H2496">
        <v>210000</v>
      </c>
    </row>
    <row r="2497" spans="1:8" x14ac:dyDescent="0.3">
      <c r="A2497" t="str">
        <f t="shared" si="39"/>
        <v>12Wirral</v>
      </c>
      <c r="B2497">
        <v>12</v>
      </c>
      <c r="C2497" t="s">
        <v>359</v>
      </c>
      <c r="D2497" t="s">
        <v>9621</v>
      </c>
      <c r="E2497" t="s">
        <v>1106</v>
      </c>
      <c r="F2497" t="s">
        <v>7628</v>
      </c>
      <c r="H2497">
        <v>262045</v>
      </c>
    </row>
    <row r="2498" spans="1:8" x14ac:dyDescent="0.3">
      <c r="A2498" t="str">
        <f t="shared" si="39"/>
        <v>13Wirral</v>
      </c>
      <c r="B2498">
        <v>13</v>
      </c>
      <c r="C2498" t="s">
        <v>359</v>
      </c>
      <c r="D2498" t="s">
        <v>9622</v>
      </c>
      <c r="E2498" t="s">
        <v>812</v>
      </c>
      <c r="H2498">
        <v>401931</v>
      </c>
    </row>
    <row r="2499" spans="1:8" x14ac:dyDescent="0.3">
      <c r="A2499" t="str">
        <f t="shared" si="39"/>
        <v>14Wirral</v>
      </c>
      <c r="B2499">
        <v>14</v>
      </c>
      <c r="C2499" t="s">
        <v>359</v>
      </c>
      <c r="D2499" t="s">
        <v>9623</v>
      </c>
      <c r="E2499" t="s">
        <v>1106</v>
      </c>
      <c r="F2499" t="s">
        <v>812</v>
      </c>
      <c r="H2499">
        <v>200000</v>
      </c>
    </row>
    <row r="2500" spans="1:8" x14ac:dyDescent="0.3">
      <c r="A2500" t="str">
        <f t="shared" si="39"/>
        <v>15Wirral</v>
      </c>
      <c r="B2500">
        <v>15</v>
      </c>
      <c r="C2500" t="s">
        <v>359</v>
      </c>
      <c r="D2500" t="s">
        <v>7218</v>
      </c>
      <c r="E2500" t="s">
        <v>806</v>
      </c>
      <c r="F2500" t="s">
        <v>807</v>
      </c>
      <c r="H2500">
        <v>200000</v>
      </c>
    </row>
    <row r="2501" spans="1:8" x14ac:dyDescent="0.3">
      <c r="A2501" t="str">
        <f t="shared" si="39"/>
        <v>16Wirral</v>
      </c>
      <c r="B2501">
        <v>16</v>
      </c>
      <c r="C2501" t="s">
        <v>359</v>
      </c>
      <c r="D2501" t="s">
        <v>9624</v>
      </c>
      <c r="E2501" t="s">
        <v>842</v>
      </c>
      <c r="F2501" t="s">
        <v>812</v>
      </c>
      <c r="H2501">
        <v>225000</v>
      </c>
    </row>
    <row r="2502" spans="1:8" x14ac:dyDescent="0.3">
      <c r="A2502" t="str">
        <f t="shared" si="39"/>
        <v>17Wirral</v>
      </c>
      <c r="B2502">
        <v>17</v>
      </c>
      <c r="C2502" t="s">
        <v>359</v>
      </c>
      <c r="D2502" t="s">
        <v>9625</v>
      </c>
      <c r="E2502" t="s">
        <v>7649</v>
      </c>
      <c r="F2502" t="s">
        <v>7638</v>
      </c>
      <c r="H2502">
        <v>140000</v>
      </c>
    </row>
    <row r="2503" spans="1:8" x14ac:dyDescent="0.3">
      <c r="A2503" t="str">
        <f t="shared" ref="A2503:A2566" si="40">B2503&amp;C2503</f>
        <v>18Wirral</v>
      </c>
      <c r="B2503">
        <v>18</v>
      </c>
      <c r="C2503" t="s">
        <v>359</v>
      </c>
      <c r="D2503" t="s">
        <v>9626</v>
      </c>
      <c r="E2503" t="s">
        <v>7649</v>
      </c>
      <c r="F2503" t="s">
        <v>7638</v>
      </c>
      <c r="H2503">
        <v>250000</v>
      </c>
    </row>
    <row r="2504" spans="1:8" x14ac:dyDescent="0.3">
      <c r="A2504" t="str">
        <f t="shared" si="40"/>
        <v>19Wirral</v>
      </c>
      <c r="B2504">
        <v>19</v>
      </c>
      <c r="C2504" t="s">
        <v>359</v>
      </c>
      <c r="D2504" t="s">
        <v>7769</v>
      </c>
      <c r="E2504" t="s">
        <v>842</v>
      </c>
      <c r="F2504" t="s">
        <v>7636</v>
      </c>
      <c r="H2504">
        <v>38000</v>
      </c>
    </row>
    <row r="2505" spans="1:8" x14ac:dyDescent="0.3">
      <c r="A2505" t="str">
        <f t="shared" si="40"/>
        <v>20Wirral</v>
      </c>
      <c r="B2505">
        <v>20</v>
      </c>
      <c r="C2505" t="s">
        <v>359</v>
      </c>
      <c r="D2505" t="s">
        <v>7186</v>
      </c>
      <c r="E2505" t="s">
        <v>800</v>
      </c>
      <c r="F2505" t="s">
        <v>903</v>
      </c>
      <c r="H2505">
        <v>17000</v>
      </c>
    </row>
    <row r="2506" spans="1:8" x14ac:dyDescent="0.3">
      <c r="A2506" t="str">
        <f t="shared" si="40"/>
        <v>1Wokingham</v>
      </c>
      <c r="B2506">
        <v>1</v>
      </c>
      <c r="C2506" t="s">
        <v>361</v>
      </c>
      <c r="D2506" t="s">
        <v>8504</v>
      </c>
      <c r="E2506" t="s">
        <v>7657</v>
      </c>
      <c r="F2506" t="s">
        <v>7632</v>
      </c>
      <c r="H2506">
        <v>340000</v>
      </c>
    </row>
    <row r="2507" spans="1:8" x14ac:dyDescent="0.3">
      <c r="A2507" t="str">
        <f t="shared" si="40"/>
        <v>2Wokingham</v>
      </c>
      <c r="B2507">
        <v>2</v>
      </c>
      <c r="C2507" t="s">
        <v>361</v>
      </c>
      <c r="D2507" t="s">
        <v>7351</v>
      </c>
      <c r="E2507" t="s">
        <v>806</v>
      </c>
      <c r="F2507" t="s">
        <v>807</v>
      </c>
      <c r="H2507">
        <v>50000</v>
      </c>
    </row>
    <row r="2508" spans="1:8" x14ac:dyDescent="0.3">
      <c r="A2508" t="str">
        <f t="shared" si="40"/>
        <v>3Wokingham</v>
      </c>
      <c r="B2508">
        <v>3</v>
      </c>
      <c r="C2508" t="s">
        <v>361</v>
      </c>
      <c r="D2508" t="s">
        <v>9627</v>
      </c>
      <c r="E2508" t="s">
        <v>800</v>
      </c>
      <c r="F2508" t="s">
        <v>903</v>
      </c>
      <c r="H2508">
        <v>40000</v>
      </c>
    </row>
    <row r="2509" spans="1:8" x14ac:dyDescent="0.3">
      <c r="A2509" t="str">
        <f t="shared" si="40"/>
        <v>4Wokingham</v>
      </c>
      <c r="B2509">
        <v>4</v>
      </c>
      <c r="C2509" t="s">
        <v>361</v>
      </c>
      <c r="D2509" t="s">
        <v>9628</v>
      </c>
      <c r="E2509" t="s">
        <v>842</v>
      </c>
      <c r="F2509" t="s">
        <v>7636</v>
      </c>
      <c r="H2509">
        <v>35000</v>
      </c>
    </row>
    <row r="2510" spans="1:8" x14ac:dyDescent="0.3">
      <c r="A2510" t="str">
        <f t="shared" si="40"/>
        <v>5Wokingham</v>
      </c>
      <c r="B2510">
        <v>5</v>
      </c>
      <c r="C2510" t="s">
        <v>361</v>
      </c>
      <c r="D2510" t="s">
        <v>9629</v>
      </c>
      <c r="E2510" t="s">
        <v>842</v>
      </c>
      <c r="F2510" t="s">
        <v>7636</v>
      </c>
      <c r="H2510">
        <v>54658</v>
      </c>
    </row>
    <row r="2511" spans="1:8" x14ac:dyDescent="0.3">
      <c r="A2511" t="str">
        <f t="shared" si="40"/>
        <v>6Wokingham</v>
      </c>
      <c r="B2511">
        <v>6</v>
      </c>
      <c r="C2511" t="s">
        <v>361</v>
      </c>
      <c r="D2511" t="s">
        <v>9013</v>
      </c>
      <c r="E2511" t="s">
        <v>842</v>
      </c>
      <c r="F2511" t="s">
        <v>7636</v>
      </c>
      <c r="H2511">
        <v>65000</v>
      </c>
    </row>
    <row r="2512" spans="1:8" x14ac:dyDescent="0.3">
      <c r="A2512" t="str">
        <f t="shared" si="40"/>
        <v>7Wokingham</v>
      </c>
      <c r="B2512">
        <v>7</v>
      </c>
      <c r="C2512" t="s">
        <v>361</v>
      </c>
      <c r="D2512" t="s">
        <v>9013</v>
      </c>
      <c r="E2512" t="s">
        <v>806</v>
      </c>
      <c r="F2512" t="s">
        <v>807</v>
      </c>
      <c r="H2512">
        <v>65000</v>
      </c>
    </row>
    <row r="2513" spans="1:8" x14ac:dyDescent="0.3">
      <c r="A2513" t="str">
        <f t="shared" si="40"/>
        <v>8Wokingham</v>
      </c>
      <c r="B2513">
        <v>8</v>
      </c>
      <c r="C2513" t="s">
        <v>361</v>
      </c>
      <c r="D2513" t="s">
        <v>9630</v>
      </c>
      <c r="E2513" t="s">
        <v>806</v>
      </c>
      <c r="F2513" t="s">
        <v>7642</v>
      </c>
      <c r="H2513">
        <v>150000</v>
      </c>
    </row>
    <row r="2514" spans="1:8" x14ac:dyDescent="0.3">
      <c r="A2514" t="str">
        <f t="shared" si="40"/>
        <v>9Wokingham</v>
      </c>
      <c r="B2514">
        <v>9</v>
      </c>
      <c r="C2514" t="s">
        <v>361</v>
      </c>
      <c r="D2514" t="s">
        <v>9631</v>
      </c>
      <c r="E2514" t="s">
        <v>806</v>
      </c>
      <c r="F2514" t="s">
        <v>7642</v>
      </c>
      <c r="H2514">
        <v>75000</v>
      </c>
    </row>
    <row r="2515" spans="1:8" x14ac:dyDescent="0.3">
      <c r="A2515" t="str">
        <f t="shared" si="40"/>
        <v>10Wokingham</v>
      </c>
      <c r="B2515">
        <v>10</v>
      </c>
      <c r="C2515" t="s">
        <v>361</v>
      </c>
      <c r="D2515" t="s">
        <v>9632</v>
      </c>
      <c r="E2515" t="s">
        <v>5266</v>
      </c>
      <c r="F2515" t="s">
        <v>7631</v>
      </c>
      <c r="H2515">
        <v>126000</v>
      </c>
    </row>
    <row r="2516" spans="1:8" x14ac:dyDescent="0.3">
      <c r="A2516" t="str">
        <f t="shared" si="40"/>
        <v>1Wolverhampton</v>
      </c>
      <c r="B2516">
        <v>1</v>
      </c>
      <c r="C2516" t="s">
        <v>363</v>
      </c>
      <c r="D2516" t="s">
        <v>9633</v>
      </c>
      <c r="E2516" t="s">
        <v>7657</v>
      </c>
      <c r="F2516" t="s">
        <v>7704</v>
      </c>
      <c r="H2516">
        <v>142309</v>
      </c>
    </row>
    <row r="2517" spans="1:8" x14ac:dyDescent="0.3">
      <c r="A2517" t="str">
        <f t="shared" si="40"/>
        <v>2Wolverhampton</v>
      </c>
      <c r="B2517">
        <v>2</v>
      </c>
      <c r="C2517" t="s">
        <v>363</v>
      </c>
      <c r="D2517" t="s">
        <v>9634</v>
      </c>
      <c r="E2517" t="s">
        <v>800</v>
      </c>
      <c r="F2517" t="s">
        <v>903</v>
      </c>
      <c r="H2517">
        <v>100000</v>
      </c>
    </row>
    <row r="2518" spans="1:8" x14ac:dyDescent="0.3">
      <c r="A2518" t="str">
        <f t="shared" si="40"/>
        <v>3Wolverhampton</v>
      </c>
      <c r="B2518">
        <v>3</v>
      </c>
      <c r="C2518" t="s">
        <v>363</v>
      </c>
      <c r="D2518" t="s">
        <v>9635</v>
      </c>
      <c r="E2518" t="s">
        <v>800</v>
      </c>
      <c r="F2518" t="s">
        <v>903</v>
      </c>
      <c r="H2518">
        <v>60000</v>
      </c>
    </row>
    <row r="2519" spans="1:8" x14ac:dyDescent="0.3">
      <c r="A2519" t="str">
        <f t="shared" si="40"/>
        <v>4Wolverhampton</v>
      </c>
      <c r="B2519">
        <v>4</v>
      </c>
      <c r="C2519" t="s">
        <v>363</v>
      </c>
      <c r="D2519" t="s">
        <v>8141</v>
      </c>
      <c r="E2519" t="s">
        <v>806</v>
      </c>
      <c r="F2519" t="s">
        <v>807</v>
      </c>
      <c r="H2519">
        <v>430280</v>
      </c>
    </row>
    <row r="2520" spans="1:8" x14ac:dyDescent="0.3">
      <c r="A2520" t="str">
        <f t="shared" si="40"/>
        <v>5Wolverhampton</v>
      </c>
      <c r="B2520">
        <v>5</v>
      </c>
      <c r="C2520" t="s">
        <v>363</v>
      </c>
      <c r="D2520" t="s">
        <v>9636</v>
      </c>
      <c r="E2520" t="s">
        <v>806</v>
      </c>
      <c r="F2520" t="s">
        <v>917</v>
      </c>
      <c r="H2520">
        <v>195000</v>
      </c>
    </row>
    <row r="2521" spans="1:8" x14ac:dyDescent="0.3">
      <c r="A2521" t="str">
        <f t="shared" si="40"/>
        <v>6Wolverhampton</v>
      </c>
      <c r="B2521">
        <v>6</v>
      </c>
      <c r="C2521" t="s">
        <v>363</v>
      </c>
      <c r="D2521" t="s">
        <v>9637</v>
      </c>
      <c r="E2521" t="s">
        <v>7658</v>
      </c>
      <c r="F2521" t="s">
        <v>7704</v>
      </c>
      <c r="H2521">
        <v>46322</v>
      </c>
    </row>
    <row r="2522" spans="1:8" x14ac:dyDescent="0.3">
      <c r="A2522" t="str">
        <f t="shared" si="40"/>
        <v>7Wolverhampton</v>
      </c>
      <c r="B2522">
        <v>7</v>
      </c>
      <c r="C2522" t="s">
        <v>363</v>
      </c>
      <c r="D2522" t="s">
        <v>9638</v>
      </c>
      <c r="E2522" t="s">
        <v>7662</v>
      </c>
      <c r="F2522" t="s">
        <v>7704</v>
      </c>
      <c r="H2522">
        <v>11470</v>
      </c>
    </row>
    <row r="2523" spans="1:8" x14ac:dyDescent="0.3">
      <c r="A2523" t="str">
        <f t="shared" si="40"/>
        <v>8Wolverhampton</v>
      </c>
      <c r="B2523">
        <v>8</v>
      </c>
      <c r="C2523" t="s">
        <v>363</v>
      </c>
      <c r="D2523" t="s">
        <v>9639</v>
      </c>
      <c r="E2523" t="s">
        <v>842</v>
      </c>
      <c r="F2523" t="s">
        <v>7704</v>
      </c>
      <c r="H2523">
        <v>40000</v>
      </c>
    </row>
    <row r="2524" spans="1:8" x14ac:dyDescent="0.3">
      <c r="A2524" t="str">
        <f t="shared" si="40"/>
        <v>9Wolverhampton</v>
      </c>
      <c r="B2524">
        <v>9</v>
      </c>
      <c r="C2524" t="s">
        <v>363</v>
      </c>
      <c r="D2524" t="s">
        <v>9640</v>
      </c>
      <c r="E2524" t="s">
        <v>1106</v>
      </c>
      <c r="F2524" t="s">
        <v>7628</v>
      </c>
      <c r="H2524">
        <v>235000</v>
      </c>
    </row>
    <row r="2525" spans="1:8" x14ac:dyDescent="0.3">
      <c r="A2525" t="str">
        <f t="shared" si="40"/>
        <v>10Wolverhampton</v>
      </c>
      <c r="B2525">
        <v>10</v>
      </c>
      <c r="C2525" t="s">
        <v>363</v>
      </c>
      <c r="D2525" t="s">
        <v>9641</v>
      </c>
      <c r="E2525" t="s">
        <v>806</v>
      </c>
      <c r="F2525" t="s">
        <v>807</v>
      </c>
      <c r="H2525">
        <v>142500</v>
      </c>
    </row>
    <row r="2526" spans="1:8" x14ac:dyDescent="0.3">
      <c r="A2526" t="str">
        <f t="shared" si="40"/>
        <v>11Wolverhampton</v>
      </c>
      <c r="B2526">
        <v>11</v>
      </c>
      <c r="C2526" t="s">
        <v>363</v>
      </c>
      <c r="D2526" t="s">
        <v>9642</v>
      </c>
      <c r="E2526" t="s">
        <v>7657</v>
      </c>
      <c r="F2526" t="s">
        <v>7632</v>
      </c>
      <c r="H2526">
        <v>32197</v>
      </c>
    </row>
    <row r="2527" spans="1:8" x14ac:dyDescent="0.3">
      <c r="A2527" t="str">
        <f t="shared" si="40"/>
        <v>12Wolverhampton</v>
      </c>
      <c r="B2527">
        <v>12</v>
      </c>
      <c r="C2527" t="s">
        <v>363</v>
      </c>
      <c r="D2527" t="s">
        <v>9643</v>
      </c>
      <c r="E2527" t="s">
        <v>7658</v>
      </c>
      <c r="F2527" t="s">
        <v>7704</v>
      </c>
      <c r="H2527">
        <v>15000</v>
      </c>
    </row>
    <row r="2528" spans="1:8" x14ac:dyDescent="0.3">
      <c r="A2528" t="str">
        <f t="shared" si="40"/>
        <v>13Wolverhampton</v>
      </c>
      <c r="B2528">
        <v>13</v>
      </c>
      <c r="C2528" t="s">
        <v>363</v>
      </c>
      <c r="D2528" t="s">
        <v>9644</v>
      </c>
      <c r="E2528" t="s">
        <v>1113</v>
      </c>
      <c r="F2528" t="s">
        <v>7637</v>
      </c>
      <c r="H2528">
        <v>99886</v>
      </c>
    </row>
    <row r="2529" spans="1:8" x14ac:dyDescent="0.3">
      <c r="A2529" t="str">
        <f t="shared" si="40"/>
        <v>14Wolverhampton</v>
      </c>
      <c r="B2529">
        <v>14</v>
      </c>
      <c r="C2529" t="s">
        <v>363</v>
      </c>
      <c r="D2529" t="s">
        <v>9645</v>
      </c>
      <c r="E2529" t="s">
        <v>7658</v>
      </c>
      <c r="F2529" t="s">
        <v>7704</v>
      </c>
      <c r="H2529">
        <v>20000</v>
      </c>
    </row>
    <row r="2530" spans="1:8" x14ac:dyDescent="0.3">
      <c r="A2530" t="str">
        <f t="shared" si="40"/>
        <v>15Wolverhampton</v>
      </c>
      <c r="B2530">
        <v>15</v>
      </c>
      <c r="C2530" t="s">
        <v>363</v>
      </c>
      <c r="D2530" t="s">
        <v>9646</v>
      </c>
      <c r="E2530" t="s">
        <v>812</v>
      </c>
      <c r="F2530" t="s">
        <v>7704</v>
      </c>
      <c r="H2530">
        <v>25452</v>
      </c>
    </row>
    <row r="2531" spans="1:8" x14ac:dyDescent="0.3">
      <c r="A2531" t="str">
        <f t="shared" si="40"/>
        <v>16Wolverhampton</v>
      </c>
      <c r="B2531">
        <v>16</v>
      </c>
      <c r="C2531" t="s">
        <v>363</v>
      </c>
      <c r="D2531" t="s">
        <v>9647</v>
      </c>
      <c r="E2531" t="s">
        <v>806</v>
      </c>
      <c r="F2531" t="s">
        <v>807</v>
      </c>
      <c r="H2531">
        <v>77000</v>
      </c>
    </row>
    <row r="2532" spans="1:8" x14ac:dyDescent="0.3">
      <c r="A2532" t="str">
        <f t="shared" si="40"/>
        <v>17Wolverhampton</v>
      </c>
      <c r="B2532">
        <v>17</v>
      </c>
      <c r="C2532" t="s">
        <v>363</v>
      </c>
      <c r="D2532" t="s">
        <v>9648</v>
      </c>
      <c r="E2532" t="s">
        <v>7657</v>
      </c>
      <c r="F2532" t="s">
        <v>7632</v>
      </c>
      <c r="H2532">
        <v>12267</v>
      </c>
    </row>
    <row r="2533" spans="1:8" x14ac:dyDescent="0.3">
      <c r="A2533" t="str">
        <f t="shared" si="40"/>
        <v>18Wolverhampton</v>
      </c>
      <c r="B2533">
        <v>18</v>
      </c>
      <c r="C2533" t="s">
        <v>363</v>
      </c>
      <c r="D2533" t="s">
        <v>9649</v>
      </c>
      <c r="E2533" t="s">
        <v>7658</v>
      </c>
      <c r="F2533" t="s">
        <v>7704</v>
      </c>
      <c r="H2533">
        <v>58000</v>
      </c>
    </row>
    <row r="2534" spans="1:8" x14ac:dyDescent="0.3">
      <c r="A2534" t="str">
        <f t="shared" si="40"/>
        <v>19Wolverhampton</v>
      </c>
      <c r="B2534">
        <v>19</v>
      </c>
      <c r="C2534" t="s">
        <v>363</v>
      </c>
      <c r="D2534" t="s">
        <v>9650</v>
      </c>
      <c r="E2534" t="s">
        <v>7649</v>
      </c>
      <c r="F2534" t="s">
        <v>7638</v>
      </c>
      <c r="H2534">
        <v>50000</v>
      </c>
    </row>
    <row r="2535" spans="1:8" x14ac:dyDescent="0.3">
      <c r="A2535" t="str">
        <f t="shared" si="40"/>
        <v>20Wolverhampton</v>
      </c>
      <c r="B2535">
        <v>20</v>
      </c>
      <c r="C2535" t="s">
        <v>363</v>
      </c>
      <c r="D2535" t="s">
        <v>9651</v>
      </c>
      <c r="E2535" t="s">
        <v>842</v>
      </c>
      <c r="F2535" t="s">
        <v>7636</v>
      </c>
      <c r="H2535">
        <v>19114</v>
      </c>
    </row>
    <row r="2536" spans="1:8" x14ac:dyDescent="0.3">
      <c r="A2536" t="str">
        <f t="shared" si="40"/>
        <v>21Wolverhampton</v>
      </c>
      <c r="B2536">
        <v>21</v>
      </c>
      <c r="C2536" t="s">
        <v>363</v>
      </c>
      <c r="D2536" t="s">
        <v>9652</v>
      </c>
      <c r="E2536" t="s">
        <v>842</v>
      </c>
      <c r="F2536" t="s">
        <v>843</v>
      </c>
      <c r="H2536">
        <v>175000</v>
      </c>
    </row>
    <row r="2537" spans="1:8" x14ac:dyDescent="0.3">
      <c r="A2537" t="str">
        <f t="shared" si="40"/>
        <v>22Wolverhampton</v>
      </c>
      <c r="B2537">
        <v>22</v>
      </c>
      <c r="C2537" t="s">
        <v>363</v>
      </c>
      <c r="D2537" t="s">
        <v>9653</v>
      </c>
      <c r="E2537" t="s">
        <v>7657</v>
      </c>
      <c r="F2537" t="s">
        <v>7632</v>
      </c>
      <c r="H2537">
        <v>190288</v>
      </c>
    </row>
    <row r="2538" spans="1:8" x14ac:dyDescent="0.3">
      <c r="A2538" t="str">
        <f t="shared" si="40"/>
        <v>23Wolverhampton</v>
      </c>
      <c r="B2538">
        <v>23</v>
      </c>
      <c r="C2538" t="s">
        <v>363</v>
      </c>
      <c r="D2538" t="s">
        <v>9654</v>
      </c>
      <c r="E2538" t="s">
        <v>7662</v>
      </c>
      <c r="F2538" t="s">
        <v>7704</v>
      </c>
      <c r="H2538">
        <v>14000</v>
      </c>
    </row>
    <row r="2539" spans="1:8" x14ac:dyDescent="0.3">
      <c r="A2539" t="str">
        <f t="shared" si="40"/>
        <v>24Wolverhampton</v>
      </c>
      <c r="B2539">
        <v>24</v>
      </c>
      <c r="C2539" t="s">
        <v>363</v>
      </c>
      <c r="D2539" t="s">
        <v>9655</v>
      </c>
      <c r="E2539" t="s">
        <v>7657</v>
      </c>
      <c r="F2539" t="s">
        <v>7632</v>
      </c>
      <c r="H2539">
        <v>32461</v>
      </c>
    </row>
    <row r="2540" spans="1:8" x14ac:dyDescent="0.3">
      <c r="A2540" t="str">
        <f t="shared" si="40"/>
        <v>25Wolverhampton</v>
      </c>
      <c r="B2540">
        <v>25</v>
      </c>
      <c r="C2540" t="s">
        <v>363</v>
      </c>
      <c r="D2540" t="s">
        <v>9656</v>
      </c>
      <c r="E2540" t="s">
        <v>800</v>
      </c>
      <c r="F2540" t="s">
        <v>812</v>
      </c>
      <c r="H2540">
        <v>89033</v>
      </c>
    </row>
    <row r="2541" spans="1:8" x14ac:dyDescent="0.3">
      <c r="A2541" t="str">
        <f t="shared" si="40"/>
        <v>26Wolverhampton</v>
      </c>
      <c r="B2541">
        <v>26</v>
      </c>
      <c r="C2541" t="s">
        <v>363</v>
      </c>
      <c r="D2541" t="s">
        <v>9657</v>
      </c>
      <c r="E2541" t="s">
        <v>812</v>
      </c>
      <c r="F2541" t="s">
        <v>7704</v>
      </c>
      <c r="H2541">
        <v>10000</v>
      </c>
    </row>
    <row r="2542" spans="1:8" x14ac:dyDescent="0.3">
      <c r="A2542" t="str">
        <f t="shared" si="40"/>
        <v>27Wolverhampton</v>
      </c>
      <c r="B2542">
        <v>27</v>
      </c>
      <c r="C2542" t="s">
        <v>363</v>
      </c>
      <c r="D2542" t="s">
        <v>8154</v>
      </c>
      <c r="E2542" t="s">
        <v>800</v>
      </c>
      <c r="F2542" t="s">
        <v>812</v>
      </c>
      <c r="H2542">
        <v>218000</v>
      </c>
    </row>
    <row r="2543" spans="1:8" x14ac:dyDescent="0.3">
      <c r="A2543" t="str">
        <f t="shared" si="40"/>
        <v>1Worcestershire</v>
      </c>
      <c r="B2543">
        <v>1</v>
      </c>
      <c r="C2543" t="s">
        <v>365</v>
      </c>
      <c r="D2543" t="s">
        <v>9658</v>
      </c>
      <c r="E2543" t="s">
        <v>7658</v>
      </c>
      <c r="H2543">
        <v>25100</v>
      </c>
    </row>
    <row r="2544" spans="1:8" x14ac:dyDescent="0.3">
      <c r="A2544" t="str">
        <f t="shared" si="40"/>
        <v>2Worcestershire</v>
      </c>
      <c r="B2544">
        <v>2</v>
      </c>
      <c r="C2544" t="s">
        <v>365</v>
      </c>
      <c r="D2544" t="s">
        <v>9659</v>
      </c>
      <c r="E2544" t="s">
        <v>1106</v>
      </c>
      <c r="F2544" t="s">
        <v>7628</v>
      </c>
      <c r="H2544">
        <v>25984</v>
      </c>
    </row>
    <row r="2545" spans="1:8" x14ac:dyDescent="0.3">
      <c r="A2545" t="str">
        <f t="shared" si="40"/>
        <v>3Worcestershire</v>
      </c>
      <c r="B2545">
        <v>3</v>
      </c>
      <c r="C2545" t="s">
        <v>365</v>
      </c>
      <c r="D2545" t="s">
        <v>9660</v>
      </c>
      <c r="E2545" t="s">
        <v>7657</v>
      </c>
      <c r="F2545" t="s">
        <v>7632</v>
      </c>
      <c r="H2545">
        <v>12811.73076923077</v>
      </c>
    </row>
    <row r="2546" spans="1:8" x14ac:dyDescent="0.3">
      <c r="A2546" t="str">
        <f t="shared" si="40"/>
        <v>4Worcestershire</v>
      </c>
      <c r="B2546">
        <v>4</v>
      </c>
      <c r="C2546" t="s">
        <v>365</v>
      </c>
      <c r="D2546" t="s">
        <v>9661</v>
      </c>
      <c r="E2546" t="s">
        <v>812</v>
      </c>
      <c r="H2546">
        <v>200000</v>
      </c>
    </row>
    <row r="2547" spans="1:8" x14ac:dyDescent="0.3">
      <c r="A2547" t="str">
        <f t="shared" si="40"/>
        <v>5Worcestershire</v>
      </c>
      <c r="B2547">
        <v>5</v>
      </c>
      <c r="C2547" t="s">
        <v>365</v>
      </c>
      <c r="D2547" t="s">
        <v>9662</v>
      </c>
      <c r="E2547" t="s">
        <v>1113</v>
      </c>
      <c r="F2547" t="s">
        <v>7637</v>
      </c>
      <c r="H2547">
        <v>558462.4</v>
      </c>
    </row>
    <row r="2548" spans="1:8" x14ac:dyDescent="0.3">
      <c r="A2548" t="str">
        <f t="shared" si="40"/>
        <v>6Worcestershire</v>
      </c>
      <c r="B2548">
        <v>6</v>
      </c>
      <c r="C2548" t="s">
        <v>365</v>
      </c>
      <c r="D2548" t="s">
        <v>6817</v>
      </c>
      <c r="E2548" t="s">
        <v>842</v>
      </c>
      <c r="F2548" t="s">
        <v>7636</v>
      </c>
      <c r="H2548">
        <v>500000</v>
      </c>
    </row>
    <row r="2549" spans="1:8" x14ac:dyDescent="0.3">
      <c r="A2549" t="str">
        <f t="shared" si="40"/>
        <v>7Worcestershire</v>
      </c>
      <c r="B2549">
        <v>7</v>
      </c>
      <c r="C2549" t="s">
        <v>365</v>
      </c>
      <c r="D2549" t="s">
        <v>9663</v>
      </c>
      <c r="E2549" t="s">
        <v>1106</v>
      </c>
      <c r="F2549" t="s">
        <v>7628</v>
      </c>
      <c r="H2549">
        <v>952450.6</v>
      </c>
    </row>
    <row r="2550" spans="1:8" x14ac:dyDescent="0.3">
      <c r="A2550" t="str">
        <f t="shared" si="40"/>
        <v>8Worcestershire</v>
      </c>
      <c r="B2550">
        <v>8</v>
      </c>
      <c r="C2550" t="s">
        <v>365</v>
      </c>
      <c r="D2550" t="s">
        <v>7337</v>
      </c>
      <c r="E2550" t="s">
        <v>806</v>
      </c>
      <c r="F2550" t="s">
        <v>807</v>
      </c>
      <c r="H2550">
        <v>1186242</v>
      </c>
    </row>
    <row r="2551" spans="1:8" x14ac:dyDescent="0.3">
      <c r="A2551" t="str">
        <f t="shared" si="40"/>
        <v>9Worcestershire</v>
      </c>
      <c r="B2551">
        <v>9</v>
      </c>
      <c r="C2551" t="s">
        <v>365</v>
      </c>
      <c r="D2551" t="s">
        <v>9664</v>
      </c>
      <c r="E2551" t="s">
        <v>842</v>
      </c>
      <c r="F2551" t="s">
        <v>7636</v>
      </c>
      <c r="H2551">
        <v>37050</v>
      </c>
    </row>
    <row r="2552" spans="1:8" x14ac:dyDescent="0.3">
      <c r="A2552" t="str">
        <f t="shared" si="40"/>
        <v>1York</v>
      </c>
      <c r="B2552">
        <v>1</v>
      </c>
      <c r="C2552" t="s">
        <v>368</v>
      </c>
      <c r="D2552" t="s">
        <v>9665</v>
      </c>
      <c r="E2552" t="s">
        <v>1113</v>
      </c>
      <c r="F2552" t="s">
        <v>7629</v>
      </c>
      <c r="H2552">
        <v>25530</v>
      </c>
    </row>
    <row r="2553" spans="1:8" x14ac:dyDescent="0.3">
      <c r="A2553" t="str">
        <f t="shared" si="40"/>
        <v>2York</v>
      </c>
      <c r="B2553">
        <v>2</v>
      </c>
      <c r="C2553" t="s">
        <v>368</v>
      </c>
      <c r="D2553" t="s">
        <v>8532</v>
      </c>
      <c r="E2553" t="s">
        <v>1113</v>
      </c>
      <c r="F2553" t="s">
        <v>7629</v>
      </c>
      <c r="H2553">
        <v>29990</v>
      </c>
    </row>
    <row r="2554" spans="1:8" x14ac:dyDescent="0.3">
      <c r="A2554" t="str">
        <f t="shared" si="40"/>
        <v>3York</v>
      </c>
      <c r="B2554">
        <v>3</v>
      </c>
      <c r="C2554" t="s">
        <v>368</v>
      </c>
      <c r="D2554" t="s">
        <v>8656</v>
      </c>
      <c r="E2554" t="s">
        <v>806</v>
      </c>
      <c r="F2554" t="s">
        <v>917</v>
      </c>
      <c r="H2554">
        <v>22023</v>
      </c>
    </row>
    <row r="2555" spans="1:8" x14ac:dyDescent="0.3">
      <c r="A2555" t="str">
        <f t="shared" si="40"/>
        <v>4York</v>
      </c>
      <c r="B2555">
        <v>4</v>
      </c>
      <c r="C2555" t="s">
        <v>368</v>
      </c>
      <c r="D2555" t="s">
        <v>9666</v>
      </c>
      <c r="E2555" t="s">
        <v>7662</v>
      </c>
      <c r="H2555">
        <v>17281</v>
      </c>
    </row>
    <row r="2556" spans="1:8" x14ac:dyDescent="0.3">
      <c r="A2556" t="str">
        <f t="shared" si="40"/>
        <v>5York</v>
      </c>
      <c r="B2556">
        <v>5</v>
      </c>
      <c r="C2556" t="s">
        <v>368</v>
      </c>
      <c r="D2556" t="s">
        <v>9667</v>
      </c>
      <c r="E2556" t="s">
        <v>842</v>
      </c>
      <c r="F2556" t="s">
        <v>7636</v>
      </c>
      <c r="H2556">
        <v>31467</v>
      </c>
    </row>
    <row r="2557" spans="1:8" x14ac:dyDescent="0.3">
      <c r="A2557" t="str">
        <f t="shared" si="40"/>
        <v>6York</v>
      </c>
      <c r="B2557">
        <v>6</v>
      </c>
      <c r="C2557" t="s">
        <v>368</v>
      </c>
      <c r="D2557" t="s">
        <v>9668</v>
      </c>
      <c r="E2557" t="s">
        <v>1113</v>
      </c>
      <c r="F2557" t="s">
        <v>7629</v>
      </c>
      <c r="H2557">
        <v>9900</v>
      </c>
    </row>
    <row r="2558" spans="1:8" x14ac:dyDescent="0.3">
      <c r="A2558" t="str">
        <f t="shared" si="40"/>
        <v>7York</v>
      </c>
      <c r="B2558">
        <v>7</v>
      </c>
      <c r="C2558" t="s">
        <v>368</v>
      </c>
      <c r="D2558" t="s">
        <v>9669</v>
      </c>
      <c r="E2558" t="s">
        <v>842</v>
      </c>
      <c r="F2558" t="s">
        <v>7636</v>
      </c>
      <c r="H2558">
        <v>195500</v>
      </c>
    </row>
    <row r="2559" spans="1:8" x14ac:dyDescent="0.3">
      <c r="A2559" t="str">
        <f t="shared" si="40"/>
        <v>8York</v>
      </c>
      <c r="B2559">
        <v>8</v>
      </c>
      <c r="C2559" t="s">
        <v>368</v>
      </c>
      <c r="D2559" t="s">
        <v>1447</v>
      </c>
      <c r="E2559" t="s">
        <v>842</v>
      </c>
      <c r="F2559" t="s">
        <v>7636</v>
      </c>
      <c r="H2559">
        <v>193591</v>
      </c>
    </row>
    <row r="2560" spans="1:8" x14ac:dyDescent="0.3">
      <c r="A2560" t="str">
        <f t="shared" si="40"/>
        <v>9York</v>
      </c>
      <c r="B2560">
        <v>9</v>
      </c>
      <c r="C2560" t="s">
        <v>368</v>
      </c>
      <c r="D2560" t="s">
        <v>9670</v>
      </c>
      <c r="E2560" t="s">
        <v>842</v>
      </c>
      <c r="F2560" t="s">
        <v>7636</v>
      </c>
      <c r="H2560">
        <v>149150</v>
      </c>
    </row>
    <row r="2561" spans="1:8" x14ac:dyDescent="0.3">
      <c r="A2561" t="str">
        <f t="shared" si="40"/>
        <v>10York</v>
      </c>
      <c r="B2561">
        <v>10</v>
      </c>
      <c r="C2561" t="s">
        <v>368</v>
      </c>
      <c r="D2561" t="s">
        <v>8024</v>
      </c>
      <c r="E2561" t="s">
        <v>812</v>
      </c>
      <c r="H2561">
        <v>93981</v>
      </c>
    </row>
    <row r="2562" spans="1:8" x14ac:dyDescent="0.3">
      <c r="A2562" t="str">
        <f t="shared" si="40"/>
        <v>11York</v>
      </c>
      <c r="B2562">
        <v>11</v>
      </c>
      <c r="C2562" t="s">
        <v>368</v>
      </c>
      <c r="D2562" t="s">
        <v>7430</v>
      </c>
      <c r="E2562" t="s">
        <v>806</v>
      </c>
      <c r="F2562" t="s">
        <v>917</v>
      </c>
      <c r="H2562">
        <v>158840</v>
      </c>
    </row>
    <row r="2563" spans="1:8" x14ac:dyDescent="0.3">
      <c r="A2563" t="str">
        <f t="shared" si="40"/>
        <v>12York</v>
      </c>
      <c r="B2563">
        <v>12</v>
      </c>
      <c r="C2563" t="s">
        <v>368</v>
      </c>
      <c r="D2563" t="s">
        <v>9671</v>
      </c>
      <c r="E2563" t="s">
        <v>806</v>
      </c>
      <c r="F2563" t="s">
        <v>807</v>
      </c>
      <c r="H2563">
        <v>181947.29</v>
      </c>
    </row>
    <row r="2564" spans="1:8" x14ac:dyDescent="0.3">
      <c r="A2564" t="str">
        <f t="shared" si="40"/>
        <v>13York</v>
      </c>
      <c r="B2564">
        <v>13</v>
      </c>
      <c r="C2564" t="s">
        <v>368</v>
      </c>
      <c r="D2564" t="s">
        <v>9672</v>
      </c>
      <c r="E2564" t="s">
        <v>806</v>
      </c>
      <c r="F2564" t="s">
        <v>807</v>
      </c>
      <c r="H2564">
        <v>255360</v>
      </c>
    </row>
    <row r="2565" spans="1:8" x14ac:dyDescent="0.3">
      <c r="A2565" t="str">
        <f t="shared" si="40"/>
        <v>14York</v>
      </c>
      <c r="B2565">
        <v>14</v>
      </c>
      <c r="C2565" t="s">
        <v>368</v>
      </c>
      <c r="D2565" t="s">
        <v>9673</v>
      </c>
      <c r="E2565" t="s">
        <v>806</v>
      </c>
      <c r="F2565" t="s">
        <v>917</v>
      </c>
      <c r="H2565">
        <v>11400</v>
      </c>
    </row>
    <row r="2566" spans="1:8" x14ac:dyDescent="0.3">
      <c r="A2566" t="str">
        <f t="shared" si="40"/>
        <v>15York</v>
      </c>
      <c r="B2566">
        <v>15</v>
      </c>
      <c r="C2566" t="s">
        <v>368</v>
      </c>
      <c r="D2566" t="s">
        <v>7769</v>
      </c>
      <c r="E2566" t="s">
        <v>812</v>
      </c>
      <c r="H2566">
        <v>30000</v>
      </c>
    </row>
    <row r="2567" spans="1:8" x14ac:dyDescent="0.3">
      <c r="A2567" t="str">
        <f t="shared" ref="A2567:A2570" si="41">B2567&amp;C2567</f>
        <v>16York</v>
      </c>
      <c r="B2567">
        <v>16</v>
      </c>
      <c r="C2567" t="s">
        <v>368</v>
      </c>
      <c r="D2567" t="s">
        <v>5602</v>
      </c>
      <c r="E2567" t="s">
        <v>812</v>
      </c>
      <c r="H2567">
        <v>56667</v>
      </c>
    </row>
    <row r="2568" spans="1:8" x14ac:dyDescent="0.3">
      <c r="A2568" t="str">
        <f t="shared" si="41"/>
        <v>17York</v>
      </c>
      <c r="B2568">
        <v>17</v>
      </c>
      <c r="C2568" t="s">
        <v>368</v>
      </c>
      <c r="D2568" t="s">
        <v>9674</v>
      </c>
      <c r="E2568" t="s">
        <v>812</v>
      </c>
      <c r="H2568">
        <v>200000</v>
      </c>
    </row>
    <row r="2569" spans="1:8" x14ac:dyDescent="0.3">
      <c r="A2569" t="str">
        <f t="shared" si="41"/>
        <v>18York</v>
      </c>
      <c r="B2569">
        <v>18</v>
      </c>
      <c r="C2569" t="s">
        <v>368</v>
      </c>
      <c r="D2569" t="s">
        <v>9675</v>
      </c>
      <c r="E2569" t="s">
        <v>812</v>
      </c>
      <c r="H2569">
        <v>33333</v>
      </c>
    </row>
    <row r="2570" spans="1:8" x14ac:dyDescent="0.3">
      <c r="A2570" t="str">
        <f t="shared" si="41"/>
        <v>19York</v>
      </c>
      <c r="B2570">
        <v>19</v>
      </c>
      <c r="C2570" t="s">
        <v>368</v>
      </c>
      <c r="D2570" t="s">
        <v>9676</v>
      </c>
      <c r="E2570" t="s">
        <v>1113</v>
      </c>
      <c r="F2570" t="s">
        <v>7629</v>
      </c>
      <c r="H2570">
        <v>32149</v>
      </c>
    </row>
  </sheetData>
  <autoFilter ref="A1:H2570" xr:uid="{DB4F46A1-82A3-45B3-BC1A-F25F35A2D8A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1048572"/>
  <sheetViews>
    <sheetView showGridLines="0" topLeftCell="A162" zoomScaleNormal="100" workbookViewId="0">
      <selection activeCell="D168" sqref="D168:F168"/>
    </sheetView>
  </sheetViews>
  <sheetFormatPr defaultColWidth="0" defaultRowHeight="14.4" zeroHeight="1" x14ac:dyDescent="0.3"/>
  <cols>
    <col min="1" max="1" width="4.6640625" customWidth="1"/>
    <col min="2" max="2" width="30.6640625" customWidth="1"/>
    <col min="3" max="3" width="47.88671875" customWidth="1"/>
    <col min="4" max="4" width="21.6640625" customWidth="1"/>
    <col min="5" max="5" width="14.6640625" customWidth="1"/>
    <col min="6" max="6" width="16.6640625" customWidth="1"/>
    <col min="7" max="7" width="20.6640625" customWidth="1"/>
    <col min="8" max="8" width="0.88671875" customWidth="1"/>
    <col min="9" max="9" width="16.6640625" customWidth="1"/>
    <col min="10" max="10" width="0.88671875" customWidth="1"/>
    <col min="11" max="11" width="4.6640625" customWidth="1"/>
    <col min="12" max="15" width="9.109375" hidden="1" customWidth="1"/>
    <col min="16" max="16" width="10.88671875" hidden="1" customWidth="1"/>
    <col min="17" max="17" width="3" hidden="1" customWidth="1"/>
    <col min="18" max="18" width="4.6640625" customWidth="1"/>
    <col min="19" max="16384" width="9.109375" hidden="1"/>
  </cols>
  <sheetData>
    <row r="1" spans="1:17" x14ac:dyDescent="0.3">
      <c r="A1" s="120" t="s">
        <v>62</v>
      </c>
      <c r="L1" s="3"/>
      <c r="M1" s="3"/>
      <c r="N1" s="3"/>
      <c r="O1" s="3"/>
      <c r="P1" s="3"/>
      <c r="Q1" s="3"/>
    </row>
    <row r="2" spans="1:17" x14ac:dyDescent="0.3">
      <c r="L2" s="3"/>
      <c r="M2" s="3"/>
      <c r="N2" s="3"/>
      <c r="O2" s="3"/>
      <c r="P2" s="3"/>
      <c r="Q2" s="3" t="s">
        <v>63</v>
      </c>
    </row>
    <row r="3" spans="1:17" x14ac:dyDescent="0.3">
      <c r="L3" s="3"/>
      <c r="M3" s="3"/>
      <c r="N3" s="3"/>
      <c r="O3" s="3"/>
      <c r="P3" s="3" t="s">
        <v>64</v>
      </c>
      <c r="Q3" s="3" t="s">
        <v>65</v>
      </c>
    </row>
    <row r="4" spans="1:17" x14ac:dyDescent="0.3">
      <c r="L4" s="3"/>
      <c r="M4" s="3"/>
      <c r="N4" s="3"/>
      <c r="O4" s="3"/>
      <c r="P4" s="3" t="s">
        <v>66</v>
      </c>
      <c r="Q4" s="3" t="s">
        <v>67</v>
      </c>
    </row>
    <row r="5" spans="1:17" x14ac:dyDescent="0.3">
      <c r="L5" s="3"/>
      <c r="M5" s="3"/>
      <c r="N5" s="3"/>
      <c r="O5" s="3"/>
      <c r="P5" s="3" t="s">
        <v>68</v>
      </c>
      <c r="Q5" s="3" t="s">
        <v>69</v>
      </c>
    </row>
    <row r="6" spans="1:17" x14ac:dyDescent="0.3">
      <c r="L6" s="3"/>
      <c r="M6" s="3"/>
      <c r="N6" s="3"/>
      <c r="O6" s="3"/>
      <c r="P6" s="3" t="s">
        <v>70</v>
      </c>
      <c r="Q6" s="3" t="s">
        <v>71</v>
      </c>
    </row>
    <row r="7" spans="1:17" hidden="1" x14ac:dyDescent="0.3">
      <c r="L7" s="3"/>
      <c r="M7" s="3"/>
      <c r="N7" s="3"/>
      <c r="O7" s="3"/>
      <c r="P7" s="3" t="s">
        <v>72</v>
      </c>
      <c r="Q7" s="3" t="s">
        <v>73</v>
      </c>
    </row>
    <row r="8" spans="1:17" hidden="1" x14ac:dyDescent="0.3">
      <c r="L8" s="3"/>
      <c r="M8" s="3"/>
      <c r="N8" s="3"/>
      <c r="O8" s="3"/>
      <c r="P8" s="3" t="s">
        <v>74</v>
      </c>
      <c r="Q8" s="3" t="s">
        <v>75</v>
      </c>
    </row>
    <row r="9" spans="1:17" hidden="1" x14ac:dyDescent="0.3">
      <c r="L9" s="3"/>
      <c r="M9" s="3"/>
      <c r="N9" s="3"/>
      <c r="O9" s="3"/>
      <c r="P9" s="3" t="s">
        <v>76</v>
      </c>
      <c r="Q9" s="3" t="s">
        <v>77</v>
      </c>
    </row>
    <row r="10" spans="1:17" hidden="1" x14ac:dyDescent="0.3">
      <c r="L10" s="3"/>
      <c r="M10" s="3"/>
      <c r="N10" s="3"/>
      <c r="O10" s="3"/>
      <c r="P10" s="3" t="s">
        <v>78</v>
      </c>
      <c r="Q10" s="3" t="s">
        <v>79</v>
      </c>
    </row>
    <row r="11" spans="1:17" hidden="1" x14ac:dyDescent="0.3">
      <c r="L11" s="3"/>
      <c r="M11" s="3"/>
      <c r="N11" s="3"/>
      <c r="O11" s="3"/>
      <c r="P11" s="3" t="s">
        <v>80</v>
      </c>
      <c r="Q11" s="3" t="s">
        <v>81</v>
      </c>
    </row>
    <row r="12" spans="1:17" hidden="1" x14ac:dyDescent="0.3">
      <c r="L12" s="3"/>
      <c r="M12" s="3"/>
      <c r="N12" s="3"/>
      <c r="O12" s="3"/>
      <c r="P12" s="3" t="s">
        <v>82</v>
      </c>
      <c r="Q12" s="3" t="s">
        <v>83</v>
      </c>
    </row>
    <row r="13" spans="1:17" hidden="1" x14ac:dyDescent="0.3">
      <c r="L13" s="3"/>
      <c r="M13" s="3"/>
      <c r="N13" s="3"/>
      <c r="O13" s="3"/>
      <c r="P13" s="3" t="s">
        <v>84</v>
      </c>
      <c r="Q13" s="3" t="s">
        <v>85</v>
      </c>
    </row>
    <row r="14" spans="1:17" hidden="1" x14ac:dyDescent="0.3">
      <c r="L14" s="3"/>
      <c r="M14" s="3"/>
      <c r="N14" s="3"/>
      <c r="O14" s="3"/>
      <c r="P14" s="3" t="s">
        <v>86</v>
      </c>
      <c r="Q14" s="3" t="s">
        <v>87</v>
      </c>
    </row>
    <row r="15" spans="1:17" hidden="1" x14ac:dyDescent="0.3">
      <c r="L15" s="3"/>
      <c r="M15" s="3"/>
      <c r="N15" s="3"/>
      <c r="O15" s="3"/>
      <c r="P15" s="3" t="s">
        <v>88</v>
      </c>
      <c r="Q15" s="3" t="s">
        <v>89</v>
      </c>
    </row>
    <row r="16" spans="1:17" hidden="1" x14ac:dyDescent="0.3">
      <c r="L16" s="3"/>
      <c r="M16" s="3"/>
      <c r="N16" s="3"/>
      <c r="O16" s="3"/>
      <c r="P16" s="3" t="s">
        <v>90</v>
      </c>
      <c r="Q16" s="3" t="s">
        <v>91</v>
      </c>
    </row>
    <row r="17" spans="12:17" hidden="1" x14ac:dyDescent="0.3">
      <c r="L17" s="3"/>
      <c r="M17" s="3"/>
      <c r="N17" s="3"/>
      <c r="O17" s="3"/>
      <c r="P17" s="3" t="s">
        <v>92</v>
      </c>
      <c r="Q17" s="3" t="s">
        <v>93</v>
      </c>
    </row>
    <row r="18" spans="12:17" hidden="1" x14ac:dyDescent="0.3">
      <c r="L18" s="3"/>
      <c r="M18" s="3"/>
      <c r="N18" s="3"/>
      <c r="O18" s="3"/>
      <c r="P18" s="3" t="s">
        <v>94</v>
      </c>
      <c r="Q18" s="3" t="s">
        <v>95</v>
      </c>
    </row>
    <row r="19" spans="12:17" hidden="1" x14ac:dyDescent="0.3">
      <c r="L19" s="3"/>
      <c r="M19" s="3"/>
      <c r="N19" s="3"/>
      <c r="O19" s="3"/>
      <c r="P19" s="3" t="s">
        <v>96</v>
      </c>
      <c r="Q19" s="3" t="s">
        <v>97</v>
      </c>
    </row>
    <row r="20" spans="12:17" hidden="1" x14ac:dyDescent="0.3">
      <c r="L20" s="3"/>
      <c r="M20" s="3"/>
      <c r="N20" s="3"/>
      <c r="O20" s="3"/>
      <c r="P20" s="3" t="s">
        <v>98</v>
      </c>
      <c r="Q20" s="3" t="s">
        <v>99</v>
      </c>
    </row>
    <row r="21" spans="12:17" hidden="1" x14ac:dyDescent="0.3">
      <c r="L21" s="3"/>
      <c r="M21" s="3"/>
      <c r="N21" s="3"/>
      <c r="O21" s="3"/>
      <c r="P21" s="3" t="s">
        <v>100</v>
      </c>
      <c r="Q21" s="3" t="s">
        <v>101</v>
      </c>
    </row>
    <row r="22" spans="12:17" hidden="1" x14ac:dyDescent="0.3">
      <c r="L22" s="3"/>
      <c r="M22" s="3"/>
      <c r="N22" s="3"/>
      <c r="O22" s="3"/>
      <c r="P22" s="3" t="s">
        <v>102</v>
      </c>
      <c r="Q22" s="3" t="s">
        <v>103</v>
      </c>
    </row>
    <row r="23" spans="12:17" hidden="1" x14ac:dyDescent="0.3">
      <c r="L23" s="3"/>
      <c r="M23" s="3"/>
      <c r="N23" s="3"/>
      <c r="O23" s="3"/>
      <c r="P23" s="3" t="s">
        <v>104</v>
      </c>
      <c r="Q23" s="3" t="s">
        <v>105</v>
      </c>
    </row>
    <row r="24" spans="12:17" hidden="1" x14ac:dyDescent="0.3">
      <c r="L24" s="3"/>
      <c r="M24" s="3"/>
      <c r="N24" s="3"/>
      <c r="O24" s="3"/>
      <c r="P24" s="3" t="s">
        <v>106</v>
      </c>
      <c r="Q24" s="3" t="s">
        <v>107</v>
      </c>
    </row>
    <row r="25" spans="12:17" hidden="1" x14ac:dyDescent="0.3">
      <c r="L25" s="3"/>
      <c r="M25" s="3"/>
      <c r="N25" s="3"/>
      <c r="O25" s="3"/>
      <c r="P25" s="3" t="s">
        <v>108</v>
      </c>
      <c r="Q25" s="3" t="s">
        <v>109</v>
      </c>
    </row>
    <row r="26" spans="12:17" hidden="1" x14ac:dyDescent="0.3">
      <c r="L26" s="3"/>
      <c r="M26" s="3"/>
      <c r="N26" s="3"/>
      <c r="O26" s="3"/>
      <c r="P26" s="3" t="s">
        <v>110</v>
      </c>
      <c r="Q26" s="3" t="s">
        <v>111</v>
      </c>
    </row>
    <row r="27" spans="12:17" hidden="1" x14ac:dyDescent="0.3">
      <c r="L27" s="3"/>
      <c r="M27" s="3"/>
      <c r="N27" s="3"/>
      <c r="O27" s="3"/>
      <c r="P27" s="3" t="s">
        <v>112</v>
      </c>
      <c r="Q27" s="3" t="s">
        <v>113</v>
      </c>
    </row>
    <row r="28" spans="12:17" hidden="1" x14ac:dyDescent="0.3">
      <c r="L28" s="3"/>
      <c r="M28" s="3"/>
      <c r="N28" s="3"/>
      <c r="O28" s="3"/>
      <c r="P28" s="3" t="s">
        <v>114</v>
      </c>
      <c r="Q28" s="3" t="s">
        <v>115</v>
      </c>
    </row>
    <row r="29" spans="12:17" hidden="1" x14ac:dyDescent="0.3">
      <c r="L29" s="3"/>
      <c r="M29" s="3"/>
      <c r="N29" s="3"/>
      <c r="O29" s="3"/>
      <c r="P29" s="3" t="s">
        <v>116</v>
      </c>
      <c r="Q29" s="3" t="s">
        <v>117</v>
      </c>
    </row>
    <row r="30" spans="12:17" hidden="1" x14ac:dyDescent="0.3">
      <c r="L30" s="3"/>
      <c r="M30" s="3"/>
      <c r="N30" s="3"/>
      <c r="O30" s="3"/>
      <c r="P30" s="3" t="s">
        <v>118</v>
      </c>
      <c r="Q30" s="3" t="s">
        <v>119</v>
      </c>
    </row>
    <row r="31" spans="12:17" hidden="1" x14ac:dyDescent="0.3">
      <c r="L31" s="3"/>
      <c r="M31" s="3"/>
      <c r="N31" s="3"/>
      <c r="O31" s="3"/>
      <c r="P31" s="3" t="s">
        <v>120</v>
      </c>
      <c r="Q31" s="3" t="s">
        <v>121</v>
      </c>
    </row>
    <row r="32" spans="12:17" hidden="1" x14ac:dyDescent="0.3">
      <c r="L32" s="3"/>
      <c r="M32" s="3"/>
      <c r="N32" s="3"/>
      <c r="O32" s="3"/>
      <c r="P32" s="3" t="s">
        <v>122</v>
      </c>
      <c r="Q32" s="3" t="s">
        <v>123</v>
      </c>
    </row>
    <row r="33" spans="12:17" hidden="1" x14ac:dyDescent="0.3">
      <c r="L33" s="3"/>
      <c r="M33" s="3"/>
      <c r="N33" s="3"/>
      <c r="O33" s="3"/>
      <c r="P33" s="3" t="s">
        <v>124</v>
      </c>
      <c r="Q33" s="3" t="s">
        <v>125</v>
      </c>
    </row>
    <row r="34" spans="12:17" hidden="1" x14ac:dyDescent="0.3">
      <c r="L34" s="3"/>
      <c r="M34" s="3"/>
      <c r="N34" s="3"/>
      <c r="O34" s="3"/>
      <c r="P34" s="3" t="s">
        <v>126</v>
      </c>
      <c r="Q34" s="3" t="s">
        <v>127</v>
      </c>
    </row>
    <row r="35" spans="12:17" hidden="1" x14ac:dyDescent="0.3">
      <c r="L35" s="3"/>
      <c r="M35" s="3"/>
      <c r="N35" s="3"/>
      <c r="O35" s="3"/>
      <c r="P35" s="3" t="s">
        <v>128</v>
      </c>
      <c r="Q35" s="3" t="s">
        <v>129</v>
      </c>
    </row>
    <row r="36" spans="12:17" hidden="1" x14ac:dyDescent="0.3">
      <c r="L36" s="3"/>
      <c r="M36" s="3"/>
      <c r="N36" s="3"/>
      <c r="O36" s="3"/>
      <c r="P36" s="3" t="s">
        <v>130</v>
      </c>
      <c r="Q36" s="3" t="s">
        <v>131</v>
      </c>
    </row>
    <row r="37" spans="12:17" hidden="1" x14ac:dyDescent="0.3">
      <c r="L37" s="3"/>
      <c r="M37" s="3"/>
      <c r="N37" s="3"/>
      <c r="O37" s="3"/>
      <c r="P37" s="3" t="s">
        <v>132</v>
      </c>
      <c r="Q37" s="3" t="s">
        <v>133</v>
      </c>
    </row>
    <row r="38" spans="12:17" hidden="1" x14ac:dyDescent="0.3">
      <c r="L38" s="3"/>
      <c r="M38" s="3"/>
      <c r="N38" s="3"/>
      <c r="O38" s="3"/>
      <c r="P38" s="3" t="s">
        <v>134</v>
      </c>
      <c r="Q38" s="3" t="s">
        <v>135</v>
      </c>
    </row>
    <row r="39" spans="12:17" hidden="1" x14ac:dyDescent="0.3">
      <c r="L39" s="3"/>
      <c r="M39" s="3"/>
      <c r="N39" s="3"/>
      <c r="O39" s="3"/>
      <c r="P39" s="3" t="s">
        <v>136</v>
      </c>
      <c r="Q39" s="3" t="s">
        <v>137</v>
      </c>
    </row>
    <row r="40" spans="12:17" hidden="1" x14ac:dyDescent="0.3">
      <c r="L40" s="3"/>
      <c r="M40" s="3"/>
      <c r="N40" s="3"/>
      <c r="O40" s="3"/>
      <c r="P40" s="3" t="s">
        <v>138</v>
      </c>
      <c r="Q40" s="3" t="s">
        <v>139</v>
      </c>
    </row>
    <row r="41" spans="12:17" hidden="1" x14ac:dyDescent="0.3">
      <c r="L41" s="3"/>
      <c r="M41" s="3"/>
      <c r="N41" s="3"/>
      <c r="O41" s="3"/>
      <c r="P41" s="3" t="s">
        <v>140</v>
      </c>
      <c r="Q41" s="3" t="s">
        <v>141</v>
      </c>
    </row>
    <row r="42" spans="12:17" hidden="1" x14ac:dyDescent="0.3">
      <c r="L42" s="3"/>
      <c r="M42" s="3"/>
      <c r="N42" s="3"/>
      <c r="O42" s="3"/>
      <c r="P42" s="3" t="s">
        <v>142</v>
      </c>
      <c r="Q42" s="3" t="s">
        <v>143</v>
      </c>
    </row>
    <row r="43" spans="12:17" hidden="1" x14ac:dyDescent="0.3">
      <c r="L43" s="3"/>
      <c r="M43" s="3"/>
      <c r="N43" s="3"/>
      <c r="O43" s="3"/>
      <c r="P43" s="3" t="s">
        <v>144</v>
      </c>
      <c r="Q43" s="3" t="s">
        <v>145</v>
      </c>
    </row>
    <row r="44" spans="12:17" hidden="1" x14ac:dyDescent="0.3">
      <c r="L44" s="3"/>
      <c r="M44" s="3"/>
      <c r="N44" s="3"/>
      <c r="O44" s="3"/>
      <c r="P44" s="3" t="s">
        <v>146</v>
      </c>
      <c r="Q44" s="3" t="s">
        <v>147</v>
      </c>
    </row>
    <row r="45" spans="12:17" hidden="1" x14ac:dyDescent="0.3">
      <c r="L45" s="3"/>
      <c r="M45" s="3"/>
      <c r="N45" s="3"/>
      <c r="O45" s="3"/>
      <c r="P45" s="3" t="s">
        <v>148</v>
      </c>
      <c r="Q45" s="3" t="s">
        <v>149</v>
      </c>
    </row>
    <row r="46" spans="12:17" hidden="1" x14ac:dyDescent="0.3">
      <c r="L46" s="3"/>
      <c r="M46" s="3"/>
      <c r="N46" s="3"/>
      <c r="O46" s="3"/>
      <c r="P46" s="3" t="s">
        <v>150</v>
      </c>
      <c r="Q46" s="3" t="s">
        <v>151</v>
      </c>
    </row>
    <row r="47" spans="12:17" hidden="1" x14ac:dyDescent="0.3">
      <c r="L47" s="3"/>
      <c r="M47" s="3"/>
      <c r="N47" s="3"/>
      <c r="O47" s="3"/>
      <c r="P47" s="3" t="s">
        <v>152</v>
      </c>
      <c r="Q47" s="3" t="s">
        <v>153</v>
      </c>
    </row>
    <row r="48" spans="12:17" hidden="1" x14ac:dyDescent="0.3">
      <c r="L48" s="3"/>
      <c r="M48" s="3"/>
      <c r="N48" s="3"/>
      <c r="O48" s="3"/>
      <c r="P48" s="3" t="s">
        <v>154</v>
      </c>
      <c r="Q48" s="3" t="s">
        <v>155</v>
      </c>
    </row>
    <row r="49" spans="12:17" hidden="1" x14ac:dyDescent="0.3">
      <c r="L49" s="3"/>
      <c r="M49" s="3"/>
      <c r="N49" s="3"/>
      <c r="O49" s="3"/>
      <c r="P49" s="3" t="s">
        <v>156</v>
      </c>
      <c r="Q49" s="3" t="s">
        <v>157</v>
      </c>
    </row>
    <row r="50" spans="12:17" hidden="1" x14ac:dyDescent="0.3">
      <c r="L50" s="3"/>
      <c r="M50" s="3"/>
      <c r="N50" s="3"/>
      <c r="O50" s="3"/>
      <c r="P50" s="3" t="s">
        <v>158</v>
      </c>
      <c r="Q50" s="3" t="s">
        <v>159</v>
      </c>
    </row>
    <row r="51" spans="12:17" hidden="1" x14ac:dyDescent="0.3">
      <c r="L51" s="3"/>
      <c r="M51" s="3"/>
      <c r="N51" s="3"/>
      <c r="O51" s="3"/>
      <c r="P51" s="3" t="s">
        <v>160</v>
      </c>
      <c r="Q51" s="3" t="s">
        <v>161</v>
      </c>
    </row>
    <row r="52" spans="12:17" hidden="1" x14ac:dyDescent="0.3">
      <c r="L52" s="3"/>
      <c r="M52" s="3"/>
      <c r="N52" s="3"/>
      <c r="O52" s="3"/>
      <c r="P52" s="3" t="s">
        <v>162</v>
      </c>
      <c r="Q52" s="3" t="s">
        <v>163</v>
      </c>
    </row>
    <row r="53" spans="12:17" hidden="1" x14ac:dyDescent="0.3">
      <c r="L53" s="3"/>
      <c r="M53" s="3"/>
      <c r="N53" s="3"/>
      <c r="O53" s="3"/>
      <c r="P53" s="3" t="s">
        <v>164</v>
      </c>
      <c r="Q53" s="3" t="s">
        <v>165</v>
      </c>
    </row>
    <row r="54" spans="12:17" hidden="1" x14ac:dyDescent="0.3">
      <c r="L54" s="3"/>
      <c r="M54" s="3"/>
      <c r="N54" s="3"/>
      <c r="O54" s="3"/>
      <c r="P54" s="3" t="s">
        <v>166</v>
      </c>
      <c r="Q54" s="3" t="s">
        <v>167</v>
      </c>
    </row>
    <row r="55" spans="12:17" hidden="1" x14ac:dyDescent="0.3">
      <c r="L55" s="3"/>
      <c r="M55" s="3"/>
      <c r="N55" s="3"/>
      <c r="O55" s="3"/>
      <c r="P55" s="3" t="s">
        <v>168</v>
      </c>
      <c r="Q55" s="3" t="s">
        <v>169</v>
      </c>
    </row>
    <row r="56" spans="12:17" hidden="1" x14ac:dyDescent="0.3">
      <c r="L56" s="3"/>
      <c r="M56" s="3"/>
      <c r="N56" s="3"/>
      <c r="O56" s="3"/>
      <c r="P56" s="3" t="s">
        <v>170</v>
      </c>
      <c r="Q56" s="3" t="s">
        <v>171</v>
      </c>
    </row>
    <row r="57" spans="12:17" hidden="1" x14ac:dyDescent="0.3">
      <c r="L57" s="3"/>
      <c r="M57" s="3"/>
      <c r="N57" s="3"/>
      <c r="O57" s="3"/>
      <c r="P57" s="3" t="s">
        <v>172</v>
      </c>
      <c r="Q57" s="3" t="s">
        <v>173</v>
      </c>
    </row>
    <row r="58" spans="12:17" hidden="1" x14ac:dyDescent="0.3">
      <c r="L58" s="3"/>
      <c r="M58" s="3"/>
      <c r="N58" s="3"/>
      <c r="O58" s="3"/>
      <c r="P58" s="3" t="s">
        <v>174</v>
      </c>
      <c r="Q58" s="3" t="s">
        <v>175</v>
      </c>
    </row>
    <row r="59" spans="12:17" hidden="1" x14ac:dyDescent="0.3">
      <c r="L59" s="3"/>
      <c r="M59" s="3"/>
      <c r="N59" s="3"/>
      <c r="O59" s="3"/>
      <c r="P59" s="3" t="s">
        <v>176</v>
      </c>
      <c r="Q59" s="3" t="s">
        <v>177</v>
      </c>
    </row>
    <row r="60" spans="12:17" hidden="1" x14ac:dyDescent="0.3">
      <c r="L60" s="3"/>
      <c r="M60" s="3"/>
      <c r="N60" s="3"/>
      <c r="O60" s="3"/>
      <c r="P60" s="3" t="s">
        <v>178</v>
      </c>
      <c r="Q60" s="3" t="s">
        <v>179</v>
      </c>
    </row>
    <row r="61" spans="12:17" hidden="1" x14ac:dyDescent="0.3">
      <c r="L61" s="3"/>
      <c r="M61" s="3"/>
      <c r="N61" s="3"/>
      <c r="O61" s="3"/>
      <c r="P61" s="3" t="s">
        <v>180</v>
      </c>
      <c r="Q61" s="3" t="s">
        <v>181</v>
      </c>
    </row>
    <row r="62" spans="12:17" hidden="1" x14ac:dyDescent="0.3">
      <c r="L62" s="3"/>
      <c r="M62" s="3"/>
      <c r="N62" s="3"/>
      <c r="O62" s="3"/>
      <c r="P62" s="3" t="s">
        <v>182</v>
      </c>
      <c r="Q62" s="3" t="s">
        <v>183</v>
      </c>
    </row>
    <row r="63" spans="12:17" hidden="1" x14ac:dyDescent="0.3">
      <c r="L63" s="3"/>
      <c r="M63" s="3"/>
      <c r="N63" s="3"/>
      <c r="O63" s="3"/>
      <c r="P63" s="3" t="s">
        <v>184</v>
      </c>
      <c r="Q63" s="3" t="s">
        <v>185</v>
      </c>
    </row>
    <row r="64" spans="12:17" hidden="1" x14ac:dyDescent="0.3">
      <c r="L64" s="3"/>
      <c r="M64" s="3"/>
      <c r="N64" s="3"/>
      <c r="O64" s="3"/>
      <c r="P64" s="3" t="s">
        <v>186</v>
      </c>
      <c r="Q64" s="3" t="s">
        <v>187</v>
      </c>
    </row>
    <row r="65" spans="12:17" hidden="1" x14ac:dyDescent="0.3">
      <c r="L65" s="3"/>
      <c r="M65" s="3"/>
      <c r="N65" s="3"/>
      <c r="O65" s="3"/>
      <c r="P65" s="3" t="s">
        <v>188</v>
      </c>
      <c r="Q65" s="3" t="s">
        <v>189</v>
      </c>
    </row>
    <row r="66" spans="12:17" hidden="1" x14ac:dyDescent="0.3">
      <c r="L66" s="3"/>
      <c r="M66" s="3"/>
      <c r="N66" s="3"/>
      <c r="O66" s="3"/>
      <c r="P66" s="3" t="s">
        <v>190</v>
      </c>
      <c r="Q66" s="3" t="s">
        <v>191</v>
      </c>
    </row>
    <row r="67" spans="12:17" hidden="1" x14ac:dyDescent="0.3">
      <c r="L67" s="3"/>
      <c r="M67" s="3"/>
      <c r="N67" s="3"/>
      <c r="O67" s="3"/>
      <c r="P67" s="3" t="s">
        <v>192</v>
      </c>
      <c r="Q67" s="3" t="s">
        <v>193</v>
      </c>
    </row>
    <row r="68" spans="12:17" hidden="1" x14ac:dyDescent="0.3">
      <c r="L68" s="3"/>
      <c r="M68" s="3"/>
      <c r="N68" s="3"/>
      <c r="O68" s="3"/>
      <c r="P68" s="3" t="s">
        <v>194</v>
      </c>
      <c r="Q68" s="3" t="s">
        <v>195</v>
      </c>
    </row>
    <row r="69" spans="12:17" hidden="1" x14ac:dyDescent="0.3">
      <c r="L69" s="3"/>
      <c r="M69" s="3"/>
      <c r="N69" s="3"/>
      <c r="O69" s="3"/>
      <c r="P69" s="3" t="s">
        <v>196</v>
      </c>
      <c r="Q69" s="3" t="s">
        <v>197</v>
      </c>
    </row>
    <row r="70" spans="12:17" hidden="1" x14ac:dyDescent="0.3">
      <c r="L70" s="3"/>
      <c r="M70" s="3"/>
      <c r="N70" s="3"/>
      <c r="O70" s="3"/>
      <c r="P70" s="3" t="s">
        <v>198</v>
      </c>
      <c r="Q70" s="3" t="s">
        <v>199</v>
      </c>
    </row>
    <row r="71" spans="12:17" hidden="1" x14ac:dyDescent="0.3">
      <c r="L71" s="3"/>
      <c r="M71" s="3"/>
      <c r="N71" s="3"/>
      <c r="O71" s="3"/>
      <c r="P71" s="3" t="s">
        <v>200</v>
      </c>
      <c r="Q71" s="3" t="s">
        <v>201</v>
      </c>
    </row>
    <row r="72" spans="12:17" hidden="1" x14ac:dyDescent="0.3">
      <c r="L72" s="3"/>
      <c r="M72" s="3"/>
      <c r="N72" s="3"/>
      <c r="O72" s="3"/>
      <c r="P72" s="3" t="s">
        <v>202</v>
      </c>
      <c r="Q72" s="3" t="s">
        <v>203</v>
      </c>
    </row>
    <row r="73" spans="12:17" hidden="1" x14ac:dyDescent="0.3">
      <c r="L73" s="3"/>
      <c r="M73" s="3"/>
      <c r="N73" s="3"/>
      <c r="O73" s="3"/>
      <c r="P73" s="3" t="s">
        <v>204</v>
      </c>
      <c r="Q73" s="3" t="s">
        <v>205</v>
      </c>
    </row>
    <row r="74" spans="12:17" hidden="1" x14ac:dyDescent="0.3">
      <c r="L74" s="3"/>
      <c r="M74" s="3"/>
      <c r="N74" s="3"/>
      <c r="O74" s="3"/>
      <c r="P74" s="3" t="s">
        <v>206</v>
      </c>
      <c r="Q74" s="3" t="s">
        <v>207</v>
      </c>
    </row>
    <row r="75" spans="12:17" hidden="1" x14ac:dyDescent="0.3">
      <c r="L75" s="3"/>
      <c r="M75" s="3"/>
      <c r="N75" s="3"/>
      <c r="O75" s="3"/>
      <c r="P75" s="3" t="s">
        <v>208</v>
      </c>
      <c r="Q75" s="3" t="s">
        <v>209</v>
      </c>
    </row>
    <row r="76" spans="12:17" hidden="1" x14ac:dyDescent="0.3">
      <c r="L76" s="3"/>
      <c r="M76" s="3"/>
      <c r="N76" s="3"/>
      <c r="O76" s="3"/>
      <c r="P76" s="3" t="s">
        <v>210</v>
      </c>
      <c r="Q76" s="3" t="s">
        <v>211</v>
      </c>
    </row>
    <row r="77" spans="12:17" hidden="1" x14ac:dyDescent="0.3">
      <c r="L77" s="3"/>
      <c r="M77" s="3"/>
      <c r="N77" s="3"/>
      <c r="O77" s="3"/>
      <c r="P77" s="3" t="s">
        <v>212</v>
      </c>
      <c r="Q77" s="3" t="s">
        <v>213</v>
      </c>
    </row>
    <row r="78" spans="12:17" hidden="1" x14ac:dyDescent="0.3">
      <c r="L78" s="3"/>
      <c r="M78" s="3"/>
      <c r="N78" s="3"/>
      <c r="O78" s="3"/>
      <c r="P78" s="3" t="s">
        <v>214</v>
      </c>
      <c r="Q78" s="3" t="s">
        <v>215</v>
      </c>
    </row>
    <row r="79" spans="12:17" hidden="1" x14ac:dyDescent="0.3">
      <c r="L79" s="3"/>
      <c r="M79" s="3"/>
      <c r="N79" s="3"/>
      <c r="O79" s="3"/>
      <c r="P79" s="3" t="s">
        <v>216</v>
      </c>
      <c r="Q79" s="3" t="s">
        <v>217</v>
      </c>
    </row>
    <row r="80" spans="12:17" hidden="1" x14ac:dyDescent="0.3">
      <c r="L80" s="3"/>
      <c r="M80" s="3"/>
      <c r="N80" s="3"/>
      <c r="O80" s="3"/>
      <c r="P80" s="3" t="s">
        <v>218</v>
      </c>
      <c r="Q80" s="3" t="s">
        <v>219</v>
      </c>
    </row>
    <row r="81" spans="12:17" hidden="1" x14ac:dyDescent="0.3">
      <c r="L81" s="3"/>
      <c r="M81" s="3"/>
      <c r="N81" s="3"/>
      <c r="O81" s="3"/>
      <c r="P81" s="3" t="s">
        <v>220</v>
      </c>
      <c r="Q81" s="3" t="s">
        <v>221</v>
      </c>
    </row>
    <row r="82" spans="12:17" hidden="1" x14ac:dyDescent="0.3">
      <c r="L82" s="3"/>
      <c r="M82" s="3"/>
      <c r="N82" s="3"/>
      <c r="O82" s="3"/>
      <c r="P82" s="3" t="s">
        <v>222</v>
      </c>
      <c r="Q82" s="3" t="s">
        <v>223</v>
      </c>
    </row>
    <row r="83" spans="12:17" hidden="1" x14ac:dyDescent="0.3">
      <c r="L83" s="3"/>
      <c r="M83" s="3"/>
      <c r="N83" s="3"/>
      <c r="O83" s="3"/>
      <c r="P83" s="3" t="s">
        <v>224</v>
      </c>
      <c r="Q83" s="3" t="s">
        <v>225</v>
      </c>
    </row>
    <row r="84" spans="12:17" hidden="1" x14ac:dyDescent="0.3">
      <c r="L84" s="3"/>
      <c r="M84" s="3"/>
      <c r="N84" s="3"/>
      <c r="O84" s="3"/>
      <c r="P84" s="3" t="s">
        <v>226</v>
      </c>
      <c r="Q84" s="3" t="s">
        <v>227</v>
      </c>
    </row>
    <row r="85" spans="12:17" hidden="1" x14ac:dyDescent="0.3">
      <c r="L85" s="3"/>
      <c r="M85" s="3"/>
      <c r="N85" s="3"/>
      <c r="O85" s="3"/>
      <c r="P85" s="3" t="s">
        <v>228</v>
      </c>
      <c r="Q85" s="3" t="s">
        <v>229</v>
      </c>
    </row>
    <row r="86" spans="12:17" hidden="1" x14ac:dyDescent="0.3">
      <c r="L86" s="3"/>
      <c r="M86" s="3"/>
      <c r="N86" s="3"/>
      <c r="O86" s="3"/>
      <c r="P86" s="3" t="s">
        <v>230</v>
      </c>
      <c r="Q86" s="3" t="s">
        <v>231</v>
      </c>
    </row>
    <row r="87" spans="12:17" hidden="1" x14ac:dyDescent="0.3">
      <c r="L87" s="3"/>
      <c r="M87" s="3"/>
      <c r="N87" s="3"/>
      <c r="O87" s="3"/>
      <c r="P87" s="3" t="s">
        <v>232</v>
      </c>
      <c r="Q87" s="3" t="s">
        <v>233</v>
      </c>
    </row>
    <row r="88" spans="12:17" hidden="1" x14ac:dyDescent="0.3">
      <c r="L88" s="3"/>
      <c r="M88" s="3"/>
      <c r="N88" s="3"/>
      <c r="O88" s="3"/>
      <c r="P88" s="3" t="s">
        <v>234</v>
      </c>
      <c r="Q88" s="3" t="s">
        <v>235</v>
      </c>
    </row>
    <row r="89" spans="12:17" hidden="1" x14ac:dyDescent="0.3">
      <c r="L89" s="3"/>
      <c r="M89" s="3"/>
      <c r="N89" s="3"/>
      <c r="O89" s="3"/>
      <c r="P89" s="3" t="s">
        <v>236</v>
      </c>
      <c r="Q89" s="3" t="s">
        <v>237</v>
      </c>
    </row>
    <row r="90" spans="12:17" hidden="1" x14ac:dyDescent="0.3">
      <c r="L90" s="3"/>
      <c r="M90" s="3"/>
      <c r="N90" s="3"/>
      <c r="O90" s="3"/>
      <c r="P90" s="3" t="s">
        <v>238</v>
      </c>
      <c r="Q90" s="3" t="s">
        <v>239</v>
      </c>
    </row>
    <row r="91" spans="12:17" hidden="1" x14ac:dyDescent="0.3">
      <c r="L91" s="3"/>
      <c r="M91" s="3"/>
      <c r="N91" s="3"/>
      <c r="O91" s="3"/>
      <c r="P91" s="3" t="s">
        <v>240</v>
      </c>
      <c r="Q91" s="3" t="s">
        <v>241</v>
      </c>
    </row>
    <row r="92" spans="12:17" hidden="1" x14ac:dyDescent="0.3">
      <c r="L92" s="3"/>
      <c r="M92" s="3"/>
      <c r="N92" s="3"/>
      <c r="O92" s="3"/>
      <c r="P92" s="3" t="s">
        <v>242</v>
      </c>
      <c r="Q92" s="3" t="s">
        <v>243</v>
      </c>
    </row>
    <row r="93" spans="12:17" hidden="1" x14ac:dyDescent="0.3">
      <c r="L93" s="3"/>
      <c r="M93" s="3"/>
      <c r="N93" s="3"/>
      <c r="O93" s="3"/>
      <c r="P93" s="3" t="s">
        <v>244</v>
      </c>
      <c r="Q93" s="3" t="s">
        <v>245</v>
      </c>
    </row>
    <row r="94" spans="12:17" hidden="1" x14ac:dyDescent="0.3">
      <c r="L94" s="3"/>
      <c r="M94" s="3"/>
      <c r="N94" s="3"/>
      <c r="O94" s="3"/>
      <c r="P94" s="3" t="s">
        <v>246</v>
      </c>
      <c r="Q94" s="3" t="s">
        <v>247</v>
      </c>
    </row>
    <row r="95" spans="12:17" hidden="1" x14ac:dyDescent="0.3">
      <c r="L95" s="3"/>
      <c r="M95" s="3"/>
      <c r="N95" s="3"/>
      <c r="O95" s="3"/>
      <c r="P95" s="3" t="s">
        <v>248</v>
      </c>
      <c r="Q95" s="3" t="s">
        <v>249</v>
      </c>
    </row>
    <row r="96" spans="12:17" hidden="1" x14ac:dyDescent="0.3">
      <c r="L96" s="3"/>
      <c r="M96" s="3"/>
      <c r="N96" s="3"/>
      <c r="O96" s="3"/>
      <c r="P96" s="3" t="s">
        <v>250</v>
      </c>
      <c r="Q96" s="3" t="s">
        <v>251</v>
      </c>
    </row>
    <row r="97" spans="12:17" hidden="1" x14ac:dyDescent="0.3">
      <c r="L97" s="3"/>
      <c r="M97" s="3"/>
      <c r="N97" s="3"/>
      <c r="O97" s="3"/>
      <c r="P97" s="3" t="s">
        <v>252</v>
      </c>
      <c r="Q97" s="3" t="s">
        <v>253</v>
      </c>
    </row>
    <row r="98" spans="12:17" hidden="1" x14ac:dyDescent="0.3">
      <c r="L98" s="3"/>
      <c r="M98" s="3"/>
      <c r="N98" s="3"/>
      <c r="O98" s="3"/>
      <c r="P98" s="3" t="s">
        <v>254</v>
      </c>
      <c r="Q98" s="3" t="s">
        <v>255</v>
      </c>
    </row>
    <row r="99" spans="12:17" hidden="1" x14ac:dyDescent="0.3">
      <c r="L99" s="3"/>
      <c r="M99" s="3"/>
      <c r="N99" s="3"/>
      <c r="O99" s="3"/>
      <c r="P99" s="3" t="s">
        <v>256</v>
      </c>
      <c r="Q99" s="3" t="s">
        <v>257</v>
      </c>
    </row>
    <row r="100" spans="12:17" hidden="1" x14ac:dyDescent="0.3">
      <c r="L100" s="3"/>
      <c r="M100" s="3"/>
      <c r="N100" s="3"/>
      <c r="O100" s="3"/>
      <c r="P100" s="3" t="s">
        <v>258</v>
      </c>
      <c r="Q100" s="3" t="s">
        <v>259</v>
      </c>
    </row>
    <row r="101" spans="12:17" hidden="1" x14ac:dyDescent="0.3">
      <c r="L101" s="3"/>
      <c r="M101" s="3"/>
      <c r="N101" s="3"/>
      <c r="O101" s="3"/>
      <c r="P101" s="3" t="s">
        <v>260</v>
      </c>
      <c r="Q101" s="3" t="s">
        <v>261</v>
      </c>
    </row>
    <row r="102" spans="12:17" hidden="1" x14ac:dyDescent="0.3">
      <c r="L102" s="3"/>
      <c r="M102" s="3"/>
      <c r="N102" s="3"/>
      <c r="O102" s="3"/>
      <c r="P102" s="3" t="s">
        <v>262</v>
      </c>
      <c r="Q102" s="3" t="s">
        <v>263</v>
      </c>
    </row>
    <row r="103" spans="12:17" hidden="1" x14ac:dyDescent="0.3">
      <c r="L103" s="3"/>
      <c r="M103" s="3"/>
      <c r="N103" s="3"/>
      <c r="O103" s="3"/>
      <c r="P103" s="3" t="s">
        <v>264</v>
      </c>
      <c r="Q103" s="3" t="s">
        <v>265</v>
      </c>
    </row>
    <row r="104" spans="12:17" hidden="1" x14ac:dyDescent="0.3">
      <c r="L104" s="3"/>
      <c r="M104" s="3"/>
      <c r="N104" s="3"/>
      <c r="O104" s="3"/>
      <c r="P104" s="3" t="s">
        <v>266</v>
      </c>
      <c r="Q104" s="3" t="s">
        <v>267</v>
      </c>
    </row>
    <row r="105" spans="12:17" hidden="1" x14ac:dyDescent="0.3">
      <c r="L105" s="3"/>
      <c r="M105" s="3"/>
      <c r="N105" s="3"/>
      <c r="O105" s="3"/>
      <c r="P105" s="3" t="s">
        <v>268</v>
      </c>
      <c r="Q105" s="3" t="s">
        <v>269</v>
      </c>
    </row>
    <row r="106" spans="12:17" hidden="1" x14ac:dyDescent="0.3">
      <c r="L106" s="3"/>
      <c r="M106" s="3"/>
      <c r="N106" s="3"/>
      <c r="O106" s="3"/>
      <c r="P106" s="3" t="s">
        <v>270</v>
      </c>
      <c r="Q106" s="3" t="s">
        <v>271</v>
      </c>
    </row>
    <row r="107" spans="12:17" hidden="1" x14ac:dyDescent="0.3">
      <c r="L107" s="3"/>
      <c r="M107" s="3"/>
      <c r="N107" s="3"/>
      <c r="O107" s="3"/>
      <c r="P107" s="3" t="s">
        <v>272</v>
      </c>
      <c r="Q107" s="3" t="s">
        <v>273</v>
      </c>
    </row>
    <row r="108" spans="12:17" hidden="1" x14ac:dyDescent="0.3">
      <c r="L108" s="3"/>
      <c r="M108" s="3"/>
      <c r="N108" s="3"/>
      <c r="O108" s="3"/>
      <c r="P108" s="3" t="s">
        <v>274</v>
      </c>
      <c r="Q108" s="3" t="s">
        <v>275</v>
      </c>
    </row>
    <row r="109" spans="12:17" hidden="1" x14ac:dyDescent="0.3">
      <c r="L109" s="3"/>
      <c r="M109" s="3"/>
      <c r="N109" s="3"/>
      <c r="O109" s="3"/>
      <c r="P109" s="3" t="s">
        <v>276</v>
      </c>
      <c r="Q109" s="3" t="s">
        <v>277</v>
      </c>
    </row>
    <row r="110" spans="12:17" hidden="1" x14ac:dyDescent="0.3">
      <c r="L110" s="3"/>
      <c r="M110" s="3"/>
      <c r="N110" s="3"/>
      <c r="O110" s="3"/>
      <c r="P110" s="3" t="s">
        <v>278</v>
      </c>
      <c r="Q110" s="3" t="s">
        <v>279</v>
      </c>
    </row>
    <row r="111" spans="12:17" hidden="1" x14ac:dyDescent="0.3">
      <c r="L111" s="3"/>
      <c r="M111" s="3"/>
      <c r="N111" s="3"/>
      <c r="O111" s="3"/>
      <c r="P111" s="3" t="s">
        <v>280</v>
      </c>
      <c r="Q111" s="3" t="s">
        <v>281</v>
      </c>
    </row>
    <row r="112" spans="12:17" hidden="1" x14ac:dyDescent="0.3">
      <c r="L112" s="3"/>
      <c r="M112" s="3"/>
      <c r="N112" s="3"/>
      <c r="O112" s="3"/>
      <c r="P112" s="3" t="s">
        <v>282</v>
      </c>
      <c r="Q112" s="3" t="s">
        <v>283</v>
      </c>
    </row>
    <row r="113" spans="12:17" hidden="1" x14ac:dyDescent="0.3">
      <c r="L113" s="3"/>
      <c r="M113" s="3"/>
      <c r="N113" s="3"/>
      <c r="O113" s="3"/>
      <c r="P113" s="3" t="s">
        <v>284</v>
      </c>
      <c r="Q113" s="3" t="s">
        <v>285</v>
      </c>
    </row>
    <row r="114" spans="12:17" hidden="1" x14ac:dyDescent="0.3">
      <c r="L114" s="3"/>
      <c r="M114" s="3"/>
      <c r="N114" s="3"/>
      <c r="O114" s="3"/>
      <c r="P114" s="3" t="s">
        <v>286</v>
      </c>
      <c r="Q114" s="3" t="s">
        <v>287</v>
      </c>
    </row>
    <row r="115" spans="12:17" hidden="1" x14ac:dyDescent="0.3">
      <c r="L115" s="3"/>
      <c r="M115" s="3"/>
      <c r="N115" s="3"/>
      <c r="O115" s="3"/>
      <c r="P115" s="3" t="s">
        <v>288</v>
      </c>
      <c r="Q115" s="3" t="s">
        <v>289</v>
      </c>
    </row>
    <row r="116" spans="12:17" hidden="1" x14ac:dyDescent="0.3">
      <c r="L116" s="3"/>
      <c r="M116" s="3"/>
      <c r="N116" s="3"/>
      <c r="O116" s="3"/>
      <c r="P116" s="3" t="s">
        <v>290</v>
      </c>
      <c r="Q116" s="3" t="s">
        <v>291</v>
      </c>
    </row>
    <row r="117" spans="12:17" hidden="1" x14ac:dyDescent="0.3">
      <c r="L117" s="3"/>
      <c r="M117" s="3"/>
      <c r="N117" s="3"/>
      <c r="O117" s="3"/>
      <c r="P117" s="3" t="s">
        <v>292</v>
      </c>
      <c r="Q117" s="3" t="s">
        <v>293</v>
      </c>
    </row>
    <row r="118" spans="12:17" hidden="1" x14ac:dyDescent="0.3">
      <c r="L118" s="3"/>
      <c r="M118" s="3"/>
      <c r="N118" s="3"/>
      <c r="O118" s="3"/>
      <c r="P118" s="3" t="s">
        <v>294</v>
      </c>
      <c r="Q118" s="3" t="s">
        <v>295</v>
      </c>
    </row>
    <row r="119" spans="12:17" hidden="1" x14ac:dyDescent="0.3">
      <c r="L119" s="3"/>
      <c r="M119" s="3"/>
      <c r="N119" s="3"/>
      <c r="O119" s="3"/>
      <c r="P119" s="3" t="s">
        <v>296</v>
      </c>
      <c r="Q119" s="3" t="s">
        <v>297</v>
      </c>
    </row>
    <row r="120" spans="12:17" hidden="1" x14ac:dyDescent="0.3">
      <c r="L120" s="3"/>
      <c r="M120" s="3"/>
      <c r="N120" s="3"/>
      <c r="O120" s="3"/>
      <c r="P120" s="3" t="s">
        <v>298</v>
      </c>
      <c r="Q120" s="3" t="s">
        <v>299</v>
      </c>
    </row>
    <row r="121" spans="12:17" hidden="1" x14ac:dyDescent="0.3">
      <c r="L121" s="3"/>
      <c r="M121" s="3"/>
      <c r="N121" s="3"/>
      <c r="O121" s="3"/>
      <c r="P121" s="3" t="s">
        <v>300</v>
      </c>
      <c r="Q121" s="3" t="s">
        <v>301</v>
      </c>
    </row>
    <row r="122" spans="12:17" hidden="1" x14ac:dyDescent="0.3">
      <c r="L122" s="3"/>
      <c r="M122" s="3"/>
      <c r="N122" s="3"/>
      <c r="O122" s="3"/>
      <c r="P122" s="3" t="s">
        <v>302</v>
      </c>
      <c r="Q122" s="3" t="s">
        <v>303</v>
      </c>
    </row>
    <row r="123" spans="12:17" hidden="1" x14ac:dyDescent="0.3">
      <c r="L123" s="3"/>
      <c r="M123" s="3"/>
      <c r="N123" s="3"/>
      <c r="O123" s="3"/>
      <c r="P123" s="3" t="s">
        <v>304</v>
      </c>
      <c r="Q123" s="3" t="s">
        <v>305</v>
      </c>
    </row>
    <row r="124" spans="12:17" hidden="1" x14ac:dyDescent="0.3">
      <c r="L124" s="3"/>
      <c r="M124" s="3"/>
      <c r="N124" s="3"/>
      <c r="O124" s="3"/>
      <c r="P124" s="3" t="s">
        <v>306</v>
      </c>
      <c r="Q124" s="3" t="s">
        <v>307</v>
      </c>
    </row>
    <row r="125" spans="12:17" hidden="1" x14ac:dyDescent="0.3">
      <c r="L125" s="3"/>
      <c r="M125" s="3"/>
      <c r="N125" s="3"/>
      <c r="O125" s="3"/>
      <c r="P125" s="3" t="s">
        <v>308</v>
      </c>
      <c r="Q125" s="3" t="s">
        <v>309</v>
      </c>
    </row>
    <row r="126" spans="12:17" hidden="1" x14ac:dyDescent="0.3">
      <c r="L126" s="3"/>
      <c r="M126" s="3"/>
      <c r="N126" s="3"/>
      <c r="O126" s="3"/>
      <c r="P126" s="3" t="s">
        <v>310</v>
      </c>
      <c r="Q126" s="3" t="s">
        <v>311</v>
      </c>
    </row>
    <row r="127" spans="12:17" hidden="1" x14ac:dyDescent="0.3">
      <c r="L127" s="3"/>
      <c r="M127" s="3"/>
      <c r="N127" s="3"/>
      <c r="O127" s="3"/>
      <c r="P127" s="3" t="s">
        <v>312</v>
      </c>
      <c r="Q127" s="3" t="s">
        <v>313</v>
      </c>
    </row>
    <row r="128" spans="12:17" hidden="1" x14ac:dyDescent="0.3">
      <c r="L128" s="3"/>
      <c r="M128" s="3"/>
      <c r="N128" s="3"/>
      <c r="O128" s="3"/>
      <c r="P128" s="3" t="s">
        <v>314</v>
      </c>
      <c r="Q128" s="3" t="s">
        <v>315</v>
      </c>
    </row>
    <row r="129" spans="12:17" hidden="1" x14ac:dyDescent="0.3">
      <c r="L129" s="3"/>
      <c r="M129" s="3"/>
      <c r="N129" s="3"/>
      <c r="O129" s="3"/>
      <c r="P129" s="3" t="s">
        <v>316</v>
      </c>
      <c r="Q129" s="3" t="s">
        <v>317</v>
      </c>
    </row>
    <row r="130" spans="12:17" hidden="1" x14ac:dyDescent="0.3">
      <c r="L130" s="3"/>
      <c r="M130" s="3"/>
      <c r="N130" s="3"/>
      <c r="O130" s="3"/>
      <c r="P130" s="3" t="s">
        <v>318</v>
      </c>
      <c r="Q130" s="3" t="s">
        <v>319</v>
      </c>
    </row>
    <row r="131" spans="12:17" hidden="1" x14ac:dyDescent="0.3">
      <c r="L131" s="3"/>
      <c r="M131" s="3"/>
      <c r="N131" s="3"/>
      <c r="O131" s="3"/>
      <c r="P131" s="3" t="s">
        <v>320</v>
      </c>
      <c r="Q131" s="3" t="s">
        <v>321</v>
      </c>
    </row>
    <row r="132" spans="12:17" hidden="1" x14ac:dyDescent="0.3">
      <c r="L132" s="3"/>
      <c r="M132" s="3"/>
      <c r="N132" s="3"/>
      <c r="O132" s="3"/>
      <c r="P132" s="3" t="s">
        <v>322</v>
      </c>
      <c r="Q132" s="3" t="s">
        <v>323</v>
      </c>
    </row>
    <row r="133" spans="12:17" hidden="1" x14ac:dyDescent="0.3">
      <c r="L133" s="3"/>
      <c r="M133" s="3"/>
      <c r="N133" s="3"/>
      <c r="O133" s="3"/>
      <c r="P133" s="3" t="s">
        <v>324</v>
      </c>
      <c r="Q133" s="3" t="s">
        <v>325</v>
      </c>
    </row>
    <row r="134" spans="12:17" hidden="1" x14ac:dyDescent="0.3">
      <c r="L134" s="3"/>
      <c r="M134" s="3"/>
      <c r="N134" s="3"/>
      <c r="O134" s="3"/>
      <c r="P134" s="3" t="s">
        <v>326</v>
      </c>
      <c r="Q134" s="3" t="s">
        <v>327</v>
      </c>
    </row>
    <row r="135" spans="12:17" hidden="1" x14ac:dyDescent="0.3">
      <c r="L135" s="3"/>
      <c r="M135" s="3"/>
      <c r="N135" s="3"/>
      <c r="O135" s="3"/>
      <c r="P135" s="3" t="s">
        <v>328</v>
      </c>
      <c r="Q135" s="3" t="s">
        <v>329</v>
      </c>
    </row>
    <row r="136" spans="12:17" hidden="1" x14ac:dyDescent="0.3">
      <c r="L136" s="3"/>
      <c r="M136" s="3"/>
      <c r="N136" s="3"/>
      <c r="O136" s="3"/>
      <c r="P136" s="3" t="s">
        <v>330</v>
      </c>
      <c r="Q136" s="3" t="s">
        <v>331</v>
      </c>
    </row>
    <row r="137" spans="12:17" hidden="1" x14ac:dyDescent="0.3">
      <c r="L137" s="3"/>
      <c r="M137" s="3"/>
      <c r="N137" s="3"/>
      <c r="O137" s="3"/>
      <c r="P137" s="3" t="s">
        <v>332</v>
      </c>
      <c r="Q137" s="3" t="s">
        <v>333</v>
      </c>
    </row>
    <row r="138" spans="12:17" hidden="1" x14ac:dyDescent="0.3">
      <c r="L138" s="3"/>
      <c r="M138" s="3"/>
      <c r="N138" s="3"/>
      <c r="O138" s="3"/>
      <c r="P138" s="3" t="s">
        <v>334</v>
      </c>
      <c r="Q138" s="3" t="s">
        <v>335</v>
      </c>
    </row>
    <row r="139" spans="12:17" hidden="1" x14ac:dyDescent="0.3">
      <c r="L139" s="3"/>
      <c r="M139" s="3"/>
      <c r="N139" s="3"/>
      <c r="O139" s="3"/>
      <c r="P139" s="3" t="s">
        <v>336</v>
      </c>
      <c r="Q139" s="3" t="s">
        <v>337</v>
      </c>
    </row>
    <row r="140" spans="12:17" hidden="1" x14ac:dyDescent="0.3">
      <c r="L140" s="3"/>
      <c r="M140" s="3"/>
      <c r="N140" s="3"/>
      <c r="O140" s="3"/>
      <c r="P140" s="3" t="s">
        <v>338</v>
      </c>
      <c r="Q140" s="3" t="s">
        <v>339</v>
      </c>
    </row>
    <row r="141" spans="12:17" hidden="1" x14ac:dyDescent="0.3">
      <c r="L141" s="3"/>
      <c r="M141" s="3"/>
      <c r="N141" s="3"/>
      <c r="O141" s="3"/>
      <c r="P141" s="3" t="s">
        <v>340</v>
      </c>
      <c r="Q141" s="3" t="s">
        <v>341</v>
      </c>
    </row>
    <row r="142" spans="12:17" hidden="1" x14ac:dyDescent="0.3">
      <c r="L142" s="3"/>
      <c r="M142" s="3"/>
      <c r="N142" s="3"/>
      <c r="O142" s="3"/>
      <c r="P142" s="3" t="s">
        <v>342</v>
      </c>
      <c r="Q142" s="3" t="s">
        <v>343</v>
      </c>
    </row>
    <row r="143" spans="12:17" hidden="1" x14ac:dyDescent="0.3">
      <c r="L143" s="3"/>
      <c r="M143" s="3"/>
      <c r="N143" s="3"/>
      <c r="O143" s="3"/>
      <c r="P143" s="3" t="s">
        <v>344</v>
      </c>
      <c r="Q143" s="3" t="s">
        <v>345</v>
      </c>
    </row>
    <row r="144" spans="12:17" hidden="1" x14ac:dyDescent="0.3">
      <c r="L144" s="3"/>
      <c r="M144" s="3"/>
      <c r="N144" s="3"/>
      <c r="O144" s="3"/>
      <c r="P144" s="3" t="s">
        <v>346</v>
      </c>
      <c r="Q144" s="3" t="s">
        <v>347</v>
      </c>
    </row>
    <row r="145" spans="2:17" hidden="1" x14ac:dyDescent="0.3">
      <c r="L145" s="3"/>
      <c r="M145" s="3"/>
      <c r="N145" s="3"/>
      <c r="O145" s="3"/>
      <c r="P145" s="3" t="s">
        <v>348</v>
      </c>
      <c r="Q145" s="3" t="s">
        <v>349</v>
      </c>
    </row>
    <row r="146" spans="2:17" hidden="1" x14ac:dyDescent="0.3">
      <c r="L146" s="3"/>
      <c r="M146" s="3"/>
      <c r="N146" s="3"/>
      <c r="O146" s="3"/>
      <c r="P146" s="3" t="s">
        <v>350</v>
      </c>
      <c r="Q146" s="3" t="s">
        <v>351</v>
      </c>
    </row>
    <row r="147" spans="2:17" hidden="1" x14ac:dyDescent="0.3">
      <c r="L147" s="3"/>
      <c r="M147" s="3"/>
      <c r="N147" s="3"/>
      <c r="O147" s="3"/>
      <c r="P147" s="3" t="s">
        <v>352</v>
      </c>
      <c r="Q147" s="3" t="s">
        <v>353</v>
      </c>
    </row>
    <row r="148" spans="2:17" hidden="1" x14ac:dyDescent="0.3">
      <c r="L148" s="3"/>
      <c r="M148" s="3"/>
      <c r="N148" s="3"/>
      <c r="O148" s="3"/>
      <c r="P148" s="3" t="s">
        <v>354</v>
      </c>
      <c r="Q148" s="3" t="s">
        <v>355</v>
      </c>
    </row>
    <row r="149" spans="2:17" hidden="1" x14ac:dyDescent="0.3">
      <c r="L149" s="3"/>
      <c r="M149" s="3"/>
      <c r="N149" s="3"/>
      <c r="O149" s="3"/>
      <c r="P149" s="3" t="s">
        <v>356</v>
      </c>
      <c r="Q149" s="3" t="s">
        <v>357</v>
      </c>
    </row>
    <row r="150" spans="2:17" hidden="1" x14ac:dyDescent="0.3">
      <c r="L150" s="3"/>
      <c r="M150" s="3"/>
      <c r="N150" s="3"/>
      <c r="O150" s="3"/>
      <c r="P150" s="3" t="s">
        <v>358</v>
      </c>
      <c r="Q150" s="3" t="s">
        <v>359</v>
      </c>
    </row>
    <row r="151" spans="2:17" hidden="1" x14ac:dyDescent="0.3">
      <c r="L151" s="3"/>
      <c r="M151" s="3"/>
      <c r="N151" s="3"/>
      <c r="O151" s="3"/>
      <c r="P151" s="3" t="s">
        <v>360</v>
      </c>
      <c r="Q151" s="3" t="s">
        <v>361</v>
      </c>
    </row>
    <row r="152" spans="2:17" hidden="1" x14ac:dyDescent="0.3">
      <c r="L152" s="3"/>
      <c r="M152" s="3"/>
      <c r="N152" s="3"/>
      <c r="O152" s="3"/>
      <c r="P152" s="3" t="s">
        <v>362</v>
      </c>
      <c r="Q152" s="3" t="s">
        <v>363</v>
      </c>
    </row>
    <row r="153" spans="2:17" ht="15" thickBot="1" x14ac:dyDescent="0.35">
      <c r="L153" s="3"/>
      <c r="M153" s="3"/>
      <c r="N153" s="3"/>
      <c r="O153" s="3"/>
      <c r="P153" s="3" t="s">
        <v>364</v>
      </c>
      <c r="Q153" s="3" t="s">
        <v>365</v>
      </c>
    </row>
    <row r="154" spans="2:17" ht="18.600000000000001" thickBot="1" x14ac:dyDescent="0.4">
      <c r="B154" s="242" t="s">
        <v>366</v>
      </c>
      <c r="C154" s="243"/>
      <c r="D154" s="4"/>
      <c r="E154" s="4"/>
      <c r="F154" s="4"/>
      <c r="L154" s="3"/>
      <c r="M154" s="3"/>
      <c r="N154" s="3"/>
      <c r="O154" s="3"/>
      <c r="P154" s="3" t="s">
        <v>367</v>
      </c>
      <c r="Q154" s="3" t="s">
        <v>368</v>
      </c>
    </row>
    <row r="155" spans="2:17" x14ac:dyDescent="0.3">
      <c r="B155" s="244" t="s">
        <v>26</v>
      </c>
      <c r="C155" s="244"/>
      <c r="D155" s="4"/>
      <c r="E155" s="4"/>
      <c r="F155" s="4"/>
      <c r="L155" s="3"/>
      <c r="M155" s="3"/>
      <c r="N155" s="3"/>
      <c r="O155" s="3"/>
      <c r="P155" s="3"/>
      <c r="Q155" s="3"/>
    </row>
    <row r="156" spans="2:17" x14ac:dyDescent="0.3">
      <c r="B156" s="4"/>
      <c r="C156" s="4"/>
      <c r="D156" s="10"/>
      <c r="E156" s="4"/>
      <c r="F156" s="4"/>
      <c r="L156" s="3" t="s">
        <v>369</v>
      </c>
      <c r="M156" s="3" t="s">
        <v>370</v>
      </c>
      <c r="N156" s="3"/>
      <c r="O156" s="3"/>
      <c r="P156" s="3"/>
      <c r="Q156" s="3"/>
    </row>
    <row r="157" spans="2:17" x14ac:dyDescent="0.3">
      <c r="B157" s="5" t="s">
        <v>371</v>
      </c>
      <c r="C157" s="9"/>
      <c r="D157" s="4"/>
      <c r="E157" s="4"/>
      <c r="F157" s="4"/>
      <c r="L157" s="3" t="s">
        <v>372</v>
      </c>
      <c r="M157" s="3" t="s">
        <v>372</v>
      </c>
      <c r="N157" s="3"/>
      <c r="O157" s="3"/>
      <c r="P157" s="3"/>
      <c r="Q157" s="3"/>
    </row>
    <row r="158" spans="2:17" x14ac:dyDescent="0.3">
      <c r="L158" s="3" t="s">
        <v>373</v>
      </c>
      <c r="M158" s="3" t="s">
        <v>373</v>
      </c>
      <c r="N158" s="3"/>
      <c r="O158" s="3"/>
      <c r="P158" s="3"/>
      <c r="Q158" s="3"/>
    </row>
    <row r="159" spans="2:17" x14ac:dyDescent="0.3">
      <c r="B159" s="15" t="s">
        <v>374</v>
      </c>
      <c r="C159" s="1"/>
      <c r="L159" s="3"/>
      <c r="M159" s="3"/>
      <c r="N159" s="3"/>
      <c r="O159" s="3"/>
      <c r="P159" s="3"/>
      <c r="Q159" s="3"/>
    </row>
    <row r="160" spans="2:17" ht="46.5" customHeight="1" x14ac:dyDescent="0.3">
      <c r="B160" s="248" t="s">
        <v>375</v>
      </c>
      <c r="C160" s="248"/>
      <c r="D160" s="248"/>
      <c r="E160" s="248"/>
      <c r="F160" s="248"/>
      <c r="G160" s="248"/>
      <c r="L160" s="6">
        <f>L161-L162</f>
        <v>0</v>
      </c>
      <c r="M160" s="6"/>
      <c r="N160" s="6"/>
      <c r="O160" s="6"/>
      <c r="P160" s="3"/>
      <c r="Q160" s="3"/>
    </row>
    <row r="161" spans="2:17" ht="60" customHeight="1" x14ac:dyDescent="0.3">
      <c r="B161" s="248" t="s">
        <v>376</v>
      </c>
      <c r="C161" s="248"/>
      <c r="D161" s="248"/>
      <c r="E161" s="248"/>
      <c r="F161" s="248"/>
      <c r="G161" s="248"/>
      <c r="L161" s="3">
        <f>COUNTA(L165:L174)</f>
        <v>6</v>
      </c>
      <c r="M161" s="3"/>
      <c r="N161" s="3"/>
      <c r="O161" s="3"/>
      <c r="P161" s="3"/>
      <c r="Q161" s="3"/>
    </row>
    <row r="162" spans="2:17" ht="15" customHeight="1" x14ac:dyDescent="0.3">
      <c r="B162" s="248" t="s">
        <v>377</v>
      </c>
      <c r="C162" s="248"/>
      <c r="D162" s="248"/>
      <c r="E162" s="248"/>
      <c r="F162" s="248"/>
      <c r="G162" s="248"/>
      <c r="L162" s="3">
        <f>SUM(L165:L174)</f>
        <v>6</v>
      </c>
      <c r="M162" s="3"/>
      <c r="N162" s="3"/>
      <c r="O162" s="3"/>
      <c r="P162" s="3"/>
      <c r="Q162" s="3"/>
    </row>
    <row r="163" spans="2:17" ht="30" customHeight="1" x14ac:dyDescent="0.3">
      <c r="B163" s="248" t="s">
        <v>378</v>
      </c>
      <c r="C163" s="248"/>
      <c r="D163" s="248"/>
      <c r="E163" s="248"/>
      <c r="F163" s="248"/>
      <c r="G163" s="248"/>
      <c r="H163" s="18"/>
      <c r="I163" s="19" t="s">
        <v>379</v>
      </c>
      <c r="J163" s="20"/>
      <c r="L163" s="3"/>
      <c r="M163" s="3"/>
      <c r="N163" s="3"/>
      <c r="O163" s="3"/>
      <c r="P163" s="3"/>
      <c r="Q163" s="3"/>
    </row>
    <row r="164" spans="2:17" ht="19.95" customHeight="1" x14ac:dyDescent="0.3">
      <c r="H164" s="21"/>
      <c r="I164" s="22" t="s">
        <v>380</v>
      </c>
      <c r="J164" s="23"/>
      <c r="L164" s="3"/>
      <c r="M164" s="3"/>
      <c r="N164" s="3"/>
      <c r="O164" s="3"/>
      <c r="P164" s="3"/>
      <c r="Q164" s="3"/>
    </row>
    <row r="165" spans="2:17" x14ac:dyDescent="0.3">
      <c r="B165" s="247" t="s">
        <v>381</v>
      </c>
      <c r="C165" s="247"/>
      <c r="D165" s="249" t="s">
        <v>177</v>
      </c>
      <c r="E165" s="250"/>
      <c r="F165" s="251"/>
      <c r="H165" s="21"/>
      <c r="I165" s="17" t="str">
        <f t="shared" ref="I165:I170" si="0">IF(L165=1,"Yes","No")</f>
        <v>Yes</v>
      </c>
      <c r="J165" s="23"/>
      <c r="L165" s="3">
        <f>IF(OR(D165="",D165="&lt;Please select a Health and Wellbeing Board&gt;"),0,1)</f>
        <v>1</v>
      </c>
      <c r="M165" s="3"/>
      <c r="N165" s="3"/>
      <c r="O165" s="3"/>
      <c r="P165" s="3"/>
      <c r="Q165" s="3"/>
    </row>
    <row r="166" spans="2:17" x14ac:dyDescent="0.3">
      <c r="B166" s="247" t="s">
        <v>382</v>
      </c>
      <c r="C166" s="247"/>
      <c r="D166" s="245" t="s">
        <v>9802</v>
      </c>
      <c r="E166" s="245"/>
      <c r="F166" s="245"/>
      <c r="H166" s="21"/>
      <c r="I166" s="17" t="str">
        <f t="shared" si="0"/>
        <v>Yes</v>
      </c>
      <c r="J166" s="23"/>
      <c r="L166" s="3">
        <f>IF(D166="",0,1)</f>
        <v>1</v>
      </c>
      <c r="M166" s="3"/>
      <c r="N166" s="3"/>
      <c r="O166" s="3"/>
      <c r="P166" s="3"/>
      <c r="Q166" s="3"/>
    </row>
    <row r="167" spans="2:17" x14ac:dyDescent="0.3">
      <c r="B167" s="247" t="s">
        <v>383</v>
      </c>
      <c r="C167" s="247"/>
      <c r="D167" s="246" t="s">
        <v>9803</v>
      </c>
      <c r="E167" s="245"/>
      <c r="F167" s="245"/>
      <c r="H167" s="21"/>
      <c r="I167" s="17" t="str">
        <f t="shared" si="0"/>
        <v>Yes</v>
      </c>
      <c r="J167" s="23"/>
      <c r="L167" s="3">
        <f>IF(D167="",0,(COUNTIF(D167,"*@*")))</f>
        <v>1</v>
      </c>
      <c r="M167" s="3"/>
      <c r="N167" s="3"/>
      <c r="O167" s="3"/>
      <c r="P167" s="3"/>
      <c r="Q167" s="3"/>
    </row>
    <row r="168" spans="2:17" x14ac:dyDescent="0.3">
      <c r="B168" s="247" t="s">
        <v>384</v>
      </c>
      <c r="C168" s="247"/>
      <c r="D168" s="245" t="s">
        <v>9804</v>
      </c>
      <c r="E168" s="245"/>
      <c r="F168" s="245"/>
      <c r="H168" s="21"/>
      <c r="I168" s="17" t="str">
        <f t="shared" si="0"/>
        <v>Yes</v>
      </c>
      <c r="J168" s="23"/>
      <c r="L168" s="3">
        <f>IF(D168="",0,1)</f>
        <v>1</v>
      </c>
      <c r="M168" s="3"/>
      <c r="N168" s="3"/>
      <c r="O168" s="3"/>
      <c r="P168" s="3"/>
      <c r="Q168" s="3"/>
    </row>
    <row r="169" spans="2:17" ht="30" customHeight="1" x14ac:dyDescent="0.3">
      <c r="B169" s="258" t="s">
        <v>385</v>
      </c>
      <c r="C169" s="259"/>
      <c r="D169" s="249" t="s">
        <v>373</v>
      </c>
      <c r="E169" s="250"/>
      <c r="F169" s="251"/>
      <c r="H169" s="21"/>
      <c r="I169" s="17" t="str">
        <f t="shared" si="0"/>
        <v>Yes</v>
      </c>
      <c r="J169" s="23"/>
      <c r="L169" s="3">
        <f>IF(OR(D169="",D169=M156),0,1)</f>
        <v>1</v>
      </c>
      <c r="M169" s="3"/>
      <c r="N169" s="3"/>
      <c r="O169" s="3"/>
      <c r="P169" s="3"/>
      <c r="Q169" s="3"/>
    </row>
    <row r="170" spans="2:17" ht="30" customHeight="1" x14ac:dyDescent="0.3">
      <c r="B170" s="260" t="s">
        <v>386</v>
      </c>
      <c r="C170" s="261"/>
      <c r="D170" s="83">
        <v>45258</v>
      </c>
      <c r="E170" s="262" t="str">
        <f>IF(D169=M158,M170,"")</f>
        <v>&lt;&lt; Please enter using the format, DD/MM/YYYY</v>
      </c>
      <c r="F170" s="263"/>
      <c r="H170" s="21"/>
      <c r="I170" s="17" t="str">
        <f t="shared" si="0"/>
        <v>Yes</v>
      </c>
      <c r="J170" s="23"/>
      <c r="L170" s="3">
        <f>IF(D169=M157,1,
IF(AND(D169=M158,D170=""),0,
IF(ISNUMBER(D170),1,
0)))</f>
        <v>1</v>
      </c>
      <c r="M170" s="3" t="s">
        <v>387</v>
      </c>
      <c r="N170" s="3"/>
      <c r="O170" s="3"/>
      <c r="P170" s="3"/>
      <c r="Q170" s="3"/>
    </row>
    <row r="171" spans="2:17" ht="19.95" hidden="1" customHeight="1" x14ac:dyDescent="0.3">
      <c r="B171" s="6" t="s">
        <v>388</v>
      </c>
      <c r="H171" s="21"/>
      <c r="I171" s="24"/>
      <c r="J171" s="23"/>
      <c r="L171" s="3"/>
      <c r="M171" s="3"/>
      <c r="N171" s="3"/>
      <c r="O171" s="3"/>
      <c r="P171" s="3"/>
      <c r="Q171" s="3"/>
    </row>
    <row r="172" spans="2:17" hidden="1" x14ac:dyDescent="0.3">
      <c r="B172" s="255" t="s">
        <v>389</v>
      </c>
      <c r="C172" s="256"/>
      <c r="D172" s="257"/>
      <c r="E172" s="257"/>
      <c r="F172" s="257"/>
      <c r="H172" s="21"/>
      <c r="I172" s="17" t="str">
        <f>IF(L172=1,"Yes","No")</f>
        <v>No</v>
      </c>
      <c r="J172" s="23"/>
      <c r="L172" s="3"/>
      <c r="M172" s="3"/>
      <c r="N172" s="3"/>
      <c r="O172" s="3"/>
      <c r="P172" s="3"/>
      <c r="Q172" s="3"/>
    </row>
    <row r="173" spans="2:17" hidden="1" x14ac:dyDescent="0.3">
      <c r="B173" s="255" t="s">
        <v>390</v>
      </c>
      <c r="C173" s="256"/>
      <c r="D173" s="257"/>
      <c r="E173" s="257"/>
      <c r="F173" s="257"/>
      <c r="H173" s="21"/>
      <c r="I173" s="17" t="str">
        <f>IF(L173=1,"Yes","No")</f>
        <v>No</v>
      </c>
      <c r="J173" s="23"/>
      <c r="L173" s="3"/>
      <c r="M173" s="3"/>
      <c r="N173" s="3"/>
      <c r="O173" s="3"/>
      <c r="P173" s="3"/>
      <c r="Q173" s="3"/>
    </row>
    <row r="174" spans="2:17" x14ac:dyDescent="0.3">
      <c r="H174" s="25"/>
      <c r="I174" s="26"/>
      <c r="J174" s="27"/>
      <c r="L174" s="3"/>
      <c r="M174" s="3"/>
      <c r="N174" s="3"/>
      <c r="O174" s="3"/>
      <c r="P174" s="3"/>
      <c r="Q174" s="3"/>
    </row>
    <row r="175" spans="2:17" x14ac:dyDescent="0.3">
      <c r="L175" s="3"/>
      <c r="M175" s="3"/>
      <c r="N175" s="3"/>
      <c r="O175" s="3"/>
      <c r="P175" s="3"/>
      <c r="Q175" s="3"/>
    </row>
    <row r="176" spans="2:17" ht="30" customHeight="1" x14ac:dyDescent="0.3">
      <c r="B176" s="253" t="s">
        <v>391</v>
      </c>
      <c r="C176" s="253"/>
      <c r="D176" s="253"/>
      <c r="E176" s="253"/>
      <c r="F176" s="253"/>
      <c r="L176" s="3"/>
      <c r="M176" s="3"/>
      <c r="N176" s="3"/>
      <c r="O176" s="3"/>
      <c r="P176" s="3"/>
      <c r="Q176" s="3"/>
    </row>
    <row r="177" spans="2:17" ht="15" customHeight="1" x14ac:dyDescent="0.3">
      <c r="L177" s="3"/>
      <c r="M177" s="3"/>
      <c r="N177" s="3"/>
      <c r="O177" s="3"/>
      <c r="P177" s="3"/>
      <c r="Q177" s="3"/>
    </row>
    <row r="178" spans="2:17" x14ac:dyDescent="0.3">
      <c r="B178" s="254" t="str">
        <f t="shared" ref="B178" ca="1" si="1">IF(L189=0,"Complete","Please see the Checklist on each sheet for further details on incomplete fields")</f>
        <v>Complete</v>
      </c>
      <c r="C178" s="254"/>
      <c r="D178" s="254"/>
      <c r="L178" s="3"/>
      <c r="M178" s="6"/>
      <c r="N178" s="6"/>
      <c r="O178" s="6"/>
      <c r="P178" s="3"/>
      <c r="Q178" s="3"/>
    </row>
    <row r="179" spans="2:17" x14ac:dyDescent="0.3">
      <c r="L179" s="3"/>
      <c r="M179" s="3"/>
      <c r="N179" s="3"/>
      <c r="O179" s="3"/>
      <c r="P179" s="3"/>
      <c r="Q179" s="3"/>
    </row>
    <row r="180" spans="2:17" x14ac:dyDescent="0.3">
      <c r="C180" s="2" t="s">
        <v>380</v>
      </c>
      <c r="E180" s="4"/>
      <c r="L180" s="3"/>
      <c r="M180" s="3"/>
      <c r="N180" s="3"/>
      <c r="O180" s="3"/>
      <c r="P180" s="3"/>
      <c r="Q180" s="3"/>
    </row>
    <row r="181" spans="2:17" x14ac:dyDescent="0.3">
      <c r="B181" s="190" t="str">
        <f>B155</f>
        <v>2. Cover</v>
      </c>
      <c r="C181" s="13" t="str">
        <f t="shared" ref="C181:C186" si="2">IF(L181=0,"Yes","No")</f>
        <v>Yes</v>
      </c>
      <c r="L181" s="3">
        <f>L160</f>
        <v>0</v>
      </c>
      <c r="M181" s="3"/>
      <c r="N181" s="3"/>
      <c r="O181" s="3"/>
      <c r="P181" s="3"/>
      <c r="Q181" s="3"/>
    </row>
    <row r="182" spans="2:17" x14ac:dyDescent="0.3">
      <c r="B182" s="190" t="str">
        <f>'3. National Conditions'!B3</f>
        <v>3. National Conditions</v>
      </c>
      <c r="C182" s="13" t="str">
        <f t="shared" si="2"/>
        <v>Yes</v>
      </c>
      <c r="L182" s="3">
        <f>'3. National Conditions'!L16</f>
        <v>0</v>
      </c>
      <c r="M182" s="3"/>
      <c r="N182" s="3"/>
      <c r="O182" s="3"/>
      <c r="P182" s="3"/>
      <c r="Q182" s="3"/>
    </row>
    <row r="183" spans="2:17" x14ac:dyDescent="0.3">
      <c r="B183" s="190" t="str">
        <f>'4. Metrics'!B3</f>
        <v>4. Metrics</v>
      </c>
      <c r="C183" s="13" t="str">
        <f t="shared" si="2"/>
        <v>Yes</v>
      </c>
      <c r="L183" s="3">
        <f>'4. Metrics'!S21</f>
        <v>0</v>
      </c>
      <c r="M183" s="3"/>
      <c r="N183" s="3"/>
      <c r="O183" s="3"/>
      <c r="P183" s="3"/>
      <c r="Q183" s="3"/>
    </row>
    <row r="184" spans="2:17" x14ac:dyDescent="0.3">
      <c r="B184" s="190" t="s">
        <v>50</v>
      </c>
      <c r="C184" s="13" t="str">
        <f t="shared" si="2"/>
        <v>Yes</v>
      </c>
      <c r="L184" s="3">
        <f>'5.1 C&amp;D Guidance &amp; Assumptions'!N25</f>
        <v>0</v>
      </c>
      <c r="M184" s="3"/>
      <c r="N184" s="3"/>
      <c r="O184" s="3"/>
      <c r="P184" s="3"/>
      <c r="Q184" s="3"/>
    </row>
    <row r="185" spans="2:17" ht="15.75" customHeight="1" x14ac:dyDescent="0.3">
      <c r="B185" s="190" t="s">
        <v>52</v>
      </c>
      <c r="C185" s="13" t="str">
        <f t="shared" ca="1" si="2"/>
        <v>Yes</v>
      </c>
      <c r="L185" s="3">
        <f ca="1">'5.2 C&amp;D Hospital Discharge'!Y157</f>
        <v>0</v>
      </c>
      <c r="M185" s="3"/>
      <c r="N185" s="3"/>
      <c r="O185" s="3"/>
      <c r="P185" s="3"/>
      <c r="Q185" s="3"/>
    </row>
    <row r="186" spans="2:17" ht="15.75" customHeight="1" x14ac:dyDescent="0.3">
      <c r="B186" s="190" t="s">
        <v>55</v>
      </c>
      <c r="C186" s="13" t="str">
        <f t="shared" si="2"/>
        <v>Yes</v>
      </c>
      <c r="L186" s="3">
        <f>'5.3 C&amp;D Community'!S35</f>
        <v>0</v>
      </c>
      <c r="M186" s="3"/>
      <c r="N186" s="3"/>
      <c r="O186" s="3"/>
      <c r="P186" s="3"/>
      <c r="Q186" s="3"/>
    </row>
    <row r="187" spans="2:17" ht="15.75" customHeight="1" x14ac:dyDescent="0.3">
      <c r="L187" s="3"/>
      <c r="M187" s="3"/>
      <c r="N187" s="3"/>
      <c r="O187" s="3"/>
      <c r="P187" s="3"/>
      <c r="Q187" s="3"/>
    </row>
    <row r="188" spans="2:17" x14ac:dyDescent="0.3">
      <c r="B188" s="252" t="s">
        <v>392</v>
      </c>
      <c r="C188" s="252"/>
      <c r="D188" s="252"/>
      <c r="L188" s="6" t="s">
        <v>393</v>
      </c>
      <c r="M188" s="3"/>
      <c r="N188" s="3"/>
      <c r="O188" s="3"/>
      <c r="P188" s="3"/>
      <c r="Q188" s="3"/>
    </row>
    <row r="189" spans="2:17" x14ac:dyDescent="0.3">
      <c r="L189" s="3">
        <f ca="1">SUM(L181:L186)</f>
        <v>0</v>
      </c>
      <c r="M189" s="3"/>
      <c r="N189" s="3"/>
      <c r="O189" s="3"/>
      <c r="P189" s="3"/>
      <c r="Q189" s="3"/>
    </row>
    <row r="190" spans="2:17" x14ac:dyDescent="0.3">
      <c r="D190" s="12" t="s">
        <v>394</v>
      </c>
      <c r="L190" s="3"/>
      <c r="M190" s="3"/>
      <c r="N190" s="3"/>
      <c r="O190" s="3"/>
      <c r="P190" s="3"/>
      <c r="Q190" s="3"/>
    </row>
    <row r="191" spans="2:17" x14ac:dyDescent="0.3">
      <c r="L191" s="3"/>
      <c r="M191" s="3"/>
      <c r="N191" s="3"/>
      <c r="O191" s="3"/>
      <c r="P191" s="3"/>
      <c r="Q191" s="3"/>
    </row>
    <row r="192" spans="2:17" x14ac:dyDescent="0.3">
      <c r="L192" s="3"/>
      <c r="M192" s="3"/>
      <c r="N192" s="3"/>
      <c r="O192" s="3"/>
      <c r="P192" s="3"/>
      <c r="Q192" s="3"/>
    </row>
    <row r="205" x14ac:dyDescent="0.3"/>
    <row r="206" x14ac:dyDescent="0.3"/>
    <row r="207" x14ac:dyDescent="0.3"/>
    <row r="208" x14ac:dyDescent="0.3"/>
    <row r="1048572" x14ac:dyDescent="0.3"/>
  </sheetData>
  <sheetProtection algorithmName="SHA-512" hashValue="LRPyxImB3wy96D2rw2SfxdL90POZI/VCXZ6tBTRnayT2+KS3t9qcip71BreiJNP7TB1C9dpBSVSNjJxNzk3e0w==" saltValue="V7BPelBUaP/P2zRVqPf/1A==" spinCount="100000" sheet="1" objects="1" scenarios="1" formatColumns="0" formatRows="0" selectLockedCells="1" autoFilter="0"/>
  <mergeCells count="25">
    <mergeCell ref="B188:D188"/>
    <mergeCell ref="B176:F176"/>
    <mergeCell ref="D169:F169"/>
    <mergeCell ref="B178:D178"/>
    <mergeCell ref="B172:C172"/>
    <mergeCell ref="B173:C173"/>
    <mergeCell ref="D172:F172"/>
    <mergeCell ref="D173:F173"/>
    <mergeCell ref="B169:C169"/>
    <mergeCell ref="B170:C170"/>
    <mergeCell ref="E170:F170"/>
    <mergeCell ref="B154:C154"/>
    <mergeCell ref="B155:C155"/>
    <mergeCell ref="D166:F166"/>
    <mergeCell ref="D167:F167"/>
    <mergeCell ref="D168:F168"/>
    <mergeCell ref="B165:C165"/>
    <mergeCell ref="B166:C166"/>
    <mergeCell ref="B167:C167"/>
    <mergeCell ref="B168:C168"/>
    <mergeCell ref="B160:G160"/>
    <mergeCell ref="B161:G161"/>
    <mergeCell ref="B162:G162"/>
    <mergeCell ref="B163:G163"/>
    <mergeCell ref="D165:F165"/>
  </mergeCells>
  <conditionalFormatting sqref="B178:D178">
    <cfRule type="expression" dxfId="13" priority="73">
      <formula>$L$189=0</formula>
    </cfRule>
  </conditionalFormatting>
  <conditionalFormatting sqref="C181:C186">
    <cfRule type="cellIs" dxfId="12" priority="12" operator="equal">
      <formula>"Yes"</formula>
    </cfRule>
  </conditionalFormatting>
  <conditionalFormatting sqref="D170">
    <cfRule type="expression" dxfId="11" priority="2">
      <formula>$D$169=$M$158</formula>
    </cfRule>
  </conditionalFormatting>
  <conditionalFormatting sqref="I165:I170">
    <cfRule type="cellIs" dxfId="10" priority="1" operator="equal">
      <formula>"Yes"</formula>
    </cfRule>
  </conditionalFormatting>
  <conditionalFormatting sqref="I172:I173">
    <cfRule type="cellIs" dxfId="9" priority="3" operator="equal">
      <formula>"Yes"</formula>
    </cfRule>
  </conditionalFormatting>
  <dataValidations count="3">
    <dataValidation type="list" allowBlank="1" showInputMessage="1" showErrorMessage="1" sqref="D169" xr:uid="{7080FED6-19B7-4D60-B9A7-99221A8BC02B}">
      <formula1>$M$156:$M$158</formula1>
    </dataValidation>
    <dataValidation type="date" operator="greaterThanOrEqual" allowBlank="1" showInputMessage="1" showErrorMessage="1" sqref="D170" xr:uid="{5D157F2C-E9C5-437D-8158-27F98E712756}">
      <formula1>45176</formula1>
    </dataValidation>
    <dataValidation type="list" allowBlank="1" showInputMessage="1" showErrorMessage="1" error="Please select a Health and Wellbeing Board from the drop-down list" sqref="D165:F165" xr:uid="{23156ABF-4C43-4E16-BECA-A0C7A9E9ACEA}">
      <formula1>$Q$2:$Q$154</formula1>
    </dataValidation>
  </dataValidations>
  <hyperlinks>
    <hyperlink ref="D190" location="'2. Cover'!A1" display="^^ Link back to top" xr:uid="{5D99B5D7-846E-4D31-9F2A-9BFF2EE09ADF}"/>
    <hyperlink ref="B188:D188" location="'1. Guidance'!A1" display="&lt;&lt; Link to the Guidance sheet" xr:uid="{A98D3202-3561-457A-8D56-7C62C8E98A69}"/>
  </hyperlinks>
  <pageMargins left="0.7" right="0.7" top="0.75" bottom="0.75" header="0.3" footer="0.3"/>
  <pageSetup paperSize="9" scale="51" fitToHeight="0" orientation="portrait" r:id="rId1"/>
  <rowBreaks count="1" manualBreakCount="1">
    <brk id="175" max="8" man="1"/>
  </rowBreaks>
  <colBreaks count="1" manualBreakCount="1">
    <brk id="10" max="19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ECFA-734E-4C6F-9F5D-BE0B5B512109}">
  <dimension ref="A1:D39"/>
  <sheetViews>
    <sheetView zoomScale="90" workbookViewId="0">
      <selection activeCell="D12" sqref="D12"/>
    </sheetView>
  </sheetViews>
  <sheetFormatPr defaultRowHeight="14.4" x14ac:dyDescent="0.3"/>
  <cols>
    <col min="2" max="4" width="28.44140625" customWidth="1"/>
  </cols>
  <sheetData>
    <row r="1" spans="1:4" x14ac:dyDescent="0.3">
      <c r="A1" s="9" t="s">
        <v>766</v>
      </c>
      <c r="B1" s="9" t="s">
        <v>755</v>
      </c>
      <c r="C1" s="9" t="s">
        <v>9677</v>
      </c>
      <c r="D1" s="9" t="s">
        <v>768</v>
      </c>
    </row>
    <row r="2" spans="1:4" x14ac:dyDescent="0.3">
      <c r="A2" t="str">
        <f>B2&amp;C2</f>
        <v>Administration</v>
      </c>
      <c r="B2" t="s">
        <v>7662</v>
      </c>
      <c r="D2" t="s">
        <v>6710</v>
      </c>
    </row>
    <row r="3" spans="1:4" x14ac:dyDescent="0.3">
      <c r="A3" t="str">
        <f t="shared" ref="A3:A39" si="0">B3&amp;C3</f>
        <v>Contigency</v>
      </c>
      <c r="B3" t="s">
        <v>9678</v>
      </c>
      <c r="D3" t="s">
        <v>6710</v>
      </c>
    </row>
    <row r="4" spans="1:4" x14ac:dyDescent="0.3">
      <c r="A4" t="str">
        <f t="shared" si="0"/>
        <v>Other</v>
      </c>
      <c r="B4" t="s">
        <v>812</v>
      </c>
      <c r="D4" t="s">
        <v>6710</v>
      </c>
    </row>
    <row r="5" spans="1:4" x14ac:dyDescent="0.3">
      <c r="A5" t="str">
        <f t="shared" si="0"/>
        <v>Local recruitment initiatives</v>
      </c>
      <c r="B5" t="s">
        <v>7658</v>
      </c>
      <c r="D5" t="s">
        <v>9679</v>
      </c>
    </row>
    <row r="6" spans="1:4" x14ac:dyDescent="0.3">
      <c r="A6" t="str">
        <f t="shared" si="0"/>
        <v>Assistive Technologies and EquipmentTelecare</v>
      </c>
      <c r="B6" t="s">
        <v>800</v>
      </c>
      <c r="C6" t="s">
        <v>2108</v>
      </c>
      <c r="D6" t="s">
        <v>802</v>
      </c>
    </row>
    <row r="7" spans="1:4" x14ac:dyDescent="0.3">
      <c r="A7" t="str">
        <f t="shared" si="0"/>
        <v>Assistive Technologies and EquipmentCommunity based equipment</v>
      </c>
      <c r="B7" t="s">
        <v>800</v>
      </c>
      <c r="C7" t="s">
        <v>903</v>
      </c>
      <c r="D7" t="s">
        <v>802</v>
      </c>
    </row>
    <row r="8" spans="1:4" x14ac:dyDescent="0.3">
      <c r="A8" t="str">
        <f t="shared" si="0"/>
        <v>Assistive Technologies and EquipmentOther</v>
      </c>
      <c r="B8" t="s">
        <v>800</v>
      </c>
      <c r="C8" t="s">
        <v>812</v>
      </c>
      <c r="D8" t="s">
        <v>802</v>
      </c>
    </row>
    <row r="9" spans="1:4" x14ac:dyDescent="0.3">
      <c r="A9" t="str">
        <f t="shared" si="0"/>
        <v>Home Care or Domiciliary CareDomiciliary Care Packages</v>
      </c>
      <c r="B9" t="s">
        <v>842</v>
      </c>
      <c r="C9" t="s">
        <v>9680</v>
      </c>
      <c r="D9" t="s">
        <v>844</v>
      </c>
    </row>
    <row r="10" spans="1:4" x14ac:dyDescent="0.3">
      <c r="A10" t="str">
        <f t="shared" si="0"/>
        <v>Home Care or Domiciliary CareDomiciliary Care to support hospital discharge</v>
      </c>
      <c r="B10" t="s">
        <v>842</v>
      </c>
      <c r="C10" t="s">
        <v>9681</v>
      </c>
      <c r="D10" t="s">
        <v>844</v>
      </c>
    </row>
    <row r="11" spans="1:4" x14ac:dyDescent="0.3">
      <c r="A11" t="str">
        <f t="shared" si="0"/>
        <v>Home Care or Domiciliary CareDomiciliary care workforce development</v>
      </c>
      <c r="B11" t="s">
        <v>842</v>
      </c>
      <c r="C11" t="s">
        <v>1594</v>
      </c>
      <c r="D11" t="s">
        <v>844</v>
      </c>
    </row>
    <row r="12" spans="1:4" x14ac:dyDescent="0.3">
      <c r="A12" t="str">
        <f t="shared" si="0"/>
        <v>Home Care or Domiciliary CareOther</v>
      </c>
      <c r="B12" t="s">
        <v>842</v>
      </c>
      <c r="C12" t="s">
        <v>812</v>
      </c>
      <c r="D12" t="s">
        <v>844</v>
      </c>
    </row>
    <row r="13" spans="1:4" x14ac:dyDescent="0.3">
      <c r="A13" t="str">
        <f t="shared" si="0"/>
        <v>Bed Based Intermediate Care ServicesStep down (discharge to assess pathway 2)</v>
      </c>
      <c r="B13" t="s">
        <v>1106</v>
      </c>
      <c r="C13" t="s">
        <v>7628</v>
      </c>
      <c r="D13" t="s">
        <v>9682</v>
      </c>
    </row>
    <row r="14" spans="1:4" x14ac:dyDescent="0.3">
      <c r="A14" t="str">
        <f t="shared" si="0"/>
        <v>Bed Based Intermediate Care ServicesOther</v>
      </c>
      <c r="B14" t="s">
        <v>1106</v>
      </c>
      <c r="C14" t="s">
        <v>812</v>
      </c>
      <c r="D14" t="s">
        <v>9682</v>
      </c>
    </row>
    <row r="15" spans="1:4" x14ac:dyDescent="0.3">
      <c r="A15" t="str">
        <f t="shared" si="0"/>
        <v>Reablement in a Person’s Own HomeReablement to support to discharge – step down</v>
      </c>
      <c r="B15" t="s">
        <v>1113</v>
      </c>
      <c r="C15" t="s">
        <v>7629</v>
      </c>
      <c r="D15" t="s">
        <v>844</v>
      </c>
    </row>
    <row r="16" spans="1:4" x14ac:dyDescent="0.3">
      <c r="A16" t="str">
        <f t="shared" si="0"/>
        <v>Reablement in a Person’s Own HomeReablement service accepting community and discharge</v>
      </c>
      <c r="B16" t="s">
        <v>1113</v>
      </c>
      <c r="C16" t="s">
        <v>7637</v>
      </c>
      <c r="D16" t="s">
        <v>844</v>
      </c>
    </row>
    <row r="17" spans="1:4" x14ac:dyDescent="0.3">
      <c r="A17" t="str">
        <f t="shared" si="0"/>
        <v>Reablement in a Person’s Own HomeOther</v>
      </c>
      <c r="B17" t="s">
        <v>1113</v>
      </c>
      <c r="C17" t="s">
        <v>812</v>
      </c>
      <c r="D17" t="s">
        <v>844</v>
      </c>
    </row>
    <row r="18" spans="1:4" x14ac:dyDescent="0.3">
      <c r="A18" t="str">
        <f t="shared" si="0"/>
        <v>Residential PlacementsCare home</v>
      </c>
      <c r="B18" t="s">
        <v>806</v>
      </c>
      <c r="C18" t="s">
        <v>807</v>
      </c>
      <c r="D18" t="s">
        <v>9682</v>
      </c>
    </row>
    <row r="19" spans="1:4" x14ac:dyDescent="0.3">
      <c r="A19" t="str">
        <f t="shared" si="0"/>
        <v>Residential PlacementsNursing home</v>
      </c>
      <c r="B19" t="s">
        <v>806</v>
      </c>
      <c r="C19" t="s">
        <v>917</v>
      </c>
      <c r="D19" t="s">
        <v>9682</v>
      </c>
    </row>
    <row r="20" spans="1:4" x14ac:dyDescent="0.3">
      <c r="A20" t="str">
        <f t="shared" si="0"/>
        <v>Residential PlacementsDischarge from hospital (with reablement) to long term care</v>
      </c>
      <c r="B20" t="s">
        <v>806</v>
      </c>
      <c r="C20" t="s">
        <v>7642</v>
      </c>
      <c r="D20" t="s">
        <v>9682</v>
      </c>
    </row>
    <row r="21" spans="1:4" x14ac:dyDescent="0.3">
      <c r="A21" t="str">
        <f t="shared" si="0"/>
        <v>Residential PlacementsOther</v>
      </c>
      <c r="B21" t="s">
        <v>806</v>
      </c>
      <c r="C21" t="s">
        <v>812</v>
      </c>
      <c r="D21" t="s">
        <v>9682</v>
      </c>
    </row>
    <row r="22" spans="1:4" x14ac:dyDescent="0.3">
      <c r="A22" t="str">
        <f t="shared" si="0"/>
        <v>Increase hours worked by existing workforceChildcare costs</v>
      </c>
      <c r="B22" t="s">
        <v>7649</v>
      </c>
      <c r="C22" t="s">
        <v>7630</v>
      </c>
      <c r="D22" t="s">
        <v>9683</v>
      </c>
    </row>
    <row r="23" spans="1:4" x14ac:dyDescent="0.3">
      <c r="A23" t="str">
        <f t="shared" si="0"/>
        <v>Increase hours worked by existing workforceOvertime for existing staff.</v>
      </c>
      <c r="B23" t="s">
        <v>7649</v>
      </c>
      <c r="C23" t="s">
        <v>7638</v>
      </c>
      <c r="D23" t="s">
        <v>9683</v>
      </c>
    </row>
    <row r="24" spans="1:4" x14ac:dyDescent="0.3">
      <c r="A24" t="str">
        <f t="shared" si="0"/>
        <v>Improve retention of existing workforceRetention bonuses for existing care staff</v>
      </c>
      <c r="B24" t="s">
        <v>5266</v>
      </c>
      <c r="C24" t="s">
        <v>7631</v>
      </c>
      <c r="D24" t="s">
        <v>9684</v>
      </c>
    </row>
    <row r="25" spans="1:4" x14ac:dyDescent="0.3">
      <c r="A25" t="str">
        <f t="shared" si="0"/>
        <v>Improve retention of existing workforceIncentive payments</v>
      </c>
      <c r="B25" t="s">
        <v>5266</v>
      </c>
      <c r="C25" t="s">
        <v>7639</v>
      </c>
      <c r="D25" t="s">
        <v>9684</v>
      </c>
    </row>
    <row r="26" spans="1:4" x14ac:dyDescent="0.3">
      <c r="A26" t="str">
        <f t="shared" si="0"/>
        <v>Improve retention of existing workforceWellbeing measures</v>
      </c>
      <c r="B26" t="s">
        <v>5266</v>
      </c>
      <c r="C26" t="s">
        <v>7643</v>
      </c>
      <c r="D26" t="s">
        <v>9684</v>
      </c>
    </row>
    <row r="27" spans="1:4" x14ac:dyDescent="0.3">
      <c r="A27" t="str">
        <f t="shared" si="0"/>
        <v>Improve retention of existing workforceBringing forward planned pay increases</v>
      </c>
      <c r="B27" t="s">
        <v>5266</v>
      </c>
      <c r="C27" t="s">
        <v>7646</v>
      </c>
      <c r="D27" t="s">
        <v>9684</v>
      </c>
    </row>
    <row r="28" spans="1:4" x14ac:dyDescent="0.3">
      <c r="A28" t="str">
        <f t="shared" si="0"/>
        <v>Additional or redeployed capacity from current care workersCosts of agency staff</v>
      </c>
      <c r="B28" t="s">
        <v>7657</v>
      </c>
      <c r="C28" t="s">
        <v>7632</v>
      </c>
      <c r="D28" t="s">
        <v>9683</v>
      </c>
    </row>
    <row r="29" spans="1:4" x14ac:dyDescent="0.3">
      <c r="A29" t="str">
        <f t="shared" si="0"/>
        <v>Additional or redeployed capacity from current care workersLocal staff banks</v>
      </c>
      <c r="B29" t="s">
        <v>7657</v>
      </c>
      <c r="C29" t="s">
        <v>7640</v>
      </c>
      <c r="D29" t="s">
        <v>9683</v>
      </c>
    </row>
    <row r="30" spans="1:4" x14ac:dyDescent="0.3">
      <c r="A30" t="str">
        <f t="shared" si="0"/>
        <v>Additional or redeployed capacity from current care workersRedeploy other local authority staff</v>
      </c>
      <c r="B30" t="s">
        <v>7657</v>
      </c>
      <c r="C30" t="s">
        <v>7644</v>
      </c>
      <c r="D30" t="s">
        <v>9683</v>
      </c>
    </row>
    <row r="31" spans="1:4" x14ac:dyDescent="0.3">
      <c r="A31" t="str">
        <f t="shared" si="0"/>
        <v>Local recruitment initiatives</v>
      </c>
      <c r="B31" t="s">
        <v>7658</v>
      </c>
      <c r="D31" t="s">
        <v>9679</v>
      </c>
    </row>
    <row r="32" spans="1:4" x14ac:dyDescent="0.3">
      <c r="A32" t="str">
        <f t="shared" si="0"/>
        <v>Assistive Technologies and Equipment</v>
      </c>
      <c r="B32" t="s">
        <v>800</v>
      </c>
      <c r="D32" t="s">
        <v>802</v>
      </c>
    </row>
    <row r="33" spans="1:4" x14ac:dyDescent="0.3">
      <c r="A33" t="str">
        <f t="shared" si="0"/>
        <v>Home Care or Domiciliary Care</v>
      </c>
      <c r="B33" t="s">
        <v>842</v>
      </c>
      <c r="D33" t="s">
        <v>844</v>
      </c>
    </row>
    <row r="34" spans="1:4" x14ac:dyDescent="0.3">
      <c r="A34" t="str">
        <f t="shared" si="0"/>
        <v>Bed Based Intermediate Care Services</v>
      </c>
      <c r="B34" t="s">
        <v>1106</v>
      </c>
      <c r="D34" t="s">
        <v>9682</v>
      </c>
    </row>
    <row r="35" spans="1:4" x14ac:dyDescent="0.3">
      <c r="A35" t="str">
        <f t="shared" si="0"/>
        <v>Reablement in a Person’s Own Home</v>
      </c>
      <c r="B35" t="s">
        <v>1113</v>
      </c>
      <c r="D35" t="s">
        <v>844</v>
      </c>
    </row>
    <row r="36" spans="1:4" x14ac:dyDescent="0.3">
      <c r="A36" t="str">
        <f t="shared" si="0"/>
        <v>Residential Placements</v>
      </c>
      <c r="B36" t="s">
        <v>806</v>
      </c>
      <c r="D36" t="s">
        <v>9682</v>
      </c>
    </row>
    <row r="37" spans="1:4" x14ac:dyDescent="0.3">
      <c r="A37" t="str">
        <f t="shared" si="0"/>
        <v>Increase hours worked by existing workforce</v>
      </c>
      <c r="B37" t="s">
        <v>7649</v>
      </c>
      <c r="D37" t="s">
        <v>9683</v>
      </c>
    </row>
    <row r="38" spans="1:4" x14ac:dyDescent="0.3">
      <c r="A38" t="str">
        <f t="shared" si="0"/>
        <v>Improve retention of existing workforce</v>
      </c>
      <c r="B38" t="s">
        <v>5266</v>
      </c>
      <c r="D38" t="s">
        <v>9684</v>
      </c>
    </row>
    <row r="39" spans="1:4" x14ac:dyDescent="0.3">
      <c r="A39" t="str">
        <f t="shared" si="0"/>
        <v>Additional or redeployed capacity from current care workers</v>
      </c>
      <c r="B39" t="s">
        <v>7657</v>
      </c>
      <c r="D39" t="s">
        <v>9683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00"/>
  </sheetPr>
  <dimension ref="A4:BO163"/>
  <sheetViews>
    <sheetView topLeftCell="AR2" workbookViewId="0">
      <selection activeCell="AL8" sqref="AL8"/>
    </sheetView>
  </sheetViews>
  <sheetFormatPr defaultRowHeight="14.4" x14ac:dyDescent="0.3"/>
  <cols>
    <col min="2" max="2" width="18.88671875" customWidth="1"/>
    <col min="8" max="8" width="13" customWidth="1"/>
    <col min="60" max="64" width="8.88671875" customWidth="1"/>
  </cols>
  <sheetData>
    <row r="4" spans="1:67" x14ac:dyDescent="0.3">
      <c r="D4" t="s">
        <v>26</v>
      </c>
      <c r="L4" t="s">
        <v>30</v>
      </c>
      <c r="T4" t="s">
        <v>39</v>
      </c>
      <c r="AF4" t="s">
        <v>9685</v>
      </c>
      <c r="AT4" t="s">
        <v>9686</v>
      </c>
      <c r="BH4" t="s">
        <v>9687</v>
      </c>
      <c r="BO4" t="s">
        <v>26</v>
      </c>
    </row>
    <row r="5" spans="1:67" x14ac:dyDescent="0.3">
      <c r="D5" t="s">
        <v>26</v>
      </c>
      <c r="E5" t="s">
        <v>26</v>
      </c>
      <c r="F5" t="s">
        <v>26</v>
      </c>
      <c r="G5" t="s">
        <v>26</v>
      </c>
      <c r="H5" t="s">
        <v>26</v>
      </c>
      <c r="I5" t="s">
        <v>26</v>
      </c>
      <c r="J5" t="s">
        <v>26</v>
      </c>
      <c r="K5" t="s">
        <v>26</v>
      </c>
      <c r="L5" t="s">
        <v>9688</v>
      </c>
      <c r="M5" t="s">
        <v>9688</v>
      </c>
      <c r="N5" t="s">
        <v>9688</v>
      </c>
      <c r="O5" t="s">
        <v>9688</v>
      </c>
      <c r="P5" t="s">
        <v>9688</v>
      </c>
      <c r="Q5" t="s">
        <v>9688</v>
      </c>
      <c r="R5" t="s">
        <v>9688</v>
      </c>
      <c r="S5" t="s">
        <v>9688</v>
      </c>
      <c r="T5" t="s">
        <v>39</v>
      </c>
      <c r="U5" t="s">
        <v>39</v>
      </c>
      <c r="V5" t="s">
        <v>39</v>
      </c>
      <c r="W5" t="s">
        <v>39</v>
      </c>
      <c r="X5" t="s">
        <v>39</v>
      </c>
      <c r="Y5" t="s">
        <v>39</v>
      </c>
      <c r="Z5" t="s">
        <v>39</v>
      </c>
      <c r="AA5" t="s">
        <v>39</v>
      </c>
      <c r="AB5" t="s">
        <v>39</v>
      </c>
      <c r="AC5" t="s">
        <v>39</v>
      </c>
      <c r="AD5" t="s">
        <v>39</v>
      </c>
      <c r="AE5" t="s">
        <v>39</v>
      </c>
      <c r="AF5" t="s">
        <v>9685</v>
      </c>
      <c r="AG5" t="s">
        <v>9685</v>
      </c>
      <c r="AH5" t="s">
        <v>9685</v>
      </c>
      <c r="AI5" t="s">
        <v>9685</v>
      </c>
      <c r="AJ5" t="s">
        <v>9685</v>
      </c>
      <c r="AK5" t="s">
        <v>9685</v>
      </c>
      <c r="AL5" t="s">
        <v>9685</v>
      </c>
      <c r="AM5" t="s">
        <v>9685</v>
      </c>
      <c r="AN5" t="s">
        <v>9685</v>
      </c>
      <c r="AO5" t="s">
        <v>9685</v>
      </c>
      <c r="AP5" t="s">
        <v>9685</v>
      </c>
      <c r="AQ5" t="s">
        <v>9685</v>
      </c>
      <c r="AR5" t="s">
        <v>9685</v>
      </c>
      <c r="AS5" t="s">
        <v>9685</v>
      </c>
      <c r="AT5" t="s">
        <v>9686</v>
      </c>
      <c r="AU5" t="s">
        <v>9686</v>
      </c>
      <c r="AV5" t="s">
        <v>9686</v>
      </c>
      <c r="AW5" t="s">
        <v>9686</v>
      </c>
      <c r="AX5" t="s">
        <v>9686</v>
      </c>
      <c r="AY5" t="s">
        <v>9686</v>
      </c>
      <c r="AZ5" t="s">
        <v>9686</v>
      </c>
      <c r="BA5" t="s">
        <v>9686</v>
      </c>
      <c r="BB5" t="s">
        <v>9686</v>
      </c>
      <c r="BC5" t="s">
        <v>9686</v>
      </c>
      <c r="BD5" t="s">
        <v>9686</v>
      </c>
      <c r="BE5" t="s">
        <v>9686</v>
      </c>
      <c r="BF5" t="s">
        <v>9686</v>
      </c>
      <c r="BG5" t="s">
        <v>9686</v>
      </c>
      <c r="BH5" t="s">
        <v>9687</v>
      </c>
      <c r="BI5" t="s">
        <v>9687</v>
      </c>
      <c r="BJ5" t="s">
        <v>9687</v>
      </c>
      <c r="BK5" t="s">
        <v>9687</v>
      </c>
      <c r="BL5" t="s">
        <v>9687</v>
      </c>
      <c r="BM5" t="s">
        <v>9687</v>
      </c>
      <c r="BN5" t="s">
        <v>9687</v>
      </c>
      <c r="BO5" t="s">
        <v>26</v>
      </c>
    </row>
    <row r="6" spans="1:67" x14ac:dyDescent="0.3">
      <c r="D6" t="s">
        <v>9689</v>
      </c>
      <c r="E6" t="s">
        <v>9690</v>
      </c>
      <c r="F6" t="s">
        <v>9691</v>
      </c>
      <c r="G6" t="s">
        <v>9692</v>
      </c>
      <c r="H6" t="s">
        <v>9693</v>
      </c>
      <c r="I6" t="s">
        <v>9694</v>
      </c>
      <c r="J6" t="s">
        <v>9695</v>
      </c>
      <c r="K6" t="s">
        <v>9696</v>
      </c>
      <c r="L6" t="s">
        <v>9697</v>
      </c>
      <c r="M6" t="s">
        <v>9698</v>
      </c>
      <c r="N6" t="s">
        <v>9699</v>
      </c>
      <c r="O6" t="s">
        <v>9700</v>
      </c>
      <c r="P6" t="s">
        <v>9701</v>
      </c>
      <c r="Q6" t="s">
        <v>9702</v>
      </c>
      <c r="R6" t="s">
        <v>9703</v>
      </c>
      <c r="S6" t="s">
        <v>9704</v>
      </c>
      <c r="T6" t="s">
        <v>9705</v>
      </c>
      <c r="U6" t="s">
        <v>9706</v>
      </c>
      <c r="V6" t="s">
        <v>9707</v>
      </c>
      <c r="W6" t="s">
        <v>9708</v>
      </c>
      <c r="X6" t="s">
        <v>9709</v>
      </c>
      <c r="Y6" t="s">
        <v>9710</v>
      </c>
      <c r="Z6" t="s">
        <v>9711</v>
      </c>
      <c r="AA6" t="s">
        <v>9712</v>
      </c>
      <c r="AB6" t="s">
        <v>9713</v>
      </c>
      <c r="AC6" t="s">
        <v>9714</v>
      </c>
      <c r="AD6" t="s">
        <v>9715</v>
      </c>
      <c r="AE6" t="s">
        <v>9716</v>
      </c>
      <c r="AF6" t="s">
        <v>9717</v>
      </c>
      <c r="AG6" t="s">
        <v>9706</v>
      </c>
      <c r="AH6" t="s">
        <v>9718</v>
      </c>
      <c r="AI6" t="s">
        <v>9710</v>
      </c>
      <c r="AJ6" t="s">
        <v>9719</v>
      </c>
      <c r="AK6" t="s">
        <v>9720</v>
      </c>
      <c r="AL6" t="s">
        <v>9721</v>
      </c>
      <c r="AM6" t="s">
        <v>9722</v>
      </c>
      <c r="AN6" t="s">
        <v>9723</v>
      </c>
      <c r="AO6" t="s">
        <v>9724</v>
      </c>
      <c r="AP6" t="s">
        <v>9725</v>
      </c>
      <c r="AQ6" t="s">
        <v>9726</v>
      </c>
      <c r="AR6" t="s">
        <v>9727</v>
      </c>
      <c r="AS6" t="s">
        <v>9728</v>
      </c>
      <c r="AT6" t="s">
        <v>9700</v>
      </c>
      <c r="AU6" t="s">
        <v>9729</v>
      </c>
      <c r="AV6" t="s">
        <v>9730</v>
      </c>
      <c r="AW6" t="s">
        <v>9704</v>
      </c>
      <c r="AX6" t="s">
        <v>9731</v>
      </c>
      <c r="AY6" t="s">
        <v>9732</v>
      </c>
      <c r="AZ6" t="s">
        <v>9733</v>
      </c>
      <c r="BA6" t="s">
        <v>9734</v>
      </c>
      <c r="BB6" t="s">
        <v>9735</v>
      </c>
      <c r="BC6" t="s">
        <v>9736</v>
      </c>
      <c r="BD6" t="s">
        <v>9737</v>
      </c>
      <c r="BE6" t="s">
        <v>9738</v>
      </c>
      <c r="BF6" t="s">
        <v>9739</v>
      </c>
      <c r="BG6" t="s">
        <v>9740</v>
      </c>
      <c r="BH6" t="s">
        <v>9741</v>
      </c>
      <c r="BI6" t="s">
        <v>9723</v>
      </c>
      <c r="BJ6" t="s">
        <v>9742</v>
      </c>
      <c r="BK6" t="s">
        <v>9743</v>
      </c>
      <c r="BL6" t="s">
        <v>9739</v>
      </c>
      <c r="BM6" t="s">
        <v>9744</v>
      </c>
      <c r="BN6" t="s">
        <v>9740</v>
      </c>
      <c r="BO6" t="s">
        <v>9745</v>
      </c>
    </row>
    <row r="8" spans="1:67" x14ac:dyDescent="0.3">
      <c r="C8" t="s">
        <v>442</v>
      </c>
      <c r="D8" t="s">
        <v>7669</v>
      </c>
      <c r="E8" t="s">
        <v>382</v>
      </c>
      <c r="F8" t="s">
        <v>383</v>
      </c>
      <c r="G8" t="s">
        <v>384</v>
      </c>
      <c r="H8" t="s">
        <v>385</v>
      </c>
      <c r="I8" t="s">
        <v>386</v>
      </c>
      <c r="J8" t="s">
        <v>389</v>
      </c>
      <c r="K8" t="s">
        <v>390</v>
      </c>
      <c r="L8" t="s">
        <v>9746</v>
      </c>
      <c r="M8" t="s">
        <v>9747</v>
      </c>
      <c r="N8" t="s">
        <v>9748</v>
      </c>
      <c r="O8" t="s">
        <v>9749</v>
      </c>
      <c r="P8" t="s">
        <v>9750</v>
      </c>
      <c r="Q8" t="s">
        <v>9751</v>
      </c>
      <c r="R8" t="s">
        <v>9752</v>
      </c>
      <c r="S8" t="s">
        <v>9753</v>
      </c>
      <c r="T8" t="s">
        <v>9754</v>
      </c>
      <c r="U8" t="s">
        <v>9755</v>
      </c>
      <c r="V8" t="s">
        <v>9756</v>
      </c>
      <c r="W8" t="s">
        <v>9757</v>
      </c>
      <c r="X8" t="s">
        <v>9758</v>
      </c>
      <c r="Y8" t="s">
        <v>9759</v>
      </c>
      <c r="Z8" t="s">
        <v>9760</v>
      </c>
      <c r="AA8" t="s">
        <v>9761</v>
      </c>
      <c r="AB8" t="s">
        <v>9762</v>
      </c>
      <c r="AC8" t="s">
        <v>9763</v>
      </c>
      <c r="AD8" t="s">
        <v>9764</v>
      </c>
      <c r="AE8" t="s">
        <v>9765</v>
      </c>
      <c r="AF8" t="s">
        <v>9766</v>
      </c>
      <c r="AG8" t="s">
        <v>9767</v>
      </c>
      <c r="AH8" t="s">
        <v>9768</v>
      </c>
      <c r="AI8" t="s">
        <v>9769</v>
      </c>
      <c r="AJ8" t="s">
        <v>9770</v>
      </c>
      <c r="AK8" t="s">
        <v>9771</v>
      </c>
      <c r="AL8" t="s">
        <v>9772</v>
      </c>
      <c r="AM8" t="s">
        <v>9773</v>
      </c>
      <c r="AN8" t="s">
        <v>9774</v>
      </c>
      <c r="AO8" t="s">
        <v>9775</v>
      </c>
      <c r="AP8" t="s">
        <v>9776</v>
      </c>
      <c r="AQ8" t="s">
        <v>9777</v>
      </c>
      <c r="AR8" t="s">
        <v>9778</v>
      </c>
      <c r="AS8" t="s">
        <v>9779</v>
      </c>
      <c r="AT8" t="s">
        <v>9780</v>
      </c>
      <c r="AU8" t="s">
        <v>9781</v>
      </c>
      <c r="AV8" t="s">
        <v>9782</v>
      </c>
      <c r="AW8" t="s">
        <v>9783</v>
      </c>
      <c r="AX8" t="s">
        <v>9784</v>
      </c>
      <c r="AY8" t="s">
        <v>9785</v>
      </c>
      <c r="AZ8" t="s">
        <v>9786</v>
      </c>
      <c r="BA8" t="s">
        <v>9787</v>
      </c>
      <c r="BB8" t="s">
        <v>9788</v>
      </c>
      <c r="BC8" t="s">
        <v>9789</v>
      </c>
      <c r="BD8" t="s">
        <v>9790</v>
      </c>
      <c r="BE8" t="s">
        <v>9791</v>
      </c>
      <c r="BF8" t="s">
        <v>9792</v>
      </c>
      <c r="BG8" t="s">
        <v>9793</v>
      </c>
      <c r="BH8" t="s">
        <v>9794</v>
      </c>
      <c r="BI8" t="s">
        <v>9795</v>
      </c>
      <c r="BJ8" t="s">
        <v>9796</v>
      </c>
      <c r="BK8" t="s">
        <v>9797</v>
      </c>
      <c r="BL8" t="s">
        <v>9798</v>
      </c>
      <c r="BM8" t="s">
        <v>9799</v>
      </c>
      <c r="BN8" t="s">
        <v>9800</v>
      </c>
    </row>
    <row r="9" spans="1:67" x14ac:dyDescent="0.3">
      <c r="C9" t="str">
        <f>IFERROR(VLOOKUP($D$9,$B$13:$C$163,2,FALSE),"")</f>
        <v>E09000017</v>
      </c>
      <c r="D9" t="str">
        <f>IF('2. Cover'!$D$165="","",'2. Cover'!$D$165)</f>
        <v>Hillingdon</v>
      </c>
      <c r="E9" t="str">
        <f>IF('2. Cover'!$D$166="","",'2. Cover'!$D$166)</f>
        <v>GARY COLLIER</v>
      </c>
      <c r="F9" t="str">
        <f>IF('2. Cover'!$D$167="","",'2. Cover'!$D$167)</f>
        <v>gcollier@hillingdon.gov.uk</v>
      </c>
      <c r="G9" t="str">
        <f>IF('2. Cover'!$D$168="","",'2. Cover'!$D$168)</f>
        <v>01895 250730</v>
      </c>
      <c r="H9" t="str">
        <f>IF('2. Cover'!$D$169="","",'2. Cover'!$D$169)</f>
        <v>No</v>
      </c>
      <c r="I9">
        <f>IF('2. Cover'!$D$170="","",'2. Cover'!$D$170)</f>
        <v>45258</v>
      </c>
      <c r="J9" t="str">
        <f>IF('2. Cover'!$D$172="","",'2. Cover'!$D$172)</f>
        <v/>
      </c>
      <c r="K9" t="str">
        <f>IF('2. Cover'!$D$173="","",'2. Cover'!$D$173)</f>
        <v/>
      </c>
      <c r="L9" t="str">
        <f>IF('3. National Conditions'!C11="","",'3. National Conditions'!C11)</f>
        <v>Yes</v>
      </c>
      <c r="M9" t="str">
        <f>IF('3. National Conditions'!C12="","",'3. National Conditions'!C12)</f>
        <v>Yes</v>
      </c>
      <c r="N9" t="str">
        <f>IF('3. National Conditions'!C13="","",'3. National Conditions'!C13)</f>
        <v>Yes</v>
      </c>
      <c r="O9" t="str">
        <f>IF('3. National Conditions'!C14="","",'3. National Conditions'!C14)</f>
        <v>Yes</v>
      </c>
      <c r="P9" t="str">
        <f>IF('3. National Conditions'!D11="","",'3. National Conditions'!D11)</f>
        <v/>
      </c>
      <c r="Q9" t="str">
        <f>IF('3. National Conditions'!D12="","",'3. National Conditions'!D12)</f>
        <v/>
      </c>
      <c r="R9" t="str">
        <f>IF('3. National Conditions'!D13="","",'3. National Conditions'!D13)</f>
        <v/>
      </c>
      <c r="S9" t="str">
        <f>IF('3. National Conditions'!D14="","",'3. National Conditions'!D14)</f>
        <v/>
      </c>
      <c r="T9" t="str">
        <f>IF('4. Metrics'!I15="","",'4. Metrics'!I15)</f>
        <v>On track to meet target</v>
      </c>
      <c r="U9" t="str">
        <f>IF('4. Metrics'!I16="","",'4. Metrics'!I16)</f>
        <v>Not on track to meet target</v>
      </c>
      <c r="V9" s="34" t="str">
        <f>IF('4. Metrics'!I18="","",'4. Metrics'!I18)</f>
        <v>Not on track to meet target</v>
      </c>
      <c r="W9" t="str">
        <f>IF('4. Metrics'!I19="","",'4. Metrics'!I19)</f>
        <v>Data not available to assess progress</v>
      </c>
      <c r="X9" t="str">
        <f>IF('4. Metrics'!J15="","",'4. Metrics'!J15)</f>
        <v>Concentration of community resources on discharge impacts on admission avoidance capacity. This is being addressed with transition to new operating model reflected within BCF plan. No support needs identified.</v>
      </c>
      <c r="Y9" t="str">
        <f>IF('4. Metrics'!J16="","",'4. Metrics'!J16)</f>
        <v>Increasing levels of frailty are necessitating step-down in bed-based provision that does not count as normal place of residence. No support needs identified.</v>
      </c>
      <c r="Z9" t="str">
        <f>IF('4. Metrics'!J18="","",'4. Metrics'!J18)</f>
        <v>The figures submitted for this metric are based on anticipated sequel to action, i.e., what the social care professional believes is likely to happen. This means that the actual number of permanent admissions is below the numerator which will relate to the figure submitted for the Council’s Short and Long-term Support (SALT) return to NHS Digital. Increasing numbers of older people with increased acuity being seen, which can be attributed to covid legacy. 75% of permanent admissions are conversions from short-term, which is an increase from 55% in 2022/23 and is associated with increased acuity and impact on the ability and willingness of carers to cope with their caring role. Number of actual placements projected to to be 223 against projected 360 using ASCOF measure. No support needs identified.</v>
      </c>
      <c r="AA9" t="str">
        <f>IF('4. Metrics'!J19="","",'4. Metrics'!J19)</f>
        <v>A challenge with this metric is the increased acuity of older people being discharged. This is being mitigated with therapy input. It should be noted that people who may pass away during the 91 review period still included within the denominator.</v>
      </c>
      <c r="AB9" t="str">
        <f>IF('4. Metrics'!K15="","",'4. Metrics'!K15)</f>
        <v>There were 1,063 spells in the review period compared to 2,022 in the same period in 2022/23. This would suggest that active care planning at Neighbourhood level is having an impact.</v>
      </c>
      <c r="AC9" t="str">
        <f>IF('4. Metrics'!K16="","",'4. Metrics'!K16)</f>
        <v>P1 process working well and Hillingdon model seen as template for sub-region. Q2 performance an improvement on Q1, although only based on two months' data.</v>
      </c>
      <c r="AD9" t="str">
        <f>IF('4. Metrics'!K18="","",'4. Metrics'!K18)</f>
        <v>Investment via BCF in range of intermediate tier services as well as provision of extra care and rigorous review process, ensures that permanent care home admissions the option of last resort to address assessed need.</v>
      </c>
      <c r="AE9" t="str">
        <f>IF('4. Metrics'!K19="","",'4. Metrics'!K19)</f>
        <v>Closer working between Bridging Care, reablement and the CNWL Homefirst Team is resulting in timely deployment of therapy input that should have a positive impact on proportion of people discharged remaining at home.</v>
      </c>
      <c r="AF9" t="e">
        <f>IF(#REF!="","",#REF!)</f>
        <v>#REF!</v>
      </c>
      <c r="AG9" t="e">
        <f>IF(#REF!="","",#REF!)</f>
        <v>#REF!</v>
      </c>
      <c r="AH9" t="e">
        <f>IF(#REF!="","",#REF!)</f>
        <v>#REF!</v>
      </c>
      <c r="AI9" t="e">
        <f>IF(#REF!="","",#REF!)</f>
        <v>#REF!</v>
      </c>
      <c r="AJ9" t="e">
        <f>IF(#REF!="","",#REF!)</f>
        <v>#REF!</v>
      </c>
      <c r="AK9" t="e">
        <f>IF(#REF!="","",#REF!)</f>
        <v>#REF!</v>
      </c>
      <c r="AL9" t="e">
        <f>IF(#REF!="","",#REF!)</f>
        <v>#REF!</v>
      </c>
      <c r="AM9" t="e">
        <f>IF(#REF!="","",#REF!)</f>
        <v>#REF!</v>
      </c>
      <c r="AN9" t="e">
        <f>IF(#REF!="","",#REF!)</f>
        <v>#REF!</v>
      </c>
      <c r="AO9" t="e">
        <f>IF(#REF!="","",#REF!)</f>
        <v>#REF!</v>
      </c>
      <c r="AP9" t="e">
        <f>IF(#REF!="","",#REF!)</f>
        <v>#REF!</v>
      </c>
      <c r="AQ9" t="e">
        <f>IF(#REF!="","",#REF!)</f>
        <v>#REF!</v>
      </c>
      <c r="AR9" t="e">
        <f>IF(#REF!="","",#REF!)</f>
        <v>#REF!</v>
      </c>
      <c r="AS9" t="e">
        <f>IF(#REF!="","",#REF!)</f>
        <v>#REF!</v>
      </c>
      <c r="AT9" t="e">
        <f>IF(#REF!="","",#REF!)</f>
        <v>#REF!</v>
      </c>
      <c r="AU9" t="e">
        <f>IF(#REF!="","",#REF!)</f>
        <v>#REF!</v>
      </c>
      <c r="AV9" t="e">
        <f>IF(#REF!="","",#REF!)</f>
        <v>#REF!</v>
      </c>
      <c r="AW9" t="e">
        <f>IF(#REF!="","",#REF!)</f>
        <v>#REF!</v>
      </c>
      <c r="AX9" t="e">
        <f>IF(#REF!="","",#REF!)</f>
        <v>#REF!</v>
      </c>
      <c r="AY9" t="e">
        <f>IF(#REF!="","",#REF!)</f>
        <v>#REF!</v>
      </c>
      <c r="AZ9" t="e">
        <f>IF(#REF!="","",#REF!)</f>
        <v>#REF!</v>
      </c>
      <c r="BA9" t="e">
        <f>IF(#REF!="","",#REF!)</f>
        <v>#REF!</v>
      </c>
      <c r="BB9" t="e">
        <f>IF(#REF!="","",#REF!)</f>
        <v>#REF!</v>
      </c>
      <c r="BC9" t="e">
        <f>IF(#REF!="","",#REF!)</f>
        <v>#REF!</v>
      </c>
      <c r="BD9" t="e">
        <f>IF(#REF!="","",#REF!)</f>
        <v>#REF!</v>
      </c>
      <c r="BE9" t="e">
        <f>IF(#REF!="","",#REF!)</f>
        <v>#REF!</v>
      </c>
      <c r="BF9" t="e">
        <f>IF(#REF!="","",#REF!)</f>
        <v>#REF!</v>
      </c>
      <c r="BG9" t="e">
        <f>IF(#REF!="","",#REF!)</f>
        <v>#REF!</v>
      </c>
      <c r="BH9" t="e">
        <f>IF(#REF!="","",#REF!)</f>
        <v>#REF!</v>
      </c>
      <c r="BI9" t="e">
        <f>IF(#REF!="","",#REF!)</f>
        <v>#REF!</v>
      </c>
      <c r="BJ9" t="e">
        <f>IF(#REF!="","",#REF!)</f>
        <v>#REF!</v>
      </c>
      <c r="BK9" t="e">
        <f>IF(#REF!="","",#REF!)</f>
        <v>#REF!</v>
      </c>
      <c r="BL9" t="e">
        <f>IF(#REF!="","",#REF!)</f>
        <v>#REF!</v>
      </c>
      <c r="BM9" t="e">
        <f>IF(#REF!="","",#REF!)</f>
        <v>#REF!</v>
      </c>
      <c r="BN9" t="e">
        <f>IF(#REF!="","",#REF!)</f>
        <v>#REF!</v>
      </c>
      <c r="BO9" t="str">
        <f>IF('2. Cover'!$B$157="","",'2. Cover'!$B$157)</f>
        <v>Version 3.0</v>
      </c>
    </row>
    <row r="12" spans="1:67" x14ac:dyDescent="0.3">
      <c r="B12" t="s">
        <v>767</v>
      </c>
      <c r="C12" t="s">
        <v>442</v>
      </c>
    </row>
    <row r="13" spans="1:67" x14ac:dyDescent="0.3">
      <c r="A13" t="s">
        <v>64</v>
      </c>
      <c r="B13" t="s">
        <v>65</v>
      </c>
      <c r="C13" t="s">
        <v>64</v>
      </c>
    </row>
    <row r="14" spans="1:67" x14ac:dyDescent="0.3">
      <c r="A14" t="s">
        <v>66</v>
      </c>
      <c r="B14" t="s">
        <v>67</v>
      </c>
      <c r="C14" t="s">
        <v>66</v>
      </c>
    </row>
    <row r="15" spans="1:67" x14ac:dyDescent="0.3">
      <c r="A15" t="s">
        <v>68</v>
      </c>
      <c r="B15" t="s">
        <v>69</v>
      </c>
      <c r="C15" t="s">
        <v>68</v>
      </c>
    </row>
    <row r="16" spans="1:67" x14ac:dyDescent="0.3">
      <c r="A16" t="s">
        <v>70</v>
      </c>
      <c r="B16" t="s">
        <v>71</v>
      </c>
      <c r="C16" t="s">
        <v>70</v>
      </c>
    </row>
    <row r="17" spans="1:3" x14ac:dyDescent="0.3">
      <c r="A17" t="s">
        <v>72</v>
      </c>
      <c r="B17" t="s">
        <v>73</v>
      </c>
      <c r="C17" t="s">
        <v>72</v>
      </c>
    </row>
    <row r="18" spans="1:3" x14ac:dyDescent="0.3">
      <c r="A18" t="s">
        <v>74</v>
      </c>
      <c r="B18" t="s">
        <v>75</v>
      </c>
      <c r="C18" t="s">
        <v>74</v>
      </c>
    </row>
    <row r="19" spans="1:3" x14ac:dyDescent="0.3">
      <c r="A19" t="s">
        <v>76</v>
      </c>
      <c r="B19" t="s">
        <v>77</v>
      </c>
      <c r="C19" t="s">
        <v>76</v>
      </c>
    </row>
    <row r="20" spans="1:3" x14ac:dyDescent="0.3">
      <c r="A20" t="s">
        <v>78</v>
      </c>
      <c r="B20" t="s">
        <v>79</v>
      </c>
      <c r="C20" t="s">
        <v>78</v>
      </c>
    </row>
    <row r="21" spans="1:3" x14ac:dyDescent="0.3">
      <c r="A21" t="s">
        <v>80</v>
      </c>
      <c r="B21" t="s">
        <v>81</v>
      </c>
      <c r="C21" t="s">
        <v>80</v>
      </c>
    </row>
    <row r="22" spans="1:3" x14ac:dyDescent="0.3">
      <c r="A22" t="s">
        <v>82</v>
      </c>
      <c r="B22" t="s">
        <v>83</v>
      </c>
      <c r="C22" t="s">
        <v>82</v>
      </c>
    </row>
    <row r="23" spans="1:3" x14ac:dyDescent="0.3">
      <c r="A23" t="s">
        <v>84</v>
      </c>
      <c r="B23" t="s">
        <v>85</v>
      </c>
      <c r="C23" t="s">
        <v>84</v>
      </c>
    </row>
    <row r="24" spans="1:3" x14ac:dyDescent="0.3">
      <c r="A24" t="s">
        <v>86</v>
      </c>
      <c r="B24" t="s">
        <v>87</v>
      </c>
      <c r="C24" t="s">
        <v>86</v>
      </c>
    </row>
    <row r="25" spans="1:3" x14ac:dyDescent="0.3">
      <c r="A25" t="s">
        <v>88</v>
      </c>
      <c r="B25" t="s">
        <v>89</v>
      </c>
      <c r="C25" t="s">
        <v>88</v>
      </c>
    </row>
    <row r="26" spans="1:3" x14ac:dyDescent="0.3">
      <c r="A26" t="s">
        <v>90</v>
      </c>
      <c r="B26" t="s">
        <v>91</v>
      </c>
      <c r="C26" t="s">
        <v>90</v>
      </c>
    </row>
    <row r="27" spans="1:3" x14ac:dyDescent="0.3">
      <c r="A27" t="s">
        <v>92</v>
      </c>
      <c r="B27" t="s">
        <v>93</v>
      </c>
      <c r="C27" t="s">
        <v>92</v>
      </c>
    </row>
    <row r="28" spans="1:3" x14ac:dyDescent="0.3">
      <c r="A28" t="s">
        <v>94</v>
      </c>
      <c r="B28" t="s">
        <v>95</v>
      </c>
      <c r="C28" t="s">
        <v>94</v>
      </c>
    </row>
    <row r="29" spans="1:3" x14ac:dyDescent="0.3">
      <c r="A29" t="s">
        <v>96</v>
      </c>
      <c r="B29" t="s">
        <v>97</v>
      </c>
      <c r="C29" t="s">
        <v>96</v>
      </c>
    </row>
    <row r="30" spans="1:3" x14ac:dyDescent="0.3">
      <c r="A30" t="s">
        <v>98</v>
      </c>
      <c r="B30" t="s">
        <v>99</v>
      </c>
      <c r="C30" t="s">
        <v>98</v>
      </c>
    </row>
    <row r="31" spans="1:3" x14ac:dyDescent="0.3">
      <c r="A31" t="s">
        <v>100</v>
      </c>
      <c r="B31" t="s">
        <v>101</v>
      </c>
      <c r="C31" t="s">
        <v>100</v>
      </c>
    </row>
    <row r="32" spans="1:3" x14ac:dyDescent="0.3">
      <c r="A32" t="s">
        <v>102</v>
      </c>
      <c r="B32" t="s">
        <v>103</v>
      </c>
      <c r="C32" t="s">
        <v>102</v>
      </c>
    </row>
    <row r="33" spans="1:3" x14ac:dyDescent="0.3">
      <c r="A33" t="s">
        <v>104</v>
      </c>
      <c r="B33" t="s">
        <v>105</v>
      </c>
      <c r="C33" t="s">
        <v>104</v>
      </c>
    </row>
    <row r="34" spans="1:3" x14ac:dyDescent="0.3">
      <c r="A34" t="s">
        <v>106</v>
      </c>
      <c r="B34" t="s">
        <v>107</v>
      </c>
      <c r="C34" t="s">
        <v>106</v>
      </c>
    </row>
    <row r="35" spans="1:3" x14ac:dyDescent="0.3">
      <c r="A35" t="s">
        <v>108</v>
      </c>
      <c r="B35" t="s">
        <v>109</v>
      </c>
      <c r="C35" t="s">
        <v>108</v>
      </c>
    </row>
    <row r="36" spans="1:3" x14ac:dyDescent="0.3">
      <c r="A36" t="s">
        <v>110</v>
      </c>
      <c r="B36" t="s">
        <v>111</v>
      </c>
      <c r="C36" t="s">
        <v>110</v>
      </c>
    </row>
    <row r="37" spans="1:3" x14ac:dyDescent="0.3">
      <c r="A37" t="s">
        <v>112</v>
      </c>
      <c r="B37" t="s">
        <v>113</v>
      </c>
      <c r="C37" t="s">
        <v>112</v>
      </c>
    </row>
    <row r="38" spans="1:3" x14ac:dyDescent="0.3">
      <c r="A38" t="s">
        <v>114</v>
      </c>
      <c r="B38" t="s">
        <v>115</v>
      </c>
      <c r="C38" t="s">
        <v>114</v>
      </c>
    </row>
    <row r="39" spans="1:3" x14ac:dyDescent="0.3">
      <c r="A39" t="s">
        <v>116</v>
      </c>
      <c r="B39" t="s">
        <v>117</v>
      </c>
      <c r="C39" t="s">
        <v>116</v>
      </c>
    </row>
    <row r="40" spans="1:3" x14ac:dyDescent="0.3">
      <c r="A40" t="s">
        <v>118</v>
      </c>
      <c r="B40" t="s">
        <v>119</v>
      </c>
      <c r="C40" t="s">
        <v>118</v>
      </c>
    </row>
    <row r="41" spans="1:3" x14ac:dyDescent="0.3">
      <c r="A41" t="s">
        <v>120</v>
      </c>
      <c r="B41" t="s">
        <v>121</v>
      </c>
      <c r="C41" t="s">
        <v>120</v>
      </c>
    </row>
    <row r="42" spans="1:3" x14ac:dyDescent="0.3">
      <c r="A42" t="s">
        <v>122</v>
      </c>
      <c r="B42" t="s">
        <v>123</v>
      </c>
      <c r="C42" t="s">
        <v>122</v>
      </c>
    </row>
    <row r="43" spans="1:3" x14ac:dyDescent="0.3">
      <c r="A43" t="s">
        <v>9801</v>
      </c>
      <c r="B43" t="s">
        <v>8056</v>
      </c>
      <c r="C43" t="s">
        <v>9801</v>
      </c>
    </row>
    <row r="44" spans="1:3" x14ac:dyDescent="0.3">
      <c r="A44" t="s">
        <v>126</v>
      </c>
      <c r="B44" t="s">
        <v>127</v>
      </c>
      <c r="C44" t="s">
        <v>126</v>
      </c>
    </row>
    <row r="45" spans="1:3" x14ac:dyDescent="0.3">
      <c r="A45" t="s">
        <v>128</v>
      </c>
      <c r="B45" t="s">
        <v>129</v>
      </c>
      <c r="C45" t="s">
        <v>128</v>
      </c>
    </row>
    <row r="46" spans="1:3" x14ac:dyDescent="0.3">
      <c r="A46" t="s">
        <v>130</v>
      </c>
      <c r="B46" t="s">
        <v>131</v>
      </c>
      <c r="C46" t="s">
        <v>130</v>
      </c>
    </row>
    <row r="47" spans="1:3" x14ac:dyDescent="0.3">
      <c r="A47" t="s">
        <v>132</v>
      </c>
      <c r="B47" t="s">
        <v>133</v>
      </c>
      <c r="C47" t="s">
        <v>132</v>
      </c>
    </row>
    <row r="48" spans="1:3" x14ac:dyDescent="0.3">
      <c r="A48" t="s">
        <v>134</v>
      </c>
      <c r="B48" t="s">
        <v>135</v>
      </c>
      <c r="C48" t="s">
        <v>134</v>
      </c>
    </row>
    <row r="49" spans="1:3" x14ac:dyDescent="0.3">
      <c r="A49" t="s">
        <v>136</v>
      </c>
      <c r="B49" t="s">
        <v>137</v>
      </c>
      <c r="C49" t="s">
        <v>136</v>
      </c>
    </row>
    <row r="50" spans="1:3" x14ac:dyDescent="0.3">
      <c r="A50" t="s">
        <v>138</v>
      </c>
      <c r="B50" t="s">
        <v>139</v>
      </c>
      <c r="C50" t="s">
        <v>138</v>
      </c>
    </row>
    <row r="51" spans="1:3" x14ac:dyDescent="0.3">
      <c r="A51" t="s">
        <v>140</v>
      </c>
      <c r="B51" t="s">
        <v>141</v>
      </c>
      <c r="C51" t="s">
        <v>140</v>
      </c>
    </row>
    <row r="52" spans="1:3" x14ac:dyDescent="0.3">
      <c r="A52" t="s">
        <v>142</v>
      </c>
      <c r="B52" t="s">
        <v>143</v>
      </c>
      <c r="C52" t="s">
        <v>142</v>
      </c>
    </row>
    <row r="53" spans="1:3" x14ac:dyDescent="0.3">
      <c r="A53" t="s">
        <v>144</v>
      </c>
      <c r="B53" t="s">
        <v>145</v>
      </c>
      <c r="C53" t="s">
        <v>144</v>
      </c>
    </row>
    <row r="54" spans="1:3" x14ac:dyDescent="0.3">
      <c r="A54" t="s">
        <v>146</v>
      </c>
      <c r="B54" t="s">
        <v>147</v>
      </c>
      <c r="C54" t="s">
        <v>146</v>
      </c>
    </row>
    <row r="55" spans="1:3" x14ac:dyDescent="0.3">
      <c r="A55" t="s">
        <v>148</v>
      </c>
      <c r="B55" t="s">
        <v>149</v>
      </c>
      <c r="C55" t="s">
        <v>148</v>
      </c>
    </row>
    <row r="56" spans="1:3" x14ac:dyDescent="0.3">
      <c r="A56" t="s">
        <v>150</v>
      </c>
      <c r="B56" t="s">
        <v>151</v>
      </c>
      <c r="C56" t="s">
        <v>150</v>
      </c>
    </row>
    <row r="57" spans="1:3" x14ac:dyDescent="0.3">
      <c r="A57" t="s">
        <v>152</v>
      </c>
      <c r="B57" t="s">
        <v>153</v>
      </c>
      <c r="C57" t="s">
        <v>152</v>
      </c>
    </row>
    <row r="58" spans="1:3" x14ac:dyDescent="0.3">
      <c r="A58" t="s">
        <v>154</v>
      </c>
      <c r="B58" t="s">
        <v>155</v>
      </c>
      <c r="C58" t="s">
        <v>154</v>
      </c>
    </row>
    <row r="59" spans="1:3" x14ac:dyDescent="0.3">
      <c r="A59" t="s">
        <v>156</v>
      </c>
      <c r="B59" t="s">
        <v>157</v>
      </c>
      <c r="C59" t="s">
        <v>156</v>
      </c>
    </row>
    <row r="60" spans="1:3" x14ac:dyDescent="0.3">
      <c r="A60" t="s">
        <v>158</v>
      </c>
      <c r="B60" t="s">
        <v>159</v>
      </c>
      <c r="C60" t="s">
        <v>158</v>
      </c>
    </row>
    <row r="61" spans="1:3" x14ac:dyDescent="0.3">
      <c r="A61" t="s">
        <v>160</v>
      </c>
      <c r="B61" t="s">
        <v>161</v>
      </c>
      <c r="C61" t="s">
        <v>160</v>
      </c>
    </row>
    <row r="62" spans="1:3" x14ac:dyDescent="0.3">
      <c r="A62" t="s">
        <v>162</v>
      </c>
      <c r="B62" t="s">
        <v>163</v>
      </c>
      <c r="C62" t="s">
        <v>162</v>
      </c>
    </row>
    <row r="63" spans="1:3" x14ac:dyDescent="0.3">
      <c r="A63" t="s">
        <v>164</v>
      </c>
      <c r="B63" t="s">
        <v>165</v>
      </c>
      <c r="C63" t="s">
        <v>164</v>
      </c>
    </row>
    <row r="64" spans="1:3" x14ac:dyDescent="0.3">
      <c r="A64" t="s">
        <v>166</v>
      </c>
      <c r="B64" t="s">
        <v>167</v>
      </c>
      <c r="C64" t="s">
        <v>166</v>
      </c>
    </row>
    <row r="65" spans="1:3" x14ac:dyDescent="0.3">
      <c r="A65" t="s">
        <v>168</v>
      </c>
      <c r="B65" t="s">
        <v>169</v>
      </c>
      <c r="C65" t="s">
        <v>168</v>
      </c>
    </row>
    <row r="66" spans="1:3" x14ac:dyDescent="0.3">
      <c r="A66" t="s">
        <v>170</v>
      </c>
      <c r="B66" t="s">
        <v>171</v>
      </c>
      <c r="C66" t="s">
        <v>170</v>
      </c>
    </row>
    <row r="67" spans="1:3" x14ac:dyDescent="0.3">
      <c r="A67" t="s">
        <v>172</v>
      </c>
      <c r="B67" t="s">
        <v>173</v>
      </c>
      <c r="C67" t="s">
        <v>172</v>
      </c>
    </row>
    <row r="68" spans="1:3" x14ac:dyDescent="0.3">
      <c r="A68" t="s">
        <v>174</v>
      </c>
      <c r="B68" t="s">
        <v>175</v>
      </c>
      <c r="C68" t="s">
        <v>174</v>
      </c>
    </row>
    <row r="69" spans="1:3" x14ac:dyDescent="0.3">
      <c r="A69" t="s">
        <v>176</v>
      </c>
      <c r="B69" t="s">
        <v>177</v>
      </c>
      <c r="C69" t="s">
        <v>176</v>
      </c>
    </row>
    <row r="70" spans="1:3" x14ac:dyDescent="0.3">
      <c r="A70" t="s">
        <v>178</v>
      </c>
      <c r="B70" t="s">
        <v>179</v>
      </c>
      <c r="C70" t="s">
        <v>178</v>
      </c>
    </row>
    <row r="71" spans="1:3" x14ac:dyDescent="0.3">
      <c r="A71" t="s">
        <v>180</v>
      </c>
      <c r="B71" t="s">
        <v>181</v>
      </c>
      <c r="C71" t="s">
        <v>180</v>
      </c>
    </row>
    <row r="72" spans="1:3" x14ac:dyDescent="0.3">
      <c r="A72" t="s">
        <v>182</v>
      </c>
      <c r="B72" t="s">
        <v>183</v>
      </c>
      <c r="C72" t="s">
        <v>182</v>
      </c>
    </row>
    <row r="73" spans="1:3" x14ac:dyDescent="0.3">
      <c r="A73" t="s">
        <v>184</v>
      </c>
      <c r="B73" t="s">
        <v>185</v>
      </c>
      <c r="C73" t="s">
        <v>184</v>
      </c>
    </row>
    <row r="74" spans="1:3" x14ac:dyDescent="0.3">
      <c r="A74" t="s">
        <v>186</v>
      </c>
      <c r="B74" t="s">
        <v>187</v>
      </c>
      <c r="C74" t="s">
        <v>186</v>
      </c>
    </row>
    <row r="75" spans="1:3" x14ac:dyDescent="0.3">
      <c r="A75" t="s">
        <v>188</v>
      </c>
      <c r="B75" t="s">
        <v>189</v>
      </c>
      <c r="C75" t="s">
        <v>188</v>
      </c>
    </row>
    <row r="76" spans="1:3" x14ac:dyDescent="0.3">
      <c r="A76" t="s">
        <v>190</v>
      </c>
      <c r="B76" t="s">
        <v>191</v>
      </c>
      <c r="C76" t="s">
        <v>190</v>
      </c>
    </row>
    <row r="77" spans="1:3" x14ac:dyDescent="0.3">
      <c r="A77" t="s">
        <v>192</v>
      </c>
      <c r="B77" t="s">
        <v>193</v>
      </c>
      <c r="C77" t="s">
        <v>192</v>
      </c>
    </row>
    <row r="78" spans="1:3" x14ac:dyDescent="0.3">
      <c r="A78" t="s">
        <v>194</v>
      </c>
      <c r="B78" t="s">
        <v>195</v>
      </c>
      <c r="C78" t="s">
        <v>194</v>
      </c>
    </row>
    <row r="79" spans="1:3" x14ac:dyDescent="0.3">
      <c r="A79" t="s">
        <v>196</v>
      </c>
      <c r="B79" t="s">
        <v>197</v>
      </c>
      <c r="C79" t="s">
        <v>196</v>
      </c>
    </row>
    <row r="80" spans="1:3" x14ac:dyDescent="0.3">
      <c r="A80" t="s">
        <v>198</v>
      </c>
      <c r="B80" t="s">
        <v>199</v>
      </c>
      <c r="C80" t="s">
        <v>198</v>
      </c>
    </row>
    <row r="81" spans="1:3" x14ac:dyDescent="0.3">
      <c r="A81" t="s">
        <v>200</v>
      </c>
      <c r="B81" t="s">
        <v>201</v>
      </c>
      <c r="C81" t="s">
        <v>200</v>
      </c>
    </row>
    <row r="82" spans="1:3" x14ac:dyDescent="0.3">
      <c r="A82" t="s">
        <v>202</v>
      </c>
      <c r="B82" t="s">
        <v>203</v>
      </c>
      <c r="C82" t="s">
        <v>202</v>
      </c>
    </row>
    <row r="83" spans="1:3" x14ac:dyDescent="0.3">
      <c r="A83" t="s">
        <v>204</v>
      </c>
      <c r="B83" t="s">
        <v>205</v>
      </c>
      <c r="C83" t="s">
        <v>204</v>
      </c>
    </row>
    <row r="84" spans="1:3" x14ac:dyDescent="0.3">
      <c r="A84" t="s">
        <v>206</v>
      </c>
      <c r="B84" t="s">
        <v>207</v>
      </c>
      <c r="C84" t="s">
        <v>206</v>
      </c>
    </row>
    <row r="85" spans="1:3" x14ac:dyDescent="0.3">
      <c r="A85" t="s">
        <v>208</v>
      </c>
      <c r="B85" t="s">
        <v>209</v>
      </c>
      <c r="C85" t="s">
        <v>208</v>
      </c>
    </row>
    <row r="86" spans="1:3" x14ac:dyDescent="0.3">
      <c r="A86" t="s">
        <v>210</v>
      </c>
      <c r="B86" t="s">
        <v>211</v>
      </c>
      <c r="C86" t="s">
        <v>210</v>
      </c>
    </row>
    <row r="87" spans="1:3" x14ac:dyDescent="0.3">
      <c r="A87" t="s">
        <v>212</v>
      </c>
      <c r="B87" t="s">
        <v>213</v>
      </c>
      <c r="C87" t="s">
        <v>212</v>
      </c>
    </row>
    <row r="88" spans="1:3" x14ac:dyDescent="0.3">
      <c r="A88" t="s">
        <v>214</v>
      </c>
      <c r="B88" t="s">
        <v>215</v>
      </c>
      <c r="C88" t="s">
        <v>214</v>
      </c>
    </row>
    <row r="89" spans="1:3" x14ac:dyDescent="0.3">
      <c r="A89" t="s">
        <v>216</v>
      </c>
      <c r="B89" t="s">
        <v>217</v>
      </c>
      <c r="C89" t="s">
        <v>216</v>
      </c>
    </row>
    <row r="90" spans="1:3" x14ac:dyDescent="0.3">
      <c r="A90" t="s">
        <v>218</v>
      </c>
      <c r="B90" t="s">
        <v>219</v>
      </c>
      <c r="C90" t="s">
        <v>218</v>
      </c>
    </row>
    <row r="91" spans="1:3" x14ac:dyDescent="0.3">
      <c r="A91" t="s">
        <v>220</v>
      </c>
      <c r="B91" t="s">
        <v>221</v>
      </c>
      <c r="C91" t="s">
        <v>220</v>
      </c>
    </row>
    <row r="92" spans="1:3" x14ac:dyDescent="0.3">
      <c r="A92" t="s">
        <v>222</v>
      </c>
      <c r="B92" t="s">
        <v>223</v>
      </c>
      <c r="C92" t="s">
        <v>222</v>
      </c>
    </row>
    <row r="93" spans="1:3" x14ac:dyDescent="0.3">
      <c r="A93" t="s">
        <v>224</v>
      </c>
      <c r="B93" t="s">
        <v>225</v>
      </c>
      <c r="C93" t="s">
        <v>224</v>
      </c>
    </row>
    <row r="94" spans="1:3" x14ac:dyDescent="0.3">
      <c r="A94" t="s">
        <v>226</v>
      </c>
      <c r="B94" t="s">
        <v>227</v>
      </c>
      <c r="C94" t="s">
        <v>226</v>
      </c>
    </row>
    <row r="95" spans="1:3" x14ac:dyDescent="0.3">
      <c r="A95" t="s">
        <v>228</v>
      </c>
      <c r="B95" t="s">
        <v>229</v>
      </c>
      <c r="C95" t="s">
        <v>228</v>
      </c>
    </row>
    <row r="96" spans="1:3" x14ac:dyDescent="0.3">
      <c r="A96" t="s">
        <v>230</v>
      </c>
      <c r="B96" t="s">
        <v>231</v>
      </c>
      <c r="C96" t="s">
        <v>230</v>
      </c>
    </row>
    <row r="97" spans="1:3" x14ac:dyDescent="0.3">
      <c r="A97" t="s">
        <v>232</v>
      </c>
      <c r="B97" t="s">
        <v>233</v>
      </c>
      <c r="C97" t="s">
        <v>232</v>
      </c>
    </row>
    <row r="98" spans="1:3" x14ac:dyDescent="0.3">
      <c r="A98" t="s">
        <v>234</v>
      </c>
      <c r="B98" t="s">
        <v>235</v>
      </c>
      <c r="C98" t="s">
        <v>234</v>
      </c>
    </row>
    <row r="99" spans="1:3" x14ac:dyDescent="0.3">
      <c r="A99" t="s">
        <v>236</v>
      </c>
      <c r="B99" t="s">
        <v>237</v>
      </c>
      <c r="C99" t="s">
        <v>236</v>
      </c>
    </row>
    <row r="100" spans="1:3" x14ac:dyDescent="0.3">
      <c r="A100" t="s">
        <v>238</v>
      </c>
      <c r="B100" t="s">
        <v>239</v>
      </c>
      <c r="C100" t="s">
        <v>238</v>
      </c>
    </row>
    <row r="101" spans="1:3" x14ac:dyDescent="0.3">
      <c r="A101" t="s">
        <v>240</v>
      </c>
      <c r="B101" t="s">
        <v>241</v>
      </c>
      <c r="C101" t="s">
        <v>240</v>
      </c>
    </row>
    <row r="102" spans="1:3" x14ac:dyDescent="0.3">
      <c r="A102" t="s">
        <v>242</v>
      </c>
      <c r="B102" t="s">
        <v>243</v>
      </c>
      <c r="C102" t="s">
        <v>242</v>
      </c>
    </row>
    <row r="103" spans="1:3" x14ac:dyDescent="0.3">
      <c r="A103" t="s">
        <v>244</v>
      </c>
      <c r="B103" t="s">
        <v>245</v>
      </c>
      <c r="C103" t="s">
        <v>244</v>
      </c>
    </row>
    <row r="104" spans="1:3" x14ac:dyDescent="0.3">
      <c r="A104" t="s">
        <v>246</v>
      </c>
      <c r="B104" t="s">
        <v>247</v>
      </c>
      <c r="C104" t="s">
        <v>246</v>
      </c>
    </row>
    <row r="105" spans="1:3" x14ac:dyDescent="0.3">
      <c r="A105" t="s">
        <v>248</v>
      </c>
      <c r="B105" t="s">
        <v>249</v>
      </c>
      <c r="C105" t="s">
        <v>248</v>
      </c>
    </row>
    <row r="106" spans="1:3" x14ac:dyDescent="0.3">
      <c r="A106" t="s">
        <v>250</v>
      </c>
      <c r="B106" t="s">
        <v>251</v>
      </c>
      <c r="C106" t="s">
        <v>250</v>
      </c>
    </row>
    <row r="107" spans="1:3" x14ac:dyDescent="0.3">
      <c r="A107" t="s">
        <v>252</v>
      </c>
      <c r="B107" t="s">
        <v>253</v>
      </c>
      <c r="C107" t="s">
        <v>252</v>
      </c>
    </row>
    <row r="108" spans="1:3" x14ac:dyDescent="0.3">
      <c r="A108" t="s">
        <v>254</v>
      </c>
      <c r="B108" t="s">
        <v>255</v>
      </c>
      <c r="C108" t="s">
        <v>254</v>
      </c>
    </row>
    <row r="109" spans="1:3" x14ac:dyDescent="0.3">
      <c r="A109" t="s">
        <v>256</v>
      </c>
      <c r="B109" t="s">
        <v>257</v>
      </c>
      <c r="C109" t="s">
        <v>256</v>
      </c>
    </row>
    <row r="110" spans="1:3" x14ac:dyDescent="0.3">
      <c r="A110" t="s">
        <v>258</v>
      </c>
      <c r="B110" t="s">
        <v>259</v>
      </c>
      <c r="C110" t="s">
        <v>258</v>
      </c>
    </row>
    <row r="111" spans="1:3" x14ac:dyDescent="0.3">
      <c r="A111" t="s">
        <v>260</v>
      </c>
      <c r="B111" t="s">
        <v>261</v>
      </c>
      <c r="C111" t="s">
        <v>260</v>
      </c>
    </row>
    <row r="112" spans="1:3" x14ac:dyDescent="0.3">
      <c r="A112" t="s">
        <v>262</v>
      </c>
      <c r="B112" t="s">
        <v>263</v>
      </c>
      <c r="C112" t="s">
        <v>262</v>
      </c>
    </row>
    <row r="113" spans="1:3" x14ac:dyDescent="0.3">
      <c r="A113" t="s">
        <v>264</v>
      </c>
      <c r="B113" t="s">
        <v>265</v>
      </c>
      <c r="C113" t="s">
        <v>264</v>
      </c>
    </row>
    <row r="114" spans="1:3" x14ac:dyDescent="0.3">
      <c r="A114" t="s">
        <v>266</v>
      </c>
      <c r="B114" t="s">
        <v>267</v>
      </c>
      <c r="C114" t="s">
        <v>266</v>
      </c>
    </row>
    <row r="115" spans="1:3" x14ac:dyDescent="0.3">
      <c r="A115" t="s">
        <v>268</v>
      </c>
      <c r="B115" t="s">
        <v>269</v>
      </c>
      <c r="C115" t="s">
        <v>268</v>
      </c>
    </row>
    <row r="116" spans="1:3" x14ac:dyDescent="0.3">
      <c r="A116" t="s">
        <v>270</v>
      </c>
      <c r="B116" t="s">
        <v>271</v>
      </c>
      <c r="C116" t="s">
        <v>270</v>
      </c>
    </row>
    <row r="117" spans="1:3" x14ac:dyDescent="0.3">
      <c r="A117" t="s">
        <v>272</v>
      </c>
      <c r="B117" t="s">
        <v>273</v>
      </c>
      <c r="C117" t="s">
        <v>272</v>
      </c>
    </row>
    <row r="118" spans="1:3" x14ac:dyDescent="0.3">
      <c r="A118" t="s">
        <v>274</v>
      </c>
      <c r="B118" t="s">
        <v>275</v>
      </c>
      <c r="C118" t="s">
        <v>274</v>
      </c>
    </row>
    <row r="119" spans="1:3" x14ac:dyDescent="0.3">
      <c r="A119" t="s">
        <v>276</v>
      </c>
      <c r="B119" t="s">
        <v>277</v>
      </c>
      <c r="C119" t="s">
        <v>276</v>
      </c>
    </row>
    <row r="120" spans="1:3" x14ac:dyDescent="0.3">
      <c r="A120" t="s">
        <v>278</v>
      </c>
      <c r="B120" t="s">
        <v>279</v>
      </c>
      <c r="C120" t="s">
        <v>278</v>
      </c>
    </row>
    <row r="121" spans="1:3" x14ac:dyDescent="0.3">
      <c r="A121" t="s">
        <v>280</v>
      </c>
      <c r="B121" t="s">
        <v>281</v>
      </c>
      <c r="C121" t="s">
        <v>280</v>
      </c>
    </row>
    <row r="122" spans="1:3" x14ac:dyDescent="0.3">
      <c r="A122" t="s">
        <v>282</v>
      </c>
      <c r="B122" t="s">
        <v>283</v>
      </c>
      <c r="C122" t="s">
        <v>282</v>
      </c>
    </row>
    <row r="123" spans="1:3" x14ac:dyDescent="0.3">
      <c r="A123" t="s">
        <v>284</v>
      </c>
      <c r="B123" t="s">
        <v>285</v>
      </c>
      <c r="C123" t="s">
        <v>284</v>
      </c>
    </row>
    <row r="124" spans="1:3" x14ac:dyDescent="0.3">
      <c r="A124" t="s">
        <v>286</v>
      </c>
      <c r="B124" t="s">
        <v>287</v>
      </c>
      <c r="C124" t="s">
        <v>286</v>
      </c>
    </row>
    <row r="125" spans="1:3" x14ac:dyDescent="0.3">
      <c r="A125" t="s">
        <v>288</v>
      </c>
      <c r="B125" t="s">
        <v>289</v>
      </c>
      <c r="C125" t="s">
        <v>288</v>
      </c>
    </row>
    <row r="126" spans="1:3" x14ac:dyDescent="0.3">
      <c r="A126" t="s">
        <v>290</v>
      </c>
      <c r="B126" t="s">
        <v>291</v>
      </c>
      <c r="C126" t="s">
        <v>290</v>
      </c>
    </row>
    <row r="127" spans="1:3" x14ac:dyDescent="0.3">
      <c r="A127" t="s">
        <v>292</v>
      </c>
      <c r="B127" t="s">
        <v>293</v>
      </c>
      <c r="C127" t="s">
        <v>292</v>
      </c>
    </row>
    <row r="128" spans="1:3" x14ac:dyDescent="0.3">
      <c r="A128" t="s">
        <v>294</v>
      </c>
      <c r="B128" t="s">
        <v>295</v>
      </c>
      <c r="C128" t="s">
        <v>294</v>
      </c>
    </row>
    <row r="129" spans="1:3" x14ac:dyDescent="0.3">
      <c r="A129" t="s">
        <v>296</v>
      </c>
      <c r="B129" t="s">
        <v>297</v>
      </c>
      <c r="C129" t="s">
        <v>296</v>
      </c>
    </row>
    <row r="130" spans="1:3" x14ac:dyDescent="0.3">
      <c r="A130" t="s">
        <v>298</v>
      </c>
      <c r="B130" t="s">
        <v>299</v>
      </c>
      <c r="C130" t="s">
        <v>298</v>
      </c>
    </row>
    <row r="131" spans="1:3" x14ac:dyDescent="0.3">
      <c r="A131" t="s">
        <v>300</v>
      </c>
      <c r="B131" t="s">
        <v>301</v>
      </c>
      <c r="C131" t="s">
        <v>300</v>
      </c>
    </row>
    <row r="132" spans="1:3" x14ac:dyDescent="0.3">
      <c r="A132" t="s">
        <v>302</v>
      </c>
      <c r="B132" t="s">
        <v>303</v>
      </c>
      <c r="C132" t="s">
        <v>302</v>
      </c>
    </row>
    <row r="133" spans="1:3" x14ac:dyDescent="0.3">
      <c r="A133" t="s">
        <v>304</v>
      </c>
      <c r="B133" t="s">
        <v>305</v>
      </c>
      <c r="C133" t="s">
        <v>304</v>
      </c>
    </row>
    <row r="134" spans="1:3" x14ac:dyDescent="0.3">
      <c r="A134" t="s">
        <v>306</v>
      </c>
      <c r="B134" t="s">
        <v>307</v>
      </c>
      <c r="C134" t="s">
        <v>306</v>
      </c>
    </row>
    <row r="135" spans="1:3" x14ac:dyDescent="0.3">
      <c r="A135" t="s">
        <v>308</v>
      </c>
      <c r="B135" t="s">
        <v>309</v>
      </c>
      <c r="C135" t="s">
        <v>308</v>
      </c>
    </row>
    <row r="136" spans="1:3" x14ac:dyDescent="0.3">
      <c r="A136" t="s">
        <v>310</v>
      </c>
      <c r="B136" t="s">
        <v>311</v>
      </c>
      <c r="C136" t="s">
        <v>310</v>
      </c>
    </row>
    <row r="137" spans="1:3" x14ac:dyDescent="0.3">
      <c r="A137" t="s">
        <v>312</v>
      </c>
      <c r="B137" t="s">
        <v>313</v>
      </c>
      <c r="C137" t="s">
        <v>312</v>
      </c>
    </row>
    <row r="138" spans="1:3" x14ac:dyDescent="0.3">
      <c r="A138" t="s">
        <v>314</v>
      </c>
      <c r="B138" t="s">
        <v>315</v>
      </c>
      <c r="C138" t="s">
        <v>314</v>
      </c>
    </row>
    <row r="139" spans="1:3" x14ac:dyDescent="0.3">
      <c r="A139" t="s">
        <v>316</v>
      </c>
      <c r="B139" t="s">
        <v>317</v>
      </c>
      <c r="C139" t="s">
        <v>316</v>
      </c>
    </row>
    <row r="140" spans="1:3" x14ac:dyDescent="0.3">
      <c r="A140" t="s">
        <v>318</v>
      </c>
      <c r="B140" t="s">
        <v>319</v>
      </c>
      <c r="C140" t="s">
        <v>318</v>
      </c>
    </row>
    <row r="141" spans="1:3" x14ac:dyDescent="0.3">
      <c r="A141" t="s">
        <v>320</v>
      </c>
      <c r="B141" t="s">
        <v>321</v>
      </c>
      <c r="C141" t="s">
        <v>320</v>
      </c>
    </row>
    <row r="142" spans="1:3" x14ac:dyDescent="0.3">
      <c r="A142" t="s">
        <v>322</v>
      </c>
      <c r="B142" t="s">
        <v>323</v>
      </c>
      <c r="C142" t="s">
        <v>322</v>
      </c>
    </row>
    <row r="143" spans="1:3" x14ac:dyDescent="0.3">
      <c r="A143" t="s">
        <v>324</v>
      </c>
      <c r="B143" t="s">
        <v>325</v>
      </c>
      <c r="C143" t="s">
        <v>324</v>
      </c>
    </row>
    <row r="144" spans="1:3" x14ac:dyDescent="0.3">
      <c r="A144" t="s">
        <v>326</v>
      </c>
      <c r="B144" t="s">
        <v>327</v>
      </c>
      <c r="C144" t="s">
        <v>326</v>
      </c>
    </row>
    <row r="145" spans="1:3" x14ac:dyDescent="0.3">
      <c r="A145" t="s">
        <v>328</v>
      </c>
      <c r="B145" t="s">
        <v>329</v>
      </c>
      <c r="C145" t="s">
        <v>328</v>
      </c>
    </row>
    <row r="146" spans="1:3" x14ac:dyDescent="0.3">
      <c r="A146" t="s">
        <v>330</v>
      </c>
      <c r="B146" t="s">
        <v>331</v>
      </c>
      <c r="C146" t="s">
        <v>330</v>
      </c>
    </row>
    <row r="147" spans="1:3" x14ac:dyDescent="0.3">
      <c r="A147" t="s">
        <v>332</v>
      </c>
      <c r="B147" t="s">
        <v>333</v>
      </c>
      <c r="C147" t="s">
        <v>332</v>
      </c>
    </row>
    <row r="148" spans="1:3" x14ac:dyDescent="0.3">
      <c r="A148" t="s">
        <v>334</v>
      </c>
      <c r="B148" t="s">
        <v>335</v>
      </c>
      <c r="C148" t="s">
        <v>334</v>
      </c>
    </row>
    <row r="149" spans="1:3" x14ac:dyDescent="0.3">
      <c r="A149" t="s">
        <v>336</v>
      </c>
      <c r="B149" t="s">
        <v>337</v>
      </c>
      <c r="C149" t="s">
        <v>336</v>
      </c>
    </row>
    <row r="150" spans="1:3" x14ac:dyDescent="0.3">
      <c r="A150" t="s">
        <v>338</v>
      </c>
      <c r="B150" t="s">
        <v>339</v>
      </c>
      <c r="C150" t="s">
        <v>338</v>
      </c>
    </row>
    <row r="151" spans="1:3" x14ac:dyDescent="0.3">
      <c r="A151" t="s">
        <v>340</v>
      </c>
      <c r="B151" t="s">
        <v>341</v>
      </c>
      <c r="C151" t="s">
        <v>340</v>
      </c>
    </row>
    <row r="152" spans="1:3" x14ac:dyDescent="0.3">
      <c r="A152" t="s">
        <v>342</v>
      </c>
      <c r="B152" t="s">
        <v>343</v>
      </c>
      <c r="C152" t="s">
        <v>342</v>
      </c>
    </row>
    <row r="153" spans="1:3" x14ac:dyDescent="0.3">
      <c r="A153" t="s">
        <v>344</v>
      </c>
      <c r="B153" t="s">
        <v>345</v>
      </c>
      <c r="C153" t="s">
        <v>344</v>
      </c>
    </row>
    <row r="154" spans="1:3" x14ac:dyDescent="0.3">
      <c r="A154" t="s">
        <v>346</v>
      </c>
      <c r="B154" t="s">
        <v>347</v>
      </c>
      <c r="C154" t="s">
        <v>346</v>
      </c>
    </row>
    <row r="155" spans="1:3" x14ac:dyDescent="0.3">
      <c r="A155" t="s">
        <v>348</v>
      </c>
      <c r="B155" t="s">
        <v>349</v>
      </c>
      <c r="C155" t="s">
        <v>348</v>
      </c>
    </row>
    <row r="156" spans="1:3" x14ac:dyDescent="0.3">
      <c r="A156" t="s">
        <v>352</v>
      </c>
      <c r="B156" t="s">
        <v>353</v>
      </c>
      <c r="C156" t="s">
        <v>352</v>
      </c>
    </row>
    <row r="157" spans="1:3" x14ac:dyDescent="0.3">
      <c r="A157" t="s">
        <v>354</v>
      </c>
      <c r="B157" t="s">
        <v>355</v>
      </c>
      <c r="C157" t="s">
        <v>354</v>
      </c>
    </row>
    <row r="158" spans="1:3" x14ac:dyDescent="0.3">
      <c r="A158" t="s">
        <v>356</v>
      </c>
      <c r="B158" t="s">
        <v>357</v>
      </c>
      <c r="C158" t="s">
        <v>356</v>
      </c>
    </row>
    <row r="159" spans="1:3" x14ac:dyDescent="0.3">
      <c r="A159" t="s">
        <v>358</v>
      </c>
      <c r="B159" t="s">
        <v>359</v>
      </c>
      <c r="C159" t="s">
        <v>358</v>
      </c>
    </row>
    <row r="160" spans="1:3" x14ac:dyDescent="0.3">
      <c r="A160" t="s">
        <v>360</v>
      </c>
      <c r="B160" t="s">
        <v>361</v>
      </c>
      <c r="C160" t="s">
        <v>360</v>
      </c>
    </row>
    <row r="161" spans="1:3" x14ac:dyDescent="0.3">
      <c r="A161" t="s">
        <v>362</v>
      </c>
      <c r="B161" t="s">
        <v>363</v>
      </c>
      <c r="C161" t="s">
        <v>362</v>
      </c>
    </row>
    <row r="162" spans="1:3" x14ac:dyDescent="0.3">
      <c r="A162" t="s">
        <v>364</v>
      </c>
      <c r="B162" t="s">
        <v>365</v>
      </c>
      <c r="C162" t="s">
        <v>364</v>
      </c>
    </row>
    <row r="163" spans="1:3" x14ac:dyDescent="0.3">
      <c r="A163" t="s">
        <v>367</v>
      </c>
      <c r="B163" t="s">
        <v>368</v>
      </c>
      <c r="C163" t="s">
        <v>367</v>
      </c>
    </row>
  </sheetData>
  <sheetProtection formatColumns="0" formatRows="0" autoFilter="0"/>
  <phoneticPr fontId="1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21E-30A0-4D4E-8B36-B83DBF282D1F}">
  <sheetPr codeName="Sheet15"/>
  <dimension ref="A1:P17"/>
  <sheetViews>
    <sheetView showGridLines="0" zoomScaleNormal="100" workbookViewId="0">
      <selection activeCell="C14" sqref="C14"/>
    </sheetView>
  </sheetViews>
  <sheetFormatPr defaultColWidth="0" defaultRowHeight="0" customHeight="1" zeroHeight="1" x14ac:dyDescent="0.3"/>
  <cols>
    <col min="1" max="1" width="4.6640625" customWidth="1"/>
    <col min="2" max="2" width="56.6640625" customWidth="1"/>
    <col min="3" max="3" width="19.5546875" customWidth="1"/>
    <col min="4" max="4" width="80.6640625" customWidth="1"/>
    <col min="5" max="5" width="4.6640625" customWidth="1"/>
    <col min="6" max="6" width="0.88671875" customWidth="1"/>
    <col min="7" max="7" width="16.6640625" customWidth="1"/>
    <col min="8" max="8" width="0.88671875" customWidth="1"/>
    <col min="9" max="9" width="4.6640625" customWidth="1"/>
    <col min="10" max="12" width="9.109375" hidden="1" customWidth="1"/>
    <col min="13" max="13" width="4.6640625" customWidth="1"/>
    <col min="14" max="14" width="9.109375" hidden="1" customWidth="1"/>
    <col min="15" max="15" width="4.6640625" customWidth="1"/>
    <col min="16" max="16" width="0" hidden="1" customWidth="1"/>
    <col min="17" max="16384" width="9.109375" hidden="1"/>
  </cols>
  <sheetData>
    <row r="1" spans="1:14" ht="15" thickBot="1" x14ac:dyDescent="0.35">
      <c r="A1" s="120" t="s">
        <v>62</v>
      </c>
      <c r="J1" s="3"/>
      <c r="K1" s="3"/>
      <c r="L1" s="3"/>
      <c r="N1" s="3"/>
    </row>
    <row r="2" spans="1:14" ht="18.600000000000001" thickBot="1" x14ac:dyDescent="0.4">
      <c r="B2" s="242" t="str">
        <f>'2. Cover'!B154</f>
        <v>Better Care Fund 2023-25 Quarter 2 Quarterly Reporting Template</v>
      </c>
      <c r="C2" s="243"/>
      <c r="J2" s="3"/>
      <c r="K2" s="3"/>
      <c r="L2" s="3"/>
      <c r="N2" s="3"/>
    </row>
    <row r="3" spans="1:14" ht="14.4" x14ac:dyDescent="0.3">
      <c r="B3" s="264" t="s">
        <v>30</v>
      </c>
      <c r="C3" s="264"/>
      <c r="J3" s="3"/>
      <c r="K3" s="3"/>
      <c r="L3" s="3"/>
      <c r="N3" s="3" t="s">
        <v>395</v>
      </c>
    </row>
    <row r="4" spans="1:14" ht="14.4" x14ac:dyDescent="0.3">
      <c r="J4" s="3"/>
      <c r="K4" s="3"/>
      <c r="L4" s="3"/>
      <c r="N4" s="3" t="s">
        <v>372</v>
      </c>
    </row>
    <row r="5" spans="1:14" ht="14.4" x14ac:dyDescent="0.3">
      <c r="B5" t="s">
        <v>396</v>
      </c>
      <c r="C5" s="265" t="str">
        <f>IF('Backsheet for muncher'!D9="&lt;Please select a Health and Wellbeing Board&gt;","Please select in '2. Cover' sheet",'Backsheet for muncher'!D9)</f>
        <v>Hillingdon</v>
      </c>
      <c r="D5" s="265"/>
      <c r="J5" s="3"/>
      <c r="K5" s="3"/>
      <c r="L5" s="3"/>
      <c r="N5" s="3" t="s">
        <v>373</v>
      </c>
    </row>
    <row r="6" spans="1:14" ht="14.4" x14ac:dyDescent="0.3">
      <c r="J6" s="3"/>
      <c r="K6" s="3"/>
      <c r="L6" s="3"/>
      <c r="N6" s="3"/>
    </row>
    <row r="7" spans="1:14" ht="28.8" x14ac:dyDescent="0.3">
      <c r="B7" s="85" t="s">
        <v>397</v>
      </c>
      <c r="C7" s="84" t="s">
        <v>373</v>
      </c>
      <c r="J7" s="3"/>
      <c r="K7" s="3"/>
      <c r="L7" s="3"/>
      <c r="N7" s="3"/>
    </row>
    <row r="8" spans="1:14" ht="40.5" customHeight="1" x14ac:dyDescent="0.3">
      <c r="B8" s="86" t="s">
        <v>398</v>
      </c>
      <c r="C8" s="206">
        <v>45258</v>
      </c>
      <c r="J8" s="3"/>
      <c r="K8" s="3"/>
      <c r="L8" s="3"/>
      <c r="N8" s="3"/>
    </row>
    <row r="9" spans="1:14" ht="14.4" x14ac:dyDescent="0.3">
      <c r="B9" s="247" t="s">
        <v>399</v>
      </c>
      <c r="C9" s="247"/>
      <c r="D9" s="247"/>
      <c r="F9" s="18"/>
      <c r="G9" s="19" t="s">
        <v>379</v>
      </c>
      <c r="H9" s="20"/>
      <c r="J9" s="3"/>
      <c r="K9" s="3"/>
      <c r="L9" s="3"/>
      <c r="N9" s="3"/>
    </row>
    <row r="10" spans="1:14" ht="30" customHeight="1" x14ac:dyDescent="0.3">
      <c r="B10" s="85" t="s">
        <v>400</v>
      </c>
      <c r="C10" s="85" t="s">
        <v>401</v>
      </c>
      <c r="D10" s="85" t="s">
        <v>402</v>
      </c>
      <c r="F10" s="21"/>
      <c r="G10" s="22" t="s">
        <v>380</v>
      </c>
      <c r="H10" s="23"/>
      <c r="J10" s="3"/>
      <c r="K10" s="3"/>
      <c r="L10" s="3"/>
      <c r="N10" s="3"/>
    </row>
    <row r="11" spans="1:14" ht="54" customHeight="1" x14ac:dyDescent="0.3">
      <c r="B11" s="86" t="s">
        <v>403</v>
      </c>
      <c r="C11" s="87" t="s">
        <v>372</v>
      </c>
      <c r="D11" s="88"/>
      <c r="F11" s="21"/>
      <c r="G11" s="28" t="str">
        <f>IF(SUM(J11:K11)=COUNTA(J11:K11),"Yes","No")</f>
        <v>Yes</v>
      </c>
      <c r="H11" s="23"/>
      <c r="J11" s="3">
        <f>IF(OR(C11="Yes",C11="No"),1,0)</f>
        <v>1</v>
      </c>
      <c r="K11" s="3">
        <f>IF(C11&lt;&gt;"No",1,IF(D11="",0,1))</f>
        <v>1</v>
      </c>
      <c r="L11" s="3"/>
      <c r="N11" s="3"/>
    </row>
    <row r="12" spans="1:14" ht="54" customHeight="1" x14ac:dyDescent="0.3">
      <c r="B12" s="86" t="s">
        <v>404</v>
      </c>
      <c r="C12" s="87" t="s">
        <v>372</v>
      </c>
      <c r="D12" s="88"/>
      <c r="F12" s="21"/>
      <c r="G12" s="28" t="str">
        <f>IF(SUM(J12:K12)=COUNTA(J12:K12),"Yes","No")</f>
        <v>Yes</v>
      </c>
      <c r="H12" s="23"/>
      <c r="J12" s="3">
        <f t="shared" ref="J12:J14" si="0">IF(OR(C12="Yes",C12="No"),1,0)</f>
        <v>1</v>
      </c>
      <c r="K12" s="3">
        <f t="shared" ref="K12:K14" si="1">IF(C12&lt;&gt;"No",1,IF(D12="",0,1))</f>
        <v>1</v>
      </c>
      <c r="L12" s="3"/>
      <c r="N12" s="3"/>
    </row>
    <row r="13" spans="1:14" ht="54" customHeight="1" x14ac:dyDescent="0.3">
      <c r="B13" s="86" t="s">
        <v>405</v>
      </c>
      <c r="C13" s="87" t="s">
        <v>372</v>
      </c>
      <c r="D13" s="88"/>
      <c r="F13" s="21"/>
      <c r="G13" s="28" t="str">
        <f>IF(SUM(J13:K13)=COUNTA(J13:K13),"Yes","No")</f>
        <v>Yes</v>
      </c>
      <c r="H13" s="23"/>
      <c r="J13" s="3">
        <f t="shared" si="0"/>
        <v>1</v>
      </c>
      <c r="K13" s="3">
        <f t="shared" si="1"/>
        <v>1</v>
      </c>
      <c r="L13" s="3"/>
      <c r="N13" s="3"/>
    </row>
    <row r="14" spans="1:14" ht="54" customHeight="1" x14ac:dyDescent="0.3">
      <c r="B14" s="86" t="s">
        <v>406</v>
      </c>
      <c r="C14" s="87" t="s">
        <v>372</v>
      </c>
      <c r="D14" s="88"/>
      <c r="F14" s="21"/>
      <c r="G14" s="28" t="str">
        <f>IF(SUM(J14:K14)=COUNTA(J14:K14),"Yes","No")</f>
        <v>Yes</v>
      </c>
      <c r="H14" s="23"/>
      <c r="J14" s="3">
        <f t="shared" si="0"/>
        <v>1</v>
      </c>
      <c r="K14" s="3">
        <f t="shared" si="1"/>
        <v>1</v>
      </c>
      <c r="L14" s="3"/>
      <c r="N14" s="3"/>
    </row>
    <row r="15" spans="1:14" ht="14.4" x14ac:dyDescent="0.3">
      <c r="F15" s="25"/>
      <c r="G15" s="26"/>
      <c r="H15" s="27"/>
      <c r="J15" s="3"/>
      <c r="K15" s="3"/>
      <c r="L15" s="3"/>
      <c r="N15" s="3"/>
    </row>
    <row r="16" spans="1:14" ht="14.4" x14ac:dyDescent="0.3">
      <c r="J16" s="3">
        <f>COUNTA(J11:L14)</f>
        <v>8</v>
      </c>
      <c r="K16" s="3">
        <f>SUM(J11:L14)</f>
        <v>8</v>
      </c>
      <c r="L16" s="6">
        <f>J16-K16</f>
        <v>0</v>
      </c>
      <c r="N16" s="3"/>
    </row>
    <row r="17" spans="10:14" ht="14.4" customHeight="1" x14ac:dyDescent="0.3">
      <c r="J17" s="3"/>
      <c r="K17" s="3"/>
      <c r="L17" s="3"/>
      <c r="N17" s="3"/>
    </row>
  </sheetData>
  <sheetProtection algorithmName="SHA-512" hashValue="8SVaHZPjYrWoYLMU978TNhy8spWJR6rGc9rC5b+Axzp7EDHYPwSYc1r13iJVNzYPzUqOavstmepxNFLOdANCpQ==" saltValue="zLutXz2BojChtp2YjERWcw==" spinCount="100000" sheet="1" objects="1" scenarios="1" formatColumns="0" formatRows="0" selectLockedCells="1" autoFilter="0"/>
  <mergeCells count="4">
    <mergeCell ref="B2:C2"/>
    <mergeCell ref="B3:C3"/>
    <mergeCell ref="C5:D5"/>
    <mergeCell ref="B9:D9"/>
  </mergeCells>
  <conditionalFormatting sqref="C8">
    <cfRule type="expression" dxfId="8" priority="1">
      <formula>$C$7="No"</formula>
    </cfRule>
  </conditionalFormatting>
  <conditionalFormatting sqref="D11:D14">
    <cfRule type="expression" dxfId="7" priority="6">
      <formula>C11="No"</formula>
    </cfRule>
  </conditionalFormatting>
  <conditionalFormatting sqref="G11:G14">
    <cfRule type="cellIs" dxfId="6" priority="2" operator="equal">
      <formula>"Yes"</formula>
    </cfRule>
  </conditionalFormatting>
  <dataValidations count="2">
    <dataValidation type="list" allowBlank="1" showInputMessage="1" showErrorMessage="1" sqref="C11:C14 C7" xr:uid="{BF05EAB7-736D-49CF-A542-5A64A9FCACF2}">
      <formula1>$N$3:$N$5</formula1>
    </dataValidation>
    <dataValidation type="date" operator="greaterThan" allowBlank="1" showInputMessage="1" showErrorMessage="1" sqref="C8" xr:uid="{FA5798D1-CE05-411C-BD1A-65499B29168D}">
      <formula1>45176</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F9EDB-C68D-4B4A-9511-7EC7CB30D0A0}">
  <sheetPr codeName="Sheet10"/>
  <dimension ref="A1:V25"/>
  <sheetViews>
    <sheetView showGridLines="0" topLeftCell="A10" zoomScaleNormal="100" workbookViewId="0">
      <selection activeCell="K19" sqref="K19"/>
    </sheetView>
  </sheetViews>
  <sheetFormatPr defaultColWidth="0" defaultRowHeight="14.4" customHeight="1" zeroHeight="1" x14ac:dyDescent="0.3"/>
  <cols>
    <col min="1" max="1" width="4.6640625" customWidth="1"/>
    <col min="2" max="2" width="19.44140625" customWidth="1"/>
    <col min="3" max="3" width="47" customWidth="1"/>
    <col min="4" max="4" width="10.88671875" customWidth="1"/>
    <col min="5" max="7" width="9.109375" customWidth="1"/>
    <col min="8" max="8" width="24.6640625" customWidth="1"/>
    <col min="9" max="9" width="23.6640625" customWidth="1"/>
    <col min="10" max="11" width="36.6640625" customWidth="1"/>
    <col min="12" max="12" width="4.6640625" customWidth="1"/>
    <col min="13" max="13" width="0.88671875" customWidth="1"/>
    <col min="14" max="14" width="16.6640625" customWidth="1"/>
    <col min="15" max="15" width="0.88671875" customWidth="1"/>
    <col min="16" max="16" width="4.6640625" customWidth="1"/>
    <col min="17" max="19" width="9.109375" hidden="1" customWidth="1"/>
    <col min="20" max="20" width="4.6640625" hidden="1" customWidth="1"/>
    <col min="21" max="21" width="9.109375" hidden="1" customWidth="1"/>
    <col min="22" max="22" width="4.6640625" hidden="1" customWidth="1"/>
    <col min="23" max="16384" width="9.109375" hidden="1"/>
  </cols>
  <sheetData>
    <row r="1" spans="1:21" ht="15" thickBot="1" x14ac:dyDescent="0.35">
      <c r="A1" s="120" t="s">
        <v>62</v>
      </c>
      <c r="Q1" s="3"/>
      <c r="R1" s="3"/>
      <c r="S1" s="3"/>
      <c r="U1" s="3"/>
    </row>
    <row r="2" spans="1:21" ht="18.600000000000001" thickBot="1" x14ac:dyDescent="0.4">
      <c r="B2" s="242" t="str">
        <f>'2. Cover'!B154</f>
        <v>Better Care Fund 2023-25 Quarter 2 Quarterly Reporting Template</v>
      </c>
      <c r="C2" s="275"/>
      <c r="D2" s="243"/>
      <c r="Q2" s="3"/>
      <c r="R2" s="3"/>
      <c r="S2" s="3"/>
      <c r="U2" s="3"/>
    </row>
    <row r="3" spans="1:21" x14ac:dyDescent="0.3">
      <c r="B3" s="264" t="s">
        <v>39</v>
      </c>
      <c r="C3" s="264"/>
      <c r="D3" s="4"/>
      <c r="E3" s="4"/>
      <c r="F3" s="4"/>
      <c r="G3" s="4"/>
      <c r="H3" s="4"/>
      <c r="Q3" s="3"/>
      <c r="R3" s="3"/>
      <c r="S3" s="3"/>
      <c r="U3" s="3" t="s">
        <v>395</v>
      </c>
    </row>
    <row r="4" spans="1:21" x14ac:dyDescent="0.3">
      <c r="Q4" s="3"/>
      <c r="R4" s="3"/>
      <c r="S4" s="3"/>
      <c r="U4" s="3" t="s">
        <v>407</v>
      </c>
    </row>
    <row r="5" spans="1:21" x14ac:dyDescent="0.3">
      <c r="B5" t="s">
        <v>396</v>
      </c>
      <c r="D5" s="272" t="str">
        <f>IF('Backsheet for muncher'!D9="&lt;Please select a Health and Wellbeing Board&gt;","Please select in '2. Cover' sheet",'Backsheet for muncher'!D9)</f>
        <v>Hillingdon</v>
      </c>
      <c r="E5" s="273"/>
      <c r="F5" s="273"/>
      <c r="G5" s="273"/>
      <c r="H5" s="273"/>
      <c r="I5" s="274"/>
      <c r="Q5" s="3"/>
      <c r="R5" s="3"/>
      <c r="S5" s="3"/>
      <c r="U5" s="3" t="s">
        <v>408</v>
      </c>
    </row>
    <row r="6" spans="1:21" x14ac:dyDescent="0.3">
      <c r="Q6" s="3"/>
      <c r="R6" s="3"/>
      <c r="S6" s="3"/>
      <c r="U6" s="3" t="s">
        <v>409</v>
      </c>
    </row>
    <row r="7" spans="1:21" x14ac:dyDescent="0.3">
      <c r="B7" s="281" t="s">
        <v>410</v>
      </c>
      <c r="C7" s="281"/>
      <c r="D7" s="281"/>
      <c r="E7" s="281"/>
      <c r="F7" s="281"/>
      <c r="G7" s="281"/>
      <c r="H7" s="281"/>
      <c r="I7" s="281"/>
      <c r="J7" s="281"/>
      <c r="K7" s="281"/>
      <c r="Q7" s="3"/>
      <c r="R7" s="3"/>
      <c r="S7" s="3"/>
      <c r="U7" s="3"/>
    </row>
    <row r="8" spans="1:21" x14ac:dyDescent="0.3">
      <c r="Q8" s="3"/>
      <c r="R8" s="3"/>
      <c r="S8" s="3"/>
      <c r="U8" s="3"/>
    </row>
    <row r="9" spans="1:21" ht="15" customHeight="1" x14ac:dyDescent="0.3">
      <c r="B9" s="279" t="s">
        <v>411</v>
      </c>
      <c r="C9" s="280" t="s">
        <v>412</v>
      </c>
      <c r="D9" s="280"/>
      <c r="E9" s="280"/>
      <c r="F9" s="280"/>
      <c r="G9" s="280"/>
      <c r="H9" s="280"/>
      <c r="I9" s="280"/>
      <c r="J9" s="280"/>
      <c r="K9" s="280"/>
      <c r="Q9" s="3"/>
      <c r="R9" s="3"/>
      <c r="S9" s="3"/>
      <c r="U9" s="3"/>
    </row>
    <row r="10" spans="1:21" x14ac:dyDescent="0.3">
      <c r="B10" s="279"/>
      <c r="C10" s="280"/>
      <c r="D10" s="280"/>
      <c r="E10" s="280"/>
      <c r="F10" s="280"/>
      <c r="G10" s="280"/>
      <c r="H10" s="280"/>
      <c r="I10" s="280"/>
      <c r="J10" s="280"/>
      <c r="K10" s="280"/>
      <c r="Q10" s="3"/>
      <c r="R10" s="3"/>
      <c r="S10" s="3"/>
      <c r="U10" s="3"/>
    </row>
    <row r="11" spans="1:21" x14ac:dyDescent="0.3">
      <c r="B11" s="9" t="s">
        <v>413</v>
      </c>
      <c r="C11" t="s">
        <v>414</v>
      </c>
      <c r="M11" s="18"/>
      <c r="N11" s="19" t="s">
        <v>379</v>
      </c>
      <c r="O11" s="20"/>
      <c r="Q11" s="3"/>
      <c r="R11" s="3"/>
      <c r="S11" s="3"/>
      <c r="U11" s="3"/>
    </row>
    <row r="12" spans="1:21" x14ac:dyDescent="0.3">
      <c r="M12" s="21"/>
      <c r="N12" s="22" t="s">
        <v>380</v>
      </c>
      <c r="O12" s="23"/>
      <c r="Q12" s="3"/>
      <c r="R12" s="3"/>
      <c r="S12" s="3"/>
      <c r="U12" s="3"/>
    </row>
    <row r="13" spans="1:21" ht="45" customHeight="1" x14ac:dyDescent="0.3">
      <c r="B13" s="113" t="s">
        <v>415</v>
      </c>
      <c r="C13" s="113" t="s">
        <v>416</v>
      </c>
      <c r="D13" s="276" t="s">
        <v>417</v>
      </c>
      <c r="E13" s="277"/>
      <c r="F13" s="277"/>
      <c r="G13" s="278"/>
      <c r="H13" s="175" t="s">
        <v>418</v>
      </c>
      <c r="I13" s="113" t="s">
        <v>419</v>
      </c>
      <c r="J13" s="113" t="s">
        <v>420</v>
      </c>
      <c r="K13" s="113" t="s">
        <v>421</v>
      </c>
      <c r="M13" s="21"/>
      <c r="N13" s="24"/>
      <c r="O13" s="23"/>
      <c r="Q13" s="3"/>
      <c r="R13" s="3"/>
      <c r="S13" s="3"/>
      <c r="U13" s="3"/>
    </row>
    <row r="14" spans="1:21" ht="15.75" customHeight="1" x14ac:dyDescent="0.3">
      <c r="B14" s="167"/>
      <c r="C14" s="167"/>
      <c r="D14" s="168" t="s">
        <v>422</v>
      </c>
      <c r="E14" s="169" t="s">
        <v>423</v>
      </c>
      <c r="F14" s="169" t="s">
        <v>424</v>
      </c>
      <c r="G14" s="170" t="s">
        <v>425</v>
      </c>
      <c r="H14" s="170"/>
      <c r="I14" s="167"/>
      <c r="J14" s="167"/>
      <c r="K14" s="167"/>
      <c r="M14" s="21"/>
      <c r="N14" s="24"/>
      <c r="O14" s="23"/>
      <c r="Q14" s="3"/>
      <c r="R14" s="3"/>
      <c r="S14" s="3"/>
      <c r="U14" s="3"/>
    </row>
    <row r="15" spans="1:21" ht="75" customHeight="1" x14ac:dyDescent="0.3">
      <c r="B15" s="89" t="s">
        <v>426</v>
      </c>
      <c r="C15" s="90" t="s">
        <v>427</v>
      </c>
      <c r="D15" s="93">
        <f>IFERROR(INDEX('Metrics backsheet'!$C$4:$C$155,MATCH($D$5,'Metrics backsheet'!$B$4:$B$155,0)),"")</f>
        <v>229.4</v>
      </c>
      <c r="E15" s="94">
        <f>IFERROR(INDEX('Metrics backsheet'!$D$4:$D$155,MATCH($D$5,'Metrics backsheet'!$B$4:$B$155,0)),"")</f>
        <v>183.5</v>
      </c>
      <c r="F15" s="94">
        <f>IFERROR(INDEX('Metrics backsheet'!$E$4:$E$155,MATCH($D$5,'Metrics backsheet'!$B$4:$B$155,0)),"")</f>
        <v>228.4</v>
      </c>
      <c r="G15" s="95">
        <f>IFERROR(INDEX('Metrics backsheet'!$F$4:$F$155,MATCH($D$5,'Metrics backsheet'!$B$4:$B$155,0)),"")</f>
        <v>238.4</v>
      </c>
      <c r="H15" s="176">
        <f>IFERROR(VLOOKUP($D$5, 'Metrics Q1 data sheet'!A1:D151,2),"")</f>
        <v>253.16473233919379</v>
      </c>
      <c r="I15" s="92" t="s">
        <v>407</v>
      </c>
      <c r="J15" s="92" t="s">
        <v>9805</v>
      </c>
      <c r="K15" s="92" t="s">
        <v>9806</v>
      </c>
      <c r="M15" s="21"/>
      <c r="N15" s="28" t="str">
        <f>IF(SUM(Q15:S15)=COUNTA(Q15:S15),"Yes","No")</f>
        <v>Yes</v>
      </c>
      <c r="O15" s="23"/>
      <c r="Q15" s="3">
        <f>COUNTIF($U$4:$U$6,I15)</f>
        <v>1</v>
      </c>
      <c r="R15" s="3">
        <f>IF(J15="",0,1)</f>
        <v>1</v>
      </c>
      <c r="S15" s="3">
        <f>IF(K15="",0,1)</f>
        <v>1</v>
      </c>
      <c r="U15" s="3"/>
    </row>
    <row r="16" spans="1:21" ht="75" customHeight="1" x14ac:dyDescent="0.3">
      <c r="B16" s="89" t="s">
        <v>428</v>
      </c>
      <c r="C16" s="90" t="s">
        <v>429</v>
      </c>
      <c r="D16" s="96">
        <f>IFERROR(INDEX('Metrics backsheet'!$G$4:$G$155,MATCH($D$5,'Metrics backsheet'!$B$4:$B$155,0)),"")</f>
        <v>0.92761082517018101</v>
      </c>
      <c r="E16" s="97">
        <f>IFERROR(INDEX('Metrics backsheet'!$H$4:$H$155,MATCH($D$5,'Metrics backsheet'!$B$4:$B$155,0)),"")</f>
        <v>0.91668009669621275</v>
      </c>
      <c r="F16" s="97">
        <f>IFERROR(INDEX('Metrics backsheet'!$I$4:$I$155,MATCH($D$5,'Metrics backsheet'!$B$4:$B$155,0)),"")</f>
        <v>0.92253055830855635</v>
      </c>
      <c r="G16" s="98">
        <f>IFERROR(INDEX('Metrics backsheet'!$J$4:$J$155,MATCH($D$5,'Metrics backsheet'!$B$4:$B$155,0)),"")</f>
        <v>0.90934110409583946</v>
      </c>
      <c r="H16" s="217">
        <f>IFERROR(VLOOKUP($D$5, 'Metrics Q1 data sheet'!A1:D151,3),"")</f>
        <v>0.92116739349211674</v>
      </c>
      <c r="I16" s="92" t="s">
        <v>408</v>
      </c>
      <c r="J16" s="92" t="s">
        <v>9817</v>
      </c>
      <c r="K16" s="92" t="s">
        <v>9807</v>
      </c>
      <c r="M16" s="21"/>
      <c r="N16" s="28" t="str">
        <f t="shared" ref="N16:N19" si="0">IF(SUM(Q16:S16)=COUNTA(Q16:S16),"Yes","No")</f>
        <v>Yes</v>
      </c>
      <c r="O16" s="23"/>
      <c r="Q16" s="3">
        <f t="shared" ref="Q16:Q19" si="1">COUNTIF($U$4:$U$6,I16)</f>
        <v>1</v>
      </c>
      <c r="R16" s="3">
        <f t="shared" ref="R16:R19" si="2">IF(J16="",0,1)</f>
        <v>1</v>
      </c>
      <c r="S16" s="3">
        <f t="shared" ref="S16:S19" si="3">IF(K16="",0,1)</f>
        <v>1</v>
      </c>
      <c r="U16" s="3"/>
    </row>
    <row r="17" spans="2:21" ht="75" customHeight="1" x14ac:dyDescent="0.3">
      <c r="B17" s="89" t="s">
        <v>430</v>
      </c>
      <c r="C17" s="90" t="s">
        <v>431</v>
      </c>
      <c r="D17" s="282">
        <f>IFERROR(INDEX('Metrics backsheet'!$K$4:$K$154,MATCH($D$5,'Metrics backsheet'!$B$4:$B$155,0)),"")</f>
        <v>2018</v>
      </c>
      <c r="E17" s="283"/>
      <c r="F17" s="283"/>
      <c r="G17" s="284"/>
      <c r="H17" s="176">
        <f>IFERROR(VLOOKUP($D$5, 'Metrics Q1 data sheet'!A1:D151,4),"")</f>
        <v>426.99578193849214</v>
      </c>
      <c r="I17" s="92" t="s">
        <v>407</v>
      </c>
      <c r="J17" s="92" t="s">
        <v>9812</v>
      </c>
      <c r="K17" s="92" t="s">
        <v>9811</v>
      </c>
      <c r="M17" s="21"/>
      <c r="N17" s="28" t="str">
        <f t="shared" si="0"/>
        <v>Yes</v>
      </c>
      <c r="O17" s="23"/>
      <c r="Q17" s="3">
        <f t="shared" ref="Q17" si="4">COUNTIF($U$4:$U$6,I17)</f>
        <v>1</v>
      </c>
      <c r="R17" s="3">
        <f t="shared" ref="R17" si="5">IF(J17="",0,1)</f>
        <v>1</v>
      </c>
      <c r="S17" s="3">
        <f t="shared" ref="S17" si="6">IF(K17="",0,1)</f>
        <v>1</v>
      </c>
      <c r="U17" s="3"/>
    </row>
    <row r="18" spans="2:21" ht="75" customHeight="1" x14ac:dyDescent="0.3">
      <c r="B18" s="89" t="s">
        <v>432</v>
      </c>
      <c r="C18" s="91" t="s">
        <v>433</v>
      </c>
      <c r="D18" s="266">
        <f>IFERROR(INDEX('Metrics backsheet'!$N$4:$N$155,MATCH($D$5,'Metrics backsheet'!$B$4:$B$155,0)),"")</f>
        <v>603.85233636507508</v>
      </c>
      <c r="E18" s="267"/>
      <c r="F18" s="267"/>
      <c r="G18" s="268"/>
      <c r="H18" s="177"/>
      <c r="I18" s="92" t="s">
        <v>408</v>
      </c>
      <c r="J18" s="92" t="s">
        <v>9808</v>
      </c>
      <c r="K18" s="92" t="s">
        <v>9809</v>
      </c>
      <c r="M18" s="21"/>
      <c r="N18" s="28" t="str">
        <f t="shared" si="0"/>
        <v>Yes</v>
      </c>
      <c r="O18" s="23"/>
      <c r="Q18" s="3">
        <f t="shared" si="1"/>
        <v>1</v>
      </c>
      <c r="R18" s="3">
        <f t="shared" si="2"/>
        <v>1</v>
      </c>
      <c r="S18" s="3">
        <f t="shared" si="3"/>
        <v>1</v>
      </c>
      <c r="U18" s="3"/>
    </row>
    <row r="19" spans="2:21" ht="75" customHeight="1" x14ac:dyDescent="0.3">
      <c r="B19" s="89" t="s">
        <v>434</v>
      </c>
      <c r="C19" s="91" t="s">
        <v>435</v>
      </c>
      <c r="D19" s="269">
        <f>IFERROR(INDEX('Metrics backsheet'!$Q$4:$Q$155,MATCH($D$5,'Metrics backsheet'!$B$4:$B$155,0)),"")</f>
        <v>0.94904458598726116</v>
      </c>
      <c r="E19" s="270"/>
      <c r="F19" s="270"/>
      <c r="G19" s="271"/>
      <c r="H19" s="178"/>
      <c r="I19" s="92" t="s">
        <v>409</v>
      </c>
      <c r="J19" s="92" t="s">
        <v>9810</v>
      </c>
      <c r="K19" s="92" t="s">
        <v>9818</v>
      </c>
      <c r="M19" s="21"/>
      <c r="N19" s="28" t="str">
        <f t="shared" si="0"/>
        <v>Yes</v>
      </c>
      <c r="O19" s="23"/>
      <c r="Q19" s="3">
        <f t="shared" si="1"/>
        <v>1</v>
      </c>
      <c r="R19" s="3">
        <f t="shared" si="2"/>
        <v>1</v>
      </c>
      <c r="S19" s="3">
        <f t="shared" si="3"/>
        <v>1</v>
      </c>
      <c r="U19" s="3"/>
    </row>
    <row r="20" spans="2:21" x14ac:dyDescent="0.3">
      <c r="M20" s="25"/>
      <c r="N20" s="26"/>
      <c r="O20" s="27"/>
      <c r="Q20" s="3"/>
      <c r="R20" s="3"/>
      <c r="S20" s="3"/>
      <c r="U20" s="3"/>
    </row>
    <row r="21" spans="2:21" x14ac:dyDescent="0.3">
      <c r="Q21" s="3">
        <f>COUNTA(Q15:S19)</f>
        <v>15</v>
      </c>
      <c r="R21" s="3">
        <f>SUM(Q15:S19)</f>
        <v>15</v>
      </c>
      <c r="S21" s="6">
        <f>Q21-R21</f>
        <v>0</v>
      </c>
      <c r="U21" s="3"/>
    </row>
    <row r="22" spans="2:21" ht="14.4" customHeight="1" x14ac:dyDescent="0.3">
      <c r="Q22" s="3"/>
      <c r="R22" s="3"/>
      <c r="S22" s="3"/>
      <c r="U22" s="3"/>
    </row>
    <row r="23" spans="2:21" ht="14.4" customHeight="1" x14ac:dyDescent="0.3">
      <c r="Q23" s="3"/>
      <c r="R23" s="3"/>
      <c r="S23" s="3"/>
      <c r="U23" s="3"/>
    </row>
    <row r="24" spans="2:21" ht="14.4" customHeight="1" x14ac:dyDescent="0.3"/>
    <row r="25" spans="2:21" ht="14.4" customHeight="1" x14ac:dyDescent="0.3"/>
  </sheetData>
  <sheetProtection algorithmName="SHA-512" hashValue="E2v2ZXmPbBu0Bq0Qmj/k1VvnYb6ToJw64zV42yincji/H5SMAO8KvsoOZlq3k5PlfC8/duKec82ARoNeDS/btw==" saltValue="fbcxN0cLG5oTZS35Vl50mQ==" spinCount="100000" sheet="1" objects="1" scenarios="1" formatColumns="0" formatRows="0" selectLockedCells="1" autoFilter="0"/>
  <mergeCells count="10">
    <mergeCell ref="D18:G18"/>
    <mergeCell ref="D19:G19"/>
    <mergeCell ref="D5:I5"/>
    <mergeCell ref="B2:D2"/>
    <mergeCell ref="D13:G13"/>
    <mergeCell ref="B3:C3"/>
    <mergeCell ref="B9:B10"/>
    <mergeCell ref="C9:K10"/>
    <mergeCell ref="B7:K7"/>
    <mergeCell ref="D17:G17"/>
  </mergeCells>
  <conditionalFormatting sqref="N15:N19">
    <cfRule type="cellIs" dxfId="5" priority="1" operator="equal">
      <formula>"Yes"</formula>
    </cfRule>
  </conditionalFormatting>
  <dataValidations count="1">
    <dataValidation type="list" allowBlank="1" showInputMessage="1" showErrorMessage="1" errorTitle="Invalid Entry" error="Please select one option from the drop-down list" sqref="I15:I19" xr:uid="{58946E46-B0E8-4FF0-8028-6A9045A96709}">
      <formula1>$U$3:$U$6</formula1>
    </dataValidation>
  </dataValidation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E16A8-D615-4049-BADF-9B4AFA13D41C}">
  <sheetPr>
    <tabColor rgb="FFFFFF00"/>
  </sheetPr>
  <dimension ref="A1:D151"/>
  <sheetViews>
    <sheetView workbookViewId="0"/>
  </sheetViews>
  <sheetFormatPr defaultRowHeight="14.4" x14ac:dyDescent="0.3"/>
  <cols>
    <col min="1" max="1" width="35.44140625" bestFit="1" customWidth="1"/>
    <col min="2" max="2" width="12.6640625" customWidth="1"/>
    <col min="3" max="3" width="13.33203125" customWidth="1"/>
    <col min="4" max="4" width="13.44140625" customWidth="1"/>
  </cols>
  <sheetData>
    <row r="1" spans="1:4" x14ac:dyDescent="0.3">
      <c r="A1" s="9" t="s">
        <v>436</v>
      </c>
      <c r="B1" s="9" t="s">
        <v>437</v>
      </c>
      <c r="C1" s="9" t="s">
        <v>438</v>
      </c>
      <c r="D1" s="9" t="s">
        <v>439</v>
      </c>
    </row>
    <row r="2" spans="1:4" x14ac:dyDescent="0.3">
      <c r="A2" t="s">
        <v>65</v>
      </c>
      <c r="B2">
        <v>349.32710066280879</v>
      </c>
      <c r="C2">
        <v>0.9380827157542434</v>
      </c>
      <c r="D2">
        <v>402.9988853924001</v>
      </c>
    </row>
    <row r="3" spans="1:4" x14ac:dyDescent="0.3">
      <c r="A3" t="s">
        <v>67</v>
      </c>
      <c r="B3">
        <v>134.17394808773784</v>
      </c>
      <c r="C3">
        <v>0.90962474935548554</v>
      </c>
      <c r="D3">
        <v>428.95591489499452</v>
      </c>
    </row>
    <row r="4" spans="1:4" x14ac:dyDescent="0.3">
      <c r="A4" t="s">
        <v>69</v>
      </c>
      <c r="B4">
        <v>354.20969013733941</v>
      </c>
      <c r="C4">
        <v>0.91910919540229885</v>
      </c>
      <c r="D4">
        <v>685.30368904944839</v>
      </c>
    </row>
    <row r="5" spans="1:4" x14ac:dyDescent="0.3">
      <c r="A5" t="s">
        <v>71</v>
      </c>
      <c r="B5">
        <v>153.17271718477031</v>
      </c>
      <c r="C5">
        <v>0.9023957409050577</v>
      </c>
      <c r="D5">
        <v>573.96086102570382</v>
      </c>
    </row>
    <row r="6" spans="1:4" x14ac:dyDescent="0.3">
      <c r="A6" t="s">
        <v>73</v>
      </c>
      <c r="B6">
        <v>223.54229992119747</v>
      </c>
      <c r="C6">
        <v>0.94992374173868832</v>
      </c>
      <c r="D6">
        <v>402.31620328844247</v>
      </c>
    </row>
    <row r="7" spans="1:4" x14ac:dyDescent="0.3">
      <c r="A7" t="s">
        <v>75</v>
      </c>
      <c r="B7">
        <v>175.77446749028218</v>
      </c>
      <c r="C7">
        <v>0.92942768754833716</v>
      </c>
      <c r="D7">
        <v>546.18962994371941</v>
      </c>
    </row>
    <row r="8" spans="1:4" x14ac:dyDescent="0.3">
      <c r="A8" t="s">
        <v>77</v>
      </c>
      <c r="B8">
        <v>368.0452461311537</v>
      </c>
      <c r="C8">
        <v>0.94557874762808347</v>
      </c>
      <c r="D8">
        <v>507.39879929778863</v>
      </c>
    </row>
    <row r="9" spans="1:4" x14ac:dyDescent="0.3">
      <c r="A9" t="s">
        <v>79</v>
      </c>
      <c r="B9">
        <v>236.70359824702021</v>
      </c>
      <c r="C9">
        <v>0.90199846272098383</v>
      </c>
      <c r="D9">
        <v>333.43691358167143</v>
      </c>
    </row>
    <row r="10" spans="1:4" x14ac:dyDescent="0.3">
      <c r="A10" t="s">
        <v>81</v>
      </c>
      <c r="B10">
        <v>359.09033807261676</v>
      </c>
      <c r="C10">
        <v>0.91558935361216731</v>
      </c>
      <c r="D10">
        <v>430.06083727517307</v>
      </c>
    </row>
    <row r="11" spans="1:4" x14ac:dyDescent="0.3">
      <c r="A11" t="s">
        <v>83</v>
      </c>
      <c r="B11">
        <v>199.93280016533456</v>
      </c>
      <c r="C11">
        <v>0.94438943894389438</v>
      </c>
      <c r="D11">
        <v>417.17587464654429</v>
      </c>
    </row>
    <row r="12" spans="1:4" x14ac:dyDescent="0.3">
      <c r="A12" t="s">
        <v>85</v>
      </c>
      <c r="B12">
        <v>218.54486960328981</v>
      </c>
      <c r="C12">
        <v>0.94530029024335793</v>
      </c>
      <c r="D12">
        <v>514.42949963687329</v>
      </c>
    </row>
    <row r="13" spans="1:4" x14ac:dyDescent="0.3">
      <c r="A13" t="s">
        <v>87</v>
      </c>
      <c r="B13">
        <v>158.65261493304911</v>
      </c>
      <c r="C13">
        <v>0.94005212858384013</v>
      </c>
      <c r="D13">
        <v>507.41943214124728</v>
      </c>
    </row>
    <row r="14" spans="1:4" x14ac:dyDescent="0.3">
      <c r="A14" t="s">
        <v>89</v>
      </c>
      <c r="B14">
        <v>193.95916054746013</v>
      </c>
      <c r="C14">
        <v>0.949844261640444</v>
      </c>
      <c r="D14">
        <v>332.41605452711855</v>
      </c>
    </row>
    <row r="15" spans="1:4" x14ac:dyDescent="0.3">
      <c r="A15" t="s">
        <v>91</v>
      </c>
      <c r="B15">
        <v>174.59659339276718</v>
      </c>
      <c r="C15">
        <v>0.95085036667186773</v>
      </c>
      <c r="D15">
        <v>506.51682258510635</v>
      </c>
    </row>
    <row r="16" spans="1:4" x14ac:dyDescent="0.3">
      <c r="A16" t="s">
        <v>93</v>
      </c>
      <c r="B16">
        <v>139.22960263742328</v>
      </c>
      <c r="C16">
        <v>0.92674805771365154</v>
      </c>
      <c r="D16">
        <v>601.16064672710763</v>
      </c>
    </row>
    <row r="17" spans="1:4" x14ac:dyDescent="0.3">
      <c r="A17" t="s">
        <v>95</v>
      </c>
      <c r="B17">
        <v>289.4892926026148</v>
      </c>
      <c r="C17">
        <v>0.95610455497959634</v>
      </c>
      <c r="D17">
        <v>620.78331418448477</v>
      </c>
    </row>
    <row r="18" spans="1:4" x14ac:dyDescent="0.3">
      <c r="A18" t="s">
        <v>97</v>
      </c>
      <c r="B18">
        <v>147.06959388610451</v>
      </c>
      <c r="C18">
        <v>0.94184143983340773</v>
      </c>
      <c r="D18">
        <v>501.99299005128222</v>
      </c>
    </row>
    <row r="19" spans="1:4" x14ac:dyDescent="0.3">
      <c r="A19" t="s">
        <v>99</v>
      </c>
      <c r="B19">
        <v>144.69627977039923</v>
      </c>
      <c r="C19">
        <v>0.93313414382855964</v>
      </c>
      <c r="D19">
        <v>541.13977277596234</v>
      </c>
    </row>
    <row r="20" spans="1:4" x14ac:dyDescent="0.3">
      <c r="A20" t="s">
        <v>101</v>
      </c>
      <c r="B20">
        <v>229.46559338543858</v>
      </c>
      <c r="C20">
        <v>0.90242656449553005</v>
      </c>
      <c r="D20">
        <v>512.25128224688467</v>
      </c>
    </row>
    <row r="21" spans="1:4" x14ac:dyDescent="0.3">
      <c r="A21" t="s">
        <v>103</v>
      </c>
      <c r="B21">
        <v>201.08244464991455</v>
      </c>
      <c r="C21">
        <v>0.94043035107587769</v>
      </c>
      <c r="D21">
        <v>577.71419794857991</v>
      </c>
    </row>
    <row r="22" spans="1:4" x14ac:dyDescent="0.3">
      <c r="A22" t="s">
        <v>105</v>
      </c>
      <c r="B22">
        <v>201.34036532989006</v>
      </c>
      <c r="C22">
        <v>0.91477228943515454</v>
      </c>
      <c r="D22">
        <v>519.47166783023124</v>
      </c>
    </row>
    <row r="23" spans="1:4" x14ac:dyDescent="0.3">
      <c r="A23" t="s">
        <v>107</v>
      </c>
      <c r="B23">
        <v>159.01897098007652</v>
      </c>
      <c r="C23">
        <v>0.91819464033850495</v>
      </c>
      <c r="D23">
        <v>427.02760398990375</v>
      </c>
    </row>
    <row r="24" spans="1:4" x14ac:dyDescent="0.3">
      <c r="A24" t="s">
        <v>109</v>
      </c>
      <c r="B24">
        <v>178.21361858125306</v>
      </c>
      <c r="C24">
        <v>0.96294498381877025</v>
      </c>
      <c r="D24">
        <v>383.16716252508223</v>
      </c>
    </row>
    <row r="25" spans="1:4" x14ac:dyDescent="0.3">
      <c r="A25" t="s">
        <v>111</v>
      </c>
      <c r="B25">
        <v>180.07857197288104</v>
      </c>
      <c r="C25">
        <v>0.88980846535824076</v>
      </c>
      <c r="D25">
        <v>564.48967069714843</v>
      </c>
    </row>
    <row r="26" spans="1:4" x14ac:dyDescent="0.3">
      <c r="A26" t="s">
        <v>113</v>
      </c>
      <c r="B26">
        <v>188.21405160527263</v>
      </c>
      <c r="C26">
        <v>0.90230810520665594</v>
      </c>
      <c r="D26">
        <v>460.45690924514571</v>
      </c>
    </row>
    <row r="27" spans="1:4" x14ac:dyDescent="0.3">
      <c r="A27" t="s">
        <v>115</v>
      </c>
      <c r="B27">
        <v>116.23241507334244</v>
      </c>
      <c r="C27">
        <v>0.94117647058823528</v>
      </c>
      <c r="D27">
        <v>176.7931880502237</v>
      </c>
    </row>
    <row r="28" spans="1:4" x14ac:dyDescent="0.3">
      <c r="A28" t="s">
        <v>117</v>
      </c>
      <c r="B28">
        <v>146.33642833887629</v>
      </c>
      <c r="C28">
        <v>0.87906513271129627</v>
      </c>
      <c r="D28">
        <v>556.85834706663138</v>
      </c>
    </row>
    <row r="29" spans="1:4" x14ac:dyDescent="0.3">
      <c r="A29" t="s">
        <v>119</v>
      </c>
      <c r="B29">
        <v>123.18135197933148</v>
      </c>
      <c r="C29">
        <v>0.91083944580277099</v>
      </c>
      <c r="D29">
        <v>312.9753177054356</v>
      </c>
    </row>
    <row r="30" spans="1:4" x14ac:dyDescent="0.3">
      <c r="A30" t="s">
        <v>121</v>
      </c>
      <c r="B30">
        <v>247.98645731723369</v>
      </c>
      <c r="C30">
        <v>0.96640550807217473</v>
      </c>
      <c r="D30">
        <v>448.15803399256777</v>
      </c>
    </row>
    <row r="31" spans="1:4" x14ac:dyDescent="0.3">
      <c r="A31" t="s">
        <v>123</v>
      </c>
      <c r="B31">
        <v>165.85756286815433</v>
      </c>
      <c r="C31">
        <v>0.92796343001261039</v>
      </c>
      <c r="D31">
        <v>491.23533505313969</v>
      </c>
    </row>
    <row r="32" spans="1:4" x14ac:dyDescent="0.3">
      <c r="A32" t="s">
        <v>125</v>
      </c>
      <c r="B32">
        <v>97.28946054630751</v>
      </c>
      <c r="C32">
        <v>0.91524510684144367</v>
      </c>
      <c r="D32">
        <v>326.0455802926395</v>
      </c>
    </row>
    <row r="33" spans="1:4" x14ac:dyDescent="0.3">
      <c r="A33" t="s">
        <v>127</v>
      </c>
      <c r="B33">
        <v>149.82734695727544</v>
      </c>
      <c r="C33">
        <v>0.91974202794697246</v>
      </c>
      <c r="D33">
        <v>312.17135822249537</v>
      </c>
    </row>
    <row r="34" spans="1:4" x14ac:dyDescent="0.3">
      <c r="A34" t="s">
        <v>129</v>
      </c>
      <c r="B34">
        <v>214.82237068934356</v>
      </c>
      <c r="C34">
        <v>0.98889062744484435</v>
      </c>
      <c r="D34">
        <v>618.97052500894813</v>
      </c>
    </row>
    <row r="35" spans="1:4" x14ac:dyDescent="0.3">
      <c r="A35" t="s">
        <v>131</v>
      </c>
      <c r="B35">
        <v>162.38568598288944</v>
      </c>
      <c r="C35">
        <v>0.95258915872096084</v>
      </c>
      <c r="D35">
        <v>419.52458876103617</v>
      </c>
    </row>
    <row r="36" spans="1:4" x14ac:dyDescent="0.3">
      <c r="A36" t="s">
        <v>133</v>
      </c>
      <c r="B36">
        <v>152.72636032171232</v>
      </c>
      <c r="C36">
        <v>0.92367085815133465</v>
      </c>
      <c r="D36">
        <v>365.16972040320815</v>
      </c>
    </row>
    <row r="37" spans="1:4" x14ac:dyDescent="0.3">
      <c r="A37" t="s">
        <v>135</v>
      </c>
      <c r="B37">
        <v>252.47989343550381</v>
      </c>
      <c r="C37">
        <v>0.92722103766879882</v>
      </c>
      <c r="D37">
        <v>588.95710673027736</v>
      </c>
    </row>
    <row r="38" spans="1:4" x14ac:dyDescent="0.3">
      <c r="A38" t="s">
        <v>137</v>
      </c>
      <c r="B38">
        <v>128.54869754812273</v>
      </c>
      <c r="C38">
        <v>0.91110572847281091</v>
      </c>
      <c r="D38">
        <v>424.54194819955103</v>
      </c>
    </row>
    <row r="39" spans="1:4" x14ac:dyDescent="0.3">
      <c r="A39" t="s">
        <v>139</v>
      </c>
      <c r="B39">
        <v>306.99172377189188</v>
      </c>
      <c r="C39">
        <v>0.93479193479193479</v>
      </c>
      <c r="D39">
        <v>498.3830471361473</v>
      </c>
    </row>
    <row r="40" spans="1:4" x14ac:dyDescent="0.3">
      <c r="A40" t="s">
        <v>141</v>
      </c>
      <c r="B40">
        <v>215.72959601944441</v>
      </c>
      <c r="C40">
        <v>0.9338012442175786</v>
      </c>
      <c r="D40">
        <v>634.92937999516653</v>
      </c>
    </row>
    <row r="41" spans="1:4" x14ac:dyDescent="0.3">
      <c r="A41" t="s">
        <v>143</v>
      </c>
      <c r="B41">
        <v>159.142950245566</v>
      </c>
      <c r="C41">
        <v>0.95396721311475408</v>
      </c>
      <c r="D41">
        <v>356.68153328399507</v>
      </c>
    </row>
    <row r="42" spans="1:4" x14ac:dyDescent="0.3">
      <c r="A42" t="s">
        <v>145</v>
      </c>
      <c r="B42">
        <v>192.92349700978923</v>
      </c>
      <c r="C42">
        <v>0.92438138086174082</v>
      </c>
      <c r="D42">
        <v>572.72428909782411</v>
      </c>
    </row>
    <row r="43" spans="1:4" x14ac:dyDescent="0.3">
      <c r="A43" t="s">
        <v>147</v>
      </c>
      <c r="B43">
        <v>143.98475173165733</v>
      </c>
      <c r="C43">
        <v>0.90922428021272694</v>
      </c>
      <c r="D43">
        <v>352.29608168422857</v>
      </c>
    </row>
    <row r="44" spans="1:4" x14ac:dyDescent="0.3">
      <c r="A44" t="s">
        <v>149</v>
      </c>
      <c r="B44">
        <v>176.71307801109177</v>
      </c>
      <c r="C44">
        <v>0.92769075926275402</v>
      </c>
      <c r="D44">
        <v>470.79853065839131</v>
      </c>
    </row>
    <row r="45" spans="1:4" x14ac:dyDescent="0.3">
      <c r="A45" t="s">
        <v>151</v>
      </c>
      <c r="B45">
        <v>327.92344989625246</v>
      </c>
      <c r="C45">
        <v>0.94373401534526857</v>
      </c>
      <c r="D45">
        <v>543.74616455758269</v>
      </c>
    </row>
    <row r="46" spans="1:4" x14ac:dyDescent="0.3">
      <c r="A46" t="s">
        <v>153</v>
      </c>
      <c r="B46">
        <v>175.40549255493417</v>
      </c>
      <c r="C46">
        <v>0.94762733671384247</v>
      </c>
      <c r="D46">
        <v>382.19333122875901</v>
      </c>
    </row>
    <row r="47" spans="1:4" x14ac:dyDescent="0.3">
      <c r="A47" t="s">
        <v>155</v>
      </c>
      <c r="B47">
        <v>229.97192300667442</v>
      </c>
      <c r="C47">
        <v>0.93838670449939199</v>
      </c>
      <c r="D47">
        <v>405.17067730114343</v>
      </c>
    </row>
    <row r="48" spans="1:4" x14ac:dyDescent="0.3">
      <c r="A48" t="s">
        <v>157</v>
      </c>
      <c r="B48">
        <v>175.88005531249865</v>
      </c>
      <c r="C48">
        <v>0.9269487750556793</v>
      </c>
      <c r="D48">
        <v>300.01628430016649</v>
      </c>
    </row>
    <row r="49" spans="1:4" x14ac:dyDescent="0.3">
      <c r="A49" t="s">
        <v>159</v>
      </c>
      <c r="B49">
        <v>261.7350724532721</v>
      </c>
      <c r="C49">
        <v>0.9492487479131887</v>
      </c>
      <c r="D49">
        <v>394.88784843038195</v>
      </c>
    </row>
    <row r="50" spans="1:4" x14ac:dyDescent="0.3">
      <c r="A50" t="s">
        <v>161</v>
      </c>
      <c r="B50">
        <v>23.645664559123887</v>
      </c>
      <c r="C50">
        <v>0.95928030303030298</v>
      </c>
      <c r="D50">
        <v>16.435863806185342</v>
      </c>
    </row>
    <row r="51" spans="1:4" x14ac:dyDescent="0.3">
      <c r="A51" t="s">
        <v>163</v>
      </c>
      <c r="B51">
        <v>171.68201128142508</v>
      </c>
      <c r="C51">
        <v>0.92950814363889522</v>
      </c>
      <c r="D51">
        <v>463.52327590251542</v>
      </c>
    </row>
    <row r="52" spans="1:4" x14ac:dyDescent="0.3">
      <c r="A52" t="s">
        <v>165</v>
      </c>
      <c r="B52">
        <v>152.79746783556175</v>
      </c>
      <c r="C52">
        <v>0.92895476616406847</v>
      </c>
      <c r="D52">
        <v>324.44460719553632</v>
      </c>
    </row>
    <row r="53" spans="1:4" x14ac:dyDescent="0.3">
      <c r="A53" t="s">
        <v>167</v>
      </c>
      <c r="B53">
        <v>225.26975884294546</v>
      </c>
      <c r="C53">
        <v>0.94898164952611419</v>
      </c>
      <c r="D53">
        <v>624.51764950754477</v>
      </c>
    </row>
    <row r="54" spans="1:4" x14ac:dyDescent="0.3">
      <c r="A54" t="s">
        <v>169</v>
      </c>
      <c r="B54">
        <v>326.09583948792294</v>
      </c>
      <c r="C54">
        <v>0.92457886676875956</v>
      </c>
      <c r="D54">
        <v>455.75416934031898</v>
      </c>
    </row>
    <row r="55" spans="1:4" x14ac:dyDescent="0.3">
      <c r="A55" t="s">
        <v>171</v>
      </c>
      <c r="B55">
        <v>223.75997890520978</v>
      </c>
      <c r="C55">
        <v>0.89519321394910467</v>
      </c>
      <c r="D55">
        <v>520.82973888671995</v>
      </c>
    </row>
    <row r="56" spans="1:4" x14ac:dyDescent="0.3">
      <c r="A56" t="s">
        <v>173</v>
      </c>
      <c r="B56">
        <v>184.91210228974649</v>
      </c>
      <c r="C56">
        <v>0.90904419321685503</v>
      </c>
      <c r="D56">
        <v>335.89491120733493</v>
      </c>
    </row>
    <row r="57" spans="1:4" x14ac:dyDescent="0.3">
      <c r="A57" t="s">
        <v>175</v>
      </c>
      <c r="B57">
        <v>139.53538979046644</v>
      </c>
      <c r="C57">
        <v>0.93264270976616226</v>
      </c>
      <c r="D57">
        <v>420.34138618821822</v>
      </c>
    </row>
    <row r="58" spans="1:4" x14ac:dyDescent="0.3">
      <c r="A58" t="s">
        <v>177</v>
      </c>
      <c r="B58">
        <v>253.16473233919379</v>
      </c>
      <c r="C58">
        <v>0.92116739349211674</v>
      </c>
      <c r="D58">
        <v>426.99578193849214</v>
      </c>
    </row>
    <row r="59" spans="1:4" x14ac:dyDescent="0.3">
      <c r="A59" t="s">
        <v>179</v>
      </c>
      <c r="B59">
        <v>32.630566449481755</v>
      </c>
      <c r="C59">
        <v>0.92302993280390955</v>
      </c>
      <c r="D59">
        <v>70.861876970685302</v>
      </c>
    </row>
    <row r="60" spans="1:4" x14ac:dyDescent="0.3">
      <c r="A60" t="s">
        <v>181</v>
      </c>
      <c r="B60">
        <v>140.43674700167264</v>
      </c>
      <c r="C60">
        <v>0.74675767918088742</v>
      </c>
      <c r="D60">
        <v>177.12011377246546</v>
      </c>
    </row>
    <row r="61" spans="1:4" x14ac:dyDescent="0.3">
      <c r="A61" t="s">
        <v>183</v>
      </c>
      <c r="B61">
        <v>171.02086170148624</v>
      </c>
      <c r="C61">
        <v>0.92488822652757074</v>
      </c>
      <c r="D61">
        <v>413.41225202572298</v>
      </c>
    </row>
    <row r="62" spans="1:4" x14ac:dyDescent="0.3">
      <c r="A62" t="s">
        <v>185</v>
      </c>
      <c r="B62">
        <v>9.6857813009656244</v>
      </c>
      <c r="C62">
        <v>0.93969030154849231</v>
      </c>
      <c r="D62">
        <v>19.389275595077301</v>
      </c>
    </row>
    <row r="63" spans="1:4" x14ac:dyDescent="0.3">
      <c r="A63" t="s">
        <v>187</v>
      </c>
      <c r="B63">
        <v>187.80996547636732</v>
      </c>
      <c r="C63">
        <v>0.9187456166716762</v>
      </c>
      <c r="D63">
        <v>453.72882428234618</v>
      </c>
    </row>
    <row r="64" spans="1:4" x14ac:dyDescent="0.3">
      <c r="A64" t="s">
        <v>189</v>
      </c>
      <c r="B64">
        <v>198.77293030523242</v>
      </c>
      <c r="C64">
        <v>0.97335203366058909</v>
      </c>
      <c r="D64">
        <v>366.3166636826021</v>
      </c>
    </row>
    <row r="65" spans="1:4" x14ac:dyDescent="0.3">
      <c r="A65" t="s">
        <v>191</v>
      </c>
      <c r="B65">
        <v>178.52332345779402</v>
      </c>
      <c r="C65">
        <v>0.9155134741442098</v>
      </c>
      <c r="D65">
        <v>411.86269354520505</v>
      </c>
    </row>
    <row r="66" spans="1:4" x14ac:dyDescent="0.3">
      <c r="A66" t="s">
        <v>193</v>
      </c>
      <c r="B66">
        <v>220.08243310573869</v>
      </c>
      <c r="C66">
        <v>0.93414924726524429</v>
      </c>
      <c r="D66">
        <v>590.05178764779964</v>
      </c>
    </row>
    <row r="67" spans="1:4" x14ac:dyDescent="0.3">
      <c r="A67" t="s">
        <v>195</v>
      </c>
      <c r="B67">
        <v>334.54074539943679</v>
      </c>
      <c r="C67">
        <v>0.94627782041442821</v>
      </c>
      <c r="D67">
        <v>687.42779087552321</v>
      </c>
    </row>
    <row r="68" spans="1:4" x14ac:dyDescent="0.3">
      <c r="A68" t="s">
        <v>197</v>
      </c>
      <c r="B68">
        <v>238.42372991993318</v>
      </c>
      <c r="C68">
        <v>0.96557245796637314</v>
      </c>
      <c r="D68">
        <v>519.20172914011027</v>
      </c>
    </row>
    <row r="69" spans="1:4" x14ac:dyDescent="0.3">
      <c r="A69" t="s">
        <v>199</v>
      </c>
      <c r="B69">
        <v>219.48718089470356</v>
      </c>
      <c r="C69">
        <v>0.87070084962712868</v>
      </c>
      <c r="D69">
        <v>388.40061236315148</v>
      </c>
    </row>
    <row r="70" spans="1:4" x14ac:dyDescent="0.3">
      <c r="A70" t="s">
        <v>201</v>
      </c>
      <c r="B70">
        <v>161.57643690001163</v>
      </c>
      <c r="C70">
        <v>0.9105140825813508</v>
      </c>
      <c r="D70">
        <v>411.69372035106517</v>
      </c>
    </row>
    <row r="71" spans="1:4" x14ac:dyDescent="0.3">
      <c r="A71" t="s">
        <v>203</v>
      </c>
      <c r="B71">
        <v>300.96765980777815</v>
      </c>
      <c r="C71">
        <v>0.93053115285849441</v>
      </c>
      <c r="D71">
        <v>525.53579477299604</v>
      </c>
    </row>
    <row r="72" spans="1:4" x14ac:dyDescent="0.3">
      <c r="A72" t="s">
        <v>205</v>
      </c>
      <c r="B72">
        <v>198.6573221881647</v>
      </c>
      <c r="C72">
        <v>0.92374485865378342</v>
      </c>
      <c r="D72">
        <v>412.14304373938364</v>
      </c>
    </row>
    <row r="73" spans="1:4" x14ac:dyDescent="0.3">
      <c r="A73" t="s">
        <v>207</v>
      </c>
      <c r="B73">
        <v>259.37662974868141</v>
      </c>
      <c r="C73">
        <v>0.94399423734918064</v>
      </c>
      <c r="D73">
        <v>444.93746045354112</v>
      </c>
    </row>
    <row r="74" spans="1:4" x14ac:dyDescent="0.3">
      <c r="A74" t="s">
        <v>209</v>
      </c>
      <c r="B74">
        <v>191.26884758682007</v>
      </c>
      <c r="C74">
        <v>0.93828259073285447</v>
      </c>
      <c r="D74">
        <v>482.81873141069093</v>
      </c>
    </row>
    <row r="75" spans="1:4" x14ac:dyDescent="0.3">
      <c r="A75" t="s">
        <v>211</v>
      </c>
      <c r="B75">
        <v>361.18045864358476</v>
      </c>
      <c r="C75">
        <v>0.93642057316378824</v>
      </c>
      <c r="D75">
        <v>637.63032162126433</v>
      </c>
    </row>
    <row r="76" spans="1:4" x14ac:dyDescent="0.3">
      <c r="A76" t="s">
        <v>213</v>
      </c>
      <c r="B76">
        <v>351.40752846024242</v>
      </c>
      <c r="C76">
        <v>0.96280991735537191</v>
      </c>
      <c r="D76">
        <v>432.91984559197613</v>
      </c>
    </row>
    <row r="77" spans="1:4" x14ac:dyDescent="0.3">
      <c r="A77" t="s">
        <v>215</v>
      </c>
      <c r="B77">
        <v>297.73276177025042</v>
      </c>
      <c r="C77">
        <v>0.9097312809809549</v>
      </c>
      <c r="D77">
        <v>541.96256800520734</v>
      </c>
    </row>
    <row r="78" spans="1:4" x14ac:dyDescent="0.3">
      <c r="A78" t="s">
        <v>217</v>
      </c>
      <c r="B78">
        <v>234.73867370419896</v>
      </c>
      <c r="C78">
        <v>0.94650934119960672</v>
      </c>
      <c r="D78">
        <v>345.89429810740228</v>
      </c>
    </row>
    <row r="79" spans="1:4" x14ac:dyDescent="0.3">
      <c r="A79" t="s">
        <v>219</v>
      </c>
      <c r="B79">
        <v>176.83244106475669</v>
      </c>
      <c r="C79">
        <v>0.94024705544383802</v>
      </c>
      <c r="D79">
        <v>464.99507298948419</v>
      </c>
    </row>
    <row r="80" spans="1:4" x14ac:dyDescent="0.3">
      <c r="A80" t="s">
        <v>221</v>
      </c>
      <c r="B80">
        <v>291.74174699223551</v>
      </c>
      <c r="C80">
        <v>0.90292668791654596</v>
      </c>
      <c r="D80">
        <v>424.46523193369148</v>
      </c>
    </row>
    <row r="81" spans="1:4" x14ac:dyDescent="0.3">
      <c r="A81" t="s">
        <v>223</v>
      </c>
      <c r="B81">
        <v>104.28891611787873</v>
      </c>
      <c r="C81">
        <v>0.93482567353407287</v>
      </c>
      <c r="D81">
        <v>314.84910026144405</v>
      </c>
    </row>
    <row r="82" spans="1:4" x14ac:dyDescent="0.3">
      <c r="A82" t="s">
        <v>225</v>
      </c>
      <c r="B82">
        <v>276.24497869104715</v>
      </c>
      <c r="C82">
        <v>0.94099099099099104</v>
      </c>
      <c r="D82">
        <v>22.524554893935722</v>
      </c>
    </row>
    <row r="83" spans="1:4" x14ac:dyDescent="0.3">
      <c r="A83" t="s">
        <v>227</v>
      </c>
      <c r="B83">
        <v>206.6538932084913</v>
      </c>
      <c r="C83">
        <v>0.96511627906976749</v>
      </c>
      <c r="D83">
        <v>354.7852371811947</v>
      </c>
    </row>
    <row r="84" spans="1:4" x14ac:dyDescent="0.3">
      <c r="A84" t="s">
        <v>229</v>
      </c>
      <c r="B84">
        <v>195.76392186765713</v>
      </c>
      <c r="C84">
        <v>0.93252738169043192</v>
      </c>
      <c r="D84">
        <v>370.40279479024429</v>
      </c>
    </row>
    <row r="85" spans="1:4" x14ac:dyDescent="0.3">
      <c r="A85" t="s">
        <v>231</v>
      </c>
      <c r="B85">
        <v>292.12765090769875</v>
      </c>
      <c r="C85">
        <v>0.94013986013986017</v>
      </c>
      <c r="D85">
        <v>357.95896244674361</v>
      </c>
    </row>
    <row r="86" spans="1:4" x14ac:dyDescent="0.3">
      <c r="A86" t="s">
        <v>233</v>
      </c>
      <c r="B86">
        <v>320.92932615156769</v>
      </c>
      <c r="C86">
        <v>0.9470300848547184</v>
      </c>
      <c r="D86">
        <v>378.60671840599809</v>
      </c>
    </row>
    <row r="87" spans="1:4" x14ac:dyDescent="0.3">
      <c r="A87" t="s">
        <v>235</v>
      </c>
      <c r="B87">
        <v>260.0769859391969</v>
      </c>
      <c r="C87">
        <v>0.95347890953478909</v>
      </c>
      <c r="D87">
        <v>439.8642900665306</v>
      </c>
    </row>
    <row r="88" spans="1:4" x14ac:dyDescent="0.3">
      <c r="A88" t="s">
        <v>237</v>
      </c>
      <c r="B88">
        <v>203.24523710496047</v>
      </c>
      <c r="C88">
        <v>0.94160132067684688</v>
      </c>
      <c r="D88">
        <v>477.20572730354274</v>
      </c>
    </row>
    <row r="89" spans="1:4" x14ac:dyDescent="0.3">
      <c r="A89" t="s">
        <v>239</v>
      </c>
      <c r="B89">
        <v>289.0104270345135</v>
      </c>
      <c r="C89">
        <v>0.88200533739992371</v>
      </c>
      <c r="D89">
        <v>790.60692630466747</v>
      </c>
    </row>
    <row r="90" spans="1:4" x14ac:dyDescent="0.3">
      <c r="A90" t="s">
        <v>243</v>
      </c>
      <c r="B90">
        <v>247.06201935546324</v>
      </c>
      <c r="C90">
        <v>0.86533383628819316</v>
      </c>
      <c r="D90">
        <v>575.13498189807888</v>
      </c>
    </row>
    <row r="91" spans="1:4" x14ac:dyDescent="0.3">
      <c r="A91" t="s">
        <v>245</v>
      </c>
      <c r="B91">
        <v>258.53014931361605</v>
      </c>
      <c r="C91">
        <v>0.94010807565295706</v>
      </c>
      <c r="D91">
        <v>429.43560948300114</v>
      </c>
    </row>
    <row r="92" spans="1:4" x14ac:dyDescent="0.3">
      <c r="A92" t="s">
        <v>247</v>
      </c>
      <c r="B92">
        <v>194.92412348605376</v>
      </c>
      <c r="C92">
        <v>0.92052834342322509</v>
      </c>
      <c r="D92">
        <v>455.85595507098424</v>
      </c>
    </row>
    <row r="93" spans="1:4" x14ac:dyDescent="0.3">
      <c r="A93" t="s">
        <v>249</v>
      </c>
      <c r="B93">
        <v>316.75807382013613</v>
      </c>
      <c r="C93">
        <v>0.9039875250612609</v>
      </c>
      <c r="D93">
        <v>502.11688169521932</v>
      </c>
    </row>
    <row r="94" spans="1:4" x14ac:dyDescent="0.3">
      <c r="A94" t="s">
        <v>251</v>
      </c>
      <c r="B94">
        <v>190.74515605711434</v>
      </c>
      <c r="C94">
        <v>0.91050922626118636</v>
      </c>
      <c r="D94">
        <v>523.32244471828562</v>
      </c>
    </row>
    <row r="95" spans="1:4" x14ac:dyDescent="0.3">
      <c r="A95" t="s">
        <v>253</v>
      </c>
      <c r="B95">
        <v>180.23021498716702</v>
      </c>
      <c r="C95">
        <v>0.91625000000000001</v>
      </c>
      <c r="D95">
        <v>395.10761840396918</v>
      </c>
    </row>
    <row r="96" spans="1:4" x14ac:dyDescent="0.3">
      <c r="A96" t="s">
        <v>255</v>
      </c>
      <c r="B96">
        <v>189.87547369032296</v>
      </c>
      <c r="C96">
        <v>0.92746648332760395</v>
      </c>
      <c r="D96">
        <v>359.61386581597355</v>
      </c>
    </row>
    <row r="97" spans="1:4" x14ac:dyDescent="0.3">
      <c r="A97" t="s">
        <v>257</v>
      </c>
      <c r="B97">
        <v>209.20789181653672</v>
      </c>
      <c r="C97">
        <v>0.9066414559205862</v>
      </c>
      <c r="D97">
        <v>321.51596659649368</v>
      </c>
    </row>
    <row r="98" spans="1:4" x14ac:dyDescent="0.3">
      <c r="A98" t="s">
        <v>259</v>
      </c>
      <c r="B98">
        <v>187.82433503885787</v>
      </c>
      <c r="C98">
        <v>0.92072943803498331</v>
      </c>
      <c r="D98">
        <v>334.88548831588366</v>
      </c>
    </row>
    <row r="99" spans="1:4" x14ac:dyDescent="0.3">
      <c r="A99" t="s">
        <v>261</v>
      </c>
      <c r="B99">
        <v>230.58365644186662</v>
      </c>
      <c r="C99">
        <v>0.92842497670083879</v>
      </c>
      <c r="D99">
        <v>402.01727966467729</v>
      </c>
    </row>
    <row r="100" spans="1:4" x14ac:dyDescent="0.3">
      <c r="A100" t="s">
        <v>263</v>
      </c>
      <c r="B100">
        <v>231.89201063915635</v>
      </c>
      <c r="C100">
        <v>0.90227817745803363</v>
      </c>
      <c r="D100">
        <v>390.76273054709975</v>
      </c>
    </row>
    <row r="101" spans="1:4" x14ac:dyDescent="0.3">
      <c r="A101" t="s">
        <v>265</v>
      </c>
      <c r="B101">
        <v>83.588292866583416</v>
      </c>
      <c r="C101">
        <v>0.90396039603960399</v>
      </c>
      <c r="D101">
        <v>231.57925173828136</v>
      </c>
    </row>
    <row r="102" spans="1:4" x14ac:dyDescent="0.3">
      <c r="A102" t="s">
        <v>267</v>
      </c>
      <c r="B102">
        <v>332.46122407255751</v>
      </c>
      <c r="C102">
        <v>0.88954895489548957</v>
      </c>
      <c r="D102">
        <v>534.10521454892614</v>
      </c>
    </row>
    <row r="103" spans="1:4" x14ac:dyDescent="0.3">
      <c r="A103" t="s">
        <v>269</v>
      </c>
      <c r="B103">
        <v>298.404180375804</v>
      </c>
      <c r="C103">
        <v>0.94413171967351539</v>
      </c>
      <c r="D103">
        <v>503.72509436690217</v>
      </c>
    </row>
    <row r="104" spans="1:4" x14ac:dyDescent="0.3">
      <c r="A104" t="s">
        <v>271</v>
      </c>
      <c r="B104">
        <v>119.79107104561706</v>
      </c>
      <c r="C104">
        <v>0.90560875512995898</v>
      </c>
      <c r="D104">
        <v>327.21262871061543</v>
      </c>
    </row>
    <row r="105" spans="1:4" x14ac:dyDescent="0.3">
      <c r="A105" t="s">
        <v>273</v>
      </c>
      <c r="B105">
        <v>239.00567543761332</v>
      </c>
      <c r="C105">
        <v>0.94750474874805735</v>
      </c>
      <c r="D105">
        <v>609.38902482134336</v>
      </c>
    </row>
    <row r="106" spans="1:4" x14ac:dyDescent="0.3">
      <c r="A106" t="s">
        <v>275</v>
      </c>
      <c r="B106">
        <v>330.1282460139015</v>
      </c>
      <c r="C106">
        <v>0.9486842105263158</v>
      </c>
      <c r="D106">
        <v>464.78752934413836</v>
      </c>
    </row>
    <row r="107" spans="1:4" x14ac:dyDescent="0.3">
      <c r="A107" t="s">
        <v>277</v>
      </c>
      <c r="B107">
        <v>214.61711913648989</v>
      </c>
      <c r="C107">
        <v>0.92694482653217181</v>
      </c>
      <c r="D107">
        <v>518.70661776468307</v>
      </c>
    </row>
    <row r="108" spans="1:4" x14ac:dyDescent="0.3">
      <c r="A108" t="s">
        <v>279</v>
      </c>
      <c r="B108">
        <v>278.97541299960255</v>
      </c>
      <c r="C108">
        <v>0.97965693223702865</v>
      </c>
      <c r="D108">
        <v>514.03184114687565</v>
      </c>
    </row>
    <row r="109" spans="1:4" x14ac:dyDescent="0.3">
      <c r="A109" t="s">
        <v>281</v>
      </c>
      <c r="B109">
        <v>94.605019342984264</v>
      </c>
      <c r="C109">
        <v>0.92164287794931543</v>
      </c>
      <c r="D109">
        <v>159.16276775647026</v>
      </c>
    </row>
    <row r="110" spans="1:4" x14ac:dyDescent="0.3">
      <c r="A110" t="s">
        <v>283</v>
      </c>
      <c r="B110">
        <v>181.14570309067111</v>
      </c>
      <c r="C110">
        <v>0.91709090909090907</v>
      </c>
      <c r="D110">
        <v>569.77072658973009</v>
      </c>
    </row>
    <row r="111" spans="1:4" x14ac:dyDescent="0.3">
      <c r="A111" t="s">
        <v>285</v>
      </c>
      <c r="B111">
        <v>254.63205834208651</v>
      </c>
      <c r="C111">
        <v>0.94515357000398881</v>
      </c>
      <c r="D111">
        <v>516.46851938703935</v>
      </c>
    </row>
    <row r="112" spans="1:4" x14ac:dyDescent="0.3">
      <c r="A112" t="s">
        <v>289</v>
      </c>
      <c r="B112">
        <v>199.03562045445256</v>
      </c>
      <c r="C112">
        <v>0.95049504950495045</v>
      </c>
      <c r="D112">
        <v>549.40189858283929</v>
      </c>
    </row>
    <row r="113" spans="1:4" x14ac:dyDescent="0.3">
      <c r="A113" t="s">
        <v>291</v>
      </c>
      <c r="B113">
        <v>305.09722628917433</v>
      </c>
      <c r="C113">
        <v>0.89819587628865982</v>
      </c>
      <c r="D113">
        <v>534.06235017727386</v>
      </c>
    </row>
    <row r="114" spans="1:4" x14ac:dyDescent="0.3">
      <c r="A114" t="s">
        <v>293</v>
      </c>
      <c r="B114">
        <v>270.46237483457151</v>
      </c>
      <c r="C114">
        <v>0.95310519645120406</v>
      </c>
      <c r="D114">
        <v>726.24052313803088</v>
      </c>
    </row>
    <row r="115" spans="1:4" x14ac:dyDescent="0.3">
      <c r="A115" t="s">
        <v>295</v>
      </c>
      <c r="B115">
        <v>243.33210931275818</v>
      </c>
      <c r="C115">
        <v>0.95472882115643209</v>
      </c>
      <c r="D115">
        <v>627.92841272294538</v>
      </c>
    </row>
    <row r="116" spans="1:4" x14ac:dyDescent="0.3">
      <c r="A116" t="s">
        <v>297</v>
      </c>
      <c r="B116">
        <v>249.34949634279729</v>
      </c>
      <c r="C116">
        <v>0.97207241910631736</v>
      </c>
      <c r="D116">
        <v>500.0755941923228</v>
      </c>
    </row>
    <row r="117" spans="1:4" x14ac:dyDescent="0.3">
      <c r="A117" t="s">
        <v>299</v>
      </c>
      <c r="B117">
        <v>272.09878366147507</v>
      </c>
      <c r="C117">
        <v>0.94179538840385046</v>
      </c>
      <c r="D117">
        <v>632.18682681819371</v>
      </c>
    </row>
    <row r="118" spans="1:4" x14ac:dyDescent="0.3">
      <c r="A118" t="s">
        <v>301</v>
      </c>
      <c r="B118">
        <v>235.19461392925905</v>
      </c>
      <c r="C118">
        <v>0.93657095821430303</v>
      </c>
      <c r="D118">
        <v>591.93075660267823</v>
      </c>
    </row>
    <row r="119" spans="1:4" x14ac:dyDescent="0.3">
      <c r="A119" t="s">
        <v>303</v>
      </c>
      <c r="B119">
        <v>242.64271054533771</v>
      </c>
      <c r="C119">
        <v>0.92259083728278046</v>
      </c>
      <c r="D119">
        <v>628.92869823979174</v>
      </c>
    </row>
    <row r="120" spans="1:4" x14ac:dyDescent="0.3">
      <c r="A120" t="s">
        <v>305</v>
      </c>
      <c r="B120">
        <v>297.69715978890588</v>
      </c>
      <c r="C120">
        <v>0.92346223201763178</v>
      </c>
      <c r="D120">
        <v>401.74507042760831</v>
      </c>
    </row>
    <row r="121" spans="1:4" x14ac:dyDescent="0.3">
      <c r="A121" t="s">
        <v>307</v>
      </c>
      <c r="B121">
        <v>330.57748584996784</v>
      </c>
      <c r="C121">
        <v>0.95600309837335395</v>
      </c>
      <c r="D121">
        <v>539.0492409112253</v>
      </c>
    </row>
    <row r="122" spans="1:4" x14ac:dyDescent="0.3">
      <c r="A122" t="s">
        <v>309</v>
      </c>
      <c r="B122">
        <v>192.82557612366776</v>
      </c>
      <c r="C122">
        <v>0.93764025038384313</v>
      </c>
      <c r="D122">
        <v>406.35294768490792</v>
      </c>
    </row>
    <row r="123" spans="1:4" x14ac:dyDescent="0.3">
      <c r="A123" t="s">
        <v>311</v>
      </c>
      <c r="B123">
        <v>221.16135973233432</v>
      </c>
      <c r="C123">
        <v>0.89788166544923298</v>
      </c>
      <c r="D123">
        <v>384.27126020958053</v>
      </c>
    </row>
    <row r="124" spans="1:4" x14ac:dyDescent="0.3">
      <c r="A124" t="s">
        <v>313</v>
      </c>
      <c r="B124">
        <v>135.94069792245614</v>
      </c>
      <c r="C124">
        <v>0.91597879920062564</v>
      </c>
      <c r="D124">
        <v>407.53388839284412</v>
      </c>
    </row>
    <row r="125" spans="1:4" x14ac:dyDescent="0.3">
      <c r="A125" t="s">
        <v>315</v>
      </c>
      <c r="B125">
        <v>149.26958918285717</v>
      </c>
      <c r="C125">
        <v>0.94423577000866799</v>
      </c>
      <c r="D125">
        <v>507.87650845144361</v>
      </c>
    </row>
    <row r="126" spans="1:4" x14ac:dyDescent="0.3">
      <c r="A126" t="s">
        <v>317</v>
      </c>
      <c r="B126">
        <v>185.16329870852252</v>
      </c>
      <c r="C126">
        <v>0.90778889542868357</v>
      </c>
      <c r="D126">
        <v>170.39394243933268</v>
      </c>
    </row>
    <row r="127" spans="1:4" x14ac:dyDescent="0.3">
      <c r="A127" t="s">
        <v>319</v>
      </c>
      <c r="B127">
        <v>329.77195389430256</v>
      </c>
      <c r="C127">
        <v>0.91514519214049728</v>
      </c>
      <c r="D127">
        <v>498.63464192474532</v>
      </c>
    </row>
    <row r="128" spans="1:4" x14ac:dyDescent="0.3">
      <c r="A128" t="s">
        <v>321</v>
      </c>
      <c r="B128">
        <v>114.54477135220075</v>
      </c>
      <c r="C128">
        <v>0.94658753709198817</v>
      </c>
      <c r="D128">
        <v>126.39223293422918</v>
      </c>
    </row>
    <row r="129" spans="1:4" x14ac:dyDescent="0.3">
      <c r="A129" t="s">
        <v>323</v>
      </c>
      <c r="B129">
        <v>234.1046443791102</v>
      </c>
      <c r="C129">
        <v>0.9417234965902046</v>
      </c>
      <c r="D129">
        <v>640.25869986738132</v>
      </c>
    </row>
    <row r="130" spans="1:4" x14ac:dyDescent="0.3">
      <c r="A130" t="s">
        <v>325</v>
      </c>
      <c r="B130">
        <v>190.8136213695916</v>
      </c>
      <c r="C130">
        <v>0.91096698113207553</v>
      </c>
      <c r="D130">
        <v>548.05592556632018</v>
      </c>
    </row>
    <row r="131" spans="1:4" x14ac:dyDescent="0.3">
      <c r="A131" t="s">
        <v>327</v>
      </c>
      <c r="B131">
        <v>56.188574377306487</v>
      </c>
      <c r="C131">
        <v>0.96208764155588378</v>
      </c>
      <c r="D131">
        <v>203.70857815789395</v>
      </c>
    </row>
    <row r="132" spans="1:4" x14ac:dyDescent="0.3">
      <c r="A132" t="s">
        <v>329</v>
      </c>
      <c r="B132">
        <v>166.00722021049347</v>
      </c>
      <c r="C132">
        <v>0.90886287625418061</v>
      </c>
      <c r="D132">
        <v>490.21613659591333</v>
      </c>
    </row>
    <row r="133" spans="1:4" x14ac:dyDescent="0.3">
      <c r="A133" t="s">
        <v>331</v>
      </c>
      <c r="B133">
        <v>226.39682999471177</v>
      </c>
      <c r="C133">
        <v>0.92090792090792095</v>
      </c>
      <c r="D133">
        <v>409.54376214389055</v>
      </c>
    </row>
    <row r="134" spans="1:4" x14ac:dyDescent="0.3">
      <c r="A134" t="s">
        <v>333</v>
      </c>
      <c r="B134">
        <v>293.14443894574447</v>
      </c>
      <c r="C134">
        <v>0.95759664369193886</v>
      </c>
      <c r="D134">
        <v>580.36001357539726</v>
      </c>
    </row>
    <row r="135" spans="1:4" x14ac:dyDescent="0.3">
      <c r="A135" t="s">
        <v>335</v>
      </c>
      <c r="B135">
        <v>180.30948682560742</v>
      </c>
      <c r="C135">
        <v>0.94352678571428572</v>
      </c>
      <c r="D135">
        <v>300.58109575993933</v>
      </c>
    </row>
    <row r="136" spans="1:4" x14ac:dyDescent="0.3">
      <c r="A136" t="s">
        <v>337</v>
      </c>
      <c r="B136">
        <v>146.87421477969912</v>
      </c>
      <c r="C136">
        <v>0.93524993524993527</v>
      </c>
      <c r="D136">
        <v>342.20565376428078</v>
      </c>
    </row>
    <row r="137" spans="1:4" x14ac:dyDescent="0.3">
      <c r="A137" t="s">
        <v>339</v>
      </c>
      <c r="B137">
        <v>195.25566081045898</v>
      </c>
      <c r="C137">
        <v>0.95079695079695081</v>
      </c>
      <c r="D137">
        <v>382.50629261511739</v>
      </c>
    </row>
    <row r="138" spans="1:4" x14ac:dyDescent="0.3">
      <c r="A138" t="s">
        <v>341</v>
      </c>
      <c r="B138">
        <v>176.78546358203783</v>
      </c>
      <c r="C138">
        <v>0.94926206035685434</v>
      </c>
      <c r="D138">
        <v>426.56161482968997</v>
      </c>
    </row>
    <row r="139" spans="1:4" x14ac:dyDescent="0.3">
      <c r="A139" t="s">
        <v>343</v>
      </c>
      <c r="B139">
        <v>130.18621304794854</v>
      </c>
      <c r="C139">
        <v>0.91976002999625051</v>
      </c>
      <c r="D139">
        <v>374.83216215522469</v>
      </c>
    </row>
    <row r="140" spans="1:4" x14ac:dyDescent="0.3">
      <c r="A140" t="s">
        <v>345</v>
      </c>
      <c r="B140">
        <v>241.46003403722887</v>
      </c>
      <c r="C140">
        <v>0.94325133411427831</v>
      </c>
      <c r="D140">
        <v>541.17139956757285</v>
      </c>
    </row>
    <row r="141" spans="1:4" x14ac:dyDescent="0.3">
      <c r="A141" t="s">
        <v>347</v>
      </c>
      <c r="B141">
        <v>134.42871809113103</v>
      </c>
      <c r="C141">
        <v>0.90600324499729579</v>
      </c>
      <c r="D141">
        <v>561.15733508608128</v>
      </c>
    </row>
    <row r="142" spans="1:4" x14ac:dyDescent="0.3">
      <c r="A142" t="s">
        <v>349</v>
      </c>
      <c r="B142">
        <v>63.955362815458386</v>
      </c>
      <c r="C142">
        <v>0.93317503392130263</v>
      </c>
      <c r="D142">
        <v>151.35739974610647</v>
      </c>
    </row>
    <row r="143" spans="1:4" x14ac:dyDescent="0.3">
      <c r="A143" t="s">
        <v>351</v>
      </c>
      <c r="B143">
        <v>131.19250101786054</v>
      </c>
      <c r="C143">
        <v>0.94081183763247356</v>
      </c>
      <c r="D143">
        <v>442.85808589713639</v>
      </c>
    </row>
    <row r="144" spans="1:4" x14ac:dyDescent="0.3">
      <c r="A144" t="s">
        <v>353</v>
      </c>
      <c r="B144">
        <v>245.41752092934126</v>
      </c>
      <c r="C144">
        <v>0.8844050258684405</v>
      </c>
      <c r="D144">
        <v>703.90804514855756</v>
      </c>
    </row>
    <row r="145" spans="1:4" x14ac:dyDescent="0.3">
      <c r="A145" t="s">
        <v>355</v>
      </c>
      <c r="B145">
        <v>137.66650679843227</v>
      </c>
      <c r="C145">
        <v>0.90470908540889383</v>
      </c>
      <c r="D145">
        <v>406.37602593683926</v>
      </c>
    </row>
    <row r="146" spans="1:4" x14ac:dyDescent="0.3">
      <c r="A146" t="s">
        <v>357</v>
      </c>
      <c r="B146">
        <v>121.75902709210271</v>
      </c>
      <c r="C146">
        <v>0.89198473282442747</v>
      </c>
      <c r="D146">
        <v>446.70149577957289</v>
      </c>
    </row>
    <row r="147" spans="1:4" x14ac:dyDescent="0.3">
      <c r="A147" t="s">
        <v>359</v>
      </c>
      <c r="B147">
        <v>195.01474350716495</v>
      </c>
      <c r="C147">
        <v>0.93437180796731356</v>
      </c>
      <c r="D147">
        <v>465.77102691959965</v>
      </c>
    </row>
    <row r="148" spans="1:4" x14ac:dyDescent="0.3">
      <c r="A148" t="s">
        <v>361</v>
      </c>
      <c r="B148">
        <v>132.77051098616516</v>
      </c>
      <c r="C148">
        <v>0.90861027190332322</v>
      </c>
      <c r="D148">
        <v>393.46226402350516</v>
      </c>
    </row>
    <row r="149" spans="1:4" x14ac:dyDescent="0.3">
      <c r="A149" t="s">
        <v>363</v>
      </c>
      <c r="B149">
        <v>340.49109228651014</v>
      </c>
      <c r="C149">
        <v>0.93445287107258934</v>
      </c>
      <c r="D149">
        <v>744.71022683303511</v>
      </c>
    </row>
    <row r="150" spans="1:4" x14ac:dyDescent="0.3">
      <c r="A150" t="s">
        <v>365</v>
      </c>
      <c r="B150">
        <v>175.50972761428494</v>
      </c>
      <c r="C150">
        <v>0.90828272159140921</v>
      </c>
      <c r="D150">
        <v>389.76178628499463</v>
      </c>
    </row>
    <row r="151" spans="1:4" x14ac:dyDescent="0.3">
      <c r="A151" t="s">
        <v>368</v>
      </c>
      <c r="B151">
        <v>205.94566357774352</v>
      </c>
      <c r="C151">
        <v>0.94034653465346529</v>
      </c>
      <c r="D151">
        <v>499.64570443546114</v>
      </c>
    </row>
  </sheetData>
  <autoFilter ref="A1:D151" xr:uid="{AE7E16A8-D615-4049-BADF-9B4AFA13D41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E971A-EB60-49FC-9713-C251B3998C95}">
  <sheetPr codeName="Sheet5">
    <tabColor rgb="FFFFFF00"/>
  </sheetPr>
  <dimension ref="A2:Q155"/>
  <sheetViews>
    <sheetView showGridLines="0" zoomScale="80" zoomScaleNormal="80" workbookViewId="0">
      <selection activeCell="B5" sqref="B5"/>
    </sheetView>
  </sheetViews>
  <sheetFormatPr defaultRowHeight="14.4" x14ac:dyDescent="0.3"/>
  <cols>
    <col min="1" max="1" width="10" bestFit="1" customWidth="1"/>
    <col min="2" max="2" width="34.44140625" bestFit="1" customWidth="1"/>
    <col min="3" max="6" width="11.6640625" customWidth="1"/>
    <col min="7" max="10" width="11.6640625" style="220" customWidth="1"/>
    <col min="11" max="11" width="12.33203125" customWidth="1"/>
    <col min="12" max="15" width="12.33203125" bestFit="1" customWidth="1"/>
    <col min="16" max="16" width="12.6640625" customWidth="1"/>
    <col min="17" max="17" width="12.33203125" bestFit="1" customWidth="1"/>
  </cols>
  <sheetData>
    <row r="2" spans="1:17" ht="57.6" x14ac:dyDescent="0.3">
      <c r="A2" s="9"/>
      <c r="B2" s="9"/>
      <c r="C2" s="38" t="s">
        <v>426</v>
      </c>
      <c r="D2" s="38" t="s">
        <v>440</v>
      </c>
      <c r="E2" s="38"/>
      <c r="F2" s="38"/>
      <c r="G2" s="218" t="s">
        <v>428</v>
      </c>
      <c r="H2" s="218" t="s">
        <v>441</v>
      </c>
      <c r="I2" s="218"/>
      <c r="J2" s="218"/>
      <c r="K2" s="38" t="s">
        <v>430</v>
      </c>
      <c r="L2" s="37" t="s">
        <v>432</v>
      </c>
      <c r="M2" s="37"/>
      <c r="N2" s="37"/>
      <c r="O2" s="37" t="s">
        <v>434</v>
      </c>
      <c r="P2" s="37"/>
      <c r="Q2" s="37"/>
    </row>
    <row r="3" spans="1:17" ht="43.2" x14ac:dyDescent="0.3">
      <c r="A3" s="9" t="s">
        <v>442</v>
      </c>
      <c r="B3" s="9" t="s">
        <v>443</v>
      </c>
      <c r="C3" s="166" t="s">
        <v>422</v>
      </c>
      <c r="D3" s="38" t="s">
        <v>423</v>
      </c>
      <c r="E3" s="38" t="s">
        <v>424</v>
      </c>
      <c r="F3" s="38" t="s">
        <v>425</v>
      </c>
      <c r="G3" s="219" t="s">
        <v>422</v>
      </c>
      <c r="H3" s="218" t="s">
        <v>423</v>
      </c>
      <c r="I3" s="218" t="s">
        <v>424</v>
      </c>
      <c r="J3" s="218" t="s">
        <v>425</v>
      </c>
      <c r="K3" s="38" t="s">
        <v>440</v>
      </c>
      <c r="L3" s="38" t="s">
        <v>432</v>
      </c>
      <c r="M3" s="38" t="s">
        <v>444</v>
      </c>
      <c r="N3" s="38" t="s">
        <v>445</v>
      </c>
      <c r="O3" s="38" t="s">
        <v>446</v>
      </c>
      <c r="P3" s="38" t="s">
        <v>447</v>
      </c>
      <c r="Q3" s="38" t="s">
        <v>441</v>
      </c>
    </row>
    <row r="4" spans="1:17" x14ac:dyDescent="0.3">
      <c r="A4" t="s">
        <v>64</v>
      </c>
      <c r="B4" t="s">
        <v>65</v>
      </c>
      <c r="C4" s="35">
        <v>202.4</v>
      </c>
      <c r="D4" s="35">
        <v>198.1</v>
      </c>
      <c r="E4" s="35">
        <v>197.7</v>
      </c>
      <c r="F4" s="35">
        <v>162.4</v>
      </c>
      <c r="G4" s="220">
        <v>0.93783180392331011</v>
      </c>
      <c r="H4" s="220">
        <v>0.94056422897836212</v>
      </c>
      <c r="I4" s="220">
        <v>0.94292296904738071</v>
      </c>
      <c r="J4" s="220">
        <v>0.94044542931508834</v>
      </c>
      <c r="K4" s="165">
        <v>1535.6</v>
      </c>
      <c r="L4" s="34">
        <v>145</v>
      </c>
      <c r="M4" s="34">
        <v>20481.416999999998</v>
      </c>
      <c r="N4" s="34">
        <v>707.95882921577163</v>
      </c>
      <c r="O4" s="34">
        <v>132</v>
      </c>
      <c r="P4" s="34">
        <v>157</v>
      </c>
      <c r="Q4" s="36">
        <v>0.84076433121019112</v>
      </c>
    </row>
    <row r="5" spans="1:17" x14ac:dyDescent="0.3">
      <c r="A5" t="s">
        <v>66</v>
      </c>
      <c r="B5" t="s">
        <v>67</v>
      </c>
      <c r="C5" s="35">
        <v>130</v>
      </c>
      <c r="D5" s="35">
        <v>105</v>
      </c>
      <c r="E5" s="35">
        <v>132</v>
      </c>
      <c r="F5" s="35">
        <v>122</v>
      </c>
      <c r="G5" s="220">
        <v>0.92388857625211029</v>
      </c>
      <c r="H5" s="220">
        <v>0.92388857625211029</v>
      </c>
      <c r="I5" s="220">
        <v>0.92388857625211029</v>
      </c>
      <c r="J5" s="220">
        <v>0.92388857625211029</v>
      </c>
      <c r="K5" s="165">
        <v>2200</v>
      </c>
      <c r="L5" s="34">
        <v>216</v>
      </c>
      <c r="M5" s="34">
        <v>62522.093999999975</v>
      </c>
      <c r="N5" s="34">
        <v>345.47787219026935</v>
      </c>
      <c r="O5" s="34">
        <v>305</v>
      </c>
      <c r="P5" s="34">
        <v>309</v>
      </c>
      <c r="Q5" s="36">
        <v>0.98705501618122982</v>
      </c>
    </row>
    <row r="6" spans="1:17" x14ac:dyDescent="0.3">
      <c r="A6" t="s">
        <v>68</v>
      </c>
      <c r="B6" t="s">
        <v>69</v>
      </c>
      <c r="C6" s="35">
        <v>391</v>
      </c>
      <c r="D6" s="35">
        <v>343</v>
      </c>
      <c r="E6" s="35">
        <v>390</v>
      </c>
      <c r="F6" s="35">
        <v>362</v>
      </c>
      <c r="G6" s="220">
        <v>0.9248004481165103</v>
      </c>
      <c r="H6" s="220">
        <v>0.93393690762484083</v>
      </c>
      <c r="I6" s="220">
        <v>0.93091013991057259</v>
      </c>
      <c r="J6" s="220">
        <v>0.92325438326668718</v>
      </c>
      <c r="K6" s="165">
        <v>2823.6</v>
      </c>
      <c r="L6" s="34">
        <v>370</v>
      </c>
      <c r="M6" s="34">
        <v>52005.025999999983</v>
      </c>
      <c r="N6" s="34">
        <v>711.46969525599343</v>
      </c>
      <c r="O6" s="34">
        <v>127</v>
      </c>
      <c r="P6" s="34">
        <v>150</v>
      </c>
      <c r="Q6" s="36">
        <v>0.84666666666666668</v>
      </c>
    </row>
    <row r="7" spans="1:17" x14ac:dyDescent="0.3">
      <c r="A7" t="s">
        <v>70</v>
      </c>
      <c r="B7" t="s">
        <v>71</v>
      </c>
      <c r="C7" s="35">
        <v>131.06</v>
      </c>
      <c r="D7" s="35">
        <v>130.9</v>
      </c>
      <c r="E7" s="35">
        <v>130.80000000000001</v>
      </c>
      <c r="F7" s="35">
        <v>130.69999999999999</v>
      </c>
      <c r="G7" s="220">
        <v>0.9151210311222886</v>
      </c>
      <c r="H7" s="220">
        <v>0.9151210311222886</v>
      </c>
      <c r="I7" s="220">
        <v>0.91516871649321985</v>
      </c>
      <c r="J7" s="220">
        <v>0.91518987341772151</v>
      </c>
      <c r="K7" s="165">
        <v>1983.2</v>
      </c>
      <c r="L7" s="34">
        <v>208</v>
      </c>
      <c r="M7" s="34">
        <v>38579.419999999991</v>
      </c>
      <c r="N7" s="34">
        <v>539.14755587305376</v>
      </c>
      <c r="O7" s="34">
        <v>99</v>
      </c>
      <c r="P7" s="34">
        <v>129</v>
      </c>
      <c r="Q7" s="36">
        <v>0.76744186046511631</v>
      </c>
    </row>
    <row r="8" spans="1:17" x14ac:dyDescent="0.3">
      <c r="A8" t="s">
        <v>72</v>
      </c>
      <c r="B8" t="s">
        <v>73</v>
      </c>
      <c r="C8" s="35">
        <v>211.6</v>
      </c>
      <c r="D8" s="35">
        <v>185.2</v>
      </c>
      <c r="E8" s="35">
        <v>218</v>
      </c>
      <c r="F8" s="35">
        <v>196.5</v>
      </c>
      <c r="G8" s="220">
        <v>0.96963003865267805</v>
      </c>
      <c r="H8" s="220">
        <v>0.96974837432852701</v>
      </c>
      <c r="I8" s="220">
        <v>0.96963503649635041</v>
      </c>
      <c r="J8" s="220">
        <v>0.97033248081841428</v>
      </c>
      <c r="K8" s="165">
        <v>1448.1</v>
      </c>
      <c r="L8" s="34">
        <v>234</v>
      </c>
      <c r="M8" s="34">
        <v>33283.518999999942</v>
      </c>
      <c r="N8" s="34">
        <v>703.05065999782175</v>
      </c>
      <c r="O8" s="34">
        <v>71</v>
      </c>
      <c r="P8" s="34">
        <v>89</v>
      </c>
      <c r="Q8" s="36">
        <v>0.797752808988764</v>
      </c>
    </row>
    <row r="9" spans="1:17" x14ac:dyDescent="0.3">
      <c r="A9" t="s">
        <v>74</v>
      </c>
      <c r="B9" t="s">
        <v>75</v>
      </c>
      <c r="C9" s="35">
        <v>190.3</v>
      </c>
      <c r="D9" s="35">
        <v>190.9</v>
      </c>
      <c r="E9" s="35">
        <v>191.4</v>
      </c>
      <c r="F9" s="35">
        <v>192</v>
      </c>
      <c r="G9" s="220">
        <v>0.91154485049833889</v>
      </c>
      <c r="H9" s="220">
        <v>0.92386363636363633</v>
      </c>
      <c r="I9" s="220">
        <v>0.91574321742453191</v>
      </c>
      <c r="J9" s="220">
        <v>0.91382479068817646</v>
      </c>
      <c r="K9" s="165">
        <v>2399.5</v>
      </c>
      <c r="L9" s="34">
        <v>187</v>
      </c>
      <c r="M9" s="34">
        <v>42647.256999999961</v>
      </c>
      <c r="N9" s="34">
        <v>438.48072104613942</v>
      </c>
      <c r="O9" s="34">
        <v>244</v>
      </c>
      <c r="P9" s="34">
        <v>270</v>
      </c>
      <c r="Q9" s="36">
        <v>0.90370370370370368</v>
      </c>
    </row>
    <row r="10" spans="1:17" x14ac:dyDescent="0.3">
      <c r="A10" t="s">
        <v>76</v>
      </c>
      <c r="B10" t="s">
        <v>77</v>
      </c>
      <c r="C10" s="35">
        <v>302.8</v>
      </c>
      <c r="D10" s="35">
        <v>291.7</v>
      </c>
      <c r="E10" s="35">
        <v>330.2</v>
      </c>
      <c r="F10" s="35">
        <v>310.89999999999998</v>
      </c>
      <c r="G10" s="220">
        <v>0.94401559454191031</v>
      </c>
      <c r="H10" s="220">
        <v>0.94813809154383244</v>
      </c>
      <c r="I10" s="220">
        <v>0.94282674652271559</v>
      </c>
      <c r="J10" s="220">
        <v>0.93266925684053903</v>
      </c>
      <c r="K10" s="165">
        <v>2212.178246692999</v>
      </c>
      <c r="L10" s="34">
        <v>1051</v>
      </c>
      <c r="M10" s="34">
        <v>154851.93799999994</v>
      </c>
      <c r="N10" s="34">
        <v>678.71284891507162</v>
      </c>
      <c r="O10" s="34">
        <v>2170</v>
      </c>
      <c r="P10" s="34">
        <v>2700</v>
      </c>
      <c r="Q10" s="36">
        <v>0.8037037037037037</v>
      </c>
    </row>
    <row r="11" spans="1:17" x14ac:dyDescent="0.3">
      <c r="A11" t="s">
        <v>78</v>
      </c>
      <c r="B11" t="s">
        <v>79</v>
      </c>
      <c r="C11" s="35">
        <v>336.15</v>
      </c>
      <c r="D11" s="35">
        <v>282.22000000000003</v>
      </c>
      <c r="E11" s="35">
        <v>316.54000000000002</v>
      </c>
      <c r="F11" s="35">
        <v>268.22000000000003</v>
      </c>
      <c r="G11" s="220">
        <v>0.89632213062777422</v>
      </c>
      <c r="H11" s="220">
        <v>0.90028400126222785</v>
      </c>
      <c r="I11" s="220">
        <v>0.9045127534336167</v>
      </c>
      <c r="J11" s="220">
        <v>0.90800129575639776</v>
      </c>
      <c r="K11" s="165">
        <v>2100</v>
      </c>
      <c r="L11" s="34">
        <v>150</v>
      </c>
      <c r="M11" s="34">
        <v>22676.067999999981</v>
      </c>
      <c r="N11" s="34">
        <v>661.49034303478072</v>
      </c>
      <c r="O11" s="34">
        <v>617</v>
      </c>
      <c r="P11" s="34">
        <v>752</v>
      </c>
      <c r="Q11" s="36">
        <v>0.82047872340425532</v>
      </c>
    </row>
    <row r="12" spans="1:17" x14ac:dyDescent="0.3">
      <c r="A12" t="s">
        <v>80</v>
      </c>
      <c r="B12" t="s">
        <v>81</v>
      </c>
      <c r="C12" s="35">
        <v>498</v>
      </c>
      <c r="D12" s="35">
        <v>518</v>
      </c>
      <c r="E12" s="35">
        <v>574</v>
      </c>
      <c r="F12" s="35">
        <v>461</v>
      </c>
      <c r="G12" s="220">
        <v>0.91099611901681754</v>
      </c>
      <c r="H12" s="220">
        <v>0.60133859619014929</v>
      </c>
      <c r="I12" s="220">
        <v>0.92011449388498567</v>
      </c>
      <c r="J12" s="220">
        <v>0.92496050552922593</v>
      </c>
      <c r="K12" s="165">
        <v>1938</v>
      </c>
      <c r="L12" s="34">
        <v>137</v>
      </c>
      <c r="M12" s="34">
        <v>29336.350999999988</v>
      </c>
      <c r="N12" s="34">
        <v>466.997412186676</v>
      </c>
      <c r="O12" s="34">
        <v>67</v>
      </c>
      <c r="P12" s="34">
        <v>83</v>
      </c>
      <c r="Q12" s="36">
        <v>0.80722891566265065</v>
      </c>
    </row>
    <row r="13" spans="1:17" x14ac:dyDescent="0.3">
      <c r="A13" t="s">
        <v>82</v>
      </c>
      <c r="B13" t="s">
        <v>83</v>
      </c>
      <c r="C13" s="35">
        <v>195.82</v>
      </c>
      <c r="D13" s="35">
        <v>197.9</v>
      </c>
      <c r="E13" s="35">
        <v>213.82</v>
      </c>
      <c r="F13" s="35">
        <v>192.46</v>
      </c>
      <c r="G13" s="220">
        <v>0.93989260349904724</v>
      </c>
      <c r="H13" s="220">
        <v>0.93994149027706075</v>
      </c>
      <c r="I13" s="220">
        <v>0.94005212858384013</v>
      </c>
      <c r="J13" s="220">
        <v>0.93982456140350878</v>
      </c>
      <c r="K13" s="165">
        <v>1879.2</v>
      </c>
      <c r="L13" s="34">
        <v>475</v>
      </c>
      <c r="M13" s="34">
        <v>51884.780999999995</v>
      </c>
      <c r="N13" s="34">
        <v>915.49003550771465</v>
      </c>
      <c r="O13" s="34">
        <v>187</v>
      </c>
      <c r="P13" s="34">
        <v>228</v>
      </c>
      <c r="Q13" s="36">
        <v>0.82017543859649122</v>
      </c>
    </row>
    <row r="14" spans="1:17" x14ac:dyDescent="0.3">
      <c r="A14" t="s">
        <v>84</v>
      </c>
      <c r="B14" t="s">
        <v>85</v>
      </c>
      <c r="C14" s="35">
        <v>215</v>
      </c>
      <c r="D14" s="35">
        <v>185</v>
      </c>
      <c r="E14" s="35">
        <v>229</v>
      </c>
      <c r="F14" s="35">
        <v>205</v>
      </c>
      <c r="G14" s="220">
        <v>0.93797528517110262</v>
      </c>
      <c r="H14" s="220">
        <v>0.93795449214168425</v>
      </c>
      <c r="I14" s="220">
        <v>0.93798635220878723</v>
      </c>
      <c r="J14" s="220">
        <v>0.9379746835443038</v>
      </c>
      <c r="K14" s="165">
        <v>2033.8587473303169</v>
      </c>
      <c r="L14" s="34">
        <v>330</v>
      </c>
      <c r="M14" s="34">
        <v>89916.942999999927</v>
      </c>
      <c r="N14" s="34">
        <v>367.00535960169407</v>
      </c>
      <c r="O14" s="34">
        <v>136</v>
      </c>
      <c r="P14" s="34">
        <v>190</v>
      </c>
      <c r="Q14" s="36">
        <v>0.71578947368421053</v>
      </c>
    </row>
    <row r="15" spans="1:17" x14ac:dyDescent="0.3">
      <c r="A15" t="s">
        <v>86</v>
      </c>
      <c r="B15" t="s">
        <v>87</v>
      </c>
      <c r="C15" s="35">
        <v>128</v>
      </c>
      <c r="D15" s="35">
        <v>128</v>
      </c>
      <c r="E15" s="35">
        <v>128</v>
      </c>
      <c r="F15" s="35">
        <v>128</v>
      </c>
      <c r="G15" s="220">
        <v>0.91985049833887045</v>
      </c>
      <c r="H15" s="220">
        <v>0.90518563976679967</v>
      </c>
      <c r="I15" s="220">
        <v>0.89664586583463335</v>
      </c>
      <c r="J15" s="220">
        <v>0.9197556008146639</v>
      </c>
      <c r="K15" s="165">
        <v>1820</v>
      </c>
      <c r="L15" s="34">
        <v>112</v>
      </c>
      <c r="M15" s="34">
        <v>20051.556</v>
      </c>
      <c r="N15" s="34">
        <v>558.56014366166903</v>
      </c>
      <c r="O15" s="34">
        <v>105</v>
      </c>
      <c r="P15" s="34">
        <v>122</v>
      </c>
      <c r="Q15" s="36">
        <v>0.86065573770491799</v>
      </c>
    </row>
    <row r="16" spans="1:17" x14ac:dyDescent="0.3">
      <c r="A16" t="s">
        <v>88</v>
      </c>
      <c r="B16" t="s">
        <v>89</v>
      </c>
      <c r="C16" s="35">
        <v>215.54</v>
      </c>
      <c r="D16" s="35">
        <v>205.16</v>
      </c>
      <c r="E16" s="35">
        <v>217.26</v>
      </c>
      <c r="F16" s="35">
        <v>189.09</v>
      </c>
      <c r="G16" s="220">
        <v>0.9400083437630371</v>
      </c>
      <c r="H16" s="220">
        <v>0.9400083437630371</v>
      </c>
      <c r="I16" s="220">
        <v>0.9400083437630371</v>
      </c>
      <c r="J16" s="220">
        <v>0.9400083437630371</v>
      </c>
      <c r="K16" s="165">
        <v>1663.7</v>
      </c>
      <c r="L16" s="34">
        <v>379</v>
      </c>
      <c r="M16" s="34">
        <v>86412.602999999988</v>
      </c>
      <c r="N16" s="34">
        <v>438.59343063650107</v>
      </c>
      <c r="O16" s="34">
        <v>159</v>
      </c>
      <c r="P16" s="34">
        <v>200</v>
      </c>
      <c r="Q16" s="36">
        <v>0.79500000000000004</v>
      </c>
    </row>
    <row r="17" spans="1:17" x14ac:dyDescent="0.3">
      <c r="A17" t="s">
        <v>90</v>
      </c>
      <c r="B17" t="s">
        <v>91</v>
      </c>
      <c r="C17" s="35">
        <v>181.8</v>
      </c>
      <c r="D17" s="35">
        <v>173.3</v>
      </c>
      <c r="E17" s="35">
        <v>198</v>
      </c>
      <c r="F17" s="35">
        <v>180.9</v>
      </c>
      <c r="G17" s="220">
        <v>0.95405242542934621</v>
      </c>
      <c r="H17" s="220">
        <v>0.94850299401197602</v>
      </c>
      <c r="I17" s="220">
        <v>0.94736842105263153</v>
      </c>
      <c r="J17" s="220">
        <v>0.94876404494382027</v>
      </c>
      <c r="K17" s="165">
        <v>2464.9931999999999</v>
      </c>
      <c r="L17" s="34">
        <v>80</v>
      </c>
      <c r="M17" s="34">
        <v>46915.768999999957</v>
      </c>
      <c r="N17" s="34">
        <v>170.51836025537614</v>
      </c>
      <c r="O17" s="34">
        <v>380</v>
      </c>
      <c r="P17" s="34">
        <v>400</v>
      </c>
      <c r="Q17" s="36">
        <v>0.95</v>
      </c>
    </row>
    <row r="18" spans="1:17" x14ac:dyDescent="0.3">
      <c r="A18" t="s">
        <v>92</v>
      </c>
      <c r="B18" t="s">
        <v>93</v>
      </c>
      <c r="C18" s="35">
        <v>123</v>
      </c>
      <c r="D18" s="35">
        <v>93</v>
      </c>
      <c r="E18" s="35">
        <v>135</v>
      </c>
      <c r="F18" s="35">
        <v>149</v>
      </c>
      <c r="G18" s="220">
        <v>0.90007103954534695</v>
      </c>
      <c r="H18" s="220">
        <v>0.90739338884683318</v>
      </c>
      <c r="I18" s="220">
        <v>0.90943219145940868</v>
      </c>
      <c r="J18" s="220">
        <v>0.90779014308426076</v>
      </c>
      <c r="K18" s="165">
        <v>2469</v>
      </c>
      <c r="L18" s="34">
        <v>256</v>
      </c>
      <c r="M18" s="34">
        <v>40398.591999999975</v>
      </c>
      <c r="N18" s="34">
        <v>633.68545121572595</v>
      </c>
      <c r="O18" s="34">
        <v>270</v>
      </c>
      <c r="P18" s="34">
        <v>370</v>
      </c>
      <c r="Q18" s="36">
        <v>0.72972972972972971</v>
      </c>
    </row>
    <row r="19" spans="1:17" x14ac:dyDescent="0.3">
      <c r="A19" t="s">
        <v>94</v>
      </c>
      <c r="B19" t="s">
        <v>95</v>
      </c>
      <c r="C19" s="35">
        <v>194.8</v>
      </c>
      <c r="D19" s="35">
        <v>205.4</v>
      </c>
      <c r="E19" s="35">
        <v>254.23</v>
      </c>
      <c r="F19" s="35">
        <v>245.6</v>
      </c>
      <c r="G19" s="220">
        <v>0.96621871532486747</v>
      </c>
      <c r="H19" s="220">
        <v>0.96636856027207452</v>
      </c>
      <c r="I19" s="220">
        <v>0.96754308718077742</v>
      </c>
      <c r="J19" s="220">
        <v>0.96680928302865288</v>
      </c>
      <c r="K19" s="165">
        <v>2183.9</v>
      </c>
      <c r="L19" s="34">
        <v>615</v>
      </c>
      <c r="M19" s="34">
        <v>62021.965999999913</v>
      </c>
      <c r="N19" s="34">
        <v>991.5841751936739</v>
      </c>
      <c r="O19" s="34">
        <v>261</v>
      </c>
      <c r="P19" s="34">
        <v>300</v>
      </c>
      <c r="Q19" s="36">
        <v>0.87</v>
      </c>
    </row>
    <row r="20" spans="1:17" x14ac:dyDescent="0.3">
      <c r="A20" t="s">
        <v>96</v>
      </c>
      <c r="B20" t="s">
        <v>97</v>
      </c>
      <c r="C20" s="35">
        <v>110</v>
      </c>
      <c r="D20" s="35">
        <v>110</v>
      </c>
      <c r="E20" s="35">
        <v>110</v>
      </c>
      <c r="F20" s="35">
        <v>110</v>
      </c>
      <c r="G20" s="220">
        <v>0.93470891672807666</v>
      </c>
      <c r="H20" s="220">
        <v>0.93470891672807666</v>
      </c>
      <c r="I20" s="220">
        <v>0.93470891672807666</v>
      </c>
      <c r="J20" s="220">
        <v>0.93457117595048633</v>
      </c>
      <c r="K20" s="165">
        <v>2097.8000000000002</v>
      </c>
      <c r="L20" s="34">
        <v>220</v>
      </c>
      <c r="M20" s="34">
        <v>60084.757000000005</v>
      </c>
      <c r="N20" s="34">
        <v>366.14943786824335</v>
      </c>
      <c r="O20" s="34">
        <v>382</v>
      </c>
      <c r="P20" s="34">
        <v>396</v>
      </c>
      <c r="Q20" s="36">
        <v>0.96464646464646464</v>
      </c>
    </row>
    <row r="21" spans="1:17" x14ac:dyDescent="0.3">
      <c r="A21" t="s">
        <v>98</v>
      </c>
      <c r="B21" t="s">
        <v>99</v>
      </c>
      <c r="C21" s="35">
        <v>120.3</v>
      </c>
      <c r="D21" s="35">
        <v>98.4</v>
      </c>
      <c r="E21" s="35">
        <v>112.8</v>
      </c>
      <c r="F21" s="35">
        <v>104.9</v>
      </c>
      <c r="G21" s="220">
        <v>0.93994340215910277</v>
      </c>
      <c r="H21" s="220">
        <v>0.95309196617336156</v>
      </c>
      <c r="I21" s="220">
        <v>0.95676466675535454</v>
      </c>
      <c r="J21" s="220">
        <v>0.93548038474008433</v>
      </c>
      <c r="K21" s="165">
        <v>2159.8000000000002</v>
      </c>
      <c r="L21" s="34">
        <v>534</v>
      </c>
      <c r="M21" s="34">
        <v>109080.83899999996</v>
      </c>
      <c r="N21" s="34">
        <v>489.54518950848939</v>
      </c>
      <c r="O21" s="34">
        <v>201</v>
      </c>
      <c r="P21" s="34">
        <v>241</v>
      </c>
      <c r="Q21" s="36">
        <v>0.8340248962655602</v>
      </c>
    </row>
    <row r="22" spans="1:17" x14ac:dyDescent="0.3">
      <c r="A22" t="s">
        <v>100</v>
      </c>
      <c r="B22" t="s">
        <v>101</v>
      </c>
      <c r="C22" s="35">
        <v>291.2</v>
      </c>
      <c r="D22" s="35">
        <v>237.9</v>
      </c>
      <c r="E22" s="35">
        <v>276.89999999999998</v>
      </c>
      <c r="F22" s="35">
        <v>267.39999999999998</v>
      </c>
      <c r="G22" s="220">
        <v>0.9150080688542227</v>
      </c>
      <c r="H22" s="220">
        <v>0.91510945008008537</v>
      </c>
      <c r="I22" s="220">
        <v>0.91510416666666672</v>
      </c>
      <c r="J22" s="220">
        <v>0.91487689889994761</v>
      </c>
      <c r="K22" s="165">
        <v>1851</v>
      </c>
      <c r="L22" s="34">
        <v>220</v>
      </c>
      <c r="M22" s="34">
        <v>36385.134999999944</v>
      </c>
      <c r="N22" s="34">
        <v>604.64252777954607</v>
      </c>
      <c r="O22" s="34">
        <v>105</v>
      </c>
      <c r="P22" s="34">
        <v>120</v>
      </c>
      <c r="Q22" s="36">
        <v>0.875</v>
      </c>
    </row>
    <row r="23" spans="1:17" x14ac:dyDescent="0.3">
      <c r="A23" t="s">
        <v>102</v>
      </c>
      <c r="B23" t="s">
        <v>103</v>
      </c>
      <c r="C23" s="35">
        <v>218</v>
      </c>
      <c r="D23" s="35">
        <v>190</v>
      </c>
      <c r="E23" s="35">
        <v>208</v>
      </c>
      <c r="F23" s="35">
        <v>204</v>
      </c>
      <c r="G23" s="220">
        <v>0.93111111111111111</v>
      </c>
      <c r="H23" s="220">
        <v>0.93953488372093019</v>
      </c>
      <c r="I23" s="220">
        <v>0.94444444444444442</v>
      </c>
      <c r="J23" s="220">
        <v>0.94594594594594594</v>
      </c>
      <c r="K23" s="165">
        <v>2200</v>
      </c>
      <c r="L23" s="34">
        <v>205</v>
      </c>
      <c r="M23" s="34">
        <v>42392.17699999996</v>
      </c>
      <c r="N23" s="34">
        <v>483.57978878980481</v>
      </c>
      <c r="O23" s="34">
        <v>125</v>
      </c>
      <c r="P23" s="34">
        <v>140</v>
      </c>
      <c r="Q23" s="36">
        <v>0.8928571428571429</v>
      </c>
    </row>
    <row r="24" spans="1:17" x14ac:dyDescent="0.3">
      <c r="A24" t="s">
        <v>104</v>
      </c>
      <c r="B24" t="s">
        <v>105</v>
      </c>
      <c r="C24" s="35">
        <v>173.2</v>
      </c>
      <c r="D24" s="35">
        <v>172.1</v>
      </c>
      <c r="E24" s="35">
        <v>181.1</v>
      </c>
      <c r="F24" s="35">
        <v>175.1</v>
      </c>
      <c r="G24" s="220">
        <v>0.91293833131801694</v>
      </c>
      <c r="H24" s="220">
        <v>0.91599025974025972</v>
      </c>
      <c r="I24" s="220">
        <v>0.91597874948917046</v>
      </c>
      <c r="J24" s="220">
        <v>0.91399176954732508</v>
      </c>
      <c r="K24" s="165">
        <v>1810</v>
      </c>
      <c r="L24" s="34">
        <v>650</v>
      </c>
      <c r="M24" s="34">
        <v>133819.50199999995</v>
      </c>
      <c r="N24" s="34">
        <v>485.7289036989543</v>
      </c>
      <c r="O24" s="34">
        <v>307</v>
      </c>
      <c r="P24" s="34">
        <v>395</v>
      </c>
      <c r="Q24" s="36">
        <v>0.77721518987341776</v>
      </c>
    </row>
    <row r="25" spans="1:17" x14ac:dyDescent="0.3">
      <c r="A25" t="s">
        <v>106</v>
      </c>
      <c r="B25" t="s">
        <v>107</v>
      </c>
      <c r="C25" s="35">
        <v>112</v>
      </c>
      <c r="D25" s="35">
        <v>112</v>
      </c>
      <c r="E25" s="35">
        <v>112</v>
      </c>
      <c r="F25" s="35">
        <v>112</v>
      </c>
      <c r="G25" s="220">
        <v>0.92983008181246063</v>
      </c>
      <c r="H25" s="220">
        <v>0.93288177339901479</v>
      </c>
      <c r="I25" s="220">
        <v>0.93614421020470517</v>
      </c>
      <c r="J25" s="220">
        <v>0.93613801452784506</v>
      </c>
      <c r="K25" s="165">
        <v>1893</v>
      </c>
      <c r="L25" s="34">
        <v>108</v>
      </c>
      <c r="M25" s="34">
        <v>36227.269999999968</v>
      </c>
      <c r="N25" s="34">
        <v>298.11796472657227</v>
      </c>
      <c r="O25" s="34">
        <v>175</v>
      </c>
      <c r="P25" s="34">
        <v>204</v>
      </c>
      <c r="Q25" s="36">
        <v>0.85784313725490191</v>
      </c>
    </row>
    <row r="26" spans="1:17" x14ac:dyDescent="0.3">
      <c r="A26" t="s">
        <v>108</v>
      </c>
      <c r="B26" t="s">
        <v>109</v>
      </c>
      <c r="C26" s="35">
        <v>169.4</v>
      </c>
      <c r="D26" s="35">
        <v>168.7</v>
      </c>
      <c r="E26" s="35">
        <v>168.4</v>
      </c>
      <c r="F26" s="35">
        <v>169.04</v>
      </c>
      <c r="G26" s="220">
        <v>0.95322110715441888</v>
      </c>
      <c r="H26" s="220">
        <v>0.95377878689588058</v>
      </c>
      <c r="I26" s="220">
        <v>0.95450113747156318</v>
      </c>
      <c r="J26" s="220">
        <v>0.95506349723217188</v>
      </c>
      <c r="K26" s="165">
        <v>2670.3661812526507</v>
      </c>
      <c r="L26" s="34">
        <v>250</v>
      </c>
      <c r="M26" s="34">
        <v>56583.681999999993</v>
      </c>
      <c r="N26" s="34">
        <v>441.82349250442911</v>
      </c>
      <c r="O26" s="34">
        <v>285</v>
      </c>
      <c r="P26" s="34">
        <v>300</v>
      </c>
      <c r="Q26" s="36">
        <v>0.95</v>
      </c>
    </row>
    <row r="27" spans="1:17" x14ac:dyDescent="0.3">
      <c r="A27" t="s">
        <v>110</v>
      </c>
      <c r="B27" t="s">
        <v>111</v>
      </c>
      <c r="C27" s="35">
        <v>163.6</v>
      </c>
      <c r="D27" s="35">
        <v>161.6</v>
      </c>
      <c r="E27" s="35">
        <v>159.6</v>
      </c>
      <c r="F27" s="35">
        <v>157.6</v>
      </c>
      <c r="G27" s="220">
        <v>0.8829625884732053</v>
      </c>
      <c r="H27" s="220">
        <v>0.88903694730466387</v>
      </c>
      <c r="I27" s="220">
        <v>0.889955598223929</v>
      </c>
      <c r="J27" s="220">
        <v>0.89895689330149553</v>
      </c>
      <c r="K27" s="165">
        <v>2188.5</v>
      </c>
      <c r="L27" s="34">
        <v>643</v>
      </c>
      <c r="M27" s="34">
        <v>94555.177999999971</v>
      </c>
      <c r="N27" s="34">
        <v>680.02621707295634</v>
      </c>
      <c r="O27" s="34">
        <v>230</v>
      </c>
      <c r="P27" s="34">
        <v>274</v>
      </c>
      <c r="Q27" s="36">
        <v>0.83941605839416056</v>
      </c>
    </row>
    <row r="28" spans="1:17" x14ac:dyDescent="0.3">
      <c r="A28" t="s">
        <v>112</v>
      </c>
      <c r="B28" t="s">
        <v>113</v>
      </c>
      <c r="C28" s="35">
        <v>187.3</v>
      </c>
      <c r="D28" s="35">
        <v>167.2</v>
      </c>
      <c r="E28" s="35">
        <v>182.6</v>
      </c>
      <c r="F28" s="35">
        <v>170.9</v>
      </c>
      <c r="G28" s="220">
        <v>0.88887404835047412</v>
      </c>
      <c r="H28" s="220">
        <v>0.89003391599269499</v>
      </c>
      <c r="I28" s="220">
        <v>0.89984451930551956</v>
      </c>
      <c r="J28" s="220">
        <v>0.89998164800880898</v>
      </c>
      <c r="K28" s="165">
        <v>2304</v>
      </c>
      <c r="L28" s="34">
        <v>347</v>
      </c>
      <c r="M28" s="34">
        <v>80106.029999999941</v>
      </c>
      <c r="N28" s="34">
        <v>433.1758795186833</v>
      </c>
      <c r="O28" s="34">
        <v>25</v>
      </c>
      <c r="P28" s="34">
        <v>34</v>
      </c>
      <c r="Q28" s="36">
        <v>0.73529411764705888</v>
      </c>
    </row>
    <row r="29" spans="1:17" x14ac:dyDescent="0.3">
      <c r="A29" t="s">
        <v>114</v>
      </c>
      <c r="B29" t="s">
        <v>115</v>
      </c>
      <c r="C29" s="35">
        <v>25.8</v>
      </c>
      <c r="D29" s="35">
        <v>38</v>
      </c>
      <c r="E29" s="35">
        <v>38</v>
      </c>
      <c r="F29" s="35">
        <v>77</v>
      </c>
      <c r="G29" s="220">
        <v>0.91666666666666663</v>
      </c>
      <c r="H29" s="220">
        <v>0.94174757281553401</v>
      </c>
      <c r="I29" s="220">
        <v>0.94230769230769229</v>
      </c>
      <c r="J29" s="220">
        <v>0.93333333333333335</v>
      </c>
      <c r="K29" s="165">
        <v>847.71668282153519</v>
      </c>
      <c r="L29" s="34">
        <v>7</v>
      </c>
      <c r="M29" s="34">
        <v>1706.3219999999983</v>
      </c>
      <c r="N29" s="34">
        <v>410.23909906805437</v>
      </c>
      <c r="O29" s="34">
        <v>24</v>
      </c>
      <c r="P29" s="34">
        <v>25</v>
      </c>
      <c r="Q29" s="36">
        <v>0.96</v>
      </c>
    </row>
    <row r="30" spans="1:17" x14ac:dyDescent="0.3">
      <c r="A30" t="s">
        <v>116</v>
      </c>
      <c r="B30" t="s">
        <v>117</v>
      </c>
      <c r="C30" s="35">
        <v>145</v>
      </c>
      <c r="D30" s="35">
        <v>145</v>
      </c>
      <c r="E30" s="35">
        <v>140</v>
      </c>
      <c r="F30" s="35">
        <v>140</v>
      </c>
      <c r="G30" s="220">
        <v>0.84959349593495936</v>
      </c>
      <c r="H30" s="220">
        <v>0.84959349593495936</v>
      </c>
      <c r="I30" s="220">
        <v>0.87479674796747964</v>
      </c>
      <c r="J30" s="220">
        <v>0.9</v>
      </c>
      <c r="K30" s="165">
        <v>1526.6</v>
      </c>
      <c r="L30" s="34">
        <v>694</v>
      </c>
      <c r="M30" s="34">
        <v>154328.92299999998</v>
      </c>
      <c r="N30" s="34">
        <v>449.68887653029242</v>
      </c>
      <c r="O30" s="34">
        <v>352</v>
      </c>
      <c r="P30" s="34">
        <v>380</v>
      </c>
      <c r="Q30" s="36">
        <v>0.9263157894736842</v>
      </c>
    </row>
    <row r="31" spans="1:17" x14ac:dyDescent="0.3">
      <c r="A31" t="s">
        <v>118</v>
      </c>
      <c r="B31" t="s">
        <v>119</v>
      </c>
      <c r="C31" s="35">
        <v>211.81</v>
      </c>
      <c r="D31" s="35">
        <v>207.42</v>
      </c>
      <c r="E31" s="35">
        <v>216.86</v>
      </c>
      <c r="F31" s="35">
        <v>225.2</v>
      </c>
      <c r="G31" s="220">
        <v>0.9248259082137763</v>
      </c>
      <c r="H31" s="220">
        <v>0.92473576542788949</v>
      </c>
      <c r="I31" s="220">
        <v>0.92484413698864121</v>
      </c>
      <c r="J31" s="220">
        <v>0.92482177576150359</v>
      </c>
      <c r="K31" s="165">
        <v>2079.1999999999998</v>
      </c>
      <c r="L31" s="34">
        <v>798</v>
      </c>
      <c r="M31" s="34">
        <v>117767.36199999996</v>
      </c>
      <c r="N31" s="34">
        <v>677.60709457005612</v>
      </c>
      <c r="O31" s="34">
        <v>305</v>
      </c>
      <c r="P31" s="34">
        <v>363</v>
      </c>
      <c r="Q31" s="36">
        <v>0.84022038567493118</v>
      </c>
    </row>
    <row r="32" spans="1:17" x14ac:dyDescent="0.3">
      <c r="A32" t="s">
        <v>120</v>
      </c>
      <c r="B32" t="s">
        <v>121</v>
      </c>
      <c r="C32" s="35">
        <v>191.8</v>
      </c>
      <c r="D32" s="35">
        <v>148.80000000000001</v>
      </c>
      <c r="E32" s="35">
        <v>207.6</v>
      </c>
      <c r="F32" s="35">
        <v>146.19999999999999</v>
      </c>
      <c r="G32" s="220">
        <v>0.97391405613136139</v>
      </c>
      <c r="H32" s="220">
        <v>0.97397590361445785</v>
      </c>
      <c r="I32" s="220">
        <v>0.97405379671506787</v>
      </c>
      <c r="J32" s="220">
        <v>0.97403227763620914</v>
      </c>
      <c r="K32" s="165">
        <v>1865</v>
      </c>
      <c r="L32" s="34">
        <v>350</v>
      </c>
      <c r="M32" s="34">
        <v>52077.538999999968</v>
      </c>
      <c r="N32" s="34">
        <v>672.07476912455525</v>
      </c>
      <c r="O32" s="34">
        <v>455</v>
      </c>
      <c r="P32" s="34">
        <v>541</v>
      </c>
      <c r="Q32" s="36">
        <v>0.84103512014787429</v>
      </c>
    </row>
    <row r="33" spans="1:17" x14ac:dyDescent="0.3">
      <c r="A33" t="s">
        <v>122</v>
      </c>
      <c r="B33" t="s">
        <v>123</v>
      </c>
      <c r="C33" s="35">
        <v>154</v>
      </c>
      <c r="D33" s="35">
        <v>132</v>
      </c>
      <c r="E33" s="35">
        <v>165</v>
      </c>
      <c r="F33" s="35">
        <v>150</v>
      </c>
      <c r="G33" s="220">
        <v>0.93505793586634334</v>
      </c>
      <c r="H33" s="220">
        <v>0.93550934456435908</v>
      </c>
      <c r="I33" s="220">
        <v>0.9327155519742143</v>
      </c>
      <c r="J33" s="220">
        <v>0.93123167155425224</v>
      </c>
      <c r="K33" s="165">
        <v>1607</v>
      </c>
      <c r="L33" s="34">
        <v>315</v>
      </c>
      <c r="M33" s="34">
        <v>58287.116999999984</v>
      </c>
      <c r="N33" s="34">
        <v>540.42817043086916</v>
      </c>
      <c r="O33" s="34">
        <v>498</v>
      </c>
      <c r="P33" s="34">
        <v>519</v>
      </c>
      <c r="Q33" s="36">
        <v>0.95953757225433522</v>
      </c>
    </row>
    <row r="34" spans="1:17" x14ac:dyDescent="0.3">
      <c r="A34" t="s">
        <v>124</v>
      </c>
      <c r="B34" t="s">
        <v>125</v>
      </c>
      <c r="C34" s="35">
        <v>198.1</v>
      </c>
      <c r="D34" s="35">
        <v>222</v>
      </c>
      <c r="E34" s="35">
        <v>207.3</v>
      </c>
      <c r="F34" s="35">
        <v>204.4</v>
      </c>
      <c r="G34" s="220">
        <v>0.87339927715427046</v>
      </c>
      <c r="H34" s="220">
        <v>0.87632633768198154</v>
      </c>
      <c r="I34" s="220">
        <v>0.86101748511904763</v>
      </c>
      <c r="J34" s="220">
        <v>0.85808110599078347</v>
      </c>
      <c r="K34" s="165">
        <v>1809.5977007089396</v>
      </c>
      <c r="L34" s="34">
        <v>761</v>
      </c>
      <c r="M34" s="34">
        <v>128397.19599999994</v>
      </c>
      <c r="N34" s="34">
        <v>592.6920709389949</v>
      </c>
      <c r="O34" s="34">
        <v>240</v>
      </c>
      <c r="P34" s="34">
        <v>280</v>
      </c>
      <c r="Q34" s="36">
        <v>0.8571428571428571</v>
      </c>
    </row>
    <row r="35" spans="1:17" x14ac:dyDescent="0.3">
      <c r="A35" t="s">
        <v>126</v>
      </c>
      <c r="B35" t="s">
        <v>127</v>
      </c>
      <c r="C35" s="35">
        <v>280</v>
      </c>
      <c r="D35" s="35">
        <v>270</v>
      </c>
      <c r="E35" s="35">
        <v>254</v>
      </c>
      <c r="F35" s="35">
        <v>240</v>
      </c>
      <c r="G35" s="220">
        <v>0.92428513894482478</v>
      </c>
      <c r="H35" s="220">
        <v>0.92457324335053592</v>
      </c>
      <c r="I35" s="220">
        <v>0.92449799196787152</v>
      </c>
      <c r="J35" s="220">
        <v>0.92430581970330927</v>
      </c>
      <c r="K35" s="165">
        <v>2063.69</v>
      </c>
      <c r="L35" s="34">
        <v>153</v>
      </c>
      <c r="M35" s="34">
        <v>23571.443999999989</v>
      </c>
      <c r="N35" s="34">
        <v>649.09048423168338</v>
      </c>
      <c r="O35" s="34">
        <v>90</v>
      </c>
      <c r="P35" s="34">
        <v>111</v>
      </c>
      <c r="Q35" s="36">
        <v>0.81081081081081086</v>
      </c>
    </row>
    <row r="36" spans="1:17" x14ac:dyDescent="0.3">
      <c r="A36" t="s">
        <v>128</v>
      </c>
      <c r="B36" t="s">
        <v>129</v>
      </c>
      <c r="C36" s="35">
        <v>178.5</v>
      </c>
      <c r="D36" s="35">
        <v>184.9</v>
      </c>
      <c r="E36" s="35">
        <v>225.8</v>
      </c>
      <c r="F36" s="35">
        <v>181</v>
      </c>
      <c r="G36" s="220">
        <v>0.97723322905804655</v>
      </c>
      <c r="H36" s="220">
        <v>0.97827586206896555</v>
      </c>
      <c r="I36" s="220">
        <v>0.98503097040605647</v>
      </c>
      <c r="J36" s="220">
        <v>0.97683264177040108</v>
      </c>
      <c r="K36" s="165">
        <v>2489.4734739999999</v>
      </c>
      <c r="L36" s="34">
        <v>257</v>
      </c>
      <c r="M36" s="34">
        <v>44337.313999999969</v>
      </c>
      <c r="N36" s="34">
        <v>579.64720190311971</v>
      </c>
      <c r="O36" s="34">
        <v>959</v>
      </c>
      <c r="P36" s="34">
        <v>1140</v>
      </c>
      <c r="Q36" s="36">
        <v>0.84122807017543855</v>
      </c>
    </row>
    <row r="37" spans="1:17" x14ac:dyDescent="0.3">
      <c r="A37" t="s">
        <v>130</v>
      </c>
      <c r="B37" t="s">
        <v>131</v>
      </c>
      <c r="C37" s="35">
        <v>194.1</v>
      </c>
      <c r="D37" s="35">
        <v>194.1</v>
      </c>
      <c r="E37" s="35">
        <v>194.1</v>
      </c>
      <c r="F37" s="35">
        <v>194.1</v>
      </c>
      <c r="G37" s="220">
        <v>0.93599658395407315</v>
      </c>
      <c r="H37" s="220">
        <v>0.93598583674990687</v>
      </c>
      <c r="I37" s="220">
        <v>0.93600857985521491</v>
      </c>
      <c r="J37" s="220">
        <v>0.93601750547045948</v>
      </c>
      <c r="K37" s="165">
        <v>1966.4</v>
      </c>
      <c r="L37" s="34">
        <v>1179</v>
      </c>
      <c r="M37" s="34">
        <v>186875.67699999982</v>
      </c>
      <c r="N37" s="34">
        <v>630.90072444259351</v>
      </c>
      <c r="O37" s="34">
        <v>1300</v>
      </c>
      <c r="P37" s="34">
        <v>1853</v>
      </c>
      <c r="Q37" s="36">
        <v>0.7015650296815974</v>
      </c>
    </row>
    <row r="38" spans="1:17" x14ac:dyDescent="0.3">
      <c r="A38" t="s">
        <v>132</v>
      </c>
      <c r="B38" t="s">
        <v>133</v>
      </c>
      <c r="C38" s="35">
        <v>149.64829</v>
      </c>
      <c r="D38" s="35">
        <v>145.12173000000001</v>
      </c>
      <c r="E38" s="35">
        <v>154.44646</v>
      </c>
      <c r="F38" s="35">
        <v>153</v>
      </c>
      <c r="G38" s="220">
        <v>0.91738816738816742</v>
      </c>
      <c r="H38" s="220">
        <v>0.92268510096416223</v>
      </c>
      <c r="I38" s="220">
        <v>0.91804436076954754</v>
      </c>
      <c r="J38" s="220">
        <v>0.91634804773490908</v>
      </c>
      <c r="K38" s="165">
        <v>1417</v>
      </c>
      <c r="L38" s="34">
        <v>1144</v>
      </c>
      <c r="M38" s="34">
        <v>220026.81699999984</v>
      </c>
      <c r="N38" s="34">
        <v>519.93662208911599</v>
      </c>
      <c r="O38" s="34">
        <v>370</v>
      </c>
      <c r="P38" s="34">
        <v>494</v>
      </c>
      <c r="Q38" s="36">
        <v>0.74898785425101211</v>
      </c>
    </row>
    <row r="39" spans="1:17" x14ac:dyDescent="0.3">
      <c r="A39" t="s">
        <v>134</v>
      </c>
      <c r="B39" t="s">
        <v>135</v>
      </c>
      <c r="C39" s="35">
        <v>212.76454410824479</v>
      </c>
      <c r="D39" s="35">
        <v>186.4333</v>
      </c>
      <c r="E39" s="35">
        <v>222.70359999999999</v>
      </c>
      <c r="F39" s="35">
        <v>231.79470000000001</v>
      </c>
      <c r="G39" s="220">
        <v>0.93314633006077607</v>
      </c>
      <c r="H39" s="220">
        <v>0.93875427382191168</v>
      </c>
      <c r="I39" s="220">
        <v>0.9443325661680092</v>
      </c>
      <c r="J39" s="220">
        <v>0.95001432254368379</v>
      </c>
      <c r="K39" s="165">
        <v>1633.0613342355584</v>
      </c>
      <c r="L39" s="34">
        <v>444</v>
      </c>
      <c r="M39" s="34">
        <v>64065.446999999964</v>
      </c>
      <c r="N39" s="34">
        <v>693.04128948011601</v>
      </c>
      <c r="O39" s="34">
        <v>536</v>
      </c>
      <c r="P39" s="34">
        <v>654</v>
      </c>
      <c r="Q39" s="36">
        <v>0.81957186544342508</v>
      </c>
    </row>
    <row r="40" spans="1:17" x14ac:dyDescent="0.3">
      <c r="A40" t="s">
        <v>136</v>
      </c>
      <c r="B40" t="s">
        <v>137</v>
      </c>
      <c r="C40" s="35">
        <v>152</v>
      </c>
      <c r="D40" s="35">
        <v>125.7</v>
      </c>
      <c r="E40" s="35">
        <v>133.80000000000001</v>
      </c>
      <c r="F40" s="35">
        <v>118.3</v>
      </c>
      <c r="G40" s="220">
        <v>0.91997430956968529</v>
      </c>
      <c r="H40" s="220">
        <v>0.91994981179422841</v>
      </c>
      <c r="I40" s="220">
        <v>0.92005208333333333</v>
      </c>
      <c r="J40" s="220">
        <v>0.92005060088551549</v>
      </c>
      <c r="K40" s="165">
        <v>1401.2</v>
      </c>
      <c r="L40" s="34">
        <v>500</v>
      </c>
      <c r="M40" s="34">
        <v>134721.68799999999</v>
      </c>
      <c r="N40" s="34">
        <v>371.13549230469857</v>
      </c>
      <c r="O40" s="34">
        <v>450</v>
      </c>
      <c r="P40" s="34">
        <v>530</v>
      </c>
      <c r="Q40" s="36">
        <v>0.84905660377358494</v>
      </c>
    </row>
    <row r="41" spans="1:17" x14ac:dyDescent="0.3">
      <c r="A41" t="s">
        <v>138</v>
      </c>
      <c r="B41" t="s">
        <v>139</v>
      </c>
      <c r="C41" s="35">
        <v>224.5</v>
      </c>
      <c r="D41" s="35">
        <v>230.2</v>
      </c>
      <c r="E41" s="35">
        <v>236</v>
      </c>
      <c r="F41" s="35">
        <v>241.7</v>
      </c>
      <c r="G41" s="220">
        <v>0.92980112793113678</v>
      </c>
      <c r="H41" s="220">
        <v>0.92956290608387482</v>
      </c>
      <c r="I41" s="220">
        <v>0.93042836041358934</v>
      </c>
      <c r="J41" s="220">
        <v>0.93085106382978722</v>
      </c>
      <c r="K41" s="165">
        <v>2341.1999999999998</v>
      </c>
      <c r="L41" s="34">
        <v>540</v>
      </c>
      <c r="M41" s="34">
        <v>67649.172999999937</v>
      </c>
      <c r="N41" s="34">
        <v>798.23592226323376</v>
      </c>
      <c r="O41" s="34">
        <v>929</v>
      </c>
      <c r="P41" s="34">
        <v>1080</v>
      </c>
      <c r="Q41" s="36">
        <v>0.86018518518518516</v>
      </c>
    </row>
    <row r="42" spans="1:17" x14ac:dyDescent="0.3">
      <c r="A42" t="s">
        <v>140</v>
      </c>
      <c r="B42" t="s">
        <v>141</v>
      </c>
      <c r="C42" s="35">
        <v>241.7</v>
      </c>
      <c r="D42" s="35">
        <v>206.2</v>
      </c>
      <c r="E42" s="35">
        <v>220.3</v>
      </c>
      <c r="F42" s="35">
        <v>221.9</v>
      </c>
      <c r="G42" s="220">
        <v>0.92923433874709982</v>
      </c>
      <c r="H42" s="220">
        <v>0.93422913719943423</v>
      </c>
      <c r="I42" s="220">
        <v>0.93588269120184009</v>
      </c>
      <c r="J42" s="220">
        <v>0.91880534293861627</v>
      </c>
      <c r="K42" s="165">
        <v>3282.3</v>
      </c>
      <c r="L42" s="34">
        <v>197</v>
      </c>
      <c r="M42" s="34">
        <v>49363.99299999998</v>
      </c>
      <c r="N42" s="34">
        <v>399.07630648922606</v>
      </c>
      <c r="O42" s="34">
        <v>105</v>
      </c>
      <c r="P42" s="34">
        <v>110</v>
      </c>
      <c r="Q42" s="36">
        <v>0.95454545454545459</v>
      </c>
    </row>
    <row r="43" spans="1:17" x14ac:dyDescent="0.3">
      <c r="A43" t="s">
        <v>142</v>
      </c>
      <c r="B43" t="s">
        <v>143</v>
      </c>
      <c r="C43" s="35">
        <v>181.4</v>
      </c>
      <c r="D43" s="35">
        <v>161.80000000000001</v>
      </c>
      <c r="E43" s="35">
        <v>175.4</v>
      </c>
      <c r="F43" s="35">
        <v>162</v>
      </c>
      <c r="G43" s="220">
        <v>0.95518834897073235</v>
      </c>
      <c r="H43" s="220">
        <v>0.96</v>
      </c>
      <c r="I43" s="220">
        <v>0.96465724193118163</v>
      </c>
      <c r="J43" s="220">
        <v>0.9675470637819612</v>
      </c>
      <c r="K43" s="165">
        <v>1206.8</v>
      </c>
      <c r="L43" s="34">
        <v>540</v>
      </c>
      <c r="M43" s="34">
        <v>95651.051999999967</v>
      </c>
      <c r="N43" s="34">
        <v>564.55207622807973</v>
      </c>
      <c r="O43" s="34">
        <v>340</v>
      </c>
      <c r="P43" s="34">
        <v>450</v>
      </c>
      <c r="Q43" s="36">
        <v>0.75555555555555554</v>
      </c>
    </row>
    <row r="44" spans="1:17" x14ac:dyDescent="0.3">
      <c r="A44" t="s">
        <v>144</v>
      </c>
      <c r="B44" t="s">
        <v>145</v>
      </c>
      <c r="C44" s="35">
        <v>180.8</v>
      </c>
      <c r="D44" s="35">
        <v>140.30000000000001</v>
      </c>
      <c r="E44" s="35">
        <v>172.7</v>
      </c>
      <c r="F44" s="35">
        <v>173.3</v>
      </c>
      <c r="G44" s="220">
        <v>0.91739288307915756</v>
      </c>
      <c r="H44" s="220">
        <v>0.9281809453471197</v>
      </c>
      <c r="I44" s="220">
        <v>0.92971131432669896</v>
      </c>
      <c r="J44" s="220">
        <v>0.9400811209439528</v>
      </c>
      <c r="K44" s="165">
        <v>2134.6</v>
      </c>
      <c r="L44" s="34">
        <v>696</v>
      </c>
      <c r="M44" s="34">
        <v>154514.61799999996</v>
      </c>
      <c r="N44" s="34">
        <v>450.44281829697189</v>
      </c>
      <c r="O44" s="34">
        <v>235</v>
      </c>
      <c r="P44" s="34">
        <v>261</v>
      </c>
      <c r="Q44" s="36">
        <v>0.90038314176245215</v>
      </c>
    </row>
    <row r="45" spans="1:17" x14ac:dyDescent="0.3">
      <c r="A45" t="s">
        <v>146</v>
      </c>
      <c r="B45" t="s">
        <v>147</v>
      </c>
      <c r="C45" s="35">
        <v>161.6</v>
      </c>
      <c r="D45" s="35">
        <v>139.19999999999999</v>
      </c>
      <c r="E45" s="35">
        <v>151.19999999999999</v>
      </c>
      <c r="F45" s="35">
        <v>167.5</v>
      </c>
      <c r="G45" s="220">
        <v>0.94008636200071971</v>
      </c>
      <c r="H45" s="220">
        <v>0.93999635236184576</v>
      </c>
      <c r="I45" s="220">
        <v>0.94007359383213596</v>
      </c>
      <c r="J45" s="220">
        <v>0.94004752330469754</v>
      </c>
      <c r="K45" s="165">
        <v>1641</v>
      </c>
      <c r="L45" s="34">
        <v>195</v>
      </c>
      <c r="M45" s="34">
        <v>48038.504999999968</v>
      </c>
      <c r="N45" s="34">
        <v>405.92437254240139</v>
      </c>
      <c r="O45" s="34">
        <v>528</v>
      </c>
      <c r="P45" s="34">
        <v>600</v>
      </c>
      <c r="Q45" s="36">
        <v>0.88</v>
      </c>
    </row>
    <row r="46" spans="1:17" x14ac:dyDescent="0.3">
      <c r="A46" t="s">
        <v>148</v>
      </c>
      <c r="B46" t="s">
        <v>149</v>
      </c>
      <c r="C46" s="35">
        <v>175</v>
      </c>
      <c r="D46" s="35">
        <v>161</v>
      </c>
      <c r="E46" s="35">
        <v>168</v>
      </c>
      <c r="F46" s="35">
        <v>196</v>
      </c>
      <c r="G46" s="220">
        <v>0.93100000000000005</v>
      </c>
      <c r="H46" s="220">
        <v>0.93400000000000005</v>
      </c>
      <c r="I46" s="220">
        <v>0.93700000000000006</v>
      </c>
      <c r="J46" s="220">
        <v>0.94</v>
      </c>
      <c r="K46" s="165">
        <v>2000</v>
      </c>
      <c r="L46" s="34">
        <v>1135</v>
      </c>
      <c r="M46" s="34">
        <v>324286.34899999946</v>
      </c>
      <c r="N46" s="34">
        <v>349.9993149572885</v>
      </c>
      <c r="O46" s="34">
        <v>1780</v>
      </c>
      <c r="P46" s="34">
        <v>2000</v>
      </c>
      <c r="Q46" s="36">
        <v>0.89</v>
      </c>
    </row>
    <row r="47" spans="1:17" x14ac:dyDescent="0.3">
      <c r="A47" t="s">
        <v>150</v>
      </c>
      <c r="B47" t="s">
        <v>151</v>
      </c>
      <c r="C47" s="35">
        <v>298.7</v>
      </c>
      <c r="D47" s="35">
        <v>284.10000000000002</v>
      </c>
      <c r="E47" s="35">
        <v>300.89999999999998</v>
      </c>
      <c r="F47" s="35">
        <v>331.5</v>
      </c>
      <c r="G47" s="220">
        <v>0.93479515291402193</v>
      </c>
      <c r="H47" s="220">
        <v>0.93484965304548961</v>
      </c>
      <c r="I47" s="220">
        <v>0.93524478252389309</v>
      </c>
      <c r="J47" s="220">
        <v>0.9347065682083171</v>
      </c>
      <c r="K47" s="165">
        <v>2416.6999999999998</v>
      </c>
      <c r="L47" s="34">
        <v>323</v>
      </c>
      <c r="M47" s="34">
        <v>41370.442999999999</v>
      </c>
      <c r="N47" s="34">
        <v>780.750643641887</v>
      </c>
      <c r="O47" s="34">
        <v>178</v>
      </c>
      <c r="P47" s="34">
        <v>200</v>
      </c>
      <c r="Q47" s="36">
        <v>0.89</v>
      </c>
    </row>
    <row r="48" spans="1:17" x14ac:dyDescent="0.3">
      <c r="A48" t="s">
        <v>152</v>
      </c>
      <c r="B48" t="s">
        <v>153</v>
      </c>
      <c r="C48" s="35">
        <v>160</v>
      </c>
      <c r="D48" s="35">
        <v>150</v>
      </c>
      <c r="E48" s="35">
        <v>180</v>
      </c>
      <c r="F48" s="35">
        <v>170</v>
      </c>
      <c r="G48" s="220">
        <v>0.93805309734513276</v>
      </c>
      <c r="H48" s="220">
        <v>0.94017094017094016</v>
      </c>
      <c r="I48" s="220">
        <v>0.93829247675401517</v>
      </c>
      <c r="J48" s="220">
        <v>0.94038623005877409</v>
      </c>
      <c r="K48" s="165">
        <v>1335.7</v>
      </c>
      <c r="L48" s="34">
        <v>450</v>
      </c>
      <c r="M48" s="34">
        <v>149123.7619999999</v>
      </c>
      <c r="N48" s="34">
        <v>301.76277339355232</v>
      </c>
      <c r="O48" s="34">
        <v>331</v>
      </c>
      <c r="P48" s="34">
        <v>389</v>
      </c>
      <c r="Q48" s="36">
        <v>0.85089974293059123</v>
      </c>
    </row>
    <row r="49" spans="1:17" x14ac:dyDescent="0.3">
      <c r="A49" t="s">
        <v>154</v>
      </c>
      <c r="B49" t="s">
        <v>155</v>
      </c>
      <c r="C49" s="35">
        <v>207</v>
      </c>
      <c r="D49" s="35">
        <v>182</v>
      </c>
      <c r="E49" s="35">
        <v>216</v>
      </c>
      <c r="F49" s="35">
        <v>189</v>
      </c>
      <c r="G49" s="220">
        <v>0.92508334967640715</v>
      </c>
      <c r="H49" s="220">
        <v>0.93114446529080674</v>
      </c>
      <c r="I49" s="220">
        <v>0.93007891356212147</v>
      </c>
      <c r="J49" s="220">
        <v>0.9205882352941176</v>
      </c>
      <c r="K49" s="165">
        <v>2200</v>
      </c>
      <c r="L49" s="34">
        <v>147</v>
      </c>
      <c r="M49" s="34">
        <v>32916.292999999969</v>
      </c>
      <c r="N49" s="34">
        <v>446.58734809536463</v>
      </c>
      <c r="O49" s="34">
        <v>154</v>
      </c>
      <c r="P49" s="34">
        <v>188</v>
      </c>
      <c r="Q49" s="36">
        <v>0.81914893617021278</v>
      </c>
    </row>
    <row r="50" spans="1:17" x14ac:dyDescent="0.3">
      <c r="A50" t="s">
        <v>156</v>
      </c>
      <c r="B50" t="s">
        <v>157</v>
      </c>
      <c r="C50" s="35">
        <v>117</v>
      </c>
      <c r="D50" s="35">
        <v>112</v>
      </c>
      <c r="E50" s="35">
        <v>112</v>
      </c>
      <c r="F50" s="35">
        <v>112</v>
      </c>
      <c r="G50" s="220">
        <v>0.93387053017920763</v>
      </c>
      <c r="H50" s="220">
        <v>0.93864768103044194</v>
      </c>
      <c r="I50" s="220">
        <v>0.9424890052344217</v>
      </c>
      <c r="J50" s="220">
        <v>0.94431579362530504</v>
      </c>
      <c r="K50" s="165">
        <v>940.4</v>
      </c>
      <c r="L50" s="34">
        <v>121</v>
      </c>
      <c r="M50" s="34">
        <v>24727.703999999965</v>
      </c>
      <c r="N50" s="34">
        <v>489.32970080845422</v>
      </c>
      <c r="O50" s="34">
        <v>185</v>
      </c>
      <c r="P50" s="34">
        <v>209</v>
      </c>
      <c r="Q50" s="36">
        <v>0.88516746411483249</v>
      </c>
    </row>
    <row r="51" spans="1:17" x14ac:dyDescent="0.3">
      <c r="A51" t="s">
        <v>158</v>
      </c>
      <c r="B51" t="s">
        <v>159</v>
      </c>
      <c r="C51" s="35">
        <v>285.2</v>
      </c>
      <c r="D51" s="35">
        <v>267.2</v>
      </c>
      <c r="E51" s="35">
        <v>306.8</v>
      </c>
      <c r="F51" s="35">
        <v>257.7</v>
      </c>
      <c r="G51" s="220">
        <v>0.95348047538200342</v>
      </c>
      <c r="H51" s="220">
        <v>0.95413793103448274</v>
      </c>
      <c r="I51" s="220">
        <v>0.95480028030833919</v>
      </c>
      <c r="J51" s="220">
        <v>0.95584045584045585</v>
      </c>
      <c r="K51" s="165">
        <v>2272.4</v>
      </c>
      <c r="L51" s="34">
        <v>154</v>
      </c>
      <c r="M51" s="34">
        <v>25774.495999999992</v>
      </c>
      <c r="N51" s="34">
        <v>597.48985974352343</v>
      </c>
      <c r="O51" s="34">
        <v>170</v>
      </c>
      <c r="P51" s="34">
        <v>200</v>
      </c>
      <c r="Q51" s="36">
        <v>0.85</v>
      </c>
    </row>
    <row r="52" spans="1:17" x14ac:dyDescent="0.3">
      <c r="A52" t="s">
        <v>160</v>
      </c>
      <c r="B52" t="s">
        <v>161</v>
      </c>
      <c r="C52" s="35">
        <v>41.32</v>
      </c>
      <c r="D52" s="35">
        <v>29.92</v>
      </c>
      <c r="E52" s="35">
        <v>39.18</v>
      </c>
      <c r="F52" s="35">
        <v>34.19</v>
      </c>
      <c r="G52" s="220">
        <v>0.96347184986595169</v>
      </c>
      <c r="H52" s="220">
        <v>0.96740237691001696</v>
      </c>
      <c r="I52" s="220">
        <v>0.97127178825048421</v>
      </c>
      <c r="J52" s="220">
        <v>0.9667397660818714</v>
      </c>
      <c r="K52" s="165">
        <v>2317.6767</v>
      </c>
      <c r="L52" s="34">
        <v>72</v>
      </c>
      <c r="M52" s="34">
        <v>22779.593999999968</v>
      </c>
      <c r="N52" s="34">
        <v>0</v>
      </c>
      <c r="O52" s="34">
        <v>0</v>
      </c>
      <c r="P52" s="34">
        <v>0</v>
      </c>
      <c r="Q52" s="36">
        <v>0</v>
      </c>
    </row>
    <row r="53" spans="1:17" x14ac:dyDescent="0.3">
      <c r="A53" t="s">
        <v>162</v>
      </c>
      <c r="B53" t="s">
        <v>163</v>
      </c>
      <c r="C53" s="35">
        <v>176</v>
      </c>
      <c r="D53" s="35">
        <v>152</v>
      </c>
      <c r="E53" s="35">
        <v>173</v>
      </c>
      <c r="F53" s="35">
        <v>153</v>
      </c>
      <c r="G53" s="220">
        <v>0.92124019957234493</v>
      </c>
      <c r="H53" s="220">
        <v>0.92388485477178428</v>
      </c>
      <c r="I53" s="220">
        <v>0.92250372578241435</v>
      </c>
      <c r="J53" s="220">
        <v>0.91966254027471595</v>
      </c>
      <c r="K53" s="165">
        <v>1447.6</v>
      </c>
      <c r="L53" s="34">
        <v>1893</v>
      </c>
      <c r="M53" s="34">
        <v>322748.8809999997</v>
      </c>
      <c r="N53" s="34">
        <v>586.52410943602979</v>
      </c>
      <c r="O53" s="34">
        <v>1000</v>
      </c>
      <c r="P53" s="34">
        <v>1250</v>
      </c>
      <c r="Q53" s="36">
        <v>0.8</v>
      </c>
    </row>
    <row r="54" spans="1:17" x14ac:dyDescent="0.3">
      <c r="A54" t="s">
        <v>164</v>
      </c>
      <c r="B54" t="s">
        <v>165</v>
      </c>
      <c r="C54" s="35">
        <v>133</v>
      </c>
      <c r="D54" s="35">
        <v>128</v>
      </c>
      <c r="E54" s="35">
        <v>126</v>
      </c>
      <c r="F54" s="35">
        <v>120</v>
      </c>
      <c r="G54" s="220">
        <v>0.92994921225482197</v>
      </c>
      <c r="H54" s="220">
        <v>0.93511542010394888</v>
      </c>
      <c r="I54" s="220">
        <v>0.94201263726452023</v>
      </c>
      <c r="J54" s="220">
        <v>0.94999999999999984</v>
      </c>
      <c r="K54" s="165">
        <v>1608</v>
      </c>
      <c r="L54" s="34">
        <v>116</v>
      </c>
      <c r="M54" s="34">
        <v>31233.962999999971</v>
      </c>
      <c r="N54" s="34">
        <v>371.39059170941613</v>
      </c>
      <c r="O54" s="34">
        <v>223</v>
      </c>
      <c r="P54" s="34">
        <v>285</v>
      </c>
      <c r="Q54" s="36">
        <v>0.78245614035087718</v>
      </c>
    </row>
    <row r="55" spans="1:17" x14ac:dyDescent="0.3">
      <c r="A55" t="s">
        <v>166</v>
      </c>
      <c r="B55" t="s">
        <v>167</v>
      </c>
      <c r="C55" s="35">
        <v>206.2</v>
      </c>
      <c r="D55" s="35">
        <v>179.2</v>
      </c>
      <c r="E55" s="35">
        <v>209.3</v>
      </c>
      <c r="F55" s="35">
        <v>233.6</v>
      </c>
      <c r="G55" s="220">
        <v>0.93780533633972196</v>
      </c>
      <c r="H55" s="220">
        <v>0.93975903614457834</v>
      </c>
      <c r="I55" s="220">
        <v>0.93870967741935485</v>
      </c>
      <c r="J55" s="220">
        <v>0.9345078513979318</v>
      </c>
      <c r="K55" s="165">
        <v>2594.1269000000002</v>
      </c>
      <c r="L55" s="34">
        <v>146</v>
      </c>
      <c r="M55" s="34">
        <v>43352.118999999977</v>
      </c>
      <c r="N55" s="34">
        <v>0</v>
      </c>
      <c r="O55" s="34">
        <v>0</v>
      </c>
      <c r="P55" s="34">
        <v>0</v>
      </c>
      <c r="Q55" s="36">
        <v>0</v>
      </c>
    </row>
    <row r="56" spans="1:17" x14ac:dyDescent="0.3">
      <c r="A56" t="s">
        <v>168</v>
      </c>
      <c r="B56" t="s">
        <v>169</v>
      </c>
      <c r="C56" s="35">
        <v>322</v>
      </c>
      <c r="D56" s="35">
        <v>286</v>
      </c>
      <c r="E56" s="35">
        <v>331</v>
      </c>
      <c r="F56" s="35">
        <v>301</v>
      </c>
      <c r="G56" s="220">
        <v>0.93975409836065571</v>
      </c>
      <c r="H56" s="220">
        <v>0.93993759750390016</v>
      </c>
      <c r="I56" s="220">
        <v>0.9397634885439764</v>
      </c>
      <c r="J56" s="220">
        <v>0.94029260577303286</v>
      </c>
      <c r="K56" s="165">
        <v>1666.5557365049699</v>
      </c>
      <c r="L56" s="34">
        <v>121</v>
      </c>
      <c r="M56" s="34">
        <v>19306.701999999997</v>
      </c>
      <c r="N56" s="34">
        <v>626.72537236033384</v>
      </c>
      <c r="O56" s="34">
        <v>91</v>
      </c>
      <c r="P56" s="34">
        <v>111</v>
      </c>
      <c r="Q56" s="36">
        <v>0.81981981981981977</v>
      </c>
    </row>
    <row r="57" spans="1:17" x14ac:dyDescent="0.3">
      <c r="A57" t="s">
        <v>170</v>
      </c>
      <c r="B57" t="s">
        <v>171</v>
      </c>
      <c r="C57" s="35">
        <v>186</v>
      </c>
      <c r="D57" s="35">
        <v>183</v>
      </c>
      <c r="E57" s="35">
        <v>168</v>
      </c>
      <c r="F57" s="35">
        <v>152</v>
      </c>
      <c r="G57" s="220">
        <v>0.91264303482587084</v>
      </c>
      <c r="H57" s="220">
        <v>0.91161451208039079</v>
      </c>
      <c r="I57" s="220">
        <v>0.92165701300053249</v>
      </c>
      <c r="J57" s="220">
        <v>0.91540868059430913</v>
      </c>
      <c r="K57" s="165">
        <v>1429.6622220705167</v>
      </c>
      <c r="L57" s="34">
        <v>265</v>
      </c>
      <c r="M57" s="34">
        <v>48174.574999999975</v>
      </c>
      <c r="N57" s="34">
        <v>550.08269403518375</v>
      </c>
      <c r="O57" s="34">
        <v>264</v>
      </c>
      <c r="P57" s="34">
        <v>300</v>
      </c>
      <c r="Q57" s="36">
        <v>0.88</v>
      </c>
    </row>
    <row r="58" spans="1:17" x14ac:dyDescent="0.3">
      <c r="A58" t="s">
        <v>172</v>
      </c>
      <c r="B58" t="s">
        <v>173</v>
      </c>
      <c r="C58" s="35">
        <v>145</v>
      </c>
      <c r="D58" s="35">
        <v>141</v>
      </c>
      <c r="E58" s="35">
        <v>154</v>
      </c>
      <c r="F58" s="35">
        <v>151</v>
      </c>
      <c r="G58" s="220">
        <v>0.91800804828973848</v>
      </c>
      <c r="H58" s="220">
        <v>0.91897332662304987</v>
      </c>
      <c r="I58" s="220">
        <v>0.91662430096593794</v>
      </c>
      <c r="J58" s="220">
        <v>0.91375166889185577</v>
      </c>
      <c r="K58" s="165">
        <v>1372</v>
      </c>
      <c r="L58" s="34">
        <v>250</v>
      </c>
      <c r="M58" s="34">
        <v>51623.692999999963</v>
      </c>
      <c r="N58" s="34">
        <v>484.27376166211161</v>
      </c>
      <c r="O58" s="34">
        <v>320</v>
      </c>
      <c r="P58" s="34">
        <v>400</v>
      </c>
      <c r="Q58" s="36">
        <v>0.8</v>
      </c>
    </row>
    <row r="59" spans="1:17" x14ac:dyDescent="0.3">
      <c r="A59" t="s">
        <v>174</v>
      </c>
      <c r="B59" t="s">
        <v>175</v>
      </c>
      <c r="C59" s="35">
        <v>141</v>
      </c>
      <c r="D59" s="35">
        <v>123</v>
      </c>
      <c r="E59" s="35">
        <v>141</v>
      </c>
      <c r="F59" s="35">
        <v>125</v>
      </c>
      <c r="G59" s="220">
        <v>0.93546666666666667</v>
      </c>
      <c r="H59" s="220">
        <v>0.938098845759615</v>
      </c>
      <c r="I59" s="220">
        <v>0.93555555555555558</v>
      </c>
      <c r="J59" s="220">
        <v>0.94017857142857142</v>
      </c>
      <c r="K59" s="165">
        <v>1696</v>
      </c>
      <c r="L59" s="34">
        <v>1080</v>
      </c>
      <c r="M59" s="34">
        <v>215847.73299999966</v>
      </c>
      <c r="N59" s="34">
        <v>500.35271855275948</v>
      </c>
      <c r="O59" s="34">
        <v>691</v>
      </c>
      <c r="P59" s="34">
        <v>794</v>
      </c>
      <c r="Q59" s="36">
        <v>0.87027707808564236</v>
      </c>
    </row>
    <row r="60" spans="1:17" x14ac:dyDescent="0.3">
      <c r="A60" t="s">
        <v>176</v>
      </c>
      <c r="B60" t="s">
        <v>177</v>
      </c>
      <c r="C60" s="35">
        <v>229.4</v>
      </c>
      <c r="D60" s="35">
        <v>183.5</v>
      </c>
      <c r="E60" s="35">
        <v>228.4</v>
      </c>
      <c r="F60" s="35">
        <v>238.4</v>
      </c>
      <c r="G60" s="220">
        <v>0.92761082517018101</v>
      </c>
      <c r="H60" s="220">
        <v>0.91668009669621275</v>
      </c>
      <c r="I60" s="220">
        <v>0.92253055830855635</v>
      </c>
      <c r="J60" s="220">
        <v>0.90934110409583946</v>
      </c>
      <c r="K60" s="165">
        <v>2018</v>
      </c>
      <c r="L60" s="34">
        <v>270</v>
      </c>
      <c r="M60" s="34">
        <v>44712.917999999969</v>
      </c>
      <c r="N60" s="34">
        <v>603.85233636507508</v>
      </c>
      <c r="O60" s="34">
        <v>149</v>
      </c>
      <c r="P60" s="34">
        <v>157</v>
      </c>
      <c r="Q60" s="36">
        <v>0.94904458598726116</v>
      </c>
    </row>
    <row r="61" spans="1:17" x14ac:dyDescent="0.3">
      <c r="A61" t="s">
        <v>178</v>
      </c>
      <c r="B61" t="s">
        <v>179</v>
      </c>
      <c r="C61" s="35">
        <v>108.7</v>
      </c>
      <c r="D61" s="35">
        <v>109.5</v>
      </c>
      <c r="E61" s="35">
        <v>119.1</v>
      </c>
      <c r="F61" s="35">
        <v>95.3</v>
      </c>
      <c r="G61" s="220">
        <v>0.94167134043746492</v>
      </c>
      <c r="H61" s="220">
        <v>0.94196347857530283</v>
      </c>
      <c r="I61" s="220">
        <v>0.94307062800213481</v>
      </c>
      <c r="J61" s="220">
        <v>0.94077237281841808</v>
      </c>
      <c r="K61" s="165">
        <v>2564.1936000000001</v>
      </c>
      <c r="L61" s="34">
        <v>154</v>
      </c>
      <c r="M61" s="34">
        <v>36726.560999999965</v>
      </c>
      <c r="N61" s="34">
        <v>0</v>
      </c>
      <c r="O61" s="34">
        <v>0</v>
      </c>
      <c r="P61" s="34">
        <v>0</v>
      </c>
      <c r="Q61" s="36">
        <v>0</v>
      </c>
    </row>
    <row r="62" spans="1:17" x14ac:dyDescent="0.3">
      <c r="A62" t="s">
        <v>180</v>
      </c>
      <c r="B62" t="s">
        <v>181</v>
      </c>
      <c r="C62" s="35">
        <v>162</v>
      </c>
      <c r="D62" s="35">
        <v>136</v>
      </c>
      <c r="E62" s="35">
        <v>153</v>
      </c>
      <c r="F62" s="35">
        <v>146</v>
      </c>
      <c r="G62" s="220">
        <v>0.83076923076923082</v>
      </c>
      <c r="H62" s="220">
        <v>0.83116883116883122</v>
      </c>
      <c r="I62" s="220">
        <v>0.81756756756756754</v>
      </c>
      <c r="J62" s="220">
        <v>0.83333333333333337</v>
      </c>
      <c r="K62" s="165">
        <v>1255.7</v>
      </c>
      <c r="L62" s="34">
        <v>333</v>
      </c>
      <c r="M62" s="34">
        <v>43788.204999999994</v>
      </c>
      <c r="N62" s="34">
        <v>760.47876363052569</v>
      </c>
      <c r="O62" s="34">
        <v>93</v>
      </c>
      <c r="P62" s="34">
        <v>114</v>
      </c>
      <c r="Q62" s="36">
        <v>0.81578947368421051</v>
      </c>
    </row>
    <row r="63" spans="1:17" x14ac:dyDescent="0.3">
      <c r="A63" t="s">
        <v>182</v>
      </c>
      <c r="B63" t="s">
        <v>183</v>
      </c>
      <c r="C63" s="35">
        <v>160</v>
      </c>
      <c r="D63" s="35">
        <v>150</v>
      </c>
      <c r="E63" s="35">
        <v>155</v>
      </c>
      <c r="F63" s="35">
        <v>150</v>
      </c>
      <c r="G63" s="220">
        <v>0.92361111111111116</v>
      </c>
      <c r="H63" s="220">
        <v>0.92361111111111116</v>
      </c>
      <c r="I63" s="220">
        <v>0.92361111111111116</v>
      </c>
      <c r="J63" s="220">
        <v>0.93421052631578949</v>
      </c>
      <c r="K63" s="165">
        <v>2051</v>
      </c>
      <c r="L63" s="34">
        <v>88</v>
      </c>
      <c r="M63" s="34">
        <v>23250.697999999989</v>
      </c>
      <c r="N63" s="34">
        <v>378.48326101865865</v>
      </c>
      <c r="O63" s="34">
        <v>100</v>
      </c>
      <c r="P63" s="34">
        <v>115</v>
      </c>
      <c r="Q63" s="36">
        <v>0.86956521739130432</v>
      </c>
    </row>
    <row r="64" spans="1:17" x14ac:dyDescent="0.3">
      <c r="A64" t="s">
        <v>184</v>
      </c>
      <c r="B64" t="s">
        <v>185</v>
      </c>
      <c r="C64" s="35">
        <v>37.200000000000003</v>
      </c>
      <c r="D64" s="35">
        <v>39.4</v>
      </c>
      <c r="E64" s="35">
        <v>47.6</v>
      </c>
      <c r="F64" s="35">
        <v>51.3</v>
      </c>
      <c r="G64" s="220">
        <v>0.93889347646573085</v>
      </c>
      <c r="H64" s="220">
        <v>0.94063004846526654</v>
      </c>
      <c r="I64" s="220">
        <v>0.94174757281553401</v>
      </c>
      <c r="J64" s="220">
        <v>0.93635607321131442</v>
      </c>
      <c r="K64" s="165">
        <v>2181.3000000000002</v>
      </c>
      <c r="L64" s="34">
        <v>86</v>
      </c>
      <c r="M64" s="34">
        <v>27384.366000000002</v>
      </c>
      <c r="N64" s="34">
        <v>0</v>
      </c>
      <c r="O64" s="34">
        <v>0</v>
      </c>
      <c r="P64" s="34">
        <v>0</v>
      </c>
      <c r="Q64" s="36">
        <v>0</v>
      </c>
    </row>
    <row r="65" spans="1:17" x14ac:dyDescent="0.3">
      <c r="A65" t="s">
        <v>186</v>
      </c>
      <c r="B65" t="s">
        <v>187</v>
      </c>
      <c r="C65" s="35">
        <v>162.4</v>
      </c>
      <c r="D65" s="35">
        <v>135</v>
      </c>
      <c r="E65" s="35">
        <v>160</v>
      </c>
      <c r="F65" s="35">
        <v>136.5</v>
      </c>
      <c r="G65" s="220">
        <v>0.91047116850837828</v>
      </c>
      <c r="H65" s="220">
        <v>0.90754801988683576</v>
      </c>
      <c r="I65" s="220">
        <v>0.918111327575307</v>
      </c>
      <c r="J65" s="220">
        <v>0.93831334467634331</v>
      </c>
      <c r="K65" s="165">
        <v>1886.2</v>
      </c>
      <c r="L65" s="34">
        <v>1710</v>
      </c>
      <c r="M65" s="34">
        <v>340503.96099999966</v>
      </c>
      <c r="N65" s="34">
        <v>502.19680117025183</v>
      </c>
      <c r="O65" s="34">
        <v>781</v>
      </c>
      <c r="P65" s="34">
        <v>913</v>
      </c>
      <c r="Q65" s="36">
        <v>0.85542168674698793</v>
      </c>
    </row>
    <row r="66" spans="1:17" x14ac:dyDescent="0.3">
      <c r="A66" t="s">
        <v>188</v>
      </c>
      <c r="B66" t="s">
        <v>189</v>
      </c>
      <c r="C66" s="35">
        <v>262.3</v>
      </c>
      <c r="D66" s="35">
        <v>244.3</v>
      </c>
      <c r="E66" s="35">
        <v>264.3</v>
      </c>
      <c r="F66" s="35">
        <v>213.7</v>
      </c>
      <c r="G66" s="220">
        <v>0.97475264414875473</v>
      </c>
      <c r="H66" s="220">
        <v>0.98035714285714282</v>
      </c>
      <c r="I66" s="220">
        <v>0.98322644301924023</v>
      </c>
      <c r="J66" s="220">
        <v>0.98285714285714287</v>
      </c>
      <c r="K66" s="165">
        <v>1456.8537795505399</v>
      </c>
      <c r="L66" s="34">
        <v>390</v>
      </c>
      <c r="M66" s="34">
        <v>41009.510999999999</v>
      </c>
      <c r="N66" s="34">
        <v>950.99890364457167</v>
      </c>
      <c r="O66" s="34">
        <v>77</v>
      </c>
      <c r="P66" s="34">
        <v>85</v>
      </c>
      <c r="Q66" s="36">
        <v>0.90588235294117647</v>
      </c>
    </row>
    <row r="67" spans="1:17" x14ac:dyDescent="0.3">
      <c r="A67" t="s">
        <v>190</v>
      </c>
      <c r="B67" t="s">
        <v>191</v>
      </c>
      <c r="C67" s="35">
        <v>186.6</v>
      </c>
      <c r="D67" s="35">
        <v>155.19999999999999</v>
      </c>
      <c r="E67" s="35">
        <v>187.6</v>
      </c>
      <c r="F67" s="35">
        <v>165.7</v>
      </c>
      <c r="G67" s="220">
        <v>0.91066666666666662</v>
      </c>
      <c r="H67" s="220">
        <v>0.90962962962962968</v>
      </c>
      <c r="I67" s="220">
        <v>0.9028571428571428</v>
      </c>
      <c r="J67" s="220">
        <v>0.90833333333333333</v>
      </c>
      <c r="K67" s="165">
        <v>2068.7488966758528</v>
      </c>
      <c r="L67" s="34">
        <v>97</v>
      </c>
      <c r="M67" s="34">
        <v>26485.881999999994</v>
      </c>
      <c r="N67" s="34">
        <v>366.23284812640946</v>
      </c>
      <c r="O67" s="34">
        <v>85</v>
      </c>
      <c r="P67" s="34">
        <v>95</v>
      </c>
      <c r="Q67" s="36">
        <v>0.89473684210526316</v>
      </c>
    </row>
    <row r="68" spans="1:17" x14ac:dyDescent="0.3">
      <c r="A68" t="s">
        <v>192</v>
      </c>
      <c r="B68" t="s">
        <v>193</v>
      </c>
      <c r="C68" s="35">
        <v>242</v>
      </c>
      <c r="D68" s="35">
        <v>219</v>
      </c>
      <c r="E68" s="35">
        <v>243</v>
      </c>
      <c r="F68" s="35">
        <v>230</v>
      </c>
      <c r="G68" s="220">
        <v>0.93004513217279172</v>
      </c>
      <c r="H68" s="220">
        <v>0.93003555741476673</v>
      </c>
      <c r="I68" s="220">
        <v>0.93590411672746221</v>
      </c>
      <c r="J68" s="220">
        <v>0.94192923970319387</v>
      </c>
      <c r="K68" s="165">
        <v>2545.3000000000002</v>
      </c>
      <c r="L68" s="34">
        <v>352</v>
      </c>
      <c r="M68" s="34">
        <v>82695.389999999941</v>
      </c>
      <c r="N68" s="34">
        <v>425.65855242958554</v>
      </c>
      <c r="O68" s="34">
        <v>279</v>
      </c>
      <c r="P68" s="34">
        <v>320</v>
      </c>
      <c r="Q68" s="36">
        <v>0.87187499999999996</v>
      </c>
    </row>
    <row r="69" spans="1:17" x14ac:dyDescent="0.3">
      <c r="A69" t="s">
        <v>194</v>
      </c>
      <c r="B69" t="s">
        <v>195</v>
      </c>
      <c r="C69" s="35">
        <v>285</v>
      </c>
      <c r="D69" s="35">
        <v>257</v>
      </c>
      <c r="E69" s="35">
        <v>295</v>
      </c>
      <c r="F69" s="35">
        <v>289</v>
      </c>
      <c r="G69" s="220">
        <v>0.94065126050420167</v>
      </c>
      <c r="H69" s="220">
        <v>0.95347043701799483</v>
      </c>
      <c r="I69" s="220">
        <v>0.95155887657820148</v>
      </c>
      <c r="J69" s="220">
        <v>0.94931981861829817</v>
      </c>
      <c r="K69" s="165">
        <v>2174.6999999999998</v>
      </c>
      <c r="L69" s="34">
        <v>206</v>
      </c>
      <c r="M69" s="34">
        <v>27977.97199999998</v>
      </c>
      <c r="N69" s="34">
        <v>736.29353835939264</v>
      </c>
      <c r="O69" s="34">
        <v>57</v>
      </c>
      <c r="P69" s="34">
        <v>69</v>
      </c>
      <c r="Q69" s="36">
        <v>0.82608695652173914</v>
      </c>
    </row>
    <row r="70" spans="1:17" x14ac:dyDescent="0.3">
      <c r="A70" t="s">
        <v>196</v>
      </c>
      <c r="B70" t="s">
        <v>197</v>
      </c>
      <c r="C70" s="35">
        <v>220</v>
      </c>
      <c r="D70" s="35">
        <v>209</v>
      </c>
      <c r="E70" s="35">
        <v>221</v>
      </c>
      <c r="F70" s="35">
        <v>177</v>
      </c>
      <c r="G70" s="220">
        <v>0.95992822966507174</v>
      </c>
      <c r="H70" s="220">
        <v>0.95992822966507174</v>
      </c>
      <c r="I70" s="220">
        <v>0.95992822966507174</v>
      </c>
      <c r="J70" s="220">
        <v>0.95992822966507174</v>
      </c>
      <c r="K70" s="165">
        <v>1551.13</v>
      </c>
      <c r="L70" s="34">
        <v>146</v>
      </c>
      <c r="M70" s="34">
        <v>30870.62099999997</v>
      </c>
      <c r="N70" s="34">
        <v>472.94157121102342</v>
      </c>
      <c r="O70" s="34">
        <v>190</v>
      </c>
      <c r="P70" s="34">
        <v>206</v>
      </c>
      <c r="Q70" s="36">
        <v>0.92233009708737868</v>
      </c>
    </row>
    <row r="71" spans="1:17" x14ac:dyDescent="0.3">
      <c r="A71" t="s">
        <v>198</v>
      </c>
      <c r="B71" t="s">
        <v>199</v>
      </c>
      <c r="C71" s="35">
        <v>229.7</v>
      </c>
      <c r="D71" s="35">
        <v>193.7</v>
      </c>
      <c r="E71" s="35">
        <v>230.47</v>
      </c>
      <c r="F71" s="35">
        <v>197.5</v>
      </c>
      <c r="G71" s="220">
        <v>0.87904178355234019</v>
      </c>
      <c r="H71" s="220">
        <v>0.88636194168965776</v>
      </c>
      <c r="I71" s="220">
        <v>0.89374052575146967</v>
      </c>
      <c r="J71" s="220">
        <v>0.9011172373766686</v>
      </c>
      <c r="K71" s="165">
        <v>1967</v>
      </c>
      <c r="L71" s="34">
        <v>1868</v>
      </c>
      <c r="M71" s="34">
        <v>268777.32899999933</v>
      </c>
      <c r="N71" s="34">
        <v>694.99909346893048</v>
      </c>
      <c r="O71" s="34">
        <v>1035</v>
      </c>
      <c r="P71" s="34">
        <v>1150</v>
      </c>
      <c r="Q71" s="36">
        <v>0.9</v>
      </c>
    </row>
    <row r="72" spans="1:17" x14ac:dyDescent="0.3">
      <c r="A72" t="s">
        <v>200</v>
      </c>
      <c r="B72" t="s">
        <v>201</v>
      </c>
      <c r="C72" s="35">
        <v>159.19999999999999</v>
      </c>
      <c r="D72" s="35">
        <v>139.9</v>
      </c>
      <c r="E72" s="35">
        <v>146.4</v>
      </c>
      <c r="F72" s="35">
        <v>159.19999999999999</v>
      </c>
      <c r="G72" s="220">
        <v>0.91719567492152076</v>
      </c>
      <c r="H72" s="220">
        <v>0.92173664667237931</v>
      </c>
      <c r="I72" s="220">
        <v>0.92634039237906363</v>
      </c>
      <c r="J72" s="220">
        <v>0.93099742046431644</v>
      </c>
      <c r="K72" s="165">
        <v>1128.0556979999999</v>
      </c>
      <c r="L72" s="34">
        <v>690</v>
      </c>
      <c r="M72" s="34">
        <v>128335.55899999999</v>
      </c>
      <c r="N72" s="34">
        <v>537.65301322293692</v>
      </c>
      <c r="O72" s="34">
        <v>640</v>
      </c>
      <c r="P72" s="34">
        <v>800</v>
      </c>
      <c r="Q72" s="36">
        <v>0.8</v>
      </c>
    </row>
    <row r="73" spans="1:17" x14ac:dyDescent="0.3">
      <c r="A73" t="s">
        <v>202</v>
      </c>
      <c r="B73" t="s">
        <v>203</v>
      </c>
      <c r="C73" s="35">
        <v>243.22544077801209</v>
      </c>
      <c r="D73" s="35">
        <v>241.19291620326544</v>
      </c>
      <c r="E73" s="35">
        <v>239.83789982010103</v>
      </c>
      <c r="F73" s="35">
        <v>236.1116047663989</v>
      </c>
      <c r="G73" s="220">
        <v>0.93622795115332424</v>
      </c>
      <c r="H73" s="220">
        <v>0.93062605752961081</v>
      </c>
      <c r="I73" s="220">
        <v>0.9349030470914127</v>
      </c>
      <c r="J73" s="220">
        <v>0.93006993006993011</v>
      </c>
      <c r="K73" s="165">
        <v>1765.2</v>
      </c>
      <c r="L73" s="34">
        <v>310</v>
      </c>
      <c r="M73" s="34">
        <v>46588.7</v>
      </c>
      <c r="N73" s="34">
        <v>665.39740323297281</v>
      </c>
      <c r="O73" s="34">
        <v>201</v>
      </c>
      <c r="P73" s="34">
        <v>215</v>
      </c>
      <c r="Q73" s="36">
        <v>0.93488372093023253</v>
      </c>
    </row>
    <row r="74" spans="1:17" x14ac:dyDescent="0.3">
      <c r="A74" t="s">
        <v>204</v>
      </c>
      <c r="B74" t="s">
        <v>205</v>
      </c>
      <c r="C74" s="35">
        <v>165.1</v>
      </c>
      <c r="D74" s="35">
        <v>163.5</v>
      </c>
      <c r="E74" s="35">
        <v>161.80000000000001</v>
      </c>
      <c r="F74" s="35">
        <v>160.19999999999999</v>
      </c>
      <c r="G74" s="220">
        <v>0.92730472451604173</v>
      </c>
      <c r="H74" s="220">
        <v>0.92561983471074383</v>
      </c>
      <c r="I74" s="220">
        <v>0.95075732738836793</v>
      </c>
      <c r="J74" s="220">
        <v>0.91666666666666663</v>
      </c>
      <c r="K74" s="165">
        <v>1628.1</v>
      </c>
      <c r="L74" s="34">
        <v>804</v>
      </c>
      <c r="M74" s="34">
        <v>156228.136</v>
      </c>
      <c r="N74" s="34">
        <v>514.63201225162152</v>
      </c>
      <c r="O74" s="34">
        <v>513</v>
      </c>
      <c r="P74" s="34">
        <v>570</v>
      </c>
      <c r="Q74" s="36">
        <v>0.9</v>
      </c>
    </row>
    <row r="75" spans="1:17" x14ac:dyDescent="0.3">
      <c r="A75" t="s">
        <v>206</v>
      </c>
      <c r="B75" t="s">
        <v>207</v>
      </c>
      <c r="C75" s="35">
        <v>178</v>
      </c>
      <c r="D75" s="35">
        <v>166</v>
      </c>
      <c r="E75" s="35">
        <v>201</v>
      </c>
      <c r="F75" s="35">
        <v>184</v>
      </c>
      <c r="G75" s="220">
        <v>0.94252669039145909</v>
      </c>
      <c r="H75" s="220">
        <v>0.94813614262560775</v>
      </c>
      <c r="I75" s="220">
        <v>0.94786729857819907</v>
      </c>
      <c r="J75" s="220">
        <v>0.94624860022396418</v>
      </c>
      <c r="K75" s="165">
        <v>2036.6</v>
      </c>
      <c r="L75" s="34">
        <v>123</v>
      </c>
      <c r="M75" s="34">
        <v>31657.846999999987</v>
      </c>
      <c r="N75" s="34">
        <v>388.52926416632204</v>
      </c>
      <c r="O75" s="34">
        <v>396</v>
      </c>
      <c r="P75" s="34">
        <v>447</v>
      </c>
      <c r="Q75" s="36">
        <v>0.88590604026845643</v>
      </c>
    </row>
    <row r="76" spans="1:17" x14ac:dyDescent="0.3">
      <c r="A76" t="s">
        <v>208</v>
      </c>
      <c r="B76" t="s">
        <v>209</v>
      </c>
      <c r="C76" s="35">
        <v>185.3</v>
      </c>
      <c r="D76" s="35">
        <v>171.8</v>
      </c>
      <c r="E76" s="35">
        <v>198</v>
      </c>
      <c r="F76" s="35">
        <v>195.3</v>
      </c>
      <c r="G76" s="220">
        <v>0.93897714064316151</v>
      </c>
      <c r="H76" s="220">
        <v>0.93897714064316151</v>
      </c>
      <c r="I76" s="220">
        <v>0.93897714064316151</v>
      </c>
      <c r="J76" s="220">
        <v>0.93897714064316151</v>
      </c>
      <c r="K76" s="165">
        <v>1717.2</v>
      </c>
      <c r="L76" s="34">
        <v>950</v>
      </c>
      <c r="M76" s="34">
        <v>192318.61</v>
      </c>
      <c r="N76" s="34">
        <v>493.97195622410129</v>
      </c>
      <c r="O76" s="34">
        <v>800</v>
      </c>
      <c r="P76" s="34">
        <v>1000</v>
      </c>
      <c r="Q76" s="36">
        <v>0.8</v>
      </c>
    </row>
    <row r="77" spans="1:17" x14ac:dyDescent="0.3">
      <c r="A77" t="s">
        <v>210</v>
      </c>
      <c r="B77" t="s">
        <v>211</v>
      </c>
      <c r="C77" s="35">
        <v>282.02</v>
      </c>
      <c r="D77" s="35">
        <v>259</v>
      </c>
      <c r="E77" s="35">
        <v>311.42</v>
      </c>
      <c r="F77" s="35">
        <v>293.3</v>
      </c>
      <c r="G77" s="220">
        <v>0.94092663475295291</v>
      </c>
      <c r="H77" s="220">
        <v>0.94509982459722186</v>
      </c>
      <c r="I77" s="220">
        <v>0.9422984930914774</v>
      </c>
      <c r="J77" s="220">
        <v>0.93823909155160357</v>
      </c>
      <c r="K77" s="165">
        <v>2427.6</v>
      </c>
      <c r="L77" s="34">
        <v>487</v>
      </c>
      <c r="M77" s="34">
        <v>78018.596000000005</v>
      </c>
      <c r="N77" s="34">
        <v>624.21015625556754</v>
      </c>
      <c r="O77" s="34">
        <v>450</v>
      </c>
      <c r="P77" s="34">
        <v>500</v>
      </c>
      <c r="Q77" s="36">
        <v>0.9</v>
      </c>
    </row>
    <row r="78" spans="1:17" x14ac:dyDescent="0.3">
      <c r="A78" t="s">
        <v>212</v>
      </c>
      <c r="B78" t="s">
        <v>213</v>
      </c>
      <c r="C78" s="35">
        <v>322.7</v>
      </c>
      <c r="D78" s="35">
        <v>316.60000000000002</v>
      </c>
      <c r="E78" s="35">
        <v>385.7</v>
      </c>
      <c r="F78" s="35">
        <v>430.1</v>
      </c>
      <c r="G78" s="220">
        <v>0.9568911917098446</v>
      </c>
      <c r="H78" s="220">
        <v>0.95765139116202946</v>
      </c>
      <c r="I78" s="220">
        <v>0.95928956296148471</v>
      </c>
      <c r="J78" s="220">
        <v>0.94514237855946404</v>
      </c>
      <c r="K78" s="165">
        <v>1900.61</v>
      </c>
      <c r="L78" s="34">
        <v>142</v>
      </c>
      <c r="M78" s="34">
        <v>28117.934999999987</v>
      </c>
      <c r="N78" s="34">
        <v>505.015748844999</v>
      </c>
      <c r="O78" s="34">
        <v>140</v>
      </c>
      <c r="P78" s="34">
        <v>172</v>
      </c>
      <c r="Q78" s="36">
        <v>0.81395348837209303</v>
      </c>
    </row>
    <row r="79" spans="1:17" x14ac:dyDescent="0.3">
      <c r="A79" t="s">
        <v>214</v>
      </c>
      <c r="B79" t="s">
        <v>215</v>
      </c>
      <c r="C79" s="35">
        <v>260</v>
      </c>
      <c r="D79" s="35">
        <v>260</v>
      </c>
      <c r="E79" s="35">
        <v>260</v>
      </c>
      <c r="F79" s="35">
        <v>260</v>
      </c>
      <c r="G79" s="220">
        <v>0.90769230769230769</v>
      </c>
      <c r="H79" s="220">
        <v>0.90769230769230769</v>
      </c>
      <c r="I79" s="220">
        <v>0.91538461538461535</v>
      </c>
      <c r="J79" s="220">
        <v>0.92307692307692313</v>
      </c>
      <c r="K79" s="165">
        <v>2422</v>
      </c>
      <c r="L79" s="34">
        <v>461</v>
      </c>
      <c r="M79" s="34">
        <v>54038.843999999997</v>
      </c>
      <c r="N79" s="34">
        <v>853.09004759613288</v>
      </c>
      <c r="O79" s="34">
        <v>800</v>
      </c>
      <c r="P79" s="34">
        <v>963</v>
      </c>
      <c r="Q79" s="36">
        <v>0.83073727933541019</v>
      </c>
    </row>
    <row r="80" spans="1:17" x14ac:dyDescent="0.3">
      <c r="A80" t="s">
        <v>216</v>
      </c>
      <c r="B80" t="s">
        <v>217</v>
      </c>
      <c r="C80" s="35">
        <v>290.60000000000002</v>
      </c>
      <c r="D80" s="35">
        <v>265.10000000000002</v>
      </c>
      <c r="E80" s="35">
        <v>296.60000000000002</v>
      </c>
      <c r="F80" s="35">
        <v>228.9</v>
      </c>
      <c r="G80" s="220">
        <v>0.96696490020646941</v>
      </c>
      <c r="H80" s="220">
        <v>0.9633190883190883</v>
      </c>
      <c r="I80" s="220">
        <v>0.95708639186900057</v>
      </c>
      <c r="J80" s="220">
        <v>0.9631799163179916</v>
      </c>
      <c r="K80" s="165">
        <v>1894</v>
      </c>
      <c r="L80" s="34">
        <v>290</v>
      </c>
      <c r="M80" s="34">
        <v>47026.785999999964</v>
      </c>
      <c r="N80" s="34">
        <v>616.66982727673587</v>
      </c>
      <c r="O80" s="34">
        <v>355</v>
      </c>
      <c r="P80" s="34">
        <v>420</v>
      </c>
      <c r="Q80" s="36">
        <v>0.84523809523809523</v>
      </c>
    </row>
    <row r="81" spans="1:17" x14ac:dyDescent="0.3">
      <c r="A81" t="s">
        <v>218</v>
      </c>
      <c r="B81" t="s">
        <v>219</v>
      </c>
      <c r="C81" s="35">
        <v>168</v>
      </c>
      <c r="D81" s="35">
        <v>158</v>
      </c>
      <c r="E81" s="35">
        <v>166</v>
      </c>
      <c r="F81" s="35">
        <v>166</v>
      </c>
      <c r="G81" s="220">
        <v>0.93314763231197773</v>
      </c>
      <c r="H81" s="220">
        <v>0.9382645803698435</v>
      </c>
      <c r="I81" s="220">
        <v>0.93688760806916427</v>
      </c>
      <c r="J81" s="220">
        <v>0.93666191155492151</v>
      </c>
      <c r="K81" s="165">
        <v>2000</v>
      </c>
      <c r="L81" s="34">
        <v>132</v>
      </c>
      <c r="M81" s="34">
        <v>28043.822999999964</v>
      </c>
      <c r="N81" s="34">
        <v>470.69188819227736</v>
      </c>
      <c r="O81" s="34">
        <v>107</v>
      </c>
      <c r="P81" s="34">
        <v>120</v>
      </c>
      <c r="Q81" s="36">
        <v>0.89166666666666672</v>
      </c>
    </row>
    <row r="82" spans="1:17" x14ac:dyDescent="0.3">
      <c r="A82" t="s">
        <v>220</v>
      </c>
      <c r="B82" t="s">
        <v>221</v>
      </c>
      <c r="C82" s="35">
        <v>330</v>
      </c>
      <c r="D82" s="35">
        <v>249</v>
      </c>
      <c r="E82" s="35">
        <v>302</v>
      </c>
      <c r="F82" s="35">
        <v>300</v>
      </c>
      <c r="G82" s="220">
        <v>0.92464589235127481</v>
      </c>
      <c r="H82" s="220">
        <v>0.9245714285714286</v>
      </c>
      <c r="I82" s="220">
        <v>0.92443919716646994</v>
      </c>
      <c r="J82" s="220">
        <v>0.92461860604247681</v>
      </c>
      <c r="K82" s="165">
        <v>2060.3745458208691</v>
      </c>
      <c r="L82" s="34">
        <v>205</v>
      </c>
      <c r="M82" s="34">
        <v>24628.545999999966</v>
      </c>
      <c r="N82" s="34">
        <v>832.36744873205373</v>
      </c>
      <c r="O82" s="34">
        <v>47</v>
      </c>
      <c r="P82" s="34">
        <v>50</v>
      </c>
      <c r="Q82" s="36">
        <v>0.94</v>
      </c>
    </row>
    <row r="83" spans="1:17" x14ac:dyDescent="0.3">
      <c r="A83" t="s">
        <v>222</v>
      </c>
      <c r="B83" t="s">
        <v>223</v>
      </c>
      <c r="C83" s="35">
        <v>117</v>
      </c>
      <c r="D83" s="35">
        <v>81</v>
      </c>
      <c r="E83" s="35">
        <v>153</v>
      </c>
      <c r="F83" s="35">
        <v>112</v>
      </c>
      <c r="G83" s="220">
        <v>0.95003980891719741</v>
      </c>
      <c r="H83" s="220">
        <v>0.9499406410763751</v>
      </c>
      <c r="I83" s="220">
        <v>0.95008912655971478</v>
      </c>
      <c r="J83" s="220">
        <v>0.95</v>
      </c>
      <c r="K83" s="165">
        <v>2112.6</v>
      </c>
      <c r="L83" s="34">
        <v>205</v>
      </c>
      <c r="M83" s="34">
        <v>42582.987999999998</v>
      </c>
      <c r="N83" s="34">
        <v>481.41290601777405</v>
      </c>
      <c r="O83" s="34">
        <v>166</v>
      </c>
      <c r="P83" s="34">
        <v>202</v>
      </c>
      <c r="Q83" s="36">
        <v>0.82178217821782173</v>
      </c>
    </row>
    <row r="84" spans="1:17" x14ac:dyDescent="0.3">
      <c r="A84" t="s">
        <v>224</v>
      </c>
      <c r="B84" t="s">
        <v>225</v>
      </c>
      <c r="C84" s="35">
        <v>256.94714059361303</v>
      </c>
      <c r="D84" s="35">
        <v>267.66816175885401</v>
      </c>
      <c r="E84" s="35">
        <v>274.81550920234798</v>
      </c>
      <c r="F84" s="35">
        <v>274.8</v>
      </c>
      <c r="G84" s="220">
        <v>0.95023622047244094</v>
      </c>
      <c r="H84" s="220">
        <v>0.94965167827739072</v>
      </c>
      <c r="I84" s="220">
        <v>0.943069682708365</v>
      </c>
      <c r="J84" s="220">
        <v>0.95233431276526281</v>
      </c>
      <c r="K84" s="165">
        <v>2480.0597389857107</v>
      </c>
      <c r="L84" s="34">
        <v>320</v>
      </c>
      <c r="M84" s="34">
        <v>46437.463999999971</v>
      </c>
      <c r="N84" s="34">
        <v>689.09878455033675</v>
      </c>
      <c r="O84" s="34">
        <v>125</v>
      </c>
      <c r="P84" s="34">
        <v>145</v>
      </c>
      <c r="Q84" s="36">
        <v>0.86206896551724133</v>
      </c>
    </row>
    <row r="85" spans="1:17" x14ac:dyDescent="0.3">
      <c r="A85" t="s">
        <v>226</v>
      </c>
      <c r="B85" t="s">
        <v>227</v>
      </c>
      <c r="C85" s="35">
        <v>112</v>
      </c>
      <c r="D85" s="35">
        <v>99</v>
      </c>
      <c r="E85" s="35">
        <v>109</v>
      </c>
      <c r="F85" s="35">
        <v>84</v>
      </c>
      <c r="G85" s="220">
        <v>0.96880917115621468</v>
      </c>
      <c r="H85" s="220">
        <v>0.97348177968579053</v>
      </c>
      <c r="I85" s="220">
        <v>0.96875805976860752</v>
      </c>
      <c r="J85" s="220">
        <v>0.97035319291903288</v>
      </c>
      <c r="K85" s="165">
        <v>997.2749885569782</v>
      </c>
      <c r="L85" s="34">
        <v>105</v>
      </c>
      <c r="M85" s="34">
        <v>31628.635999999966</v>
      </c>
      <c r="N85" s="34">
        <v>331.97764203299857</v>
      </c>
      <c r="O85" s="34">
        <v>29</v>
      </c>
      <c r="P85" s="34">
        <v>35</v>
      </c>
      <c r="Q85" s="36">
        <v>0.82857142857142863</v>
      </c>
    </row>
    <row r="86" spans="1:17" x14ac:dyDescent="0.3">
      <c r="A86" t="s">
        <v>228</v>
      </c>
      <c r="B86" t="s">
        <v>229</v>
      </c>
      <c r="C86" s="35">
        <v>185.7</v>
      </c>
      <c r="D86" s="35">
        <v>167.8</v>
      </c>
      <c r="E86" s="35">
        <v>184.1</v>
      </c>
      <c r="F86" s="35">
        <v>192.8</v>
      </c>
      <c r="G86" s="220">
        <v>0.92029134181370542</v>
      </c>
      <c r="H86" s="220">
        <v>0.93327364651358757</v>
      </c>
      <c r="I86" s="220">
        <v>0.93004931116872558</v>
      </c>
      <c r="J86" s="220">
        <v>0.92712246431254697</v>
      </c>
      <c r="K86" s="165">
        <v>1441.8</v>
      </c>
      <c r="L86" s="34">
        <v>1053</v>
      </c>
      <c r="M86" s="34">
        <v>236901.48399999991</v>
      </c>
      <c r="N86" s="34">
        <v>444.48856217380228</v>
      </c>
      <c r="O86" s="34">
        <v>510</v>
      </c>
      <c r="P86" s="34">
        <v>600</v>
      </c>
      <c r="Q86" s="36">
        <v>0.85</v>
      </c>
    </row>
    <row r="87" spans="1:17" x14ac:dyDescent="0.3">
      <c r="A87" t="s">
        <v>230</v>
      </c>
      <c r="B87" t="s">
        <v>231</v>
      </c>
      <c r="C87" s="35">
        <v>247</v>
      </c>
      <c r="D87" s="35">
        <v>247</v>
      </c>
      <c r="E87" s="35">
        <v>247</v>
      </c>
      <c r="F87" s="35">
        <v>246.46</v>
      </c>
      <c r="G87" s="220">
        <v>0.93963907902924704</v>
      </c>
      <c r="H87" s="220">
        <v>0.93963907902924704</v>
      </c>
      <c r="I87" s="220">
        <v>0.93963907902924704</v>
      </c>
      <c r="J87" s="220">
        <v>0.93963907902924704</v>
      </c>
      <c r="K87" s="165">
        <v>1458.8377723970943</v>
      </c>
      <c r="L87" s="34">
        <v>248</v>
      </c>
      <c r="M87" s="34">
        <v>34917.821999999971</v>
      </c>
      <c r="N87" s="34">
        <v>710.23902922696664</v>
      </c>
      <c r="O87" s="34">
        <v>119</v>
      </c>
      <c r="P87" s="34">
        <v>140</v>
      </c>
      <c r="Q87" s="36">
        <v>0.85</v>
      </c>
    </row>
    <row r="88" spans="1:17" x14ac:dyDescent="0.3">
      <c r="A88" t="s">
        <v>232</v>
      </c>
      <c r="B88" t="s">
        <v>233</v>
      </c>
      <c r="C88" s="35">
        <v>265.20999999999998</v>
      </c>
      <c r="D88" s="35">
        <v>270.08999999999997</v>
      </c>
      <c r="E88" s="35">
        <v>241.32</v>
      </c>
      <c r="F88" s="35">
        <v>254.97</v>
      </c>
      <c r="G88" s="220">
        <v>0.93990634755463054</v>
      </c>
      <c r="H88" s="220">
        <v>0.9449829709195704</v>
      </c>
      <c r="I88" s="220">
        <v>0.9490899498812978</v>
      </c>
      <c r="J88" s="220">
        <v>0.95402604305075733</v>
      </c>
      <c r="K88" s="165">
        <v>1514.9</v>
      </c>
      <c r="L88" s="34">
        <v>220</v>
      </c>
      <c r="M88" s="34">
        <v>39355.487999999983</v>
      </c>
      <c r="N88" s="34">
        <v>559.0071707407111</v>
      </c>
      <c r="O88" s="34">
        <v>242</v>
      </c>
      <c r="P88" s="34">
        <v>255</v>
      </c>
      <c r="Q88" s="36">
        <v>0.94901960784313721</v>
      </c>
    </row>
    <row r="89" spans="1:17" x14ac:dyDescent="0.3">
      <c r="A89" t="s">
        <v>234</v>
      </c>
      <c r="B89" t="s">
        <v>235</v>
      </c>
      <c r="C89" s="35">
        <v>250</v>
      </c>
      <c r="D89" s="35">
        <v>250</v>
      </c>
      <c r="E89" s="35">
        <v>250</v>
      </c>
      <c r="F89" s="35">
        <v>250</v>
      </c>
      <c r="G89" s="220">
        <v>0.93995801259622114</v>
      </c>
      <c r="H89" s="220">
        <v>0.9399697094864381</v>
      </c>
      <c r="I89" s="220">
        <v>0.9400652351182387</v>
      </c>
      <c r="J89" s="220">
        <v>0.94</v>
      </c>
      <c r="K89" s="165">
        <v>1236</v>
      </c>
      <c r="L89" s="34">
        <v>396</v>
      </c>
      <c r="M89" s="34">
        <v>70218.950998675966</v>
      </c>
      <c r="N89" s="34">
        <v>563.95032162680252</v>
      </c>
      <c r="O89" s="34">
        <v>146</v>
      </c>
      <c r="P89" s="34">
        <v>167</v>
      </c>
      <c r="Q89" s="36">
        <v>0.87425149700598803</v>
      </c>
    </row>
    <row r="90" spans="1:17" x14ac:dyDescent="0.3">
      <c r="A90" t="s">
        <v>236</v>
      </c>
      <c r="B90" t="s">
        <v>237</v>
      </c>
      <c r="C90" s="35">
        <v>134.31</v>
      </c>
      <c r="D90" s="35">
        <v>137.51</v>
      </c>
      <c r="E90" s="35">
        <v>154.57</v>
      </c>
      <c r="F90" s="35">
        <v>146.75</v>
      </c>
      <c r="G90" s="220">
        <v>0.94770283479960904</v>
      </c>
      <c r="H90" s="220">
        <v>0.94951923076923073</v>
      </c>
      <c r="I90" s="220">
        <v>0.94940476190476186</v>
      </c>
      <c r="J90" s="220">
        <v>0.94819184406258017</v>
      </c>
      <c r="K90" s="165">
        <v>1380.5</v>
      </c>
      <c r="L90" s="34">
        <v>310</v>
      </c>
      <c r="M90" s="34">
        <v>54266.000999999975</v>
      </c>
      <c r="N90" s="34">
        <v>571.26007866325017</v>
      </c>
      <c r="O90" s="34">
        <v>48</v>
      </c>
      <c r="P90" s="34">
        <v>60</v>
      </c>
      <c r="Q90" s="36">
        <v>0.8</v>
      </c>
    </row>
    <row r="91" spans="1:17" x14ac:dyDescent="0.3">
      <c r="A91" t="s">
        <v>238</v>
      </c>
      <c r="B91" t="s">
        <v>239</v>
      </c>
      <c r="C91" s="35">
        <v>282</v>
      </c>
      <c r="D91" s="35">
        <v>246</v>
      </c>
      <c r="E91" s="35">
        <v>303</v>
      </c>
      <c r="F91" s="35">
        <v>284</v>
      </c>
      <c r="G91" s="220">
        <v>0.9</v>
      </c>
      <c r="H91" s="220">
        <v>0.9</v>
      </c>
      <c r="I91" s="220">
        <v>0.9</v>
      </c>
      <c r="J91" s="220">
        <v>0.9</v>
      </c>
      <c r="K91" s="165">
        <v>3171</v>
      </c>
      <c r="L91" s="34">
        <v>345</v>
      </c>
      <c r="M91" s="34">
        <v>45234.822</v>
      </c>
      <c r="N91" s="34">
        <v>762.68676375028076</v>
      </c>
      <c r="O91" s="34">
        <v>170</v>
      </c>
      <c r="P91" s="34">
        <v>200</v>
      </c>
      <c r="Q91" s="36">
        <v>0.85</v>
      </c>
    </row>
    <row r="92" spans="1:17" x14ac:dyDescent="0.3">
      <c r="A92" t="s">
        <v>240</v>
      </c>
      <c r="B92" t="s">
        <v>241</v>
      </c>
      <c r="C92" s="35">
        <v>137.6</v>
      </c>
      <c r="D92" s="35">
        <v>136.4</v>
      </c>
      <c r="E92" s="35">
        <v>135.19999999999999</v>
      </c>
      <c r="F92" s="35">
        <v>133.94999999999999</v>
      </c>
      <c r="G92" s="220">
        <v>0.91997348233734255</v>
      </c>
      <c r="H92" s="220">
        <v>0.91996574038827561</v>
      </c>
      <c r="I92" s="220">
        <v>0.91996557659208267</v>
      </c>
      <c r="J92" s="220">
        <v>0.91995772076486981</v>
      </c>
      <c r="K92" s="165">
        <v>1616.4</v>
      </c>
      <c r="L92" s="34">
        <v>1012</v>
      </c>
      <c r="M92" s="34">
        <v>164039.63999999996</v>
      </c>
      <c r="N92" s="34">
        <v>616.92405567337278</v>
      </c>
      <c r="O92" s="34">
        <v>1015</v>
      </c>
      <c r="P92" s="34">
        <v>1300</v>
      </c>
      <c r="Q92" s="36">
        <v>0.78076923076923077</v>
      </c>
    </row>
    <row r="93" spans="1:17" x14ac:dyDescent="0.3">
      <c r="A93" t="s">
        <v>242</v>
      </c>
      <c r="B93" t="s">
        <v>243</v>
      </c>
      <c r="C93" s="35">
        <v>240</v>
      </c>
      <c r="D93" s="35">
        <v>238</v>
      </c>
      <c r="E93" s="35">
        <v>283</v>
      </c>
      <c r="F93" s="35">
        <v>249</v>
      </c>
      <c r="G93" s="220">
        <v>0.86902545003103659</v>
      </c>
      <c r="H93" s="220">
        <v>0.86574952561669827</v>
      </c>
      <c r="I93" s="220">
        <v>0.86951307267929956</v>
      </c>
      <c r="J93" s="220">
        <v>0.90325958895143343</v>
      </c>
      <c r="K93" s="165">
        <v>2763.1</v>
      </c>
      <c r="L93" s="34">
        <v>554</v>
      </c>
      <c r="M93" s="34">
        <v>86583.455999999976</v>
      </c>
      <c r="N93" s="34">
        <v>639.84509927624072</v>
      </c>
      <c r="O93" s="34">
        <v>340</v>
      </c>
      <c r="P93" s="34">
        <v>400</v>
      </c>
      <c r="Q93" s="36">
        <v>0.85</v>
      </c>
    </row>
    <row r="94" spans="1:17" x14ac:dyDescent="0.3">
      <c r="A94" t="s">
        <v>244</v>
      </c>
      <c r="B94" t="s">
        <v>245</v>
      </c>
      <c r="C94" s="35">
        <v>272.10000000000002</v>
      </c>
      <c r="D94" s="35">
        <v>267.2</v>
      </c>
      <c r="E94" s="35">
        <v>269.8</v>
      </c>
      <c r="F94" s="35">
        <v>269.7</v>
      </c>
      <c r="G94" s="220">
        <v>0.93808495320374374</v>
      </c>
      <c r="H94" s="220">
        <v>0.9430352224960139</v>
      </c>
      <c r="I94" s="220">
        <v>0.94040940106141013</v>
      </c>
      <c r="J94" s="220">
        <v>0.95315342631898126</v>
      </c>
      <c r="K94" s="165">
        <v>1902.4</v>
      </c>
      <c r="L94" s="34">
        <v>688</v>
      </c>
      <c r="M94" s="34">
        <v>41025.122999999978</v>
      </c>
      <c r="N94" s="34">
        <v>1677.0211755367568</v>
      </c>
      <c r="O94" s="34">
        <v>208</v>
      </c>
      <c r="P94" s="34">
        <v>259</v>
      </c>
      <c r="Q94" s="36">
        <v>0.80308880308880304</v>
      </c>
    </row>
    <row r="95" spans="1:17" x14ac:dyDescent="0.3">
      <c r="A95" t="s">
        <v>246</v>
      </c>
      <c r="B95" t="s">
        <v>247</v>
      </c>
      <c r="C95" s="35">
        <v>201.3</v>
      </c>
      <c r="D95" s="35">
        <v>181.7</v>
      </c>
      <c r="E95" s="35">
        <v>194.7</v>
      </c>
      <c r="F95" s="35">
        <v>192.6</v>
      </c>
      <c r="G95" s="220">
        <v>0.91999573878768515</v>
      </c>
      <c r="H95" s="220">
        <v>0.925035360678925</v>
      </c>
      <c r="I95" s="220">
        <v>0.92995570321151722</v>
      </c>
      <c r="J95" s="220">
        <v>0.93996035117530441</v>
      </c>
      <c r="K95" s="165">
        <v>1887</v>
      </c>
      <c r="L95" s="34">
        <v>985</v>
      </c>
      <c r="M95" s="34">
        <v>184985.44899999988</v>
      </c>
      <c r="N95" s="34">
        <v>532.47431369588458</v>
      </c>
      <c r="O95" s="34">
        <v>714</v>
      </c>
      <c r="P95" s="34">
        <v>840</v>
      </c>
      <c r="Q95" s="36">
        <v>0.85</v>
      </c>
    </row>
    <row r="96" spans="1:17" x14ac:dyDescent="0.3">
      <c r="A96" t="s">
        <v>248</v>
      </c>
      <c r="B96" t="s">
        <v>249</v>
      </c>
      <c r="C96" s="35">
        <v>286.70999999999998</v>
      </c>
      <c r="D96" s="35">
        <v>243.34</v>
      </c>
      <c r="E96" s="35">
        <v>282.92</v>
      </c>
      <c r="F96" s="35">
        <v>289.23</v>
      </c>
      <c r="G96" s="220">
        <v>0.92087542087542085</v>
      </c>
      <c r="H96" s="220">
        <v>0.92560175054704596</v>
      </c>
      <c r="I96" s="220">
        <v>0.91442953020134232</v>
      </c>
      <c r="J96" s="220">
        <v>0.90032858707557506</v>
      </c>
      <c r="K96" s="165">
        <v>1801</v>
      </c>
      <c r="L96" s="34">
        <v>275</v>
      </c>
      <c r="M96" s="34">
        <v>40150.545999999958</v>
      </c>
      <c r="N96" s="34">
        <v>684.92219258985995</v>
      </c>
      <c r="O96" s="34">
        <v>89</v>
      </c>
      <c r="P96" s="34">
        <v>98</v>
      </c>
      <c r="Q96" s="36">
        <v>0.90816326530612246</v>
      </c>
    </row>
    <row r="97" spans="1:17" x14ac:dyDescent="0.3">
      <c r="A97" t="s">
        <v>250</v>
      </c>
      <c r="B97" t="s">
        <v>251</v>
      </c>
      <c r="C97" s="35">
        <v>172</v>
      </c>
      <c r="D97" s="35">
        <v>140</v>
      </c>
      <c r="E97" s="35">
        <v>176</v>
      </c>
      <c r="F97" s="35">
        <v>176</v>
      </c>
      <c r="G97" s="220">
        <v>0.91</v>
      </c>
      <c r="H97" s="220">
        <v>0.92</v>
      </c>
      <c r="I97" s="220">
        <v>0.92500000000000004</v>
      </c>
      <c r="J97" s="220">
        <v>0.93</v>
      </c>
      <c r="K97" s="165">
        <v>1802</v>
      </c>
      <c r="L97" s="34">
        <v>450</v>
      </c>
      <c r="M97" s="34">
        <v>138107.52099999995</v>
      </c>
      <c r="N97" s="34">
        <v>325.83308768535505</v>
      </c>
      <c r="O97" s="34">
        <v>264</v>
      </c>
      <c r="P97" s="34">
        <v>300</v>
      </c>
      <c r="Q97" s="36">
        <v>0.88</v>
      </c>
    </row>
    <row r="98" spans="1:17" x14ac:dyDescent="0.3">
      <c r="A98" t="s">
        <v>252</v>
      </c>
      <c r="B98" t="s">
        <v>253</v>
      </c>
      <c r="C98" s="35">
        <v>185.1</v>
      </c>
      <c r="D98" s="35">
        <v>161.69999999999999</v>
      </c>
      <c r="E98" s="35">
        <v>195.3</v>
      </c>
      <c r="F98" s="35">
        <v>171.3</v>
      </c>
      <c r="G98" s="220">
        <v>0.92288049029622066</v>
      </c>
      <c r="H98" s="220">
        <v>0.92687950566426369</v>
      </c>
      <c r="I98" s="220">
        <v>0.92577212561640276</v>
      </c>
      <c r="J98" s="220">
        <v>0.92174823344674173</v>
      </c>
      <c r="K98" s="165">
        <v>1559</v>
      </c>
      <c r="L98" s="34">
        <v>205</v>
      </c>
      <c r="M98" s="34">
        <v>32544.098999999969</v>
      </c>
      <c r="N98" s="34">
        <v>629.91450462340413</v>
      </c>
      <c r="O98" s="34">
        <v>81</v>
      </c>
      <c r="P98" s="34">
        <v>100</v>
      </c>
      <c r="Q98" s="36">
        <v>0.81</v>
      </c>
    </row>
    <row r="99" spans="1:17" x14ac:dyDescent="0.3">
      <c r="A99" t="s">
        <v>254</v>
      </c>
      <c r="B99" t="s">
        <v>255</v>
      </c>
      <c r="C99" s="35">
        <v>184.630294859099</v>
      </c>
      <c r="D99" s="35">
        <v>166.79668683293599</v>
      </c>
      <c r="E99" s="35">
        <v>192.672902400309</v>
      </c>
      <c r="F99" s="35">
        <v>169</v>
      </c>
      <c r="G99" s="220">
        <v>0.90992894180910311</v>
      </c>
      <c r="H99" s="220">
        <v>0.91639687678537418</v>
      </c>
      <c r="I99" s="220">
        <v>0.90640487990850171</v>
      </c>
      <c r="J99" s="220">
        <v>0.92103205629397966</v>
      </c>
      <c r="K99" s="165">
        <v>1514.5</v>
      </c>
      <c r="L99" s="34">
        <v>304</v>
      </c>
      <c r="M99" s="34">
        <v>51517.35399999997</v>
      </c>
      <c r="N99" s="34">
        <v>590.0924181781545</v>
      </c>
      <c r="O99" s="34">
        <v>160</v>
      </c>
      <c r="P99" s="34">
        <v>200</v>
      </c>
      <c r="Q99" s="36">
        <v>0.8</v>
      </c>
    </row>
    <row r="100" spans="1:17" x14ac:dyDescent="0.3">
      <c r="A100" t="s">
        <v>256</v>
      </c>
      <c r="B100" t="s">
        <v>257</v>
      </c>
      <c r="C100" s="35">
        <v>225</v>
      </c>
      <c r="D100" s="35">
        <v>204</v>
      </c>
      <c r="E100" s="35">
        <v>245</v>
      </c>
      <c r="F100" s="35">
        <v>245</v>
      </c>
      <c r="G100" s="220">
        <v>0.9501306103063405</v>
      </c>
      <c r="H100" s="220">
        <v>0.9501306103063405</v>
      </c>
      <c r="I100" s="220">
        <v>0.9501306103063405</v>
      </c>
      <c r="J100" s="220">
        <v>0.9501306103063405</v>
      </c>
      <c r="K100" s="165">
        <v>1553.6812733844886</v>
      </c>
      <c r="L100" s="34">
        <v>187</v>
      </c>
      <c r="M100" s="34">
        <v>32210.487999999968</v>
      </c>
      <c r="N100" s="34">
        <v>580.55624615187503</v>
      </c>
      <c r="O100" s="34">
        <v>135</v>
      </c>
      <c r="P100" s="34">
        <v>150</v>
      </c>
      <c r="Q100" s="36">
        <v>0.9</v>
      </c>
    </row>
    <row r="101" spans="1:17" x14ac:dyDescent="0.3">
      <c r="A101" t="s">
        <v>258</v>
      </c>
      <c r="B101" t="s">
        <v>259</v>
      </c>
      <c r="C101" s="35">
        <v>197</v>
      </c>
      <c r="D101" s="35">
        <v>174</v>
      </c>
      <c r="E101" s="35">
        <v>198</v>
      </c>
      <c r="F101" s="35">
        <v>198</v>
      </c>
      <c r="G101" s="220">
        <v>0.92586206896551726</v>
      </c>
      <c r="H101" s="220">
        <v>0.92126537785588747</v>
      </c>
      <c r="I101" s="220">
        <v>0.9222454672245467</v>
      </c>
      <c r="J101" s="220">
        <v>0.92010405053883315</v>
      </c>
      <c r="K101" s="165">
        <v>2272</v>
      </c>
      <c r="L101" s="34">
        <v>94</v>
      </c>
      <c r="M101" s="34">
        <v>21719.458999999999</v>
      </c>
      <c r="N101" s="34">
        <v>432.79162708426577</v>
      </c>
      <c r="O101" s="34">
        <v>397</v>
      </c>
      <c r="P101" s="34">
        <v>481</v>
      </c>
      <c r="Q101" s="36">
        <v>0.82536382536382535</v>
      </c>
    </row>
    <row r="102" spans="1:17" x14ac:dyDescent="0.3">
      <c r="A102" t="s">
        <v>260</v>
      </c>
      <c r="B102" t="s">
        <v>261</v>
      </c>
      <c r="C102" s="35">
        <v>180</v>
      </c>
      <c r="D102" s="35">
        <v>143</v>
      </c>
      <c r="E102" s="35">
        <v>165</v>
      </c>
      <c r="F102" s="35">
        <v>157</v>
      </c>
      <c r="G102" s="220">
        <v>0.93973231223623765</v>
      </c>
      <c r="H102" s="220">
        <v>0.94097133744284533</v>
      </c>
      <c r="I102" s="220">
        <v>0.94000895993963851</v>
      </c>
      <c r="J102" s="220">
        <v>0.9402398340307182</v>
      </c>
      <c r="K102" s="165">
        <v>1406.2</v>
      </c>
      <c r="L102" s="34">
        <v>192</v>
      </c>
      <c r="M102" s="34">
        <v>41883.267999999982</v>
      </c>
      <c r="N102" s="34">
        <v>458.41695065437608</v>
      </c>
      <c r="O102" s="34">
        <v>184</v>
      </c>
      <c r="P102" s="34">
        <v>204</v>
      </c>
      <c r="Q102" s="36">
        <v>0.90196078431372551</v>
      </c>
    </row>
    <row r="103" spans="1:17" x14ac:dyDescent="0.3">
      <c r="A103" t="s">
        <v>262</v>
      </c>
      <c r="B103" t="s">
        <v>263</v>
      </c>
      <c r="C103" s="35">
        <v>200</v>
      </c>
      <c r="D103" s="35">
        <v>211.8</v>
      </c>
      <c r="E103" s="35">
        <v>243</v>
      </c>
      <c r="F103" s="35">
        <v>276.10000000000002</v>
      </c>
      <c r="G103" s="220">
        <v>0.9244526672833796</v>
      </c>
      <c r="H103" s="220">
        <v>0.92421497584541068</v>
      </c>
      <c r="I103" s="220">
        <v>0.9245734809937145</v>
      </c>
      <c r="J103" s="220">
        <v>0.92473781616286244</v>
      </c>
      <c r="K103" s="165">
        <v>1414.1706348780551</v>
      </c>
      <c r="L103" s="34">
        <v>236</v>
      </c>
      <c r="M103" s="34">
        <v>33069.450999999957</v>
      </c>
      <c r="N103" s="34">
        <v>713.64958553439635</v>
      </c>
      <c r="O103" s="34">
        <v>81</v>
      </c>
      <c r="P103" s="34">
        <v>99</v>
      </c>
      <c r="Q103" s="36">
        <v>0.81818181818181823</v>
      </c>
    </row>
    <row r="104" spans="1:17" x14ac:dyDescent="0.3">
      <c r="A104" t="s">
        <v>264</v>
      </c>
      <c r="B104" t="s">
        <v>265</v>
      </c>
      <c r="C104" s="35">
        <v>104.291</v>
      </c>
      <c r="D104" s="35">
        <v>98.376000000000005</v>
      </c>
      <c r="E104" s="35">
        <v>92.462000000000003</v>
      </c>
      <c r="F104" s="35">
        <v>86.546999999999997</v>
      </c>
      <c r="G104" s="220">
        <v>0.92003822873526597</v>
      </c>
      <c r="H104" s="220">
        <v>0.92008774678784078</v>
      </c>
      <c r="I104" s="220">
        <v>0.92001264622194123</v>
      </c>
      <c r="J104" s="220">
        <v>0.92014856081708452</v>
      </c>
      <c r="K104" s="165">
        <v>2320.5661695471258</v>
      </c>
      <c r="L104" s="34">
        <v>140</v>
      </c>
      <c r="M104" s="34">
        <v>34051.25299999999</v>
      </c>
      <c r="N104" s="34">
        <v>411.14492908675061</v>
      </c>
      <c r="O104" s="34">
        <v>180</v>
      </c>
      <c r="P104" s="34">
        <v>190</v>
      </c>
      <c r="Q104" s="36">
        <v>0.94736842105263153</v>
      </c>
    </row>
    <row r="105" spans="1:17" x14ac:dyDescent="0.3">
      <c r="A105" t="s">
        <v>266</v>
      </c>
      <c r="B105" t="s">
        <v>267</v>
      </c>
      <c r="C105" s="35">
        <v>337.4</v>
      </c>
      <c r="D105" s="35">
        <v>346.3</v>
      </c>
      <c r="E105" s="35">
        <v>343.9</v>
      </c>
      <c r="F105" s="35">
        <v>368.2</v>
      </c>
      <c r="G105" s="220">
        <v>0.88899485910427023</v>
      </c>
      <c r="H105" s="220">
        <v>0.91157603101562434</v>
      </c>
      <c r="I105" s="220">
        <v>0.87748459278195168</v>
      </c>
      <c r="J105" s="220">
        <v>0.89966218170761569</v>
      </c>
      <c r="K105" s="165">
        <v>2069.5</v>
      </c>
      <c r="L105" s="34">
        <v>245</v>
      </c>
      <c r="M105" s="34">
        <v>38771.024999999987</v>
      </c>
      <c r="N105" s="34">
        <v>631.91519955946501</v>
      </c>
      <c r="O105" s="34">
        <v>173</v>
      </c>
      <c r="P105" s="34">
        <v>201</v>
      </c>
      <c r="Q105" s="36">
        <v>0.86069651741293529</v>
      </c>
    </row>
    <row r="106" spans="1:17" x14ac:dyDescent="0.3">
      <c r="A106" t="s">
        <v>268</v>
      </c>
      <c r="B106" t="s">
        <v>269</v>
      </c>
      <c r="C106" s="35">
        <v>255.8</v>
      </c>
      <c r="D106" s="35">
        <v>255.8</v>
      </c>
      <c r="E106" s="35">
        <v>250.9</v>
      </c>
      <c r="F106" s="35">
        <v>242</v>
      </c>
      <c r="G106" s="220">
        <v>0.93500000000000005</v>
      </c>
      <c r="H106" s="220">
        <v>0.94000000000000006</v>
      </c>
      <c r="I106" s="220">
        <v>0.93500000000000005</v>
      </c>
      <c r="J106" s="220">
        <v>0.93999999999999984</v>
      </c>
      <c r="K106" s="165">
        <v>1770.4271631982476</v>
      </c>
      <c r="L106" s="34">
        <v>317</v>
      </c>
      <c r="M106" s="34">
        <v>55447.760999999955</v>
      </c>
      <c r="N106" s="34">
        <v>571.70928867623752</v>
      </c>
      <c r="O106" s="34">
        <v>159</v>
      </c>
      <c r="P106" s="34">
        <v>211</v>
      </c>
      <c r="Q106" s="36">
        <v>0.75355450236966826</v>
      </c>
    </row>
    <row r="107" spans="1:17" x14ac:dyDescent="0.3">
      <c r="A107" t="s">
        <v>270</v>
      </c>
      <c r="B107" t="s">
        <v>271</v>
      </c>
      <c r="C107" s="35">
        <v>105</v>
      </c>
      <c r="D107" s="35">
        <v>117</v>
      </c>
      <c r="E107" s="35">
        <v>112</v>
      </c>
      <c r="F107" s="35">
        <v>103</v>
      </c>
      <c r="G107" s="220">
        <v>0.9065550906555091</v>
      </c>
      <c r="H107" s="220">
        <v>0.90909090909090906</v>
      </c>
      <c r="I107" s="220">
        <v>0.91176470588235292</v>
      </c>
      <c r="J107" s="220">
        <v>0.91176470588235292</v>
      </c>
      <c r="K107" s="165">
        <v>1155.4000000000001</v>
      </c>
      <c r="L107" s="34">
        <v>21</v>
      </c>
      <c r="M107" s="34">
        <v>10868.920999999995</v>
      </c>
      <c r="N107" s="34">
        <v>193.21145125629315</v>
      </c>
      <c r="O107" s="34">
        <v>44</v>
      </c>
      <c r="P107" s="34">
        <v>46</v>
      </c>
      <c r="Q107" s="36">
        <v>0.95652173913043481</v>
      </c>
    </row>
    <row r="108" spans="1:17" x14ac:dyDescent="0.3">
      <c r="A108" t="s">
        <v>272</v>
      </c>
      <c r="B108" t="s">
        <v>273</v>
      </c>
      <c r="C108" s="35">
        <v>259.91764552776158</v>
      </c>
      <c r="D108" s="35">
        <v>255.69813611579295</v>
      </c>
      <c r="E108" s="35">
        <v>251.47862670382435</v>
      </c>
      <c r="F108" s="35">
        <v>247.25911729185577</v>
      </c>
      <c r="G108" s="220">
        <v>0.95003469812630115</v>
      </c>
      <c r="H108" s="220">
        <v>0.95006132819344669</v>
      </c>
      <c r="I108" s="220">
        <v>0.95008849557522124</v>
      </c>
      <c r="J108" s="220">
        <v>0.94992846924177399</v>
      </c>
      <c r="K108" s="165">
        <v>2696</v>
      </c>
      <c r="L108" s="34">
        <v>274</v>
      </c>
      <c r="M108" s="34">
        <v>38120.392999999975</v>
      </c>
      <c r="N108" s="34">
        <v>718.77538093586861</v>
      </c>
      <c r="O108" s="34">
        <v>150</v>
      </c>
      <c r="P108" s="34">
        <v>211</v>
      </c>
      <c r="Q108" s="36">
        <v>0.7109004739336493</v>
      </c>
    </row>
    <row r="109" spans="1:17" x14ac:dyDescent="0.3">
      <c r="A109" t="s">
        <v>274</v>
      </c>
      <c r="B109" t="s">
        <v>275</v>
      </c>
      <c r="C109" s="35">
        <v>304.60000000000002</v>
      </c>
      <c r="D109" s="35">
        <v>311.89999999999998</v>
      </c>
      <c r="E109" s="35">
        <v>319.2</v>
      </c>
      <c r="F109" s="35">
        <v>326.39999999999998</v>
      </c>
      <c r="G109" s="220">
        <v>0.94876584389593066</v>
      </c>
      <c r="H109" s="220">
        <v>0.94972663021736237</v>
      </c>
      <c r="I109" s="220">
        <v>0.95068639210982275</v>
      </c>
      <c r="J109" s="220">
        <v>0.95164513121086991</v>
      </c>
      <c r="K109" s="165">
        <v>2488.7369838860945</v>
      </c>
      <c r="L109" s="34">
        <v>323</v>
      </c>
      <c r="M109" s="34">
        <v>51283.60999999995</v>
      </c>
      <c r="N109" s="34">
        <v>629.83085629112361</v>
      </c>
      <c r="O109" s="34">
        <v>270</v>
      </c>
      <c r="P109" s="34">
        <v>397</v>
      </c>
      <c r="Q109" s="36">
        <v>0.68010075566750627</v>
      </c>
    </row>
    <row r="110" spans="1:17" x14ac:dyDescent="0.3">
      <c r="A110" t="s">
        <v>276</v>
      </c>
      <c r="B110" t="s">
        <v>277</v>
      </c>
      <c r="C110" s="35">
        <v>213.2</v>
      </c>
      <c r="D110" s="35">
        <v>176.4</v>
      </c>
      <c r="E110" s="35">
        <v>204.2</v>
      </c>
      <c r="F110" s="35">
        <v>198.6</v>
      </c>
      <c r="G110" s="220">
        <v>0.92376131308482901</v>
      </c>
      <c r="H110" s="220">
        <v>0.92835865355972591</v>
      </c>
      <c r="I110" s="220">
        <v>0.92396745932415525</v>
      </c>
      <c r="J110" s="220">
        <v>0.91630591630591629</v>
      </c>
      <c r="K110" s="165">
        <v>1924.4435302318047</v>
      </c>
      <c r="L110" s="34">
        <v>420</v>
      </c>
      <c r="M110" s="34">
        <v>69276.453999999969</v>
      </c>
      <c r="N110" s="34">
        <v>606.26659672852213</v>
      </c>
      <c r="O110" s="34">
        <v>270</v>
      </c>
      <c r="P110" s="34">
        <v>300</v>
      </c>
      <c r="Q110" s="36">
        <v>0.9</v>
      </c>
    </row>
    <row r="111" spans="1:17" x14ac:dyDescent="0.3">
      <c r="A111" t="s">
        <v>278</v>
      </c>
      <c r="B111" t="s">
        <v>279</v>
      </c>
      <c r="C111" s="35">
        <v>257</v>
      </c>
      <c r="D111" s="35">
        <v>236</v>
      </c>
      <c r="E111" s="35">
        <v>290.60000000000002</v>
      </c>
      <c r="F111" s="35">
        <v>230.2</v>
      </c>
      <c r="G111" s="220">
        <v>0.97795420713121151</v>
      </c>
      <c r="H111" s="220">
        <v>0.97794273594909864</v>
      </c>
      <c r="I111" s="220">
        <v>0.97795286474531762</v>
      </c>
      <c r="J111" s="220">
        <v>0.97794981682449711</v>
      </c>
      <c r="K111" s="165">
        <v>2023.5</v>
      </c>
      <c r="L111" s="34">
        <v>668</v>
      </c>
      <c r="M111" s="34">
        <v>97808.118999999977</v>
      </c>
      <c r="N111" s="34">
        <v>682.9698871931073</v>
      </c>
      <c r="O111" s="34">
        <v>820</v>
      </c>
      <c r="P111" s="34">
        <v>1000</v>
      </c>
      <c r="Q111" s="36">
        <v>0.82</v>
      </c>
    </row>
    <row r="112" spans="1:17" x14ac:dyDescent="0.3">
      <c r="A112" t="s">
        <v>280</v>
      </c>
      <c r="B112" t="s">
        <v>281</v>
      </c>
      <c r="C112" s="35">
        <v>101.5</v>
      </c>
      <c r="D112" s="35">
        <v>103.9</v>
      </c>
      <c r="E112" s="35">
        <v>106.4</v>
      </c>
      <c r="F112" s="35">
        <v>108.9</v>
      </c>
      <c r="G112" s="220">
        <v>0.90821256038647347</v>
      </c>
      <c r="H112" s="220">
        <v>0.90903596252644303</v>
      </c>
      <c r="I112" s="220">
        <v>0.90972327234235595</v>
      </c>
      <c r="J112" s="220">
        <v>0.91026029055690072</v>
      </c>
      <c r="K112" s="165">
        <v>1426.2</v>
      </c>
      <c r="L112" s="34">
        <v>307</v>
      </c>
      <c r="M112" s="34">
        <v>87299.332999999984</v>
      </c>
      <c r="N112" s="34">
        <v>351.66362611269898</v>
      </c>
      <c r="O112" s="34">
        <v>1230</v>
      </c>
      <c r="P112" s="34">
        <v>1500</v>
      </c>
      <c r="Q112" s="36">
        <v>0.82</v>
      </c>
    </row>
    <row r="113" spans="1:17" x14ac:dyDescent="0.3">
      <c r="A113" t="s">
        <v>282</v>
      </c>
      <c r="B113" t="s">
        <v>283</v>
      </c>
      <c r="C113" s="35">
        <v>95</v>
      </c>
      <c r="D113" s="35">
        <v>93</v>
      </c>
      <c r="E113" s="35">
        <v>91</v>
      </c>
      <c r="F113" s="35">
        <v>89</v>
      </c>
      <c r="G113" s="220">
        <v>0.91390728476821192</v>
      </c>
      <c r="H113" s="220">
        <v>0.91655328798185942</v>
      </c>
      <c r="I113" s="220">
        <v>0.91666666666666663</v>
      </c>
      <c r="J113" s="220">
        <v>0.91987740805604201</v>
      </c>
      <c r="K113" s="165">
        <v>1659.3</v>
      </c>
      <c r="L113" s="34">
        <v>71</v>
      </c>
      <c r="M113" s="34">
        <v>16572.663999999997</v>
      </c>
      <c r="N113" s="34">
        <v>428.41633668552032</v>
      </c>
      <c r="O113" s="34">
        <v>58</v>
      </c>
      <c r="P113" s="34">
        <v>75</v>
      </c>
      <c r="Q113" s="36">
        <v>0.77333333333333332</v>
      </c>
    </row>
    <row r="114" spans="1:17" x14ac:dyDescent="0.3">
      <c r="A114" t="s">
        <v>284</v>
      </c>
      <c r="B114" t="s">
        <v>285</v>
      </c>
      <c r="C114" s="35">
        <v>219.05964406660871</v>
      </c>
      <c r="D114" s="35">
        <v>208.10668831290903</v>
      </c>
      <c r="E114" s="35">
        <v>238.42664987784289</v>
      </c>
      <c r="F114" s="35">
        <v>222.27065410627583</v>
      </c>
      <c r="G114" s="220">
        <v>0.94392332789559541</v>
      </c>
      <c r="H114" s="220">
        <v>0.94734726688102899</v>
      </c>
      <c r="I114" s="220">
        <v>0.94463597647536002</v>
      </c>
      <c r="J114" s="220">
        <v>0.93766122098022353</v>
      </c>
      <c r="K114" s="165">
        <v>2327.0069693769801</v>
      </c>
      <c r="L114" s="34">
        <v>206</v>
      </c>
      <c r="M114" s="34">
        <v>47139.272999999994</v>
      </c>
      <c r="N114" s="34">
        <v>437.00292110996281</v>
      </c>
      <c r="O114" s="34">
        <v>911</v>
      </c>
      <c r="P114" s="34">
        <v>1028</v>
      </c>
      <c r="Q114" s="36">
        <v>0.88618677042801552</v>
      </c>
    </row>
    <row r="115" spans="1:17" x14ac:dyDescent="0.3">
      <c r="A115" t="s">
        <v>286</v>
      </c>
      <c r="B115" t="s">
        <v>287</v>
      </c>
      <c r="C115" s="35">
        <v>185.5</v>
      </c>
      <c r="D115" s="35">
        <v>175</v>
      </c>
      <c r="E115" s="35">
        <v>180</v>
      </c>
      <c r="F115" s="35">
        <v>175</v>
      </c>
      <c r="G115" s="220">
        <v>0.90499088045100318</v>
      </c>
      <c r="H115" s="220">
        <v>0.90499999999999969</v>
      </c>
      <c r="I115" s="220">
        <v>0.90500000000000014</v>
      </c>
      <c r="J115" s="220">
        <v>0.90500000000000003</v>
      </c>
      <c r="K115" s="165">
        <v>1989.8472900334857</v>
      </c>
      <c r="L115" s="34">
        <v>595</v>
      </c>
      <c r="M115" s="34">
        <v>151780.24899999992</v>
      </c>
      <c r="N115" s="34">
        <v>392.0141150908247</v>
      </c>
      <c r="O115" s="34">
        <v>401</v>
      </c>
      <c r="P115" s="34">
        <v>526</v>
      </c>
      <c r="Q115" s="36">
        <v>0.76235741444866922</v>
      </c>
    </row>
    <row r="116" spans="1:17" x14ac:dyDescent="0.3">
      <c r="A116" t="s">
        <v>288</v>
      </c>
      <c r="B116" t="s">
        <v>289</v>
      </c>
      <c r="C116" s="35">
        <v>154.74</v>
      </c>
      <c r="D116" s="35">
        <v>159.1</v>
      </c>
      <c r="E116" s="35">
        <v>204.96</v>
      </c>
      <c r="F116" s="35">
        <v>187.49</v>
      </c>
      <c r="G116" s="220">
        <v>0.95514610087474405</v>
      </c>
      <c r="H116" s="220">
        <v>0.95373104941917697</v>
      </c>
      <c r="I116" s="220">
        <v>0.95511172631995256</v>
      </c>
      <c r="J116" s="220">
        <v>0.95707745135444489</v>
      </c>
      <c r="K116" s="165">
        <v>1947.1</v>
      </c>
      <c r="L116" s="34">
        <v>270</v>
      </c>
      <c r="M116" s="34">
        <v>56557.499999999956</v>
      </c>
      <c r="N116" s="34">
        <v>477.39026654289921</v>
      </c>
      <c r="O116" s="34">
        <v>1943</v>
      </c>
      <c r="P116" s="34">
        <v>2184</v>
      </c>
      <c r="Q116" s="36">
        <v>0.8896520146520146</v>
      </c>
    </row>
    <row r="117" spans="1:17" x14ac:dyDescent="0.3">
      <c r="A117" t="s">
        <v>290</v>
      </c>
      <c r="B117" t="s">
        <v>291</v>
      </c>
      <c r="C117" s="35">
        <v>290</v>
      </c>
      <c r="D117" s="35">
        <v>290</v>
      </c>
      <c r="E117" s="35">
        <v>280</v>
      </c>
      <c r="F117" s="35">
        <v>270</v>
      </c>
      <c r="G117" s="220">
        <v>0.90909090909090906</v>
      </c>
      <c r="H117" s="220">
        <v>0.91463414634146345</v>
      </c>
      <c r="I117" s="220">
        <v>0.91898734177215191</v>
      </c>
      <c r="J117" s="220">
        <v>0.92307692307692313</v>
      </c>
      <c r="K117" s="165">
        <v>2253.6999999999998</v>
      </c>
      <c r="L117" s="34">
        <v>273</v>
      </c>
      <c r="M117" s="34">
        <v>32519.986999999994</v>
      </c>
      <c r="N117" s="34">
        <v>839.48373042092555</v>
      </c>
      <c r="O117" s="34">
        <v>160</v>
      </c>
      <c r="P117" s="34">
        <v>200</v>
      </c>
      <c r="Q117" s="36">
        <v>0.8</v>
      </c>
    </row>
    <row r="118" spans="1:17" x14ac:dyDescent="0.3">
      <c r="A118" t="s">
        <v>292</v>
      </c>
      <c r="B118" t="s">
        <v>293</v>
      </c>
      <c r="C118" s="35">
        <v>218.41</v>
      </c>
      <c r="D118" s="35">
        <v>200.45</v>
      </c>
      <c r="E118" s="35">
        <v>249.19</v>
      </c>
      <c r="F118" s="35">
        <v>199.5</v>
      </c>
      <c r="G118" s="220">
        <v>0.95003152585119799</v>
      </c>
      <c r="H118" s="220">
        <v>0.94987394334865782</v>
      </c>
      <c r="I118" s="220">
        <v>0.94997022036926737</v>
      </c>
      <c r="J118" s="220">
        <v>0.95002888503755056</v>
      </c>
      <c r="K118" s="165">
        <v>2385.83</v>
      </c>
      <c r="L118" s="34">
        <v>200</v>
      </c>
      <c r="M118" s="34">
        <v>35592.564999999937</v>
      </c>
      <c r="N118" s="34">
        <v>561.91510783221258</v>
      </c>
      <c r="O118" s="34">
        <v>255</v>
      </c>
      <c r="P118" s="34">
        <v>340</v>
      </c>
      <c r="Q118" s="36">
        <v>0.75</v>
      </c>
    </row>
    <row r="119" spans="1:17" x14ac:dyDescent="0.3">
      <c r="A119" t="s">
        <v>294</v>
      </c>
      <c r="B119" t="s">
        <v>295</v>
      </c>
      <c r="C119" s="35">
        <v>253</v>
      </c>
      <c r="D119" s="35">
        <v>253</v>
      </c>
      <c r="E119" s="35">
        <v>253</v>
      </c>
      <c r="F119" s="35">
        <v>253</v>
      </c>
      <c r="G119" s="220">
        <v>0.94851635810296731</v>
      </c>
      <c r="H119" s="220">
        <v>0.94851635810296731</v>
      </c>
      <c r="I119" s="220">
        <v>0.94851635810296731</v>
      </c>
      <c r="J119" s="220">
        <v>0.94851635810296731</v>
      </c>
      <c r="K119" s="165">
        <v>2100</v>
      </c>
      <c r="L119" s="34">
        <v>204</v>
      </c>
      <c r="M119" s="34">
        <v>37183.002999999982</v>
      </c>
      <c r="N119" s="34">
        <v>548.63777409264151</v>
      </c>
      <c r="O119" s="34">
        <v>80</v>
      </c>
      <c r="P119" s="34">
        <v>100</v>
      </c>
      <c r="Q119" s="36">
        <v>0.8</v>
      </c>
    </row>
    <row r="120" spans="1:17" x14ac:dyDescent="0.3">
      <c r="A120" t="s">
        <v>296</v>
      </c>
      <c r="B120" t="s">
        <v>297</v>
      </c>
      <c r="C120" s="35">
        <v>222</v>
      </c>
      <c r="D120" s="35">
        <v>187</v>
      </c>
      <c r="E120" s="35">
        <v>225</v>
      </c>
      <c r="F120" s="35">
        <v>195</v>
      </c>
      <c r="G120" s="220">
        <v>0.96799999999999997</v>
      </c>
      <c r="H120" s="220">
        <v>0.96799999999999986</v>
      </c>
      <c r="I120" s="220">
        <v>0.96799999999999997</v>
      </c>
      <c r="J120" s="220">
        <v>0.96799999999999986</v>
      </c>
      <c r="K120" s="165">
        <v>1843</v>
      </c>
      <c r="L120" s="34">
        <v>169</v>
      </c>
      <c r="M120" s="34">
        <v>31312.069999999996</v>
      </c>
      <c r="N120" s="34">
        <v>539.72797071544619</v>
      </c>
      <c r="O120" s="34">
        <v>849</v>
      </c>
      <c r="P120" s="34">
        <v>943</v>
      </c>
      <c r="Q120" s="36">
        <v>0.90031813361611879</v>
      </c>
    </row>
    <row r="121" spans="1:17" x14ac:dyDescent="0.3">
      <c r="A121" t="s">
        <v>298</v>
      </c>
      <c r="B121" t="s">
        <v>299</v>
      </c>
      <c r="C121" s="35">
        <v>264.8</v>
      </c>
      <c r="D121" s="35">
        <v>225.9</v>
      </c>
      <c r="E121" s="35">
        <v>258.89999999999998</v>
      </c>
      <c r="F121" s="35">
        <v>267.2</v>
      </c>
      <c r="G121" s="220">
        <v>0.93986688088134041</v>
      </c>
      <c r="H121" s="220">
        <v>0.94996557264172599</v>
      </c>
      <c r="I121" s="220">
        <v>0.94996557264172599</v>
      </c>
      <c r="J121" s="220">
        <v>0.93986688088134041</v>
      </c>
      <c r="K121" s="165">
        <v>1929.6</v>
      </c>
      <c r="L121" s="34">
        <v>243</v>
      </c>
      <c r="M121" s="34">
        <v>38893.545999999973</v>
      </c>
      <c r="N121" s="34">
        <v>624.78232249638575</v>
      </c>
      <c r="O121" s="34">
        <v>821</v>
      </c>
      <c r="P121" s="34">
        <v>966</v>
      </c>
      <c r="Q121" s="36">
        <v>0.84989648033126297</v>
      </c>
    </row>
    <row r="122" spans="1:17" x14ac:dyDescent="0.3">
      <c r="A122" t="s">
        <v>300</v>
      </c>
      <c r="B122" t="s">
        <v>301</v>
      </c>
      <c r="C122" s="35">
        <v>197.2</v>
      </c>
      <c r="D122" s="35">
        <v>179.4</v>
      </c>
      <c r="E122" s="35">
        <v>209</v>
      </c>
      <c r="F122" s="35">
        <v>218.3</v>
      </c>
      <c r="G122" s="220">
        <v>0.93800579478469381</v>
      </c>
      <c r="H122" s="220">
        <v>0.93599521459548374</v>
      </c>
      <c r="I122" s="220">
        <v>0.93499447885160114</v>
      </c>
      <c r="J122" s="220">
        <v>0.93698938408101362</v>
      </c>
      <c r="K122" s="165">
        <v>1532.2</v>
      </c>
      <c r="L122" s="34">
        <v>1136</v>
      </c>
      <c r="M122" s="34">
        <v>203591.05699999991</v>
      </c>
      <c r="N122" s="34">
        <v>557.98128696782612</v>
      </c>
      <c r="O122" s="34">
        <v>1197</v>
      </c>
      <c r="P122" s="34">
        <v>1409</v>
      </c>
      <c r="Q122" s="36">
        <v>0.84953867991483323</v>
      </c>
    </row>
    <row r="123" spans="1:17" x14ac:dyDescent="0.3">
      <c r="A123" t="s">
        <v>302</v>
      </c>
      <c r="B123" t="s">
        <v>303</v>
      </c>
      <c r="C123" s="35">
        <v>227.1</v>
      </c>
      <c r="D123" s="35">
        <v>206</v>
      </c>
      <c r="E123" s="35">
        <v>239.1</v>
      </c>
      <c r="F123" s="35">
        <v>204</v>
      </c>
      <c r="G123" s="220">
        <v>0.92595443349753692</v>
      </c>
      <c r="H123" s="220">
        <v>0.92605145586196269</v>
      </c>
      <c r="I123" s="220">
        <v>0.92598303777949109</v>
      </c>
      <c r="J123" s="220">
        <v>0.9260688377836086</v>
      </c>
      <c r="K123" s="165">
        <v>2322.4</v>
      </c>
      <c r="L123" s="34">
        <v>340</v>
      </c>
      <c r="M123" s="34">
        <v>61104.804999999964</v>
      </c>
      <c r="N123" s="34">
        <v>556.42105395803196</v>
      </c>
      <c r="O123" s="34">
        <v>174</v>
      </c>
      <c r="P123" s="34">
        <v>196</v>
      </c>
      <c r="Q123" s="36">
        <v>0.88775510204081631</v>
      </c>
    </row>
    <row r="124" spans="1:17" x14ac:dyDescent="0.3">
      <c r="A124" t="s">
        <v>304</v>
      </c>
      <c r="B124" t="s">
        <v>305</v>
      </c>
      <c r="C124" s="35">
        <v>295</v>
      </c>
      <c r="D124" s="35">
        <v>269</v>
      </c>
      <c r="E124" s="35">
        <v>307</v>
      </c>
      <c r="F124" s="35">
        <v>288</v>
      </c>
      <c r="G124" s="220">
        <v>0.93370275084108445</v>
      </c>
      <c r="H124" s="220">
        <v>0.93354877802464153</v>
      </c>
      <c r="I124" s="220">
        <v>0.93387063442860097</v>
      </c>
      <c r="J124" s="220">
        <v>0.93372117182630376</v>
      </c>
      <c r="K124" s="165">
        <v>1781.9771292318053</v>
      </c>
      <c r="L124" s="34">
        <v>170</v>
      </c>
      <c r="M124" s="34">
        <v>39199.954999999973</v>
      </c>
      <c r="N124" s="34">
        <v>433.67396722776886</v>
      </c>
      <c r="O124" s="34">
        <v>96</v>
      </c>
      <c r="P124" s="34">
        <v>105</v>
      </c>
      <c r="Q124" s="36">
        <v>0.91428571428571426</v>
      </c>
    </row>
    <row r="125" spans="1:17" x14ac:dyDescent="0.3">
      <c r="A125" t="s">
        <v>306</v>
      </c>
      <c r="B125" t="s">
        <v>307</v>
      </c>
      <c r="C125" s="35">
        <v>268.39999999999998</v>
      </c>
      <c r="D125" s="35">
        <v>240.3</v>
      </c>
      <c r="E125" s="35">
        <v>306.10000000000002</v>
      </c>
      <c r="F125" s="35">
        <v>313.3</v>
      </c>
      <c r="G125" s="220">
        <v>0.95298459563543003</v>
      </c>
      <c r="H125" s="220">
        <v>0.95797665369649809</v>
      </c>
      <c r="I125" s="220">
        <v>0.95108857739337904</v>
      </c>
      <c r="J125" s="220">
        <v>0.94791205548177659</v>
      </c>
      <c r="K125" s="165">
        <v>1396.5</v>
      </c>
      <c r="L125" s="34">
        <v>198</v>
      </c>
      <c r="M125" s="34">
        <v>46093.628999999957</v>
      </c>
      <c r="N125" s="34">
        <v>429.56044966648255</v>
      </c>
      <c r="O125" s="34">
        <v>610</v>
      </c>
      <c r="P125" s="34">
        <v>762</v>
      </c>
      <c r="Q125" s="36">
        <v>0.80052493438320205</v>
      </c>
    </row>
    <row r="126" spans="1:17" x14ac:dyDescent="0.3">
      <c r="A126" t="s">
        <v>308</v>
      </c>
      <c r="B126" t="s">
        <v>309</v>
      </c>
      <c r="C126" s="35">
        <v>176.9</v>
      </c>
      <c r="D126" s="35">
        <v>180.4</v>
      </c>
      <c r="E126" s="35">
        <v>177</v>
      </c>
      <c r="F126" s="35">
        <v>177.1</v>
      </c>
      <c r="G126" s="220">
        <v>0.94882184266300962</v>
      </c>
      <c r="H126" s="220">
        <v>0.95543608124253288</v>
      </c>
      <c r="I126" s="220">
        <v>0.94567440741186382</v>
      </c>
      <c r="J126" s="220">
        <v>0.95178724972362116</v>
      </c>
      <c r="K126" s="165">
        <v>1449.5292314429605</v>
      </c>
      <c r="L126" s="34">
        <v>1050</v>
      </c>
      <c r="M126" s="34">
        <v>192296.93599999984</v>
      </c>
      <c r="N126" s="34">
        <v>546.03054101704504</v>
      </c>
      <c r="O126" s="34">
        <v>2887</v>
      </c>
      <c r="P126" s="34">
        <v>3397</v>
      </c>
      <c r="Q126" s="36">
        <v>0.84986753017368266</v>
      </c>
    </row>
    <row r="127" spans="1:17" x14ac:dyDescent="0.3">
      <c r="A127" t="s">
        <v>310</v>
      </c>
      <c r="B127" t="s">
        <v>311</v>
      </c>
      <c r="C127" s="35">
        <v>296.7</v>
      </c>
      <c r="D127" s="35">
        <v>265.60000000000002</v>
      </c>
      <c r="E127" s="35">
        <v>300.92</v>
      </c>
      <c r="F127" s="35">
        <v>310.10000000000002</v>
      </c>
      <c r="G127" s="220">
        <v>0.88596620132255699</v>
      </c>
      <c r="H127" s="220">
        <v>0.9</v>
      </c>
      <c r="I127" s="220">
        <v>0.9099569760295021</v>
      </c>
      <c r="J127" s="220">
        <v>0.92004280691025841</v>
      </c>
      <c r="K127" s="165">
        <v>2732.5</v>
      </c>
      <c r="L127" s="34">
        <v>580</v>
      </c>
      <c r="M127" s="34">
        <v>58326.35499999996</v>
      </c>
      <c r="N127" s="34">
        <v>994.40467349622713</v>
      </c>
      <c r="O127" s="34">
        <v>176</v>
      </c>
      <c r="P127" s="34">
        <v>220</v>
      </c>
      <c r="Q127" s="36">
        <v>0.8</v>
      </c>
    </row>
    <row r="128" spans="1:17" x14ac:dyDescent="0.3">
      <c r="A128" t="s">
        <v>312</v>
      </c>
      <c r="B128" t="s">
        <v>313</v>
      </c>
      <c r="C128" s="35">
        <v>130</v>
      </c>
      <c r="D128" s="35">
        <v>140</v>
      </c>
      <c r="E128" s="35">
        <v>155</v>
      </c>
      <c r="F128" s="35">
        <v>143</v>
      </c>
      <c r="G128" s="220">
        <v>0.9360730593607306</v>
      </c>
      <c r="H128" s="220">
        <v>0.86757990867579904</v>
      </c>
      <c r="I128" s="220">
        <v>0.91324200913242004</v>
      </c>
      <c r="J128" s="220">
        <v>0.9360730593607306</v>
      </c>
      <c r="K128" s="165">
        <v>2124.5</v>
      </c>
      <c r="L128" s="34">
        <v>1670</v>
      </c>
      <c r="M128" s="34">
        <v>239307.16399999976</v>
      </c>
      <c r="N128" s="34">
        <v>697.84789225950692</v>
      </c>
      <c r="O128" s="34">
        <v>431</v>
      </c>
      <c r="P128" s="34">
        <v>621</v>
      </c>
      <c r="Q128" s="36">
        <v>0.69404186795491141</v>
      </c>
    </row>
    <row r="129" spans="1:17" x14ac:dyDescent="0.3">
      <c r="A129" t="s">
        <v>314</v>
      </c>
      <c r="B129" t="s">
        <v>315</v>
      </c>
      <c r="C129" s="35">
        <v>143</v>
      </c>
      <c r="D129" s="35">
        <v>142</v>
      </c>
      <c r="E129" s="35">
        <v>141</v>
      </c>
      <c r="F129" s="35">
        <v>140</v>
      </c>
      <c r="G129" s="220">
        <v>0.91349095966620308</v>
      </c>
      <c r="H129" s="220">
        <v>0.92188397472716832</v>
      </c>
      <c r="I129" s="220">
        <v>0.92699685084454619</v>
      </c>
      <c r="J129" s="220">
        <v>0.9350170261066969</v>
      </c>
      <c r="K129" s="165">
        <v>1958.8</v>
      </c>
      <c r="L129" s="34">
        <v>89</v>
      </c>
      <c r="M129" s="34">
        <v>33238.193999999989</v>
      </c>
      <c r="N129" s="34">
        <v>267.76424735952872</v>
      </c>
      <c r="O129" s="34">
        <v>213</v>
      </c>
      <c r="P129" s="34">
        <v>260</v>
      </c>
      <c r="Q129" s="36">
        <v>0.81923076923076921</v>
      </c>
    </row>
    <row r="130" spans="1:17" x14ac:dyDescent="0.3">
      <c r="A130" t="s">
        <v>316</v>
      </c>
      <c r="B130" t="s">
        <v>317</v>
      </c>
      <c r="C130" s="35">
        <v>197.5585440262202</v>
      </c>
      <c r="D130" s="35">
        <v>190.50288173956943</v>
      </c>
      <c r="E130" s="35">
        <v>222.0458425504786</v>
      </c>
      <c r="F130" s="35">
        <v>185.9374532011484</v>
      </c>
      <c r="G130" s="220">
        <v>0.89393022786852183</v>
      </c>
      <c r="H130" s="220">
        <v>0.89421234189344578</v>
      </c>
      <c r="I130" s="220">
        <v>0.89409955794733809</v>
      </c>
      <c r="J130" s="220">
        <v>0.90454371897670871</v>
      </c>
      <c r="K130" s="165">
        <v>2180.7160633762905</v>
      </c>
      <c r="L130" s="34">
        <v>176</v>
      </c>
      <c r="M130" s="34">
        <v>39524.106999999982</v>
      </c>
      <c r="N130" s="34">
        <v>445.29785328230207</v>
      </c>
      <c r="O130" s="34">
        <v>170</v>
      </c>
      <c r="P130" s="34">
        <v>193</v>
      </c>
      <c r="Q130" s="36">
        <v>0.88082901554404147</v>
      </c>
    </row>
    <row r="131" spans="1:17" x14ac:dyDescent="0.3">
      <c r="A131" t="s">
        <v>318</v>
      </c>
      <c r="B131" t="s">
        <v>319</v>
      </c>
      <c r="C131" s="35">
        <v>254</v>
      </c>
      <c r="D131" s="35">
        <v>206</v>
      </c>
      <c r="E131" s="35">
        <v>257</v>
      </c>
      <c r="F131" s="35">
        <v>222</v>
      </c>
      <c r="G131" s="220">
        <v>0.93996989085434701</v>
      </c>
      <c r="H131" s="220">
        <v>0.9428463996991916</v>
      </c>
      <c r="I131" s="220">
        <v>0.91902173913043483</v>
      </c>
      <c r="J131" s="220">
        <v>0.94184231069476976</v>
      </c>
      <c r="K131" s="165">
        <v>1797.5630353480517</v>
      </c>
      <c r="L131" s="34">
        <v>277</v>
      </c>
      <c r="M131" s="34">
        <v>42011.459999999963</v>
      </c>
      <c r="N131" s="34">
        <v>659.34390283032349</v>
      </c>
      <c r="O131" s="34">
        <v>238</v>
      </c>
      <c r="P131" s="34">
        <v>318</v>
      </c>
      <c r="Q131" s="36">
        <v>0.74842767295597479</v>
      </c>
    </row>
    <row r="132" spans="1:17" x14ac:dyDescent="0.3">
      <c r="A132" t="s">
        <v>320</v>
      </c>
      <c r="B132" t="s">
        <v>321</v>
      </c>
      <c r="C132" s="35">
        <v>103.3</v>
      </c>
      <c r="D132" s="35">
        <v>106.8</v>
      </c>
      <c r="E132" s="35">
        <v>110.2</v>
      </c>
      <c r="F132" s="35">
        <v>113.7</v>
      </c>
      <c r="G132" s="220">
        <v>0.935717988595127</v>
      </c>
      <c r="H132" s="220">
        <v>0.93735438778151692</v>
      </c>
      <c r="I132" s="220">
        <v>0.93900232618247614</v>
      </c>
      <c r="J132" s="220">
        <v>0.94038709677419352</v>
      </c>
      <c r="K132" s="165">
        <v>1369.6</v>
      </c>
      <c r="L132" s="34">
        <v>145</v>
      </c>
      <c r="M132" s="34">
        <v>33838.337999999967</v>
      </c>
      <c r="N132" s="34">
        <v>428.50804315507503</v>
      </c>
      <c r="O132" s="34">
        <v>181</v>
      </c>
      <c r="P132" s="34">
        <v>226</v>
      </c>
      <c r="Q132" s="36">
        <v>0.80088495575221241</v>
      </c>
    </row>
    <row r="133" spans="1:17" x14ac:dyDescent="0.3">
      <c r="A133" t="s">
        <v>322</v>
      </c>
      <c r="B133" t="s">
        <v>323</v>
      </c>
      <c r="C133" s="35">
        <v>190</v>
      </c>
      <c r="D133" s="35">
        <v>190</v>
      </c>
      <c r="E133" s="35">
        <v>190</v>
      </c>
      <c r="F133" s="35">
        <v>190</v>
      </c>
      <c r="G133" s="220">
        <v>0.94904057879836423</v>
      </c>
      <c r="H133" s="220">
        <v>0.94904057879836423</v>
      </c>
      <c r="I133" s="220">
        <v>0.94904057879836423</v>
      </c>
      <c r="J133" s="220">
        <v>0.94904057879836423</v>
      </c>
      <c r="K133" s="165">
        <v>2100</v>
      </c>
      <c r="L133" s="34">
        <v>162</v>
      </c>
      <c r="M133" s="34">
        <v>25198.184999999987</v>
      </c>
      <c r="N133" s="34">
        <v>642.90344721256747</v>
      </c>
      <c r="O133" s="34">
        <v>57</v>
      </c>
      <c r="P133" s="34">
        <v>65</v>
      </c>
      <c r="Q133" s="36">
        <v>0.87692307692307692</v>
      </c>
    </row>
    <row r="134" spans="1:17" x14ac:dyDescent="0.3">
      <c r="A134" t="s">
        <v>324</v>
      </c>
      <c r="B134" t="s">
        <v>325</v>
      </c>
      <c r="C134" s="35">
        <v>171.26937000000001</v>
      </c>
      <c r="D134" s="35">
        <v>170.75505000000001</v>
      </c>
      <c r="E134" s="35">
        <v>188.75632999999999</v>
      </c>
      <c r="F134" s="35">
        <v>172.09531999999999</v>
      </c>
      <c r="G134" s="220">
        <v>0.89861294583883755</v>
      </c>
      <c r="H134" s="220">
        <v>0.90853031860226108</v>
      </c>
      <c r="I134" s="220">
        <v>0.89633542423241996</v>
      </c>
      <c r="J134" s="220">
        <v>0.90629629629629627</v>
      </c>
      <c r="K134" s="165">
        <v>1714.9</v>
      </c>
      <c r="L134" s="34">
        <v>221</v>
      </c>
      <c r="M134" s="34">
        <v>39035.726999999999</v>
      </c>
      <c r="N134" s="34">
        <v>566.1480315199459</v>
      </c>
      <c r="O134" s="34">
        <v>301</v>
      </c>
      <c r="P134" s="34">
        <v>390</v>
      </c>
      <c r="Q134" s="36">
        <v>0.77179487179487183</v>
      </c>
    </row>
    <row r="135" spans="1:17" x14ac:dyDescent="0.3">
      <c r="A135" t="s">
        <v>326</v>
      </c>
      <c r="B135" t="s">
        <v>327</v>
      </c>
      <c r="C135" s="35">
        <v>35</v>
      </c>
      <c r="D135" s="35">
        <v>41</v>
      </c>
      <c r="E135" s="35">
        <v>35</v>
      </c>
      <c r="F135" s="35">
        <v>29</v>
      </c>
      <c r="G135" s="220">
        <v>0.96211120851991583</v>
      </c>
      <c r="H135" s="220">
        <v>0.97313085272241606</v>
      </c>
      <c r="I135" s="220">
        <v>0.96849004850559417</v>
      </c>
      <c r="J135" s="220">
        <v>0.9678645187938868</v>
      </c>
      <c r="K135" s="165">
        <v>546.69875684564181</v>
      </c>
      <c r="L135" s="34">
        <v>77</v>
      </c>
      <c r="M135" s="34">
        <v>24563.062999999987</v>
      </c>
      <c r="N135" s="34">
        <v>313.47881980354015</v>
      </c>
      <c r="O135" s="34">
        <v>180</v>
      </c>
      <c r="P135" s="34">
        <v>271</v>
      </c>
      <c r="Q135" s="36">
        <v>0.66420664206642066</v>
      </c>
    </row>
    <row r="136" spans="1:17" x14ac:dyDescent="0.3">
      <c r="A136" t="s">
        <v>328</v>
      </c>
      <c r="B136" t="s">
        <v>329</v>
      </c>
      <c r="C136" s="35">
        <v>193.2</v>
      </c>
      <c r="D136" s="35">
        <v>169.8</v>
      </c>
      <c r="E136" s="35">
        <v>185.3</v>
      </c>
      <c r="F136" s="35">
        <v>135.9</v>
      </c>
      <c r="G136" s="220">
        <v>0.91489361702127658</v>
      </c>
      <c r="H136" s="220">
        <v>0.91489361702127658</v>
      </c>
      <c r="I136" s="220">
        <v>0.91489361702127658</v>
      </c>
      <c r="J136" s="220">
        <v>0.91489361702127658</v>
      </c>
      <c r="K136" s="165">
        <v>2003</v>
      </c>
      <c r="L136" s="34">
        <v>240</v>
      </c>
      <c r="M136" s="34">
        <v>42961.930999999975</v>
      </c>
      <c r="N136" s="34">
        <v>558.63410795012953</v>
      </c>
      <c r="O136" s="34">
        <v>275</v>
      </c>
      <c r="P136" s="34">
        <v>299</v>
      </c>
      <c r="Q136" s="36">
        <v>0.91973244147157196</v>
      </c>
    </row>
    <row r="137" spans="1:17" x14ac:dyDescent="0.3">
      <c r="A137" t="s">
        <v>330</v>
      </c>
      <c r="B137" t="s">
        <v>331</v>
      </c>
      <c r="C137" s="35">
        <v>195</v>
      </c>
      <c r="D137" s="35">
        <v>175</v>
      </c>
      <c r="E137" s="35">
        <v>205</v>
      </c>
      <c r="F137" s="35">
        <v>205</v>
      </c>
      <c r="G137" s="220">
        <v>0.92495126705653019</v>
      </c>
      <c r="H137" s="220">
        <v>0.92466818127466222</v>
      </c>
      <c r="I137" s="220">
        <v>0.92477286493034527</v>
      </c>
      <c r="J137" s="220">
        <v>0.92480372914622178</v>
      </c>
      <c r="K137" s="165">
        <v>1803.7</v>
      </c>
      <c r="L137" s="34">
        <v>468</v>
      </c>
      <c r="M137" s="34">
        <v>71057.292999999961</v>
      </c>
      <c r="N137" s="34">
        <v>658.62345755276692</v>
      </c>
      <c r="O137" s="34">
        <v>186</v>
      </c>
      <c r="P137" s="34">
        <v>220</v>
      </c>
      <c r="Q137" s="36">
        <v>0.84545454545454546</v>
      </c>
    </row>
    <row r="138" spans="1:17" x14ac:dyDescent="0.3">
      <c r="A138" t="s">
        <v>332</v>
      </c>
      <c r="B138" t="s">
        <v>333</v>
      </c>
      <c r="C138" s="35">
        <v>336.53419573397196</v>
      </c>
      <c r="D138" s="35">
        <v>340.91108173477528</v>
      </c>
      <c r="E138" s="35">
        <v>345.27233599986164</v>
      </c>
      <c r="F138" s="35">
        <v>349.61795852923069</v>
      </c>
      <c r="G138" s="220">
        <v>0.92943607912607029</v>
      </c>
      <c r="H138" s="220">
        <v>0.92779090372120498</v>
      </c>
      <c r="I138" s="220">
        <v>0.92599704579025111</v>
      </c>
      <c r="J138" s="220">
        <v>0.92434988179669031</v>
      </c>
      <c r="K138" s="165">
        <v>2869.6380839962671</v>
      </c>
      <c r="L138" s="34">
        <v>300</v>
      </c>
      <c r="M138" s="34">
        <v>51423.517999999967</v>
      </c>
      <c r="N138" s="34">
        <v>583.39065794759551</v>
      </c>
      <c r="O138" s="34">
        <v>310</v>
      </c>
      <c r="P138" s="34">
        <v>378</v>
      </c>
      <c r="Q138" s="36">
        <v>0.82010582010582012</v>
      </c>
    </row>
    <row r="139" spans="1:17" x14ac:dyDescent="0.3">
      <c r="A139" t="s">
        <v>334</v>
      </c>
      <c r="B139" t="s">
        <v>335</v>
      </c>
      <c r="C139" s="35">
        <v>149</v>
      </c>
      <c r="D139" s="35">
        <v>176</v>
      </c>
      <c r="E139" s="35">
        <v>174</v>
      </c>
      <c r="F139" s="35">
        <v>172</v>
      </c>
      <c r="G139" s="220">
        <v>0.95555364081878413</v>
      </c>
      <c r="H139" s="220">
        <v>0.95476909669340371</v>
      </c>
      <c r="I139" s="220">
        <v>0.95341608683316525</v>
      </c>
      <c r="J139" s="220">
        <v>0.95457666977920741</v>
      </c>
      <c r="K139" s="165">
        <v>1249.4937864978826</v>
      </c>
      <c r="L139" s="34">
        <v>166</v>
      </c>
      <c r="M139" s="34">
        <v>32154.682999999965</v>
      </c>
      <c r="N139" s="34">
        <v>516.25450638092184</v>
      </c>
      <c r="O139" s="34">
        <v>195</v>
      </c>
      <c r="P139" s="34">
        <v>224</v>
      </c>
      <c r="Q139" s="36">
        <v>0.8705357142857143</v>
      </c>
    </row>
    <row r="140" spans="1:17" x14ac:dyDescent="0.3">
      <c r="A140" t="s">
        <v>336</v>
      </c>
      <c r="B140" t="s">
        <v>337</v>
      </c>
      <c r="C140" s="35">
        <v>154.55099999999999</v>
      </c>
      <c r="D140" s="35">
        <v>145.785</v>
      </c>
      <c r="E140" s="35">
        <v>137.02000000000001</v>
      </c>
      <c r="F140" s="35">
        <v>128.25399999999999</v>
      </c>
      <c r="G140" s="220">
        <v>0.93806959403479706</v>
      </c>
      <c r="H140" s="220">
        <v>0.93798449612403101</v>
      </c>
      <c r="I140" s="220">
        <v>0.93805484316433219</v>
      </c>
      <c r="J140" s="220">
        <v>0.93801482701812189</v>
      </c>
      <c r="K140" s="165">
        <v>1941.9541103175811</v>
      </c>
      <c r="L140" s="34">
        <v>137</v>
      </c>
      <c r="M140" s="34">
        <v>34210.059999999976</v>
      </c>
      <c r="N140" s="34">
        <v>400.46699713476124</v>
      </c>
      <c r="O140" s="34">
        <v>202</v>
      </c>
      <c r="P140" s="34">
        <v>215</v>
      </c>
      <c r="Q140" s="36">
        <v>0.93953488372093019</v>
      </c>
    </row>
    <row r="141" spans="1:17" x14ac:dyDescent="0.3">
      <c r="A141" t="s">
        <v>338</v>
      </c>
      <c r="B141" t="s">
        <v>339</v>
      </c>
      <c r="C141" s="35">
        <v>169.2</v>
      </c>
      <c r="D141" s="35">
        <v>179</v>
      </c>
      <c r="E141" s="35">
        <v>233.3</v>
      </c>
      <c r="F141" s="35">
        <v>176.7</v>
      </c>
      <c r="G141" s="220">
        <v>0.93964497041420114</v>
      </c>
      <c r="H141" s="220">
        <v>0.94036697247706424</v>
      </c>
      <c r="I141" s="220">
        <v>0.93989071038251371</v>
      </c>
      <c r="J141" s="220">
        <v>0.94001790510295435</v>
      </c>
      <c r="K141" s="165">
        <v>1849.4</v>
      </c>
      <c r="L141" s="34">
        <v>255</v>
      </c>
      <c r="M141" s="34">
        <v>42271.927999999956</v>
      </c>
      <c r="N141" s="34">
        <v>603.23721217541879</v>
      </c>
      <c r="O141" s="34">
        <v>960</v>
      </c>
      <c r="P141" s="34">
        <v>1200</v>
      </c>
      <c r="Q141" s="36">
        <v>0.8</v>
      </c>
    </row>
    <row r="142" spans="1:17" x14ac:dyDescent="0.3">
      <c r="A142" t="s">
        <v>340</v>
      </c>
      <c r="B142" t="s">
        <v>341</v>
      </c>
      <c r="C142" s="35">
        <v>150.19999999999999</v>
      </c>
      <c r="D142" s="35">
        <v>149.4</v>
      </c>
      <c r="E142" s="35">
        <v>168.2</v>
      </c>
      <c r="F142" s="35">
        <v>143.80000000000001</v>
      </c>
      <c r="G142" s="220">
        <v>0.95799426489963579</v>
      </c>
      <c r="H142" s="220">
        <v>0.9579657896755388</v>
      </c>
      <c r="I142" s="220">
        <v>0.95804087929039727</v>
      </c>
      <c r="J142" s="220">
        <v>0.95801131383953475</v>
      </c>
      <c r="K142" s="165">
        <v>1865</v>
      </c>
      <c r="L142" s="34">
        <v>901</v>
      </c>
      <c r="M142" s="34">
        <v>127643.83399999996</v>
      </c>
      <c r="N142" s="34">
        <v>705.87036738492225</v>
      </c>
      <c r="O142" s="34">
        <v>291</v>
      </c>
      <c r="P142" s="34">
        <v>309</v>
      </c>
      <c r="Q142" s="36">
        <v>0.94174757281553401</v>
      </c>
    </row>
    <row r="143" spans="1:17" x14ac:dyDescent="0.3">
      <c r="A143" t="s">
        <v>342</v>
      </c>
      <c r="B143" t="s">
        <v>343</v>
      </c>
      <c r="C143" s="35">
        <v>130.30000000000001</v>
      </c>
      <c r="D143" s="35">
        <v>127.5</v>
      </c>
      <c r="E143" s="35">
        <v>132.4</v>
      </c>
      <c r="F143" s="35">
        <v>129</v>
      </c>
      <c r="G143" s="220">
        <v>0.91420331651045417</v>
      </c>
      <c r="H143" s="220">
        <v>0.91589451176051317</v>
      </c>
      <c r="I143" s="220">
        <v>0.91095652173913044</v>
      </c>
      <c r="J143" s="220">
        <v>0.91006572120373574</v>
      </c>
      <c r="K143" s="165">
        <v>1686</v>
      </c>
      <c r="L143" s="34">
        <v>205</v>
      </c>
      <c r="M143" s="34">
        <v>33257.28899999999</v>
      </c>
      <c r="N143" s="34">
        <v>616.4062260155963</v>
      </c>
      <c r="O143" s="34">
        <v>170</v>
      </c>
      <c r="P143" s="34">
        <v>200</v>
      </c>
      <c r="Q143" s="36">
        <v>0.85</v>
      </c>
    </row>
    <row r="144" spans="1:17" x14ac:dyDescent="0.3">
      <c r="A144" t="s">
        <v>344</v>
      </c>
      <c r="B144" t="s">
        <v>345</v>
      </c>
      <c r="C144" s="35">
        <v>220</v>
      </c>
      <c r="D144" s="35">
        <v>220</v>
      </c>
      <c r="E144" s="35">
        <v>220</v>
      </c>
      <c r="F144" s="35">
        <v>220</v>
      </c>
      <c r="G144" s="220">
        <v>0.94978020514186756</v>
      </c>
      <c r="H144" s="220">
        <v>0.94978020514186756</v>
      </c>
      <c r="I144" s="220">
        <v>0.94978020514186756</v>
      </c>
      <c r="J144" s="220">
        <v>0.94978020514186756</v>
      </c>
      <c r="K144" s="165">
        <v>1739.7</v>
      </c>
      <c r="L144" s="34">
        <v>365</v>
      </c>
      <c r="M144" s="34">
        <v>77713.168001323997</v>
      </c>
      <c r="N144" s="34">
        <v>469.67587268322598</v>
      </c>
      <c r="O144" s="34">
        <v>248</v>
      </c>
      <c r="P144" s="34">
        <v>303</v>
      </c>
      <c r="Q144" s="36">
        <v>0.81848184818481851</v>
      </c>
    </row>
    <row r="145" spans="1:17" x14ac:dyDescent="0.3">
      <c r="A145" t="s">
        <v>346</v>
      </c>
      <c r="B145" t="s">
        <v>347</v>
      </c>
      <c r="C145" s="35">
        <v>142.9</v>
      </c>
      <c r="D145" s="35">
        <v>120.3</v>
      </c>
      <c r="E145" s="35">
        <v>117.8</v>
      </c>
      <c r="F145" s="35">
        <v>120.2</v>
      </c>
      <c r="G145" s="220">
        <v>0.88769999999999993</v>
      </c>
      <c r="H145" s="220">
        <v>0.88489999999999991</v>
      </c>
      <c r="I145" s="220">
        <v>0.88500000000000001</v>
      </c>
      <c r="J145" s="220">
        <v>0.88770000000000004</v>
      </c>
      <c r="K145" s="165">
        <v>2058.1</v>
      </c>
      <c r="L145" s="34">
        <v>1063</v>
      </c>
      <c r="M145" s="34">
        <v>212751.467</v>
      </c>
      <c r="N145" s="34">
        <v>499.64402830651221</v>
      </c>
      <c r="O145" s="34">
        <v>199</v>
      </c>
      <c r="P145" s="34">
        <v>292</v>
      </c>
      <c r="Q145" s="36">
        <v>0.68150684931506844</v>
      </c>
    </row>
    <row r="146" spans="1:17" x14ac:dyDescent="0.3">
      <c r="A146" t="s">
        <v>348</v>
      </c>
      <c r="B146" t="s">
        <v>349</v>
      </c>
      <c r="C146" s="35">
        <v>73.08</v>
      </c>
      <c r="D146" s="35">
        <v>71.92</v>
      </c>
      <c r="E146" s="35">
        <v>74.819999999999993</v>
      </c>
      <c r="F146" s="35">
        <v>82.89</v>
      </c>
      <c r="G146" s="220">
        <v>0.92221530802738017</v>
      </c>
      <c r="H146" s="220">
        <v>0.9314943922400728</v>
      </c>
      <c r="I146" s="220">
        <v>0.93560946391135069</v>
      </c>
      <c r="J146" s="220">
        <v>0.93119266055045868</v>
      </c>
      <c r="K146" s="165">
        <v>2186.1999999999998</v>
      </c>
      <c r="L146" s="34">
        <v>120</v>
      </c>
      <c r="M146" s="34">
        <v>36898.651999999958</v>
      </c>
      <c r="N146" s="34">
        <v>0</v>
      </c>
      <c r="O146" s="34">
        <v>0</v>
      </c>
      <c r="P146" s="34">
        <v>0</v>
      </c>
      <c r="Q146" s="36">
        <v>0</v>
      </c>
    </row>
    <row r="147" spans="1:17" x14ac:dyDescent="0.3">
      <c r="A147" t="s">
        <v>350</v>
      </c>
      <c r="B147" t="s">
        <v>351</v>
      </c>
      <c r="C147" s="35">
        <v>1305</v>
      </c>
      <c r="D147" s="35">
        <v>1305</v>
      </c>
      <c r="E147" s="35">
        <v>1305</v>
      </c>
      <c r="F147" s="35">
        <v>1305</v>
      </c>
      <c r="G147" s="220">
        <v>0.93679245283018864</v>
      </c>
      <c r="H147" s="220">
        <v>0.93884020137982471</v>
      </c>
      <c r="I147" s="220">
        <v>0.94001121285740985</v>
      </c>
      <c r="J147" s="220">
        <v>0.93995510662177328</v>
      </c>
      <c r="K147" s="165">
        <v>2021.2</v>
      </c>
      <c r="L147" s="34">
        <v>365</v>
      </c>
      <c r="M147" s="34">
        <v>128397.19599999994</v>
      </c>
      <c r="N147" s="34">
        <v>284.274120752606</v>
      </c>
      <c r="O147" s="34">
        <v>208</v>
      </c>
      <c r="P147" s="34">
        <v>240</v>
      </c>
      <c r="Q147" s="36">
        <v>0.8666666666666667</v>
      </c>
    </row>
    <row r="148" spans="1:17" x14ac:dyDescent="0.3">
      <c r="A148" t="s">
        <v>352</v>
      </c>
      <c r="B148" t="s">
        <v>353</v>
      </c>
      <c r="C148" s="35">
        <v>230.8</v>
      </c>
      <c r="D148" s="35">
        <v>224.6</v>
      </c>
      <c r="E148" s="35">
        <v>251.1</v>
      </c>
      <c r="F148" s="35">
        <v>224.9</v>
      </c>
      <c r="G148" s="220">
        <v>0.88655462184873945</v>
      </c>
      <c r="H148" s="220">
        <v>0.89062072737216302</v>
      </c>
      <c r="I148" s="220">
        <v>0.8925848925848926</v>
      </c>
      <c r="J148" s="220">
        <v>0.89259096887330114</v>
      </c>
      <c r="K148" s="165">
        <v>2919.8</v>
      </c>
      <c r="L148" s="34">
        <v>377</v>
      </c>
      <c r="M148" s="34">
        <v>65776.442999999999</v>
      </c>
      <c r="N148" s="34">
        <v>573.15352245483996</v>
      </c>
      <c r="O148" s="34">
        <v>331</v>
      </c>
      <c r="P148" s="34">
        <v>365</v>
      </c>
      <c r="Q148" s="36">
        <v>0.9068493150684932</v>
      </c>
    </row>
    <row r="149" spans="1:17" x14ac:dyDescent="0.3">
      <c r="A149" t="s">
        <v>354</v>
      </c>
      <c r="B149" t="s">
        <v>355</v>
      </c>
      <c r="C149" s="35">
        <v>134.6</v>
      </c>
      <c r="D149" s="35">
        <v>131.57</v>
      </c>
      <c r="E149" s="35">
        <v>157.38</v>
      </c>
      <c r="F149" s="35">
        <v>140.33000000000001</v>
      </c>
      <c r="G149" s="220">
        <v>0.91695953408976805</v>
      </c>
      <c r="H149" s="220">
        <v>0.92223779023218577</v>
      </c>
      <c r="I149" s="220">
        <v>0.92146803472770322</v>
      </c>
      <c r="J149" s="220">
        <v>0.92119244391971666</v>
      </c>
      <c r="K149" s="165">
        <v>2227</v>
      </c>
      <c r="L149" s="34">
        <v>370</v>
      </c>
      <c r="M149" s="34">
        <v>116878.80000000002</v>
      </c>
      <c r="N149" s="34">
        <v>316.56724743922757</v>
      </c>
      <c r="O149" s="34">
        <v>310</v>
      </c>
      <c r="P149" s="34">
        <v>412</v>
      </c>
      <c r="Q149" s="36">
        <v>0.75242718446601942</v>
      </c>
    </row>
    <row r="150" spans="1:17" x14ac:dyDescent="0.3">
      <c r="A150" t="s">
        <v>356</v>
      </c>
      <c r="B150" t="s">
        <v>357</v>
      </c>
      <c r="C150" s="35">
        <v>66.2</v>
      </c>
      <c r="D150" s="35">
        <v>69.099999999999994</v>
      </c>
      <c r="E150" s="35">
        <v>62</v>
      </c>
      <c r="F150" s="35">
        <v>59.5</v>
      </c>
      <c r="G150" s="220">
        <v>0.90919629057187012</v>
      </c>
      <c r="H150" s="220">
        <v>0.911993769470405</v>
      </c>
      <c r="I150" s="220">
        <v>0.90631202858277093</v>
      </c>
      <c r="J150" s="220">
        <v>0.90659565751741089</v>
      </c>
      <c r="K150" s="165">
        <v>1874.3</v>
      </c>
      <c r="L150" s="34">
        <v>200</v>
      </c>
      <c r="M150" s="34">
        <v>29931.87</v>
      </c>
      <c r="N150" s="34">
        <v>668.1841127868056</v>
      </c>
      <c r="O150" s="34">
        <v>97</v>
      </c>
      <c r="P150" s="34">
        <v>111</v>
      </c>
      <c r="Q150" s="36">
        <v>0.87387387387387383</v>
      </c>
    </row>
    <row r="151" spans="1:17" x14ac:dyDescent="0.3">
      <c r="A151" t="s">
        <v>358</v>
      </c>
      <c r="B151" t="s">
        <v>359</v>
      </c>
      <c r="C151" s="35">
        <v>188.6</v>
      </c>
      <c r="D151" s="35">
        <v>188.6</v>
      </c>
      <c r="E151" s="35">
        <v>188.6</v>
      </c>
      <c r="F151" s="35">
        <v>188.6</v>
      </c>
      <c r="G151" s="220">
        <v>0.94063545150501671</v>
      </c>
      <c r="H151" s="220">
        <v>0.94338371784672503</v>
      </c>
      <c r="I151" s="220">
        <v>0.94112466976978237</v>
      </c>
      <c r="J151" s="220">
        <v>0.94427519675044425</v>
      </c>
      <c r="K151" s="165">
        <v>1682.5</v>
      </c>
      <c r="L151" s="34">
        <v>610</v>
      </c>
      <c r="M151" s="34">
        <v>74727.120999999985</v>
      </c>
      <c r="N151" s="34">
        <v>816.30336059648289</v>
      </c>
      <c r="O151" s="34">
        <v>272</v>
      </c>
      <c r="P151" s="34">
        <v>309</v>
      </c>
      <c r="Q151" s="36">
        <v>0.88025889967637538</v>
      </c>
    </row>
    <row r="152" spans="1:17" x14ac:dyDescent="0.3">
      <c r="A152" t="s">
        <v>360</v>
      </c>
      <c r="B152" t="s">
        <v>361</v>
      </c>
      <c r="C152" s="35">
        <v>140.19999999999999</v>
      </c>
      <c r="D152" s="35">
        <v>94.5</v>
      </c>
      <c r="E152" s="35">
        <v>141.30000000000001</v>
      </c>
      <c r="F152" s="35">
        <v>124</v>
      </c>
      <c r="G152" s="220">
        <v>0.9212626995645864</v>
      </c>
      <c r="H152" s="220">
        <v>0.90856257264626117</v>
      </c>
      <c r="I152" s="220">
        <v>0.91359492667459374</v>
      </c>
      <c r="J152" s="220">
        <v>0.91008771929824561</v>
      </c>
      <c r="K152" s="165">
        <v>1727.4</v>
      </c>
      <c r="L152" s="34">
        <v>93</v>
      </c>
      <c r="M152" s="34">
        <v>32665.570999999989</v>
      </c>
      <c r="N152" s="34">
        <v>284.70342673636424</v>
      </c>
      <c r="O152" s="34">
        <v>500</v>
      </c>
      <c r="P152" s="34">
        <v>576</v>
      </c>
      <c r="Q152" s="36">
        <v>0.86805555555555558</v>
      </c>
    </row>
    <row r="153" spans="1:17" x14ac:dyDescent="0.3">
      <c r="A153" t="s">
        <v>362</v>
      </c>
      <c r="B153" t="s">
        <v>363</v>
      </c>
      <c r="C153" s="35">
        <v>318</v>
      </c>
      <c r="D153" s="35">
        <v>318</v>
      </c>
      <c r="E153" s="35">
        <v>318</v>
      </c>
      <c r="F153" s="35">
        <v>318</v>
      </c>
      <c r="G153" s="220">
        <v>0.93956704750450981</v>
      </c>
      <c r="H153" s="220">
        <v>0.93487891317188421</v>
      </c>
      <c r="I153" s="220">
        <v>0.92824006958538707</v>
      </c>
      <c r="J153" s="220">
        <v>0.94996930632289756</v>
      </c>
      <c r="K153" s="165">
        <v>2753</v>
      </c>
      <c r="L153" s="34">
        <v>322</v>
      </c>
      <c r="M153" s="34">
        <v>45377.261999999988</v>
      </c>
      <c r="N153" s="34">
        <v>709.60649851460869</v>
      </c>
      <c r="O153" s="34">
        <v>304</v>
      </c>
      <c r="P153" s="34">
        <v>400</v>
      </c>
      <c r="Q153" s="36">
        <v>0.76</v>
      </c>
    </row>
    <row r="154" spans="1:17" x14ac:dyDescent="0.3">
      <c r="A154" t="s">
        <v>364</v>
      </c>
      <c r="B154" t="s">
        <v>365</v>
      </c>
      <c r="C154" s="35">
        <v>156.9</v>
      </c>
      <c r="D154" s="35">
        <v>148.4</v>
      </c>
      <c r="E154" s="35">
        <v>169.2</v>
      </c>
      <c r="F154" s="35">
        <v>156.5</v>
      </c>
      <c r="G154" s="220">
        <v>0.90876100125728654</v>
      </c>
      <c r="H154" s="220">
        <v>0.90949881476464611</v>
      </c>
      <c r="I154" s="220">
        <v>0.90738007380073804</v>
      </c>
      <c r="J154" s="220">
        <v>0.90365369811097296</v>
      </c>
      <c r="K154" s="165">
        <v>1466.6</v>
      </c>
      <c r="L154" s="34">
        <v>777</v>
      </c>
      <c r="M154" s="34">
        <v>145220.74</v>
      </c>
      <c r="N154" s="34">
        <v>535.04754210727754</v>
      </c>
      <c r="O154" s="34">
        <v>618</v>
      </c>
      <c r="P154" s="34">
        <v>745</v>
      </c>
      <c r="Q154" s="36">
        <v>0.82953020134228184</v>
      </c>
    </row>
    <row r="155" spans="1:17" x14ac:dyDescent="0.3">
      <c r="A155" t="s">
        <v>367</v>
      </c>
      <c r="B155" t="s">
        <v>368</v>
      </c>
      <c r="C155" s="35">
        <v>194.9</v>
      </c>
      <c r="D155" s="35">
        <v>190.5</v>
      </c>
      <c r="E155" s="35">
        <v>186.1</v>
      </c>
      <c r="F155" s="35">
        <v>181.3</v>
      </c>
      <c r="G155" s="220">
        <v>0.95227660092524957</v>
      </c>
      <c r="H155" s="220">
        <v>0.94939818226479977</v>
      </c>
      <c r="I155" s="220">
        <v>0.945986124876115</v>
      </c>
      <c r="J155" s="220">
        <v>0.94299999999999995</v>
      </c>
      <c r="K155" s="165">
        <v>1966.8</v>
      </c>
      <c r="L155" s="34">
        <v>180</v>
      </c>
      <c r="M155" s="34">
        <v>40850.445999999982</v>
      </c>
      <c r="N155" s="34">
        <v>440.63166409492828</v>
      </c>
      <c r="O155">
        <v>92</v>
      </c>
      <c r="P155">
        <v>110</v>
      </c>
      <c r="Q155">
        <v>0.83636363636363631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B088-4CD4-4D12-B8EE-419A961E5812}">
  <dimension ref="A1:A204"/>
  <sheetViews>
    <sheetView workbookViewId="0">
      <selection activeCell="C4" sqref="C4"/>
    </sheetView>
  </sheetViews>
  <sheetFormatPr defaultRowHeight="14.4" x14ac:dyDescent="0.3"/>
  <cols>
    <col min="1" max="1" width="67.88671875" customWidth="1"/>
  </cols>
  <sheetData>
    <row r="1" spans="1:1" x14ac:dyDescent="0.3">
      <c r="A1" t="s">
        <v>448</v>
      </c>
    </row>
    <row r="2" spans="1:1" x14ac:dyDescent="0.3">
      <c r="A2" t="s">
        <v>449</v>
      </c>
    </row>
    <row r="3" spans="1:1" x14ac:dyDescent="0.3">
      <c r="A3" t="s">
        <v>450</v>
      </c>
    </row>
    <row r="4" spans="1:1" x14ac:dyDescent="0.3">
      <c r="A4" t="s">
        <v>451</v>
      </c>
    </row>
    <row r="5" spans="1:1" x14ac:dyDescent="0.3">
      <c r="A5" t="s">
        <v>452</v>
      </c>
    </row>
    <row r="6" spans="1:1" x14ac:dyDescent="0.3">
      <c r="A6" t="s">
        <v>453</v>
      </c>
    </row>
    <row r="7" spans="1:1" x14ac:dyDescent="0.3">
      <c r="A7" t="s">
        <v>454</v>
      </c>
    </row>
    <row r="8" spans="1:1" x14ac:dyDescent="0.3">
      <c r="A8" t="s">
        <v>455</v>
      </c>
    </row>
    <row r="9" spans="1:1" x14ac:dyDescent="0.3">
      <c r="A9" t="s">
        <v>456</v>
      </c>
    </row>
    <row r="10" spans="1:1" x14ac:dyDescent="0.3">
      <c r="A10" t="s">
        <v>457</v>
      </c>
    </row>
    <row r="11" spans="1:1" x14ac:dyDescent="0.3">
      <c r="A11" t="s">
        <v>458</v>
      </c>
    </row>
    <row r="12" spans="1:1" x14ac:dyDescent="0.3">
      <c r="A12" t="s">
        <v>459</v>
      </c>
    </row>
    <row r="13" spans="1:1" x14ac:dyDescent="0.3">
      <c r="A13" t="s">
        <v>460</v>
      </c>
    </row>
    <row r="14" spans="1:1" x14ac:dyDescent="0.3">
      <c r="A14" t="s">
        <v>461</v>
      </c>
    </row>
    <row r="15" spans="1:1" x14ac:dyDescent="0.3">
      <c r="A15" t="s">
        <v>462</v>
      </c>
    </row>
    <row r="16" spans="1:1" x14ac:dyDescent="0.3">
      <c r="A16" t="s">
        <v>463</v>
      </c>
    </row>
    <row r="17" spans="1:1" x14ac:dyDescent="0.3">
      <c r="A17" t="s">
        <v>464</v>
      </c>
    </row>
    <row r="18" spans="1:1" x14ac:dyDescent="0.3">
      <c r="A18" t="s">
        <v>465</v>
      </c>
    </row>
    <row r="19" spans="1:1" x14ac:dyDescent="0.3">
      <c r="A19" t="s">
        <v>466</v>
      </c>
    </row>
    <row r="20" spans="1:1" x14ac:dyDescent="0.3">
      <c r="A20" t="s">
        <v>467</v>
      </c>
    </row>
    <row r="21" spans="1:1" x14ac:dyDescent="0.3">
      <c r="A21" t="s">
        <v>468</v>
      </c>
    </row>
    <row r="22" spans="1:1" x14ac:dyDescent="0.3">
      <c r="A22" t="s">
        <v>469</v>
      </c>
    </row>
    <row r="23" spans="1:1" x14ac:dyDescent="0.3">
      <c r="A23" t="s">
        <v>470</v>
      </c>
    </row>
    <row r="24" spans="1:1" x14ac:dyDescent="0.3">
      <c r="A24" t="s">
        <v>471</v>
      </c>
    </row>
    <row r="25" spans="1:1" x14ac:dyDescent="0.3">
      <c r="A25" t="s">
        <v>472</v>
      </c>
    </row>
    <row r="26" spans="1:1" x14ac:dyDescent="0.3">
      <c r="A26" t="s">
        <v>473</v>
      </c>
    </row>
    <row r="27" spans="1:1" x14ac:dyDescent="0.3">
      <c r="A27" t="s">
        <v>474</v>
      </c>
    </row>
    <row r="28" spans="1:1" x14ac:dyDescent="0.3">
      <c r="A28" t="s">
        <v>475</v>
      </c>
    </row>
    <row r="29" spans="1:1" x14ac:dyDescent="0.3">
      <c r="A29" t="s">
        <v>476</v>
      </c>
    </row>
    <row r="30" spans="1:1" x14ac:dyDescent="0.3">
      <c r="A30" t="s">
        <v>477</v>
      </c>
    </row>
    <row r="31" spans="1:1" x14ac:dyDescent="0.3">
      <c r="A31" t="s">
        <v>478</v>
      </c>
    </row>
    <row r="32" spans="1:1" x14ac:dyDescent="0.3">
      <c r="A32" t="s">
        <v>479</v>
      </c>
    </row>
    <row r="33" spans="1:1" x14ac:dyDescent="0.3">
      <c r="A33" t="s">
        <v>480</v>
      </c>
    </row>
    <row r="34" spans="1:1" x14ac:dyDescent="0.3">
      <c r="A34" t="s">
        <v>481</v>
      </c>
    </row>
    <row r="35" spans="1:1" x14ac:dyDescent="0.3">
      <c r="A35" t="s">
        <v>482</v>
      </c>
    </row>
    <row r="36" spans="1:1" x14ac:dyDescent="0.3">
      <c r="A36" t="s">
        <v>483</v>
      </c>
    </row>
    <row r="37" spans="1:1" x14ac:dyDescent="0.3">
      <c r="A37" t="s">
        <v>484</v>
      </c>
    </row>
    <row r="38" spans="1:1" x14ac:dyDescent="0.3">
      <c r="A38" t="s">
        <v>485</v>
      </c>
    </row>
    <row r="39" spans="1:1" x14ac:dyDescent="0.3">
      <c r="A39" t="s">
        <v>486</v>
      </c>
    </row>
    <row r="40" spans="1:1" x14ac:dyDescent="0.3">
      <c r="A40" t="s">
        <v>487</v>
      </c>
    </row>
    <row r="41" spans="1:1" x14ac:dyDescent="0.3">
      <c r="A41" t="s">
        <v>488</v>
      </c>
    </row>
    <row r="42" spans="1:1" x14ac:dyDescent="0.3">
      <c r="A42" t="s">
        <v>489</v>
      </c>
    </row>
    <row r="43" spans="1:1" x14ac:dyDescent="0.3">
      <c r="A43" t="s">
        <v>490</v>
      </c>
    </row>
    <row r="44" spans="1:1" x14ac:dyDescent="0.3">
      <c r="A44" t="s">
        <v>491</v>
      </c>
    </row>
    <row r="45" spans="1:1" x14ac:dyDescent="0.3">
      <c r="A45" t="s">
        <v>492</v>
      </c>
    </row>
    <row r="46" spans="1:1" x14ac:dyDescent="0.3">
      <c r="A46" t="s">
        <v>493</v>
      </c>
    </row>
    <row r="47" spans="1:1" x14ac:dyDescent="0.3">
      <c r="A47" t="s">
        <v>494</v>
      </c>
    </row>
    <row r="48" spans="1:1" x14ac:dyDescent="0.3">
      <c r="A48" t="s">
        <v>495</v>
      </c>
    </row>
    <row r="49" spans="1:1" x14ac:dyDescent="0.3">
      <c r="A49" t="s">
        <v>496</v>
      </c>
    </row>
    <row r="50" spans="1:1" x14ac:dyDescent="0.3">
      <c r="A50" t="s">
        <v>497</v>
      </c>
    </row>
    <row r="51" spans="1:1" x14ac:dyDescent="0.3">
      <c r="A51" t="s">
        <v>498</v>
      </c>
    </row>
    <row r="52" spans="1:1" x14ac:dyDescent="0.3">
      <c r="A52" t="s">
        <v>499</v>
      </c>
    </row>
    <row r="53" spans="1:1" x14ac:dyDescent="0.3">
      <c r="A53" t="s">
        <v>500</v>
      </c>
    </row>
    <row r="54" spans="1:1" x14ac:dyDescent="0.3">
      <c r="A54" t="s">
        <v>501</v>
      </c>
    </row>
    <row r="55" spans="1:1" x14ac:dyDescent="0.3">
      <c r="A55" t="s">
        <v>502</v>
      </c>
    </row>
    <row r="56" spans="1:1" x14ac:dyDescent="0.3">
      <c r="A56" t="s">
        <v>503</v>
      </c>
    </row>
    <row r="57" spans="1:1" x14ac:dyDescent="0.3">
      <c r="A57" t="s">
        <v>504</v>
      </c>
    </row>
    <row r="58" spans="1:1" x14ac:dyDescent="0.3">
      <c r="A58" t="s">
        <v>505</v>
      </c>
    </row>
    <row r="59" spans="1:1" x14ac:dyDescent="0.3">
      <c r="A59" t="s">
        <v>506</v>
      </c>
    </row>
    <row r="60" spans="1:1" x14ac:dyDescent="0.3">
      <c r="A60" t="s">
        <v>507</v>
      </c>
    </row>
    <row r="61" spans="1:1" x14ac:dyDescent="0.3">
      <c r="A61" t="s">
        <v>508</v>
      </c>
    </row>
    <row r="62" spans="1:1" x14ac:dyDescent="0.3">
      <c r="A62" t="s">
        <v>509</v>
      </c>
    </row>
    <row r="63" spans="1:1" x14ac:dyDescent="0.3">
      <c r="A63" t="s">
        <v>510</v>
      </c>
    </row>
    <row r="64" spans="1:1" x14ac:dyDescent="0.3">
      <c r="A64" t="s">
        <v>511</v>
      </c>
    </row>
    <row r="65" spans="1:1" x14ac:dyDescent="0.3">
      <c r="A65" t="s">
        <v>512</v>
      </c>
    </row>
    <row r="66" spans="1:1" x14ac:dyDescent="0.3">
      <c r="A66" t="s">
        <v>513</v>
      </c>
    </row>
    <row r="67" spans="1:1" x14ac:dyDescent="0.3">
      <c r="A67" t="s">
        <v>514</v>
      </c>
    </row>
    <row r="68" spans="1:1" x14ac:dyDescent="0.3">
      <c r="A68" t="s">
        <v>515</v>
      </c>
    </row>
    <row r="69" spans="1:1" x14ac:dyDescent="0.3">
      <c r="A69" t="s">
        <v>516</v>
      </c>
    </row>
    <row r="70" spans="1:1" x14ac:dyDescent="0.3">
      <c r="A70" t="s">
        <v>517</v>
      </c>
    </row>
    <row r="71" spans="1:1" x14ac:dyDescent="0.3">
      <c r="A71" t="s">
        <v>518</v>
      </c>
    </row>
    <row r="72" spans="1:1" x14ac:dyDescent="0.3">
      <c r="A72" t="s">
        <v>519</v>
      </c>
    </row>
    <row r="73" spans="1:1" x14ac:dyDescent="0.3">
      <c r="A73" t="s">
        <v>520</v>
      </c>
    </row>
    <row r="74" spans="1:1" x14ac:dyDescent="0.3">
      <c r="A74" t="s">
        <v>521</v>
      </c>
    </row>
    <row r="75" spans="1:1" x14ac:dyDescent="0.3">
      <c r="A75" t="s">
        <v>522</v>
      </c>
    </row>
    <row r="76" spans="1:1" x14ac:dyDescent="0.3">
      <c r="A76" t="s">
        <v>523</v>
      </c>
    </row>
    <row r="77" spans="1:1" x14ac:dyDescent="0.3">
      <c r="A77" t="s">
        <v>524</v>
      </c>
    </row>
    <row r="78" spans="1:1" x14ac:dyDescent="0.3">
      <c r="A78" t="s">
        <v>525</v>
      </c>
    </row>
    <row r="79" spans="1:1" x14ac:dyDescent="0.3">
      <c r="A79" t="s">
        <v>526</v>
      </c>
    </row>
    <row r="80" spans="1:1" x14ac:dyDescent="0.3">
      <c r="A80" t="s">
        <v>527</v>
      </c>
    </row>
    <row r="81" spans="1:1" x14ac:dyDescent="0.3">
      <c r="A81" t="s">
        <v>528</v>
      </c>
    </row>
    <row r="82" spans="1:1" x14ac:dyDescent="0.3">
      <c r="A82" t="s">
        <v>529</v>
      </c>
    </row>
    <row r="83" spans="1:1" x14ac:dyDescent="0.3">
      <c r="A83" t="s">
        <v>530</v>
      </c>
    </row>
    <row r="84" spans="1:1" x14ac:dyDescent="0.3">
      <c r="A84" t="s">
        <v>531</v>
      </c>
    </row>
    <row r="85" spans="1:1" x14ac:dyDescent="0.3">
      <c r="A85" t="s">
        <v>532</v>
      </c>
    </row>
    <row r="86" spans="1:1" x14ac:dyDescent="0.3">
      <c r="A86" t="s">
        <v>533</v>
      </c>
    </row>
    <row r="87" spans="1:1" x14ac:dyDescent="0.3">
      <c r="A87" t="s">
        <v>534</v>
      </c>
    </row>
    <row r="88" spans="1:1" x14ac:dyDescent="0.3">
      <c r="A88" t="s">
        <v>535</v>
      </c>
    </row>
    <row r="89" spans="1:1" x14ac:dyDescent="0.3">
      <c r="A89" t="s">
        <v>536</v>
      </c>
    </row>
    <row r="90" spans="1:1" x14ac:dyDescent="0.3">
      <c r="A90" t="s">
        <v>537</v>
      </c>
    </row>
    <row r="91" spans="1:1" x14ac:dyDescent="0.3">
      <c r="A91" t="s">
        <v>538</v>
      </c>
    </row>
    <row r="92" spans="1:1" x14ac:dyDescent="0.3">
      <c r="A92" t="s">
        <v>539</v>
      </c>
    </row>
    <row r="93" spans="1:1" x14ac:dyDescent="0.3">
      <c r="A93" t="s">
        <v>540</v>
      </c>
    </row>
    <row r="94" spans="1:1" x14ac:dyDescent="0.3">
      <c r="A94" t="s">
        <v>541</v>
      </c>
    </row>
    <row r="95" spans="1:1" x14ac:dyDescent="0.3">
      <c r="A95" t="s">
        <v>542</v>
      </c>
    </row>
    <row r="96" spans="1:1" x14ac:dyDescent="0.3">
      <c r="A96" t="s">
        <v>543</v>
      </c>
    </row>
    <row r="97" spans="1:1" x14ac:dyDescent="0.3">
      <c r="A97" t="s">
        <v>544</v>
      </c>
    </row>
    <row r="98" spans="1:1" x14ac:dyDescent="0.3">
      <c r="A98" t="s">
        <v>545</v>
      </c>
    </row>
    <row r="99" spans="1:1" x14ac:dyDescent="0.3">
      <c r="A99" t="s">
        <v>546</v>
      </c>
    </row>
    <row r="100" spans="1:1" x14ac:dyDescent="0.3">
      <c r="A100" t="s">
        <v>547</v>
      </c>
    </row>
    <row r="101" spans="1:1" x14ac:dyDescent="0.3">
      <c r="A101" t="s">
        <v>548</v>
      </c>
    </row>
    <row r="102" spans="1:1" x14ac:dyDescent="0.3">
      <c r="A102" t="s">
        <v>549</v>
      </c>
    </row>
    <row r="103" spans="1:1" x14ac:dyDescent="0.3">
      <c r="A103" t="s">
        <v>550</v>
      </c>
    </row>
    <row r="104" spans="1:1" x14ac:dyDescent="0.3">
      <c r="A104" t="s">
        <v>551</v>
      </c>
    </row>
    <row r="105" spans="1:1" x14ac:dyDescent="0.3">
      <c r="A105" t="s">
        <v>552</v>
      </c>
    </row>
    <row r="106" spans="1:1" x14ac:dyDescent="0.3">
      <c r="A106" t="s">
        <v>553</v>
      </c>
    </row>
    <row r="107" spans="1:1" x14ac:dyDescent="0.3">
      <c r="A107" t="s">
        <v>554</v>
      </c>
    </row>
    <row r="108" spans="1:1" x14ac:dyDescent="0.3">
      <c r="A108" t="s">
        <v>555</v>
      </c>
    </row>
    <row r="109" spans="1:1" x14ac:dyDescent="0.3">
      <c r="A109" t="s">
        <v>556</v>
      </c>
    </row>
    <row r="110" spans="1:1" x14ac:dyDescent="0.3">
      <c r="A110" t="s">
        <v>557</v>
      </c>
    </row>
    <row r="111" spans="1:1" x14ac:dyDescent="0.3">
      <c r="A111" t="s">
        <v>558</v>
      </c>
    </row>
    <row r="112" spans="1:1" x14ac:dyDescent="0.3">
      <c r="A112" t="s">
        <v>559</v>
      </c>
    </row>
    <row r="113" spans="1:1" x14ac:dyDescent="0.3">
      <c r="A113" t="s">
        <v>560</v>
      </c>
    </row>
    <row r="114" spans="1:1" x14ac:dyDescent="0.3">
      <c r="A114" t="s">
        <v>561</v>
      </c>
    </row>
    <row r="115" spans="1:1" x14ac:dyDescent="0.3">
      <c r="A115" t="s">
        <v>562</v>
      </c>
    </row>
    <row r="116" spans="1:1" x14ac:dyDescent="0.3">
      <c r="A116" t="s">
        <v>563</v>
      </c>
    </row>
    <row r="117" spans="1:1" x14ac:dyDescent="0.3">
      <c r="A117" t="s">
        <v>564</v>
      </c>
    </row>
    <row r="118" spans="1:1" x14ac:dyDescent="0.3">
      <c r="A118" t="s">
        <v>565</v>
      </c>
    </row>
    <row r="119" spans="1:1" x14ac:dyDescent="0.3">
      <c r="A119" t="s">
        <v>566</v>
      </c>
    </row>
    <row r="120" spans="1:1" x14ac:dyDescent="0.3">
      <c r="A120" t="s">
        <v>567</v>
      </c>
    </row>
    <row r="121" spans="1:1" x14ac:dyDescent="0.3">
      <c r="A121" t="s">
        <v>568</v>
      </c>
    </row>
    <row r="122" spans="1:1" x14ac:dyDescent="0.3">
      <c r="A122" t="s">
        <v>569</v>
      </c>
    </row>
    <row r="123" spans="1:1" x14ac:dyDescent="0.3">
      <c r="A123" t="s">
        <v>570</v>
      </c>
    </row>
    <row r="124" spans="1:1" x14ac:dyDescent="0.3">
      <c r="A124" t="s">
        <v>571</v>
      </c>
    </row>
    <row r="125" spans="1:1" x14ac:dyDescent="0.3">
      <c r="A125" t="s">
        <v>572</v>
      </c>
    </row>
    <row r="126" spans="1:1" x14ac:dyDescent="0.3">
      <c r="A126" t="s">
        <v>573</v>
      </c>
    </row>
    <row r="127" spans="1:1" x14ac:dyDescent="0.3">
      <c r="A127" t="s">
        <v>574</v>
      </c>
    </row>
    <row r="128" spans="1:1" x14ac:dyDescent="0.3">
      <c r="A128" t="s">
        <v>575</v>
      </c>
    </row>
    <row r="129" spans="1:1" x14ac:dyDescent="0.3">
      <c r="A129" t="s">
        <v>576</v>
      </c>
    </row>
    <row r="130" spans="1:1" x14ac:dyDescent="0.3">
      <c r="A130" t="s">
        <v>577</v>
      </c>
    </row>
    <row r="131" spans="1:1" x14ac:dyDescent="0.3">
      <c r="A131" t="s">
        <v>578</v>
      </c>
    </row>
    <row r="132" spans="1:1" x14ac:dyDescent="0.3">
      <c r="A132" t="s">
        <v>579</v>
      </c>
    </row>
    <row r="133" spans="1:1" x14ac:dyDescent="0.3">
      <c r="A133" t="s">
        <v>580</v>
      </c>
    </row>
    <row r="134" spans="1:1" x14ac:dyDescent="0.3">
      <c r="A134" t="s">
        <v>581</v>
      </c>
    </row>
    <row r="135" spans="1:1" x14ac:dyDescent="0.3">
      <c r="A135" t="s">
        <v>582</v>
      </c>
    </row>
    <row r="136" spans="1:1" x14ac:dyDescent="0.3">
      <c r="A136" t="s">
        <v>583</v>
      </c>
    </row>
    <row r="137" spans="1:1" x14ac:dyDescent="0.3">
      <c r="A137" t="s">
        <v>584</v>
      </c>
    </row>
    <row r="138" spans="1:1" x14ac:dyDescent="0.3">
      <c r="A138" t="s">
        <v>585</v>
      </c>
    </row>
    <row r="139" spans="1:1" x14ac:dyDescent="0.3">
      <c r="A139" t="s">
        <v>586</v>
      </c>
    </row>
    <row r="140" spans="1:1" x14ac:dyDescent="0.3">
      <c r="A140" t="s">
        <v>587</v>
      </c>
    </row>
    <row r="141" spans="1:1" x14ac:dyDescent="0.3">
      <c r="A141" t="s">
        <v>588</v>
      </c>
    </row>
    <row r="142" spans="1:1" x14ac:dyDescent="0.3">
      <c r="A142" t="s">
        <v>589</v>
      </c>
    </row>
    <row r="143" spans="1:1" x14ac:dyDescent="0.3">
      <c r="A143" t="s">
        <v>590</v>
      </c>
    </row>
    <row r="144" spans="1:1" x14ac:dyDescent="0.3">
      <c r="A144" t="s">
        <v>591</v>
      </c>
    </row>
    <row r="145" spans="1:1" x14ac:dyDescent="0.3">
      <c r="A145" t="s">
        <v>592</v>
      </c>
    </row>
    <row r="146" spans="1:1" x14ac:dyDescent="0.3">
      <c r="A146" t="s">
        <v>593</v>
      </c>
    </row>
    <row r="147" spans="1:1" x14ac:dyDescent="0.3">
      <c r="A147" t="s">
        <v>594</v>
      </c>
    </row>
    <row r="148" spans="1:1" x14ac:dyDescent="0.3">
      <c r="A148" t="s">
        <v>595</v>
      </c>
    </row>
    <row r="149" spans="1:1" x14ac:dyDescent="0.3">
      <c r="A149" t="s">
        <v>596</v>
      </c>
    </row>
    <row r="150" spans="1:1" x14ac:dyDescent="0.3">
      <c r="A150" t="s">
        <v>597</v>
      </c>
    </row>
    <row r="151" spans="1:1" x14ac:dyDescent="0.3">
      <c r="A151" t="s">
        <v>598</v>
      </c>
    </row>
    <row r="152" spans="1:1" x14ac:dyDescent="0.3">
      <c r="A152" t="s">
        <v>599</v>
      </c>
    </row>
    <row r="153" spans="1:1" x14ac:dyDescent="0.3">
      <c r="A153" t="s">
        <v>600</v>
      </c>
    </row>
    <row r="154" spans="1:1" x14ac:dyDescent="0.3">
      <c r="A154" t="s">
        <v>601</v>
      </c>
    </row>
    <row r="155" spans="1:1" x14ac:dyDescent="0.3">
      <c r="A155" t="s">
        <v>602</v>
      </c>
    </row>
    <row r="156" spans="1:1" x14ac:dyDescent="0.3">
      <c r="A156" t="s">
        <v>603</v>
      </c>
    </row>
    <row r="157" spans="1:1" x14ac:dyDescent="0.3">
      <c r="A157" t="s">
        <v>604</v>
      </c>
    </row>
    <row r="158" spans="1:1" x14ac:dyDescent="0.3">
      <c r="A158" t="s">
        <v>605</v>
      </c>
    </row>
    <row r="159" spans="1:1" x14ac:dyDescent="0.3">
      <c r="A159" t="s">
        <v>606</v>
      </c>
    </row>
    <row r="160" spans="1:1" x14ac:dyDescent="0.3">
      <c r="A160" t="s">
        <v>607</v>
      </c>
    </row>
    <row r="161" spans="1:1" x14ac:dyDescent="0.3">
      <c r="A161" t="s">
        <v>608</v>
      </c>
    </row>
    <row r="162" spans="1:1" x14ac:dyDescent="0.3">
      <c r="A162" t="s">
        <v>609</v>
      </c>
    </row>
    <row r="163" spans="1:1" x14ac:dyDescent="0.3">
      <c r="A163" t="s">
        <v>610</v>
      </c>
    </row>
    <row r="164" spans="1:1" x14ac:dyDescent="0.3">
      <c r="A164" t="s">
        <v>611</v>
      </c>
    </row>
    <row r="165" spans="1:1" x14ac:dyDescent="0.3">
      <c r="A165" t="s">
        <v>612</v>
      </c>
    </row>
    <row r="166" spans="1:1" x14ac:dyDescent="0.3">
      <c r="A166" t="s">
        <v>613</v>
      </c>
    </row>
    <row r="167" spans="1:1" x14ac:dyDescent="0.3">
      <c r="A167" t="s">
        <v>614</v>
      </c>
    </row>
    <row r="168" spans="1:1" x14ac:dyDescent="0.3">
      <c r="A168" t="s">
        <v>615</v>
      </c>
    </row>
    <row r="169" spans="1:1" x14ac:dyDescent="0.3">
      <c r="A169" t="s">
        <v>616</v>
      </c>
    </row>
    <row r="170" spans="1:1" x14ac:dyDescent="0.3">
      <c r="A170" t="s">
        <v>617</v>
      </c>
    </row>
    <row r="171" spans="1:1" x14ac:dyDescent="0.3">
      <c r="A171" t="s">
        <v>618</v>
      </c>
    </row>
    <row r="172" spans="1:1" x14ac:dyDescent="0.3">
      <c r="A172" t="s">
        <v>619</v>
      </c>
    </row>
    <row r="173" spans="1:1" x14ac:dyDescent="0.3">
      <c r="A173" t="s">
        <v>620</v>
      </c>
    </row>
    <row r="174" spans="1:1" x14ac:dyDescent="0.3">
      <c r="A174" t="s">
        <v>621</v>
      </c>
    </row>
    <row r="175" spans="1:1" x14ac:dyDescent="0.3">
      <c r="A175" t="s">
        <v>622</v>
      </c>
    </row>
    <row r="176" spans="1:1" x14ac:dyDescent="0.3">
      <c r="A176" t="s">
        <v>623</v>
      </c>
    </row>
    <row r="177" spans="1:1" x14ac:dyDescent="0.3">
      <c r="A177" t="s">
        <v>624</v>
      </c>
    </row>
    <row r="178" spans="1:1" x14ac:dyDescent="0.3">
      <c r="A178" t="s">
        <v>625</v>
      </c>
    </row>
    <row r="179" spans="1:1" x14ac:dyDescent="0.3">
      <c r="A179" t="s">
        <v>626</v>
      </c>
    </row>
    <row r="180" spans="1:1" x14ac:dyDescent="0.3">
      <c r="A180" t="s">
        <v>627</v>
      </c>
    </row>
    <row r="181" spans="1:1" x14ac:dyDescent="0.3">
      <c r="A181" t="s">
        <v>628</v>
      </c>
    </row>
    <row r="182" spans="1:1" x14ac:dyDescent="0.3">
      <c r="A182" t="s">
        <v>629</v>
      </c>
    </row>
    <row r="183" spans="1:1" x14ac:dyDescent="0.3">
      <c r="A183" t="s">
        <v>630</v>
      </c>
    </row>
    <row r="184" spans="1:1" x14ac:dyDescent="0.3">
      <c r="A184" t="s">
        <v>631</v>
      </c>
    </row>
    <row r="185" spans="1:1" x14ac:dyDescent="0.3">
      <c r="A185" t="s">
        <v>632</v>
      </c>
    </row>
    <row r="186" spans="1:1" x14ac:dyDescent="0.3">
      <c r="A186" t="s">
        <v>633</v>
      </c>
    </row>
    <row r="187" spans="1:1" x14ac:dyDescent="0.3">
      <c r="A187" t="s">
        <v>634</v>
      </c>
    </row>
    <row r="188" spans="1:1" x14ac:dyDescent="0.3">
      <c r="A188" t="s">
        <v>635</v>
      </c>
    </row>
    <row r="189" spans="1:1" x14ac:dyDescent="0.3">
      <c r="A189" t="s">
        <v>636</v>
      </c>
    </row>
    <row r="190" spans="1:1" x14ac:dyDescent="0.3">
      <c r="A190" t="s">
        <v>637</v>
      </c>
    </row>
    <row r="191" spans="1:1" x14ac:dyDescent="0.3">
      <c r="A191" t="s">
        <v>638</v>
      </c>
    </row>
    <row r="192" spans="1:1" x14ac:dyDescent="0.3">
      <c r="A192" t="s">
        <v>639</v>
      </c>
    </row>
    <row r="193" spans="1:1" x14ac:dyDescent="0.3">
      <c r="A193" t="s">
        <v>640</v>
      </c>
    </row>
    <row r="194" spans="1:1" x14ac:dyDescent="0.3">
      <c r="A194" t="s">
        <v>641</v>
      </c>
    </row>
    <row r="195" spans="1:1" x14ac:dyDescent="0.3">
      <c r="A195" t="s">
        <v>642</v>
      </c>
    </row>
    <row r="196" spans="1:1" x14ac:dyDescent="0.3">
      <c r="A196" t="s">
        <v>643</v>
      </c>
    </row>
    <row r="197" spans="1:1" x14ac:dyDescent="0.3">
      <c r="A197" t="s">
        <v>644</v>
      </c>
    </row>
    <row r="198" spans="1:1" x14ac:dyDescent="0.3">
      <c r="A198" t="s">
        <v>645</v>
      </c>
    </row>
    <row r="199" spans="1:1" x14ac:dyDescent="0.3">
      <c r="A199" t="s">
        <v>646</v>
      </c>
    </row>
    <row r="200" spans="1:1" x14ac:dyDescent="0.3">
      <c r="A200" t="s">
        <v>647</v>
      </c>
    </row>
    <row r="201" spans="1:1" x14ac:dyDescent="0.3">
      <c r="A201" t="s">
        <v>648</v>
      </c>
    </row>
    <row r="202" spans="1:1" x14ac:dyDescent="0.3">
      <c r="A202" t="s">
        <v>649</v>
      </c>
    </row>
    <row r="203" spans="1:1" x14ac:dyDescent="0.3">
      <c r="A203" t="s">
        <v>650</v>
      </c>
    </row>
    <row r="204" spans="1:1" x14ac:dyDescent="0.3">
      <c r="A204" t="s">
        <v>651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A8B8-44C8-4D55-B013-C06C4A2CB6CC}">
  <dimension ref="A1:V184"/>
  <sheetViews>
    <sheetView showGridLines="0" topLeftCell="A4" zoomScaleNormal="100" workbookViewId="0">
      <selection activeCell="C14" sqref="C14:I14"/>
    </sheetView>
  </sheetViews>
  <sheetFormatPr defaultColWidth="0" defaultRowHeight="0" customHeight="1" zeroHeight="1" x14ac:dyDescent="0.3"/>
  <cols>
    <col min="1" max="1" width="6.109375" customWidth="1"/>
    <col min="2" max="2" width="0.44140625" customWidth="1"/>
    <col min="3" max="3" width="63.5546875" customWidth="1"/>
    <col min="4" max="4" width="55.5546875" customWidth="1"/>
    <col min="5" max="5" width="11.6640625" customWidth="1"/>
    <col min="6" max="8" width="11.33203125" customWidth="1"/>
    <col min="9" max="9" width="7.44140625" customWidth="1"/>
    <col min="10" max="10" width="5.88671875" customWidth="1"/>
    <col min="11" max="11" width="0.6640625" customWidth="1"/>
    <col min="12" max="12" width="14" customWidth="1"/>
    <col min="13" max="13" width="0.88671875" customWidth="1"/>
    <col min="14" max="14" width="11.33203125" style="210" customWidth="1"/>
    <col min="15" max="17" width="11.33203125" customWidth="1"/>
    <col min="18" max="20" width="15.6640625" customWidth="1"/>
    <col min="21" max="16384" width="9.109375" hidden="1"/>
  </cols>
  <sheetData>
    <row r="1" spans="1:14" ht="15" thickBot="1" x14ac:dyDescent="0.35">
      <c r="A1" s="120" t="s">
        <v>62</v>
      </c>
    </row>
    <row r="2" spans="1:14" ht="18.600000000000001" thickBot="1" x14ac:dyDescent="0.4">
      <c r="C2" s="242" t="s">
        <v>652</v>
      </c>
      <c r="D2" s="285"/>
      <c r="E2" s="99"/>
      <c r="F2" s="100"/>
      <c r="G2" s="100"/>
    </row>
    <row r="3" spans="1:14" ht="14.4" x14ac:dyDescent="0.3">
      <c r="C3" s="9" t="s">
        <v>653</v>
      </c>
      <c r="E3" s="4"/>
    </row>
    <row r="4" spans="1:14" ht="14.4" x14ac:dyDescent="0.3"/>
    <row r="5" spans="1:14" ht="14.4" x14ac:dyDescent="0.3">
      <c r="C5" t="s">
        <v>396</v>
      </c>
      <c r="D5" s="77" t="str" cm="1">
        <f t="array" ref="D5:F5">IF('2. Cover'!D165:F165="&lt;Please select a Health and Wellbeing Board&gt;","Please select in '2. Cover' sheet",'2. Cover'!D165:F165)</f>
        <v>Hillingdon</v>
      </c>
      <c r="E5" s="119">
        <v>0</v>
      </c>
      <c r="F5" s="120">
        <v>0</v>
      </c>
    </row>
    <row r="6" spans="1:14" ht="14.4" x14ac:dyDescent="0.3"/>
    <row r="7" spans="1:14" ht="14.4" x14ac:dyDescent="0.3"/>
    <row r="8" spans="1:14" ht="14.4" x14ac:dyDescent="0.3">
      <c r="C8" s="79" t="s">
        <v>654</v>
      </c>
    </row>
    <row r="9" spans="1:14" ht="14.4" x14ac:dyDescent="0.3">
      <c r="K9" s="18"/>
      <c r="L9" s="19" t="s">
        <v>379</v>
      </c>
      <c r="M9" s="19"/>
    </row>
    <row r="10" spans="1:14" ht="14.4" x14ac:dyDescent="0.3">
      <c r="C10" s="292" t="s">
        <v>655</v>
      </c>
      <c r="D10" s="293"/>
      <c r="E10" s="293"/>
      <c r="F10" s="293"/>
      <c r="G10" s="293"/>
      <c r="H10" s="293"/>
      <c r="I10" s="294"/>
      <c r="K10" s="21"/>
      <c r="L10" s="22" t="s">
        <v>380</v>
      </c>
      <c r="M10" s="22"/>
    </row>
    <row r="11" spans="1:14" ht="44.25" customHeight="1" x14ac:dyDescent="0.3">
      <c r="C11" s="301" t="s">
        <v>9813</v>
      </c>
      <c r="D11" s="290"/>
      <c r="E11" s="290"/>
      <c r="F11" s="290"/>
      <c r="G11" s="290"/>
      <c r="H11" s="290"/>
      <c r="I11" s="291"/>
      <c r="K11" s="21"/>
      <c r="L11" s="17" t="str">
        <f>IF(ISBLANK(C11),"No","Yes")</f>
        <v>Yes</v>
      </c>
      <c r="M11" s="22"/>
      <c r="N11" s="210">
        <f>IF(L11="No", 1,0)</f>
        <v>0</v>
      </c>
    </row>
    <row r="12" spans="1:14" ht="33" customHeight="1" x14ac:dyDescent="0.3">
      <c r="C12" s="292" t="s">
        <v>656</v>
      </c>
      <c r="D12" s="293"/>
      <c r="E12" s="293"/>
      <c r="F12" s="293"/>
      <c r="G12" s="293"/>
      <c r="H12" s="293"/>
      <c r="I12" s="294"/>
      <c r="K12" s="21"/>
      <c r="L12" s="22"/>
      <c r="M12" s="22"/>
    </row>
    <row r="13" spans="1:14" ht="14.4" x14ac:dyDescent="0.3">
      <c r="C13" s="179" t="s">
        <v>657</v>
      </c>
      <c r="D13" s="180"/>
      <c r="E13" s="180"/>
      <c r="F13" s="180"/>
      <c r="G13" s="180"/>
      <c r="H13" s="180"/>
      <c r="I13" s="181"/>
      <c r="K13" s="21"/>
      <c r="L13" s="22"/>
      <c r="M13" s="22"/>
    </row>
    <row r="14" spans="1:14" ht="44.25" customHeight="1" x14ac:dyDescent="0.3">
      <c r="C14" s="301" t="s">
        <v>9821</v>
      </c>
      <c r="D14" s="290"/>
      <c r="E14" s="290"/>
      <c r="F14" s="290"/>
      <c r="G14" s="290"/>
      <c r="H14" s="290"/>
      <c r="I14" s="291"/>
      <c r="K14" s="21"/>
      <c r="L14" s="17" t="str">
        <f>IF(ISBLANK(C14),"No","Yes")</f>
        <v>Yes</v>
      </c>
      <c r="M14" s="22"/>
      <c r="N14" s="210">
        <f t="shared" ref="N14:N24" si="0">IF(L14="No", 1,0)</f>
        <v>0</v>
      </c>
    </row>
    <row r="15" spans="1:14" ht="14.25" customHeight="1" x14ac:dyDescent="0.3">
      <c r="C15" s="179" t="s">
        <v>658</v>
      </c>
      <c r="D15" s="180"/>
      <c r="E15" s="180"/>
      <c r="F15" s="180"/>
      <c r="G15" s="180"/>
      <c r="H15" s="180"/>
      <c r="I15" s="181"/>
      <c r="K15" s="21"/>
      <c r="L15" s="22"/>
      <c r="M15" s="22"/>
    </row>
    <row r="16" spans="1:14" ht="44.25" customHeight="1" x14ac:dyDescent="0.3">
      <c r="C16" s="289" t="s">
        <v>9819</v>
      </c>
      <c r="D16" s="290"/>
      <c r="E16" s="290"/>
      <c r="F16" s="290"/>
      <c r="G16" s="290"/>
      <c r="H16" s="290"/>
      <c r="I16" s="291"/>
      <c r="K16" s="21"/>
      <c r="L16" s="17" t="str">
        <f>IF(ISBLANK(C16),"No","Yes")</f>
        <v>Yes</v>
      </c>
      <c r="M16" s="22"/>
      <c r="N16" s="210">
        <f t="shared" si="0"/>
        <v>0</v>
      </c>
    </row>
    <row r="17" spans="3:14" ht="30" customHeight="1" x14ac:dyDescent="0.3">
      <c r="C17" s="292" t="s">
        <v>659</v>
      </c>
      <c r="D17" s="295"/>
      <c r="E17" s="295"/>
      <c r="F17" s="295"/>
      <c r="G17" s="295"/>
      <c r="H17" s="295"/>
      <c r="I17" s="296"/>
      <c r="K17" s="21"/>
      <c r="L17" s="22"/>
      <c r="M17" s="22"/>
    </row>
    <row r="18" spans="3:14" ht="44.25" customHeight="1" x14ac:dyDescent="0.3">
      <c r="C18" s="301" t="s">
        <v>9814</v>
      </c>
      <c r="D18" s="290"/>
      <c r="E18" s="290"/>
      <c r="F18" s="290"/>
      <c r="G18" s="290"/>
      <c r="H18" s="290"/>
      <c r="I18" s="291"/>
      <c r="K18" s="21"/>
      <c r="L18" s="17" t="str">
        <f>IF(ISBLANK(C18),"No","Yes")</f>
        <v>Yes</v>
      </c>
      <c r="M18" s="22"/>
      <c r="N18" s="210">
        <f t="shared" si="0"/>
        <v>0</v>
      </c>
    </row>
    <row r="19" spans="3:14" ht="14.4" x14ac:dyDescent="0.3">
      <c r="C19" s="297" t="s">
        <v>660</v>
      </c>
      <c r="D19" s="295"/>
      <c r="E19" s="295"/>
      <c r="F19" s="295"/>
      <c r="G19" s="295"/>
      <c r="H19" s="295"/>
      <c r="I19" s="296"/>
      <c r="K19" s="21"/>
      <c r="L19" s="22"/>
      <c r="M19" s="22"/>
    </row>
    <row r="20" spans="3:14" ht="44.25" customHeight="1" x14ac:dyDescent="0.3">
      <c r="C20" s="301" t="s">
        <v>9820</v>
      </c>
      <c r="D20" s="290"/>
      <c r="E20" s="290"/>
      <c r="F20" s="290"/>
      <c r="G20" s="290"/>
      <c r="H20" s="290"/>
      <c r="I20" s="291"/>
      <c r="K20" s="21"/>
      <c r="L20" s="17" t="str">
        <f>IF(ISBLANK(C20),"No","Yes")</f>
        <v>Yes</v>
      </c>
      <c r="M20" s="22"/>
      <c r="N20" s="210">
        <f t="shared" si="0"/>
        <v>0</v>
      </c>
    </row>
    <row r="21" spans="3:14" ht="14.4" x14ac:dyDescent="0.3">
      <c r="C21" s="297" t="s">
        <v>661</v>
      </c>
      <c r="D21" s="295"/>
      <c r="E21" s="295"/>
      <c r="F21" s="295"/>
      <c r="G21" s="295"/>
      <c r="H21" s="295"/>
      <c r="I21" s="296"/>
      <c r="K21" s="21"/>
      <c r="L21" s="22"/>
      <c r="M21" s="22"/>
    </row>
    <row r="22" spans="3:14" ht="44.25" customHeight="1" x14ac:dyDescent="0.3">
      <c r="C22" s="289" t="s">
        <v>9816</v>
      </c>
      <c r="D22" s="290"/>
      <c r="E22" s="290"/>
      <c r="F22" s="290"/>
      <c r="G22" s="290"/>
      <c r="H22" s="290"/>
      <c r="I22" s="291"/>
      <c r="K22" s="21"/>
      <c r="L22" s="17" t="str">
        <f>IF(ISBLANK(C22),"No","Yes")</f>
        <v>Yes</v>
      </c>
      <c r="M22" s="22"/>
      <c r="N22" s="210">
        <f t="shared" si="0"/>
        <v>0</v>
      </c>
    </row>
    <row r="23" spans="3:14" ht="14.4" x14ac:dyDescent="0.3">
      <c r="C23" s="297" t="s">
        <v>662</v>
      </c>
      <c r="D23" s="295"/>
      <c r="E23" s="295"/>
      <c r="F23" s="295"/>
      <c r="G23" s="295"/>
      <c r="H23" s="295"/>
      <c r="I23" s="296"/>
      <c r="K23" s="21"/>
      <c r="L23" s="22"/>
      <c r="M23" s="22"/>
    </row>
    <row r="24" spans="3:14" ht="84.75" customHeight="1" x14ac:dyDescent="0.3">
      <c r="C24" s="301" t="s">
        <v>9815</v>
      </c>
      <c r="D24" s="290"/>
      <c r="E24" s="290"/>
      <c r="F24" s="290"/>
      <c r="G24" s="290"/>
      <c r="H24" s="290"/>
      <c r="I24" s="291"/>
      <c r="K24" s="21"/>
      <c r="L24" s="17" t="str">
        <f t="shared" ref="L24" si="1">IF(ISBLANK(C24),"No","Yes")</f>
        <v>Yes</v>
      </c>
      <c r="M24" s="22"/>
      <c r="N24" s="210">
        <f t="shared" si="0"/>
        <v>0</v>
      </c>
    </row>
    <row r="25" spans="3:14" ht="14.4" x14ac:dyDescent="0.3">
      <c r="C25" s="9" t="s">
        <v>663</v>
      </c>
      <c r="N25" s="210">
        <f>SUM(N11:N24)</f>
        <v>0</v>
      </c>
    </row>
    <row r="26" spans="3:14" ht="14.4" x14ac:dyDescent="0.3">
      <c r="C26" s="9"/>
    </row>
    <row r="27" spans="3:14" ht="14.4" x14ac:dyDescent="0.3">
      <c r="C27" s="182" t="s">
        <v>654</v>
      </c>
    </row>
    <row r="28" spans="3:14" ht="158.25" customHeight="1" x14ac:dyDescent="0.3">
      <c r="C28" s="298" t="s">
        <v>664</v>
      </c>
      <c r="D28" s="299"/>
      <c r="E28" s="299"/>
      <c r="F28" s="299"/>
      <c r="G28" s="299"/>
      <c r="H28" s="299"/>
      <c r="I28" s="299"/>
      <c r="J28" s="299"/>
    </row>
    <row r="29" spans="3:14" ht="18" customHeight="1" x14ac:dyDescent="0.3">
      <c r="C29" s="184" t="s">
        <v>665</v>
      </c>
      <c r="D29" s="183"/>
      <c r="E29" s="183"/>
      <c r="F29" s="183"/>
      <c r="G29" s="183"/>
      <c r="H29" s="183"/>
      <c r="I29" s="183"/>
      <c r="J29" s="183"/>
    </row>
    <row r="30" spans="3:14" ht="48" customHeight="1" x14ac:dyDescent="0.3">
      <c r="C30" s="300" t="s">
        <v>666</v>
      </c>
      <c r="D30" s="300"/>
      <c r="E30" s="300"/>
      <c r="F30" s="300"/>
      <c r="G30" s="300"/>
      <c r="H30" s="300"/>
      <c r="I30" s="300"/>
      <c r="J30" s="300"/>
    </row>
    <row r="31" spans="3:14" ht="14.4" x14ac:dyDescent="0.3">
      <c r="C31" s="171" t="s">
        <v>667</v>
      </c>
    </row>
    <row r="32" spans="3:14" ht="276" customHeight="1" x14ac:dyDescent="0.3">
      <c r="C32" s="286" t="s">
        <v>668</v>
      </c>
      <c r="D32" s="287"/>
      <c r="E32" s="287"/>
      <c r="F32" s="287"/>
      <c r="G32" s="287"/>
      <c r="H32" s="287"/>
      <c r="I32" s="287"/>
      <c r="J32" s="288"/>
    </row>
    <row r="33" spans="3:22" ht="16.5" customHeight="1" x14ac:dyDescent="0.3">
      <c r="C33" s="171" t="s">
        <v>669</v>
      </c>
      <c r="J33" s="102"/>
    </row>
    <row r="34" spans="3:22" ht="409.6" customHeight="1" x14ac:dyDescent="0.3">
      <c r="C34" s="305" t="s">
        <v>670</v>
      </c>
      <c r="D34" s="306"/>
      <c r="E34" s="306"/>
      <c r="F34" s="306"/>
      <c r="G34" s="306"/>
      <c r="H34" s="306"/>
      <c r="I34" s="306"/>
      <c r="J34" s="307"/>
    </row>
    <row r="35" spans="3:22" ht="15" customHeight="1" x14ac:dyDescent="0.3">
      <c r="C35" s="172" t="s">
        <v>671</v>
      </c>
      <c r="J35" s="101"/>
      <c r="V35">
        <f>COUNTA(#REF!)</f>
        <v>1</v>
      </c>
    </row>
    <row r="36" spans="3:22" ht="144.75" customHeight="1" x14ac:dyDescent="0.3">
      <c r="C36" s="302" t="s">
        <v>672</v>
      </c>
      <c r="D36" s="287"/>
      <c r="E36" s="287"/>
      <c r="F36" s="287"/>
      <c r="G36" s="287"/>
      <c r="H36" s="287"/>
      <c r="I36" s="287"/>
      <c r="J36" s="288"/>
    </row>
    <row r="37" spans="3:22" ht="15" customHeight="1" x14ac:dyDescent="0.3">
      <c r="C37" s="171" t="s">
        <v>673</v>
      </c>
      <c r="J37" s="102"/>
    </row>
    <row r="38" spans="3:22" ht="345.75" customHeight="1" x14ac:dyDescent="0.3">
      <c r="C38" s="303" t="s">
        <v>674</v>
      </c>
      <c r="D38" s="303"/>
      <c r="E38" s="303"/>
      <c r="F38" s="303"/>
      <c r="G38" s="303"/>
      <c r="H38" s="303"/>
      <c r="I38" s="303"/>
      <c r="J38" s="303"/>
    </row>
    <row r="39" spans="3:22" ht="104.25" customHeight="1" x14ac:dyDescent="0.3">
      <c r="C39" s="304" t="s">
        <v>675</v>
      </c>
      <c r="D39" s="304"/>
      <c r="E39" s="304"/>
      <c r="F39" s="304"/>
      <c r="G39" s="304"/>
      <c r="H39" s="304"/>
      <c r="I39" s="304"/>
      <c r="J39" s="304"/>
    </row>
    <row r="40" spans="3:22" ht="15" customHeight="1" x14ac:dyDescent="0.3">
      <c r="C40" s="103"/>
      <c r="D40" s="103"/>
      <c r="E40" s="103"/>
      <c r="F40" s="116"/>
      <c r="G40" s="116"/>
      <c r="H40" s="116"/>
      <c r="I40" s="104"/>
      <c r="J40" s="104"/>
    </row>
    <row r="41" spans="3:22" ht="15" customHeight="1" x14ac:dyDescent="0.3">
      <c r="C41" s="103"/>
      <c r="D41" s="103"/>
      <c r="E41" s="103"/>
      <c r="F41" s="116"/>
      <c r="G41" s="116"/>
      <c r="H41" s="116"/>
      <c r="I41" s="104"/>
      <c r="J41" s="104"/>
    </row>
    <row r="42" spans="3:22" ht="15" customHeight="1" x14ac:dyDescent="0.3">
      <c r="C42" s="103"/>
      <c r="D42" s="103"/>
      <c r="E42" s="103"/>
      <c r="F42" s="116"/>
      <c r="G42" s="116"/>
      <c r="H42" s="116"/>
      <c r="I42" s="104"/>
      <c r="J42" s="104"/>
    </row>
    <row r="43" spans="3:22" ht="15" customHeight="1" x14ac:dyDescent="0.3">
      <c r="C43" s="103"/>
      <c r="D43" s="103"/>
      <c r="E43" s="103"/>
      <c r="F43" s="116"/>
      <c r="G43" s="116"/>
      <c r="H43" s="116"/>
      <c r="I43" s="104"/>
      <c r="J43" s="104"/>
    </row>
    <row r="44" spans="3:22" ht="15" customHeight="1" x14ac:dyDescent="0.3">
      <c r="C44" s="103"/>
      <c r="D44" s="103"/>
      <c r="E44" s="103"/>
      <c r="F44" s="116"/>
      <c r="G44" s="116"/>
      <c r="H44" s="116"/>
      <c r="I44" s="104"/>
      <c r="J44" s="104"/>
    </row>
    <row r="45" spans="3:22" ht="15" customHeight="1" x14ac:dyDescent="0.3">
      <c r="C45" s="103"/>
      <c r="D45" s="103"/>
      <c r="E45" s="103"/>
      <c r="F45" s="116"/>
      <c r="G45" s="116"/>
      <c r="H45" s="116"/>
      <c r="I45" s="104"/>
      <c r="J45" s="104"/>
    </row>
    <row r="46" spans="3:22" ht="15" customHeight="1" x14ac:dyDescent="0.3">
      <c r="C46" s="103"/>
      <c r="D46" s="103"/>
      <c r="E46" s="103"/>
      <c r="F46" s="116"/>
      <c r="G46" s="116"/>
      <c r="H46" s="116"/>
      <c r="I46" s="104"/>
      <c r="J46" s="104"/>
    </row>
    <row r="47" spans="3:22" ht="15" customHeight="1" x14ac:dyDescent="0.3">
      <c r="C47" s="103"/>
      <c r="D47" s="103"/>
      <c r="E47" s="103"/>
      <c r="F47" s="116"/>
      <c r="G47" s="116"/>
      <c r="H47" s="116"/>
      <c r="I47" s="104"/>
      <c r="J47" s="104"/>
    </row>
    <row r="48" spans="3:22" ht="15" customHeight="1" x14ac:dyDescent="0.3">
      <c r="C48" s="103"/>
      <c r="D48" s="103"/>
      <c r="E48" s="103"/>
      <c r="F48" s="116"/>
      <c r="G48" s="116"/>
      <c r="H48" s="116"/>
      <c r="I48" s="104"/>
      <c r="J48" s="104"/>
    </row>
    <row r="49" spans="3:10" ht="15" customHeight="1" x14ac:dyDescent="0.3">
      <c r="C49" s="103"/>
      <c r="D49" s="103"/>
      <c r="E49" s="103"/>
      <c r="F49" s="116"/>
      <c r="G49" s="116"/>
      <c r="H49" s="116"/>
      <c r="I49" s="104"/>
      <c r="J49" s="104"/>
    </row>
    <row r="50" spans="3:10" ht="15" customHeight="1" x14ac:dyDescent="0.3">
      <c r="C50" s="103"/>
      <c r="D50" s="103"/>
      <c r="E50" s="103"/>
      <c r="F50" s="116"/>
      <c r="G50" s="116"/>
      <c r="H50" s="116"/>
      <c r="I50" s="104"/>
      <c r="J50" s="104"/>
    </row>
    <row r="51" spans="3:10" ht="15" customHeight="1" x14ac:dyDescent="0.3">
      <c r="C51" s="103"/>
      <c r="D51" s="103"/>
      <c r="E51" s="103"/>
      <c r="F51" s="116"/>
      <c r="G51" s="116"/>
      <c r="H51" s="116"/>
      <c r="I51" s="104"/>
      <c r="J51" s="104"/>
    </row>
    <row r="52" spans="3:10" ht="15" customHeight="1" x14ac:dyDescent="0.3">
      <c r="C52" s="103"/>
      <c r="D52" s="103"/>
      <c r="E52" s="103"/>
      <c r="F52" s="116"/>
      <c r="G52" s="116"/>
      <c r="H52" s="116"/>
      <c r="I52" s="104"/>
      <c r="J52" s="104"/>
    </row>
    <row r="53" spans="3:10" ht="15" customHeight="1" x14ac:dyDescent="0.3">
      <c r="C53" s="103"/>
      <c r="D53" s="103"/>
      <c r="E53" s="103"/>
      <c r="F53" s="116"/>
      <c r="G53" s="116"/>
      <c r="H53" s="116"/>
      <c r="I53" s="104"/>
      <c r="J53" s="104"/>
    </row>
    <row r="54" spans="3:10" ht="15" customHeight="1" x14ac:dyDescent="0.3">
      <c r="C54" s="103"/>
      <c r="D54" s="103"/>
      <c r="E54" s="103"/>
      <c r="F54" s="116"/>
      <c r="G54" s="116"/>
      <c r="H54" s="116"/>
      <c r="I54" s="104"/>
      <c r="J54" s="104"/>
    </row>
    <row r="55" spans="3:10" ht="15" customHeight="1" x14ac:dyDescent="0.3">
      <c r="C55" s="103"/>
      <c r="D55" s="103"/>
      <c r="E55" s="103"/>
      <c r="F55" s="116"/>
      <c r="G55" s="116"/>
      <c r="H55" s="116"/>
      <c r="I55" s="104"/>
      <c r="J55" s="104"/>
    </row>
    <row r="56" spans="3:10" ht="15" customHeight="1" x14ac:dyDescent="0.3">
      <c r="C56" s="103"/>
      <c r="D56" s="103"/>
      <c r="E56" s="103"/>
      <c r="F56" s="116"/>
      <c r="G56" s="116"/>
      <c r="H56" s="116"/>
      <c r="I56" s="104"/>
      <c r="J56" s="104"/>
    </row>
    <row r="57" spans="3:10" ht="15" customHeight="1" x14ac:dyDescent="0.3">
      <c r="C57" s="103"/>
      <c r="D57" s="103"/>
      <c r="E57" s="103"/>
      <c r="F57" s="116"/>
      <c r="G57" s="116"/>
      <c r="H57" s="116"/>
      <c r="I57" s="104"/>
      <c r="J57" s="104"/>
    </row>
    <row r="58" spans="3:10" ht="15" customHeight="1" x14ac:dyDescent="0.3">
      <c r="C58" s="103"/>
      <c r="D58" s="103"/>
      <c r="E58" s="103"/>
      <c r="F58" s="116"/>
      <c r="G58" s="116"/>
      <c r="H58" s="116"/>
      <c r="I58" s="104"/>
      <c r="J58" s="104"/>
    </row>
    <row r="59" spans="3:10" ht="15" customHeight="1" x14ac:dyDescent="0.3">
      <c r="C59" s="103"/>
      <c r="D59" s="103"/>
      <c r="E59" s="103"/>
      <c r="F59" s="116"/>
      <c r="G59" s="116"/>
      <c r="H59" s="116"/>
      <c r="I59" s="104"/>
      <c r="J59" s="104"/>
    </row>
    <row r="60" spans="3:10" ht="15" customHeight="1" x14ac:dyDescent="0.3">
      <c r="C60" s="103"/>
      <c r="D60" s="103"/>
      <c r="E60" s="103"/>
      <c r="F60" s="116"/>
      <c r="G60" s="116"/>
      <c r="H60" s="116"/>
      <c r="I60" s="104"/>
      <c r="J60" s="104"/>
    </row>
    <row r="61" spans="3:10" ht="15" customHeight="1" x14ac:dyDescent="0.3">
      <c r="C61" s="103"/>
      <c r="D61" s="103"/>
      <c r="E61" s="103"/>
      <c r="F61" s="116"/>
      <c r="G61" s="116"/>
      <c r="H61" s="116"/>
      <c r="I61" s="104"/>
      <c r="J61" s="104"/>
    </row>
    <row r="62" spans="3:10" ht="15" customHeight="1" x14ac:dyDescent="0.3">
      <c r="C62" s="103"/>
      <c r="D62" s="103"/>
      <c r="E62" s="103"/>
      <c r="F62" s="116"/>
      <c r="G62" s="116"/>
      <c r="H62" s="116"/>
      <c r="I62" s="104"/>
      <c r="J62" s="104"/>
    </row>
    <row r="63" spans="3:10" ht="15" customHeight="1" x14ac:dyDescent="0.3">
      <c r="C63" s="103"/>
      <c r="D63" s="103"/>
      <c r="E63" s="103"/>
      <c r="F63" s="116"/>
      <c r="G63" s="116"/>
      <c r="H63" s="116"/>
      <c r="I63" s="104"/>
      <c r="J63" s="104"/>
    </row>
    <row r="64" spans="3:10" ht="15" customHeight="1" x14ac:dyDescent="0.3">
      <c r="C64" s="103"/>
      <c r="D64" s="103"/>
      <c r="E64" s="103"/>
      <c r="F64" s="116"/>
      <c r="G64" s="116"/>
      <c r="H64" s="116"/>
      <c r="I64" s="104"/>
      <c r="J64" s="104"/>
    </row>
    <row r="65" spans="3:10" ht="15" customHeight="1" x14ac:dyDescent="0.3">
      <c r="C65" s="103"/>
      <c r="D65" s="103"/>
      <c r="E65" s="103"/>
      <c r="F65" s="116"/>
      <c r="G65" s="116"/>
      <c r="H65" s="116"/>
      <c r="I65" s="104"/>
      <c r="J65" s="104"/>
    </row>
    <row r="66" spans="3:10" ht="15" customHeight="1" x14ac:dyDescent="0.3">
      <c r="C66" s="103"/>
      <c r="D66" s="103"/>
      <c r="E66" s="103"/>
      <c r="F66" s="116"/>
      <c r="G66" s="116"/>
      <c r="H66" s="116"/>
      <c r="I66" s="104"/>
      <c r="J66" s="104"/>
    </row>
    <row r="67" spans="3:10" ht="15" customHeight="1" x14ac:dyDescent="0.3">
      <c r="C67" s="103"/>
      <c r="D67" s="103"/>
      <c r="E67" s="103"/>
      <c r="F67" s="116"/>
      <c r="G67" s="116"/>
      <c r="H67" s="116"/>
      <c r="I67" s="104"/>
      <c r="J67" s="104"/>
    </row>
    <row r="68" spans="3:10" ht="15" customHeight="1" x14ac:dyDescent="0.3">
      <c r="C68" s="103"/>
      <c r="D68" s="103"/>
      <c r="E68" s="103"/>
      <c r="F68" s="116"/>
      <c r="G68" s="116"/>
      <c r="H68" s="116"/>
      <c r="I68" s="104"/>
      <c r="J68" s="104"/>
    </row>
    <row r="69" spans="3:10" ht="15" customHeight="1" x14ac:dyDescent="0.3">
      <c r="C69" s="103"/>
      <c r="D69" s="103"/>
      <c r="E69" s="103"/>
      <c r="F69" s="116"/>
      <c r="G69" s="116"/>
      <c r="H69" s="116"/>
      <c r="I69" s="104"/>
      <c r="J69" s="104"/>
    </row>
    <row r="70" spans="3:10" ht="15" customHeight="1" x14ac:dyDescent="0.3">
      <c r="C70" s="103"/>
      <c r="D70" s="103"/>
      <c r="E70" s="103"/>
      <c r="F70" s="116"/>
      <c r="G70" s="116"/>
      <c r="H70" s="116"/>
      <c r="I70" s="104"/>
      <c r="J70" s="104"/>
    </row>
    <row r="71" spans="3:10" ht="15" customHeight="1" x14ac:dyDescent="0.3">
      <c r="C71" s="103"/>
      <c r="D71" s="103"/>
      <c r="E71" s="103"/>
      <c r="F71" s="116"/>
      <c r="G71" s="116"/>
      <c r="H71" s="116"/>
      <c r="I71" s="104"/>
      <c r="J71" s="104"/>
    </row>
    <row r="72" spans="3:10" ht="15" customHeight="1" x14ac:dyDescent="0.3">
      <c r="C72" s="103"/>
      <c r="D72" s="103"/>
      <c r="E72" s="103"/>
      <c r="F72" s="116"/>
      <c r="G72" s="116"/>
      <c r="H72" s="116"/>
      <c r="I72" s="104"/>
      <c r="J72" s="104"/>
    </row>
    <row r="73" spans="3:10" ht="15" customHeight="1" x14ac:dyDescent="0.3">
      <c r="C73" s="103"/>
      <c r="D73" s="103"/>
      <c r="E73" s="103"/>
      <c r="F73" s="116"/>
      <c r="G73" s="116"/>
      <c r="H73" s="116"/>
      <c r="I73" s="104"/>
      <c r="J73" s="104"/>
    </row>
    <row r="74" spans="3:10" ht="15" customHeight="1" x14ac:dyDescent="0.3">
      <c r="C74" s="103"/>
      <c r="D74" s="103"/>
      <c r="E74" s="103"/>
      <c r="F74" s="116"/>
      <c r="G74" s="116"/>
      <c r="H74" s="116"/>
      <c r="I74" s="104"/>
      <c r="J74" s="104"/>
    </row>
    <row r="75" spans="3:10" ht="15" customHeight="1" x14ac:dyDescent="0.3">
      <c r="C75" s="103"/>
      <c r="D75" s="103"/>
      <c r="E75" s="103"/>
      <c r="F75" s="116"/>
      <c r="G75" s="116"/>
      <c r="H75" s="116"/>
      <c r="I75" s="104"/>
      <c r="J75" s="104"/>
    </row>
    <row r="76" spans="3:10" ht="15" customHeight="1" x14ac:dyDescent="0.3">
      <c r="C76" s="103"/>
      <c r="D76" s="103"/>
      <c r="E76" s="103"/>
      <c r="F76" s="116"/>
      <c r="G76" s="116"/>
      <c r="H76" s="116"/>
      <c r="I76" s="104"/>
      <c r="J76" s="104"/>
    </row>
    <row r="77" spans="3:10" ht="15" customHeight="1" x14ac:dyDescent="0.3">
      <c r="C77" s="103"/>
      <c r="D77" s="103"/>
      <c r="E77" s="103"/>
      <c r="F77" s="116"/>
      <c r="G77" s="116"/>
      <c r="H77" s="116"/>
      <c r="I77" s="104"/>
      <c r="J77" s="104"/>
    </row>
    <row r="78" spans="3:10" ht="15" customHeight="1" x14ac:dyDescent="0.3">
      <c r="C78" s="103"/>
      <c r="D78" s="103"/>
      <c r="E78" s="103"/>
      <c r="F78" s="116"/>
      <c r="G78" s="116"/>
      <c r="H78" s="116"/>
      <c r="I78" s="104"/>
      <c r="J78" s="104"/>
    </row>
    <row r="79" spans="3:10" ht="15" customHeight="1" x14ac:dyDescent="0.3">
      <c r="C79" s="103"/>
      <c r="D79" s="103"/>
      <c r="E79" s="103"/>
      <c r="F79" s="116"/>
      <c r="G79" s="116"/>
      <c r="H79" s="116"/>
      <c r="I79" s="104"/>
      <c r="J79" s="104"/>
    </row>
    <row r="80" spans="3:10" ht="15" customHeight="1" x14ac:dyDescent="0.3">
      <c r="C80" s="103"/>
      <c r="D80" s="103"/>
      <c r="E80" s="103"/>
      <c r="F80" s="116"/>
      <c r="G80" s="116"/>
      <c r="H80" s="116"/>
      <c r="I80" s="104"/>
      <c r="J80" s="104"/>
    </row>
    <row r="81" spans="3:10" ht="15" customHeight="1" x14ac:dyDescent="0.3">
      <c r="C81" s="103"/>
      <c r="D81" s="103"/>
      <c r="E81" s="103"/>
      <c r="F81" s="116"/>
      <c r="G81" s="116"/>
      <c r="H81" s="116"/>
      <c r="I81" s="104"/>
      <c r="J81" s="104"/>
    </row>
    <row r="82" spans="3:10" ht="15" customHeight="1" x14ac:dyDescent="0.3">
      <c r="C82" s="103"/>
      <c r="D82" s="103"/>
      <c r="E82" s="103"/>
      <c r="F82" s="116"/>
      <c r="G82" s="116"/>
      <c r="H82" s="116"/>
      <c r="I82" s="104"/>
      <c r="J82" s="104"/>
    </row>
    <row r="83" spans="3:10" ht="15" customHeight="1" x14ac:dyDescent="0.3">
      <c r="C83" s="103"/>
      <c r="D83" s="103"/>
      <c r="E83" s="103"/>
      <c r="F83" s="116"/>
      <c r="G83" s="116"/>
      <c r="H83" s="116"/>
      <c r="I83" s="104"/>
      <c r="J83" s="104"/>
    </row>
    <row r="84" spans="3:10" ht="15" customHeight="1" x14ac:dyDescent="0.3">
      <c r="C84" s="103"/>
      <c r="D84" s="103"/>
      <c r="E84" s="103"/>
      <c r="F84" s="116"/>
      <c r="G84" s="116"/>
      <c r="H84" s="116"/>
      <c r="I84" s="104"/>
      <c r="J84" s="104"/>
    </row>
    <row r="85" spans="3:10" ht="15" customHeight="1" x14ac:dyDescent="0.3">
      <c r="C85" s="103"/>
      <c r="D85" s="103"/>
      <c r="E85" s="103"/>
      <c r="F85" s="116"/>
      <c r="G85" s="116"/>
      <c r="H85" s="116"/>
      <c r="I85" s="104"/>
      <c r="J85" s="104"/>
    </row>
    <row r="86" spans="3:10" ht="15" customHeight="1" x14ac:dyDescent="0.3">
      <c r="C86" s="103"/>
      <c r="D86" s="103"/>
      <c r="E86" s="103"/>
      <c r="F86" s="116"/>
      <c r="G86" s="116"/>
      <c r="H86" s="116"/>
      <c r="I86" s="104"/>
      <c r="J86" s="104"/>
    </row>
    <row r="87" spans="3:10" ht="15" customHeight="1" x14ac:dyDescent="0.3">
      <c r="C87" s="103"/>
      <c r="D87" s="103"/>
      <c r="E87" s="103"/>
      <c r="F87" s="116"/>
      <c r="G87" s="116"/>
      <c r="H87" s="116"/>
      <c r="I87" s="104"/>
      <c r="J87" s="104"/>
    </row>
    <row r="88" spans="3:10" ht="15" customHeight="1" x14ac:dyDescent="0.3">
      <c r="C88" s="103"/>
      <c r="D88" s="103"/>
      <c r="E88" s="103"/>
      <c r="F88" s="116"/>
      <c r="G88" s="116"/>
      <c r="H88" s="116"/>
      <c r="I88" s="104"/>
      <c r="J88" s="104"/>
    </row>
    <row r="89" spans="3:10" ht="15" customHeight="1" x14ac:dyDescent="0.3">
      <c r="C89" s="103"/>
      <c r="D89" s="103"/>
      <c r="E89" s="103"/>
      <c r="F89" s="116"/>
      <c r="G89" s="116"/>
      <c r="H89" s="116"/>
      <c r="I89" s="104"/>
      <c r="J89" s="104"/>
    </row>
    <row r="90" spans="3:10" ht="15" customHeight="1" x14ac:dyDescent="0.3">
      <c r="C90" s="103"/>
      <c r="D90" s="103"/>
      <c r="E90" s="103"/>
      <c r="F90" s="116"/>
      <c r="G90" s="116"/>
      <c r="H90" s="116"/>
      <c r="I90" s="104"/>
      <c r="J90" s="104"/>
    </row>
    <row r="91" spans="3:10" ht="15" customHeight="1" x14ac:dyDescent="0.3">
      <c r="C91" s="103"/>
      <c r="D91" s="103"/>
      <c r="E91" s="103"/>
      <c r="F91" s="116"/>
      <c r="G91" s="116"/>
      <c r="H91" s="116"/>
      <c r="I91" s="104"/>
      <c r="J91" s="104"/>
    </row>
    <row r="92" spans="3:10" ht="15" customHeight="1" x14ac:dyDescent="0.3">
      <c r="C92" s="103"/>
      <c r="D92" s="103"/>
      <c r="E92" s="103"/>
      <c r="F92" s="116"/>
      <c r="G92" s="116"/>
      <c r="H92" s="116"/>
      <c r="I92" s="104"/>
      <c r="J92" s="104"/>
    </row>
    <row r="93" spans="3:10" ht="15" customHeight="1" x14ac:dyDescent="0.3">
      <c r="C93" s="103"/>
      <c r="D93" s="103"/>
      <c r="E93" s="103"/>
      <c r="F93" s="116"/>
      <c r="G93" s="116"/>
      <c r="H93" s="116"/>
      <c r="I93" s="104"/>
      <c r="J93" s="104"/>
    </row>
    <row r="94" spans="3:10" ht="15" customHeight="1" x14ac:dyDescent="0.3">
      <c r="C94" s="103"/>
      <c r="D94" s="103"/>
      <c r="E94" s="103"/>
      <c r="F94" s="116"/>
      <c r="G94" s="116"/>
      <c r="H94" s="116"/>
      <c r="I94" s="104"/>
      <c r="J94" s="104"/>
    </row>
    <row r="95" spans="3:10" ht="15" customHeight="1" x14ac:dyDescent="0.3">
      <c r="C95" s="103"/>
      <c r="D95" s="103"/>
      <c r="E95" s="103"/>
      <c r="F95" s="116"/>
      <c r="G95" s="116"/>
      <c r="H95" s="116"/>
      <c r="I95" s="104"/>
      <c r="J95" s="104"/>
    </row>
    <row r="96" spans="3:10" ht="15" customHeight="1" x14ac:dyDescent="0.3">
      <c r="C96" s="103"/>
      <c r="D96" s="103"/>
      <c r="E96" s="103"/>
      <c r="F96" s="116"/>
      <c r="G96" s="116"/>
      <c r="H96" s="116"/>
      <c r="I96" s="104"/>
      <c r="J96" s="104"/>
    </row>
    <row r="97" spans="3:10" ht="15" customHeight="1" x14ac:dyDescent="0.3">
      <c r="C97" s="103"/>
      <c r="D97" s="103"/>
      <c r="E97" s="103"/>
      <c r="F97" s="116"/>
      <c r="G97" s="116"/>
      <c r="H97" s="116"/>
      <c r="I97" s="104"/>
      <c r="J97" s="104"/>
    </row>
    <row r="98" spans="3:10" ht="15" customHeight="1" x14ac:dyDescent="0.3">
      <c r="C98" s="103"/>
      <c r="D98" s="103"/>
      <c r="E98" s="103"/>
      <c r="F98" s="116"/>
      <c r="G98" s="116"/>
      <c r="H98" s="116"/>
      <c r="I98" s="104"/>
      <c r="J98" s="104"/>
    </row>
    <row r="99" spans="3:10" ht="15" customHeight="1" x14ac:dyDescent="0.3">
      <c r="C99" s="103"/>
      <c r="D99" s="103"/>
      <c r="E99" s="103"/>
      <c r="F99" s="116"/>
      <c r="G99" s="116"/>
      <c r="H99" s="116"/>
      <c r="I99" s="104"/>
      <c r="J99" s="104"/>
    </row>
    <row r="100" spans="3:10" ht="15" customHeight="1" x14ac:dyDescent="0.3">
      <c r="C100" s="103"/>
      <c r="D100" s="103"/>
      <c r="E100" s="103"/>
      <c r="F100" s="116"/>
      <c r="G100" s="116"/>
      <c r="H100" s="116"/>
      <c r="I100" s="104"/>
      <c r="J100" s="104"/>
    </row>
    <row r="101" spans="3:10" ht="15" customHeight="1" x14ac:dyDescent="0.3">
      <c r="C101" s="103"/>
      <c r="D101" s="103"/>
      <c r="E101" s="103"/>
      <c r="F101" s="116"/>
      <c r="G101" s="116"/>
      <c r="H101" s="116"/>
      <c r="I101" s="104"/>
      <c r="J101" s="104"/>
    </row>
    <row r="102" spans="3:10" ht="15" customHeight="1" x14ac:dyDescent="0.3">
      <c r="C102" s="103"/>
      <c r="D102" s="103"/>
      <c r="E102" s="103"/>
      <c r="F102" s="116"/>
      <c r="G102" s="116"/>
      <c r="H102" s="116"/>
      <c r="I102" s="104"/>
      <c r="J102" s="104"/>
    </row>
    <row r="103" spans="3:10" ht="15" customHeight="1" x14ac:dyDescent="0.3">
      <c r="C103" s="103"/>
      <c r="D103" s="103"/>
      <c r="E103" s="103"/>
      <c r="F103" s="116"/>
      <c r="G103" s="116"/>
      <c r="H103" s="116"/>
      <c r="I103" s="104"/>
      <c r="J103" s="104"/>
    </row>
    <row r="104" spans="3:10" ht="15" customHeight="1" x14ac:dyDescent="0.3">
      <c r="C104" s="103"/>
      <c r="D104" s="103"/>
      <c r="E104" s="103"/>
      <c r="F104" s="116"/>
      <c r="G104" s="116"/>
      <c r="H104" s="116"/>
      <c r="I104" s="104"/>
      <c r="J104" s="104"/>
    </row>
    <row r="105" spans="3:10" ht="15" customHeight="1" x14ac:dyDescent="0.3">
      <c r="C105" s="103"/>
      <c r="D105" s="103"/>
      <c r="E105" s="103"/>
      <c r="F105" s="116"/>
      <c r="G105" s="116"/>
      <c r="H105" s="116"/>
      <c r="I105" s="104"/>
      <c r="J105" s="104"/>
    </row>
    <row r="106" spans="3:10" ht="15" customHeight="1" x14ac:dyDescent="0.3">
      <c r="C106" s="103"/>
      <c r="D106" s="103"/>
      <c r="E106" s="103"/>
      <c r="F106" s="116"/>
      <c r="G106" s="116"/>
      <c r="H106" s="116"/>
      <c r="I106" s="104"/>
      <c r="J106" s="104"/>
    </row>
    <row r="107" spans="3:10" ht="15" customHeight="1" x14ac:dyDescent="0.3">
      <c r="C107" s="103"/>
      <c r="D107" s="103"/>
      <c r="E107" s="103"/>
      <c r="F107" s="116"/>
      <c r="G107" s="116"/>
      <c r="H107" s="116"/>
      <c r="I107" s="104"/>
      <c r="J107" s="104"/>
    </row>
    <row r="108" spans="3:10" ht="15" customHeight="1" x14ac:dyDescent="0.3">
      <c r="C108" s="103"/>
      <c r="D108" s="103"/>
      <c r="E108" s="103"/>
      <c r="F108" s="116"/>
      <c r="G108" s="116"/>
      <c r="H108" s="116"/>
      <c r="I108" s="104"/>
      <c r="J108" s="104"/>
    </row>
    <row r="109" spans="3:10" ht="15" customHeight="1" x14ac:dyDescent="0.3">
      <c r="C109" s="103"/>
      <c r="D109" s="103"/>
      <c r="E109" s="103"/>
      <c r="F109" s="116"/>
      <c r="G109" s="116"/>
      <c r="H109" s="116"/>
      <c r="I109" s="104"/>
      <c r="J109" s="104"/>
    </row>
    <row r="110" spans="3:10" ht="15" customHeight="1" x14ac:dyDescent="0.3">
      <c r="C110" s="103"/>
      <c r="D110" s="103"/>
      <c r="E110" s="103"/>
      <c r="F110" s="116"/>
      <c r="G110" s="116"/>
      <c r="H110" s="116"/>
      <c r="I110" s="104"/>
      <c r="J110" s="104"/>
    </row>
    <row r="111" spans="3:10" ht="15" customHeight="1" x14ac:dyDescent="0.3">
      <c r="C111" s="103"/>
      <c r="D111" s="103"/>
      <c r="E111" s="103"/>
      <c r="F111" s="116"/>
      <c r="G111" s="116"/>
      <c r="H111" s="116"/>
      <c r="I111" s="104"/>
      <c r="J111" s="104"/>
    </row>
    <row r="112" spans="3:10" ht="15" customHeight="1" x14ac:dyDescent="0.3">
      <c r="C112" s="103"/>
      <c r="D112" s="103"/>
      <c r="E112" s="103"/>
      <c r="F112" s="116"/>
      <c r="G112" s="116"/>
      <c r="H112" s="116"/>
      <c r="I112" s="104"/>
      <c r="J112" s="104"/>
    </row>
    <row r="113" spans="3:10" ht="15" customHeight="1" x14ac:dyDescent="0.3">
      <c r="C113" s="103"/>
      <c r="D113" s="103"/>
      <c r="E113" s="103"/>
      <c r="F113" s="116"/>
      <c r="G113" s="116"/>
      <c r="H113" s="116"/>
      <c r="I113" s="104"/>
      <c r="J113" s="104"/>
    </row>
    <row r="114" spans="3:10" ht="15" customHeight="1" x14ac:dyDescent="0.3">
      <c r="C114" s="103"/>
      <c r="D114" s="103"/>
      <c r="E114" s="103"/>
      <c r="F114" s="116"/>
      <c r="G114" s="116"/>
      <c r="H114" s="116"/>
      <c r="I114" s="104"/>
      <c r="J114" s="104"/>
    </row>
    <row r="115" spans="3:10" ht="15" customHeight="1" x14ac:dyDescent="0.3">
      <c r="C115" s="103"/>
      <c r="D115" s="103"/>
      <c r="E115" s="103"/>
      <c r="F115" s="116"/>
      <c r="G115" s="116"/>
      <c r="H115" s="116"/>
      <c r="I115" s="104"/>
      <c r="J115" s="104"/>
    </row>
    <row r="116" spans="3:10" ht="15" customHeight="1" x14ac:dyDescent="0.3">
      <c r="C116" s="103"/>
      <c r="D116" s="103"/>
      <c r="E116" s="103"/>
      <c r="F116" s="116"/>
      <c r="G116" s="116"/>
      <c r="H116" s="116"/>
      <c r="I116" s="104"/>
      <c r="J116" s="104"/>
    </row>
    <row r="117" spans="3:10" ht="15" customHeight="1" x14ac:dyDescent="0.3">
      <c r="C117" s="103"/>
      <c r="D117" s="103"/>
      <c r="E117" s="103"/>
      <c r="F117" s="116"/>
      <c r="G117" s="116"/>
      <c r="H117" s="116"/>
      <c r="I117" s="104"/>
      <c r="J117" s="104"/>
    </row>
    <row r="118" spans="3:10" ht="15" customHeight="1" x14ac:dyDescent="0.3">
      <c r="C118" s="103"/>
      <c r="D118" s="103"/>
      <c r="E118" s="103"/>
      <c r="F118" s="116"/>
      <c r="G118" s="116"/>
      <c r="H118" s="116"/>
      <c r="I118" s="104"/>
      <c r="J118" s="104"/>
    </row>
    <row r="119" spans="3:10" ht="15" customHeight="1" x14ac:dyDescent="0.3">
      <c r="C119" s="103"/>
      <c r="D119" s="103"/>
      <c r="E119" s="103"/>
      <c r="F119" s="116"/>
      <c r="G119" s="116"/>
      <c r="H119" s="116"/>
      <c r="I119" s="104"/>
      <c r="J119" s="104"/>
    </row>
    <row r="120" spans="3:10" ht="15" customHeight="1" x14ac:dyDescent="0.3">
      <c r="C120" s="103"/>
      <c r="D120" s="103"/>
      <c r="E120" s="103"/>
      <c r="F120" s="116"/>
      <c r="G120" s="116"/>
      <c r="H120" s="116"/>
      <c r="I120" s="104"/>
      <c r="J120" s="104"/>
    </row>
    <row r="121" spans="3:10" ht="15" customHeight="1" x14ac:dyDescent="0.3">
      <c r="C121" s="103"/>
      <c r="D121" s="103"/>
      <c r="E121" s="103"/>
      <c r="F121" s="116"/>
      <c r="G121" s="116"/>
      <c r="H121" s="116"/>
      <c r="I121" s="104"/>
      <c r="J121" s="104"/>
    </row>
    <row r="122" spans="3:10" ht="15" customHeight="1" x14ac:dyDescent="0.3">
      <c r="C122" s="103"/>
      <c r="D122" s="103"/>
      <c r="E122" s="103"/>
      <c r="F122" s="116"/>
      <c r="G122" s="116"/>
      <c r="H122" s="116"/>
      <c r="I122" s="104"/>
      <c r="J122" s="104"/>
    </row>
    <row r="123" spans="3:10" ht="15" customHeight="1" x14ac:dyDescent="0.3">
      <c r="C123" s="103"/>
      <c r="D123" s="103"/>
      <c r="E123" s="103"/>
      <c r="F123" s="116"/>
      <c r="G123" s="116"/>
      <c r="H123" s="116"/>
      <c r="I123" s="104"/>
      <c r="J123" s="104"/>
    </row>
    <row r="124" spans="3:10" ht="15" customHeight="1" x14ac:dyDescent="0.3">
      <c r="C124" s="103"/>
      <c r="D124" s="103"/>
      <c r="E124" s="103"/>
      <c r="F124" s="116"/>
      <c r="G124" s="116"/>
      <c r="H124" s="116"/>
      <c r="I124" s="104"/>
      <c r="J124" s="104"/>
    </row>
    <row r="125" spans="3:10" ht="15" customHeight="1" x14ac:dyDescent="0.3">
      <c r="C125" s="103"/>
      <c r="D125" s="103"/>
      <c r="E125" s="103"/>
      <c r="F125" s="116"/>
      <c r="G125" s="116"/>
      <c r="H125" s="116"/>
      <c r="I125" s="104"/>
      <c r="J125" s="104"/>
    </row>
    <row r="126" spans="3:10" ht="15" customHeight="1" x14ac:dyDescent="0.3">
      <c r="C126" s="103"/>
      <c r="D126" s="103"/>
      <c r="E126" s="103"/>
      <c r="F126" s="116"/>
      <c r="G126" s="116"/>
      <c r="H126" s="116"/>
      <c r="I126" s="104"/>
      <c r="J126" s="104"/>
    </row>
    <row r="127" spans="3:10" ht="15" customHeight="1" x14ac:dyDescent="0.3">
      <c r="C127" s="103"/>
      <c r="D127" s="103"/>
      <c r="E127" s="103"/>
      <c r="F127" s="116"/>
      <c r="G127" s="116"/>
      <c r="H127" s="116"/>
      <c r="I127" s="104"/>
      <c r="J127" s="104"/>
    </row>
    <row r="128" spans="3:10" ht="15" customHeight="1" x14ac:dyDescent="0.3">
      <c r="C128" s="103"/>
      <c r="D128" s="103"/>
      <c r="E128" s="103"/>
      <c r="F128" s="116"/>
      <c r="G128" s="116"/>
      <c r="H128" s="116"/>
      <c r="I128" s="104"/>
      <c r="J128" s="104"/>
    </row>
    <row r="129" spans="3:10" ht="15" customHeight="1" x14ac:dyDescent="0.3">
      <c r="C129" s="103"/>
      <c r="D129" s="103"/>
      <c r="E129" s="103"/>
      <c r="F129" s="116"/>
      <c r="G129" s="116"/>
      <c r="H129" s="116"/>
      <c r="I129" s="104"/>
      <c r="J129" s="104"/>
    </row>
    <row r="130" spans="3:10" ht="15" customHeight="1" x14ac:dyDescent="0.3">
      <c r="C130" s="103"/>
      <c r="D130" s="103"/>
      <c r="E130" s="103"/>
      <c r="F130" s="116"/>
      <c r="G130" s="116"/>
      <c r="H130" s="116"/>
      <c r="I130" s="104"/>
      <c r="J130" s="104"/>
    </row>
    <row r="131" spans="3:10" ht="15" customHeight="1" x14ac:dyDescent="0.3">
      <c r="C131" s="103"/>
      <c r="D131" s="103"/>
      <c r="E131" s="103"/>
      <c r="F131" s="116"/>
      <c r="G131" s="116"/>
      <c r="H131" s="116"/>
      <c r="I131" s="104"/>
      <c r="J131" s="104"/>
    </row>
    <row r="132" spans="3:10" ht="15" customHeight="1" x14ac:dyDescent="0.3">
      <c r="C132" s="103"/>
      <c r="D132" s="103"/>
      <c r="E132" s="103"/>
      <c r="F132" s="116"/>
      <c r="G132" s="116"/>
      <c r="H132" s="116"/>
      <c r="I132" s="104"/>
      <c r="J132" s="104"/>
    </row>
    <row r="133" spans="3:10" ht="15" customHeight="1" x14ac:dyDescent="0.3">
      <c r="C133" s="103"/>
      <c r="D133" s="103"/>
      <c r="E133" s="103"/>
      <c r="F133" s="116"/>
      <c r="G133" s="116"/>
      <c r="H133" s="116"/>
      <c r="I133" s="104"/>
      <c r="J133" s="104"/>
    </row>
    <row r="134" spans="3:10" ht="15" customHeight="1" x14ac:dyDescent="0.3">
      <c r="C134" s="103"/>
      <c r="D134" s="103"/>
      <c r="E134" s="103"/>
      <c r="F134" s="116"/>
      <c r="G134" s="116"/>
      <c r="H134" s="116"/>
      <c r="I134" s="104"/>
      <c r="J134" s="104"/>
    </row>
    <row r="135" spans="3:10" ht="15" customHeight="1" x14ac:dyDescent="0.3">
      <c r="C135" s="103"/>
      <c r="D135" s="103"/>
      <c r="E135" s="103"/>
      <c r="F135" s="116"/>
      <c r="G135" s="116"/>
      <c r="H135" s="116"/>
      <c r="I135" s="104"/>
      <c r="J135" s="104"/>
    </row>
    <row r="136" spans="3:10" ht="15" customHeight="1" x14ac:dyDescent="0.3">
      <c r="C136" s="103"/>
      <c r="D136" s="103"/>
      <c r="E136" s="103"/>
      <c r="F136" s="116"/>
      <c r="G136" s="116"/>
      <c r="H136" s="116"/>
      <c r="I136" s="104"/>
      <c r="J136" s="104"/>
    </row>
    <row r="137" spans="3:10" ht="15" customHeight="1" x14ac:dyDescent="0.3">
      <c r="C137" s="103"/>
      <c r="D137" s="103"/>
      <c r="E137" s="103"/>
      <c r="F137" s="116"/>
      <c r="G137" s="116"/>
      <c r="H137" s="116"/>
      <c r="I137" s="104"/>
      <c r="J137" s="104"/>
    </row>
    <row r="138" spans="3:10" ht="15" customHeight="1" x14ac:dyDescent="0.3">
      <c r="C138" s="103"/>
      <c r="D138" s="103"/>
      <c r="E138" s="103"/>
      <c r="F138" s="116"/>
      <c r="G138" s="116"/>
      <c r="H138" s="116"/>
      <c r="I138" s="104"/>
      <c r="J138" s="104"/>
    </row>
    <row r="139" spans="3:10" ht="15" customHeight="1" x14ac:dyDescent="0.3">
      <c r="C139" s="103"/>
      <c r="D139" s="103"/>
      <c r="E139" s="103"/>
      <c r="F139" s="116"/>
      <c r="G139" s="116"/>
      <c r="H139" s="116"/>
      <c r="I139" s="104"/>
      <c r="J139" s="104"/>
    </row>
    <row r="140" spans="3:10" ht="15" customHeight="1" x14ac:dyDescent="0.3">
      <c r="C140" s="103"/>
      <c r="D140" s="103"/>
      <c r="E140" s="103"/>
      <c r="F140" s="116"/>
      <c r="G140" s="116"/>
      <c r="H140" s="116"/>
      <c r="I140" s="104"/>
      <c r="J140" s="104"/>
    </row>
    <row r="141" spans="3:10" ht="15" customHeight="1" x14ac:dyDescent="0.3">
      <c r="C141" s="103"/>
      <c r="D141" s="103"/>
      <c r="E141" s="103"/>
      <c r="F141" s="116"/>
      <c r="G141" s="116"/>
      <c r="H141" s="116"/>
      <c r="I141" s="104"/>
      <c r="J141" s="104"/>
    </row>
    <row r="142" spans="3:10" ht="15" customHeight="1" x14ac:dyDescent="0.3">
      <c r="C142" s="103"/>
      <c r="D142" s="103"/>
      <c r="E142" s="103"/>
      <c r="F142" s="116"/>
      <c r="G142" s="116"/>
      <c r="H142" s="116"/>
      <c r="I142" s="104"/>
      <c r="J142" s="104"/>
    </row>
    <row r="143" spans="3:10" ht="15" customHeight="1" x14ac:dyDescent="0.3">
      <c r="C143" s="103"/>
      <c r="D143" s="103"/>
      <c r="E143" s="103"/>
      <c r="F143" s="116"/>
      <c r="G143" s="116"/>
      <c r="H143" s="116"/>
      <c r="I143" s="104"/>
      <c r="J143" s="104"/>
    </row>
    <row r="144" spans="3:10" ht="15" customHeight="1" x14ac:dyDescent="0.3">
      <c r="C144" s="103"/>
      <c r="D144" s="103"/>
      <c r="E144" s="103"/>
      <c r="F144" s="116"/>
      <c r="G144" s="116"/>
      <c r="H144" s="116"/>
      <c r="I144" s="104"/>
      <c r="J144" s="104"/>
    </row>
    <row r="145" spans="3:10" ht="15" customHeight="1" x14ac:dyDescent="0.3">
      <c r="C145" s="103"/>
      <c r="D145" s="103"/>
      <c r="E145" s="103"/>
      <c r="F145" s="116"/>
      <c r="G145" s="116"/>
      <c r="H145" s="116"/>
      <c r="I145" s="104"/>
      <c r="J145" s="104"/>
    </row>
    <row r="146" spans="3:10" ht="15" customHeight="1" x14ac:dyDescent="0.3">
      <c r="C146" s="103"/>
      <c r="D146" s="103"/>
      <c r="E146" s="103"/>
      <c r="F146" s="116"/>
      <c r="G146" s="116"/>
      <c r="H146" s="116"/>
      <c r="I146" s="104"/>
      <c r="J146" s="104"/>
    </row>
    <row r="147" spans="3:10" ht="15" customHeight="1" x14ac:dyDescent="0.3">
      <c r="C147" s="103"/>
      <c r="D147" s="103"/>
      <c r="E147" s="103"/>
      <c r="F147" s="116"/>
      <c r="G147" s="116"/>
      <c r="H147" s="116"/>
      <c r="I147" s="104"/>
      <c r="J147" s="104"/>
    </row>
    <row r="148" spans="3:10" ht="15" customHeight="1" x14ac:dyDescent="0.3">
      <c r="C148" s="103"/>
      <c r="D148" s="103"/>
      <c r="E148" s="103"/>
      <c r="F148" s="116"/>
      <c r="G148" s="116"/>
      <c r="H148" s="116"/>
      <c r="I148" s="104"/>
      <c r="J148" s="104"/>
    </row>
    <row r="149" spans="3:10" ht="15" customHeight="1" x14ac:dyDescent="0.3">
      <c r="C149" s="103"/>
      <c r="D149" s="103"/>
      <c r="E149" s="103"/>
      <c r="F149" s="116"/>
      <c r="G149" s="116"/>
      <c r="H149" s="116"/>
      <c r="I149" s="104"/>
      <c r="J149" s="104"/>
    </row>
    <row r="150" spans="3:10" ht="15" customHeight="1" x14ac:dyDescent="0.3">
      <c r="C150" s="103"/>
      <c r="D150" s="103"/>
      <c r="E150" s="103"/>
      <c r="F150" s="116"/>
      <c r="G150" s="116"/>
      <c r="H150" s="116"/>
      <c r="I150" s="104"/>
      <c r="J150" s="104"/>
    </row>
    <row r="151" spans="3:10" ht="15" customHeight="1" x14ac:dyDescent="0.3">
      <c r="C151" s="103"/>
      <c r="D151" s="103"/>
      <c r="E151" s="103"/>
      <c r="F151" s="116"/>
      <c r="G151" s="116"/>
      <c r="H151" s="116"/>
      <c r="I151" s="104"/>
      <c r="J151" s="104"/>
    </row>
    <row r="152" spans="3:10" ht="15" customHeight="1" x14ac:dyDescent="0.3">
      <c r="C152" s="103"/>
      <c r="D152" s="103"/>
      <c r="E152" s="103"/>
      <c r="F152" s="116"/>
      <c r="G152" s="116"/>
      <c r="H152" s="116"/>
      <c r="I152" s="104"/>
      <c r="J152" s="104"/>
    </row>
    <row r="153" spans="3:10" ht="15" customHeight="1" x14ac:dyDescent="0.3">
      <c r="C153" s="103"/>
      <c r="D153" s="103"/>
      <c r="E153" s="103"/>
      <c r="F153" s="116"/>
      <c r="G153" s="116"/>
      <c r="H153" s="116"/>
      <c r="I153" s="104"/>
      <c r="J153" s="104"/>
    </row>
    <row r="154" spans="3:10" ht="15" customHeight="1" x14ac:dyDescent="0.3">
      <c r="C154" s="103"/>
      <c r="D154" s="103"/>
      <c r="E154" s="103"/>
      <c r="F154" s="116"/>
      <c r="G154" s="116"/>
      <c r="H154" s="116"/>
      <c r="I154" s="104"/>
      <c r="J154" s="104"/>
    </row>
    <row r="155" spans="3:10" ht="15" customHeight="1" x14ac:dyDescent="0.3">
      <c r="C155" s="103"/>
      <c r="D155" s="103"/>
      <c r="E155" s="103"/>
      <c r="F155" s="116"/>
      <c r="G155" s="116"/>
      <c r="H155" s="116"/>
      <c r="I155" s="104"/>
      <c r="J155" s="104"/>
    </row>
    <row r="156" spans="3:10" ht="15" customHeight="1" x14ac:dyDescent="0.3">
      <c r="C156" s="103"/>
      <c r="D156" s="103"/>
      <c r="E156" s="103"/>
      <c r="F156" s="116"/>
      <c r="G156" s="116"/>
      <c r="H156" s="116"/>
      <c r="I156" s="104"/>
      <c r="J156" s="104"/>
    </row>
    <row r="157" spans="3:10" ht="15" customHeight="1" x14ac:dyDescent="0.3">
      <c r="C157" s="103"/>
      <c r="D157" s="103"/>
      <c r="E157" s="103"/>
      <c r="F157" s="116"/>
      <c r="G157" s="116"/>
      <c r="H157" s="116"/>
      <c r="I157" s="104"/>
      <c r="J157" s="104"/>
    </row>
    <row r="158" spans="3:10" ht="15" customHeight="1" x14ac:dyDescent="0.3">
      <c r="C158" s="103"/>
      <c r="D158" s="103"/>
      <c r="E158" s="103"/>
      <c r="F158" s="116"/>
      <c r="G158" s="116"/>
      <c r="H158" s="116"/>
      <c r="I158" s="104"/>
      <c r="J158" s="104"/>
    </row>
    <row r="159" spans="3:10" ht="15" customHeight="1" x14ac:dyDescent="0.3">
      <c r="C159" s="103"/>
      <c r="D159" s="103"/>
      <c r="E159" s="103"/>
      <c r="F159" s="116"/>
      <c r="G159" s="116"/>
      <c r="H159" s="116"/>
      <c r="I159" s="104"/>
      <c r="J159" s="104"/>
    </row>
    <row r="160" spans="3:10" ht="15" customHeight="1" x14ac:dyDescent="0.3">
      <c r="C160" s="103"/>
      <c r="D160" s="103"/>
      <c r="E160" s="103"/>
      <c r="F160" s="116"/>
      <c r="G160" s="116"/>
      <c r="H160" s="116"/>
      <c r="I160" s="104"/>
      <c r="J160" s="104"/>
    </row>
    <row r="161" spans="3:10" ht="15" customHeight="1" x14ac:dyDescent="0.3">
      <c r="C161" s="103"/>
      <c r="D161" s="103"/>
      <c r="E161" s="103"/>
      <c r="F161" s="116"/>
      <c r="G161" s="116"/>
      <c r="H161" s="116"/>
      <c r="I161" s="104"/>
      <c r="J161" s="104"/>
    </row>
    <row r="162" spans="3:10" ht="15" customHeight="1" x14ac:dyDescent="0.3">
      <c r="C162" s="103"/>
      <c r="D162" s="103"/>
      <c r="E162" s="103"/>
      <c r="F162" s="116"/>
      <c r="G162" s="116"/>
      <c r="H162" s="116"/>
      <c r="I162" s="104"/>
      <c r="J162" s="104"/>
    </row>
    <row r="163" spans="3:10" ht="15" customHeight="1" x14ac:dyDescent="0.3">
      <c r="C163" s="103"/>
      <c r="D163" s="103"/>
      <c r="E163" s="103"/>
      <c r="F163" s="116"/>
      <c r="G163" s="116"/>
      <c r="H163" s="116"/>
      <c r="I163" s="104"/>
      <c r="J163" s="104"/>
    </row>
    <row r="164" spans="3:10" ht="15" customHeight="1" x14ac:dyDescent="0.3">
      <c r="C164" s="103"/>
      <c r="D164" s="103"/>
      <c r="E164" s="103"/>
      <c r="F164" s="116"/>
      <c r="G164" s="116"/>
      <c r="H164" s="116"/>
      <c r="I164" s="104"/>
      <c r="J164" s="104"/>
    </row>
    <row r="165" spans="3:10" ht="15" customHeight="1" x14ac:dyDescent="0.3">
      <c r="C165" s="103"/>
      <c r="D165" s="103"/>
      <c r="E165" s="103"/>
      <c r="F165" s="116"/>
      <c r="G165" s="116"/>
      <c r="H165" s="116"/>
      <c r="I165" s="104"/>
      <c r="J165" s="104"/>
    </row>
    <row r="166" spans="3:10" ht="15" customHeight="1" x14ac:dyDescent="0.3">
      <c r="C166" s="103"/>
      <c r="D166" s="103"/>
      <c r="E166" s="103"/>
      <c r="F166" s="116"/>
      <c r="G166" s="116"/>
      <c r="H166" s="116"/>
      <c r="I166" s="104"/>
      <c r="J166" s="104"/>
    </row>
    <row r="167" spans="3:10" ht="15" customHeight="1" x14ac:dyDescent="0.3">
      <c r="C167" s="103"/>
      <c r="D167" s="103"/>
      <c r="E167" s="103"/>
      <c r="F167" s="116"/>
      <c r="G167" s="116"/>
      <c r="H167" s="116"/>
      <c r="I167" s="104"/>
      <c r="J167" s="104"/>
    </row>
    <row r="168" spans="3:10" ht="15" customHeight="1" x14ac:dyDescent="0.3">
      <c r="C168" s="103"/>
      <c r="D168" s="103"/>
      <c r="E168" s="103"/>
      <c r="F168" s="116"/>
      <c r="G168" s="116"/>
      <c r="H168" s="116"/>
      <c r="I168" s="104"/>
      <c r="J168" s="104"/>
    </row>
    <row r="169" spans="3:10" ht="15" customHeight="1" x14ac:dyDescent="0.3">
      <c r="C169" s="103"/>
      <c r="D169" s="103"/>
      <c r="E169" s="103"/>
      <c r="F169" s="116"/>
      <c r="G169" s="116"/>
      <c r="H169" s="116"/>
      <c r="I169" s="104"/>
      <c r="J169" s="104"/>
    </row>
    <row r="170" spans="3:10" ht="15" customHeight="1" x14ac:dyDescent="0.3">
      <c r="C170" s="103"/>
      <c r="D170" s="103"/>
      <c r="E170" s="103"/>
      <c r="F170" s="116"/>
      <c r="G170" s="116"/>
      <c r="H170" s="116"/>
      <c r="I170" s="104"/>
      <c r="J170" s="104"/>
    </row>
    <row r="171" spans="3:10" ht="15" customHeight="1" x14ac:dyDescent="0.3">
      <c r="C171" s="103"/>
      <c r="D171" s="103"/>
      <c r="E171" s="103"/>
      <c r="F171" s="116"/>
      <c r="G171" s="116"/>
      <c r="H171" s="116"/>
      <c r="I171" s="104"/>
      <c r="J171" s="104"/>
    </row>
    <row r="172" spans="3:10" ht="15" customHeight="1" x14ac:dyDescent="0.3">
      <c r="C172" s="103"/>
      <c r="D172" s="103"/>
      <c r="E172" s="103"/>
      <c r="F172" s="116"/>
      <c r="G172" s="116"/>
      <c r="H172" s="116"/>
      <c r="I172" s="104"/>
      <c r="J172" s="104"/>
    </row>
    <row r="173" spans="3:10" ht="15" customHeight="1" x14ac:dyDescent="0.3">
      <c r="C173" s="103"/>
      <c r="D173" s="103"/>
      <c r="E173" s="103"/>
      <c r="F173" s="116"/>
      <c r="G173" s="116"/>
      <c r="H173" s="116"/>
      <c r="I173" s="104"/>
      <c r="J173" s="104"/>
    </row>
    <row r="174" spans="3:10" ht="15" customHeight="1" x14ac:dyDescent="0.3">
      <c r="C174" s="103"/>
      <c r="D174" s="103"/>
      <c r="E174" s="103"/>
      <c r="F174" s="116"/>
      <c r="G174" s="116"/>
      <c r="H174" s="116"/>
      <c r="I174" s="104"/>
      <c r="J174" s="104"/>
    </row>
    <row r="175" spans="3:10" ht="15" customHeight="1" x14ac:dyDescent="0.3">
      <c r="C175" s="103"/>
      <c r="D175" s="103"/>
      <c r="E175" s="103"/>
      <c r="F175" s="116"/>
      <c r="G175" s="116"/>
      <c r="H175" s="116"/>
      <c r="I175" s="104"/>
      <c r="J175" s="104"/>
    </row>
    <row r="176" spans="3:10" ht="15" customHeight="1" x14ac:dyDescent="0.3">
      <c r="C176" s="103"/>
      <c r="D176" s="103"/>
      <c r="E176" s="103"/>
      <c r="F176" s="116"/>
      <c r="G176" s="116"/>
      <c r="H176" s="116"/>
      <c r="I176" s="104"/>
      <c r="J176" s="104"/>
    </row>
    <row r="177" spans="3:22" ht="15" customHeight="1" x14ac:dyDescent="0.3">
      <c r="C177" s="103"/>
      <c r="D177" s="103"/>
      <c r="E177" s="103"/>
      <c r="F177" s="116"/>
      <c r="G177" s="116"/>
      <c r="H177" s="116"/>
      <c r="I177" s="104"/>
      <c r="J177" s="104"/>
    </row>
    <row r="178" spans="3:22" ht="15" customHeight="1" x14ac:dyDescent="0.3">
      <c r="C178" s="103"/>
      <c r="D178" s="103"/>
      <c r="E178" s="103"/>
      <c r="F178" s="116"/>
      <c r="G178" s="116"/>
      <c r="H178" s="116"/>
      <c r="I178" s="104"/>
      <c r="J178" s="104"/>
    </row>
    <row r="179" spans="3:22" ht="15" customHeight="1" x14ac:dyDescent="0.3">
      <c r="C179" s="103"/>
      <c r="D179" s="103"/>
      <c r="E179" s="103"/>
      <c r="F179" s="116"/>
      <c r="G179" s="116"/>
      <c r="H179" s="116"/>
      <c r="I179" s="104"/>
      <c r="J179" s="104"/>
    </row>
    <row r="180" spans="3:22" ht="15" customHeight="1" x14ac:dyDescent="0.3">
      <c r="C180" s="103"/>
      <c r="D180" s="103"/>
      <c r="E180" s="103"/>
      <c r="F180" s="116"/>
      <c r="G180" s="116"/>
      <c r="H180" s="116"/>
      <c r="I180" s="104"/>
      <c r="J180" s="104"/>
    </row>
    <row r="181" spans="3:22" ht="15" customHeight="1" x14ac:dyDescent="0.3">
      <c r="C181" s="103"/>
      <c r="D181" s="103"/>
      <c r="E181" s="103"/>
      <c r="F181" s="116"/>
      <c r="G181" s="116"/>
      <c r="H181" s="116"/>
      <c r="I181" s="104"/>
      <c r="J181" s="104"/>
    </row>
    <row r="182" spans="3:22" ht="15" customHeight="1" x14ac:dyDescent="0.3">
      <c r="C182" s="103"/>
      <c r="D182" s="103"/>
      <c r="E182" s="103"/>
      <c r="F182" s="116"/>
      <c r="G182" s="116"/>
      <c r="H182" s="116"/>
      <c r="I182" s="104"/>
      <c r="J182" s="104"/>
    </row>
    <row r="183" spans="3:22" ht="15" customHeight="1" x14ac:dyDescent="0.3">
      <c r="C183" s="103"/>
      <c r="D183" s="103"/>
      <c r="E183" s="103"/>
      <c r="F183" s="116"/>
      <c r="G183" s="116"/>
      <c r="H183" s="116"/>
      <c r="I183" s="104"/>
      <c r="J183" s="104"/>
    </row>
    <row r="184" spans="3:22" ht="14.4" x14ac:dyDescent="0.3">
      <c r="J184" s="106" t="s">
        <v>380</v>
      </c>
      <c r="V184" t="e">
        <f>SUM(#REF!)</f>
        <v>#REF!</v>
      </c>
    </row>
  </sheetData>
  <sheetProtection algorithmName="SHA-512" hashValue="mQrpqzMq81Mk5guLtLA4NfmGqYtiREN/9mKW/lcpFVGWTFvZVDxOH0wWXcfUp3dLB/ZD1jqOChzG3lg78YBsMw==" saltValue="4OkaiaDJi+kJ7viIKVDxIw==" spinCount="100000" sheet="1" objects="1" scenarios="1" formatColumns="0" formatRows="0" selectLockedCells="1" autoFilter="0"/>
  <mergeCells count="21">
    <mergeCell ref="C36:J36"/>
    <mergeCell ref="C38:J38"/>
    <mergeCell ref="C39:J39"/>
    <mergeCell ref="C34:J34"/>
    <mergeCell ref="C16:I16"/>
    <mergeCell ref="C2:D2"/>
    <mergeCell ref="C32:J32"/>
    <mergeCell ref="C22:I22"/>
    <mergeCell ref="C12:I12"/>
    <mergeCell ref="C17:I17"/>
    <mergeCell ref="C19:I19"/>
    <mergeCell ref="C28:J28"/>
    <mergeCell ref="C30:J30"/>
    <mergeCell ref="C21:I21"/>
    <mergeCell ref="C10:I10"/>
    <mergeCell ref="C11:I11"/>
    <mergeCell ref="C14:I14"/>
    <mergeCell ref="C18:I18"/>
    <mergeCell ref="C20:I20"/>
    <mergeCell ref="C23:I23"/>
    <mergeCell ref="C24:I24"/>
  </mergeCells>
  <conditionalFormatting sqref="L11 L14 L16 L18 L20 L22 L24">
    <cfRule type="cellIs" dxfId="4" priority="1" operator="equal">
      <formula>"Yes"</formula>
    </cfRule>
  </conditionalFormatting>
  <hyperlinks>
    <hyperlink ref="C33" location="'5.2 C&amp;D Hospital Discharge'!A1" display="5.2 Capacity - Hospital Discharge" xr:uid="{7B9CC589-84B7-4F25-96EE-AEB4E449760A}"/>
    <hyperlink ref="C31" location="'5.2 C&amp;D Hospital Discharge'!A1" display="5.2 Demand - Hospital Discharge" xr:uid="{C74F83BA-4965-4CE1-B988-91CCF6FCE7C7}"/>
    <hyperlink ref="C35" location="'5.3 C&amp;D Community'!A1" display="5.3 Demand - Community" xr:uid="{EFDF78A5-7B3D-476D-997D-FDB59881E37B}"/>
    <hyperlink ref="C37" location="'5.3 C&amp;D Community'!A1" display="5.3 Capacity - Community " xr:uid="{9D2BA177-9C4A-4F96-B2E8-5DD8CC6CED7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EEEF-CF2D-4C98-9128-5E81DA83BDE4}">
  <dimension ref="A1:AA175"/>
  <sheetViews>
    <sheetView showGridLines="0" zoomScale="80" zoomScaleNormal="80" workbookViewId="0">
      <selection activeCell="O68" sqref="O68"/>
    </sheetView>
  </sheetViews>
  <sheetFormatPr defaultColWidth="9.109375" defaultRowHeight="0" customHeight="1" zeroHeight="1" x14ac:dyDescent="0.3"/>
  <cols>
    <col min="1" max="1" width="3.88671875" customWidth="1"/>
    <col min="2" max="2" width="1.88671875" customWidth="1"/>
    <col min="3" max="3" width="6.88671875" hidden="1" customWidth="1"/>
    <col min="4" max="4" width="56" customWidth="1"/>
    <col min="5" max="5" width="55.6640625" customWidth="1"/>
    <col min="6" max="15" width="9.88671875" customWidth="1"/>
    <col min="16" max="21" width="11.33203125" customWidth="1"/>
    <col min="22" max="22" width="1.5546875" customWidth="1"/>
    <col min="23" max="23" width="13.44140625" customWidth="1"/>
    <col min="24" max="24" width="1.109375" customWidth="1"/>
    <col min="25" max="25" width="9.109375" style="120" customWidth="1"/>
    <col min="26" max="27" width="0" hidden="1" customWidth="1"/>
  </cols>
  <sheetData>
    <row r="1" spans="1:20" ht="15" thickBot="1" x14ac:dyDescent="0.35">
      <c r="A1" s="120" t="s">
        <v>62</v>
      </c>
    </row>
    <row r="2" spans="1:20" ht="18.600000000000001" thickBot="1" x14ac:dyDescent="0.4">
      <c r="D2" s="242" t="s">
        <v>676</v>
      </c>
      <c r="E2" s="285"/>
      <c r="F2" s="100"/>
      <c r="G2" s="100"/>
    </row>
    <row r="3" spans="1:20" ht="14.4" x14ac:dyDescent="0.3">
      <c r="D3" s="9" t="s">
        <v>653</v>
      </c>
    </row>
    <row r="4" spans="1:20" ht="14.4" x14ac:dyDescent="0.3"/>
    <row r="5" spans="1:20" ht="14.4" x14ac:dyDescent="0.3">
      <c r="D5" t="s">
        <v>396</v>
      </c>
      <c r="E5" s="190" t="str" cm="1">
        <f t="array" ref="E5:G5">IF('2. Cover'!D165:F165="&lt;Please select a Health and Wellbeing Board&gt;","Please select in '2. Cover' sheet",'2. Cover'!D165:F165)</f>
        <v>Hillingdon</v>
      </c>
      <c r="F5" s="120">
        <v>0</v>
      </c>
      <c r="G5" s="120">
        <v>0</v>
      </c>
    </row>
    <row r="6" spans="1:20" ht="14.4" x14ac:dyDescent="0.3"/>
    <row r="7" spans="1:20" ht="14.4" x14ac:dyDescent="0.3"/>
    <row r="8" spans="1:20" ht="15" thickBot="1" x14ac:dyDescent="0.35"/>
    <row r="9" spans="1:20" ht="30.75" customHeight="1" thickBot="1" x14ac:dyDescent="0.35">
      <c r="E9" s="9" t="s">
        <v>677</v>
      </c>
      <c r="F9" s="214" t="s">
        <v>678</v>
      </c>
      <c r="G9" s="215"/>
      <c r="H9" s="215"/>
      <c r="I9" s="215"/>
      <c r="J9" s="216"/>
      <c r="K9" s="311" t="s">
        <v>679</v>
      </c>
      <c r="L9" s="312"/>
      <c r="M9" s="312"/>
      <c r="N9" s="312"/>
      <c r="O9" s="313"/>
      <c r="P9" s="311" t="s">
        <v>680</v>
      </c>
      <c r="Q9" s="312"/>
      <c r="R9" s="312"/>
      <c r="S9" s="312"/>
      <c r="T9" s="313"/>
    </row>
    <row r="10" spans="1:20" ht="21.6" thickBot="1" x14ac:dyDescent="0.45">
      <c r="E10" s="153" t="s">
        <v>681</v>
      </c>
      <c r="F10" s="105">
        <v>45231</v>
      </c>
      <c r="G10" s="105">
        <v>45261</v>
      </c>
      <c r="H10" s="105">
        <v>45292</v>
      </c>
      <c r="I10" s="105">
        <v>45323</v>
      </c>
      <c r="J10" s="152">
        <v>45352</v>
      </c>
      <c r="K10" s="105">
        <v>45231</v>
      </c>
      <c r="L10" s="105">
        <v>45261</v>
      </c>
      <c r="M10" s="105">
        <v>45292</v>
      </c>
      <c r="N10" s="105">
        <v>45323</v>
      </c>
      <c r="O10" s="105">
        <v>45352</v>
      </c>
      <c r="P10" s="212">
        <v>45231</v>
      </c>
      <c r="Q10" s="212">
        <v>45261</v>
      </c>
      <c r="R10" s="212">
        <v>45292</v>
      </c>
      <c r="S10" s="212">
        <v>45323</v>
      </c>
      <c r="T10" s="212">
        <v>45352</v>
      </c>
    </row>
    <row r="11" spans="1:20" ht="32.25" customHeight="1" x14ac:dyDescent="0.3">
      <c r="E11" s="141" t="s">
        <v>682</v>
      </c>
      <c r="F11" s="139">
        <f t="shared" ref="F11:J11" si="0">F22-F32</f>
        <v>-1939</v>
      </c>
      <c r="G11" s="139">
        <f t="shared" si="0"/>
        <v>-1765</v>
      </c>
      <c r="H11" s="139">
        <f t="shared" si="0"/>
        <v>-1942</v>
      </c>
      <c r="I11" s="139">
        <f t="shared" si="0"/>
        <v>-1824</v>
      </c>
      <c r="J11" s="140">
        <f t="shared" si="0"/>
        <v>-2027</v>
      </c>
      <c r="K11" s="139">
        <f>K22-K32</f>
        <v>0</v>
      </c>
      <c r="L11" s="139">
        <f>L22-L32</f>
        <v>0</v>
      </c>
      <c r="M11" s="139">
        <f>M22-M32</f>
        <v>0</v>
      </c>
      <c r="N11" s="139">
        <f>N22-N32</f>
        <v>0</v>
      </c>
      <c r="O11" s="140">
        <f>O22-O32</f>
        <v>0</v>
      </c>
      <c r="P11" s="122">
        <f>(K22+P22)-K32</f>
        <v>0</v>
      </c>
      <c r="Q11" s="122">
        <f>(L22+Q22)-L32</f>
        <v>0</v>
      </c>
      <c r="R11" s="122">
        <f>(M22+R22)-M32</f>
        <v>0</v>
      </c>
      <c r="S11" s="122">
        <f>(N22+S22)-N32</f>
        <v>0</v>
      </c>
      <c r="T11" s="122">
        <f>(O22+T22)-O32</f>
        <v>0</v>
      </c>
    </row>
    <row r="12" spans="1:20" ht="32.25" customHeight="1" x14ac:dyDescent="0.3">
      <c r="E12" s="142" t="s">
        <v>683</v>
      </c>
      <c r="F12" s="122">
        <f t="shared" ref="F12:J12" si="1">F23-F57</f>
        <v>-66</v>
      </c>
      <c r="G12" s="122">
        <f t="shared" si="1"/>
        <v>-81</v>
      </c>
      <c r="H12" s="122">
        <f t="shared" si="1"/>
        <v>-78</v>
      </c>
      <c r="I12" s="122">
        <f t="shared" si="1"/>
        <v>-87</v>
      </c>
      <c r="J12" s="126">
        <f t="shared" si="1"/>
        <v>-64</v>
      </c>
      <c r="K12" s="122">
        <f>K23-K57</f>
        <v>-33</v>
      </c>
      <c r="L12" s="122">
        <f>L23-L57</f>
        <v>-43</v>
      </c>
      <c r="M12" s="122">
        <f>M23-M57</f>
        <v>-42</v>
      </c>
      <c r="N12" s="122">
        <f>N23-N57</f>
        <v>-51</v>
      </c>
      <c r="O12" s="126">
        <f>O23-O57</f>
        <v>-29</v>
      </c>
      <c r="P12" s="122">
        <f>(K23+P23)-K57</f>
        <v>-33</v>
      </c>
      <c r="Q12" s="122">
        <f>(L23+Q23)-L57</f>
        <v>-43</v>
      </c>
      <c r="R12" s="122">
        <f>(M23+R23)-M57</f>
        <v>-42</v>
      </c>
      <c r="S12" s="122">
        <f>(N23+S23)-N57</f>
        <v>-51</v>
      </c>
      <c r="T12" s="122">
        <f>(O23+T23)-O57</f>
        <v>-29</v>
      </c>
    </row>
    <row r="13" spans="1:20" ht="32.25" customHeight="1" x14ac:dyDescent="0.3">
      <c r="E13" s="142" t="s">
        <v>684</v>
      </c>
      <c r="F13" s="122">
        <f t="shared" ref="F13:J13" si="2">F24-F82</f>
        <v>-1</v>
      </c>
      <c r="G13" s="122">
        <f t="shared" si="2"/>
        <v>1</v>
      </c>
      <c r="H13" s="122">
        <f t="shared" si="2"/>
        <v>0</v>
      </c>
      <c r="I13" s="122">
        <f t="shared" si="2"/>
        <v>-1</v>
      </c>
      <c r="J13" s="126">
        <f t="shared" si="2"/>
        <v>0</v>
      </c>
      <c r="K13" s="122">
        <f>K24-K82</f>
        <v>-1</v>
      </c>
      <c r="L13" s="122">
        <f>L24-L82</f>
        <v>1</v>
      </c>
      <c r="M13" s="122">
        <f>M24-M82</f>
        <v>0</v>
      </c>
      <c r="N13" s="122">
        <f>N24-N82</f>
        <v>-1</v>
      </c>
      <c r="O13" s="126">
        <f>O24-O82</f>
        <v>0</v>
      </c>
      <c r="P13" s="122">
        <f>(K24+P24)-K82</f>
        <v>-1</v>
      </c>
      <c r="Q13" s="122">
        <f>(L24+Q24)-L82</f>
        <v>1</v>
      </c>
      <c r="R13" s="122">
        <f>(M24+R24)-M82</f>
        <v>0</v>
      </c>
      <c r="S13" s="122">
        <f>(N24+S24)-N82</f>
        <v>-1</v>
      </c>
      <c r="T13" s="122">
        <f>(O24+T24)-O82</f>
        <v>0</v>
      </c>
    </row>
    <row r="14" spans="1:20" ht="32.25" customHeight="1" x14ac:dyDescent="0.3">
      <c r="E14" s="142" t="s">
        <v>685</v>
      </c>
      <c r="F14" s="122">
        <f t="shared" ref="F14:J14" si="3">F25-F107</f>
        <v>6</v>
      </c>
      <c r="G14" s="122">
        <f t="shared" si="3"/>
        <v>-9</v>
      </c>
      <c r="H14" s="122">
        <f t="shared" si="3"/>
        <v>-18</v>
      </c>
      <c r="I14" s="122">
        <f t="shared" si="3"/>
        <v>4</v>
      </c>
      <c r="J14" s="126">
        <f t="shared" si="3"/>
        <v>-6</v>
      </c>
      <c r="K14" s="122">
        <f>K25-K107</f>
        <v>6</v>
      </c>
      <c r="L14" s="122">
        <f>L25-L107</f>
        <v>-9</v>
      </c>
      <c r="M14" s="122">
        <f>M25-M107</f>
        <v>-18</v>
      </c>
      <c r="N14" s="122">
        <f>N25-N107</f>
        <v>4</v>
      </c>
      <c r="O14" s="126">
        <f>O25-O107</f>
        <v>-6</v>
      </c>
      <c r="P14" s="122">
        <f>(K25+P25)-K107</f>
        <v>6</v>
      </c>
      <c r="Q14" s="122">
        <f>(L25+Q25)-L107</f>
        <v>-9</v>
      </c>
      <c r="R14" s="122">
        <f>(M25+R25)-M107</f>
        <v>-18</v>
      </c>
      <c r="S14" s="122">
        <f>(N25+S25)-N107</f>
        <v>4</v>
      </c>
      <c r="T14" s="122">
        <f>(O25+T25)-O107</f>
        <v>-6</v>
      </c>
    </row>
    <row r="15" spans="1:20" ht="32.25" customHeight="1" thickBot="1" x14ac:dyDescent="0.35">
      <c r="E15" s="143" t="s">
        <v>686</v>
      </c>
      <c r="F15" s="128">
        <f t="shared" ref="F15:J15" si="4">F26-F132</f>
        <v>-53</v>
      </c>
      <c r="G15" s="128">
        <f t="shared" si="4"/>
        <v>-52</v>
      </c>
      <c r="H15" s="128">
        <f t="shared" si="4"/>
        <v>-56</v>
      </c>
      <c r="I15" s="128">
        <f t="shared" si="4"/>
        <v>-56</v>
      </c>
      <c r="J15" s="129">
        <f t="shared" si="4"/>
        <v>-56</v>
      </c>
      <c r="K15" s="128">
        <f>K26-K132</f>
        <v>-53</v>
      </c>
      <c r="L15" s="128">
        <f>L26-L132</f>
        <v>-52</v>
      </c>
      <c r="M15" s="128">
        <f>M26-M132</f>
        <v>-56</v>
      </c>
      <c r="N15" s="128">
        <f>N26-N132</f>
        <v>-56</v>
      </c>
      <c r="O15" s="129">
        <f>O26-O132</f>
        <v>-56</v>
      </c>
      <c r="P15" s="122">
        <f>(K26+P26)-K132</f>
        <v>-45</v>
      </c>
      <c r="Q15" s="122">
        <f>(L26+Q26)-L132</f>
        <v>-44</v>
      </c>
      <c r="R15" s="122">
        <f>(M26+R26)-M132</f>
        <v>-48</v>
      </c>
      <c r="S15" s="122">
        <f>(N26+S26)-N132</f>
        <v>-48</v>
      </c>
      <c r="T15" s="122">
        <f>(O26+T26)-O132</f>
        <v>-48</v>
      </c>
    </row>
    <row r="16" spans="1:20" ht="14.4" x14ac:dyDescent="0.3"/>
    <row r="17" spans="1:27" ht="14.4" x14ac:dyDescent="0.3"/>
    <row r="18" spans="1:27" ht="14.4" x14ac:dyDescent="0.3"/>
    <row r="19" spans="1:27" ht="15" thickBot="1" x14ac:dyDescent="0.35">
      <c r="V19" s="18"/>
      <c r="W19" s="19" t="s">
        <v>379</v>
      </c>
      <c r="X19" s="19"/>
    </row>
    <row r="20" spans="1:27" ht="36.75" customHeight="1" thickBot="1" x14ac:dyDescent="0.45">
      <c r="D20" s="155" t="s">
        <v>687</v>
      </c>
      <c r="E20" s="174"/>
      <c r="F20" s="214" t="s">
        <v>688</v>
      </c>
      <c r="G20" s="215"/>
      <c r="H20" s="215"/>
      <c r="I20" s="215"/>
      <c r="J20" s="216"/>
      <c r="K20" s="314" t="s">
        <v>689</v>
      </c>
      <c r="L20" s="315"/>
      <c r="M20" s="315"/>
      <c r="N20" s="315"/>
      <c r="O20" s="316"/>
      <c r="P20" s="314" t="s">
        <v>690</v>
      </c>
      <c r="Q20" s="317"/>
      <c r="R20" s="317"/>
      <c r="S20" s="317"/>
      <c r="T20" s="318"/>
      <c r="V20" s="21"/>
      <c r="W20" s="22" t="s">
        <v>380</v>
      </c>
      <c r="X20" s="22"/>
    </row>
    <row r="21" spans="1:27" ht="16.2" thickBot="1" x14ac:dyDescent="0.35">
      <c r="D21" s="109" t="s">
        <v>691</v>
      </c>
      <c r="E21" s="144" t="s">
        <v>415</v>
      </c>
      <c r="F21" s="105">
        <v>45231</v>
      </c>
      <c r="G21" s="105">
        <v>45261</v>
      </c>
      <c r="H21" s="105">
        <v>45292</v>
      </c>
      <c r="I21" s="105">
        <v>45323</v>
      </c>
      <c r="J21" s="152">
        <v>45352</v>
      </c>
      <c r="K21" s="212">
        <v>45231</v>
      </c>
      <c r="L21" s="212">
        <v>45261</v>
      </c>
      <c r="M21" s="212">
        <v>45292</v>
      </c>
      <c r="N21" s="212">
        <v>45323</v>
      </c>
      <c r="O21" s="213">
        <v>45352</v>
      </c>
      <c r="P21" s="212">
        <v>45231</v>
      </c>
      <c r="Q21" s="212">
        <v>45261</v>
      </c>
      <c r="R21" s="212">
        <v>45292</v>
      </c>
      <c r="S21" s="212">
        <v>45323</v>
      </c>
      <c r="T21" s="213">
        <v>45352</v>
      </c>
      <c r="V21" s="21"/>
      <c r="W21" s="22"/>
      <c r="X21" s="22"/>
    </row>
    <row r="22" spans="1:27" ht="31.5" customHeight="1" x14ac:dyDescent="0.3">
      <c r="D22" s="130" t="s">
        <v>682</v>
      </c>
      <c r="E22" s="197" t="s">
        <v>692</v>
      </c>
      <c r="F22" s="193">
        <f>SUMIF(BS_HD_Cap!$A:$A,$E$5&amp;'5.2 C&amp;D Hospital Discharge'!$D22,BS_HD_Cap!L:L)</f>
        <v>232</v>
      </c>
      <c r="G22" s="193">
        <f>SUMIF(BS_HD_Cap!$A:$A,$E$5&amp;'5.2 C&amp;D Hospital Discharge'!$D22,BS_HD_Cap!M:M)</f>
        <v>232</v>
      </c>
      <c r="H22" s="193">
        <f>SUMIF(BS_HD_Cap!$A:$A,$E$5&amp;'5.2 C&amp;D Hospital Discharge'!$D22,BS_HD_Cap!N:N)</f>
        <v>232</v>
      </c>
      <c r="I22" s="193">
        <f>SUMIF(BS_HD_Cap!$A:$A,$E$5&amp;'5.2 C&amp;D Hospital Discharge'!$D22,BS_HD_Cap!O:O)</f>
        <v>232</v>
      </c>
      <c r="J22" s="194">
        <f>SUMIF(BS_HD_Cap!$A:$A,$E$5&amp;'5.2 C&amp;D Hospital Discharge'!$D22,BS_HD_Cap!P:P)</f>
        <v>232</v>
      </c>
      <c r="K22" s="233">
        <v>232</v>
      </c>
      <c r="L22" s="134">
        <v>232</v>
      </c>
      <c r="M22" s="134">
        <v>232</v>
      </c>
      <c r="N22" s="134">
        <v>232</v>
      </c>
      <c r="O22" s="234">
        <v>232</v>
      </c>
      <c r="P22" s="233">
        <v>0</v>
      </c>
      <c r="Q22" s="134">
        <v>0</v>
      </c>
      <c r="R22" s="134">
        <v>0</v>
      </c>
      <c r="S22" s="134">
        <v>0</v>
      </c>
      <c r="T22" s="234">
        <v>0</v>
      </c>
      <c r="V22" s="21"/>
      <c r="W22" s="164" t="str">
        <f ca="1">IF(AND(Z22=1,AA22=0),"No","Yes")</f>
        <v>Yes</v>
      </c>
      <c r="X22" s="22"/>
      <c r="Y22" s="120">
        <f ca="1">IF(W22="No", 1,0)</f>
        <v>0</v>
      </c>
      <c r="Z22">
        <f>IF(AND(E22&lt;&gt;"Total",E22&lt;&gt;"(blank)"),1,0)</f>
        <v>1</v>
      </c>
      <c r="AA22" cm="1">
        <f t="array" aca="1" ref="AA22" ca="1">IF(AND(INDIRECT("K22")&lt;&gt;"",INDIRECT("L22")&lt;&gt;"",INDIRECT("M22")&lt;&gt;"",INDIRECT("n22")&lt;&gt;"",INDIRECT("o22")&lt;&gt;"",INDIRECT("p22")&lt;&gt;"", INDIRECT("q22")&lt;&gt;"", INDIRECT("r22")&lt;&gt;"", INDIRECT("s22")&lt;&gt;"", INDIRECT("t22")&lt;&gt;""),1,0)</f>
        <v>1</v>
      </c>
    </row>
    <row r="23" spans="1:27" ht="31.5" customHeight="1" x14ac:dyDescent="0.3">
      <c r="D23" s="135" t="s">
        <v>683</v>
      </c>
      <c r="E23" s="198" t="s">
        <v>692</v>
      </c>
      <c r="F23" s="193">
        <f>SUMIF(BS_HD_Cap!$A:$A,$E$5&amp;'5.2 C&amp;D Hospital Discharge'!$D23,BS_HD_Cap!L:L)</f>
        <v>97</v>
      </c>
      <c r="G23" s="193">
        <f>SUMIF(BS_HD_Cap!$A:$A,$E$5&amp;'5.2 C&amp;D Hospital Discharge'!$D23,BS_HD_Cap!M:M)</f>
        <v>101</v>
      </c>
      <c r="H23" s="193">
        <f>SUMIF(BS_HD_Cap!$A:$A,$E$5&amp;'5.2 C&amp;D Hospital Discharge'!$D23,BS_HD_Cap!N:N)</f>
        <v>101</v>
      </c>
      <c r="I23" s="193">
        <f>SUMIF(BS_HD_Cap!$A:$A,$E$5&amp;'5.2 C&amp;D Hospital Discharge'!$D23,BS_HD_Cap!O:O)</f>
        <v>90</v>
      </c>
      <c r="J23" s="194">
        <f>SUMIF(BS_HD_Cap!$A:$A,$E$5&amp;'5.2 C&amp;D Hospital Discharge'!$D23,BS_HD_Cap!P:P)</f>
        <v>101</v>
      </c>
      <c r="K23" s="235">
        <v>97</v>
      </c>
      <c r="L23" s="84">
        <v>101</v>
      </c>
      <c r="M23" s="84">
        <v>101</v>
      </c>
      <c r="N23" s="84">
        <v>90</v>
      </c>
      <c r="O23" s="236">
        <v>101</v>
      </c>
      <c r="P23" s="235">
        <v>0</v>
      </c>
      <c r="Q23" s="84">
        <v>0</v>
      </c>
      <c r="R23" s="84">
        <v>0</v>
      </c>
      <c r="S23" s="84">
        <v>0</v>
      </c>
      <c r="T23" s="236">
        <v>0</v>
      </c>
      <c r="V23" s="21"/>
      <c r="W23" s="17" t="str">
        <f ca="1">IF(AND(Z23=1,AA23=0),"No","Yes")</f>
        <v>Yes</v>
      </c>
      <c r="X23" s="22"/>
      <c r="Y23" s="120">
        <f t="shared" ref="Y23:Y86" ca="1" si="5">IF(W23="No", 1,0)</f>
        <v>0</v>
      </c>
      <c r="Z23">
        <f>IF(AND(E23&lt;&gt;"Total",E23&lt;&gt;"(blank)"),1,0)</f>
        <v>1</v>
      </c>
      <c r="AA23" cm="1">
        <f t="array" aca="1" ref="AA23" ca="1">IF(AND(INDIRECT("K23")&lt;&gt;"",INDIRECT("L23")&lt;&gt;"",INDIRECT("M23")&lt;&gt;"",INDIRECT("n23")&lt;&gt;"",INDIRECT("o23")&lt;&gt;"",INDIRECT("p23")&lt;&gt;"", INDIRECT("q23")&lt;&gt;"", INDIRECT("r23")&lt;&gt;"", INDIRECT("s23")&lt;&gt;"", INDIRECT("t23")&lt;&gt;""),1,0)</f>
        <v>1</v>
      </c>
    </row>
    <row r="24" spans="1:27" ht="31.5" customHeight="1" x14ac:dyDescent="0.3">
      <c r="D24" s="135" t="s">
        <v>684</v>
      </c>
      <c r="E24" s="198" t="s">
        <v>692</v>
      </c>
      <c r="F24" s="193">
        <f>SUMIF(BS_HD_Cap!$A:$A,$E$5&amp;'5.2 C&amp;D Hospital Discharge'!$D24,BS_HD_Cap!L:L)</f>
        <v>134</v>
      </c>
      <c r="G24" s="193">
        <f>SUMIF(BS_HD_Cap!$A:$A,$E$5&amp;'5.2 C&amp;D Hospital Discharge'!$D24,BS_HD_Cap!M:M)</f>
        <v>185</v>
      </c>
      <c r="H24" s="193">
        <f>SUMIF(BS_HD_Cap!$A:$A,$E$5&amp;'5.2 C&amp;D Hospital Discharge'!$D24,BS_HD_Cap!N:N)</f>
        <v>185</v>
      </c>
      <c r="I24" s="193">
        <f>SUMIF(BS_HD_Cap!$A:$A,$E$5&amp;'5.2 C&amp;D Hospital Discharge'!$D24,BS_HD_Cap!O:O)</f>
        <v>165</v>
      </c>
      <c r="J24" s="194">
        <f>SUMIF(BS_HD_Cap!$A:$A,$E$5&amp;'5.2 C&amp;D Hospital Discharge'!$D24,BS_HD_Cap!P:P)</f>
        <v>177</v>
      </c>
      <c r="K24" s="235">
        <v>134</v>
      </c>
      <c r="L24" s="84">
        <v>185</v>
      </c>
      <c r="M24" s="84">
        <v>185</v>
      </c>
      <c r="N24" s="84">
        <v>165</v>
      </c>
      <c r="O24" s="236">
        <v>177</v>
      </c>
      <c r="P24" s="235">
        <v>0</v>
      </c>
      <c r="Q24" s="84">
        <v>0</v>
      </c>
      <c r="R24" s="84">
        <v>0</v>
      </c>
      <c r="S24" s="84">
        <v>0</v>
      </c>
      <c r="T24" s="236">
        <v>0</v>
      </c>
      <c r="V24" s="21"/>
      <c r="W24" s="17" t="str">
        <f ca="1">IF(AND(Z24=1,AA24=0),"No","Yes")</f>
        <v>Yes</v>
      </c>
      <c r="X24" s="22"/>
      <c r="Y24" s="120">
        <f t="shared" ca="1" si="5"/>
        <v>0</v>
      </c>
      <c r="Z24">
        <f>IF(AND(E24&lt;&gt;"Total",E24&lt;&gt;"(blank)"),1,0)</f>
        <v>1</v>
      </c>
      <c r="AA24" cm="1">
        <f t="array" aca="1" ref="AA24" ca="1">IF(AND(INDIRECT("K24")&lt;&gt;"",INDIRECT("L24")&lt;&gt;"",INDIRECT("M24")&lt;&gt;"",INDIRECT("n24")&lt;&gt;"",INDIRECT("o24")&lt;&gt;"",INDIRECT("p24")&lt;&gt;"", INDIRECT("q24")&lt;&gt;"", INDIRECT("r24")&lt;&gt;"", INDIRECT("s24")&lt;&gt;"", INDIRECT("t24")&lt;&gt;""),1,0)</f>
        <v>1</v>
      </c>
    </row>
    <row r="25" spans="1:27" ht="31.5" customHeight="1" x14ac:dyDescent="0.3">
      <c r="D25" s="135" t="s">
        <v>685</v>
      </c>
      <c r="E25" s="198" t="s">
        <v>692</v>
      </c>
      <c r="F25" s="193">
        <f>SUMIF(BS_HD_Cap!$A:$A,$E$5&amp;'5.2 C&amp;D Hospital Discharge'!$D25,BS_HD_Cap!L:L)</f>
        <v>30</v>
      </c>
      <c r="G25" s="193">
        <f>SUMIF(BS_HD_Cap!$A:$A,$E$5&amp;'5.2 C&amp;D Hospital Discharge'!$D25,BS_HD_Cap!M:M)</f>
        <v>31</v>
      </c>
      <c r="H25" s="193">
        <f>SUMIF(BS_HD_Cap!$A:$A,$E$5&amp;'5.2 C&amp;D Hospital Discharge'!$D25,BS_HD_Cap!N:N)</f>
        <v>31</v>
      </c>
      <c r="I25" s="193">
        <f>SUMIF(BS_HD_Cap!$A:$A,$E$5&amp;'5.2 C&amp;D Hospital Discharge'!$D25,BS_HD_Cap!O:O)</f>
        <v>28</v>
      </c>
      <c r="J25" s="194">
        <f>SUMIF(BS_HD_Cap!$A:$A,$E$5&amp;'5.2 C&amp;D Hospital Discharge'!$D25,BS_HD_Cap!P:P)</f>
        <v>31</v>
      </c>
      <c r="K25" s="235">
        <v>30</v>
      </c>
      <c r="L25" s="84">
        <v>31</v>
      </c>
      <c r="M25" s="84">
        <v>31</v>
      </c>
      <c r="N25" s="84">
        <v>28</v>
      </c>
      <c r="O25" s="236">
        <v>31</v>
      </c>
      <c r="P25" s="235">
        <v>0</v>
      </c>
      <c r="Q25" s="84">
        <v>0</v>
      </c>
      <c r="R25" s="84">
        <v>0</v>
      </c>
      <c r="S25" s="84">
        <v>0</v>
      </c>
      <c r="T25" s="236">
        <v>0</v>
      </c>
      <c r="V25" s="21"/>
      <c r="W25" s="17" t="str">
        <f ca="1">IF(AND(Z25=1,AA25=0),"No","Yes")</f>
        <v>Yes</v>
      </c>
      <c r="X25" s="22"/>
      <c r="Y25" s="120">
        <f t="shared" ca="1" si="5"/>
        <v>0</v>
      </c>
      <c r="Z25">
        <f>IF(AND(E25&lt;&gt;"Total",E25&lt;&gt;"(blank)"),1,0)</f>
        <v>1</v>
      </c>
      <c r="AA25" cm="1">
        <f t="array" aca="1" ref="AA25" ca="1">IF(AND(INDIRECT("K25")&lt;&gt;"",INDIRECT("L25")&lt;&gt;"",INDIRECT("M25")&lt;&gt;"",INDIRECT("n25")&lt;&gt;"",INDIRECT("o25")&lt;&gt;"",INDIRECT("p25")&lt;&gt;"", INDIRECT("q25")&lt;&gt;"", INDIRECT("r25")&lt;&gt;"", INDIRECT("s25")&lt;&gt;"", INDIRECT("t25")&lt;&gt;""),1,0)</f>
        <v>1</v>
      </c>
    </row>
    <row r="26" spans="1:27" ht="31.5" customHeight="1" thickBot="1" x14ac:dyDescent="0.35">
      <c r="D26" s="136" t="s">
        <v>686</v>
      </c>
      <c r="E26" s="199" t="s">
        <v>692</v>
      </c>
      <c r="F26" s="195">
        <f>SUMIF(BS_HD_Cap!$A:$A,$E$5&amp;'5.2 C&amp;D Hospital Discharge'!$D26,BS_HD_Cap!L:L)</f>
        <v>10</v>
      </c>
      <c r="G26" s="195">
        <f>SUMIF(BS_HD_Cap!$A:$A,$E$5&amp;'5.2 C&amp;D Hospital Discharge'!$D26,BS_HD_Cap!M:M)</f>
        <v>10</v>
      </c>
      <c r="H26" s="195">
        <f>SUMIF(BS_HD_Cap!$A:$A,$E$5&amp;'5.2 C&amp;D Hospital Discharge'!$D26,BS_HD_Cap!N:N)</f>
        <v>10</v>
      </c>
      <c r="I26" s="195">
        <f>SUMIF(BS_HD_Cap!$A:$A,$E$5&amp;'5.2 C&amp;D Hospital Discharge'!$D26,BS_HD_Cap!O:O)</f>
        <v>9</v>
      </c>
      <c r="J26" s="196">
        <f>SUMIF(BS_HD_Cap!$A:$A,$E$5&amp;'5.2 C&amp;D Hospital Discharge'!$D26,BS_HD_Cap!P:P)</f>
        <v>10</v>
      </c>
      <c r="K26" s="237">
        <v>10</v>
      </c>
      <c r="L26" s="238">
        <v>10</v>
      </c>
      <c r="M26" s="238">
        <v>10</v>
      </c>
      <c r="N26" s="238">
        <v>9</v>
      </c>
      <c r="O26" s="239">
        <v>10</v>
      </c>
      <c r="P26" s="237">
        <v>8</v>
      </c>
      <c r="Q26" s="238">
        <v>8</v>
      </c>
      <c r="R26" s="238">
        <v>8</v>
      </c>
      <c r="S26" s="238">
        <v>8</v>
      </c>
      <c r="T26" s="239">
        <v>8</v>
      </c>
      <c r="V26" s="21"/>
      <c r="W26" s="17" t="str">
        <f ca="1">IF(AND(Z26=1,AA26=0),"No","Yes")</f>
        <v>Yes</v>
      </c>
      <c r="X26" s="22"/>
      <c r="Y26" s="120">
        <f t="shared" ca="1" si="5"/>
        <v>0</v>
      </c>
      <c r="Z26">
        <f>IF(AND(E26&lt;&gt;"Total",E26&lt;&gt;"(blank)"),1,0)</f>
        <v>1</v>
      </c>
      <c r="AA26" cm="1">
        <f t="array" aca="1" ref="AA26" ca="1">IF(AND(INDIRECT("K26")&lt;&gt;"",INDIRECT("L26")&lt;&gt;"",INDIRECT("M26")&lt;&gt;"",INDIRECT("n26")&lt;&gt;"",INDIRECT("o26")&lt;&gt;"",INDIRECT("p26")&lt;&gt;"", INDIRECT("q26")&lt;&gt;"", INDIRECT("r26")&lt;&gt;"", INDIRECT("s26")&lt;&gt;"", INDIRECT("t26")&lt;&gt;""),1,0)</f>
        <v>1</v>
      </c>
    </row>
    <row r="27" spans="1:27" ht="14.4" x14ac:dyDescent="0.3">
      <c r="V27" s="21"/>
      <c r="W27" s="22"/>
      <c r="X27" s="22"/>
    </row>
    <row r="28" spans="1:27" ht="14.4" x14ac:dyDescent="0.3">
      <c r="V28" s="21"/>
      <c r="W28" s="22"/>
      <c r="X28" s="22"/>
    </row>
    <row r="29" spans="1:27" ht="15" thickBot="1" x14ac:dyDescent="0.35">
      <c r="V29" s="21"/>
      <c r="W29" s="22"/>
      <c r="X29" s="22"/>
    </row>
    <row r="30" spans="1:27" ht="21" x14ac:dyDescent="0.4">
      <c r="D30" s="308" t="s">
        <v>693</v>
      </c>
      <c r="E30" s="309"/>
      <c r="F30" s="149" t="s">
        <v>688</v>
      </c>
      <c r="G30" s="150"/>
      <c r="H30" s="150"/>
      <c r="I30" s="150"/>
      <c r="J30" s="150"/>
      <c r="K30" s="319" t="s">
        <v>694</v>
      </c>
      <c r="L30" s="320"/>
      <c r="M30" s="320"/>
      <c r="N30" s="320"/>
      <c r="O30" s="321"/>
      <c r="V30" s="21"/>
      <c r="W30" s="22"/>
      <c r="X30" s="22"/>
    </row>
    <row r="31" spans="1:27" ht="16.2" thickBot="1" x14ac:dyDescent="0.35">
      <c r="D31" s="109" t="s">
        <v>695</v>
      </c>
      <c r="E31" s="144" t="s">
        <v>696</v>
      </c>
      <c r="F31" s="105">
        <v>45231</v>
      </c>
      <c r="G31" s="105">
        <v>45261</v>
      </c>
      <c r="H31" s="105">
        <v>45292</v>
      </c>
      <c r="I31" s="105">
        <v>45323</v>
      </c>
      <c r="J31" s="152">
        <v>45352</v>
      </c>
      <c r="K31" s="105">
        <v>45231</v>
      </c>
      <c r="L31" s="105">
        <v>45261</v>
      </c>
      <c r="M31" s="105">
        <v>45292</v>
      </c>
      <c r="N31" s="105">
        <v>45323</v>
      </c>
      <c r="O31" s="105">
        <v>45352</v>
      </c>
      <c r="V31" s="21"/>
      <c r="W31" s="22"/>
      <c r="X31" s="22"/>
      <c r="Z31" t="s">
        <v>697</v>
      </c>
      <c r="AA31" t="s">
        <v>698</v>
      </c>
    </row>
    <row r="32" spans="1:27" ht="30" customHeight="1" x14ac:dyDescent="0.3">
      <c r="A32" s="9"/>
      <c r="B32" s="9"/>
      <c r="C32" s="9" t="s">
        <v>393</v>
      </c>
      <c r="D32" s="133" t="s">
        <v>682</v>
      </c>
      <c r="E32" s="145" t="str">
        <f>IF(C32="Total","Total",IFERROR(VLOOKUP($E$5&amp;$D32&amp;$C32,BS_HD_Dem!A:F,6,0),"(blank)"))</f>
        <v>Total</v>
      </c>
      <c r="F32" s="123">
        <f t="shared" ref="F32:J32" si="6">SUM(F33:F56)</f>
        <v>2171</v>
      </c>
      <c r="G32" s="123">
        <f t="shared" si="6"/>
        <v>1997</v>
      </c>
      <c r="H32" s="123">
        <f t="shared" si="6"/>
        <v>2174</v>
      </c>
      <c r="I32" s="123">
        <f t="shared" si="6"/>
        <v>2056</v>
      </c>
      <c r="J32" s="124">
        <f t="shared" si="6"/>
        <v>2259</v>
      </c>
      <c r="K32" s="123">
        <f>SUM(K33:K56)</f>
        <v>232</v>
      </c>
      <c r="L32" s="123">
        <f>SUM(L33:L56)</f>
        <v>232</v>
      </c>
      <c r="M32" s="123">
        <f>SUM(M33:M56)</f>
        <v>232</v>
      </c>
      <c r="N32" s="123">
        <f>SUM(N33:N56)</f>
        <v>232</v>
      </c>
      <c r="O32" s="123">
        <f>SUM(O33:O56)</f>
        <v>232</v>
      </c>
      <c r="P32" s="9"/>
      <c r="Q32" s="9"/>
      <c r="R32" s="9"/>
      <c r="S32" s="9"/>
      <c r="T32" s="9"/>
      <c r="U32" s="9"/>
      <c r="V32" s="21"/>
      <c r="W32" s="22"/>
      <c r="X32" s="22"/>
      <c r="Z32">
        <f t="shared" ref="Z32:Z63" si="7">IF(AND(E32&lt;&gt;"Total",E32&lt;&gt;"(blank)"),1,0)</f>
        <v>0</v>
      </c>
      <c r="AA32">
        <f t="shared" ref="AA32:AA63" si="8">IF(AND(K32&lt;&gt;"",L32&lt;&gt;"",M32&lt;&gt;"",N32&lt;&gt;"",O32&lt;&gt;""),1,0)</f>
        <v>1</v>
      </c>
    </row>
    <row r="33" spans="3:27" ht="14.4" x14ac:dyDescent="0.3">
      <c r="C33">
        <v>1</v>
      </c>
      <c r="D33" s="125" t="s">
        <v>682</v>
      </c>
      <c r="E33" s="146" t="str">
        <f>IF(C33="Total","Total",IFERROR(VLOOKUP($E$5&amp;$D33&amp;$C33,BS_HD_Dem!A:F,6,0),"(blank)"))</f>
        <v>CHELSEA AND WESTMINSTER HOSPITAL NHS FOUNDATION TRUST</v>
      </c>
      <c r="F33" s="122">
        <f>IF($E33="(blank)","",SUMIFS(BS_HD_Dem!O:O,BS_HD_Dem!$E:$E,'5.2 C&amp;D Hospital Discharge'!$E$5,BS_HD_Dem!$D:$D,'5.2 C&amp;D Hospital Discharge'!$D33,BS_HD_Dem!$F:$F,'5.2 C&amp;D Hospital Discharge'!$E33))</f>
        <v>74</v>
      </c>
      <c r="G33" s="122">
        <f>IF($E33="(blank)","",SUMIFS(BS_HD_Dem!P:P,BS_HD_Dem!$E:$E,'5.2 C&amp;D Hospital Discharge'!$E$5,BS_HD_Dem!$D:$D,'5.2 C&amp;D Hospital Discharge'!$D33,BS_HD_Dem!$F:$F,'5.2 C&amp;D Hospital Discharge'!$E33))</f>
        <v>53</v>
      </c>
      <c r="H33" s="122">
        <f>IF($E33="(blank)","",SUMIFS(BS_HD_Dem!Q:Q,BS_HD_Dem!$E:$E,'5.2 C&amp;D Hospital Discharge'!$E$5,BS_HD_Dem!$D:$D,'5.2 C&amp;D Hospital Discharge'!$D33,BS_HD_Dem!$F:$F,'5.2 C&amp;D Hospital Discharge'!$E33))</f>
        <v>50</v>
      </c>
      <c r="I33" s="122">
        <f>IF($E33="(blank)","",SUMIFS(BS_HD_Dem!R:R,BS_HD_Dem!$E:$E,'5.2 C&amp;D Hospital Discharge'!$E$5,BS_HD_Dem!$D:$D,'5.2 C&amp;D Hospital Discharge'!$D33,BS_HD_Dem!$F:$F,'5.2 C&amp;D Hospital Discharge'!$E33))</f>
        <v>64</v>
      </c>
      <c r="J33" s="126">
        <f>IF($E33="(blank)","",SUMIFS(BS_HD_Dem!S:S,BS_HD_Dem!$E:$E,'5.2 C&amp;D Hospital Discharge'!$E$5,BS_HD_Dem!$D:$D,'5.2 C&amp;D Hospital Discharge'!$D33,BS_HD_Dem!$F:$F,'5.2 C&amp;D Hospital Discharge'!$E33))</f>
        <v>44</v>
      </c>
      <c r="K33" s="200">
        <v>6</v>
      </c>
      <c r="L33" s="200">
        <v>6</v>
      </c>
      <c r="M33" s="200">
        <v>6</v>
      </c>
      <c r="N33" s="200">
        <v>6</v>
      </c>
      <c r="O33" s="200">
        <v>6</v>
      </c>
      <c r="V33" s="21"/>
      <c r="W33" s="17" t="str">
        <f>IF(AND(Z33=1,AA33=0),"No","Yes")</f>
        <v>Yes</v>
      </c>
      <c r="X33" s="22"/>
      <c r="Y33" s="120">
        <f t="shared" si="5"/>
        <v>0</v>
      </c>
      <c r="Z33">
        <f t="shared" si="7"/>
        <v>1</v>
      </c>
      <c r="AA33">
        <f t="shared" si="8"/>
        <v>1</v>
      </c>
    </row>
    <row r="34" spans="3:27" ht="14.4" x14ac:dyDescent="0.3">
      <c r="C34">
        <f>C33+1</f>
        <v>2</v>
      </c>
      <c r="D34" s="125" t="s">
        <v>682</v>
      </c>
      <c r="E34" s="146" t="str">
        <f>IF(C34="Total","Total",IFERROR(VLOOKUP($E$5&amp;$D34&amp;$C34,BS_HD_Dem!A:F,6,0),"(blank)"))</f>
        <v>IMPERIAL COLLEGE HEALTHCARE NHS TRUST</v>
      </c>
      <c r="F34" s="122">
        <f>IF($E34="(blank)","",SUMIFS(BS_HD_Dem!O:O,BS_HD_Dem!$E:$E,'5.2 C&amp;D Hospital Discharge'!$E$5,BS_HD_Dem!$D:$D,'5.2 C&amp;D Hospital Discharge'!$D34,BS_HD_Dem!$F:$F,'5.2 C&amp;D Hospital Discharge'!$E34))</f>
        <v>161</v>
      </c>
      <c r="G34" s="122">
        <f>IF($E34="(blank)","",SUMIFS(BS_HD_Dem!P:P,BS_HD_Dem!$E:$E,'5.2 C&amp;D Hospital Discharge'!$E$5,BS_HD_Dem!$D:$D,'5.2 C&amp;D Hospital Discharge'!$D34,BS_HD_Dem!$F:$F,'5.2 C&amp;D Hospital Discharge'!$E34))</f>
        <v>149</v>
      </c>
      <c r="H34" s="122">
        <f>IF($E34="(blank)","",SUMIFS(BS_HD_Dem!Q:Q,BS_HD_Dem!$E:$E,'5.2 C&amp;D Hospital Discharge'!$E$5,BS_HD_Dem!$D:$D,'5.2 C&amp;D Hospital Discharge'!$D34,BS_HD_Dem!$F:$F,'5.2 C&amp;D Hospital Discharge'!$E34))</f>
        <v>173</v>
      </c>
      <c r="I34" s="122">
        <f>IF($E34="(blank)","",SUMIFS(BS_HD_Dem!R:R,BS_HD_Dem!$E:$E,'5.2 C&amp;D Hospital Discharge'!$E$5,BS_HD_Dem!$D:$D,'5.2 C&amp;D Hospital Discharge'!$D34,BS_HD_Dem!$F:$F,'5.2 C&amp;D Hospital Discharge'!$E34))</f>
        <v>152</v>
      </c>
      <c r="J34" s="126">
        <f>IF($E34="(blank)","",SUMIFS(BS_HD_Dem!S:S,BS_HD_Dem!$E:$E,'5.2 C&amp;D Hospital Discharge'!$E$5,BS_HD_Dem!$D:$D,'5.2 C&amp;D Hospital Discharge'!$D34,BS_HD_Dem!$F:$F,'5.2 C&amp;D Hospital Discharge'!$E34))</f>
        <v>156</v>
      </c>
      <c r="K34" s="200">
        <v>17</v>
      </c>
      <c r="L34" s="200">
        <v>17</v>
      </c>
      <c r="M34" s="200">
        <v>17</v>
      </c>
      <c r="N34" s="200">
        <v>17</v>
      </c>
      <c r="O34" s="201">
        <v>17</v>
      </c>
      <c r="V34" s="21"/>
      <c r="W34" s="17" t="str">
        <f t="shared" ref="W34:W97" si="9">IF(AND(Z34=1,AA34=0),"No","Yes")</f>
        <v>Yes</v>
      </c>
      <c r="X34" s="22"/>
      <c r="Y34" s="120">
        <f t="shared" si="5"/>
        <v>0</v>
      </c>
      <c r="Z34">
        <f t="shared" si="7"/>
        <v>1</v>
      </c>
      <c r="AA34">
        <f t="shared" si="8"/>
        <v>1</v>
      </c>
    </row>
    <row r="35" spans="3:27" ht="14.4" x14ac:dyDescent="0.3">
      <c r="C35">
        <f t="shared" ref="C35:C56" si="10">C34+1</f>
        <v>3</v>
      </c>
      <c r="D35" s="125" t="s">
        <v>682</v>
      </c>
      <c r="E35" s="146" t="str">
        <f>IF(C35="Total","Total",IFERROR(VLOOKUP($E$5&amp;$D35&amp;$C35,BS_HD_Dem!A:F,6,0),"(blank)"))</f>
        <v>LONDON NORTH WEST UNIVERSITY HEALTHCARE NHS TRUST</v>
      </c>
      <c r="F35" s="122">
        <f>IF($E35="(blank)","",SUMIFS(BS_HD_Dem!O:O,BS_HD_Dem!$E:$E,'5.2 C&amp;D Hospital Discharge'!$E$5,BS_HD_Dem!$D:$D,'5.2 C&amp;D Hospital Discharge'!$D35,BS_HD_Dem!$F:$F,'5.2 C&amp;D Hospital Discharge'!$E35))</f>
        <v>363</v>
      </c>
      <c r="G35" s="122">
        <f>IF($E35="(blank)","",SUMIFS(BS_HD_Dem!P:P,BS_HD_Dem!$E:$E,'5.2 C&amp;D Hospital Discharge'!$E$5,BS_HD_Dem!$D:$D,'5.2 C&amp;D Hospital Discharge'!$D35,BS_HD_Dem!$F:$F,'5.2 C&amp;D Hospital Discharge'!$E35))</f>
        <v>321</v>
      </c>
      <c r="H35" s="122">
        <f>IF($E35="(blank)","",SUMIFS(BS_HD_Dem!Q:Q,BS_HD_Dem!$E:$E,'5.2 C&amp;D Hospital Discharge'!$E$5,BS_HD_Dem!$D:$D,'5.2 C&amp;D Hospital Discharge'!$D35,BS_HD_Dem!$F:$F,'5.2 C&amp;D Hospital Discharge'!$E35))</f>
        <v>387</v>
      </c>
      <c r="I35" s="122">
        <f>IF($E35="(blank)","",SUMIFS(BS_HD_Dem!R:R,BS_HD_Dem!$E:$E,'5.2 C&amp;D Hospital Discharge'!$E$5,BS_HD_Dem!$D:$D,'5.2 C&amp;D Hospital Discharge'!$D35,BS_HD_Dem!$F:$F,'5.2 C&amp;D Hospital Discharge'!$E35))</f>
        <v>286</v>
      </c>
      <c r="J35" s="126">
        <f>IF($E35="(blank)","",SUMIFS(BS_HD_Dem!S:S,BS_HD_Dem!$E:$E,'5.2 C&amp;D Hospital Discharge'!$E$5,BS_HD_Dem!$D:$D,'5.2 C&amp;D Hospital Discharge'!$D35,BS_HD_Dem!$F:$F,'5.2 C&amp;D Hospital Discharge'!$E35))</f>
        <v>350</v>
      </c>
      <c r="K35" s="200">
        <v>37</v>
      </c>
      <c r="L35" s="200">
        <v>37</v>
      </c>
      <c r="M35" s="200">
        <v>37</v>
      </c>
      <c r="N35" s="200">
        <v>37</v>
      </c>
      <c r="O35" s="201">
        <v>37</v>
      </c>
      <c r="V35" s="21"/>
      <c r="W35" s="17" t="str">
        <f t="shared" si="9"/>
        <v>Yes</v>
      </c>
      <c r="X35" s="22"/>
      <c r="Y35" s="120">
        <f t="shared" si="5"/>
        <v>0</v>
      </c>
      <c r="Z35">
        <f t="shared" si="7"/>
        <v>1</v>
      </c>
      <c r="AA35">
        <f t="shared" si="8"/>
        <v>1</v>
      </c>
    </row>
    <row r="36" spans="3:27" ht="14.4" x14ac:dyDescent="0.3">
      <c r="C36">
        <f t="shared" si="10"/>
        <v>4</v>
      </c>
      <c r="D36" s="125" t="s">
        <v>682</v>
      </c>
      <c r="E36" s="146" t="str">
        <f>IF(C36="Total","Total",IFERROR(VLOOKUP($E$5&amp;$D36&amp;$C36,BS_HD_Dem!A:F,6,0),"(blank)"))</f>
        <v>THE HILLINGDON HOSPITALS NHS FOUNDATION TRUST</v>
      </c>
      <c r="F36" s="122">
        <f>IF($E36="(blank)","",SUMIFS(BS_HD_Dem!O:O,BS_HD_Dem!$E:$E,'5.2 C&amp;D Hospital Discharge'!$E$5,BS_HD_Dem!$D:$D,'5.2 C&amp;D Hospital Discharge'!$D36,BS_HD_Dem!$F:$F,'5.2 C&amp;D Hospital Discharge'!$E36))</f>
        <v>1573</v>
      </c>
      <c r="G36" s="122">
        <f>IF($E36="(blank)","",SUMIFS(BS_HD_Dem!P:P,BS_HD_Dem!$E:$E,'5.2 C&amp;D Hospital Discharge'!$E$5,BS_HD_Dem!$D:$D,'5.2 C&amp;D Hospital Discharge'!$D36,BS_HD_Dem!$F:$F,'5.2 C&amp;D Hospital Discharge'!$E36))</f>
        <v>1474</v>
      </c>
      <c r="H36" s="122">
        <f>IF($E36="(blank)","",SUMIFS(BS_HD_Dem!Q:Q,BS_HD_Dem!$E:$E,'5.2 C&amp;D Hospital Discharge'!$E$5,BS_HD_Dem!$D:$D,'5.2 C&amp;D Hospital Discharge'!$D36,BS_HD_Dem!$F:$F,'5.2 C&amp;D Hospital Discharge'!$E36))</f>
        <v>1564</v>
      </c>
      <c r="I36" s="122">
        <f>IF($E36="(blank)","",SUMIFS(BS_HD_Dem!R:R,BS_HD_Dem!$E:$E,'5.2 C&amp;D Hospital Discharge'!$E$5,BS_HD_Dem!$D:$D,'5.2 C&amp;D Hospital Discharge'!$D36,BS_HD_Dem!$F:$F,'5.2 C&amp;D Hospital Discharge'!$E36))</f>
        <v>1554</v>
      </c>
      <c r="J36" s="126">
        <f>IF($E36="(blank)","",SUMIFS(BS_HD_Dem!S:S,BS_HD_Dem!$E:$E,'5.2 C&amp;D Hospital Discharge'!$E$5,BS_HD_Dem!$D:$D,'5.2 C&amp;D Hospital Discharge'!$D36,BS_HD_Dem!$F:$F,'5.2 C&amp;D Hospital Discharge'!$E36))</f>
        <v>1709</v>
      </c>
      <c r="K36" s="200">
        <v>172</v>
      </c>
      <c r="L36" s="200">
        <v>172</v>
      </c>
      <c r="M36" s="200">
        <v>172</v>
      </c>
      <c r="N36" s="200">
        <v>172</v>
      </c>
      <c r="O36" s="201">
        <v>172</v>
      </c>
      <c r="V36" s="21"/>
      <c r="W36" s="17" t="str">
        <f t="shared" si="9"/>
        <v>Yes</v>
      </c>
      <c r="X36" s="22"/>
      <c r="Y36" s="120">
        <f t="shared" si="5"/>
        <v>0</v>
      </c>
      <c r="Z36">
        <f t="shared" si="7"/>
        <v>1</v>
      </c>
      <c r="AA36">
        <f t="shared" si="8"/>
        <v>1</v>
      </c>
    </row>
    <row r="37" spans="3:27" ht="14.4" x14ac:dyDescent="0.3">
      <c r="C37">
        <f t="shared" si="10"/>
        <v>5</v>
      </c>
      <c r="D37" s="125" t="s">
        <v>682</v>
      </c>
      <c r="E37" s="146" t="str">
        <f>IF(C37="Total","Total",IFERROR(VLOOKUP($E$5&amp;$D37&amp;$C37,BS_HD_Dem!A:F,6,0),"(blank)"))</f>
        <v>(blank)</v>
      </c>
      <c r="F37" s="122" t="str">
        <f>IF($E37="(blank)","",SUMIFS(BS_HD_Dem!O:O,BS_HD_Dem!$E:$E,'5.2 C&amp;D Hospital Discharge'!$E$5,BS_HD_Dem!$D:$D,'5.2 C&amp;D Hospital Discharge'!$D37,BS_HD_Dem!$F:$F,'5.2 C&amp;D Hospital Discharge'!$E37))</f>
        <v/>
      </c>
      <c r="G37" s="122" t="str">
        <f>IF($E37="(blank)","",SUMIFS(BS_HD_Dem!P:P,BS_HD_Dem!$E:$E,'5.2 C&amp;D Hospital Discharge'!$E$5,BS_HD_Dem!$D:$D,'5.2 C&amp;D Hospital Discharge'!$D37,BS_HD_Dem!$F:$F,'5.2 C&amp;D Hospital Discharge'!$E37))</f>
        <v/>
      </c>
      <c r="H37" s="122" t="str">
        <f>IF($E37="(blank)","",SUMIFS(BS_HD_Dem!Q:Q,BS_HD_Dem!$E:$E,'5.2 C&amp;D Hospital Discharge'!$E$5,BS_HD_Dem!$D:$D,'5.2 C&amp;D Hospital Discharge'!$D37,BS_HD_Dem!$F:$F,'5.2 C&amp;D Hospital Discharge'!$E37))</f>
        <v/>
      </c>
      <c r="I37" s="122" t="str">
        <f>IF($E37="(blank)","",SUMIFS(BS_HD_Dem!R:R,BS_HD_Dem!$E:$E,'5.2 C&amp;D Hospital Discharge'!$E$5,BS_HD_Dem!$D:$D,'5.2 C&amp;D Hospital Discharge'!$D37,BS_HD_Dem!$F:$F,'5.2 C&amp;D Hospital Discharge'!$E37))</f>
        <v/>
      </c>
      <c r="J37" s="126" t="str">
        <f>IF($E37="(blank)","",SUMIFS(BS_HD_Dem!S:S,BS_HD_Dem!$E:$E,'5.2 C&amp;D Hospital Discharge'!$E$5,BS_HD_Dem!$D:$D,'5.2 C&amp;D Hospital Discharge'!$D37,BS_HD_Dem!$F:$F,'5.2 C&amp;D Hospital Discharge'!$E37))</f>
        <v/>
      </c>
      <c r="K37" s="200"/>
      <c r="L37" s="200"/>
      <c r="M37" s="200"/>
      <c r="N37" s="200"/>
      <c r="O37" s="201"/>
      <c r="V37" s="21"/>
      <c r="W37" s="17" t="str">
        <f t="shared" si="9"/>
        <v>Yes</v>
      </c>
      <c r="X37" s="22"/>
      <c r="Y37" s="120">
        <f t="shared" si="5"/>
        <v>0</v>
      </c>
      <c r="Z37">
        <f t="shared" si="7"/>
        <v>0</v>
      </c>
      <c r="AA37">
        <f t="shared" si="8"/>
        <v>0</v>
      </c>
    </row>
    <row r="38" spans="3:27" ht="14.4" x14ac:dyDescent="0.3">
      <c r="C38">
        <f t="shared" si="10"/>
        <v>6</v>
      </c>
      <c r="D38" s="125" t="s">
        <v>682</v>
      </c>
      <c r="E38" s="146" t="str">
        <f>IF(C38="Total","Total",IFERROR(VLOOKUP($E$5&amp;$D38&amp;$C38,BS_HD_Dem!A:F,6,0),"(blank)"))</f>
        <v>(blank)</v>
      </c>
      <c r="F38" s="122" t="str">
        <f>IF($E38="(blank)","",SUMIFS(BS_HD_Dem!O:O,BS_HD_Dem!$E:$E,'5.2 C&amp;D Hospital Discharge'!$E$5,BS_HD_Dem!$D:$D,'5.2 C&amp;D Hospital Discharge'!$D38,BS_HD_Dem!$F:$F,'5.2 C&amp;D Hospital Discharge'!$E38))</f>
        <v/>
      </c>
      <c r="G38" s="122" t="str">
        <f>IF($E38="(blank)","",SUMIFS(BS_HD_Dem!P:P,BS_HD_Dem!$E:$E,'5.2 C&amp;D Hospital Discharge'!$E$5,BS_HD_Dem!$D:$D,'5.2 C&amp;D Hospital Discharge'!$D38,BS_HD_Dem!$F:$F,'5.2 C&amp;D Hospital Discharge'!$E38))</f>
        <v/>
      </c>
      <c r="H38" s="122" t="str">
        <f>IF($E38="(blank)","",SUMIFS(BS_HD_Dem!Q:Q,BS_HD_Dem!$E:$E,'5.2 C&amp;D Hospital Discharge'!$E$5,BS_HD_Dem!$D:$D,'5.2 C&amp;D Hospital Discharge'!$D38,BS_HD_Dem!$F:$F,'5.2 C&amp;D Hospital Discharge'!$E38))</f>
        <v/>
      </c>
      <c r="I38" s="122" t="str">
        <f>IF($E38="(blank)","",SUMIFS(BS_HD_Dem!R:R,BS_HD_Dem!$E:$E,'5.2 C&amp;D Hospital Discharge'!$E$5,BS_HD_Dem!$D:$D,'5.2 C&amp;D Hospital Discharge'!$D38,BS_HD_Dem!$F:$F,'5.2 C&amp;D Hospital Discharge'!$E38))</f>
        <v/>
      </c>
      <c r="J38" s="126" t="str">
        <f>IF($E38="(blank)","",SUMIFS(BS_HD_Dem!S:S,BS_HD_Dem!$E:$E,'5.2 C&amp;D Hospital Discharge'!$E$5,BS_HD_Dem!$D:$D,'5.2 C&amp;D Hospital Discharge'!$D38,BS_HD_Dem!$F:$F,'5.2 C&amp;D Hospital Discharge'!$E38))</f>
        <v/>
      </c>
      <c r="K38" s="200"/>
      <c r="L38" s="200"/>
      <c r="M38" s="200"/>
      <c r="N38" s="200"/>
      <c r="O38" s="201"/>
      <c r="V38" s="21"/>
      <c r="W38" s="17" t="str">
        <f t="shared" si="9"/>
        <v>Yes</v>
      </c>
      <c r="X38" s="22"/>
      <c r="Y38" s="120">
        <f t="shared" si="5"/>
        <v>0</v>
      </c>
      <c r="Z38">
        <f t="shared" si="7"/>
        <v>0</v>
      </c>
      <c r="AA38">
        <f t="shared" si="8"/>
        <v>0</v>
      </c>
    </row>
    <row r="39" spans="3:27" ht="14.4" x14ac:dyDescent="0.3">
      <c r="C39">
        <f t="shared" si="10"/>
        <v>7</v>
      </c>
      <c r="D39" s="125" t="s">
        <v>682</v>
      </c>
      <c r="E39" s="146" t="str">
        <f>IF(C39="Total","Total",IFERROR(VLOOKUP($E$5&amp;$D39&amp;$C39,BS_HD_Dem!A:F,6,0),"(blank)"))</f>
        <v>(blank)</v>
      </c>
      <c r="F39" s="122" t="str">
        <f>IF($E39="(blank)","",SUMIFS(BS_HD_Dem!O:O,BS_HD_Dem!$E:$E,'5.2 C&amp;D Hospital Discharge'!$E$5,BS_HD_Dem!$D:$D,'5.2 C&amp;D Hospital Discharge'!$D39,BS_HD_Dem!$F:$F,'5.2 C&amp;D Hospital Discharge'!$E39))</f>
        <v/>
      </c>
      <c r="G39" s="122" t="str">
        <f>IF($E39="(blank)","",SUMIFS(BS_HD_Dem!P:P,BS_HD_Dem!$E:$E,'5.2 C&amp;D Hospital Discharge'!$E$5,BS_HD_Dem!$D:$D,'5.2 C&amp;D Hospital Discharge'!$D39,BS_HD_Dem!$F:$F,'5.2 C&amp;D Hospital Discharge'!$E39))</f>
        <v/>
      </c>
      <c r="H39" s="122" t="str">
        <f>IF($E39="(blank)","",SUMIFS(BS_HD_Dem!Q:Q,BS_HD_Dem!$E:$E,'5.2 C&amp;D Hospital Discharge'!$E$5,BS_HD_Dem!$D:$D,'5.2 C&amp;D Hospital Discharge'!$D39,BS_HD_Dem!$F:$F,'5.2 C&amp;D Hospital Discharge'!$E39))</f>
        <v/>
      </c>
      <c r="I39" s="122" t="str">
        <f>IF($E39="(blank)","",SUMIFS(BS_HD_Dem!R:R,BS_HD_Dem!$E:$E,'5.2 C&amp;D Hospital Discharge'!$E$5,BS_HD_Dem!$D:$D,'5.2 C&amp;D Hospital Discharge'!$D39,BS_HD_Dem!$F:$F,'5.2 C&amp;D Hospital Discharge'!$E39))</f>
        <v/>
      </c>
      <c r="J39" s="126" t="str">
        <f>IF($E39="(blank)","",SUMIFS(BS_HD_Dem!S:S,BS_HD_Dem!$E:$E,'5.2 C&amp;D Hospital Discharge'!$E$5,BS_HD_Dem!$D:$D,'5.2 C&amp;D Hospital Discharge'!$D39,BS_HD_Dem!$F:$F,'5.2 C&amp;D Hospital Discharge'!$E39))</f>
        <v/>
      </c>
      <c r="K39" s="200"/>
      <c r="L39" s="200"/>
      <c r="M39" s="200"/>
      <c r="N39" s="200"/>
      <c r="O39" s="201"/>
      <c r="V39" s="21"/>
      <c r="W39" s="17" t="str">
        <f t="shared" si="9"/>
        <v>Yes</v>
      </c>
      <c r="X39" s="22"/>
      <c r="Y39" s="120">
        <f t="shared" si="5"/>
        <v>0</v>
      </c>
      <c r="Z39">
        <f t="shared" si="7"/>
        <v>0</v>
      </c>
      <c r="AA39">
        <f t="shared" si="8"/>
        <v>0</v>
      </c>
    </row>
    <row r="40" spans="3:27" ht="14.4" x14ac:dyDescent="0.3">
      <c r="C40">
        <f t="shared" si="10"/>
        <v>8</v>
      </c>
      <c r="D40" s="125" t="s">
        <v>682</v>
      </c>
      <c r="E40" s="146" t="str">
        <f>IF(C40="Total","Total",IFERROR(VLOOKUP($E$5&amp;$D40&amp;$C40,BS_HD_Dem!A:F,6,0),"(blank)"))</f>
        <v>(blank)</v>
      </c>
      <c r="F40" s="122" t="str">
        <f>IF($E40="(blank)","",SUMIFS(BS_HD_Dem!O:O,BS_HD_Dem!$E:$E,'5.2 C&amp;D Hospital Discharge'!$E$5,BS_HD_Dem!$D:$D,'5.2 C&amp;D Hospital Discharge'!$D40,BS_HD_Dem!$F:$F,'5.2 C&amp;D Hospital Discharge'!$E40))</f>
        <v/>
      </c>
      <c r="G40" s="122" t="str">
        <f>IF($E40="(blank)","",SUMIFS(BS_HD_Dem!P:P,BS_HD_Dem!$E:$E,'5.2 C&amp;D Hospital Discharge'!$E$5,BS_HD_Dem!$D:$D,'5.2 C&amp;D Hospital Discharge'!$D40,BS_HD_Dem!$F:$F,'5.2 C&amp;D Hospital Discharge'!$E40))</f>
        <v/>
      </c>
      <c r="H40" s="122" t="str">
        <f>IF($E40="(blank)","",SUMIFS(BS_HD_Dem!Q:Q,BS_HD_Dem!$E:$E,'5.2 C&amp;D Hospital Discharge'!$E$5,BS_HD_Dem!$D:$D,'5.2 C&amp;D Hospital Discharge'!$D40,BS_HD_Dem!$F:$F,'5.2 C&amp;D Hospital Discharge'!$E40))</f>
        <v/>
      </c>
      <c r="I40" s="122" t="str">
        <f>IF($E40="(blank)","",SUMIFS(BS_HD_Dem!R:R,BS_HD_Dem!$E:$E,'5.2 C&amp;D Hospital Discharge'!$E$5,BS_HD_Dem!$D:$D,'5.2 C&amp;D Hospital Discharge'!$D40,BS_HD_Dem!$F:$F,'5.2 C&amp;D Hospital Discharge'!$E40))</f>
        <v/>
      </c>
      <c r="J40" s="126" t="str">
        <f>IF($E40="(blank)","",SUMIFS(BS_HD_Dem!S:S,BS_HD_Dem!$E:$E,'5.2 C&amp;D Hospital Discharge'!$E$5,BS_HD_Dem!$D:$D,'5.2 C&amp;D Hospital Discharge'!$D40,BS_HD_Dem!$F:$F,'5.2 C&amp;D Hospital Discharge'!$E40))</f>
        <v/>
      </c>
      <c r="K40" s="200"/>
      <c r="L40" s="200"/>
      <c r="M40" s="200"/>
      <c r="N40" s="200"/>
      <c r="O40" s="201"/>
      <c r="V40" s="21"/>
      <c r="W40" s="17" t="str">
        <f t="shared" si="9"/>
        <v>Yes</v>
      </c>
      <c r="X40" s="22"/>
      <c r="Y40" s="120">
        <f t="shared" si="5"/>
        <v>0</v>
      </c>
      <c r="Z40">
        <f t="shared" si="7"/>
        <v>0</v>
      </c>
      <c r="AA40">
        <f t="shared" si="8"/>
        <v>0</v>
      </c>
    </row>
    <row r="41" spans="3:27" ht="14.4" x14ac:dyDescent="0.3">
      <c r="C41">
        <f t="shared" si="10"/>
        <v>9</v>
      </c>
      <c r="D41" s="125" t="s">
        <v>682</v>
      </c>
      <c r="E41" s="146" t="str">
        <f>IF(C41="Total","Total",IFERROR(VLOOKUP($E$5&amp;$D41&amp;$C41,BS_HD_Dem!A:F,6,0),"(blank)"))</f>
        <v>(blank)</v>
      </c>
      <c r="F41" s="122" t="str">
        <f>IF($E41="(blank)","",SUMIFS(BS_HD_Dem!O:O,BS_HD_Dem!$E:$E,'5.2 C&amp;D Hospital Discharge'!$E$5,BS_HD_Dem!$D:$D,'5.2 C&amp;D Hospital Discharge'!$D41,BS_HD_Dem!$F:$F,'5.2 C&amp;D Hospital Discharge'!$E41))</f>
        <v/>
      </c>
      <c r="G41" s="122" t="str">
        <f>IF($E41="(blank)","",SUMIFS(BS_HD_Dem!P:P,BS_HD_Dem!$E:$E,'5.2 C&amp;D Hospital Discharge'!$E$5,BS_HD_Dem!$D:$D,'5.2 C&amp;D Hospital Discharge'!$D41,BS_HD_Dem!$F:$F,'5.2 C&amp;D Hospital Discharge'!$E41))</f>
        <v/>
      </c>
      <c r="H41" s="122" t="str">
        <f>IF($E41="(blank)","",SUMIFS(BS_HD_Dem!Q:Q,BS_HD_Dem!$E:$E,'5.2 C&amp;D Hospital Discharge'!$E$5,BS_HD_Dem!$D:$D,'5.2 C&amp;D Hospital Discharge'!$D41,BS_HD_Dem!$F:$F,'5.2 C&amp;D Hospital Discharge'!$E41))</f>
        <v/>
      </c>
      <c r="I41" s="122" t="str">
        <f>IF($E41="(blank)","",SUMIFS(BS_HD_Dem!R:R,BS_HD_Dem!$E:$E,'5.2 C&amp;D Hospital Discharge'!$E$5,BS_HD_Dem!$D:$D,'5.2 C&amp;D Hospital Discharge'!$D41,BS_HD_Dem!$F:$F,'5.2 C&amp;D Hospital Discharge'!$E41))</f>
        <v/>
      </c>
      <c r="J41" s="126" t="str">
        <f>IF($E41="(blank)","",SUMIFS(BS_HD_Dem!S:S,BS_HD_Dem!$E:$E,'5.2 C&amp;D Hospital Discharge'!$E$5,BS_HD_Dem!$D:$D,'5.2 C&amp;D Hospital Discharge'!$D41,BS_HD_Dem!$F:$F,'5.2 C&amp;D Hospital Discharge'!$E41))</f>
        <v/>
      </c>
      <c r="K41" s="200"/>
      <c r="L41" s="200"/>
      <c r="M41" s="200"/>
      <c r="N41" s="200"/>
      <c r="O41" s="201"/>
      <c r="V41" s="21"/>
      <c r="W41" s="17" t="str">
        <f t="shared" si="9"/>
        <v>Yes</v>
      </c>
      <c r="X41" s="22"/>
      <c r="Y41" s="120">
        <f t="shared" si="5"/>
        <v>0</v>
      </c>
      <c r="Z41">
        <f t="shared" si="7"/>
        <v>0</v>
      </c>
      <c r="AA41">
        <f t="shared" si="8"/>
        <v>0</v>
      </c>
    </row>
    <row r="42" spans="3:27" ht="14.4" x14ac:dyDescent="0.3">
      <c r="C42">
        <f t="shared" si="10"/>
        <v>10</v>
      </c>
      <c r="D42" s="125" t="s">
        <v>682</v>
      </c>
      <c r="E42" s="146" t="str">
        <f>IF(C42="Total","Total",IFERROR(VLOOKUP($E$5&amp;$D42&amp;$C42,BS_HD_Dem!A:F,6,0),"(blank)"))</f>
        <v>(blank)</v>
      </c>
      <c r="F42" s="122" t="str">
        <f>IF($E42="(blank)","",SUMIFS(BS_HD_Dem!O:O,BS_HD_Dem!$E:$E,'5.2 C&amp;D Hospital Discharge'!$E$5,BS_HD_Dem!$D:$D,'5.2 C&amp;D Hospital Discharge'!$D42,BS_HD_Dem!$F:$F,'5.2 C&amp;D Hospital Discharge'!$E42))</f>
        <v/>
      </c>
      <c r="G42" s="122" t="str">
        <f>IF($E42="(blank)","",SUMIFS(BS_HD_Dem!P:P,BS_HD_Dem!$E:$E,'5.2 C&amp;D Hospital Discharge'!$E$5,BS_HD_Dem!$D:$D,'5.2 C&amp;D Hospital Discharge'!$D42,BS_HD_Dem!$F:$F,'5.2 C&amp;D Hospital Discharge'!$E42))</f>
        <v/>
      </c>
      <c r="H42" s="122" t="str">
        <f>IF($E42="(blank)","",SUMIFS(BS_HD_Dem!Q:Q,BS_HD_Dem!$E:$E,'5.2 C&amp;D Hospital Discharge'!$E$5,BS_HD_Dem!$D:$D,'5.2 C&amp;D Hospital Discharge'!$D42,BS_HD_Dem!$F:$F,'5.2 C&amp;D Hospital Discharge'!$E42))</f>
        <v/>
      </c>
      <c r="I42" s="122" t="str">
        <f>IF($E42="(blank)","",SUMIFS(BS_HD_Dem!R:R,BS_HD_Dem!$E:$E,'5.2 C&amp;D Hospital Discharge'!$E$5,BS_HD_Dem!$D:$D,'5.2 C&amp;D Hospital Discharge'!$D42,BS_HD_Dem!$F:$F,'5.2 C&amp;D Hospital Discharge'!$E42))</f>
        <v/>
      </c>
      <c r="J42" s="126" t="str">
        <f>IF($E42="(blank)","",SUMIFS(BS_HD_Dem!S:S,BS_HD_Dem!$E:$E,'5.2 C&amp;D Hospital Discharge'!$E$5,BS_HD_Dem!$D:$D,'5.2 C&amp;D Hospital Discharge'!$D42,BS_HD_Dem!$F:$F,'5.2 C&amp;D Hospital Discharge'!$E42))</f>
        <v/>
      </c>
      <c r="K42" s="200"/>
      <c r="L42" s="200"/>
      <c r="M42" s="200"/>
      <c r="N42" s="200"/>
      <c r="O42" s="201"/>
      <c r="V42" s="21"/>
      <c r="W42" s="17" t="str">
        <f t="shared" si="9"/>
        <v>Yes</v>
      </c>
      <c r="X42" s="22"/>
      <c r="Y42" s="120">
        <f t="shared" si="5"/>
        <v>0</v>
      </c>
      <c r="Z42">
        <f t="shared" si="7"/>
        <v>0</v>
      </c>
      <c r="AA42">
        <f t="shared" si="8"/>
        <v>0</v>
      </c>
    </row>
    <row r="43" spans="3:27" ht="14.4" x14ac:dyDescent="0.3">
      <c r="C43">
        <f t="shared" si="10"/>
        <v>11</v>
      </c>
      <c r="D43" s="125" t="s">
        <v>682</v>
      </c>
      <c r="E43" s="146" t="str">
        <f>IF(C43="Total","Total",IFERROR(VLOOKUP($E$5&amp;$D43&amp;$C43,BS_HD_Dem!A:F,6,0),"(blank)"))</f>
        <v>(blank)</v>
      </c>
      <c r="F43" s="122" t="str">
        <f>IF($E43="(blank)","",SUMIFS(BS_HD_Dem!O:O,BS_HD_Dem!$E:$E,'5.2 C&amp;D Hospital Discharge'!$E$5,BS_HD_Dem!$D:$D,'5.2 C&amp;D Hospital Discharge'!$D43,BS_HD_Dem!$F:$F,'5.2 C&amp;D Hospital Discharge'!$E43))</f>
        <v/>
      </c>
      <c r="G43" s="122" t="str">
        <f>IF($E43="(blank)","",SUMIFS(BS_HD_Dem!P:P,BS_HD_Dem!$E:$E,'5.2 C&amp;D Hospital Discharge'!$E$5,BS_HD_Dem!$D:$D,'5.2 C&amp;D Hospital Discharge'!$D43,BS_HD_Dem!$F:$F,'5.2 C&amp;D Hospital Discharge'!$E43))</f>
        <v/>
      </c>
      <c r="H43" s="122" t="str">
        <f>IF($E43="(blank)","",SUMIFS(BS_HD_Dem!Q:Q,BS_HD_Dem!$E:$E,'5.2 C&amp;D Hospital Discharge'!$E$5,BS_HD_Dem!$D:$D,'5.2 C&amp;D Hospital Discharge'!$D43,BS_HD_Dem!$F:$F,'5.2 C&amp;D Hospital Discharge'!$E43))</f>
        <v/>
      </c>
      <c r="I43" s="122" t="str">
        <f>IF($E43="(blank)","",SUMIFS(BS_HD_Dem!R:R,BS_HD_Dem!$E:$E,'5.2 C&amp;D Hospital Discharge'!$E$5,BS_HD_Dem!$D:$D,'5.2 C&amp;D Hospital Discharge'!$D43,BS_HD_Dem!$F:$F,'5.2 C&amp;D Hospital Discharge'!$E43))</f>
        <v/>
      </c>
      <c r="J43" s="126" t="str">
        <f>IF($E43="(blank)","",SUMIFS(BS_HD_Dem!S:S,BS_HD_Dem!$E:$E,'5.2 C&amp;D Hospital Discharge'!$E$5,BS_HD_Dem!$D:$D,'5.2 C&amp;D Hospital Discharge'!$D43,BS_HD_Dem!$F:$F,'5.2 C&amp;D Hospital Discharge'!$E43))</f>
        <v/>
      </c>
      <c r="K43" s="200"/>
      <c r="L43" s="200"/>
      <c r="M43" s="200"/>
      <c r="N43" s="200"/>
      <c r="O43" s="201"/>
      <c r="V43" s="21"/>
      <c r="W43" s="17" t="str">
        <f t="shared" si="9"/>
        <v>Yes</v>
      </c>
      <c r="X43" s="22"/>
      <c r="Y43" s="120">
        <f t="shared" si="5"/>
        <v>0</v>
      </c>
      <c r="Z43">
        <f t="shared" si="7"/>
        <v>0</v>
      </c>
      <c r="AA43">
        <f t="shared" si="8"/>
        <v>0</v>
      </c>
    </row>
    <row r="44" spans="3:27" ht="14.4" x14ac:dyDescent="0.3">
      <c r="C44">
        <f t="shared" si="10"/>
        <v>12</v>
      </c>
      <c r="D44" s="125" t="s">
        <v>682</v>
      </c>
      <c r="E44" s="146" t="str">
        <f>IF(C44="Total","Total",IFERROR(VLOOKUP($E$5&amp;$D44&amp;$C44,BS_HD_Dem!A:F,6,0),"(blank)"))</f>
        <v>(blank)</v>
      </c>
      <c r="F44" s="122" t="str">
        <f>IF($E44="(blank)","",SUMIFS(BS_HD_Dem!O:O,BS_HD_Dem!$E:$E,'5.2 C&amp;D Hospital Discharge'!$E$5,BS_HD_Dem!$D:$D,'5.2 C&amp;D Hospital Discharge'!$D44,BS_HD_Dem!$F:$F,'5.2 C&amp;D Hospital Discharge'!$E44))</f>
        <v/>
      </c>
      <c r="G44" s="122" t="str">
        <f>IF($E44="(blank)","",SUMIFS(BS_HD_Dem!P:P,BS_HD_Dem!$E:$E,'5.2 C&amp;D Hospital Discharge'!$E$5,BS_HD_Dem!$D:$D,'5.2 C&amp;D Hospital Discharge'!$D44,BS_HD_Dem!$F:$F,'5.2 C&amp;D Hospital Discharge'!$E44))</f>
        <v/>
      </c>
      <c r="H44" s="122" t="str">
        <f>IF($E44="(blank)","",SUMIFS(BS_HD_Dem!Q:Q,BS_HD_Dem!$E:$E,'5.2 C&amp;D Hospital Discharge'!$E$5,BS_HD_Dem!$D:$D,'5.2 C&amp;D Hospital Discharge'!$D44,BS_HD_Dem!$F:$F,'5.2 C&amp;D Hospital Discharge'!$E44))</f>
        <v/>
      </c>
      <c r="I44" s="122" t="str">
        <f>IF($E44="(blank)","",SUMIFS(BS_HD_Dem!R:R,BS_HD_Dem!$E:$E,'5.2 C&amp;D Hospital Discharge'!$E$5,BS_HD_Dem!$D:$D,'5.2 C&amp;D Hospital Discharge'!$D44,BS_HD_Dem!$F:$F,'5.2 C&amp;D Hospital Discharge'!$E44))</f>
        <v/>
      </c>
      <c r="J44" s="126" t="str">
        <f>IF($E44="(blank)","",SUMIFS(BS_HD_Dem!S:S,BS_HD_Dem!$E:$E,'5.2 C&amp;D Hospital Discharge'!$E$5,BS_HD_Dem!$D:$D,'5.2 C&amp;D Hospital Discharge'!$D44,BS_HD_Dem!$F:$F,'5.2 C&amp;D Hospital Discharge'!$E44))</f>
        <v/>
      </c>
      <c r="K44" s="200"/>
      <c r="L44" s="200"/>
      <c r="M44" s="200"/>
      <c r="N44" s="200"/>
      <c r="O44" s="201"/>
      <c r="V44" s="21"/>
      <c r="W44" s="17" t="str">
        <f t="shared" si="9"/>
        <v>Yes</v>
      </c>
      <c r="X44" s="22"/>
      <c r="Y44" s="120">
        <f t="shared" si="5"/>
        <v>0</v>
      </c>
      <c r="Z44">
        <f t="shared" si="7"/>
        <v>0</v>
      </c>
      <c r="AA44">
        <f t="shared" si="8"/>
        <v>0</v>
      </c>
    </row>
    <row r="45" spans="3:27" ht="14.4" x14ac:dyDescent="0.3">
      <c r="C45">
        <f t="shared" si="10"/>
        <v>13</v>
      </c>
      <c r="D45" s="125" t="s">
        <v>682</v>
      </c>
      <c r="E45" s="146" t="str">
        <f>IF(C45="Total","Total",IFERROR(VLOOKUP($E$5&amp;$D45&amp;$C45,BS_HD_Dem!A:F,6,0),"(blank)"))</f>
        <v>(blank)</v>
      </c>
      <c r="F45" s="122" t="str">
        <f>IF($E45="(blank)","",SUMIFS(BS_HD_Dem!O:O,BS_HD_Dem!$E:$E,'5.2 C&amp;D Hospital Discharge'!$E$5,BS_HD_Dem!$D:$D,'5.2 C&amp;D Hospital Discharge'!$D45,BS_HD_Dem!$F:$F,'5.2 C&amp;D Hospital Discharge'!$E45))</f>
        <v/>
      </c>
      <c r="G45" s="122" t="str">
        <f>IF($E45="(blank)","",SUMIFS(BS_HD_Dem!P:P,BS_HD_Dem!$E:$E,'5.2 C&amp;D Hospital Discharge'!$E$5,BS_HD_Dem!$D:$D,'5.2 C&amp;D Hospital Discharge'!$D45,BS_HD_Dem!$F:$F,'5.2 C&amp;D Hospital Discharge'!$E45))</f>
        <v/>
      </c>
      <c r="H45" s="122" t="str">
        <f>IF($E45="(blank)","",SUMIFS(BS_HD_Dem!Q:Q,BS_HD_Dem!$E:$E,'5.2 C&amp;D Hospital Discharge'!$E$5,BS_HD_Dem!$D:$D,'5.2 C&amp;D Hospital Discharge'!$D45,BS_HD_Dem!$F:$F,'5.2 C&amp;D Hospital Discharge'!$E45))</f>
        <v/>
      </c>
      <c r="I45" s="122" t="str">
        <f>IF($E45="(blank)","",SUMIFS(BS_HD_Dem!R:R,BS_HD_Dem!$E:$E,'5.2 C&amp;D Hospital Discharge'!$E$5,BS_HD_Dem!$D:$D,'5.2 C&amp;D Hospital Discharge'!$D45,BS_HD_Dem!$F:$F,'5.2 C&amp;D Hospital Discharge'!$E45))</f>
        <v/>
      </c>
      <c r="J45" s="126" t="str">
        <f>IF($E45="(blank)","",SUMIFS(BS_HD_Dem!S:S,BS_HD_Dem!$E:$E,'5.2 C&amp;D Hospital Discharge'!$E$5,BS_HD_Dem!$D:$D,'5.2 C&amp;D Hospital Discharge'!$D45,BS_HD_Dem!$F:$F,'5.2 C&amp;D Hospital Discharge'!$E45))</f>
        <v/>
      </c>
      <c r="K45" s="200"/>
      <c r="L45" s="200"/>
      <c r="M45" s="200"/>
      <c r="N45" s="200"/>
      <c r="O45" s="201"/>
      <c r="V45" s="21"/>
      <c r="W45" s="17" t="str">
        <f t="shared" si="9"/>
        <v>Yes</v>
      </c>
      <c r="X45" s="22"/>
      <c r="Y45" s="120">
        <f t="shared" si="5"/>
        <v>0</v>
      </c>
      <c r="Z45">
        <f t="shared" si="7"/>
        <v>0</v>
      </c>
      <c r="AA45">
        <f t="shared" si="8"/>
        <v>0</v>
      </c>
    </row>
    <row r="46" spans="3:27" ht="14.4" x14ac:dyDescent="0.3">
      <c r="C46">
        <f t="shared" si="10"/>
        <v>14</v>
      </c>
      <c r="D46" s="125" t="s">
        <v>682</v>
      </c>
      <c r="E46" s="146" t="str">
        <f>IF(C46="Total","Total",IFERROR(VLOOKUP($E$5&amp;$D46&amp;$C46,BS_HD_Dem!A:F,6,0),"(blank)"))</f>
        <v>(blank)</v>
      </c>
      <c r="F46" s="122" t="str">
        <f>IF($E46="(blank)","",SUMIFS(BS_HD_Dem!O:O,BS_HD_Dem!$E:$E,'5.2 C&amp;D Hospital Discharge'!$E$5,BS_HD_Dem!$D:$D,'5.2 C&amp;D Hospital Discharge'!$D46,BS_HD_Dem!$F:$F,'5.2 C&amp;D Hospital Discharge'!$E46))</f>
        <v/>
      </c>
      <c r="G46" s="122" t="str">
        <f>IF($E46="(blank)","",SUMIFS(BS_HD_Dem!P:P,BS_HD_Dem!$E:$E,'5.2 C&amp;D Hospital Discharge'!$E$5,BS_HD_Dem!$D:$D,'5.2 C&amp;D Hospital Discharge'!$D46,BS_HD_Dem!$F:$F,'5.2 C&amp;D Hospital Discharge'!$E46))</f>
        <v/>
      </c>
      <c r="H46" s="122" t="str">
        <f>IF($E46="(blank)","",SUMIFS(BS_HD_Dem!Q:Q,BS_HD_Dem!$E:$E,'5.2 C&amp;D Hospital Discharge'!$E$5,BS_HD_Dem!$D:$D,'5.2 C&amp;D Hospital Discharge'!$D46,BS_HD_Dem!$F:$F,'5.2 C&amp;D Hospital Discharge'!$E46))</f>
        <v/>
      </c>
      <c r="I46" s="122" t="str">
        <f>IF($E46="(blank)","",SUMIFS(BS_HD_Dem!R:R,BS_HD_Dem!$E:$E,'5.2 C&amp;D Hospital Discharge'!$E$5,BS_HD_Dem!$D:$D,'5.2 C&amp;D Hospital Discharge'!$D46,BS_HD_Dem!$F:$F,'5.2 C&amp;D Hospital Discharge'!$E46))</f>
        <v/>
      </c>
      <c r="J46" s="126" t="str">
        <f>IF($E46="(blank)","",SUMIFS(BS_HD_Dem!S:S,BS_HD_Dem!$E:$E,'5.2 C&amp;D Hospital Discharge'!$E$5,BS_HD_Dem!$D:$D,'5.2 C&amp;D Hospital Discharge'!$D46,BS_HD_Dem!$F:$F,'5.2 C&amp;D Hospital Discharge'!$E46))</f>
        <v/>
      </c>
      <c r="K46" s="200"/>
      <c r="L46" s="200"/>
      <c r="M46" s="200"/>
      <c r="N46" s="200"/>
      <c r="O46" s="201"/>
      <c r="V46" s="21"/>
      <c r="W46" s="17" t="str">
        <f t="shared" si="9"/>
        <v>Yes</v>
      </c>
      <c r="X46" s="22"/>
      <c r="Y46" s="120">
        <f t="shared" si="5"/>
        <v>0</v>
      </c>
      <c r="Z46">
        <f t="shared" si="7"/>
        <v>0</v>
      </c>
      <c r="AA46">
        <f t="shared" si="8"/>
        <v>0</v>
      </c>
    </row>
    <row r="47" spans="3:27" ht="14.4" x14ac:dyDescent="0.3">
      <c r="C47">
        <f t="shared" si="10"/>
        <v>15</v>
      </c>
      <c r="D47" s="125" t="s">
        <v>682</v>
      </c>
      <c r="E47" s="146" t="str">
        <f>IF(C47="Total","Total",IFERROR(VLOOKUP($E$5&amp;$D47&amp;$C47,BS_HD_Dem!A:F,6,0),"(blank)"))</f>
        <v>(blank)</v>
      </c>
      <c r="F47" s="122" t="str">
        <f>IF($E47="(blank)","",SUMIFS(BS_HD_Dem!O:O,BS_HD_Dem!$E:$E,'5.2 C&amp;D Hospital Discharge'!$E$5,BS_HD_Dem!$D:$D,'5.2 C&amp;D Hospital Discharge'!$D47,BS_HD_Dem!$F:$F,'5.2 C&amp;D Hospital Discharge'!$E47))</f>
        <v/>
      </c>
      <c r="G47" s="122" t="str">
        <f>IF($E47="(blank)","",SUMIFS(BS_HD_Dem!P:P,BS_HD_Dem!$E:$E,'5.2 C&amp;D Hospital Discharge'!$E$5,BS_HD_Dem!$D:$D,'5.2 C&amp;D Hospital Discharge'!$D47,BS_HD_Dem!$F:$F,'5.2 C&amp;D Hospital Discharge'!$E47))</f>
        <v/>
      </c>
      <c r="H47" s="122" t="str">
        <f>IF($E47="(blank)","",SUMIFS(BS_HD_Dem!Q:Q,BS_HD_Dem!$E:$E,'5.2 C&amp;D Hospital Discharge'!$E$5,BS_HD_Dem!$D:$D,'5.2 C&amp;D Hospital Discharge'!$D47,BS_HD_Dem!$F:$F,'5.2 C&amp;D Hospital Discharge'!$E47))</f>
        <v/>
      </c>
      <c r="I47" s="122" t="str">
        <f>IF($E47="(blank)","",SUMIFS(BS_HD_Dem!R:R,BS_HD_Dem!$E:$E,'5.2 C&amp;D Hospital Discharge'!$E$5,BS_HD_Dem!$D:$D,'5.2 C&amp;D Hospital Discharge'!$D47,BS_HD_Dem!$F:$F,'5.2 C&amp;D Hospital Discharge'!$E47))</f>
        <v/>
      </c>
      <c r="J47" s="126" t="str">
        <f>IF($E47="(blank)","",SUMIFS(BS_HD_Dem!S:S,BS_HD_Dem!$E:$E,'5.2 C&amp;D Hospital Discharge'!$E$5,BS_HD_Dem!$D:$D,'5.2 C&amp;D Hospital Discharge'!$D47,BS_HD_Dem!$F:$F,'5.2 C&amp;D Hospital Discharge'!$E47))</f>
        <v/>
      </c>
      <c r="K47" s="200"/>
      <c r="L47" s="200"/>
      <c r="M47" s="200"/>
      <c r="N47" s="200"/>
      <c r="O47" s="201"/>
      <c r="V47" s="21"/>
      <c r="W47" s="17" t="str">
        <f t="shared" si="9"/>
        <v>Yes</v>
      </c>
      <c r="X47" s="22"/>
      <c r="Y47" s="120">
        <f t="shared" si="5"/>
        <v>0</v>
      </c>
      <c r="Z47">
        <f t="shared" si="7"/>
        <v>0</v>
      </c>
      <c r="AA47">
        <f t="shared" si="8"/>
        <v>0</v>
      </c>
    </row>
    <row r="48" spans="3:27" ht="14.4" x14ac:dyDescent="0.3">
      <c r="C48">
        <f t="shared" si="10"/>
        <v>16</v>
      </c>
      <c r="D48" s="125" t="s">
        <v>682</v>
      </c>
      <c r="E48" s="146" t="str">
        <f>IF(C48="Total","Total",IFERROR(VLOOKUP($E$5&amp;$D48&amp;$C48,BS_HD_Dem!A:F,6,0),"(blank)"))</f>
        <v>(blank)</v>
      </c>
      <c r="F48" s="122" t="str">
        <f>IF($E48="(blank)","",SUMIFS(BS_HD_Dem!O:O,BS_HD_Dem!$E:$E,'5.2 C&amp;D Hospital Discharge'!$E$5,BS_HD_Dem!$D:$D,'5.2 C&amp;D Hospital Discharge'!$D48,BS_HD_Dem!$F:$F,'5.2 C&amp;D Hospital Discharge'!$E48))</f>
        <v/>
      </c>
      <c r="G48" s="122" t="str">
        <f>IF($E48="(blank)","",SUMIFS(BS_HD_Dem!P:P,BS_HD_Dem!$E:$E,'5.2 C&amp;D Hospital Discharge'!$E$5,BS_HD_Dem!$D:$D,'5.2 C&amp;D Hospital Discharge'!$D48,BS_HD_Dem!$F:$F,'5.2 C&amp;D Hospital Discharge'!$E48))</f>
        <v/>
      </c>
      <c r="H48" s="122" t="str">
        <f>IF($E48="(blank)","",SUMIFS(BS_HD_Dem!Q:Q,BS_HD_Dem!$E:$E,'5.2 C&amp;D Hospital Discharge'!$E$5,BS_HD_Dem!$D:$D,'5.2 C&amp;D Hospital Discharge'!$D48,BS_HD_Dem!$F:$F,'5.2 C&amp;D Hospital Discharge'!$E48))</f>
        <v/>
      </c>
      <c r="I48" s="122" t="str">
        <f>IF($E48="(blank)","",SUMIFS(BS_HD_Dem!R:R,BS_HD_Dem!$E:$E,'5.2 C&amp;D Hospital Discharge'!$E$5,BS_HD_Dem!$D:$D,'5.2 C&amp;D Hospital Discharge'!$D48,BS_HD_Dem!$F:$F,'5.2 C&amp;D Hospital Discharge'!$E48))</f>
        <v/>
      </c>
      <c r="J48" s="126" t="str">
        <f>IF($E48="(blank)","",SUMIFS(BS_HD_Dem!S:S,BS_HD_Dem!$E:$E,'5.2 C&amp;D Hospital Discharge'!$E$5,BS_HD_Dem!$D:$D,'5.2 C&amp;D Hospital Discharge'!$D48,BS_HD_Dem!$F:$F,'5.2 C&amp;D Hospital Discharge'!$E48))</f>
        <v/>
      </c>
      <c r="K48" s="200"/>
      <c r="L48" s="200"/>
      <c r="M48" s="200"/>
      <c r="N48" s="200"/>
      <c r="O48" s="201"/>
      <c r="V48" s="21"/>
      <c r="W48" s="17" t="str">
        <f t="shared" si="9"/>
        <v>Yes</v>
      </c>
      <c r="X48" s="22"/>
      <c r="Y48" s="120">
        <f t="shared" si="5"/>
        <v>0</v>
      </c>
      <c r="Z48">
        <f t="shared" si="7"/>
        <v>0</v>
      </c>
      <c r="AA48">
        <f t="shared" si="8"/>
        <v>0</v>
      </c>
    </row>
    <row r="49" spans="1:27" ht="14.4" x14ac:dyDescent="0.3">
      <c r="C49">
        <f t="shared" si="10"/>
        <v>17</v>
      </c>
      <c r="D49" s="125" t="s">
        <v>682</v>
      </c>
      <c r="E49" s="146" t="str">
        <f>IF(C49="Total","Total",IFERROR(VLOOKUP($E$5&amp;$D49&amp;$C49,BS_HD_Dem!A:F,6,0),"(blank)"))</f>
        <v>(blank)</v>
      </c>
      <c r="F49" s="122" t="str">
        <f>IF($E49="(blank)","",SUMIFS(BS_HD_Dem!O:O,BS_HD_Dem!$E:$E,'5.2 C&amp;D Hospital Discharge'!$E$5,BS_HD_Dem!$D:$D,'5.2 C&amp;D Hospital Discharge'!$D49,BS_HD_Dem!$F:$F,'5.2 C&amp;D Hospital Discharge'!$E49))</f>
        <v/>
      </c>
      <c r="G49" s="122" t="str">
        <f>IF($E49="(blank)","",SUMIFS(BS_HD_Dem!P:P,BS_HD_Dem!$E:$E,'5.2 C&amp;D Hospital Discharge'!$E$5,BS_HD_Dem!$D:$D,'5.2 C&amp;D Hospital Discharge'!$D49,BS_HD_Dem!$F:$F,'5.2 C&amp;D Hospital Discharge'!$E49))</f>
        <v/>
      </c>
      <c r="H49" s="122" t="str">
        <f>IF($E49="(blank)","",SUMIFS(BS_HD_Dem!Q:Q,BS_HD_Dem!$E:$E,'5.2 C&amp;D Hospital Discharge'!$E$5,BS_HD_Dem!$D:$D,'5.2 C&amp;D Hospital Discharge'!$D49,BS_HD_Dem!$F:$F,'5.2 C&amp;D Hospital Discharge'!$E49))</f>
        <v/>
      </c>
      <c r="I49" s="122" t="str">
        <f>IF($E49="(blank)","",SUMIFS(BS_HD_Dem!R:R,BS_HD_Dem!$E:$E,'5.2 C&amp;D Hospital Discharge'!$E$5,BS_HD_Dem!$D:$D,'5.2 C&amp;D Hospital Discharge'!$D49,BS_HD_Dem!$F:$F,'5.2 C&amp;D Hospital Discharge'!$E49))</f>
        <v/>
      </c>
      <c r="J49" s="126" t="str">
        <f>IF($E49="(blank)","",SUMIFS(BS_HD_Dem!S:S,BS_HD_Dem!$E:$E,'5.2 C&amp;D Hospital Discharge'!$E$5,BS_HD_Dem!$D:$D,'5.2 C&amp;D Hospital Discharge'!$D49,BS_HD_Dem!$F:$F,'5.2 C&amp;D Hospital Discharge'!$E49))</f>
        <v/>
      </c>
      <c r="K49" s="200"/>
      <c r="L49" s="200"/>
      <c r="M49" s="200"/>
      <c r="N49" s="200"/>
      <c r="O49" s="201"/>
      <c r="V49" s="21"/>
      <c r="W49" s="17" t="str">
        <f t="shared" si="9"/>
        <v>Yes</v>
      </c>
      <c r="X49" s="22"/>
      <c r="Y49" s="120">
        <f t="shared" si="5"/>
        <v>0</v>
      </c>
      <c r="Z49">
        <f t="shared" si="7"/>
        <v>0</v>
      </c>
      <c r="AA49">
        <f t="shared" si="8"/>
        <v>0</v>
      </c>
    </row>
    <row r="50" spans="1:27" ht="14.4" x14ac:dyDescent="0.3">
      <c r="C50">
        <f t="shared" si="10"/>
        <v>18</v>
      </c>
      <c r="D50" s="125" t="s">
        <v>682</v>
      </c>
      <c r="E50" s="146" t="str">
        <f>IF(C50="Total","Total",IFERROR(VLOOKUP($E$5&amp;$D50&amp;$C50,BS_HD_Dem!A:F,6,0),"(blank)"))</f>
        <v>(blank)</v>
      </c>
      <c r="F50" s="122" t="str">
        <f>IF($E50="(blank)","",SUMIFS(BS_HD_Dem!O:O,BS_HD_Dem!$E:$E,'5.2 C&amp;D Hospital Discharge'!$E$5,BS_HD_Dem!$D:$D,'5.2 C&amp;D Hospital Discharge'!$D50,BS_HD_Dem!$F:$F,'5.2 C&amp;D Hospital Discharge'!$E50))</f>
        <v/>
      </c>
      <c r="G50" s="122" t="str">
        <f>IF($E50="(blank)","",SUMIFS(BS_HD_Dem!P:P,BS_HD_Dem!$E:$E,'5.2 C&amp;D Hospital Discharge'!$E$5,BS_HD_Dem!$D:$D,'5.2 C&amp;D Hospital Discharge'!$D50,BS_HD_Dem!$F:$F,'5.2 C&amp;D Hospital Discharge'!$E50))</f>
        <v/>
      </c>
      <c r="H50" s="122" t="str">
        <f>IF($E50="(blank)","",SUMIFS(BS_HD_Dem!Q:Q,BS_HD_Dem!$E:$E,'5.2 C&amp;D Hospital Discharge'!$E$5,BS_HD_Dem!$D:$D,'5.2 C&amp;D Hospital Discharge'!$D50,BS_HD_Dem!$F:$F,'5.2 C&amp;D Hospital Discharge'!$E50))</f>
        <v/>
      </c>
      <c r="I50" s="122" t="str">
        <f>IF($E50="(blank)","",SUMIFS(BS_HD_Dem!R:R,BS_HD_Dem!$E:$E,'5.2 C&amp;D Hospital Discharge'!$E$5,BS_HD_Dem!$D:$D,'5.2 C&amp;D Hospital Discharge'!$D50,BS_HD_Dem!$F:$F,'5.2 C&amp;D Hospital Discharge'!$E50))</f>
        <v/>
      </c>
      <c r="J50" s="126" t="str">
        <f>IF($E50="(blank)","",SUMIFS(BS_HD_Dem!S:S,BS_HD_Dem!$E:$E,'5.2 C&amp;D Hospital Discharge'!$E$5,BS_HD_Dem!$D:$D,'5.2 C&amp;D Hospital Discharge'!$D50,BS_HD_Dem!$F:$F,'5.2 C&amp;D Hospital Discharge'!$E50))</f>
        <v/>
      </c>
      <c r="K50" s="200"/>
      <c r="L50" s="200"/>
      <c r="M50" s="200"/>
      <c r="N50" s="200"/>
      <c r="O50" s="201"/>
      <c r="V50" s="21"/>
      <c r="W50" s="17" t="str">
        <f t="shared" si="9"/>
        <v>Yes</v>
      </c>
      <c r="X50" s="22"/>
      <c r="Y50" s="120">
        <f t="shared" si="5"/>
        <v>0</v>
      </c>
      <c r="Z50">
        <f t="shared" si="7"/>
        <v>0</v>
      </c>
      <c r="AA50">
        <f t="shared" si="8"/>
        <v>0</v>
      </c>
    </row>
    <row r="51" spans="1:27" ht="14.4" x14ac:dyDescent="0.3">
      <c r="C51">
        <f t="shared" si="10"/>
        <v>19</v>
      </c>
      <c r="D51" s="125" t="s">
        <v>682</v>
      </c>
      <c r="E51" s="146" t="str">
        <f>IF(C51="Total","Total",IFERROR(VLOOKUP($E$5&amp;$D51&amp;$C51,BS_HD_Dem!A:F,6,0),"(blank)"))</f>
        <v>(blank)</v>
      </c>
      <c r="F51" s="122" t="str">
        <f>IF($E51="(blank)","",SUMIFS(BS_HD_Dem!O:O,BS_HD_Dem!$E:$E,'5.2 C&amp;D Hospital Discharge'!$E$5,BS_HD_Dem!$D:$D,'5.2 C&amp;D Hospital Discharge'!$D51,BS_HD_Dem!$F:$F,'5.2 C&amp;D Hospital Discharge'!$E51))</f>
        <v/>
      </c>
      <c r="G51" s="122" t="str">
        <f>IF($E51="(blank)","",SUMIFS(BS_HD_Dem!P:P,BS_HD_Dem!$E:$E,'5.2 C&amp;D Hospital Discharge'!$E$5,BS_HD_Dem!$D:$D,'5.2 C&amp;D Hospital Discharge'!$D51,BS_HD_Dem!$F:$F,'5.2 C&amp;D Hospital Discharge'!$E51))</f>
        <v/>
      </c>
      <c r="H51" s="122" t="str">
        <f>IF($E51="(blank)","",SUMIFS(BS_HD_Dem!Q:Q,BS_HD_Dem!$E:$E,'5.2 C&amp;D Hospital Discharge'!$E$5,BS_HD_Dem!$D:$D,'5.2 C&amp;D Hospital Discharge'!$D51,BS_HD_Dem!$F:$F,'5.2 C&amp;D Hospital Discharge'!$E51))</f>
        <v/>
      </c>
      <c r="I51" s="122" t="str">
        <f>IF($E51="(blank)","",SUMIFS(BS_HD_Dem!R:R,BS_HD_Dem!$E:$E,'5.2 C&amp;D Hospital Discharge'!$E$5,BS_HD_Dem!$D:$D,'5.2 C&amp;D Hospital Discharge'!$D51,BS_HD_Dem!$F:$F,'5.2 C&amp;D Hospital Discharge'!$E51))</f>
        <v/>
      </c>
      <c r="J51" s="126" t="str">
        <f>IF($E51="(blank)","",SUMIFS(BS_HD_Dem!S:S,BS_HD_Dem!$E:$E,'5.2 C&amp;D Hospital Discharge'!$E$5,BS_HD_Dem!$D:$D,'5.2 C&amp;D Hospital Discharge'!$D51,BS_HD_Dem!$F:$F,'5.2 C&amp;D Hospital Discharge'!$E51))</f>
        <v/>
      </c>
      <c r="K51" s="200"/>
      <c r="L51" s="200"/>
      <c r="M51" s="200"/>
      <c r="N51" s="200"/>
      <c r="O51" s="201"/>
      <c r="V51" s="21"/>
      <c r="W51" s="17" t="str">
        <f t="shared" si="9"/>
        <v>Yes</v>
      </c>
      <c r="X51" s="22"/>
      <c r="Y51" s="120">
        <f t="shared" si="5"/>
        <v>0</v>
      </c>
      <c r="Z51">
        <f t="shared" si="7"/>
        <v>0</v>
      </c>
      <c r="AA51">
        <f t="shared" si="8"/>
        <v>0</v>
      </c>
    </row>
    <row r="52" spans="1:27" ht="14.4" x14ac:dyDescent="0.3">
      <c r="C52">
        <f t="shared" si="10"/>
        <v>20</v>
      </c>
      <c r="D52" s="125" t="s">
        <v>682</v>
      </c>
      <c r="E52" s="146" t="str">
        <f>IF(C52="Total","Total",IFERROR(VLOOKUP($E$5&amp;$D52&amp;$C52,BS_HD_Dem!A:F,6,0),"(blank)"))</f>
        <v>(blank)</v>
      </c>
      <c r="F52" s="122" t="str">
        <f>IF($E52="(blank)","",SUMIFS(BS_HD_Dem!O:O,BS_HD_Dem!$E:$E,'5.2 C&amp;D Hospital Discharge'!$E$5,BS_HD_Dem!$D:$D,'5.2 C&amp;D Hospital Discharge'!$D52,BS_HD_Dem!$F:$F,'5.2 C&amp;D Hospital Discharge'!$E52))</f>
        <v/>
      </c>
      <c r="G52" s="122" t="str">
        <f>IF($E52="(blank)","",SUMIFS(BS_HD_Dem!P:P,BS_HD_Dem!$E:$E,'5.2 C&amp;D Hospital Discharge'!$E$5,BS_HD_Dem!$D:$D,'5.2 C&amp;D Hospital Discharge'!$D52,BS_HD_Dem!$F:$F,'5.2 C&amp;D Hospital Discharge'!$E52))</f>
        <v/>
      </c>
      <c r="H52" s="122" t="str">
        <f>IF($E52="(blank)","",SUMIFS(BS_HD_Dem!Q:Q,BS_HD_Dem!$E:$E,'5.2 C&amp;D Hospital Discharge'!$E$5,BS_HD_Dem!$D:$D,'5.2 C&amp;D Hospital Discharge'!$D52,BS_HD_Dem!$F:$F,'5.2 C&amp;D Hospital Discharge'!$E52))</f>
        <v/>
      </c>
      <c r="I52" s="122" t="str">
        <f>IF($E52="(blank)","",SUMIFS(BS_HD_Dem!R:R,BS_HD_Dem!$E:$E,'5.2 C&amp;D Hospital Discharge'!$E$5,BS_HD_Dem!$D:$D,'5.2 C&amp;D Hospital Discharge'!$D52,BS_HD_Dem!$F:$F,'5.2 C&amp;D Hospital Discharge'!$E52))</f>
        <v/>
      </c>
      <c r="J52" s="126" t="str">
        <f>IF($E52="(blank)","",SUMIFS(BS_HD_Dem!S:S,BS_HD_Dem!$E:$E,'5.2 C&amp;D Hospital Discharge'!$E$5,BS_HD_Dem!$D:$D,'5.2 C&amp;D Hospital Discharge'!$D52,BS_HD_Dem!$F:$F,'5.2 C&amp;D Hospital Discharge'!$E52))</f>
        <v/>
      </c>
      <c r="K52" s="200"/>
      <c r="L52" s="200"/>
      <c r="M52" s="200"/>
      <c r="N52" s="200"/>
      <c r="O52" s="201"/>
      <c r="V52" s="21"/>
      <c r="W52" s="17" t="str">
        <f t="shared" si="9"/>
        <v>Yes</v>
      </c>
      <c r="X52" s="22"/>
      <c r="Y52" s="120">
        <f t="shared" si="5"/>
        <v>0</v>
      </c>
      <c r="Z52">
        <f t="shared" si="7"/>
        <v>0</v>
      </c>
      <c r="AA52">
        <f t="shared" si="8"/>
        <v>0</v>
      </c>
    </row>
    <row r="53" spans="1:27" ht="14.4" x14ac:dyDescent="0.3">
      <c r="C53">
        <f t="shared" si="10"/>
        <v>21</v>
      </c>
      <c r="D53" s="125" t="s">
        <v>682</v>
      </c>
      <c r="E53" s="146" t="str">
        <f>IF(C53="Total","Total",IFERROR(VLOOKUP($E$5&amp;$D53&amp;$C53,BS_HD_Dem!A:F,6,0),"(blank)"))</f>
        <v>(blank)</v>
      </c>
      <c r="F53" s="122" t="str">
        <f>IF($E53="(blank)","",SUMIFS(BS_HD_Dem!O:O,BS_HD_Dem!$E:$E,'5.2 C&amp;D Hospital Discharge'!$E$5,BS_HD_Dem!$D:$D,'5.2 C&amp;D Hospital Discharge'!$D53,BS_HD_Dem!$F:$F,'5.2 C&amp;D Hospital Discharge'!$E53))</f>
        <v/>
      </c>
      <c r="G53" s="122" t="str">
        <f>IF($E53="(blank)","",SUMIFS(BS_HD_Dem!P:P,BS_HD_Dem!$E:$E,'5.2 C&amp;D Hospital Discharge'!$E$5,BS_HD_Dem!$D:$D,'5.2 C&amp;D Hospital Discharge'!$D53,BS_HD_Dem!$F:$F,'5.2 C&amp;D Hospital Discharge'!$E53))</f>
        <v/>
      </c>
      <c r="H53" s="122" t="str">
        <f>IF($E53="(blank)","",SUMIFS(BS_HD_Dem!Q:Q,BS_HD_Dem!$E:$E,'5.2 C&amp;D Hospital Discharge'!$E$5,BS_HD_Dem!$D:$D,'5.2 C&amp;D Hospital Discharge'!$D53,BS_HD_Dem!$F:$F,'5.2 C&amp;D Hospital Discharge'!$E53))</f>
        <v/>
      </c>
      <c r="I53" s="122" t="str">
        <f>IF($E53="(blank)","",SUMIFS(BS_HD_Dem!R:R,BS_HD_Dem!$E:$E,'5.2 C&amp;D Hospital Discharge'!$E$5,BS_HD_Dem!$D:$D,'5.2 C&amp;D Hospital Discharge'!$D53,BS_HD_Dem!$F:$F,'5.2 C&amp;D Hospital Discharge'!$E53))</f>
        <v/>
      </c>
      <c r="J53" s="126" t="str">
        <f>IF($E53="(blank)","",SUMIFS(BS_HD_Dem!S:S,BS_HD_Dem!$E:$E,'5.2 C&amp;D Hospital Discharge'!$E$5,BS_HD_Dem!$D:$D,'5.2 C&amp;D Hospital Discharge'!$D53,BS_HD_Dem!$F:$F,'5.2 C&amp;D Hospital Discharge'!$E53))</f>
        <v/>
      </c>
      <c r="K53" s="200"/>
      <c r="L53" s="200"/>
      <c r="M53" s="200"/>
      <c r="N53" s="200"/>
      <c r="O53" s="201"/>
      <c r="V53" s="21"/>
      <c r="W53" s="17" t="str">
        <f t="shared" si="9"/>
        <v>Yes</v>
      </c>
      <c r="X53" s="22"/>
      <c r="Y53" s="120">
        <f t="shared" si="5"/>
        <v>0</v>
      </c>
      <c r="Z53">
        <f t="shared" si="7"/>
        <v>0</v>
      </c>
      <c r="AA53">
        <f t="shared" si="8"/>
        <v>0</v>
      </c>
    </row>
    <row r="54" spans="1:27" ht="14.4" x14ac:dyDescent="0.3">
      <c r="C54">
        <f t="shared" si="10"/>
        <v>22</v>
      </c>
      <c r="D54" s="125" t="s">
        <v>682</v>
      </c>
      <c r="E54" s="146" t="str">
        <f>IF(C54="Total","Total",IFERROR(VLOOKUP($E$5&amp;$D54&amp;$C54,BS_HD_Dem!A:F,6,0),"(blank)"))</f>
        <v>(blank)</v>
      </c>
      <c r="F54" s="122" t="str">
        <f>IF($E54="(blank)","",SUMIFS(BS_HD_Dem!O:O,BS_HD_Dem!$E:$E,'5.2 C&amp;D Hospital Discharge'!$E$5,BS_HD_Dem!$D:$D,'5.2 C&amp;D Hospital Discharge'!$D54,BS_HD_Dem!$F:$F,'5.2 C&amp;D Hospital Discharge'!$E54))</f>
        <v/>
      </c>
      <c r="G54" s="122" t="str">
        <f>IF($E54="(blank)","",SUMIFS(BS_HD_Dem!P:P,BS_HD_Dem!$E:$E,'5.2 C&amp;D Hospital Discharge'!$E$5,BS_HD_Dem!$D:$D,'5.2 C&amp;D Hospital Discharge'!$D54,BS_HD_Dem!$F:$F,'5.2 C&amp;D Hospital Discharge'!$E54))</f>
        <v/>
      </c>
      <c r="H54" s="122" t="str">
        <f>IF($E54="(blank)","",SUMIFS(BS_HD_Dem!Q:Q,BS_HD_Dem!$E:$E,'5.2 C&amp;D Hospital Discharge'!$E$5,BS_HD_Dem!$D:$D,'5.2 C&amp;D Hospital Discharge'!$D54,BS_HD_Dem!$F:$F,'5.2 C&amp;D Hospital Discharge'!$E54))</f>
        <v/>
      </c>
      <c r="I54" s="122" t="str">
        <f>IF($E54="(blank)","",SUMIFS(BS_HD_Dem!R:R,BS_HD_Dem!$E:$E,'5.2 C&amp;D Hospital Discharge'!$E$5,BS_HD_Dem!$D:$D,'5.2 C&amp;D Hospital Discharge'!$D54,BS_HD_Dem!$F:$F,'5.2 C&amp;D Hospital Discharge'!$E54))</f>
        <v/>
      </c>
      <c r="J54" s="126" t="str">
        <f>IF($E54="(blank)","",SUMIFS(BS_HD_Dem!S:S,BS_HD_Dem!$E:$E,'5.2 C&amp;D Hospital Discharge'!$E$5,BS_HD_Dem!$D:$D,'5.2 C&amp;D Hospital Discharge'!$D54,BS_HD_Dem!$F:$F,'5.2 C&amp;D Hospital Discharge'!$E54))</f>
        <v/>
      </c>
      <c r="K54" s="200"/>
      <c r="L54" s="200"/>
      <c r="M54" s="200"/>
      <c r="N54" s="200"/>
      <c r="O54" s="201"/>
      <c r="V54" s="21"/>
      <c r="W54" s="17" t="str">
        <f t="shared" si="9"/>
        <v>Yes</v>
      </c>
      <c r="X54" s="22"/>
      <c r="Y54" s="120">
        <f t="shared" si="5"/>
        <v>0</v>
      </c>
      <c r="Z54">
        <f t="shared" si="7"/>
        <v>0</v>
      </c>
      <c r="AA54">
        <f t="shared" si="8"/>
        <v>0</v>
      </c>
    </row>
    <row r="55" spans="1:27" ht="14.4" x14ac:dyDescent="0.3">
      <c r="C55">
        <f t="shared" si="10"/>
        <v>23</v>
      </c>
      <c r="D55" s="125" t="s">
        <v>682</v>
      </c>
      <c r="E55" s="146" t="str">
        <f>IF(C55="Total","Total",IFERROR(VLOOKUP($E$5&amp;$D55&amp;$C55,BS_HD_Dem!A:F,6,0),"(blank)"))</f>
        <v>(blank)</v>
      </c>
      <c r="F55" s="122" t="str">
        <f>IF($E55="(blank)","",SUMIFS(BS_HD_Dem!O:O,BS_HD_Dem!$E:$E,'5.2 C&amp;D Hospital Discharge'!$E$5,BS_HD_Dem!$D:$D,'5.2 C&amp;D Hospital Discharge'!$D55,BS_HD_Dem!$F:$F,'5.2 C&amp;D Hospital Discharge'!$E55))</f>
        <v/>
      </c>
      <c r="G55" s="122" t="str">
        <f>IF($E55="(blank)","",SUMIFS(BS_HD_Dem!P:P,BS_HD_Dem!$E:$E,'5.2 C&amp;D Hospital Discharge'!$E$5,BS_HD_Dem!$D:$D,'5.2 C&amp;D Hospital Discharge'!$D55,BS_HD_Dem!$F:$F,'5.2 C&amp;D Hospital Discharge'!$E55))</f>
        <v/>
      </c>
      <c r="H55" s="122" t="str">
        <f>IF($E55="(blank)","",SUMIFS(BS_HD_Dem!Q:Q,BS_HD_Dem!$E:$E,'5.2 C&amp;D Hospital Discharge'!$E$5,BS_HD_Dem!$D:$D,'5.2 C&amp;D Hospital Discharge'!$D55,BS_HD_Dem!$F:$F,'5.2 C&amp;D Hospital Discharge'!$E55))</f>
        <v/>
      </c>
      <c r="I55" s="122" t="str">
        <f>IF($E55="(blank)","",SUMIFS(BS_HD_Dem!R:R,BS_HD_Dem!$E:$E,'5.2 C&amp;D Hospital Discharge'!$E$5,BS_HD_Dem!$D:$D,'5.2 C&amp;D Hospital Discharge'!$D55,BS_HD_Dem!$F:$F,'5.2 C&amp;D Hospital Discharge'!$E55))</f>
        <v/>
      </c>
      <c r="J55" s="126" t="str">
        <f>IF($E55="(blank)","",SUMIFS(BS_HD_Dem!S:S,BS_HD_Dem!$E:$E,'5.2 C&amp;D Hospital Discharge'!$E$5,BS_HD_Dem!$D:$D,'5.2 C&amp;D Hospital Discharge'!$D55,BS_HD_Dem!$F:$F,'5.2 C&amp;D Hospital Discharge'!$E55))</f>
        <v/>
      </c>
      <c r="K55" s="200"/>
      <c r="L55" s="200"/>
      <c r="M55" s="200"/>
      <c r="N55" s="200"/>
      <c r="O55" s="201"/>
      <c r="V55" s="21"/>
      <c r="W55" s="17" t="str">
        <f t="shared" si="9"/>
        <v>Yes</v>
      </c>
      <c r="X55" s="22"/>
      <c r="Y55" s="120">
        <f t="shared" si="5"/>
        <v>0</v>
      </c>
      <c r="Z55">
        <f t="shared" si="7"/>
        <v>0</v>
      </c>
      <c r="AA55">
        <f t="shared" si="8"/>
        <v>0</v>
      </c>
    </row>
    <row r="56" spans="1:27" ht="15" thickBot="1" x14ac:dyDescent="0.35">
      <c r="C56">
        <f t="shared" si="10"/>
        <v>24</v>
      </c>
      <c r="D56" s="127" t="s">
        <v>682</v>
      </c>
      <c r="E56" s="147" t="str">
        <f>IF(C56="Total","Total",IFERROR(VLOOKUP($E$5&amp;$D56&amp;$C56,BS_HD_Dem!A:F,6,0),"(blank)"))</f>
        <v>(blank)</v>
      </c>
      <c r="F56" s="122" t="str">
        <f>IF($E56="(blank)","",SUMIFS(BS_HD_Dem!O:O,BS_HD_Dem!$E:$E,'5.2 C&amp;D Hospital Discharge'!$E$5,BS_HD_Dem!$D:$D,'5.2 C&amp;D Hospital Discharge'!$D56,BS_HD_Dem!$F:$F,'5.2 C&amp;D Hospital Discharge'!$E56))</f>
        <v/>
      </c>
      <c r="G56" s="122" t="str">
        <f>IF($E56="(blank)","",SUMIFS(BS_HD_Dem!P:P,BS_HD_Dem!$E:$E,'5.2 C&amp;D Hospital Discharge'!$E$5,BS_HD_Dem!$D:$D,'5.2 C&amp;D Hospital Discharge'!$D56,BS_HD_Dem!$F:$F,'5.2 C&amp;D Hospital Discharge'!$E56))</f>
        <v/>
      </c>
      <c r="H56" s="122" t="str">
        <f>IF($E56="(blank)","",SUMIFS(BS_HD_Dem!Q:Q,BS_HD_Dem!$E:$E,'5.2 C&amp;D Hospital Discharge'!$E$5,BS_HD_Dem!$D:$D,'5.2 C&amp;D Hospital Discharge'!$D56,BS_HD_Dem!$F:$F,'5.2 C&amp;D Hospital Discharge'!$E56))</f>
        <v/>
      </c>
      <c r="I56" s="122" t="str">
        <f>IF($E56="(blank)","",SUMIFS(BS_HD_Dem!R:R,BS_HD_Dem!$E:$E,'5.2 C&amp;D Hospital Discharge'!$E$5,BS_HD_Dem!$D:$D,'5.2 C&amp;D Hospital Discharge'!$D56,BS_HD_Dem!$F:$F,'5.2 C&amp;D Hospital Discharge'!$E56))</f>
        <v/>
      </c>
      <c r="J56" s="126" t="str">
        <f>IF($E56="(blank)","",SUMIFS(BS_HD_Dem!S:S,BS_HD_Dem!$E:$E,'5.2 C&amp;D Hospital Discharge'!$E$5,BS_HD_Dem!$D:$D,'5.2 C&amp;D Hospital Discharge'!$D56,BS_HD_Dem!$F:$F,'5.2 C&amp;D Hospital Discharge'!$E56))</f>
        <v/>
      </c>
      <c r="K56" s="202"/>
      <c r="L56" s="202"/>
      <c r="M56" s="202"/>
      <c r="N56" s="202"/>
      <c r="O56" s="203"/>
      <c r="V56" s="21"/>
      <c r="W56" s="17" t="str">
        <f t="shared" si="9"/>
        <v>Yes</v>
      </c>
      <c r="X56" s="22"/>
      <c r="Y56" s="120">
        <f t="shared" si="5"/>
        <v>0</v>
      </c>
      <c r="Z56">
        <f t="shared" si="7"/>
        <v>0</v>
      </c>
      <c r="AA56">
        <f t="shared" si="8"/>
        <v>0</v>
      </c>
    </row>
    <row r="57" spans="1:27" ht="32.25" customHeight="1" x14ac:dyDescent="0.3">
      <c r="A57" s="9"/>
      <c r="B57" s="9"/>
      <c r="C57" s="9" t="s">
        <v>393</v>
      </c>
      <c r="D57" s="133" t="s">
        <v>683</v>
      </c>
      <c r="E57" s="145" t="str">
        <f>IF(C57="Total","Total",IFERROR(VLOOKUP($E$5&amp;$D57&amp;$C57,BS_HD_Dem!A:F,6,0),"(blank)"))</f>
        <v>Total</v>
      </c>
      <c r="F57" s="123">
        <f>SUM(F58:F81)</f>
        <v>163</v>
      </c>
      <c r="G57" s="123">
        <f t="shared" ref="G57" si="11">SUM(G58:G81)</f>
        <v>182</v>
      </c>
      <c r="H57" s="123">
        <f t="shared" ref="H57" si="12">SUM(H58:H81)</f>
        <v>179</v>
      </c>
      <c r="I57" s="123">
        <f t="shared" ref="I57" si="13">SUM(I58:I81)</f>
        <v>177</v>
      </c>
      <c r="J57" s="124">
        <f t="shared" ref="J57" si="14">SUM(J58:J81)</f>
        <v>165</v>
      </c>
      <c r="K57" s="123">
        <f>SUM(K58:K81)</f>
        <v>130</v>
      </c>
      <c r="L57" s="123">
        <f t="shared" ref="L57:O57" si="15">SUM(L58:L81)</f>
        <v>144</v>
      </c>
      <c r="M57" s="123">
        <f t="shared" si="15"/>
        <v>143</v>
      </c>
      <c r="N57" s="123">
        <f t="shared" si="15"/>
        <v>141</v>
      </c>
      <c r="O57" s="123">
        <f t="shared" si="15"/>
        <v>130</v>
      </c>
      <c r="P57" s="9"/>
      <c r="Q57" s="9"/>
      <c r="R57" s="9"/>
      <c r="S57" s="9"/>
      <c r="T57" s="9"/>
      <c r="U57" s="9"/>
      <c r="V57" s="21"/>
      <c r="W57" s="17" t="str">
        <f t="shared" si="9"/>
        <v>Yes</v>
      </c>
      <c r="X57" s="22"/>
      <c r="Y57" s="120">
        <f t="shared" si="5"/>
        <v>0</v>
      </c>
      <c r="Z57">
        <f t="shared" si="7"/>
        <v>0</v>
      </c>
      <c r="AA57">
        <f t="shared" si="8"/>
        <v>1</v>
      </c>
    </row>
    <row r="58" spans="1:27" ht="14.4" x14ac:dyDescent="0.3">
      <c r="C58">
        <v>1</v>
      </c>
      <c r="D58" s="125" t="s">
        <v>683</v>
      </c>
      <c r="E58" s="146" t="str">
        <f>IF(C58="Total","Total",IFERROR(VLOOKUP($E$5&amp;$D58&amp;$C58,BS_HD_Dem!A:F,6,0),"(blank)"))</f>
        <v>CHELSEA AND WESTMINSTER HOSPITAL NHS FOUNDATION TRUST</v>
      </c>
      <c r="F58" s="122">
        <f>IF($E58="(blank)","",SUMIFS(BS_HD_Dem!O:O,BS_HD_Dem!$E:$E,'5.2 C&amp;D Hospital Discharge'!$E$5,BS_HD_Dem!$D:$D,'5.2 C&amp;D Hospital Discharge'!$D58,BS_HD_Dem!$F:$F,'5.2 C&amp;D Hospital Discharge'!$E58))</f>
        <v>6</v>
      </c>
      <c r="G58" s="122">
        <f>IF($E58="(blank)","",SUMIFS(BS_HD_Dem!P:P,BS_HD_Dem!$E:$E,'5.2 C&amp;D Hospital Discharge'!$E$5,BS_HD_Dem!$D:$D,'5.2 C&amp;D Hospital Discharge'!$D58,BS_HD_Dem!$F:$F,'5.2 C&amp;D Hospital Discharge'!$E58))</f>
        <v>6</v>
      </c>
      <c r="H58" s="122">
        <f>IF($E58="(blank)","",SUMIFS(BS_HD_Dem!Q:Q,BS_HD_Dem!$E:$E,'5.2 C&amp;D Hospital Discharge'!$E$5,BS_HD_Dem!$D:$D,'5.2 C&amp;D Hospital Discharge'!$D58,BS_HD_Dem!$F:$F,'5.2 C&amp;D Hospital Discharge'!$E58))</f>
        <v>6</v>
      </c>
      <c r="I58" s="122">
        <f>IF($E58="(blank)","",SUMIFS(BS_HD_Dem!R:R,BS_HD_Dem!$E:$E,'5.2 C&amp;D Hospital Discharge'!$E$5,BS_HD_Dem!$D:$D,'5.2 C&amp;D Hospital Discharge'!$D58,BS_HD_Dem!$F:$F,'5.2 C&amp;D Hospital Discharge'!$E58))</f>
        <v>6</v>
      </c>
      <c r="J58" s="126">
        <f>IF($E58="(blank)","",SUMIFS(BS_HD_Dem!S:S,BS_HD_Dem!$E:$E,'5.2 C&amp;D Hospital Discharge'!$E$5,BS_HD_Dem!$D:$D,'5.2 C&amp;D Hospital Discharge'!$D58,BS_HD_Dem!$F:$F,'5.2 C&amp;D Hospital Discharge'!$E58))</f>
        <v>6</v>
      </c>
      <c r="K58" s="200">
        <v>5</v>
      </c>
      <c r="L58" s="200">
        <v>5</v>
      </c>
      <c r="M58" s="200">
        <v>6</v>
      </c>
      <c r="N58" s="200">
        <v>6</v>
      </c>
      <c r="O58" s="201">
        <v>5</v>
      </c>
      <c r="V58" s="21"/>
      <c r="W58" s="17" t="str">
        <f t="shared" si="9"/>
        <v>Yes</v>
      </c>
      <c r="X58" s="22"/>
      <c r="Y58" s="120">
        <f t="shared" si="5"/>
        <v>0</v>
      </c>
      <c r="Z58">
        <f t="shared" si="7"/>
        <v>1</v>
      </c>
      <c r="AA58">
        <f t="shared" si="8"/>
        <v>1</v>
      </c>
    </row>
    <row r="59" spans="1:27" ht="14.4" x14ac:dyDescent="0.3">
      <c r="C59">
        <f>C58+1</f>
        <v>2</v>
      </c>
      <c r="D59" s="125" t="s">
        <v>683</v>
      </c>
      <c r="E59" s="146" t="str">
        <f>IF(C59="Total","Total",IFERROR(VLOOKUP($E$5&amp;$D59&amp;$C59,BS_HD_Dem!A:F,6,0),"(blank)"))</f>
        <v>IMPERIAL COLLEGE HEALTHCARE NHS TRUST</v>
      </c>
      <c r="F59" s="122">
        <f>IF($E59="(blank)","",SUMIFS(BS_HD_Dem!O:O,BS_HD_Dem!$E:$E,'5.2 C&amp;D Hospital Discharge'!$E$5,BS_HD_Dem!$D:$D,'5.2 C&amp;D Hospital Discharge'!$D59,BS_HD_Dem!$F:$F,'5.2 C&amp;D Hospital Discharge'!$E59))</f>
        <v>14</v>
      </c>
      <c r="G59" s="122">
        <f>IF($E59="(blank)","",SUMIFS(BS_HD_Dem!P:P,BS_HD_Dem!$E:$E,'5.2 C&amp;D Hospital Discharge'!$E$5,BS_HD_Dem!$D:$D,'5.2 C&amp;D Hospital Discharge'!$D59,BS_HD_Dem!$F:$F,'5.2 C&amp;D Hospital Discharge'!$E59))</f>
        <v>15</v>
      </c>
      <c r="H59" s="122">
        <f>IF($E59="(blank)","",SUMIFS(BS_HD_Dem!Q:Q,BS_HD_Dem!$E:$E,'5.2 C&amp;D Hospital Discharge'!$E$5,BS_HD_Dem!$D:$D,'5.2 C&amp;D Hospital Discharge'!$D59,BS_HD_Dem!$F:$F,'5.2 C&amp;D Hospital Discharge'!$E59))</f>
        <v>15</v>
      </c>
      <c r="I59" s="122">
        <f>IF($E59="(blank)","",SUMIFS(BS_HD_Dem!R:R,BS_HD_Dem!$E:$E,'5.2 C&amp;D Hospital Discharge'!$E$5,BS_HD_Dem!$D:$D,'5.2 C&amp;D Hospital Discharge'!$D59,BS_HD_Dem!$F:$F,'5.2 C&amp;D Hospital Discharge'!$E59))</f>
        <v>15</v>
      </c>
      <c r="J59" s="126">
        <f>IF($E59="(blank)","",SUMIFS(BS_HD_Dem!S:S,BS_HD_Dem!$E:$E,'5.2 C&amp;D Hospital Discharge'!$E$5,BS_HD_Dem!$D:$D,'5.2 C&amp;D Hospital Discharge'!$D59,BS_HD_Dem!$F:$F,'5.2 C&amp;D Hospital Discharge'!$E59))</f>
        <v>13</v>
      </c>
      <c r="K59" s="200">
        <v>11</v>
      </c>
      <c r="L59" s="200">
        <v>12</v>
      </c>
      <c r="M59" s="200">
        <v>12</v>
      </c>
      <c r="N59" s="200">
        <v>12</v>
      </c>
      <c r="O59" s="201">
        <v>10</v>
      </c>
      <c r="V59" s="21"/>
      <c r="W59" s="17" t="str">
        <f t="shared" si="9"/>
        <v>Yes</v>
      </c>
      <c r="X59" s="22"/>
      <c r="Y59" s="120">
        <f t="shared" si="5"/>
        <v>0</v>
      </c>
      <c r="Z59">
        <f t="shared" si="7"/>
        <v>1</v>
      </c>
      <c r="AA59">
        <f t="shared" si="8"/>
        <v>1</v>
      </c>
    </row>
    <row r="60" spans="1:27" ht="14.4" x14ac:dyDescent="0.3">
      <c r="C60">
        <f t="shared" ref="C60:C81" si="16">C59+1</f>
        <v>3</v>
      </c>
      <c r="D60" s="125" t="s">
        <v>683</v>
      </c>
      <c r="E60" s="146" t="str">
        <f>IF(C60="Total","Total",IFERROR(VLOOKUP($E$5&amp;$D60&amp;$C60,BS_HD_Dem!A:F,6,0),"(blank)"))</f>
        <v>LONDON NORTH WEST UNIVERSITY HEALTHCARE NHS TRUST</v>
      </c>
      <c r="F60" s="122">
        <f>IF($E60="(blank)","",SUMIFS(BS_HD_Dem!O:O,BS_HD_Dem!$E:$E,'5.2 C&amp;D Hospital Discharge'!$E$5,BS_HD_Dem!$D:$D,'5.2 C&amp;D Hospital Discharge'!$D60,BS_HD_Dem!$F:$F,'5.2 C&amp;D Hospital Discharge'!$E60))</f>
        <v>20</v>
      </c>
      <c r="G60" s="122">
        <f>IF($E60="(blank)","",SUMIFS(BS_HD_Dem!P:P,BS_HD_Dem!$E:$E,'5.2 C&amp;D Hospital Discharge'!$E$5,BS_HD_Dem!$D:$D,'5.2 C&amp;D Hospital Discharge'!$D60,BS_HD_Dem!$F:$F,'5.2 C&amp;D Hospital Discharge'!$E60))</f>
        <v>23</v>
      </c>
      <c r="H60" s="122">
        <f>IF($E60="(blank)","",SUMIFS(BS_HD_Dem!Q:Q,BS_HD_Dem!$E:$E,'5.2 C&amp;D Hospital Discharge'!$E$5,BS_HD_Dem!$D:$D,'5.2 C&amp;D Hospital Discharge'!$D60,BS_HD_Dem!$F:$F,'5.2 C&amp;D Hospital Discharge'!$E60))</f>
        <v>23</v>
      </c>
      <c r="I60" s="122">
        <f>IF($E60="(blank)","",SUMIFS(BS_HD_Dem!R:R,BS_HD_Dem!$E:$E,'5.2 C&amp;D Hospital Discharge'!$E$5,BS_HD_Dem!$D:$D,'5.2 C&amp;D Hospital Discharge'!$D60,BS_HD_Dem!$F:$F,'5.2 C&amp;D Hospital Discharge'!$E60))</f>
        <v>22</v>
      </c>
      <c r="J60" s="126">
        <f>IF($E60="(blank)","",SUMIFS(BS_HD_Dem!S:S,BS_HD_Dem!$E:$E,'5.2 C&amp;D Hospital Discharge'!$E$5,BS_HD_Dem!$D:$D,'5.2 C&amp;D Hospital Discharge'!$D60,BS_HD_Dem!$F:$F,'5.2 C&amp;D Hospital Discharge'!$E60))</f>
        <v>21</v>
      </c>
      <c r="K60" s="200">
        <v>16</v>
      </c>
      <c r="L60" s="200">
        <v>18</v>
      </c>
      <c r="M60" s="200">
        <v>18</v>
      </c>
      <c r="N60" s="200">
        <v>17</v>
      </c>
      <c r="O60" s="201">
        <v>17</v>
      </c>
      <c r="V60" s="21"/>
      <c r="W60" s="17" t="str">
        <f t="shared" si="9"/>
        <v>Yes</v>
      </c>
      <c r="X60" s="22"/>
      <c r="Y60" s="120">
        <f t="shared" si="5"/>
        <v>0</v>
      </c>
      <c r="Z60">
        <f t="shared" si="7"/>
        <v>1</v>
      </c>
      <c r="AA60">
        <f t="shared" si="8"/>
        <v>1</v>
      </c>
    </row>
    <row r="61" spans="1:27" ht="14.4" x14ac:dyDescent="0.3">
      <c r="C61">
        <f t="shared" si="16"/>
        <v>4</v>
      </c>
      <c r="D61" s="125" t="s">
        <v>683</v>
      </c>
      <c r="E61" s="146" t="str">
        <f>IF(C61="Total","Total",IFERROR(VLOOKUP($E$5&amp;$D61&amp;$C61,BS_HD_Dem!A:F,6,0),"(blank)"))</f>
        <v>THE HILLINGDON HOSPITALS NHS FOUNDATION TRUST</v>
      </c>
      <c r="F61" s="122">
        <f>IF($E61="(blank)","",SUMIFS(BS_HD_Dem!O:O,BS_HD_Dem!$E:$E,'5.2 C&amp;D Hospital Discharge'!$E$5,BS_HD_Dem!$D:$D,'5.2 C&amp;D Hospital Discharge'!$D61,BS_HD_Dem!$F:$F,'5.2 C&amp;D Hospital Discharge'!$E61))</f>
        <v>123</v>
      </c>
      <c r="G61" s="122">
        <f>IF($E61="(blank)","",SUMIFS(BS_HD_Dem!P:P,BS_HD_Dem!$E:$E,'5.2 C&amp;D Hospital Discharge'!$E$5,BS_HD_Dem!$D:$D,'5.2 C&amp;D Hospital Discharge'!$D61,BS_HD_Dem!$F:$F,'5.2 C&amp;D Hospital Discharge'!$E61))</f>
        <v>138</v>
      </c>
      <c r="H61" s="122">
        <f>IF($E61="(blank)","",SUMIFS(BS_HD_Dem!Q:Q,BS_HD_Dem!$E:$E,'5.2 C&amp;D Hospital Discharge'!$E$5,BS_HD_Dem!$D:$D,'5.2 C&amp;D Hospital Discharge'!$D61,BS_HD_Dem!$F:$F,'5.2 C&amp;D Hospital Discharge'!$E61))</f>
        <v>135</v>
      </c>
      <c r="I61" s="122">
        <f>IF($E61="(blank)","",SUMIFS(BS_HD_Dem!R:R,BS_HD_Dem!$E:$E,'5.2 C&amp;D Hospital Discharge'!$E$5,BS_HD_Dem!$D:$D,'5.2 C&amp;D Hospital Discharge'!$D61,BS_HD_Dem!$F:$F,'5.2 C&amp;D Hospital Discharge'!$E61))</f>
        <v>134</v>
      </c>
      <c r="J61" s="126">
        <f>IF($E61="(blank)","",SUMIFS(BS_HD_Dem!S:S,BS_HD_Dem!$E:$E,'5.2 C&amp;D Hospital Discharge'!$E$5,BS_HD_Dem!$D:$D,'5.2 C&amp;D Hospital Discharge'!$D61,BS_HD_Dem!$F:$F,'5.2 C&amp;D Hospital Discharge'!$E61))</f>
        <v>125</v>
      </c>
      <c r="K61" s="200">
        <v>98</v>
      </c>
      <c r="L61" s="200">
        <v>109</v>
      </c>
      <c r="M61" s="200">
        <v>107</v>
      </c>
      <c r="N61" s="200">
        <v>106</v>
      </c>
      <c r="O61" s="201">
        <v>98</v>
      </c>
      <c r="V61" s="21"/>
      <c r="W61" s="17" t="str">
        <f t="shared" si="9"/>
        <v>Yes</v>
      </c>
      <c r="X61" s="22"/>
      <c r="Y61" s="120">
        <f t="shared" si="5"/>
        <v>0</v>
      </c>
      <c r="Z61">
        <f t="shared" si="7"/>
        <v>1</v>
      </c>
      <c r="AA61">
        <f t="shared" si="8"/>
        <v>1</v>
      </c>
    </row>
    <row r="62" spans="1:27" ht="14.4" x14ac:dyDescent="0.3">
      <c r="C62">
        <f t="shared" si="16"/>
        <v>5</v>
      </c>
      <c r="D62" s="125" t="s">
        <v>683</v>
      </c>
      <c r="E62" s="146" t="str">
        <f>IF(C62="Total","Total",IFERROR(VLOOKUP($E$5&amp;$D62&amp;$C62,BS_HD_Dem!A:F,6,0),"(blank)"))</f>
        <v>(blank)</v>
      </c>
      <c r="F62" s="122" t="str">
        <f>IF($E62="(blank)","",SUMIFS(BS_HD_Dem!O:O,BS_HD_Dem!$E:$E,'5.2 C&amp;D Hospital Discharge'!$E$5,BS_HD_Dem!$D:$D,'5.2 C&amp;D Hospital Discharge'!$D62,BS_HD_Dem!$F:$F,'5.2 C&amp;D Hospital Discharge'!$E62))</f>
        <v/>
      </c>
      <c r="G62" s="122" t="str">
        <f>IF($E62="(blank)","",SUMIFS(BS_HD_Dem!P:P,BS_HD_Dem!$E:$E,'5.2 C&amp;D Hospital Discharge'!$E$5,BS_HD_Dem!$D:$D,'5.2 C&amp;D Hospital Discharge'!$D62,BS_HD_Dem!$F:$F,'5.2 C&amp;D Hospital Discharge'!$E62))</f>
        <v/>
      </c>
      <c r="H62" s="122" t="str">
        <f>IF($E62="(blank)","",SUMIFS(BS_HD_Dem!Q:Q,BS_HD_Dem!$E:$E,'5.2 C&amp;D Hospital Discharge'!$E$5,BS_HD_Dem!$D:$D,'5.2 C&amp;D Hospital Discharge'!$D62,BS_HD_Dem!$F:$F,'5.2 C&amp;D Hospital Discharge'!$E62))</f>
        <v/>
      </c>
      <c r="I62" s="122" t="str">
        <f>IF($E62="(blank)","",SUMIFS(BS_HD_Dem!R:R,BS_HD_Dem!$E:$E,'5.2 C&amp;D Hospital Discharge'!$E$5,BS_HD_Dem!$D:$D,'5.2 C&amp;D Hospital Discharge'!$D62,BS_HD_Dem!$F:$F,'5.2 C&amp;D Hospital Discharge'!$E62))</f>
        <v/>
      </c>
      <c r="J62" s="126" t="str">
        <f>IF($E62="(blank)","",SUMIFS(BS_HD_Dem!S:S,BS_HD_Dem!$E:$E,'5.2 C&amp;D Hospital Discharge'!$E$5,BS_HD_Dem!$D:$D,'5.2 C&amp;D Hospital Discharge'!$D62,BS_HD_Dem!$F:$F,'5.2 C&amp;D Hospital Discharge'!$E62))</f>
        <v/>
      </c>
      <c r="K62" s="200"/>
      <c r="L62" s="200"/>
      <c r="M62" s="200"/>
      <c r="N62" s="200"/>
      <c r="O62" s="201"/>
      <c r="V62" s="21"/>
      <c r="W62" s="17" t="str">
        <f t="shared" si="9"/>
        <v>Yes</v>
      </c>
      <c r="X62" s="22"/>
      <c r="Y62" s="120">
        <f t="shared" si="5"/>
        <v>0</v>
      </c>
      <c r="Z62">
        <f t="shared" si="7"/>
        <v>0</v>
      </c>
      <c r="AA62">
        <f t="shared" si="8"/>
        <v>0</v>
      </c>
    </row>
    <row r="63" spans="1:27" ht="14.4" x14ac:dyDescent="0.3">
      <c r="C63">
        <f t="shared" si="16"/>
        <v>6</v>
      </c>
      <c r="D63" s="125" t="s">
        <v>683</v>
      </c>
      <c r="E63" s="146" t="str">
        <f>IF(C63="Total","Total",IFERROR(VLOOKUP($E$5&amp;$D63&amp;$C63,BS_HD_Dem!A:F,6,0),"(blank)"))</f>
        <v>(blank)</v>
      </c>
      <c r="F63" s="122" t="str">
        <f>IF($E63="(blank)","",SUMIFS(BS_HD_Dem!O:O,BS_HD_Dem!$E:$E,'5.2 C&amp;D Hospital Discharge'!$E$5,BS_HD_Dem!$D:$D,'5.2 C&amp;D Hospital Discharge'!$D63,BS_HD_Dem!$F:$F,'5.2 C&amp;D Hospital Discharge'!$E63))</f>
        <v/>
      </c>
      <c r="G63" s="122" t="str">
        <f>IF($E63="(blank)","",SUMIFS(BS_HD_Dem!P:P,BS_HD_Dem!$E:$E,'5.2 C&amp;D Hospital Discharge'!$E$5,BS_HD_Dem!$D:$D,'5.2 C&amp;D Hospital Discharge'!$D63,BS_HD_Dem!$F:$F,'5.2 C&amp;D Hospital Discharge'!$E63))</f>
        <v/>
      </c>
      <c r="H63" s="122" t="str">
        <f>IF($E63="(blank)","",SUMIFS(BS_HD_Dem!Q:Q,BS_HD_Dem!$E:$E,'5.2 C&amp;D Hospital Discharge'!$E$5,BS_HD_Dem!$D:$D,'5.2 C&amp;D Hospital Discharge'!$D63,BS_HD_Dem!$F:$F,'5.2 C&amp;D Hospital Discharge'!$E63))</f>
        <v/>
      </c>
      <c r="I63" s="122" t="str">
        <f>IF($E63="(blank)","",SUMIFS(BS_HD_Dem!R:R,BS_HD_Dem!$E:$E,'5.2 C&amp;D Hospital Discharge'!$E$5,BS_HD_Dem!$D:$D,'5.2 C&amp;D Hospital Discharge'!$D63,BS_HD_Dem!$F:$F,'5.2 C&amp;D Hospital Discharge'!$E63))</f>
        <v/>
      </c>
      <c r="J63" s="126" t="str">
        <f>IF($E63="(blank)","",SUMIFS(BS_HD_Dem!S:S,BS_HD_Dem!$E:$E,'5.2 C&amp;D Hospital Discharge'!$E$5,BS_HD_Dem!$D:$D,'5.2 C&amp;D Hospital Discharge'!$D63,BS_HD_Dem!$F:$F,'5.2 C&amp;D Hospital Discharge'!$E63))</f>
        <v/>
      </c>
      <c r="K63" s="200"/>
      <c r="L63" s="200"/>
      <c r="M63" s="200"/>
      <c r="N63" s="200"/>
      <c r="O63" s="201"/>
      <c r="V63" s="21"/>
      <c r="W63" s="17" t="str">
        <f t="shared" si="9"/>
        <v>Yes</v>
      </c>
      <c r="X63" s="22"/>
      <c r="Y63" s="120">
        <f t="shared" si="5"/>
        <v>0</v>
      </c>
      <c r="Z63">
        <f t="shared" si="7"/>
        <v>0</v>
      </c>
      <c r="AA63">
        <f t="shared" si="8"/>
        <v>0</v>
      </c>
    </row>
    <row r="64" spans="1:27" ht="14.4" x14ac:dyDescent="0.3">
      <c r="C64">
        <f t="shared" si="16"/>
        <v>7</v>
      </c>
      <c r="D64" s="125" t="s">
        <v>683</v>
      </c>
      <c r="E64" s="146" t="str">
        <f>IF(C64="Total","Total",IFERROR(VLOOKUP($E$5&amp;$D64&amp;$C64,BS_HD_Dem!A:F,6,0),"(blank)"))</f>
        <v>(blank)</v>
      </c>
      <c r="F64" s="122" t="str">
        <f>IF($E64="(blank)","",SUMIFS(BS_HD_Dem!O:O,BS_HD_Dem!$E:$E,'5.2 C&amp;D Hospital Discharge'!$E$5,BS_HD_Dem!$D:$D,'5.2 C&amp;D Hospital Discharge'!$D64,BS_HD_Dem!$F:$F,'5.2 C&amp;D Hospital Discharge'!$E64))</f>
        <v/>
      </c>
      <c r="G64" s="122" t="str">
        <f>IF($E64="(blank)","",SUMIFS(BS_HD_Dem!P:P,BS_HD_Dem!$E:$E,'5.2 C&amp;D Hospital Discharge'!$E$5,BS_HD_Dem!$D:$D,'5.2 C&amp;D Hospital Discharge'!$D64,BS_HD_Dem!$F:$F,'5.2 C&amp;D Hospital Discharge'!$E64))</f>
        <v/>
      </c>
      <c r="H64" s="122" t="str">
        <f>IF($E64="(blank)","",SUMIFS(BS_HD_Dem!Q:Q,BS_HD_Dem!$E:$E,'5.2 C&amp;D Hospital Discharge'!$E$5,BS_HD_Dem!$D:$D,'5.2 C&amp;D Hospital Discharge'!$D64,BS_HD_Dem!$F:$F,'5.2 C&amp;D Hospital Discharge'!$E64))</f>
        <v/>
      </c>
      <c r="I64" s="122" t="str">
        <f>IF($E64="(blank)","",SUMIFS(BS_HD_Dem!R:R,BS_HD_Dem!$E:$E,'5.2 C&amp;D Hospital Discharge'!$E$5,BS_HD_Dem!$D:$D,'5.2 C&amp;D Hospital Discharge'!$D64,BS_HD_Dem!$F:$F,'5.2 C&amp;D Hospital Discharge'!$E64))</f>
        <v/>
      </c>
      <c r="J64" s="126" t="str">
        <f>IF($E64="(blank)","",SUMIFS(BS_HD_Dem!S:S,BS_HD_Dem!$E:$E,'5.2 C&amp;D Hospital Discharge'!$E$5,BS_HD_Dem!$D:$D,'5.2 C&amp;D Hospital Discharge'!$D64,BS_HD_Dem!$F:$F,'5.2 C&amp;D Hospital Discharge'!$E64))</f>
        <v/>
      </c>
      <c r="K64" s="200"/>
      <c r="L64" s="200"/>
      <c r="M64" s="200"/>
      <c r="N64" s="200"/>
      <c r="O64" s="201"/>
      <c r="V64" s="21"/>
      <c r="W64" s="17" t="str">
        <f t="shared" si="9"/>
        <v>Yes</v>
      </c>
      <c r="X64" s="22"/>
      <c r="Y64" s="120">
        <f t="shared" si="5"/>
        <v>0</v>
      </c>
      <c r="Z64">
        <f t="shared" ref="Z64:Z95" si="17">IF(AND(E64&lt;&gt;"Total",E64&lt;&gt;"(blank)"),1,0)</f>
        <v>0</v>
      </c>
      <c r="AA64">
        <f t="shared" ref="AA64:AA95" si="18">IF(AND(K64&lt;&gt;"",L64&lt;&gt;"",M64&lt;&gt;"",N64&lt;&gt;"",O64&lt;&gt;""),1,0)</f>
        <v>0</v>
      </c>
    </row>
    <row r="65" spans="3:27" ht="14.4" x14ac:dyDescent="0.3">
      <c r="C65">
        <f t="shared" si="16"/>
        <v>8</v>
      </c>
      <c r="D65" s="125" t="s">
        <v>683</v>
      </c>
      <c r="E65" s="146" t="str">
        <f>IF(C65="Total","Total",IFERROR(VLOOKUP($E$5&amp;$D65&amp;$C65,BS_HD_Dem!A:F,6,0),"(blank)"))</f>
        <v>(blank)</v>
      </c>
      <c r="F65" s="122" t="str">
        <f>IF($E65="(blank)","",SUMIFS(BS_HD_Dem!O:O,BS_HD_Dem!$E:$E,'5.2 C&amp;D Hospital Discharge'!$E$5,BS_HD_Dem!$D:$D,'5.2 C&amp;D Hospital Discharge'!$D65,BS_HD_Dem!$F:$F,'5.2 C&amp;D Hospital Discharge'!$E65))</f>
        <v/>
      </c>
      <c r="G65" s="122" t="str">
        <f>IF($E65="(blank)","",SUMIFS(BS_HD_Dem!P:P,BS_HD_Dem!$E:$E,'5.2 C&amp;D Hospital Discharge'!$E$5,BS_HD_Dem!$D:$D,'5.2 C&amp;D Hospital Discharge'!$D65,BS_HD_Dem!$F:$F,'5.2 C&amp;D Hospital Discharge'!$E65))</f>
        <v/>
      </c>
      <c r="H65" s="122" t="str">
        <f>IF($E65="(blank)","",SUMIFS(BS_HD_Dem!Q:Q,BS_HD_Dem!$E:$E,'5.2 C&amp;D Hospital Discharge'!$E$5,BS_HD_Dem!$D:$D,'5.2 C&amp;D Hospital Discharge'!$D65,BS_HD_Dem!$F:$F,'5.2 C&amp;D Hospital Discharge'!$E65))</f>
        <v/>
      </c>
      <c r="I65" s="122" t="str">
        <f>IF($E65="(blank)","",SUMIFS(BS_HD_Dem!R:R,BS_HD_Dem!$E:$E,'5.2 C&amp;D Hospital Discharge'!$E$5,BS_HD_Dem!$D:$D,'5.2 C&amp;D Hospital Discharge'!$D65,BS_HD_Dem!$F:$F,'5.2 C&amp;D Hospital Discharge'!$E65))</f>
        <v/>
      </c>
      <c r="J65" s="126" t="str">
        <f>IF($E65="(blank)","",SUMIFS(BS_HD_Dem!S:S,BS_HD_Dem!$E:$E,'5.2 C&amp;D Hospital Discharge'!$E$5,BS_HD_Dem!$D:$D,'5.2 C&amp;D Hospital Discharge'!$D65,BS_HD_Dem!$F:$F,'5.2 C&amp;D Hospital Discharge'!$E65))</f>
        <v/>
      </c>
      <c r="K65" s="200"/>
      <c r="L65" s="200"/>
      <c r="M65" s="200"/>
      <c r="N65" s="200"/>
      <c r="O65" s="201"/>
      <c r="V65" s="21"/>
      <c r="W65" s="17" t="str">
        <f t="shared" si="9"/>
        <v>Yes</v>
      </c>
      <c r="X65" s="22"/>
      <c r="Y65" s="120">
        <f t="shared" si="5"/>
        <v>0</v>
      </c>
      <c r="Z65">
        <f t="shared" si="17"/>
        <v>0</v>
      </c>
      <c r="AA65">
        <f t="shared" si="18"/>
        <v>0</v>
      </c>
    </row>
    <row r="66" spans="3:27" ht="14.4" x14ac:dyDescent="0.3">
      <c r="C66">
        <f t="shared" si="16"/>
        <v>9</v>
      </c>
      <c r="D66" s="125" t="s">
        <v>683</v>
      </c>
      <c r="E66" s="146" t="str">
        <f>IF(C66="Total","Total",IFERROR(VLOOKUP($E$5&amp;$D66&amp;$C66,BS_HD_Dem!A:F,6,0),"(blank)"))</f>
        <v>(blank)</v>
      </c>
      <c r="F66" s="122" t="str">
        <f>IF($E66="(blank)","",SUMIFS(BS_HD_Dem!O:O,BS_HD_Dem!$E:$E,'5.2 C&amp;D Hospital Discharge'!$E$5,BS_HD_Dem!$D:$D,'5.2 C&amp;D Hospital Discharge'!$D66,BS_HD_Dem!$F:$F,'5.2 C&amp;D Hospital Discharge'!$E66))</f>
        <v/>
      </c>
      <c r="G66" s="122" t="str">
        <f>IF($E66="(blank)","",SUMIFS(BS_HD_Dem!P:P,BS_HD_Dem!$E:$E,'5.2 C&amp;D Hospital Discharge'!$E$5,BS_HD_Dem!$D:$D,'5.2 C&amp;D Hospital Discharge'!$D66,BS_HD_Dem!$F:$F,'5.2 C&amp;D Hospital Discharge'!$E66))</f>
        <v/>
      </c>
      <c r="H66" s="122" t="str">
        <f>IF($E66="(blank)","",SUMIFS(BS_HD_Dem!Q:Q,BS_HD_Dem!$E:$E,'5.2 C&amp;D Hospital Discharge'!$E$5,BS_HD_Dem!$D:$D,'5.2 C&amp;D Hospital Discharge'!$D66,BS_HD_Dem!$F:$F,'5.2 C&amp;D Hospital Discharge'!$E66))</f>
        <v/>
      </c>
      <c r="I66" s="122" t="str">
        <f>IF($E66="(blank)","",SUMIFS(BS_HD_Dem!R:R,BS_HD_Dem!$E:$E,'5.2 C&amp;D Hospital Discharge'!$E$5,BS_HD_Dem!$D:$D,'5.2 C&amp;D Hospital Discharge'!$D66,BS_HD_Dem!$F:$F,'5.2 C&amp;D Hospital Discharge'!$E66))</f>
        <v/>
      </c>
      <c r="J66" s="126" t="str">
        <f>IF($E66="(blank)","",SUMIFS(BS_HD_Dem!S:S,BS_HD_Dem!$E:$E,'5.2 C&amp;D Hospital Discharge'!$E$5,BS_HD_Dem!$D:$D,'5.2 C&amp;D Hospital Discharge'!$D66,BS_HD_Dem!$F:$F,'5.2 C&amp;D Hospital Discharge'!$E66))</f>
        <v/>
      </c>
      <c r="K66" s="200"/>
      <c r="L66" s="200"/>
      <c r="M66" s="200"/>
      <c r="N66" s="200"/>
      <c r="O66" s="201"/>
      <c r="V66" s="21"/>
      <c r="W66" s="17" t="str">
        <f t="shared" si="9"/>
        <v>Yes</v>
      </c>
      <c r="X66" s="22"/>
      <c r="Y66" s="120">
        <f t="shared" si="5"/>
        <v>0</v>
      </c>
      <c r="Z66">
        <f t="shared" si="17"/>
        <v>0</v>
      </c>
      <c r="AA66">
        <f t="shared" si="18"/>
        <v>0</v>
      </c>
    </row>
    <row r="67" spans="3:27" ht="14.4" x14ac:dyDescent="0.3">
      <c r="C67">
        <f t="shared" si="16"/>
        <v>10</v>
      </c>
      <c r="D67" s="125" t="s">
        <v>683</v>
      </c>
      <c r="E67" s="146" t="str">
        <f>IF(C67="Total","Total",IFERROR(VLOOKUP($E$5&amp;$D67&amp;$C67,BS_HD_Dem!A:F,6,0),"(blank)"))</f>
        <v>(blank)</v>
      </c>
      <c r="F67" s="122" t="str">
        <f>IF($E67="(blank)","",SUMIFS(BS_HD_Dem!O:O,BS_HD_Dem!$E:$E,'5.2 C&amp;D Hospital Discharge'!$E$5,BS_HD_Dem!$D:$D,'5.2 C&amp;D Hospital Discharge'!$D67,BS_HD_Dem!$F:$F,'5.2 C&amp;D Hospital Discharge'!$E67))</f>
        <v/>
      </c>
      <c r="G67" s="122" t="str">
        <f>IF($E67="(blank)","",SUMIFS(BS_HD_Dem!P:P,BS_HD_Dem!$E:$E,'5.2 C&amp;D Hospital Discharge'!$E$5,BS_HD_Dem!$D:$D,'5.2 C&amp;D Hospital Discharge'!$D67,BS_HD_Dem!$F:$F,'5.2 C&amp;D Hospital Discharge'!$E67))</f>
        <v/>
      </c>
      <c r="H67" s="122" t="str">
        <f>IF($E67="(blank)","",SUMIFS(BS_HD_Dem!Q:Q,BS_HD_Dem!$E:$E,'5.2 C&amp;D Hospital Discharge'!$E$5,BS_HD_Dem!$D:$D,'5.2 C&amp;D Hospital Discharge'!$D67,BS_HD_Dem!$F:$F,'5.2 C&amp;D Hospital Discharge'!$E67))</f>
        <v/>
      </c>
      <c r="I67" s="122" t="str">
        <f>IF($E67="(blank)","",SUMIFS(BS_HD_Dem!R:R,BS_HD_Dem!$E:$E,'5.2 C&amp;D Hospital Discharge'!$E$5,BS_HD_Dem!$D:$D,'5.2 C&amp;D Hospital Discharge'!$D67,BS_HD_Dem!$F:$F,'5.2 C&amp;D Hospital Discharge'!$E67))</f>
        <v/>
      </c>
      <c r="J67" s="126" t="str">
        <f>IF($E67="(blank)","",SUMIFS(BS_HD_Dem!S:S,BS_HD_Dem!$E:$E,'5.2 C&amp;D Hospital Discharge'!$E$5,BS_HD_Dem!$D:$D,'5.2 C&amp;D Hospital Discharge'!$D67,BS_HD_Dem!$F:$F,'5.2 C&amp;D Hospital Discharge'!$E67))</f>
        <v/>
      </c>
      <c r="K67" s="200"/>
      <c r="L67" s="200"/>
      <c r="M67" s="200"/>
      <c r="N67" s="200"/>
      <c r="O67" s="201"/>
      <c r="V67" s="21"/>
      <c r="W67" s="17" t="str">
        <f t="shared" si="9"/>
        <v>Yes</v>
      </c>
      <c r="X67" s="22"/>
      <c r="Y67" s="120">
        <f t="shared" si="5"/>
        <v>0</v>
      </c>
      <c r="Z67">
        <f t="shared" si="17"/>
        <v>0</v>
      </c>
      <c r="AA67">
        <f t="shared" si="18"/>
        <v>0</v>
      </c>
    </row>
    <row r="68" spans="3:27" ht="14.4" x14ac:dyDescent="0.3">
      <c r="C68">
        <f t="shared" si="16"/>
        <v>11</v>
      </c>
      <c r="D68" s="125" t="s">
        <v>683</v>
      </c>
      <c r="E68" s="146" t="str">
        <f>IF(C68="Total","Total",IFERROR(VLOOKUP($E$5&amp;$D68&amp;$C68,BS_HD_Dem!A:F,6,0),"(blank)"))</f>
        <v>(blank)</v>
      </c>
      <c r="F68" s="122" t="str">
        <f>IF($E68="(blank)","",SUMIFS(BS_HD_Dem!O:O,BS_HD_Dem!$E:$E,'5.2 C&amp;D Hospital Discharge'!$E$5,BS_HD_Dem!$D:$D,'5.2 C&amp;D Hospital Discharge'!$D68,BS_HD_Dem!$F:$F,'5.2 C&amp;D Hospital Discharge'!$E68))</f>
        <v/>
      </c>
      <c r="G68" s="122" t="str">
        <f>IF($E68="(blank)","",SUMIFS(BS_HD_Dem!P:P,BS_HD_Dem!$E:$E,'5.2 C&amp;D Hospital Discharge'!$E$5,BS_HD_Dem!$D:$D,'5.2 C&amp;D Hospital Discharge'!$D68,BS_HD_Dem!$F:$F,'5.2 C&amp;D Hospital Discharge'!$E68))</f>
        <v/>
      </c>
      <c r="H68" s="122" t="str">
        <f>IF($E68="(blank)","",SUMIFS(BS_HD_Dem!Q:Q,BS_HD_Dem!$E:$E,'5.2 C&amp;D Hospital Discharge'!$E$5,BS_HD_Dem!$D:$D,'5.2 C&amp;D Hospital Discharge'!$D68,BS_HD_Dem!$F:$F,'5.2 C&amp;D Hospital Discharge'!$E68))</f>
        <v/>
      </c>
      <c r="I68" s="122" t="str">
        <f>IF($E68="(blank)","",SUMIFS(BS_HD_Dem!R:R,BS_HD_Dem!$E:$E,'5.2 C&amp;D Hospital Discharge'!$E$5,BS_HD_Dem!$D:$D,'5.2 C&amp;D Hospital Discharge'!$D68,BS_HD_Dem!$F:$F,'5.2 C&amp;D Hospital Discharge'!$E68))</f>
        <v/>
      </c>
      <c r="J68" s="126" t="str">
        <f>IF($E68="(blank)","",SUMIFS(BS_HD_Dem!S:S,BS_HD_Dem!$E:$E,'5.2 C&amp;D Hospital Discharge'!$E$5,BS_HD_Dem!$D:$D,'5.2 C&amp;D Hospital Discharge'!$D68,BS_HD_Dem!$F:$F,'5.2 C&amp;D Hospital Discharge'!$E68))</f>
        <v/>
      </c>
      <c r="K68" s="200"/>
      <c r="L68" s="200"/>
      <c r="M68" s="200"/>
      <c r="N68" s="200"/>
      <c r="O68" s="201"/>
      <c r="V68" s="21"/>
      <c r="W68" s="17" t="str">
        <f t="shared" si="9"/>
        <v>Yes</v>
      </c>
      <c r="X68" s="22"/>
      <c r="Y68" s="120">
        <f t="shared" si="5"/>
        <v>0</v>
      </c>
      <c r="Z68">
        <f t="shared" si="17"/>
        <v>0</v>
      </c>
      <c r="AA68">
        <f t="shared" si="18"/>
        <v>0</v>
      </c>
    </row>
    <row r="69" spans="3:27" ht="14.4" x14ac:dyDescent="0.3">
      <c r="C69">
        <f t="shared" si="16"/>
        <v>12</v>
      </c>
      <c r="D69" s="125" t="s">
        <v>683</v>
      </c>
      <c r="E69" s="146" t="str">
        <f>IF(C69="Total","Total",IFERROR(VLOOKUP($E$5&amp;$D69&amp;$C69,BS_HD_Dem!A:F,6,0),"(blank)"))</f>
        <v>(blank)</v>
      </c>
      <c r="F69" s="122" t="str">
        <f>IF($E69="(blank)","",SUMIFS(BS_HD_Dem!O:O,BS_HD_Dem!$E:$E,'5.2 C&amp;D Hospital Discharge'!$E$5,BS_HD_Dem!$D:$D,'5.2 C&amp;D Hospital Discharge'!$D69,BS_HD_Dem!$F:$F,'5.2 C&amp;D Hospital Discharge'!$E69))</f>
        <v/>
      </c>
      <c r="G69" s="122" t="str">
        <f>IF($E69="(blank)","",SUMIFS(BS_HD_Dem!P:P,BS_HD_Dem!$E:$E,'5.2 C&amp;D Hospital Discharge'!$E$5,BS_HD_Dem!$D:$D,'5.2 C&amp;D Hospital Discharge'!$D69,BS_HD_Dem!$F:$F,'5.2 C&amp;D Hospital Discharge'!$E69))</f>
        <v/>
      </c>
      <c r="H69" s="122" t="str">
        <f>IF($E69="(blank)","",SUMIFS(BS_HD_Dem!Q:Q,BS_HD_Dem!$E:$E,'5.2 C&amp;D Hospital Discharge'!$E$5,BS_HD_Dem!$D:$D,'5.2 C&amp;D Hospital Discharge'!$D69,BS_HD_Dem!$F:$F,'5.2 C&amp;D Hospital Discharge'!$E69))</f>
        <v/>
      </c>
      <c r="I69" s="122" t="str">
        <f>IF($E69="(blank)","",SUMIFS(BS_HD_Dem!R:R,BS_HD_Dem!$E:$E,'5.2 C&amp;D Hospital Discharge'!$E$5,BS_HD_Dem!$D:$D,'5.2 C&amp;D Hospital Discharge'!$D69,BS_HD_Dem!$F:$F,'5.2 C&amp;D Hospital Discharge'!$E69))</f>
        <v/>
      </c>
      <c r="J69" s="126" t="str">
        <f>IF($E69="(blank)","",SUMIFS(BS_HD_Dem!S:S,BS_HD_Dem!$E:$E,'5.2 C&amp;D Hospital Discharge'!$E$5,BS_HD_Dem!$D:$D,'5.2 C&amp;D Hospital Discharge'!$D69,BS_HD_Dem!$F:$F,'5.2 C&amp;D Hospital Discharge'!$E69))</f>
        <v/>
      </c>
      <c r="K69" s="200"/>
      <c r="L69" s="200"/>
      <c r="M69" s="200"/>
      <c r="N69" s="200"/>
      <c r="O69" s="201"/>
      <c r="V69" s="21"/>
      <c r="W69" s="17" t="str">
        <f t="shared" si="9"/>
        <v>Yes</v>
      </c>
      <c r="X69" s="22"/>
      <c r="Y69" s="120">
        <f t="shared" si="5"/>
        <v>0</v>
      </c>
      <c r="Z69">
        <f t="shared" si="17"/>
        <v>0</v>
      </c>
      <c r="AA69">
        <f t="shared" si="18"/>
        <v>0</v>
      </c>
    </row>
    <row r="70" spans="3:27" ht="14.4" x14ac:dyDescent="0.3">
      <c r="C70">
        <f t="shared" si="16"/>
        <v>13</v>
      </c>
      <c r="D70" s="125" t="s">
        <v>683</v>
      </c>
      <c r="E70" s="146" t="str">
        <f>IF(C70="Total","Total",IFERROR(VLOOKUP($E$5&amp;$D70&amp;$C70,BS_HD_Dem!A:F,6,0),"(blank)"))</f>
        <v>(blank)</v>
      </c>
      <c r="F70" s="122" t="str">
        <f>IF($E70="(blank)","",SUMIFS(BS_HD_Dem!O:O,BS_HD_Dem!$E:$E,'5.2 C&amp;D Hospital Discharge'!$E$5,BS_HD_Dem!$D:$D,'5.2 C&amp;D Hospital Discharge'!$D70,BS_HD_Dem!$F:$F,'5.2 C&amp;D Hospital Discharge'!$E70))</f>
        <v/>
      </c>
      <c r="G70" s="122" t="str">
        <f>IF($E70="(blank)","",SUMIFS(BS_HD_Dem!P:P,BS_HD_Dem!$E:$E,'5.2 C&amp;D Hospital Discharge'!$E$5,BS_HD_Dem!$D:$D,'5.2 C&amp;D Hospital Discharge'!$D70,BS_HD_Dem!$F:$F,'5.2 C&amp;D Hospital Discharge'!$E70))</f>
        <v/>
      </c>
      <c r="H70" s="122" t="str">
        <f>IF($E70="(blank)","",SUMIFS(BS_HD_Dem!Q:Q,BS_HD_Dem!$E:$E,'5.2 C&amp;D Hospital Discharge'!$E$5,BS_HD_Dem!$D:$D,'5.2 C&amp;D Hospital Discharge'!$D70,BS_HD_Dem!$F:$F,'5.2 C&amp;D Hospital Discharge'!$E70))</f>
        <v/>
      </c>
      <c r="I70" s="122" t="str">
        <f>IF($E70="(blank)","",SUMIFS(BS_HD_Dem!R:R,BS_HD_Dem!$E:$E,'5.2 C&amp;D Hospital Discharge'!$E$5,BS_HD_Dem!$D:$D,'5.2 C&amp;D Hospital Discharge'!$D70,BS_HD_Dem!$F:$F,'5.2 C&amp;D Hospital Discharge'!$E70))</f>
        <v/>
      </c>
      <c r="J70" s="126" t="str">
        <f>IF($E70="(blank)","",SUMIFS(BS_HD_Dem!S:S,BS_HD_Dem!$E:$E,'5.2 C&amp;D Hospital Discharge'!$E$5,BS_HD_Dem!$D:$D,'5.2 C&amp;D Hospital Discharge'!$D70,BS_HD_Dem!$F:$F,'5.2 C&amp;D Hospital Discharge'!$E70))</f>
        <v/>
      </c>
      <c r="K70" s="200"/>
      <c r="L70" s="200"/>
      <c r="M70" s="200"/>
      <c r="N70" s="200"/>
      <c r="O70" s="201"/>
      <c r="V70" s="21"/>
      <c r="W70" s="17" t="str">
        <f t="shared" si="9"/>
        <v>Yes</v>
      </c>
      <c r="X70" s="22"/>
      <c r="Y70" s="120">
        <f t="shared" si="5"/>
        <v>0</v>
      </c>
      <c r="Z70">
        <f t="shared" si="17"/>
        <v>0</v>
      </c>
      <c r="AA70">
        <f t="shared" si="18"/>
        <v>0</v>
      </c>
    </row>
    <row r="71" spans="3:27" ht="14.4" x14ac:dyDescent="0.3">
      <c r="C71">
        <f t="shared" si="16"/>
        <v>14</v>
      </c>
      <c r="D71" s="125" t="s">
        <v>683</v>
      </c>
      <c r="E71" s="146" t="str">
        <f>IF(C71="Total","Total",IFERROR(VLOOKUP($E$5&amp;$D71&amp;$C71,BS_HD_Dem!A:F,6,0),"(blank)"))</f>
        <v>(blank)</v>
      </c>
      <c r="F71" s="122" t="str">
        <f>IF($E71="(blank)","",SUMIFS(BS_HD_Dem!O:O,BS_HD_Dem!$E:$E,'5.2 C&amp;D Hospital Discharge'!$E$5,BS_HD_Dem!$D:$D,'5.2 C&amp;D Hospital Discharge'!$D71,BS_HD_Dem!$F:$F,'5.2 C&amp;D Hospital Discharge'!$E71))</f>
        <v/>
      </c>
      <c r="G71" s="122" t="str">
        <f>IF($E71="(blank)","",SUMIFS(BS_HD_Dem!P:P,BS_HD_Dem!$E:$E,'5.2 C&amp;D Hospital Discharge'!$E$5,BS_HD_Dem!$D:$D,'5.2 C&amp;D Hospital Discharge'!$D71,BS_HD_Dem!$F:$F,'5.2 C&amp;D Hospital Discharge'!$E71))</f>
        <v/>
      </c>
      <c r="H71" s="122" t="str">
        <f>IF($E71="(blank)","",SUMIFS(BS_HD_Dem!Q:Q,BS_HD_Dem!$E:$E,'5.2 C&amp;D Hospital Discharge'!$E$5,BS_HD_Dem!$D:$D,'5.2 C&amp;D Hospital Discharge'!$D71,BS_HD_Dem!$F:$F,'5.2 C&amp;D Hospital Discharge'!$E71))</f>
        <v/>
      </c>
      <c r="I71" s="122" t="str">
        <f>IF($E71="(blank)","",SUMIFS(BS_HD_Dem!R:R,BS_HD_Dem!$E:$E,'5.2 C&amp;D Hospital Discharge'!$E$5,BS_HD_Dem!$D:$D,'5.2 C&amp;D Hospital Discharge'!$D71,BS_HD_Dem!$F:$F,'5.2 C&amp;D Hospital Discharge'!$E71))</f>
        <v/>
      </c>
      <c r="J71" s="126" t="str">
        <f>IF($E71="(blank)","",SUMIFS(BS_HD_Dem!S:S,BS_HD_Dem!$E:$E,'5.2 C&amp;D Hospital Discharge'!$E$5,BS_HD_Dem!$D:$D,'5.2 C&amp;D Hospital Discharge'!$D71,BS_HD_Dem!$F:$F,'5.2 C&amp;D Hospital Discharge'!$E71))</f>
        <v/>
      </c>
      <c r="K71" s="200"/>
      <c r="L71" s="200"/>
      <c r="M71" s="200"/>
      <c r="N71" s="200"/>
      <c r="O71" s="201"/>
      <c r="V71" s="21"/>
      <c r="W71" s="17" t="str">
        <f t="shared" si="9"/>
        <v>Yes</v>
      </c>
      <c r="X71" s="22"/>
      <c r="Y71" s="120">
        <f t="shared" si="5"/>
        <v>0</v>
      </c>
      <c r="Z71">
        <f t="shared" si="17"/>
        <v>0</v>
      </c>
      <c r="AA71">
        <f t="shared" si="18"/>
        <v>0</v>
      </c>
    </row>
    <row r="72" spans="3:27" ht="14.4" x14ac:dyDescent="0.3">
      <c r="C72">
        <f t="shared" si="16"/>
        <v>15</v>
      </c>
      <c r="D72" s="125" t="s">
        <v>683</v>
      </c>
      <c r="E72" s="146" t="str">
        <f>IF(C72="Total","Total",IFERROR(VLOOKUP($E$5&amp;$D72&amp;$C72,BS_HD_Dem!A:F,6,0),"(blank)"))</f>
        <v>(blank)</v>
      </c>
      <c r="F72" s="122" t="str">
        <f>IF($E72="(blank)","",SUMIFS(BS_HD_Dem!O:O,BS_HD_Dem!$E:$E,'5.2 C&amp;D Hospital Discharge'!$E$5,BS_HD_Dem!$D:$D,'5.2 C&amp;D Hospital Discharge'!$D72,BS_HD_Dem!$F:$F,'5.2 C&amp;D Hospital Discharge'!$E72))</f>
        <v/>
      </c>
      <c r="G72" s="122" t="str">
        <f>IF($E72="(blank)","",SUMIFS(BS_HD_Dem!P:P,BS_HD_Dem!$E:$E,'5.2 C&amp;D Hospital Discharge'!$E$5,BS_HD_Dem!$D:$D,'5.2 C&amp;D Hospital Discharge'!$D72,BS_HD_Dem!$F:$F,'5.2 C&amp;D Hospital Discharge'!$E72))</f>
        <v/>
      </c>
      <c r="H72" s="122" t="str">
        <f>IF($E72="(blank)","",SUMIFS(BS_HD_Dem!Q:Q,BS_HD_Dem!$E:$E,'5.2 C&amp;D Hospital Discharge'!$E$5,BS_HD_Dem!$D:$D,'5.2 C&amp;D Hospital Discharge'!$D72,BS_HD_Dem!$F:$F,'5.2 C&amp;D Hospital Discharge'!$E72))</f>
        <v/>
      </c>
      <c r="I72" s="122" t="str">
        <f>IF($E72="(blank)","",SUMIFS(BS_HD_Dem!R:R,BS_HD_Dem!$E:$E,'5.2 C&amp;D Hospital Discharge'!$E$5,BS_HD_Dem!$D:$D,'5.2 C&amp;D Hospital Discharge'!$D72,BS_HD_Dem!$F:$F,'5.2 C&amp;D Hospital Discharge'!$E72))</f>
        <v/>
      </c>
      <c r="J72" s="126" t="str">
        <f>IF($E72="(blank)","",SUMIFS(BS_HD_Dem!S:S,BS_HD_Dem!$E:$E,'5.2 C&amp;D Hospital Discharge'!$E$5,BS_HD_Dem!$D:$D,'5.2 C&amp;D Hospital Discharge'!$D72,BS_HD_Dem!$F:$F,'5.2 C&amp;D Hospital Discharge'!$E72))</f>
        <v/>
      </c>
      <c r="K72" s="200"/>
      <c r="L72" s="200"/>
      <c r="M72" s="200"/>
      <c r="N72" s="200"/>
      <c r="O72" s="201"/>
      <c r="V72" s="21"/>
      <c r="W72" s="17" t="str">
        <f t="shared" si="9"/>
        <v>Yes</v>
      </c>
      <c r="X72" s="22"/>
      <c r="Y72" s="120">
        <f t="shared" si="5"/>
        <v>0</v>
      </c>
      <c r="Z72">
        <f t="shared" si="17"/>
        <v>0</v>
      </c>
      <c r="AA72">
        <f t="shared" si="18"/>
        <v>0</v>
      </c>
    </row>
    <row r="73" spans="3:27" ht="14.4" x14ac:dyDescent="0.3">
      <c r="C73">
        <f t="shared" si="16"/>
        <v>16</v>
      </c>
      <c r="D73" s="125" t="s">
        <v>683</v>
      </c>
      <c r="E73" s="146" t="str">
        <f>IF(C73="Total","Total",IFERROR(VLOOKUP($E$5&amp;$D73&amp;$C73,BS_HD_Dem!A:F,6,0),"(blank)"))</f>
        <v>(blank)</v>
      </c>
      <c r="F73" s="122" t="str">
        <f>IF($E73="(blank)","",SUMIFS(BS_HD_Dem!O:O,BS_HD_Dem!$E:$E,'5.2 C&amp;D Hospital Discharge'!$E$5,BS_HD_Dem!$D:$D,'5.2 C&amp;D Hospital Discharge'!$D73,BS_HD_Dem!$F:$F,'5.2 C&amp;D Hospital Discharge'!$E73))</f>
        <v/>
      </c>
      <c r="G73" s="122" t="str">
        <f>IF($E73="(blank)","",SUMIFS(BS_HD_Dem!P:P,BS_HD_Dem!$E:$E,'5.2 C&amp;D Hospital Discharge'!$E$5,BS_HD_Dem!$D:$D,'5.2 C&amp;D Hospital Discharge'!$D73,BS_HD_Dem!$F:$F,'5.2 C&amp;D Hospital Discharge'!$E73))</f>
        <v/>
      </c>
      <c r="H73" s="122" t="str">
        <f>IF($E73="(blank)","",SUMIFS(BS_HD_Dem!Q:Q,BS_HD_Dem!$E:$E,'5.2 C&amp;D Hospital Discharge'!$E$5,BS_HD_Dem!$D:$D,'5.2 C&amp;D Hospital Discharge'!$D73,BS_HD_Dem!$F:$F,'5.2 C&amp;D Hospital Discharge'!$E73))</f>
        <v/>
      </c>
      <c r="I73" s="122" t="str">
        <f>IF($E73="(blank)","",SUMIFS(BS_HD_Dem!R:R,BS_HD_Dem!$E:$E,'5.2 C&amp;D Hospital Discharge'!$E$5,BS_HD_Dem!$D:$D,'5.2 C&amp;D Hospital Discharge'!$D73,BS_HD_Dem!$F:$F,'5.2 C&amp;D Hospital Discharge'!$E73))</f>
        <v/>
      </c>
      <c r="J73" s="126" t="str">
        <f>IF($E73="(blank)","",SUMIFS(BS_HD_Dem!S:S,BS_HD_Dem!$E:$E,'5.2 C&amp;D Hospital Discharge'!$E$5,BS_HD_Dem!$D:$D,'5.2 C&amp;D Hospital Discharge'!$D73,BS_HD_Dem!$F:$F,'5.2 C&amp;D Hospital Discharge'!$E73))</f>
        <v/>
      </c>
      <c r="K73" s="200"/>
      <c r="L73" s="200"/>
      <c r="M73" s="200"/>
      <c r="N73" s="200"/>
      <c r="O73" s="201"/>
      <c r="V73" s="21"/>
      <c r="W73" s="17" t="str">
        <f t="shared" si="9"/>
        <v>Yes</v>
      </c>
      <c r="X73" s="22"/>
      <c r="Y73" s="120">
        <f t="shared" si="5"/>
        <v>0</v>
      </c>
      <c r="Z73">
        <f t="shared" si="17"/>
        <v>0</v>
      </c>
      <c r="AA73">
        <f t="shared" si="18"/>
        <v>0</v>
      </c>
    </row>
    <row r="74" spans="3:27" ht="14.4" x14ac:dyDescent="0.3">
      <c r="C74">
        <f t="shared" si="16"/>
        <v>17</v>
      </c>
      <c r="D74" s="125" t="s">
        <v>683</v>
      </c>
      <c r="E74" s="146" t="str">
        <f>IF(C74="Total","Total",IFERROR(VLOOKUP($E$5&amp;$D74&amp;$C74,BS_HD_Dem!A:F,6,0),"(blank)"))</f>
        <v>(blank)</v>
      </c>
      <c r="F74" s="122" t="str">
        <f>IF($E74="(blank)","",SUMIFS(BS_HD_Dem!O:O,BS_HD_Dem!$E:$E,'5.2 C&amp;D Hospital Discharge'!$E$5,BS_HD_Dem!$D:$D,'5.2 C&amp;D Hospital Discharge'!$D74,BS_HD_Dem!$F:$F,'5.2 C&amp;D Hospital Discharge'!$E74))</f>
        <v/>
      </c>
      <c r="G74" s="122" t="str">
        <f>IF($E74="(blank)","",SUMIFS(BS_HD_Dem!P:P,BS_HD_Dem!$E:$E,'5.2 C&amp;D Hospital Discharge'!$E$5,BS_HD_Dem!$D:$D,'5.2 C&amp;D Hospital Discharge'!$D74,BS_HD_Dem!$F:$F,'5.2 C&amp;D Hospital Discharge'!$E74))</f>
        <v/>
      </c>
      <c r="H74" s="122" t="str">
        <f>IF($E74="(blank)","",SUMIFS(BS_HD_Dem!Q:Q,BS_HD_Dem!$E:$E,'5.2 C&amp;D Hospital Discharge'!$E$5,BS_HD_Dem!$D:$D,'5.2 C&amp;D Hospital Discharge'!$D74,BS_HD_Dem!$F:$F,'5.2 C&amp;D Hospital Discharge'!$E74))</f>
        <v/>
      </c>
      <c r="I74" s="122" t="str">
        <f>IF($E74="(blank)","",SUMIFS(BS_HD_Dem!R:R,BS_HD_Dem!$E:$E,'5.2 C&amp;D Hospital Discharge'!$E$5,BS_HD_Dem!$D:$D,'5.2 C&amp;D Hospital Discharge'!$D74,BS_HD_Dem!$F:$F,'5.2 C&amp;D Hospital Discharge'!$E74))</f>
        <v/>
      </c>
      <c r="J74" s="126" t="str">
        <f>IF($E74="(blank)","",SUMIFS(BS_HD_Dem!S:S,BS_HD_Dem!$E:$E,'5.2 C&amp;D Hospital Discharge'!$E$5,BS_HD_Dem!$D:$D,'5.2 C&amp;D Hospital Discharge'!$D74,BS_HD_Dem!$F:$F,'5.2 C&amp;D Hospital Discharge'!$E74))</f>
        <v/>
      </c>
      <c r="K74" s="200"/>
      <c r="L74" s="200"/>
      <c r="M74" s="200"/>
      <c r="N74" s="200"/>
      <c r="O74" s="201"/>
      <c r="V74" s="21"/>
      <c r="W74" s="17" t="str">
        <f t="shared" si="9"/>
        <v>Yes</v>
      </c>
      <c r="X74" s="22"/>
      <c r="Y74" s="120">
        <f t="shared" si="5"/>
        <v>0</v>
      </c>
      <c r="Z74">
        <f t="shared" si="17"/>
        <v>0</v>
      </c>
      <c r="AA74">
        <f t="shared" si="18"/>
        <v>0</v>
      </c>
    </row>
    <row r="75" spans="3:27" ht="14.4" x14ac:dyDescent="0.3">
      <c r="C75">
        <f t="shared" si="16"/>
        <v>18</v>
      </c>
      <c r="D75" s="125" t="s">
        <v>683</v>
      </c>
      <c r="E75" s="146" t="str">
        <f>IF(C75="Total","Total",IFERROR(VLOOKUP($E$5&amp;$D75&amp;$C75,BS_HD_Dem!A:F,6,0),"(blank)"))</f>
        <v>(blank)</v>
      </c>
      <c r="F75" s="122" t="str">
        <f>IF($E75="(blank)","",SUMIFS(BS_HD_Dem!O:O,BS_HD_Dem!$E:$E,'5.2 C&amp;D Hospital Discharge'!$E$5,BS_HD_Dem!$D:$D,'5.2 C&amp;D Hospital Discharge'!$D75,BS_HD_Dem!$F:$F,'5.2 C&amp;D Hospital Discharge'!$E75))</f>
        <v/>
      </c>
      <c r="G75" s="122" t="str">
        <f>IF($E75="(blank)","",SUMIFS(BS_HD_Dem!P:P,BS_HD_Dem!$E:$E,'5.2 C&amp;D Hospital Discharge'!$E$5,BS_HD_Dem!$D:$D,'5.2 C&amp;D Hospital Discharge'!$D75,BS_HD_Dem!$F:$F,'5.2 C&amp;D Hospital Discharge'!$E75))</f>
        <v/>
      </c>
      <c r="H75" s="122" t="str">
        <f>IF($E75="(blank)","",SUMIFS(BS_HD_Dem!Q:Q,BS_HD_Dem!$E:$E,'5.2 C&amp;D Hospital Discharge'!$E$5,BS_HD_Dem!$D:$D,'5.2 C&amp;D Hospital Discharge'!$D75,BS_HD_Dem!$F:$F,'5.2 C&amp;D Hospital Discharge'!$E75))</f>
        <v/>
      </c>
      <c r="I75" s="122" t="str">
        <f>IF($E75="(blank)","",SUMIFS(BS_HD_Dem!R:R,BS_HD_Dem!$E:$E,'5.2 C&amp;D Hospital Discharge'!$E$5,BS_HD_Dem!$D:$D,'5.2 C&amp;D Hospital Discharge'!$D75,BS_HD_Dem!$F:$F,'5.2 C&amp;D Hospital Discharge'!$E75))</f>
        <v/>
      </c>
      <c r="J75" s="126" t="str">
        <f>IF($E75="(blank)","",SUMIFS(BS_HD_Dem!S:S,BS_HD_Dem!$E:$E,'5.2 C&amp;D Hospital Discharge'!$E$5,BS_HD_Dem!$D:$D,'5.2 C&amp;D Hospital Discharge'!$D75,BS_HD_Dem!$F:$F,'5.2 C&amp;D Hospital Discharge'!$E75))</f>
        <v/>
      </c>
      <c r="K75" s="200"/>
      <c r="L75" s="200"/>
      <c r="M75" s="200"/>
      <c r="N75" s="200"/>
      <c r="O75" s="201"/>
      <c r="V75" s="21"/>
      <c r="W75" s="17" t="str">
        <f t="shared" si="9"/>
        <v>Yes</v>
      </c>
      <c r="X75" s="22"/>
      <c r="Y75" s="120">
        <f t="shared" si="5"/>
        <v>0</v>
      </c>
      <c r="Z75">
        <f t="shared" si="17"/>
        <v>0</v>
      </c>
      <c r="AA75">
        <f t="shared" si="18"/>
        <v>0</v>
      </c>
    </row>
    <row r="76" spans="3:27" ht="14.4" x14ac:dyDescent="0.3">
      <c r="C76">
        <f t="shared" si="16"/>
        <v>19</v>
      </c>
      <c r="D76" s="125" t="s">
        <v>683</v>
      </c>
      <c r="E76" s="146" t="str">
        <f>IF(C76="Total","Total",IFERROR(VLOOKUP($E$5&amp;$D76&amp;$C76,BS_HD_Dem!A:F,6,0),"(blank)"))</f>
        <v>(blank)</v>
      </c>
      <c r="F76" s="122" t="str">
        <f>IF($E76="(blank)","",SUMIFS(BS_HD_Dem!O:O,BS_HD_Dem!$E:$E,'5.2 C&amp;D Hospital Discharge'!$E$5,BS_HD_Dem!$D:$D,'5.2 C&amp;D Hospital Discharge'!$D76,BS_HD_Dem!$F:$F,'5.2 C&amp;D Hospital Discharge'!$E76))</f>
        <v/>
      </c>
      <c r="G76" s="122" t="str">
        <f>IF($E76="(blank)","",SUMIFS(BS_HD_Dem!P:P,BS_HD_Dem!$E:$E,'5.2 C&amp;D Hospital Discharge'!$E$5,BS_HD_Dem!$D:$D,'5.2 C&amp;D Hospital Discharge'!$D76,BS_HD_Dem!$F:$F,'5.2 C&amp;D Hospital Discharge'!$E76))</f>
        <v/>
      </c>
      <c r="H76" s="122" t="str">
        <f>IF($E76="(blank)","",SUMIFS(BS_HD_Dem!Q:Q,BS_HD_Dem!$E:$E,'5.2 C&amp;D Hospital Discharge'!$E$5,BS_HD_Dem!$D:$D,'5.2 C&amp;D Hospital Discharge'!$D76,BS_HD_Dem!$F:$F,'5.2 C&amp;D Hospital Discharge'!$E76))</f>
        <v/>
      </c>
      <c r="I76" s="122" t="str">
        <f>IF($E76="(blank)","",SUMIFS(BS_HD_Dem!R:R,BS_HD_Dem!$E:$E,'5.2 C&amp;D Hospital Discharge'!$E$5,BS_HD_Dem!$D:$D,'5.2 C&amp;D Hospital Discharge'!$D76,BS_HD_Dem!$F:$F,'5.2 C&amp;D Hospital Discharge'!$E76))</f>
        <v/>
      </c>
      <c r="J76" s="126" t="str">
        <f>IF($E76="(blank)","",SUMIFS(BS_HD_Dem!S:S,BS_HD_Dem!$E:$E,'5.2 C&amp;D Hospital Discharge'!$E$5,BS_HD_Dem!$D:$D,'5.2 C&amp;D Hospital Discharge'!$D76,BS_HD_Dem!$F:$F,'5.2 C&amp;D Hospital Discharge'!$E76))</f>
        <v/>
      </c>
      <c r="K76" s="200"/>
      <c r="L76" s="200"/>
      <c r="M76" s="200"/>
      <c r="N76" s="200"/>
      <c r="O76" s="201"/>
      <c r="V76" s="21"/>
      <c r="W76" s="17" t="str">
        <f t="shared" si="9"/>
        <v>Yes</v>
      </c>
      <c r="X76" s="22"/>
      <c r="Y76" s="120">
        <f t="shared" si="5"/>
        <v>0</v>
      </c>
      <c r="Z76">
        <f t="shared" si="17"/>
        <v>0</v>
      </c>
      <c r="AA76">
        <f t="shared" si="18"/>
        <v>0</v>
      </c>
    </row>
    <row r="77" spans="3:27" ht="14.4" x14ac:dyDescent="0.3">
      <c r="C77">
        <f t="shared" si="16"/>
        <v>20</v>
      </c>
      <c r="D77" s="125" t="s">
        <v>683</v>
      </c>
      <c r="E77" s="146" t="str">
        <f>IF(C77="Total","Total",IFERROR(VLOOKUP($E$5&amp;$D77&amp;$C77,BS_HD_Dem!A:F,6,0),"(blank)"))</f>
        <v>(blank)</v>
      </c>
      <c r="F77" s="122" t="str">
        <f>IF($E77="(blank)","",SUMIFS(BS_HD_Dem!O:O,BS_HD_Dem!$E:$E,'5.2 C&amp;D Hospital Discharge'!$E$5,BS_HD_Dem!$D:$D,'5.2 C&amp;D Hospital Discharge'!$D77,BS_HD_Dem!$F:$F,'5.2 C&amp;D Hospital Discharge'!$E77))</f>
        <v/>
      </c>
      <c r="G77" s="122" t="str">
        <f>IF($E77="(blank)","",SUMIFS(BS_HD_Dem!P:P,BS_HD_Dem!$E:$E,'5.2 C&amp;D Hospital Discharge'!$E$5,BS_HD_Dem!$D:$D,'5.2 C&amp;D Hospital Discharge'!$D77,BS_HD_Dem!$F:$F,'5.2 C&amp;D Hospital Discharge'!$E77))</f>
        <v/>
      </c>
      <c r="H77" s="122" t="str">
        <f>IF($E77="(blank)","",SUMIFS(BS_HD_Dem!Q:Q,BS_HD_Dem!$E:$E,'5.2 C&amp;D Hospital Discharge'!$E$5,BS_HD_Dem!$D:$D,'5.2 C&amp;D Hospital Discharge'!$D77,BS_HD_Dem!$F:$F,'5.2 C&amp;D Hospital Discharge'!$E77))</f>
        <v/>
      </c>
      <c r="I77" s="122" t="str">
        <f>IF($E77="(blank)","",SUMIFS(BS_HD_Dem!R:R,BS_HD_Dem!$E:$E,'5.2 C&amp;D Hospital Discharge'!$E$5,BS_HD_Dem!$D:$D,'5.2 C&amp;D Hospital Discharge'!$D77,BS_HD_Dem!$F:$F,'5.2 C&amp;D Hospital Discharge'!$E77))</f>
        <v/>
      </c>
      <c r="J77" s="126" t="str">
        <f>IF($E77="(blank)","",SUMIFS(BS_HD_Dem!S:S,BS_HD_Dem!$E:$E,'5.2 C&amp;D Hospital Discharge'!$E$5,BS_HD_Dem!$D:$D,'5.2 C&amp;D Hospital Discharge'!$D77,BS_HD_Dem!$F:$F,'5.2 C&amp;D Hospital Discharge'!$E77))</f>
        <v/>
      </c>
      <c r="K77" s="200"/>
      <c r="L77" s="200"/>
      <c r="M77" s="200"/>
      <c r="N77" s="200"/>
      <c r="O77" s="201"/>
      <c r="V77" s="21"/>
      <c r="W77" s="17" t="str">
        <f t="shared" si="9"/>
        <v>Yes</v>
      </c>
      <c r="X77" s="22"/>
      <c r="Y77" s="120">
        <f t="shared" si="5"/>
        <v>0</v>
      </c>
      <c r="Z77">
        <f t="shared" si="17"/>
        <v>0</v>
      </c>
      <c r="AA77">
        <f t="shared" si="18"/>
        <v>0</v>
      </c>
    </row>
    <row r="78" spans="3:27" ht="14.4" x14ac:dyDescent="0.3">
      <c r="C78">
        <f t="shared" si="16"/>
        <v>21</v>
      </c>
      <c r="D78" s="125" t="s">
        <v>683</v>
      </c>
      <c r="E78" s="146" t="str">
        <f>IF(C78="Total","Total",IFERROR(VLOOKUP($E$5&amp;$D78&amp;$C78,BS_HD_Dem!A:F,6,0),"(blank)"))</f>
        <v>(blank)</v>
      </c>
      <c r="F78" s="122" t="str">
        <f>IF($E78="(blank)","",SUMIFS(BS_HD_Dem!O:O,BS_HD_Dem!$E:$E,'5.2 C&amp;D Hospital Discharge'!$E$5,BS_HD_Dem!$D:$D,'5.2 C&amp;D Hospital Discharge'!$D78,BS_HD_Dem!$F:$F,'5.2 C&amp;D Hospital Discharge'!$E78))</f>
        <v/>
      </c>
      <c r="G78" s="122" t="str">
        <f>IF($E78="(blank)","",SUMIFS(BS_HD_Dem!P:P,BS_HD_Dem!$E:$E,'5.2 C&amp;D Hospital Discharge'!$E$5,BS_HD_Dem!$D:$D,'5.2 C&amp;D Hospital Discharge'!$D78,BS_HD_Dem!$F:$F,'5.2 C&amp;D Hospital Discharge'!$E78))</f>
        <v/>
      </c>
      <c r="H78" s="122" t="str">
        <f>IF($E78="(blank)","",SUMIFS(BS_HD_Dem!Q:Q,BS_HD_Dem!$E:$E,'5.2 C&amp;D Hospital Discharge'!$E$5,BS_HD_Dem!$D:$D,'5.2 C&amp;D Hospital Discharge'!$D78,BS_HD_Dem!$F:$F,'5.2 C&amp;D Hospital Discharge'!$E78))</f>
        <v/>
      </c>
      <c r="I78" s="122" t="str">
        <f>IF($E78="(blank)","",SUMIFS(BS_HD_Dem!R:R,BS_HD_Dem!$E:$E,'5.2 C&amp;D Hospital Discharge'!$E$5,BS_HD_Dem!$D:$D,'5.2 C&amp;D Hospital Discharge'!$D78,BS_HD_Dem!$F:$F,'5.2 C&amp;D Hospital Discharge'!$E78))</f>
        <v/>
      </c>
      <c r="J78" s="126" t="str">
        <f>IF($E78="(blank)","",SUMIFS(BS_HD_Dem!S:S,BS_HD_Dem!$E:$E,'5.2 C&amp;D Hospital Discharge'!$E$5,BS_HD_Dem!$D:$D,'5.2 C&amp;D Hospital Discharge'!$D78,BS_HD_Dem!$F:$F,'5.2 C&amp;D Hospital Discharge'!$E78))</f>
        <v/>
      </c>
      <c r="K78" s="200"/>
      <c r="L78" s="200"/>
      <c r="M78" s="200"/>
      <c r="N78" s="200"/>
      <c r="O78" s="201"/>
      <c r="V78" s="21"/>
      <c r="W78" s="17" t="str">
        <f t="shared" si="9"/>
        <v>Yes</v>
      </c>
      <c r="X78" s="22"/>
      <c r="Y78" s="120">
        <f t="shared" si="5"/>
        <v>0</v>
      </c>
      <c r="Z78">
        <f t="shared" si="17"/>
        <v>0</v>
      </c>
      <c r="AA78">
        <f t="shared" si="18"/>
        <v>0</v>
      </c>
    </row>
    <row r="79" spans="3:27" ht="14.4" x14ac:dyDescent="0.3">
      <c r="C79">
        <f t="shared" si="16"/>
        <v>22</v>
      </c>
      <c r="D79" s="125" t="s">
        <v>683</v>
      </c>
      <c r="E79" s="146" t="str">
        <f>IF(C79="Total","Total",IFERROR(VLOOKUP($E$5&amp;$D79&amp;$C79,BS_HD_Dem!A:F,6,0),"(blank)"))</f>
        <v>(blank)</v>
      </c>
      <c r="F79" s="122" t="str">
        <f>IF($E79="(blank)","",SUMIFS(BS_HD_Dem!O:O,BS_HD_Dem!$E:$E,'5.2 C&amp;D Hospital Discharge'!$E$5,BS_HD_Dem!$D:$D,'5.2 C&amp;D Hospital Discharge'!$D79,BS_HD_Dem!$F:$F,'5.2 C&amp;D Hospital Discharge'!$E79))</f>
        <v/>
      </c>
      <c r="G79" s="122" t="str">
        <f>IF($E79="(blank)","",SUMIFS(BS_HD_Dem!P:P,BS_HD_Dem!$E:$E,'5.2 C&amp;D Hospital Discharge'!$E$5,BS_HD_Dem!$D:$D,'5.2 C&amp;D Hospital Discharge'!$D79,BS_HD_Dem!$F:$F,'5.2 C&amp;D Hospital Discharge'!$E79))</f>
        <v/>
      </c>
      <c r="H79" s="122" t="str">
        <f>IF($E79="(blank)","",SUMIFS(BS_HD_Dem!Q:Q,BS_HD_Dem!$E:$E,'5.2 C&amp;D Hospital Discharge'!$E$5,BS_HD_Dem!$D:$D,'5.2 C&amp;D Hospital Discharge'!$D79,BS_HD_Dem!$F:$F,'5.2 C&amp;D Hospital Discharge'!$E79))</f>
        <v/>
      </c>
      <c r="I79" s="122" t="str">
        <f>IF($E79="(blank)","",SUMIFS(BS_HD_Dem!R:R,BS_HD_Dem!$E:$E,'5.2 C&amp;D Hospital Discharge'!$E$5,BS_HD_Dem!$D:$D,'5.2 C&amp;D Hospital Discharge'!$D79,BS_HD_Dem!$F:$F,'5.2 C&amp;D Hospital Discharge'!$E79))</f>
        <v/>
      </c>
      <c r="J79" s="126" t="str">
        <f>IF($E79="(blank)","",SUMIFS(BS_HD_Dem!S:S,BS_HD_Dem!$E:$E,'5.2 C&amp;D Hospital Discharge'!$E$5,BS_HD_Dem!$D:$D,'5.2 C&amp;D Hospital Discharge'!$D79,BS_HD_Dem!$F:$F,'5.2 C&amp;D Hospital Discharge'!$E79))</f>
        <v/>
      </c>
      <c r="K79" s="200"/>
      <c r="L79" s="200"/>
      <c r="M79" s="200"/>
      <c r="N79" s="200"/>
      <c r="O79" s="201"/>
      <c r="V79" s="21"/>
      <c r="W79" s="17" t="str">
        <f t="shared" si="9"/>
        <v>Yes</v>
      </c>
      <c r="X79" s="22"/>
      <c r="Y79" s="120">
        <f t="shared" si="5"/>
        <v>0</v>
      </c>
      <c r="Z79">
        <f t="shared" si="17"/>
        <v>0</v>
      </c>
      <c r="AA79">
        <f t="shared" si="18"/>
        <v>0</v>
      </c>
    </row>
    <row r="80" spans="3:27" ht="14.4" x14ac:dyDescent="0.3">
      <c r="C80">
        <f t="shared" si="16"/>
        <v>23</v>
      </c>
      <c r="D80" s="125" t="s">
        <v>683</v>
      </c>
      <c r="E80" s="146" t="str">
        <f>IF(C80="Total","Total",IFERROR(VLOOKUP($E$5&amp;$D80&amp;$C80,BS_HD_Dem!A:F,6,0),"(blank)"))</f>
        <v>(blank)</v>
      </c>
      <c r="F80" s="122" t="str">
        <f>IF($E80="(blank)","",SUMIFS(BS_HD_Dem!O:O,BS_HD_Dem!$E:$E,'5.2 C&amp;D Hospital Discharge'!$E$5,BS_HD_Dem!$D:$D,'5.2 C&amp;D Hospital Discharge'!$D80,BS_HD_Dem!$F:$F,'5.2 C&amp;D Hospital Discharge'!$E80))</f>
        <v/>
      </c>
      <c r="G80" s="122" t="str">
        <f>IF($E80="(blank)","",SUMIFS(BS_HD_Dem!P:P,BS_HD_Dem!$E:$E,'5.2 C&amp;D Hospital Discharge'!$E$5,BS_HD_Dem!$D:$D,'5.2 C&amp;D Hospital Discharge'!$D80,BS_HD_Dem!$F:$F,'5.2 C&amp;D Hospital Discharge'!$E80))</f>
        <v/>
      </c>
      <c r="H80" s="122" t="str">
        <f>IF($E80="(blank)","",SUMIFS(BS_HD_Dem!Q:Q,BS_HD_Dem!$E:$E,'5.2 C&amp;D Hospital Discharge'!$E$5,BS_HD_Dem!$D:$D,'5.2 C&amp;D Hospital Discharge'!$D80,BS_HD_Dem!$F:$F,'5.2 C&amp;D Hospital Discharge'!$E80))</f>
        <v/>
      </c>
      <c r="I80" s="122" t="str">
        <f>IF($E80="(blank)","",SUMIFS(BS_HD_Dem!R:R,BS_HD_Dem!$E:$E,'5.2 C&amp;D Hospital Discharge'!$E$5,BS_HD_Dem!$D:$D,'5.2 C&amp;D Hospital Discharge'!$D80,BS_HD_Dem!$F:$F,'5.2 C&amp;D Hospital Discharge'!$E80))</f>
        <v/>
      </c>
      <c r="J80" s="126" t="str">
        <f>IF($E80="(blank)","",SUMIFS(BS_HD_Dem!S:S,BS_HD_Dem!$E:$E,'5.2 C&amp;D Hospital Discharge'!$E$5,BS_HD_Dem!$D:$D,'5.2 C&amp;D Hospital Discharge'!$D80,BS_HD_Dem!$F:$F,'5.2 C&amp;D Hospital Discharge'!$E80))</f>
        <v/>
      </c>
      <c r="K80" s="200"/>
      <c r="L80" s="200"/>
      <c r="M80" s="200"/>
      <c r="N80" s="200"/>
      <c r="O80" s="201"/>
      <c r="V80" s="21"/>
      <c r="W80" s="17" t="str">
        <f t="shared" si="9"/>
        <v>Yes</v>
      </c>
      <c r="X80" s="22"/>
      <c r="Y80" s="120">
        <f t="shared" si="5"/>
        <v>0</v>
      </c>
      <c r="Z80">
        <f t="shared" si="17"/>
        <v>0</v>
      </c>
      <c r="AA80">
        <f t="shared" si="18"/>
        <v>0</v>
      </c>
    </row>
    <row r="81" spans="1:27" ht="15" thickBot="1" x14ac:dyDescent="0.35">
      <c r="C81">
        <f t="shared" si="16"/>
        <v>24</v>
      </c>
      <c r="D81" s="127" t="s">
        <v>683</v>
      </c>
      <c r="E81" s="147" t="str">
        <f>IF(C81="Total","Total",IFERROR(VLOOKUP($E$5&amp;$D81&amp;$C81,BS_HD_Dem!A:F,6,0),"(blank)"))</f>
        <v>(blank)</v>
      </c>
      <c r="F81" s="122" t="str">
        <f>IF($E81="(blank)","",SUMIFS(BS_HD_Dem!O:O,BS_HD_Dem!$E:$E,'5.2 C&amp;D Hospital Discharge'!$E$5,BS_HD_Dem!$D:$D,'5.2 C&amp;D Hospital Discharge'!$D81,BS_HD_Dem!$F:$F,'5.2 C&amp;D Hospital Discharge'!$E81))</f>
        <v/>
      </c>
      <c r="G81" s="122" t="str">
        <f>IF($E81="(blank)","",SUMIFS(BS_HD_Dem!P:P,BS_HD_Dem!$E:$E,'5.2 C&amp;D Hospital Discharge'!$E$5,BS_HD_Dem!$D:$D,'5.2 C&amp;D Hospital Discharge'!$D81,BS_HD_Dem!$F:$F,'5.2 C&amp;D Hospital Discharge'!$E81))</f>
        <v/>
      </c>
      <c r="H81" s="122" t="str">
        <f>IF($E81="(blank)","",SUMIFS(BS_HD_Dem!Q:Q,BS_HD_Dem!$E:$E,'5.2 C&amp;D Hospital Discharge'!$E$5,BS_HD_Dem!$D:$D,'5.2 C&amp;D Hospital Discharge'!$D81,BS_HD_Dem!$F:$F,'5.2 C&amp;D Hospital Discharge'!$E81))</f>
        <v/>
      </c>
      <c r="I81" s="122" t="str">
        <f>IF($E81="(blank)","",SUMIFS(BS_HD_Dem!R:R,BS_HD_Dem!$E:$E,'5.2 C&amp;D Hospital Discharge'!$E$5,BS_HD_Dem!$D:$D,'5.2 C&amp;D Hospital Discharge'!$D81,BS_HD_Dem!$F:$F,'5.2 C&amp;D Hospital Discharge'!$E81))</f>
        <v/>
      </c>
      <c r="J81" s="126" t="str">
        <f>IF($E81="(blank)","",SUMIFS(BS_HD_Dem!S:S,BS_HD_Dem!$E:$E,'5.2 C&amp;D Hospital Discharge'!$E$5,BS_HD_Dem!$D:$D,'5.2 C&amp;D Hospital Discharge'!$D81,BS_HD_Dem!$F:$F,'5.2 C&amp;D Hospital Discharge'!$E81))</f>
        <v/>
      </c>
      <c r="K81" s="202"/>
      <c r="L81" s="202"/>
      <c r="M81" s="202"/>
      <c r="N81" s="202"/>
      <c r="O81" s="203"/>
      <c r="V81" s="21"/>
      <c r="W81" s="17" t="str">
        <f t="shared" si="9"/>
        <v>Yes</v>
      </c>
      <c r="X81" s="22"/>
      <c r="Y81" s="120">
        <f t="shared" si="5"/>
        <v>0</v>
      </c>
      <c r="Z81">
        <f t="shared" si="17"/>
        <v>0</v>
      </c>
      <c r="AA81">
        <f t="shared" si="18"/>
        <v>0</v>
      </c>
    </row>
    <row r="82" spans="1:27" ht="30" customHeight="1" x14ac:dyDescent="0.3">
      <c r="A82" s="9"/>
      <c r="B82" s="9"/>
      <c r="C82" s="9" t="s">
        <v>393</v>
      </c>
      <c r="D82" s="133" t="s">
        <v>684</v>
      </c>
      <c r="E82" s="145" t="str">
        <f>IF(C82="Total","Total",IFERROR(VLOOKUP($E$5&amp;$D82&amp;$C82,BS_HD_Dem!A:F,6,0),"(blank)"))</f>
        <v>Total</v>
      </c>
      <c r="F82" s="123">
        <f t="shared" ref="F82" si="19">SUM(F83:F106)</f>
        <v>135</v>
      </c>
      <c r="G82" s="123">
        <f t="shared" ref="G82" si="20">SUM(G83:G106)</f>
        <v>184</v>
      </c>
      <c r="H82" s="123">
        <f t="shared" ref="H82" si="21">SUM(H83:H106)</f>
        <v>185</v>
      </c>
      <c r="I82" s="123">
        <f t="shared" ref="I82" si="22">SUM(I83:I106)</f>
        <v>166</v>
      </c>
      <c r="J82" s="124">
        <f t="shared" ref="J82:O82" si="23">SUM(J83:J106)</f>
        <v>177</v>
      </c>
      <c r="K82" s="124">
        <f t="shared" si="23"/>
        <v>135</v>
      </c>
      <c r="L82" s="124">
        <f t="shared" si="23"/>
        <v>184</v>
      </c>
      <c r="M82" s="124">
        <f t="shared" si="23"/>
        <v>185</v>
      </c>
      <c r="N82" s="124">
        <f t="shared" si="23"/>
        <v>166</v>
      </c>
      <c r="O82" s="124">
        <f t="shared" si="23"/>
        <v>177</v>
      </c>
      <c r="P82" s="9"/>
      <c r="Q82" s="9"/>
      <c r="R82" s="9"/>
      <c r="S82" s="9"/>
      <c r="T82" s="9"/>
      <c r="U82" s="9"/>
      <c r="V82" s="21"/>
      <c r="W82" s="17" t="str">
        <f t="shared" si="9"/>
        <v>Yes</v>
      </c>
      <c r="X82" s="22"/>
      <c r="Y82" s="120">
        <f t="shared" si="5"/>
        <v>0</v>
      </c>
      <c r="Z82">
        <f t="shared" si="17"/>
        <v>0</v>
      </c>
      <c r="AA82">
        <f t="shared" si="18"/>
        <v>1</v>
      </c>
    </row>
    <row r="83" spans="1:27" ht="14.4" x14ac:dyDescent="0.3">
      <c r="C83">
        <v>1</v>
      </c>
      <c r="D83" s="125" t="s">
        <v>684</v>
      </c>
      <c r="E83" s="146" t="str">
        <f>IF(C83="Total","Total",IFERROR(VLOOKUP($E$5&amp;$D83&amp;$C83,BS_HD_Dem!A:F,6,0),"(blank)"))</f>
        <v>CHELSEA AND WESTMINSTER HOSPITAL NHS FOUNDATION TRUST</v>
      </c>
      <c r="F83" s="122">
        <f>IF($E83="(blank)","",SUMIFS(BS_HD_Dem!O:O,BS_HD_Dem!$E:$E,'5.2 C&amp;D Hospital Discharge'!$E$5,BS_HD_Dem!$D:$D,'5.2 C&amp;D Hospital Discharge'!$D83,BS_HD_Dem!$F:$F,'5.2 C&amp;D Hospital Discharge'!$E83))</f>
        <v>5</v>
      </c>
      <c r="G83" s="122">
        <f>IF($E83="(blank)","",SUMIFS(BS_HD_Dem!P:P,BS_HD_Dem!$E:$E,'5.2 C&amp;D Hospital Discharge'!$E$5,BS_HD_Dem!$D:$D,'5.2 C&amp;D Hospital Discharge'!$D83,BS_HD_Dem!$F:$F,'5.2 C&amp;D Hospital Discharge'!$E83))</f>
        <v>6</v>
      </c>
      <c r="H83" s="122">
        <f>IF($E83="(blank)","",SUMIFS(BS_HD_Dem!Q:Q,BS_HD_Dem!$E:$E,'5.2 C&amp;D Hospital Discharge'!$E$5,BS_HD_Dem!$D:$D,'5.2 C&amp;D Hospital Discharge'!$D83,BS_HD_Dem!$F:$F,'5.2 C&amp;D Hospital Discharge'!$E83))</f>
        <v>6</v>
      </c>
      <c r="I83" s="122">
        <f>IF($E83="(blank)","",SUMIFS(BS_HD_Dem!R:R,BS_HD_Dem!$E:$E,'5.2 C&amp;D Hospital Discharge'!$E$5,BS_HD_Dem!$D:$D,'5.2 C&amp;D Hospital Discharge'!$D83,BS_HD_Dem!$F:$F,'5.2 C&amp;D Hospital Discharge'!$E83))</f>
        <v>6</v>
      </c>
      <c r="J83" s="126">
        <f>IF($E83="(blank)","",SUMIFS(BS_HD_Dem!S:S,BS_HD_Dem!$E:$E,'5.2 C&amp;D Hospital Discharge'!$E$5,BS_HD_Dem!$D:$D,'5.2 C&amp;D Hospital Discharge'!$D83,BS_HD_Dem!$F:$F,'5.2 C&amp;D Hospital Discharge'!$E83))</f>
        <v>6</v>
      </c>
      <c r="K83" s="200">
        <v>5</v>
      </c>
      <c r="L83" s="200">
        <v>6</v>
      </c>
      <c r="M83" s="200">
        <v>6</v>
      </c>
      <c r="N83" s="200">
        <v>6</v>
      </c>
      <c r="O83" s="201">
        <v>6</v>
      </c>
      <c r="V83" s="21"/>
      <c r="W83" s="17" t="str">
        <f t="shared" si="9"/>
        <v>Yes</v>
      </c>
      <c r="X83" s="22"/>
      <c r="Y83" s="120">
        <f t="shared" si="5"/>
        <v>0</v>
      </c>
      <c r="Z83">
        <f t="shared" si="17"/>
        <v>1</v>
      </c>
      <c r="AA83">
        <f t="shared" si="18"/>
        <v>1</v>
      </c>
    </row>
    <row r="84" spans="1:27" ht="14.4" x14ac:dyDescent="0.3">
      <c r="C84">
        <f>C83+1</f>
        <v>2</v>
      </c>
      <c r="D84" s="125" t="s">
        <v>684</v>
      </c>
      <c r="E84" s="146" t="str">
        <f>IF(C84="Total","Total",IFERROR(VLOOKUP($E$5&amp;$D84&amp;$C84,BS_HD_Dem!A:F,6,0),"(blank)"))</f>
        <v>IMPERIAL COLLEGE HEALTHCARE NHS TRUST</v>
      </c>
      <c r="F84" s="122">
        <f>IF($E84="(blank)","",SUMIFS(BS_HD_Dem!O:O,BS_HD_Dem!$E:$E,'5.2 C&amp;D Hospital Discharge'!$E$5,BS_HD_Dem!$D:$D,'5.2 C&amp;D Hospital Discharge'!$D84,BS_HD_Dem!$F:$F,'5.2 C&amp;D Hospital Discharge'!$E84))</f>
        <v>11</v>
      </c>
      <c r="G84" s="122">
        <f>IF($E84="(blank)","",SUMIFS(BS_HD_Dem!P:P,BS_HD_Dem!$E:$E,'5.2 C&amp;D Hospital Discharge'!$E$5,BS_HD_Dem!$D:$D,'5.2 C&amp;D Hospital Discharge'!$D84,BS_HD_Dem!$F:$F,'5.2 C&amp;D Hospital Discharge'!$E84))</f>
        <v>15</v>
      </c>
      <c r="H84" s="122">
        <f>IF($E84="(blank)","",SUMIFS(BS_HD_Dem!Q:Q,BS_HD_Dem!$E:$E,'5.2 C&amp;D Hospital Discharge'!$E$5,BS_HD_Dem!$D:$D,'5.2 C&amp;D Hospital Discharge'!$D84,BS_HD_Dem!$F:$F,'5.2 C&amp;D Hospital Discharge'!$E84))</f>
        <v>15</v>
      </c>
      <c r="I84" s="122">
        <f>IF($E84="(blank)","",SUMIFS(BS_HD_Dem!R:R,BS_HD_Dem!$E:$E,'5.2 C&amp;D Hospital Discharge'!$E$5,BS_HD_Dem!$D:$D,'5.2 C&amp;D Hospital Discharge'!$D84,BS_HD_Dem!$F:$F,'5.2 C&amp;D Hospital Discharge'!$E84))</f>
        <v>14</v>
      </c>
      <c r="J84" s="126">
        <f>IF($E84="(blank)","",SUMIFS(BS_HD_Dem!S:S,BS_HD_Dem!$E:$E,'5.2 C&amp;D Hospital Discharge'!$E$5,BS_HD_Dem!$D:$D,'5.2 C&amp;D Hospital Discharge'!$D84,BS_HD_Dem!$F:$F,'5.2 C&amp;D Hospital Discharge'!$E84))</f>
        <v>15</v>
      </c>
      <c r="K84" s="200">
        <v>11</v>
      </c>
      <c r="L84" s="200">
        <v>15</v>
      </c>
      <c r="M84" s="200">
        <v>15</v>
      </c>
      <c r="N84" s="200">
        <v>14</v>
      </c>
      <c r="O84" s="201">
        <v>15</v>
      </c>
      <c r="V84" s="21"/>
      <c r="W84" s="17" t="str">
        <f t="shared" si="9"/>
        <v>Yes</v>
      </c>
      <c r="X84" s="22"/>
      <c r="Y84" s="120">
        <f t="shared" si="5"/>
        <v>0</v>
      </c>
      <c r="Z84">
        <f t="shared" si="17"/>
        <v>1</v>
      </c>
      <c r="AA84">
        <f t="shared" si="18"/>
        <v>1</v>
      </c>
    </row>
    <row r="85" spans="1:27" ht="14.4" x14ac:dyDescent="0.3">
      <c r="C85">
        <f t="shared" ref="C85:C106" si="24">C84+1</f>
        <v>3</v>
      </c>
      <c r="D85" s="125" t="s">
        <v>684</v>
      </c>
      <c r="E85" s="146" t="str">
        <f>IF(C85="Total","Total",IFERROR(VLOOKUP($E$5&amp;$D85&amp;$C85,BS_HD_Dem!A:F,6,0),"(blank)"))</f>
        <v>LONDON NORTH WEST UNIVERSITY HEALTHCARE NHS TRUST</v>
      </c>
      <c r="F85" s="122">
        <f>IF($E85="(blank)","",SUMIFS(BS_HD_Dem!O:O,BS_HD_Dem!$E:$E,'5.2 C&amp;D Hospital Discharge'!$E$5,BS_HD_Dem!$D:$D,'5.2 C&amp;D Hospital Discharge'!$D85,BS_HD_Dem!$F:$F,'5.2 C&amp;D Hospital Discharge'!$E85))</f>
        <v>17</v>
      </c>
      <c r="G85" s="122">
        <f>IF($E85="(blank)","",SUMIFS(BS_HD_Dem!P:P,BS_HD_Dem!$E:$E,'5.2 C&amp;D Hospital Discharge'!$E$5,BS_HD_Dem!$D:$D,'5.2 C&amp;D Hospital Discharge'!$D85,BS_HD_Dem!$F:$F,'5.2 C&amp;D Hospital Discharge'!$E85))</f>
        <v>23</v>
      </c>
      <c r="H85" s="122">
        <f>IF($E85="(blank)","",SUMIFS(BS_HD_Dem!Q:Q,BS_HD_Dem!$E:$E,'5.2 C&amp;D Hospital Discharge'!$E$5,BS_HD_Dem!$D:$D,'5.2 C&amp;D Hospital Discharge'!$D85,BS_HD_Dem!$F:$F,'5.2 C&amp;D Hospital Discharge'!$E85))</f>
        <v>23</v>
      </c>
      <c r="I85" s="122">
        <f>IF($E85="(blank)","",SUMIFS(BS_HD_Dem!R:R,BS_HD_Dem!$E:$E,'5.2 C&amp;D Hospital Discharge'!$E$5,BS_HD_Dem!$D:$D,'5.2 C&amp;D Hospital Discharge'!$D85,BS_HD_Dem!$F:$F,'5.2 C&amp;D Hospital Discharge'!$E85))</f>
        <v>21</v>
      </c>
      <c r="J85" s="126">
        <f>IF($E85="(blank)","",SUMIFS(BS_HD_Dem!S:S,BS_HD_Dem!$E:$E,'5.2 C&amp;D Hospital Discharge'!$E$5,BS_HD_Dem!$D:$D,'5.2 C&amp;D Hospital Discharge'!$D85,BS_HD_Dem!$F:$F,'5.2 C&amp;D Hospital Discharge'!$E85))</f>
        <v>22</v>
      </c>
      <c r="K85" s="200">
        <v>17</v>
      </c>
      <c r="L85" s="200">
        <v>23</v>
      </c>
      <c r="M85" s="200">
        <v>23</v>
      </c>
      <c r="N85" s="200">
        <v>21</v>
      </c>
      <c r="O85" s="201">
        <v>22</v>
      </c>
      <c r="V85" s="21"/>
      <c r="W85" s="17" t="str">
        <f t="shared" si="9"/>
        <v>Yes</v>
      </c>
      <c r="X85" s="22"/>
      <c r="Y85" s="120">
        <f t="shared" si="5"/>
        <v>0</v>
      </c>
      <c r="Z85">
        <f t="shared" si="17"/>
        <v>1</v>
      </c>
      <c r="AA85">
        <f t="shared" si="18"/>
        <v>1</v>
      </c>
    </row>
    <row r="86" spans="1:27" ht="14.4" x14ac:dyDescent="0.3">
      <c r="C86">
        <f t="shared" si="24"/>
        <v>4</v>
      </c>
      <c r="D86" s="125" t="s">
        <v>684</v>
      </c>
      <c r="E86" s="146" t="str">
        <f>IF(C86="Total","Total",IFERROR(VLOOKUP($E$5&amp;$D86&amp;$C86,BS_HD_Dem!A:F,6,0),"(blank)"))</f>
        <v>THE HILLINGDON HOSPITALS NHS FOUNDATION TRUST</v>
      </c>
      <c r="F86" s="122">
        <f>IF($E86="(blank)","",SUMIFS(BS_HD_Dem!O:O,BS_HD_Dem!$E:$E,'5.2 C&amp;D Hospital Discharge'!$E$5,BS_HD_Dem!$D:$D,'5.2 C&amp;D Hospital Discharge'!$D86,BS_HD_Dem!$F:$F,'5.2 C&amp;D Hospital Discharge'!$E86))</f>
        <v>102</v>
      </c>
      <c r="G86" s="122">
        <f>IF($E86="(blank)","",SUMIFS(BS_HD_Dem!P:P,BS_HD_Dem!$E:$E,'5.2 C&amp;D Hospital Discharge'!$E$5,BS_HD_Dem!$D:$D,'5.2 C&amp;D Hospital Discharge'!$D86,BS_HD_Dem!$F:$F,'5.2 C&amp;D Hospital Discharge'!$E86))</f>
        <v>140</v>
      </c>
      <c r="H86" s="122">
        <f>IF($E86="(blank)","",SUMIFS(BS_HD_Dem!Q:Q,BS_HD_Dem!$E:$E,'5.2 C&amp;D Hospital Discharge'!$E$5,BS_HD_Dem!$D:$D,'5.2 C&amp;D Hospital Discharge'!$D86,BS_HD_Dem!$F:$F,'5.2 C&amp;D Hospital Discharge'!$E86))</f>
        <v>141</v>
      </c>
      <c r="I86" s="122">
        <f>IF($E86="(blank)","",SUMIFS(BS_HD_Dem!R:R,BS_HD_Dem!$E:$E,'5.2 C&amp;D Hospital Discharge'!$E$5,BS_HD_Dem!$D:$D,'5.2 C&amp;D Hospital Discharge'!$D86,BS_HD_Dem!$F:$F,'5.2 C&amp;D Hospital Discharge'!$E86))</f>
        <v>125</v>
      </c>
      <c r="J86" s="126">
        <f>IF($E86="(blank)","",SUMIFS(BS_HD_Dem!S:S,BS_HD_Dem!$E:$E,'5.2 C&amp;D Hospital Discharge'!$E$5,BS_HD_Dem!$D:$D,'5.2 C&amp;D Hospital Discharge'!$D86,BS_HD_Dem!$F:$F,'5.2 C&amp;D Hospital Discharge'!$E86))</f>
        <v>134</v>
      </c>
      <c r="K86" s="200">
        <v>102</v>
      </c>
      <c r="L86" s="200">
        <v>140</v>
      </c>
      <c r="M86" s="200">
        <v>141</v>
      </c>
      <c r="N86" s="200">
        <v>125</v>
      </c>
      <c r="O86" s="201">
        <v>134</v>
      </c>
      <c r="V86" s="21"/>
      <c r="W86" s="17" t="str">
        <f t="shared" si="9"/>
        <v>Yes</v>
      </c>
      <c r="X86" s="22"/>
      <c r="Y86" s="120">
        <f t="shared" si="5"/>
        <v>0</v>
      </c>
      <c r="Z86">
        <f t="shared" si="17"/>
        <v>1</v>
      </c>
      <c r="AA86">
        <f t="shared" si="18"/>
        <v>1</v>
      </c>
    </row>
    <row r="87" spans="1:27" ht="14.4" x14ac:dyDescent="0.3">
      <c r="C87">
        <f t="shared" si="24"/>
        <v>5</v>
      </c>
      <c r="D87" s="125" t="s">
        <v>684</v>
      </c>
      <c r="E87" s="146" t="str">
        <f>IF(C87="Total","Total",IFERROR(VLOOKUP($E$5&amp;$D87&amp;$C87,BS_HD_Dem!A:F,6,0),"(blank)"))</f>
        <v>(blank)</v>
      </c>
      <c r="F87" s="122" t="str">
        <f>IF($E87="(blank)","",SUMIFS(BS_HD_Dem!O:O,BS_HD_Dem!$E:$E,'5.2 C&amp;D Hospital Discharge'!$E$5,BS_HD_Dem!$D:$D,'5.2 C&amp;D Hospital Discharge'!$D87,BS_HD_Dem!$F:$F,'5.2 C&amp;D Hospital Discharge'!$E87))</f>
        <v/>
      </c>
      <c r="G87" s="122" t="str">
        <f>IF($E87="(blank)","",SUMIFS(BS_HD_Dem!P:P,BS_HD_Dem!$E:$E,'5.2 C&amp;D Hospital Discharge'!$E$5,BS_HD_Dem!$D:$D,'5.2 C&amp;D Hospital Discharge'!$D87,BS_HD_Dem!$F:$F,'5.2 C&amp;D Hospital Discharge'!$E87))</f>
        <v/>
      </c>
      <c r="H87" s="122" t="str">
        <f>IF($E87="(blank)","",SUMIFS(BS_HD_Dem!Q:Q,BS_HD_Dem!$E:$E,'5.2 C&amp;D Hospital Discharge'!$E$5,BS_HD_Dem!$D:$D,'5.2 C&amp;D Hospital Discharge'!$D87,BS_HD_Dem!$F:$F,'5.2 C&amp;D Hospital Discharge'!$E87))</f>
        <v/>
      </c>
      <c r="I87" s="122" t="str">
        <f>IF($E87="(blank)","",SUMIFS(BS_HD_Dem!R:R,BS_HD_Dem!$E:$E,'5.2 C&amp;D Hospital Discharge'!$E$5,BS_HD_Dem!$D:$D,'5.2 C&amp;D Hospital Discharge'!$D87,BS_HD_Dem!$F:$F,'5.2 C&amp;D Hospital Discharge'!$E87))</f>
        <v/>
      </c>
      <c r="J87" s="126" t="str">
        <f>IF($E87="(blank)","",SUMIFS(BS_HD_Dem!S:S,BS_HD_Dem!$E:$E,'5.2 C&amp;D Hospital Discharge'!$E$5,BS_HD_Dem!$D:$D,'5.2 C&amp;D Hospital Discharge'!$D87,BS_HD_Dem!$F:$F,'5.2 C&amp;D Hospital Discharge'!$E87))</f>
        <v/>
      </c>
      <c r="K87" s="200"/>
      <c r="L87" s="200"/>
      <c r="M87" s="200"/>
      <c r="N87" s="200"/>
      <c r="O87" s="201"/>
      <c r="V87" s="21"/>
      <c r="W87" s="17" t="str">
        <f t="shared" si="9"/>
        <v>Yes</v>
      </c>
      <c r="X87" s="22"/>
      <c r="Y87" s="120">
        <f t="shared" ref="Y87:Y150" si="25">IF(W87="No", 1,0)</f>
        <v>0</v>
      </c>
      <c r="Z87">
        <f t="shared" si="17"/>
        <v>0</v>
      </c>
      <c r="AA87">
        <f t="shared" si="18"/>
        <v>0</v>
      </c>
    </row>
    <row r="88" spans="1:27" ht="14.4" x14ac:dyDescent="0.3">
      <c r="C88">
        <f t="shared" si="24"/>
        <v>6</v>
      </c>
      <c r="D88" s="125" t="s">
        <v>684</v>
      </c>
      <c r="E88" s="146" t="str">
        <f>IF(C88="Total","Total",IFERROR(VLOOKUP($E$5&amp;$D88&amp;$C88,BS_HD_Dem!A:F,6,0),"(blank)"))</f>
        <v>(blank)</v>
      </c>
      <c r="F88" s="122" t="str">
        <f>IF($E88="(blank)","",SUMIFS(BS_HD_Dem!O:O,BS_HD_Dem!$E:$E,'5.2 C&amp;D Hospital Discharge'!$E$5,BS_HD_Dem!$D:$D,'5.2 C&amp;D Hospital Discharge'!$D88,BS_HD_Dem!$F:$F,'5.2 C&amp;D Hospital Discharge'!$E88))</f>
        <v/>
      </c>
      <c r="G88" s="122" t="str">
        <f>IF($E88="(blank)","",SUMIFS(BS_HD_Dem!P:P,BS_HD_Dem!$E:$E,'5.2 C&amp;D Hospital Discharge'!$E$5,BS_HD_Dem!$D:$D,'5.2 C&amp;D Hospital Discharge'!$D88,BS_HD_Dem!$F:$F,'5.2 C&amp;D Hospital Discharge'!$E88))</f>
        <v/>
      </c>
      <c r="H88" s="122" t="str">
        <f>IF($E88="(blank)","",SUMIFS(BS_HD_Dem!Q:Q,BS_HD_Dem!$E:$E,'5.2 C&amp;D Hospital Discharge'!$E$5,BS_HD_Dem!$D:$D,'5.2 C&amp;D Hospital Discharge'!$D88,BS_HD_Dem!$F:$F,'5.2 C&amp;D Hospital Discharge'!$E88))</f>
        <v/>
      </c>
      <c r="I88" s="122" t="str">
        <f>IF($E88="(blank)","",SUMIFS(BS_HD_Dem!R:R,BS_HD_Dem!$E:$E,'5.2 C&amp;D Hospital Discharge'!$E$5,BS_HD_Dem!$D:$D,'5.2 C&amp;D Hospital Discharge'!$D88,BS_HD_Dem!$F:$F,'5.2 C&amp;D Hospital Discharge'!$E88))</f>
        <v/>
      </c>
      <c r="J88" s="126" t="str">
        <f>IF($E88="(blank)","",SUMIFS(BS_HD_Dem!S:S,BS_HD_Dem!$E:$E,'5.2 C&amp;D Hospital Discharge'!$E$5,BS_HD_Dem!$D:$D,'5.2 C&amp;D Hospital Discharge'!$D88,BS_HD_Dem!$F:$F,'5.2 C&amp;D Hospital Discharge'!$E88))</f>
        <v/>
      </c>
      <c r="K88" s="200"/>
      <c r="L88" s="200"/>
      <c r="M88" s="200"/>
      <c r="N88" s="200"/>
      <c r="O88" s="201"/>
      <c r="V88" s="21"/>
      <c r="W88" s="17" t="str">
        <f t="shared" si="9"/>
        <v>Yes</v>
      </c>
      <c r="X88" s="22"/>
      <c r="Y88" s="120">
        <f t="shared" si="25"/>
        <v>0</v>
      </c>
      <c r="Z88">
        <f t="shared" si="17"/>
        <v>0</v>
      </c>
      <c r="AA88">
        <f t="shared" si="18"/>
        <v>0</v>
      </c>
    </row>
    <row r="89" spans="1:27" ht="14.4" x14ac:dyDescent="0.3">
      <c r="C89">
        <f t="shared" si="24"/>
        <v>7</v>
      </c>
      <c r="D89" s="125" t="s">
        <v>684</v>
      </c>
      <c r="E89" s="146" t="str">
        <f>IF(C89="Total","Total",IFERROR(VLOOKUP($E$5&amp;$D89&amp;$C89,BS_HD_Dem!A:F,6,0),"(blank)"))</f>
        <v>(blank)</v>
      </c>
      <c r="F89" s="122" t="str">
        <f>IF($E89="(blank)","",SUMIFS(BS_HD_Dem!O:O,BS_HD_Dem!$E:$E,'5.2 C&amp;D Hospital Discharge'!$E$5,BS_HD_Dem!$D:$D,'5.2 C&amp;D Hospital Discharge'!$D89,BS_HD_Dem!$F:$F,'5.2 C&amp;D Hospital Discharge'!$E89))</f>
        <v/>
      </c>
      <c r="G89" s="122" t="str">
        <f>IF($E89="(blank)","",SUMIFS(BS_HD_Dem!P:P,BS_HD_Dem!$E:$E,'5.2 C&amp;D Hospital Discharge'!$E$5,BS_HD_Dem!$D:$D,'5.2 C&amp;D Hospital Discharge'!$D89,BS_HD_Dem!$F:$F,'5.2 C&amp;D Hospital Discharge'!$E89))</f>
        <v/>
      </c>
      <c r="H89" s="122" t="str">
        <f>IF($E89="(blank)","",SUMIFS(BS_HD_Dem!Q:Q,BS_HD_Dem!$E:$E,'5.2 C&amp;D Hospital Discharge'!$E$5,BS_HD_Dem!$D:$D,'5.2 C&amp;D Hospital Discharge'!$D89,BS_HD_Dem!$F:$F,'5.2 C&amp;D Hospital Discharge'!$E89))</f>
        <v/>
      </c>
      <c r="I89" s="122" t="str">
        <f>IF($E89="(blank)","",SUMIFS(BS_HD_Dem!R:R,BS_HD_Dem!$E:$E,'5.2 C&amp;D Hospital Discharge'!$E$5,BS_HD_Dem!$D:$D,'5.2 C&amp;D Hospital Discharge'!$D89,BS_HD_Dem!$F:$F,'5.2 C&amp;D Hospital Discharge'!$E89))</f>
        <v/>
      </c>
      <c r="J89" s="126" t="str">
        <f>IF($E89="(blank)","",SUMIFS(BS_HD_Dem!S:S,BS_HD_Dem!$E:$E,'5.2 C&amp;D Hospital Discharge'!$E$5,BS_HD_Dem!$D:$D,'5.2 C&amp;D Hospital Discharge'!$D89,BS_HD_Dem!$F:$F,'5.2 C&amp;D Hospital Discharge'!$E89))</f>
        <v/>
      </c>
      <c r="K89" s="200"/>
      <c r="L89" s="200"/>
      <c r="M89" s="200"/>
      <c r="N89" s="200"/>
      <c r="O89" s="201"/>
      <c r="V89" s="21"/>
      <c r="W89" s="17" t="str">
        <f t="shared" si="9"/>
        <v>Yes</v>
      </c>
      <c r="X89" s="22"/>
      <c r="Y89" s="120">
        <f t="shared" si="25"/>
        <v>0</v>
      </c>
      <c r="Z89">
        <f t="shared" si="17"/>
        <v>0</v>
      </c>
      <c r="AA89">
        <f t="shared" si="18"/>
        <v>0</v>
      </c>
    </row>
    <row r="90" spans="1:27" ht="14.4" x14ac:dyDescent="0.3">
      <c r="C90">
        <f t="shared" si="24"/>
        <v>8</v>
      </c>
      <c r="D90" s="125" t="s">
        <v>684</v>
      </c>
      <c r="E90" s="146" t="str">
        <f>IF(C90="Total","Total",IFERROR(VLOOKUP($E$5&amp;$D90&amp;$C90,BS_HD_Dem!A:F,6,0),"(blank)"))</f>
        <v>(blank)</v>
      </c>
      <c r="F90" s="122" t="str">
        <f>IF($E90="(blank)","",SUMIFS(BS_HD_Dem!O:O,BS_HD_Dem!$E:$E,'5.2 C&amp;D Hospital Discharge'!$E$5,BS_HD_Dem!$D:$D,'5.2 C&amp;D Hospital Discharge'!$D90,BS_HD_Dem!$F:$F,'5.2 C&amp;D Hospital Discharge'!$E90))</f>
        <v/>
      </c>
      <c r="G90" s="122" t="str">
        <f>IF($E90="(blank)","",SUMIFS(BS_HD_Dem!P:P,BS_HD_Dem!$E:$E,'5.2 C&amp;D Hospital Discharge'!$E$5,BS_HD_Dem!$D:$D,'5.2 C&amp;D Hospital Discharge'!$D90,BS_HD_Dem!$F:$F,'5.2 C&amp;D Hospital Discharge'!$E90))</f>
        <v/>
      </c>
      <c r="H90" s="122" t="str">
        <f>IF($E90="(blank)","",SUMIFS(BS_HD_Dem!Q:Q,BS_HD_Dem!$E:$E,'5.2 C&amp;D Hospital Discharge'!$E$5,BS_HD_Dem!$D:$D,'5.2 C&amp;D Hospital Discharge'!$D90,BS_HD_Dem!$F:$F,'5.2 C&amp;D Hospital Discharge'!$E90))</f>
        <v/>
      </c>
      <c r="I90" s="122" t="str">
        <f>IF($E90="(blank)","",SUMIFS(BS_HD_Dem!R:R,BS_HD_Dem!$E:$E,'5.2 C&amp;D Hospital Discharge'!$E$5,BS_HD_Dem!$D:$D,'5.2 C&amp;D Hospital Discharge'!$D90,BS_HD_Dem!$F:$F,'5.2 C&amp;D Hospital Discharge'!$E90))</f>
        <v/>
      </c>
      <c r="J90" s="126" t="str">
        <f>IF($E90="(blank)","",SUMIFS(BS_HD_Dem!S:S,BS_HD_Dem!$E:$E,'5.2 C&amp;D Hospital Discharge'!$E$5,BS_HD_Dem!$D:$D,'5.2 C&amp;D Hospital Discharge'!$D90,BS_HD_Dem!$F:$F,'5.2 C&amp;D Hospital Discharge'!$E90))</f>
        <v/>
      </c>
      <c r="K90" s="200"/>
      <c r="L90" s="200"/>
      <c r="M90" s="200"/>
      <c r="N90" s="200"/>
      <c r="O90" s="201"/>
      <c r="V90" s="21"/>
      <c r="W90" s="17" t="str">
        <f t="shared" si="9"/>
        <v>Yes</v>
      </c>
      <c r="X90" s="22"/>
      <c r="Y90" s="120">
        <f t="shared" si="25"/>
        <v>0</v>
      </c>
      <c r="Z90">
        <f t="shared" si="17"/>
        <v>0</v>
      </c>
      <c r="AA90">
        <f t="shared" si="18"/>
        <v>0</v>
      </c>
    </row>
    <row r="91" spans="1:27" ht="14.4" x14ac:dyDescent="0.3">
      <c r="C91">
        <f t="shared" si="24"/>
        <v>9</v>
      </c>
      <c r="D91" s="125" t="s">
        <v>684</v>
      </c>
      <c r="E91" s="146" t="str">
        <f>IF(C91="Total","Total",IFERROR(VLOOKUP($E$5&amp;$D91&amp;$C91,BS_HD_Dem!A:F,6,0),"(blank)"))</f>
        <v>(blank)</v>
      </c>
      <c r="F91" s="122" t="str">
        <f>IF($E91="(blank)","",SUMIFS(BS_HD_Dem!O:O,BS_HD_Dem!$E:$E,'5.2 C&amp;D Hospital Discharge'!$E$5,BS_HD_Dem!$D:$D,'5.2 C&amp;D Hospital Discharge'!$D91,BS_HD_Dem!$F:$F,'5.2 C&amp;D Hospital Discharge'!$E91))</f>
        <v/>
      </c>
      <c r="G91" s="122" t="str">
        <f>IF($E91="(blank)","",SUMIFS(BS_HD_Dem!P:P,BS_HD_Dem!$E:$E,'5.2 C&amp;D Hospital Discharge'!$E$5,BS_HD_Dem!$D:$D,'5.2 C&amp;D Hospital Discharge'!$D91,BS_HD_Dem!$F:$F,'5.2 C&amp;D Hospital Discharge'!$E91))</f>
        <v/>
      </c>
      <c r="H91" s="122" t="str">
        <f>IF($E91="(blank)","",SUMIFS(BS_HD_Dem!Q:Q,BS_HD_Dem!$E:$E,'5.2 C&amp;D Hospital Discharge'!$E$5,BS_HD_Dem!$D:$D,'5.2 C&amp;D Hospital Discharge'!$D91,BS_HD_Dem!$F:$F,'5.2 C&amp;D Hospital Discharge'!$E91))</f>
        <v/>
      </c>
      <c r="I91" s="122" t="str">
        <f>IF($E91="(blank)","",SUMIFS(BS_HD_Dem!R:R,BS_HD_Dem!$E:$E,'5.2 C&amp;D Hospital Discharge'!$E$5,BS_HD_Dem!$D:$D,'5.2 C&amp;D Hospital Discharge'!$D91,BS_HD_Dem!$F:$F,'5.2 C&amp;D Hospital Discharge'!$E91))</f>
        <v/>
      </c>
      <c r="J91" s="126" t="str">
        <f>IF($E91="(blank)","",SUMIFS(BS_HD_Dem!S:S,BS_HD_Dem!$E:$E,'5.2 C&amp;D Hospital Discharge'!$E$5,BS_HD_Dem!$D:$D,'5.2 C&amp;D Hospital Discharge'!$D91,BS_HD_Dem!$F:$F,'5.2 C&amp;D Hospital Discharge'!$E91))</f>
        <v/>
      </c>
      <c r="K91" s="200"/>
      <c r="L91" s="200"/>
      <c r="M91" s="200"/>
      <c r="N91" s="200"/>
      <c r="O91" s="201"/>
      <c r="V91" s="21"/>
      <c r="W91" s="17" t="str">
        <f t="shared" si="9"/>
        <v>Yes</v>
      </c>
      <c r="X91" s="22"/>
      <c r="Y91" s="120">
        <f t="shared" si="25"/>
        <v>0</v>
      </c>
      <c r="Z91">
        <f t="shared" si="17"/>
        <v>0</v>
      </c>
      <c r="AA91">
        <f t="shared" si="18"/>
        <v>0</v>
      </c>
    </row>
    <row r="92" spans="1:27" ht="14.4" x14ac:dyDescent="0.3">
      <c r="C92">
        <f t="shared" si="24"/>
        <v>10</v>
      </c>
      <c r="D92" s="125" t="s">
        <v>684</v>
      </c>
      <c r="E92" s="146" t="str">
        <f>IF(C92="Total","Total",IFERROR(VLOOKUP($E$5&amp;$D92&amp;$C92,BS_HD_Dem!A:F,6,0),"(blank)"))</f>
        <v>(blank)</v>
      </c>
      <c r="F92" s="122" t="str">
        <f>IF($E92="(blank)","",SUMIFS(BS_HD_Dem!O:O,BS_HD_Dem!$E:$E,'5.2 C&amp;D Hospital Discharge'!$E$5,BS_HD_Dem!$D:$D,'5.2 C&amp;D Hospital Discharge'!$D92,BS_HD_Dem!$F:$F,'5.2 C&amp;D Hospital Discharge'!$E92))</f>
        <v/>
      </c>
      <c r="G92" s="122" t="str">
        <f>IF($E92="(blank)","",SUMIFS(BS_HD_Dem!P:P,BS_HD_Dem!$E:$E,'5.2 C&amp;D Hospital Discharge'!$E$5,BS_HD_Dem!$D:$D,'5.2 C&amp;D Hospital Discharge'!$D92,BS_HD_Dem!$F:$F,'5.2 C&amp;D Hospital Discharge'!$E92))</f>
        <v/>
      </c>
      <c r="H92" s="122" t="str">
        <f>IF($E92="(blank)","",SUMIFS(BS_HD_Dem!Q:Q,BS_HD_Dem!$E:$E,'5.2 C&amp;D Hospital Discharge'!$E$5,BS_HD_Dem!$D:$D,'5.2 C&amp;D Hospital Discharge'!$D92,BS_HD_Dem!$F:$F,'5.2 C&amp;D Hospital Discharge'!$E92))</f>
        <v/>
      </c>
      <c r="I92" s="122" t="str">
        <f>IF($E92="(blank)","",SUMIFS(BS_HD_Dem!R:R,BS_HD_Dem!$E:$E,'5.2 C&amp;D Hospital Discharge'!$E$5,BS_HD_Dem!$D:$D,'5.2 C&amp;D Hospital Discharge'!$D92,BS_HD_Dem!$F:$F,'5.2 C&amp;D Hospital Discharge'!$E92))</f>
        <v/>
      </c>
      <c r="J92" s="126" t="str">
        <f>IF($E92="(blank)","",SUMIFS(BS_HD_Dem!S:S,BS_HD_Dem!$E:$E,'5.2 C&amp;D Hospital Discharge'!$E$5,BS_HD_Dem!$D:$D,'5.2 C&amp;D Hospital Discharge'!$D92,BS_HD_Dem!$F:$F,'5.2 C&amp;D Hospital Discharge'!$E92))</f>
        <v/>
      </c>
      <c r="K92" s="200"/>
      <c r="L92" s="200"/>
      <c r="M92" s="200"/>
      <c r="N92" s="200"/>
      <c r="O92" s="201"/>
      <c r="V92" s="21"/>
      <c r="W92" s="17" t="str">
        <f t="shared" si="9"/>
        <v>Yes</v>
      </c>
      <c r="X92" s="22"/>
      <c r="Y92" s="120">
        <f t="shared" si="25"/>
        <v>0</v>
      </c>
      <c r="Z92">
        <f t="shared" si="17"/>
        <v>0</v>
      </c>
      <c r="AA92">
        <f t="shared" si="18"/>
        <v>0</v>
      </c>
    </row>
    <row r="93" spans="1:27" ht="14.4" x14ac:dyDescent="0.3">
      <c r="C93">
        <f t="shared" si="24"/>
        <v>11</v>
      </c>
      <c r="D93" s="125" t="s">
        <v>684</v>
      </c>
      <c r="E93" s="146" t="str">
        <f>IF(C93="Total","Total",IFERROR(VLOOKUP($E$5&amp;$D93&amp;$C93,BS_HD_Dem!A:F,6,0),"(blank)"))</f>
        <v>(blank)</v>
      </c>
      <c r="F93" s="122" t="str">
        <f>IF($E93="(blank)","",SUMIFS(BS_HD_Dem!O:O,BS_HD_Dem!$E:$E,'5.2 C&amp;D Hospital Discharge'!$E$5,BS_HD_Dem!$D:$D,'5.2 C&amp;D Hospital Discharge'!$D93,BS_HD_Dem!$F:$F,'5.2 C&amp;D Hospital Discharge'!$E93))</f>
        <v/>
      </c>
      <c r="G93" s="122" t="str">
        <f>IF($E93="(blank)","",SUMIFS(BS_HD_Dem!P:P,BS_HD_Dem!$E:$E,'5.2 C&amp;D Hospital Discharge'!$E$5,BS_HD_Dem!$D:$D,'5.2 C&amp;D Hospital Discharge'!$D93,BS_HD_Dem!$F:$F,'5.2 C&amp;D Hospital Discharge'!$E93))</f>
        <v/>
      </c>
      <c r="H93" s="122" t="str">
        <f>IF($E93="(blank)","",SUMIFS(BS_HD_Dem!Q:Q,BS_HD_Dem!$E:$E,'5.2 C&amp;D Hospital Discharge'!$E$5,BS_HD_Dem!$D:$D,'5.2 C&amp;D Hospital Discharge'!$D93,BS_HD_Dem!$F:$F,'5.2 C&amp;D Hospital Discharge'!$E93))</f>
        <v/>
      </c>
      <c r="I93" s="122" t="str">
        <f>IF($E93="(blank)","",SUMIFS(BS_HD_Dem!R:R,BS_HD_Dem!$E:$E,'5.2 C&amp;D Hospital Discharge'!$E$5,BS_HD_Dem!$D:$D,'5.2 C&amp;D Hospital Discharge'!$D93,BS_HD_Dem!$F:$F,'5.2 C&amp;D Hospital Discharge'!$E93))</f>
        <v/>
      </c>
      <c r="J93" s="126" t="str">
        <f>IF($E93="(blank)","",SUMIFS(BS_HD_Dem!S:S,BS_HD_Dem!$E:$E,'5.2 C&amp;D Hospital Discharge'!$E$5,BS_HD_Dem!$D:$D,'5.2 C&amp;D Hospital Discharge'!$D93,BS_HD_Dem!$F:$F,'5.2 C&amp;D Hospital Discharge'!$E93))</f>
        <v/>
      </c>
      <c r="K93" s="200"/>
      <c r="L93" s="200"/>
      <c r="M93" s="200"/>
      <c r="N93" s="200"/>
      <c r="O93" s="201"/>
      <c r="V93" s="21"/>
      <c r="W93" s="17" t="str">
        <f t="shared" si="9"/>
        <v>Yes</v>
      </c>
      <c r="X93" s="22"/>
      <c r="Y93" s="120">
        <f t="shared" si="25"/>
        <v>0</v>
      </c>
      <c r="Z93">
        <f t="shared" si="17"/>
        <v>0</v>
      </c>
      <c r="AA93">
        <f t="shared" si="18"/>
        <v>0</v>
      </c>
    </row>
    <row r="94" spans="1:27" ht="14.4" x14ac:dyDescent="0.3">
      <c r="C94">
        <f t="shared" si="24"/>
        <v>12</v>
      </c>
      <c r="D94" s="125" t="s">
        <v>684</v>
      </c>
      <c r="E94" s="146" t="str">
        <f>IF(C94="Total","Total",IFERROR(VLOOKUP($E$5&amp;$D94&amp;$C94,BS_HD_Dem!A:F,6,0),"(blank)"))</f>
        <v>(blank)</v>
      </c>
      <c r="F94" s="122" t="str">
        <f>IF($E94="(blank)","",SUMIFS(BS_HD_Dem!O:O,BS_HD_Dem!$E:$E,'5.2 C&amp;D Hospital Discharge'!$E$5,BS_HD_Dem!$D:$D,'5.2 C&amp;D Hospital Discharge'!$D94,BS_HD_Dem!$F:$F,'5.2 C&amp;D Hospital Discharge'!$E94))</f>
        <v/>
      </c>
      <c r="G94" s="122" t="str">
        <f>IF($E94="(blank)","",SUMIFS(BS_HD_Dem!P:P,BS_HD_Dem!$E:$E,'5.2 C&amp;D Hospital Discharge'!$E$5,BS_HD_Dem!$D:$D,'5.2 C&amp;D Hospital Discharge'!$D94,BS_HD_Dem!$F:$F,'5.2 C&amp;D Hospital Discharge'!$E94))</f>
        <v/>
      </c>
      <c r="H94" s="122" t="str">
        <f>IF($E94="(blank)","",SUMIFS(BS_HD_Dem!Q:Q,BS_HD_Dem!$E:$E,'5.2 C&amp;D Hospital Discharge'!$E$5,BS_HD_Dem!$D:$D,'5.2 C&amp;D Hospital Discharge'!$D94,BS_HD_Dem!$F:$F,'5.2 C&amp;D Hospital Discharge'!$E94))</f>
        <v/>
      </c>
      <c r="I94" s="122" t="str">
        <f>IF($E94="(blank)","",SUMIFS(BS_HD_Dem!R:R,BS_HD_Dem!$E:$E,'5.2 C&amp;D Hospital Discharge'!$E$5,BS_HD_Dem!$D:$D,'5.2 C&amp;D Hospital Discharge'!$D94,BS_HD_Dem!$F:$F,'5.2 C&amp;D Hospital Discharge'!$E94))</f>
        <v/>
      </c>
      <c r="J94" s="126" t="str">
        <f>IF($E94="(blank)","",SUMIFS(BS_HD_Dem!S:S,BS_HD_Dem!$E:$E,'5.2 C&amp;D Hospital Discharge'!$E$5,BS_HD_Dem!$D:$D,'5.2 C&amp;D Hospital Discharge'!$D94,BS_HD_Dem!$F:$F,'5.2 C&amp;D Hospital Discharge'!$E94))</f>
        <v/>
      </c>
      <c r="K94" s="200"/>
      <c r="L94" s="200"/>
      <c r="M94" s="200"/>
      <c r="N94" s="200"/>
      <c r="O94" s="201"/>
      <c r="V94" s="21"/>
      <c r="W94" s="17" t="str">
        <f t="shared" si="9"/>
        <v>Yes</v>
      </c>
      <c r="X94" s="22"/>
      <c r="Y94" s="120">
        <f t="shared" si="25"/>
        <v>0</v>
      </c>
      <c r="Z94">
        <f t="shared" si="17"/>
        <v>0</v>
      </c>
      <c r="AA94">
        <f t="shared" si="18"/>
        <v>0</v>
      </c>
    </row>
    <row r="95" spans="1:27" ht="14.4" x14ac:dyDescent="0.3">
      <c r="C95">
        <f t="shared" si="24"/>
        <v>13</v>
      </c>
      <c r="D95" s="125" t="s">
        <v>684</v>
      </c>
      <c r="E95" s="146" t="str">
        <f>IF(C95="Total","Total",IFERROR(VLOOKUP($E$5&amp;$D95&amp;$C95,BS_HD_Dem!A:F,6,0),"(blank)"))</f>
        <v>(blank)</v>
      </c>
      <c r="F95" s="122" t="str">
        <f>IF($E95="(blank)","",SUMIFS(BS_HD_Dem!O:O,BS_HD_Dem!$E:$E,'5.2 C&amp;D Hospital Discharge'!$E$5,BS_HD_Dem!$D:$D,'5.2 C&amp;D Hospital Discharge'!$D95,BS_HD_Dem!$F:$F,'5.2 C&amp;D Hospital Discharge'!$E95))</f>
        <v/>
      </c>
      <c r="G95" s="122" t="str">
        <f>IF($E95="(blank)","",SUMIFS(BS_HD_Dem!P:P,BS_HD_Dem!$E:$E,'5.2 C&amp;D Hospital Discharge'!$E$5,BS_HD_Dem!$D:$D,'5.2 C&amp;D Hospital Discharge'!$D95,BS_HD_Dem!$F:$F,'5.2 C&amp;D Hospital Discharge'!$E95))</f>
        <v/>
      </c>
      <c r="H95" s="122" t="str">
        <f>IF($E95="(blank)","",SUMIFS(BS_HD_Dem!Q:Q,BS_HD_Dem!$E:$E,'5.2 C&amp;D Hospital Discharge'!$E$5,BS_HD_Dem!$D:$D,'5.2 C&amp;D Hospital Discharge'!$D95,BS_HD_Dem!$F:$F,'5.2 C&amp;D Hospital Discharge'!$E95))</f>
        <v/>
      </c>
      <c r="I95" s="122" t="str">
        <f>IF($E95="(blank)","",SUMIFS(BS_HD_Dem!R:R,BS_HD_Dem!$E:$E,'5.2 C&amp;D Hospital Discharge'!$E$5,BS_HD_Dem!$D:$D,'5.2 C&amp;D Hospital Discharge'!$D95,BS_HD_Dem!$F:$F,'5.2 C&amp;D Hospital Discharge'!$E95))</f>
        <v/>
      </c>
      <c r="J95" s="126" t="str">
        <f>IF($E95="(blank)","",SUMIFS(BS_HD_Dem!S:S,BS_HD_Dem!$E:$E,'5.2 C&amp;D Hospital Discharge'!$E$5,BS_HD_Dem!$D:$D,'5.2 C&amp;D Hospital Discharge'!$D95,BS_HD_Dem!$F:$F,'5.2 C&amp;D Hospital Discharge'!$E95))</f>
        <v/>
      </c>
      <c r="K95" s="200"/>
      <c r="L95" s="200"/>
      <c r="M95" s="200"/>
      <c r="N95" s="200"/>
      <c r="O95" s="201"/>
      <c r="V95" s="21"/>
      <c r="W95" s="17" t="str">
        <f t="shared" si="9"/>
        <v>Yes</v>
      </c>
      <c r="X95" s="22"/>
      <c r="Y95" s="120">
        <f t="shared" si="25"/>
        <v>0</v>
      </c>
      <c r="Z95">
        <f t="shared" si="17"/>
        <v>0</v>
      </c>
      <c r="AA95">
        <f t="shared" si="18"/>
        <v>0</v>
      </c>
    </row>
    <row r="96" spans="1:27" ht="14.4" x14ac:dyDescent="0.3">
      <c r="C96">
        <f t="shared" si="24"/>
        <v>14</v>
      </c>
      <c r="D96" s="125" t="s">
        <v>684</v>
      </c>
      <c r="E96" s="146" t="str">
        <f>IF(C96="Total","Total",IFERROR(VLOOKUP($E$5&amp;$D96&amp;$C96,BS_HD_Dem!A:F,6,0),"(blank)"))</f>
        <v>(blank)</v>
      </c>
      <c r="F96" s="122" t="str">
        <f>IF($E96="(blank)","",SUMIFS(BS_HD_Dem!O:O,BS_HD_Dem!$E:$E,'5.2 C&amp;D Hospital Discharge'!$E$5,BS_HD_Dem!$D:$D,'5.2 C&amp;D Hospital Discharge'!$D96,BS_HD_Dem!$F:$F,'5.2 C&amp;D Hospital Discharge'!$E96))</f>
        <v/>
      </c>
      <c r="G96" s="122" t="str">
        <f>IF($E96="(blank)","",SUMIFS(BS_HD_Dem!P:P,BS_HD_Dem!$E:$E,'5.2 C&amp;D Hospital Discharge'!$E$5,BS_HD_Dem!$D:$D,'5.2 C&amp;D Hospital Discharge'!$D96,BS_HD_Dem!$F:$F,'5.2 C&amp;D Hospital Discharge'!$E96))</f>
        <v/>
      </c>
      <c r="H96" s="122" t="str">
        <f>IF($E96="(blank)","",SUMIFS(BS_HD_Dem!Q:Q,BS_HD_Dem!$E:$E,'5.2 C&amp;D Hospital Discharge'!$E$5,BS_HD_Dem!$D:$D,'5.2 C&amp;D Hospital Discharge'!$D96,BS_HD_Dem!$F:$F,'5.2 C&amp;D Hospital Discharge'!$E96))</f>
        <v/>
      </c>
      <c r="I96" s="122" t="str">
        <f>IF($E96="(blank)","",SUMIFS(BS_HD_Dem!R:R,BS_HD_Dem!$E:$E,'5.2 C&amp;D Hospital Discharge'!$E$5,BS_HD_Dem!$D:$D,'5.2 C&amp;D Hospital Discharge'!$D96,BS_HD_Dem!$F:$F,'5.2 C&amp;D Hospital Discharge'!$E96))</f>
        <v/>
      </c>
      <c r="J96" s="126" t="str">
        <f>IF($E96="(blank)","",SUMIFS(BS_HD_Dem!S:S,BS_HD_Dem!$E:$E,'5.2 C&amp;D Hospital Discharge'!$E$5,BS_HD_Dem!$D:$D,'5.2 C&amp;D Hospital Discharge'!$D96,BS_HD_Dem!$F:$F,'5.2 C&amp;D Hospital Discharge'!$E96))</f>
        <v/>
      </c>
      <c r="K96" s="200"/>
      <c r="L96" s="200"/>
      <c r="M96" s="200"/>
      <c r="N96" s="200"/>
      <c r="O96" s="201"/>
      <c r="V96" s="21"/>
      <c r="W96" s="17" t="str">
        <f t="shared" si="9"/>
        <v>Yes</v>
      </c>
      <c r="X96" s="22"/>
      <c r="Y96" s="120">
        <f t="shared" si="25"/>
        <v>0</v>
      </c>
      <c r="Z96">
        <f t="shared" ref="Z96:Z127" si="26">IF(AND(E96&lt;&gt;"Total",E96&lt;&gt;"(blank)"),1,0)</f>
        <v>0</v>
      </c>
      <c r="AA96">
        <f t="shared" ref="AA96:AA127" si="27">IF(AND(K96&lt;&gt;"",L96&lt;&gt;"",M96&lt;&gt;"",N96&lt;&gt;"",O96&lt;&gt;""),1,0)</f>
        <v>0</v>
      </c>
    </row>
    <row r="97" spans="1:27" ht="14.4" x14ac:dyDescent="0.3">
      <c r="C97">
        <f t="shared" si="24"/>
        <v>15</v>
      </c>
      <c r="D97" s="125" t="s">
        <v>684</v>
      </c>
      <c r="E97" s="146" t="str">
        <f>IF(C97="Total","Total",IFERROR(VLOOKUP($E$5&amp;$D97&amp;$C97,BS_HD_Dem!A:F,6,0),"(blank)"))</f>
        <v>(blank)</v>
      </c>
      <c r="F97" s="122" t="str">
        <f>IF($E97="(blank)","",SUMIFS(BS_HD_Dem!O:O,BS_HD_Dem!$E:$E,'5.2 C&amp;D Hospital Discharge'!$E$5,BS_HD_Dem!$D:$D,'5.2 C&amp;D Hospital Discharge'!$D97,BS_HD_Dem!$F:$F,'5.2 C&amp;D Hospital Discharge'!$E97))</f>
        <v/>
      </c>
      <c r="G97" s="122" t="str">
        <f>IF($E97="(blank)","",SUMIFS(BS_HD_Dem!P:P,BS_HD_Dem!$E:$E,'5.2 C&amp;D Hospital Discharge'!$E$5,BS_HD_Dem!$D:$D,'5.2 C&amp;D Hospital Discharge'!$D97,BS_HD_Dem!$F:$F,'5.2 C&amp;D Hospital Discharge'!$E97))</f>
        <v/>
      </c>
      <c r="H97" s="122" t="str">
        <f>IF($E97="(blank)","",SUMIFS(BS_HD_Dem!Q:Q,BS_HD_Dem!$E:$E,'5.2 C&amp;D Hospital Discharge'!$E$5,BS_HD_Dem!$D:$D,'5.2 C&amp;D Hospital Discharge'!$D97,BS_HD_Dem!$F:$F,'5.2 C&amp;D Hospital Discharge'!$E97))</f>
        <v/>
      </c>
      <c r="I97" s="122" t="str">
        <f>IF($E97="(blank)","",SUMIFS(BS_HD_Dem!R:R,BS_HD_Dem!$E:$E,'5.2 C&amp;D Hospital Discharge'!$E$5,BS_HD_Dem!$D:$D,'5.2 C&amp;D Hospital Discharge'!$D97,BS_HD_Dem!$F:$F,'5.2 C&amp;D Hospital Discharge'!$E97))</f>
        <v/>
      </c>
      <c r="J97" s="126" t="str">
        <f>IF($E97="(blank)","",SUMIFS(BS_HD_Dem!S:S,BS_HD_Dem!$E:$E,'5.2 C&amp;D Hospital Discharge'!$E$5,BS_HD_Dem!$D:$D,'5.2 C&amp;D Hospital Discharge'!$D97,BS_HD_Dem!$F:$F,'5.2 C&amp;D Hospital Discharge'!$E97))</f>
        <v/>
      </c>
      <c r="K97" s="200"/>
      <c r="L97" s="200"/>
      <c r="M97" s="200"/>
      <c r="N97" s="200"/>
      <c r="O97" s="201"/>
      <c r="V97" s="21"/>
      <c r="W97" s="17" t="str">
        <f t="shared" si="9"/>
        <v>Yes</v>
      </c>
      <c r="X97" s="22"/>
      <c r="Y97" s="120">
        <f t="shared" si="25"/>
        <v>0</v>
      </c>
      <c r="Z97">
        <f t="shared" si="26"/>
        <v>0</v>
      </c>
      <c r="AA97">
        <f t="shared" si="27"/>
        <v>0</v>
      </c>
    </row>
    <row r="98" spans="1:27" ht="14.4" x14ac:dyDescent="0.3">
      <c r="C98">
        <f t="shared" si="24"/>
        <v>16</v>
      </c>
      <c r="D98" s="125" t="s">
        <v>684</v>
      </c>
      <c r="E98" s="146" t="str">
        <f>IF(C98="Total","Total",IFERROR(VLOOKUP($E$5&amp;$D98&amp;$C98,BS_HD_Dem!A:F,6,0),"(blank)"))</f>
        <v>(blank)</v>
      </c>
      <c r="F98" s="122" t="str">
        <f>IF($E98="(blank)","",SUMIFS(BS_HD_Dem!O:O,BS_HD_Dem!$E:$E,'5.2 C&amp;D Hospital Discharge'!$E$5,BS_HD_Dem!$D:$D,'5.2 C&amp;D Hospital Discharge'!$D98,BS_HD_Dem!$F:$F,'5.2 C&amp;D Hospital Discharge'!$E98))</f>
        <v/>
      </c>
      <c r="G98" s="122" t="str">
        <f>IF($E98="(blank)","",SUMIFS(BS_HD_Dem!P:P,BS_HD_Dem!$E:$E,'5.2 C&amp;D Hospital Discharge'!$E$5,BS_HD_Dem!$D:$D,'5.2 C&amp;D Hospital Discharge'!$D98,BS_HD_Dem!$F:$F,'5.2 C&amp;D Hospital Discharge'!$E98))</f>
        <v/>
      </c>
      <c r="H98" s="122" t="str">
        <f>IF($E98="(blank)","",SUMIFS(BS_HD_Dem!Q:Q,BS_HD_Dem!$E:$E,'5.2 C&amp;D Hospital Discharge'!$E$5,BS_HD_Dem!$D:$D,'5.2 C&amp;D Hospital Discharge'!$D98,BS_HD_Dem!$F:$F,'5.2 C&amp;D Hospital Discharge'!$E98))</f>
        <v/>
      </c>
      <c r="I98" s="122" t="str">
        <f>IF($E98="(blank)","",SUMIFS(BS_HD_Dem!R:R,BS_HD_Dem!$E:$E,'5.2 C&amp;D Hospital Discharge'!$E$5,BS_HD_Dem!$D:$D,'5.2 C&amp;D Hospital Discharge'!$D98,BS_HD_Dem!$F:$F,'5.2 C&amp;D Hospital Discharge'!$E98))</f>
        <v/>
      </c>
      <c r="J98" s="126" t="str">
        <f>IF($E98="(blank)","",SUMIFS(BS_HD_Dem!S:S,BS_HD_Dem!$E:$E,'5.2 C&amp;D Hospital Discharge'!$E$5,BS_HD_Dem!$D:$D,'5.2 C&amp;D Hospital Discharge'!$D98,BS_HD_Dem!$F:$F,'5.2 C&amp;D Hospital Discharge'!$E98))</f>
        <v/>
      </c>
      <c r="K98" s="200"/>
      <c r="L98" s="200"/>
      <c r="M98" s="200"/>
      <c r="N98" s="200"/>
      <c r="O98" s="201"/>
      <c r="V98" s="21"/>
      <c r="W98" s="17" t="str">
        <f t="shared" ref="W98:W156" si="28">IF(AND(Z98=1,AA98=0),"No","Yes")</f>
        <v>Yes</v>
      </c>
      <c r="X98" s="22"/>
      <c r="Y98" s="120">
        <f t="shared" si="25"/>
        <v>0</v>
      </c>
      <c r="Z98">
        <f t="shared" si="26"/>
        <v>0</v>
      </c>
      <c r="AA98">
        <f t="shared" si="27"/>
        <v>0</v>
      </c>
    </row>
    <row r="99" spans="1:27" ht="14.4" x14ac:dyDescent="0.3">
      <c r="C99">
        <f t="shared" si="24"/>
        <v>17</v>
      </c>
      <c r="D99" s="125" t="s">
        <v>684</v>
      </c>
      <c r="E99" s="146" t="str">
        <f>IF(C99="Total","Total",IFERROR(VLOOKUP($E$5&amp;$D99&amp;$C99,BS_HD_Dem!A:F,6,0),"(blank)"))</f>
        <v>(blank)</v>
      </c>
      <c r="F99" s="122" t="str">
        <f>IF($E99="(blank)","",SUMIFS(BS_HD_Dem!O:O,BS_HD_Dem!$E:$E,'5.2 C&amp;D Hospital Discharge'!$E$5,BS_HD_Dem!$D:$D,'5.2 C&amp;D Hospital Discharge'!$D99,BS_HD_Dem!$F:$F,'5.2 C&amp;D Hospital Discharge'!$E99))</f>
        <v/>
      </c>
      <c r="G99" s="122" t="str">
        <f>IF($E99="(blank)","",SUMIFS(BS_HD_Dem!P:P,BS_HD_Dem!$E:$E,'5.2 C&amp;D Hospital Discharge'!$E$5,BS_HD_Dem!$D:$D,'5.2 C&amp;D Hospital Discharge'!$D99,BS_HD_Dem!$F:$F,'5.2 C&amp;D Hospital Discharge'!$E99))</f>
        <v/>
      </c>
      <c r="H99" s="122" t="str">
        <f>IF($E99="(blank)","",SUMIFS(BS_HD_Dem!Q:Q,BS_HD_Dem!$E:$E,'5.2 C&amp;D Hospital Discharge'!$E$5,BS_HD_Dem!$D:$D,'5.2 C&amp;D Hospital Discharge'!$D99,BS_HD_Dem!$F:$F,'5.2 C&amp;D Hospital Discharge'!$E99))</f>
        <v/>
      </c>
      <c r="I99" s="122" t="str">
        <f>IF($E99="(blank)","",SUMIFS(BS_HD_Dem!R:R,BS_HD_Dem!$E:$E,'5.2 C&amp;D Hospital Discharge'!$E$5,BS_HD_Dem!$D:$D,'5.2 C&amp;D Hospital Discharge'!$D99,BS_HD_Dem!$F:$F,'5.2 C&amp;D Hospital Discharge'!$E99))</f>
        <v/>
      </c>
      <c r="J99" s="126" t="str">
        <f>IF($E99="(blank)","",SUMIFS(BS_HD_Dem!S:S,BS_HD_Dem!$E:$E,'5.2 C&amp;D Hospital Discharge'!$E$5,BS_HD_Dem!$D:$D,'5.2 C&amp;D Hospital Discharge'!$D99,BS_HD_Dem!$F:$F,'5.2 C&amp;D Hospital Discharge'!$E99))</f>
        <v/>
      </c>
      <c r="K99" s="200"/>
      <c r="L99" s="200"/>
      <c r="M99" s="200"/>
      <c r="N99" s="200"/>
      <c r="O99" s="201"/>
      <c r="V99" s="21"/>
      <c r="W99" s="17" t="str">
        <f t="shared" si="28"/>
        <v>Yes</v>
      </c>
      <c r="X99" s="22"/>
      <c r="Y99" s="120">
        <f t="shared" si="25"/>
        <v>0</v>
      </c>
      <c r="Z99">
        <f t="shared" si="26"/>
        <v>0</v>
      </c>
      <c r="AA99">
        <f t="shared" si="27"/>
        <v>0</v>
      </c>
    </row>
    <row r="100" spans="1:27" ht="14.4" x14ac:dyDescent="0.3">
      <c r="C100">
        <f t="shared" si="24"/>
        <v>18</v>
      </c>
      <c r="D100" s="125" t="s">
        <v>684</v>
      </c>
      <c r="E100" s="146" t="str">
        <f>IF(C100="Total","Total",IFERROR(VLOOKUP($E$5&amp;$D100&amp;$C100,BS_HD_Dem!A:F,6,0),"(blank)"))</f>
        <v>(blank)</v>
      </c>
      <c r="F100" s="122" t="str">
        <f>IF($E100="(blank)","",SUMIFS(BS_HD_Dem!O:O,BS_HD_Dem!$E:$E,'5.2 C&amp;D Hospital Discharge'!$E$5,BS_HD_Dem!$D:$D,'5.2 C&amp;D Hospital Discharge'!$D100,BS_HD_Dem!$F:$F,'5.2 C&amp;D Hospital Discharge'!$E100))</f>
        <v/>
      </c>
      <c r="G100" s="122" t="str">
        <f>IF($E100="(blank)","",SUMIFS(BS_HD_Dem!P:P,BS_HD_Dem!$E:$E,'5.2 C&amp;D Hospital Discharge'!$E$5,BS_HD_Dem!$D:$D,'5.2 C&amp;D Hospital Discharge'!$D100,BS_HD_Dem!$F:$F,'5.2 C&amp;D Hospital Discharge'!$E100))</f>
        <v/>
      </c>
      <c r="H100" s="122" t="str">
        <f>IF($E100="(blank)","",SUMIFS(BS_HD_Dem!Q:Q,BS_HD_Dem!$E:$E,'5.2 C&amp;D Hospital Discharge'!$E$5,BS_HD_Dem!$D:$D,'5.2 C&amp;D Hospital Discharge'!$D100,BS_HD_Dem!$F:$F,'5.2 C&amp;D Hospital Discharge'!$E100))</f>
        <v/>
      </c>
      <c r="I100" s="122" t="str">
        <f>IF($E100="(blank)","",SUMIFS(BS_HD_Dem!R:R,BS_HD_Dem!$E:$E,'5.2 C&amp;D Hospital Discharge'!$E$5,BS_HD_Dem!$D:$D,'5.2 C&amp;D Hospital Discharge'!$D100,BS_HD_Dem!$F:$F,'5.2 C&amp;D Hospital Discharge'!$E100))</f>
        <v/>
      </c>
      <c r="J100" s="126" t="str">
        <f>IF($E100="(blank)","",SUMIFS(BS_HD_Dem!S:S,BS_HD_Dem!$E:$E,'5.2 C&amp;D Hospital Discharge'!$E$5,BS_HD_Dem!$D:$D,'5.2 C&amp;D Hospital Discharge'!$D100,BS_HD_Dem!$F:$F,'5.2 C&amp;D Hospital Discharge'!$E100))</f>
        <v/>
      </c>
      <c r="K100" s="200"/>
      <c r="L100" s="200"/>
      <c r="M100" s="200"/>
      <c r="N100" s="200"/>
      <c r="O100" s="201"/>
      <c r="V100" s="21"/>
      <c r="W100" s="17" t="str">
        <f t="shared" si="28"/>
        <v>Yes</v>
      </c>
      <c r="X100" s="22"/>
      <c r="Y100" s="120">
        <f t="shared" si="25"/>
        <v>0</v>
      </c>
      <c r="Z100">
        <f t="shared" si="26"/>
        <v>0</v>
      </c>
      <c r="AA100">
        <f t="shared" si="27"/>
        <v>0</v>
      </c>
    </row>
    <row r="101" spans="1:27" ht="14.4" x14ac:dyDescent="0.3">
      <c r="C101">
        <f t="shared" si="24"/>
        <v>19</v>
      </c>
      <c r="D101" s="125" t="s">
        <v>684</v>
      </c>
      <c r="E101" s="146" t="str">
        <f>IF(C101="Total","Total",IFERROR(VLOOKUP($E$5&amp;$D101&amp;$C101,BS_HD_Dem!A:F,6,0),"(blank)"))</f>
        <v>(blank)</v>
      </c>
      <c r="F101" s="122" t="str">
        <f>IF($E101="(blank)","",SUMIFS(BS_HD_Dem!O:O,BS_HD_Dem!$E:$E,'5.2 C&amp;D Hospital Discharge'!$E$5,BS_HD_Dem!$D:$D,'5.2 C&amp;D Hospital Discharge'!$D101,BS_HD_Dem!$F:$F,'5.2 C&amp;D Hospital Discharge'!$E101))</f>
        <v/>
      </c>
      <c r="G101" s="122" t="str">
        <f>IF($E101="(blank)","",SUMIFS(BS_HD_Dem!P:P,BS_HD_Dem!$E:$E,'5.2 C&amp;D Hospital Discharge'!$E$5,BS_HD_Dem!$D:$D,'5.2 C&amp;D Hospital Discharge'!$D101,BS_HD_Dem!$F:$F,'5.2 C&amp;D Hospital Discharge'!$E101))</f>
        <v/>
      </c>
      <c r="H101" s="122" t="str">
        <f>IF($E101="(blank)","",SUMIFS(BS_HD_Dem!Q:Q,BS_HD_Dem!$E:$E,'5.2 C&amp;D Hospital Discharge'!$E$5,BS_HD_Dem!$D:$D,'5.2 C&amp;D Hospital Discharge'!$D101,BS_HD_Dem!$F:$F,'5.2 C&amp;D Hospital Discharge'!$E101))</f>
        <v/>
      </c>
      <c r="I101" s="122" t="str">
        <f>IF($E101="(blank)","",SUMIFS(BS_HD_Dem!R:R,BS_HD_Dem!$E:$E,'5.2 C&amp;D Hospital Discharge'!$E$5,BS_HD_Dem!$D:$D,'5.2 C&amp;D Hospital Discharge'!$D101,BS_HD_Dem!$F:$F,'5.2 C&amp;D Hospital Discharge'!$E101))</f>
        <v/>
      </c>
      <c r="J101" s="126" t="str">
        <f>IF($E101="(blank)","",SUMIFS(BS_HD_Dem!S:S,BS_HD_Dem!$E:$E,'5.2 C&amp;D Hospital Discharge'!$E$5,BS_HD_Dem!$D:$D,'5.2 C&amp;D Hospital Discharge'!$D101,BS_HD_Dem!$F:$F,'5.2 C&amp;D Hospital Discharge'!$E101))</f>
        <v/>
      </c>
      <c r="K101" s="200"/>
      <c r="L101" s="200"/>
      <c r="M101" s="200"/>
      <c r="N101" s="200"/>
      <c r="O101" s="201"/>
      <c r="V101" s="21"/>
      <c r="W101" s="17" t="str">
        <f t="shared" si="28"/>
        <v>Yes</v>
      </c>
      <c r="X101" s="22"/>
      <c r="Y101" s="120">
        <f t="shared" si="25"/>
        <v>0</v>
      </c>
      <c r="Z101">
        <f t="shared" si="26"/>
        <v>0</v>
      </c>
      <c r="AA101">
        <f t="shared" si="27"/>
        <v>0</v>
      </c>
    </row>
    <row r="102" spans="1:27" ht="14.4" x14ac:dyDescent="0.3">
      <c r="C102">
        <f t="shared" si="24"/>
        <v>20</v>
      </c>
      <c r="D102" s="125" t="s">
        <v>684</v>
      </c>
      <c r="E102" s="146" t="str">
        <f>IF(C102="Total","Total",IFERROR(VLOOKUP($E$5&amp;$D102&amp;$C102,BS_HD_Dem!A:F,6,0),"(blank)"))</f>
        <v>(blank)</v>
      </c>
      <c r="F102" s="122" t="str">
        <f>IF($E102="(blank)","",SUMIFS(BS_HD_Dem!O:O,BS_HD_Dem!$E:$E,'5.2 C&amp;D Hospital Discharge'!$E$5,BS_HD_Dem!$D:$D,'5.2 C&amp;D Hospital Discharge'!$D102,BS_HD_Dem!$F:$F,'5.2 C&amp;D Hospital Discharge'!$E102))</f>
        <v/>
      </c>
      <c r="G102" s="122" t="str">
        <f>IF($E102="(blank)","",SUMIFS(BS_HD_Dem!P:P,BS_HD_Dem!$E:$E,'5.2 C&amp;D Hospital Discharge'!$E$5,BS_HD_Dem!$D:$D,'5.2 C&amp;D Hospital Discharge'!$D102,BS_HD_Dem!$F:$F,'5.2 C&amp;D Hospital Discharge'!$E102))</f>
        <v/>
      </c>
      <c r="H102" s="122" t="str">
        <f>IF($E102="(blank)","",SUMIFS(BS_HD_Dem!Q:Q,BS_HD_Dem!$E:$E,'5.2 C&amp;D Hospital Discharge'!$E$5,BS_HD_Dem!$D:$D,'5.2 C&amp;D Hospital Discharge'!$D102,BS_HD_Dem!$F:$F,'5.2 C&amp;D Hospital Discharge'!$E102))</f>
        <v/>
      </c>
      <c r="I102" s="122" t="str">
        <f>IF($E102="(blank)","",SUMIFS(BS_HD_Dem!R:R,BS_HD_Dem!$E:$E,'5.2 C&amp;D Hospital Discharge'!$E$5,BS_HD_Dem!$D:$D,'5.2 C&amp;D Hospital Discharge'!$D102,BS_HD_Dem!$F:$F,'5.2 C&amp;D Hospital Discharge'!$E102))</f>
        <v/>
      </c>
      <c r="J102" s="126" t="str">
        <f>IF($E102="(blank)","",SUMIFS(BS_HD_Dem!S:S,BS_HD_Dem!$E:$E,'5.2 C&amp;D Hospital Discharge'!$E$5,BS_HD_Dem!$D:$D,'5.2 C&amp;D Hospital Discharge'!$D102,BS_HD_Dem!$F:$F,'5.2 C&amp;D Hospital Discharge'!$E102))</f>
        <v/>
      </c>
      <c r="K102" s="200"/>
      <c r="L102" s="200"/>
      <c r="M102" s="200"/>
      <c r="N102" s="200"/>
      <c r="O102" s="201"/>
      <c r="V102" s="21"/>
      <c r="W102" s="17" t="str">
        <f t="shared" si="28"/>
        <v>Yes</v>
      </c>
      <c r="X102" s="22"/>
      <c r="Y102" s="120">
        <f t="shared" si="25"/>
        <v>0</v>
      </c>
      <c r="Z102">
        <f t="shared" si="26"/>
        <v>0</v>
      </c>
      <c r="AA102">
        <f t="shared" si="27"/>
        <v>0</v>
      </c>
    </row>
    <row r="103" spans="1:27" ht="14.4" x14ac:dyDescent="0.3">
      <c r="C103">
        <f t="shared" si="24"/>
        <v>21</v>
      </c>
      <c r="D103" s="125" t="s">
        <v>684</v>
      </c>
      <c r="E103" s="146" t="str">
        <f>IF(C103="Total","Total",IFERROR(VLOOKUP($E$5&amp;$D103&amp;$C103,BS_HD_Dem!A:F,6,0),"(blank)"))</f>
        <v>(blank)</v>
      </c>
      <c r="F103" s="122" t="str">
        <f>IF($E103="(blank)","",SUMIFS(BS_HD_Dem!O:O,BS_HD_Dem!$E:$E,'5.2 C&amp;D Hospital Discharge'!$E$5,BS_HD_Dem!$D:$D,'5.2 C&amp;D Hospital Discharge'!$D103,BS_HD_Dem!$F:$F,'5.2 C&amp;D Hospital Discharge'!$E103))</f>
        <v/>
      </c>
      <c r="G103" s="122" t="str">
        <f>IF($E103="(blank)","",SUMIFS(BS_HD_Dem!P:P,BS_HD_Dem!$E:$E,'5.2 C&amp;D Hospital Discharge'!$E$5,BS_HD_Dem!$D:$D,'5.2 C&amp;D Hospital Discharge'!$D103,BS_HD_Dem!$F:$F,'5.2 C&amp;D Hospital Discharge'!$E103))</f>
        <v/>
      </c>
      <c r="H103" s="122" t="str">
        <f>IF($E103="(blank)","",SUMIFS(BS_HD_Dem!Q:Q,BS_HD_Dem!$E:$E,'5.2 C&amp;D Hospital Discharge'!$E$5,BS_HD_Dem!$D:$D,'5.2 C&amp;D Hospital Discharge'!$D103,BS_HD_Dem!$F:$F,'5.2 C&amp;D Hospital Discharge'!$E103))</f>
        <v/>
      </c>
      <c r="I103" s="122" t="str">
        <f>IF($E103="(blank)","",SUMIFS(BS_HD_Dem!R:R,BS_HD_Dem!$E:$E,'5.2 C&amp;D Hospital Discharge'!$E$5,BS_HD_Dem!$D:$D,'5.2 C&amp;D Hospital Discharge'!$D103,BS_HD_Dem!$F:$F,'5.2 C&amp;D Hospital Discharge'!$E103))</f>
        <v/>
      </c>
      <c r="J103" s="126" t="str">
        <f>IF($E103="(blank)","",SUMIFS(BS_HD_Dem!S:S,BS_HD_Dem!$E:$E,'5.2 C&amp;D Hospital Discharge'!$E$5,BS_HD_Dem!$D:$D,'5.2 C&amp;D Hospital Discharge'!$D103,BS_HD_Dem!$F:$F,'5.2 C&amp;D Hospital Discharge'!$E103))</f>
        <v/>
      </c>
      <c r="K103" s="200"/>
      <c r="L103" s="200"/>
      <c r="M103" s="200"/>
      <c r="N103" s="200"/>
      <c r="O103" s="201"/>
      <c r="V103" s="21"/>
      <c r="W103" s="17" t="str">
        <f t="shared" si="28"/>
        <v>Yes</v>
      </c>
      <c r="X103" s="22"/>
      <c r="Y103" s="120">
        <f t="shared" si="25"/>
        <v>0</v>
      </c>
      <c r="Z103">
        <f t="shared" si="26"/>
        <v>0</v>
      </c>
      <c r="AA103">
        <f t="shared" si="27"/>
        <v>0</v>
      </c>
    </row>
    <row r="104" spans="1:27" ht="14.4" x14ac:dyDescent="0.3">
      <c r="C104">
        <f t="shared" si="24"/>
        <v>22</v>
      </c>
      <c r="D104" s="125" t="s">
        <v>684</v>
      </c>
      <c r="E104" s="146" t="str">
        <f>IF(C104="Total","Total",IFERROR(VLOOKUP($E$5&amp;$D104&amp;$C104,BS_HD_Dem!A:F,6,0),"(blank)"))</f>
        <v>(blank)</v>
      </c>
      <c r="F104" s="122" t="str">
        <f>IF($E104="(blank)","",SUMIFS(BS_HD_Dem!O:O,BS_HD_Dem!$E:$E,'5.2 C&amp;D Hospital Discharge'!$E$5,BS_HD_Dem!$D:$D,'5.2 C&amp;D Hospital Discharge'!$D104,BS_HD_Dem!$F:$F,'5.2 C&amp;D Hospital Discharge'!$E104))</f>
        <v/>
      </c>
      <c r="G104" s="122" t="str">
        <f>IF($E104="(blank)","",SUMIFS(BS_HD_Dem!P:P,BS_HD_Dem!$E:$E,'5.2 C&amp;D Hospital Discharge'!$E$5,BS_HD_Dem!$D:$D,'5.2 C&amp;D Hospital Discharge'!$D104,BS_HD_Dem!$F:$F,'5.2 C&amp;D Hospital Discharge'!$E104))</f>
        <v/>
      </c>
      <c r="H104" s="122" t="str">
        <f>IF($E104="(blank)","",SUMIFS(BS_HD_Dem!Q:Q,BS_HD_Dem!$E:$E,'5.2 C&amp;D Hospital Discharge'!$E$5,BS_HD_Dem!$D:$D,'5.2 C&amp;D Hospital Discharge'!$D104,BS_HD_Dem!$F:$F,'5.2 C&amp;D Hospital Discharge'!$E104))</f>
        <v/>
      </c>
      <c r="I104" s="122" t="str">
        <f>IF($E104="(blank)","",SUMIFS(BS_HD_Dem!R:R,BS_HD_Dem!$E:$E,'5.2 C&amp;D Hospital Discharge'!$E$5,BS_HD_Dem!$D:$D,'5.2 C&amp;D Hospital Discharge'!$D104,BS_HD_Dem!$F:$F,'5.2 C&amp;D Hospital Discharge'!$E104))</f>
        <v/>
      </c>
      <c r="J104" s="126" t="str">
        <f>IF($E104="(blank)","",SUMIFS(BS_HD_Dem!S:S,BS_HD_Dem!$E:$E,'5.2 C&amp;D Hospital Discharge'!$E$5,BS_HD_Dem!$D:$D,'5.2 C&amp;D Hospital Discharge'!$D104,BS_HD_Dem!$F:$F,'5.2 C&amp;D Hospital Discharge'!$E104))</f>
        <v/>
      </c>
      <c r="K104" s="200"/>
      <c r="L104" s="200"/>
      <c r="M104" s="200"/>
      <c r="N104" s="200"/>
      <c r="O104" s="201"/>
      <c r="V104" s="21"/>
      <c r="W104" s="17" t="str">
        <f t="shared" si="28"/>
        <v>Yes</v>
      </c>
      <c r="X104" s="22"/>
      <c r="Y104" s="120">
        <f t="shared" si="25"/>
        <v>0</v>
      </c>
      <c r="Z104">
        <f t="shared" si="26"/>
        <v>0</v>
      </c>
      <c r="AA104">
        <f t="shared" si="27"/>
        <v>0</v>
      </c>
    </row>
    <row r="105" spans="1:27" ht="14.4" x14ac:dyDescent="0.3">
      <c r="C105">
        <f t="shared" si="24"/>
        <v>23</v>
      </c>
      <c r="D105" s="125" t="s">
        <v>684</v>
      </c>
      <c r="E105" s="146" t="str">
        <f>IF(C105="Total","Total",IFERROR(VLOOKUP($E$5&amp;$D105&amp;$C105,BS_HD_Dem!A:F,6,0),"(blank)"))</f>
        <v>(blank)</v>
      </c>
      <c r="F105" s="122" t="str">
        <f>IF($E105="(blank)","",SUMIFS(BS_HD_Dem!O:O,BS_HD_Dem!$E:$E,'5.2 C&amp;D Hospital Discharge'!$E$5,BS_HD_Dem!$D:$D,'5.2 C&amp;D Hospital Discharge'!$D105,BS_HD_Dem!$F:$F,'5.2 C&amp;D Hospital Discharge'!$E105))</f>
        <v/>
      </c>
      <c r="G105" s="122" t="str">
        <f>IF($E105="(blank)","",SUMIFS(BS_HD_Dem!P:P,BS_HD_Dem!$E:$E,'5.2 C&amp;D Hospital Discharge'!$E$5,BS_HD_Dem!$D:$D,'5.2 C&amp;D Hospital Discharge'!$D105,BS_HD_Dem!$F:$F,'5.2 C&amp;D Hospital Discharge'!$E105))</f>
        <v/>
      </c>
      <c r="H105" s="122" t="str">
        <f>IF($E105="(blank)","",SUMIFS(BS_HD_Dem!Q:Q,BS_HD_Dem!$E:$E,'5.2 C&amp;D Hospital Discharge'!$E$5,BS_HD_Dem!$D:$D,'5.2 C&amp;D Hospital Discharge'!$D105,BS_HD_Dem!$F:$F,'5.2 C&amp;D Hospital Discharge'!$E105))</f>
        <v/>
      </c>
      <c r="I105" s="122" t="str">
        <f>IF($E105="(blank)","",SUMIFS(BS_HD_Dem!R:R,BS_HD_Dem!$E:$E,'5.2 C&amp;D Hospital Discharge'!$E$5,BS_HD_Dem!$D:$D,'5.2 C&amp;D Hospital Discharge'!$D105,BS_HD_Dem!$F:$F,'5.2 C&amp;D Hospital Discharge'!$E105))</f>
        <v/>
      </c>
      <c r="J105" s="126" t="str">
        <f>IF($E105="(blank)","",SUMIFS(BS_HD_Dem!S:S,BS_HD_Dem!$E:$E,'5.2 C&amp;D Hospital Discharge'!$E$5,BS_HD_Dem!$D:$D,'5.2 C&amp;D Hospital Discharge'!$D105,BS_HD_Dem!$F:$F,'5.2 C&amp;D Hospital Discharge'!$E105))</f>
        <v/>
      </c>
      <c r="K105" s="200"/>
      <c r="L105" s="200"/>
      <c r="M105" s="200"/>
      <c r="N105" s="200"/>
      <c r="O105" s="201"/>
      <c r="V105" s="21"/>
      <c r="W105" s="17" t="str">
        <f t="shared" si="28"/>
        <v>Yes</v>
      </c>
      <c r="X105" s="22"/>
      <c r="Y105" s="120">
        <f t="shared" si="25"/>
        <v>0</v>
      </c>
      <c r="Z105">
        <f t="shared" si="26"/>
        <v>0</v>
      </c>
      <c r="AA105">
        <f t="shared" si="27"/>
        <v>0</v>
      </c>
    </row>
    <row r="106" spans="1:27" ht="15" thickBot="1" x14ac:dyDescent="0.35">
      <c r="C106">
        <f t="shared" si="24"/>
        <v>24</v>
      </c>
      <c r="D106" s="127" t="s">
        <v>684</v>
      </c>
      <c r="E106" s="147" t="str">
        <f>IF(C106="Total","Total",IFERROR(VLOOKUP($E$5&amp;$D106&amp;$C106,BS_HD_Dem!A:F,6,0),"(blank)"))</f>
        <v>(blank)</v>
      </c>
      <c r="F106" s="122" t="str">
        <f>IF($E106="(blank)","",SUMIFS(BS_HD_Dem!O:O,BS_HD_Dem!$E:$E,'5.2 C&amp;D Hospital Discharge'!$E$5,BS_HD_Dem!$D:$D,'5.2 C&amp;D Hospital Discharge'!$D106,BS_HD_Dem!$F:$F,'5.2 C&amp;D Hospital Discharge'!$E106))</f>
        <v/>
      </c>
      <c r="G106" s="122" t="str">
        <f>IF($E106="(blank)","",SUMIFS(BS_HD_Dem!P:P,BS_HD_Dem!$E:$E,'5.2 C&amp;D Hospital Discharge'!$E$5,BS_HD_Dem!$D:$D,'5.2 C&amp;D Hospital Discharge'!$D106,BS_HD_Dem!$F:$F,'5.2 C&amp;D Hospital Discharge'!$E106))</f>
        <v/>
      </c>
      <c r="H106" s="122" t="str">
        <f>IF($E106="(blank)","",SUMIFS(BS_HD_Dem!Q:Q,BS_HD_Dem!$E:$E,'5.2 C&amp;D Hospital Discharge'!$E$5,BS_HD_Dem!$D:$D,'5.2 C&amp;D Hospital Discharge'!$D106,BS_HD_Dem!$F:$F,'5.2 C&amp;D Hospital Discharge'!$E106))</f>
        <v/>
      </c>
      <c r="I106" s="122" t="str">
        <f>IF($E106="(blank)","",SUMIFS(BS_HD_Dem!R:R,BS_HD_Dem!$E:$E,'5.2 C&amp;D Hospital Discharge'!$E$5,BS_HD_Dem!$D:$D,'5.2 C&amp;D Hospital Discharge'!$D106,BS_HD_Dem!$F:$F,'5.2 C&amp;D Hospital Discharge'!$E106))</f>
        <v/>
      </c>
      <c r="J106" s="126" t="str">
        <f>IF($E106="(blank)","",SUMIFS(BS_HD_Dem!S:S,BS_HD_Dem!$E:$E,'5.2 C&amp;D Hospital Discharge'!$E$5,BS_HD_Dem!$D:$D,'5.2 C&amp;D Hospital Discharge'!$D106,BS_HD_Dem!$F:$F,'5.2 C&amp;D Hospital Discharge'!$E106))</f>
        <v/>
      </c>
      <c r="K106" s="202"/>
      <c r="L106" s="202"/>
      <c r="M106" s="202"/>
      <c r="N106" s="202"/>
      <c r="O106" s="203"/>
      <c r="V106" s="21"/>
      <c r="W106" s="17" t="str">
        <f t="shared" si="28"/>
        <v>Yes</v>
      </c>
      <c r="X106" s="22"/>
      <c r="Y106" s="120">
        <f t="shared" si="25"/>
        <v>0</v>
      </c>
      <c r="Z106">
        <f t="shared" si="26"/>
        <v>0</v>
      </c>
      <c r="AA106">
        <f t="shared" si="27"/>
        <v>0</v>
      </c>
    </row>
    <row r="107" spans="1:27" ht="32.25" customHeight="1" x14ac:dyDescent="0.3">
      <c r="A107" s="9"/>
      <c r="B107" s="9"/>
      <c r="C107" s="9" t="s">
        <v>393</v>
      </c>
      <c r="D107" s="133" t="s">
        <v>685</v>
      </c>
      <c r="E107" s="145" t="str">
        <f>IF(C107="Total","Total",IFERROR(VLOOKUP($E$5&amp;$D107&amp;$C107,BS_HD_Dem!A:F,6,0),"(blank)"))</f>
        <v>Total</v>
      </c>
      <c r="F107" s="123">
        <f t="shared" ref="F107" si="29">SUM(F108:F131)</f>
        <v>24</v>
      </c>
      <c r="G107" s="123">
        <f t="shared" ref="G107" si="30">SUM(G108:G131)</f>
        <v>40</v>
      </c>
      <c r="H107" s="123">
        <f t="shared" ref="H107" si="31">SUM(H108:H131)</f>
        <v>49</v>
      </c>
      <c r="I107" s="123">
        <f t="shared" ref="I107" si="32">SUM(I108:I131)</f>
        <v>24</v>
      </c>
      <c r="J107" s="124">
        <f t="shared" ref="J107:O107" si="33">SUM(J108:J131)</f>
        <v>37</v>
      </c>
      <c r="K107" s="124">
        <f t="shared" si="33"/>
        <v>24</v>
      </c>
      <c r="L107" s="124">
        <f t="shared" si="33"/>
        <v>40</v>
      </c>
      <c r="M107" s="124">
        <f t="shared" si="33"/>
        <v>49</v>
      </c>
      <c r="N107" s="124">
        <f t="shared" si="33"/>
        <v>24</v>
      </c>
      <c r="O107" s="124">
        <f t="shared" si="33"/>
        <v>37</v>
      </c>
      <c r="P107" s="9"/>
      <c r="Q107" s="9"/>
      <c r="R107" s="9"/>
      <c r="S107" s="9"/>
      <c r="T107" s="9"/>
      <c r="U107" s="9"/>
      <c r="V107" s="21"/>
      <c r="W107" s="17" t="str">
        <f t="shared" si="28"/>
        <v>Yes</v>
      </c>
      <c r="X107" s="22"/>
      <c r="Y107" s="120">
        <f t="shared" si="25"/>
        <v>0</v>
      </c>
      <c r="Z107">
        <f t="shared" si="26"/>
        <v>0</v>
      </c>
      <c r="AA107">
        <f t="shared" si="27"/>
        <v>1</v>
      </c>
    </row>
    <row r="108" spans="1:27" ht="14.4" x14ac:dyDescent="0.3">
      <c r="C108">
        <v>1</v>
      </c>
      <c r="D108" s="125" t="s">
        <v>685</v>
      </c>
      <c r="E108" s="146" t="str">
        <f>IF(C108="Total","Total",IFERROR(VLOOKUP($E$5&amp;$D108&amp;$C108,BS_HD_Dem!A:F,6,0),"(blank)"))</f>
        <v>CHELSEA AND WESTMINSTER HOSPITAL NHS FOUNDATION TRUST</v>
      </c>
      <c r="F108" s="122">
        <f>IF($E108="(blank)","",SUMIFS(BS_HD_Dem!O:O,BS_HD_Dem!$E:$E,'5.2 C&amp;D Hospital Discharge'!$E$5,BS_HD_Dem!$D:$D,'5.2 C&amp;D Hospital Discharge'!$D108,BS_HD_Dem!$F:$F,'5.2 C&amp;D Hospital Discharge'!$E108))</f>
        <v>1</v>
      </c>
      <c r="G108" s="122">
        <f>IF($E108="(blank)","",SUMIFS(BS_HD_Dem!P:P,BS_HD_Dem!$E:$E,'5.2 C&amp;D Hospital Discharge'!$E$5,BS_HD_Dem!$D:$D,'5.2 C&amp;D Hospital Discharge'!$D108,BS_HD_Dem!$F:$F,'5.2 C&amp;D Hospital Discharge'!$E108))</f>
        <v>1</v>
      </c>
      <c r="H108" s="122">
        <f>IF($E108="(blank)","",SUMIFS(BS_HD_Dem!Q:Q,BS_HD_Dem!$E:$E,'5.2 C&amp;D Hospital Discharge'!$E$5,BS_HD_Dem!$D:$D,'5.2 C&amp;D Hospital Discharge'!$D108,BS_HD_Dem!$F:$F,'5.2 C&amp;D Hospital Discharge'!$E108))</f>
        <v>2</v>
      </c>
      <c r="I108" s="122">
        <f>IF($E108="(blank)","",SUMIFS(BS_HD_Dem!R:R,BS_HD_Dem!$E:$E,'5.2 C&amp;D Hospital Discharge'!$E$5,BS_HD_Dem!$D:$D,'5.2 C&amp;D Hospital Discharge'!$D108,BS_HD_Dem!$F:$F,'5.2 C&amp;D Hospital Discharge'!$E108))</f>
        <v>1</v>
      </c>
      <c r="J108" s="126">
        <f>IF($E108="(blank)","",SUMIFS(BS_HD_Dem!S:S,BS_HD_Dem!$E:$E,'5.2 C&amp;D Hospital Discharge'!$E$5,BS_HD_Dem!$D:$D,'5.2 C&amp;D Hospital Discharge'!$D108,BS_HD_Dem!$F:$F,'5.2 C&amp;D Hospital Discharge'!$E108))</f>
        <v>1</v>
      </c>
      <c r="K108" s="200">
        <v>1</v>
      </c>
      <c r="L108" s="200">
        <v>1</v>
      </c>
      <c r="M108" s="200">
        <v>2</v>
      </c>
      <c r="N108" s="200">
        <v>1</v>
      </c>
      <c r="O108" s="201">
        <v>1</v>
      </c>
      <c r="V108" s="21"/>
      <c r="W108" s="17" t="str">
        <f t="shared" si="28"/>
        <v>Yes</v>
      </c>
      <c r="X108" s="22"/>
      <c r="Y108" s="120">
        <f t="shared" si="25"/>
        <v>0</v>
      </c>
      <c r="Z108">
        <f t="shared" si="26"/>
        <v>1</v>
      </c>
      <c r="AA108">
        <f t="shared" si="27"/>
        <v>1</v>
      </c>
    </row>
    <row r="109" spans="1:27" ht="14.4" x14ac:dyDescent="0.3">
      <c r="C109">
        <f>C108+1</f>
        <v>2</v>
      </c>
      <c r="D109" s="125" t="s">
        <v>685</v>
      </c>
      <c r="E109" s="146" t="str">
        <f>IF(C109="Total","Total",IFERROR(VLOOKUP($E$5&amp;$D109&amp;$C109,BS_HD_Dem!A:F,6,0),"(blank)"))</f>
        <v>IMPERIAL COLLEGE HEALTHCARE NHS TRUST</v>
      </c>
      <c r="F109" s="122">
        <f>IF($E109="(blank)","",SUMIFS(BS_HD_Dem!O:O,BS_HD_Dem!$E:$E,'5.2 C&amp;D Hospital Discharge'!$E$5,BS_HD_Dem!$D:$D,'5.2 C&amp;D Hospital Discharge'!$D109,BS_HD_Dem!$F:$F,'5.2 C&amp;D Hospital Discharge'!$E109))</f>
        <v>2</v>
      </c>
      <c r="G109" s="122">
        <f>IF($E109="(blank)","",SUMIFS(BS_HD_Dem!P:P,BS_HD_Dem!$E:$E,'5.2 C&amp;D Hospital Discharge'!$E$5,BS_HD_Dem!$D:$D,'5.2 C&amp;D Hospital Discharge'!$D109,BS_HD_Dem!$F:$F,'5.2 C&amp;D Hospital Discharge'!$E109))</f>
        <v>3</v>
      </c>
      <c r="H109" s="122">
        <f>IF($E109="(blank)","",SUMIFS(BS_HD_Dem!Q:Q,BS_HD_Dem!$E:$E,'5.2 C&amp;D Hospital Discharge'!$E$5,BS_HD_Dem!$D:$D,'5.2 C&amp;D Hospital Discharge'!$D109,BS_HD_Dem!$F:$F,'5.2 C&amp;D Hospital Discharge'!$E109))</f>
        <v>4</v>
      </c>
      <c r="I109" s="122">
        <f>IF($E109="(blank)","",SUMIFS(BS_HD_Dem!R:R,BS_HD_Dem!$E:$E,'5.2 C&amp;D Hospital Discharge'!$E$5,BS_HD_Dem!$D:$D,'5.2 C&amp;D Hospital Discharge'!$D109,BS_HD_Dem!$F:$F,'5.2 C&amp;D Hospital Discharge'!$E109))</f>
        <v>2</v>
      </c>
      <c r="J109" s="126">
        <f>IF($E109="(blank)","",SUMIFS(BS_HD_Dem!S:S,BS_HD_Dem!$E:$E,'5.2 C&amp;D Hospital Discharge'!$E$5,BS_HD_Dem!$D:$D,'5.2 C&amp;D Hospital Discharge'!$D109,BS_HD_Dem!$F:$F,'5.2 C&amp;D Hospital Discharge'!$E109))</f>
        <v>3</v>
      </c>
      <c r="K109" s="200">
        <v>2</v>
      </c>
      <c r="L109" s="200">
        <v>3</v>
      </c>
      <c r="M109" s="200">
        <v>4</v>
      </c>
      <c r="N109" s="200">
        <v>2</v>
      </c>
      <c r="O109" s="201">
        <v>3</v>
      </c>
      <c r="V109" s="21"/>
      <c r="W109" s="17" t="str">
        <f t="shared" si="28"/>
        <v>Yes</v>
      </c>
      <c r="X109" s="22"/>
      <c r="Y109" s="120">
        <f t="shared" si="25"/>
        <v>0</v>
      </c>
      <c r="Z109">
        <f t="shared" si="26"/>
        <v>1</v>
      </c>
      <c r="AA109">
        <f t="shared" si="27"/>
        <v>1</v>
      </c>
    </row>
    <row r="110" spans="1:27" ht="14.4" x14ac:dyDescent="0.3">
      <c r="C110">
        <f t="shared" ref="C110:C131" si="34">C109+1</f>
        <v>3</v>
      </c>
      <c r="D110" s="125" t="s">
        <v>685</v>
      </c>
      <c r="E110" s="146" t="str">
        <f>IF(C110="Total","Total",IFERROR(VLOOKUP($E$5&amp;$D110&amp;$C110,BS_HD_Dem!A:F,6,0),"(blank)"))</f>
        <v>LONDON NORTH WEST UNIVERSITY HEALTHCARE NHS TRUST</v>
      </c>
      <c r="F110" s="122">
        <f>IF($E110="(blank)","",SUMIFS(BS_HD_Dem!O:O,BS_HD_Dem!$E:$E,'5.2 C&amp;D Hospital Discharge'!$E$5,BS_HD_Dem!$D:$D,'5.2 C&amp;D Hospital Discharge'!$D110,BS_HD_Dem!$F:$F,'5.2 C&amp;D Hospital Discharge'!$E110))</f>
        <v>7</v>
      </c>
      <c r="G110" s="122">
        <f>IF($E110="(blank)","",SUMIFS(BS_HD_Dem!P:P,BS_HD_Dem!$E:$E,'5.2 C&amp;D Hospital Discharge'!$E$5,BS_HD_Dem!$D:$D,'5.2 C&amp;D Hospital Discharge'!$D110,BS_HD_Dem!$F:$F,'5.2 C&amp;D Hospital Discharge'!$E110))</f>
        <v>7</v>
      </c>
      <c r="H110" s="122">
        <f>IF($E110="(blank)","",SUMIFS(BS_HD_Dem!Q:Q,BS_HD_Dem!$E:$E,'5.2 C&amp;D Hospital Discharge'!$E$5,BS_HD_Dem!$D:$D,'5.2 C&amp;D Hospital Discharge'!$D110,BS_HD_Dem!$F:$F,'5.2 C&amp;D Hospital Discharge'!$E110))</f>
        <v>8</v>
      </c>
      <c r="I110" s="122">
        <f>IF($E110="(blank)","",SUMIFS(BS_HD_Dem!R:R,BS_HD_Dem!$E:$E,'5.2 C&amp;D Hospital Discharge'!$E$5,BS_HD_Dem!$D:$D,'5.2 C&amp;D Hospital Discharge'!$D110,BS_HD_Dem!$F:$F,'5.2 C&amp;D Hospital Discharge'!$E110))</f>
        <v>6</v>
      </c>
      <c r="J110" s="126">
        <f>IF($E110="(blank)","",SUMIFS(BS_HD_Dem!S:S,BS_HD_Dem!$E:$E,'5.2 C&amp;D Hospital Discharge'!$E$5,BS_HD_Dem!$D:$D,'5.2 C&amp;D Hospital Discharge'!$D110,BS_HD_Dem!$F:$F,'5.2 C&amp;D Hospital Discharge'!$E110))</f>
        <v>7</v>
      </c>
      <c r="K110" s="200">
        <v>7</v>
      </c>
      <c r="L110" s="200">
        <v>7</v>
      </c>
      <c r="M110" s="200">
        <v>8</v>
      </c>
      <c r="N110" s="200">
        <v>6</v>
      </c>
      <c r="O110" s="201">
        <v>7</v>
      </c>
      <c r="V110" s="21"/>
      <c r="W110" s="17" t="str">
        <f t="shared" si="28"/>
        <v>Yes</v>
      </c>
      <c r="X110" s="22"/>
      <c r="Y110" s="120">
        <f t="shared" si="25"/>
        <v>0</v>
      </c>
      <c r="Z110">
        <f t="shared" si="26"/>
        <v>1</v>
      </c>
      <c r="AA110">
        <f t="shared" si="27"/>
        <v>1</v>
      </c>
    </row>
    <row r="111" spans="1:27" ht="14.4" x14ac:dyDescent="0.3">
      <c r="C111">
        <f t="shared" si="34"/>
        <v>4</v>
      </c>
      <c r="D111" s="125" t="s">
        <v>685</v>
      </c>
      <c r="E111" s="146" t="str">
        <f>IF(C111="Total","Total",IFERROR(VLOOKUP($E$5&amp;$D111&amp;$C111,BS_HD_Dem!A:F,6,0),"(blank)"))</f>
        <v>THE HILLINGDON HOSPITALS NHS FOUNDATION TRUST</v>
      </c>
      <c r="F111" s="122">
        <f>IF($E111="(blank)","",SUMIFS(BS_HD_Dem!O:O,BS_HD_Dem!$E:$E,'5.2 C&amp;D Hospital Discharge'!$E$5,BS_HD_Dem!$D:$D,'5.2 C&amp;D Hospital Discharge'!$D111,BS_HD_Dem!$F:$F,'5.2 C&amp;D Hospital Discharge'!$E111))</f>
        <v>14</v>
      </c>
      <c r="G111" s="122">
        <f>IF($E111="(blank)","",SUMIFS(BS_HD_Dem!P:P,BS_HD_Dem!$E:$E,'5.2 C&amp;D Hospital Discharge'!$E$5,BS_HD_Dem!$D:$D,'5.2 C&amp;D Hospital Discharge'!$D111,BS_HD_Dem!$F:$F,'5.2 C&amp;D Hospital Discharge'!$E111))</f>
        <v>29</v>
      </c>
      <c r="H111" s="122">
        <f>IF($E111="(blank)","",SUMIFS(BS_HD_Dem!Q:Q,BS_HD_Dem!$E:$E,'5.2 C&amp;D Hospital Discharge'!$E$5,BS_HD_Dem!$D:$D,'5.2 C&amp;D Hospital Discharge'!$D111,BS_HD_Dem!$F:$F,'5.2 C&amp;D Hospital Discharge'!$E111))</f>
        <v>35</v>
      </c>
      <c r="I111" s="122">
        <f>IF($E111="(blank)","",SUMIFS(BS_HD_Dem!R:R,BS_HD_Dem!$E:$E,'5.2 C&amp;D Hospital Discharge'!$E$5,BS_HD_Dem!$D:$D,'5.2 C&amp;D Hospital Discharge'!$D111,BS_HD_Dem!$F:$F,'5.2 C&amp;D Hospital Discharge'!$E111))</f>
        <v>15</v>
      </c>
      <c r="J111" s="126">
        <f>IF($E111="(blank)","",SUMIFS(BS_HD_Dem!S:S,BS_HD_Dem!$E:$E,'5.2 C&amp;D Hospital Discharge'!$E$5,BS_HD_Dem!$D:$D,'5.2 C&amp;D Hospital Discharge'!$D111,BS_HD_Dem!$F:$F,'5.2 C&amp;D Hospital Discharge'!$E111))</f>
        <v>26</v>
      </c>
      <c r="K111" s="200">
        <v>14</v>
      </c>
      <c r="L111" s="200">
        <v>29</v>
      </c>
      <c r="M111" s="200">
        <v>35</v>
      </c>
      <c r="N111" s="200">
        <v>15</v>
      </c>
      <c r="O111" s="201">
        <v>26</v>
      </c>
      <c r="V111" s="21"/>
      <c r="W111" s="17" t="str">
        <f t="shared" si="28"/>
        <v>Yes</v>
      </c>
      <c r="X111" s="22"/>
      <c r="Y111" s="120">
        <f t="shared" si="25"/>
        <v>0</v>
      </c>
      <c r="Z111">
        <f t="shared" si="26"/>
        <v>1</v>
      </c>
      <c r="AA111">
        <f t="shared" si="27"/>
        <v>1</v>
      </c>
    </row>
    <row r="112" spans="1:27" ht="14.4" x14ac:dyDescent="0.3">
      <c r="C112">
        <f t="shared" si="34"/>
        <v>5</v>
      </c>
      <c r="D112" s="125" t="s">
        <v>685</v>
      </c>
      <c r="E112" s="146" t="str">
        <f>IF(C112="Total","Total",IFERROR(VLOOKUP($E$5&amp;$D112&amp;$C112,BS_HD_Dem!A:F,6,0),"(blank)"))</f>
        <v>(blank)</v>
      </c>
      <c r="F112" s="122" t="str">
        <f>IF($E112="(blank)","",SUMIFS(BS_HD_Dem!O:O,BS_HD_Dem!$E:$E,'5.2 C&amp;D Hospital Discharge'!$E$5,BS_HD_Dem!$D:$D,'5.2 C&amp;D Hospital Discharge'!$D112,BS_HD_Dem!$F:$F,'5.2 C&amp;D Hospital Discharge'!$E112))</f>
        <v/>
      </c>
      <c r="G112" s="122" t="str">
        <f>IF($E112="(blank)","",SUMIFS(BS_HD_Dem!P:P,BS_HD_Dem!$E:$E,'5.2 C&amp;D Hospital Discharge'!$E$5,BS_HD_Dem!$D:$D,'5.2 C&amp;D Hospital Discharge'!$D112,BS_HD_Dem!$F:$F,'5.2 C&amp;D Hospital Discharge'!$E112))</f>
        <v/>
      </c>
      <c r="H112" s="122" t="str">
        <f>IF($E112="(blank)","",SUMIFS(BS_HD_Dem!Q:Q,BS_HD_Dem!$E:$E,'5.2 C&amp;D Hospital Discharge'!$E$5,BS_HD_Dem!$D:$D,'5.2 C&amp;D Hospital Discharge'!$D112,BS_HD_Dem!$F:$F,'5.2 C&amp;D Hospital Discharge'!$E112))</f>
        <v/>
      </c>
      <c r="I112" s="122" t="str">
        <f>IF($E112="(blank)","",SUMIFS(BS_HD_Dem!R:R,BS_HD_Dem!$E:$E,'5.2 C&amp;D Hospital Discharge'!$E$5,BS_HD_Dem!$D:$D,'5.2 C&amp;D Hospital Discharge'!$D112,BS_HD_Dem!$F:$F,'5.2 C&amp;D Hospital Discharge'!$E112))</f>
        <v/>
      </c>
      <c r="J112" s="126" t="str">
        <f>IF($E112="(blank)","",SUMIFS(BS_HD_Dem!S:S,BS_HD_Dem!$E:$E,'5.2 C&amp;D Hospital Discharge'!$E$5,BS_HD_Dem!$D:$D,'5.2 C&amp;D Hospital Discharge'!$D112,BS_HD_Dem!$F:$F,'5.2 C&amp;D Hospital Discharge'!$E112))</f>
        <v/>
      </c>
      <c r="K112" s="200"/>
      <c r="L112" s="200"/>
      <c r="M112" s="200"/>
      <c r="N112" s="200"/>
      <c r="O112" s="201"/>
      <c r="V112" s="21"/>
      <c r="W112" s="17" t="str">
        <f t="shared" si="28"/>
        <v>Yes</v>
      </c>
      <c r="X112" s="22"/>
      <c r="Y112" s="120">
        <f t="shared" si="25"/>
        <v>0</v>
      </c>
      <c r="Z112">
        <f t="shared" si="26"/>
        <v>0</v>
      </c>
      <c r="AA112">
        <f t="shared" si="27"/>
        <v>0</v>
      </c>
    </row>
    <row r="113" spans="3:27" ht="14.4" x14ac:dyDescent="0.3">
      <c r="C113">
        <f t="shared" si="34"/>
        <v>6</v>
      </c>
      <c r="D113" s="125" t="s">
        <v>685</v>
      </c>
      <c r="E113" s="146" t="str">
        <f>IF(C113="Total","Total",IFERROR(VLOOKUP($E$5&amp;$D113&amp;$C113,BS_HD_Dem!A:F,6,0),"(blank)"))</f>
        <v>(blank)</v>
      </c>
      <c r="F113" s="122" t="str">
        <f>IF($E113="(blank)","",SUMIFS(BS_HD_Dem!O:O,BS_HD_Dem!$E:$E,'5.2 C&amp;D Hospital Discharge'!$E$5,BS_HD_Dem!$D:$D,'5.2 C&amp;D Hospital Discharge'!$D113,BS_HD_Dem!$F:$F,'5.2 C&amp;D Hospital Discharge'!$E113))</f>
        <v/>
      </c>
      <c r="G113" s="122" t="str">
        <f>IF($E113="(blank)","",SUMIFS(BS_HD_Dem!P:P,BS_HD_Dem!$E:$E,'5.2 C&amp;D Hospital Discharge'!$E$5,BS_HD_Dem!$D:$D,'5.2 C&amp;D Hospital Discharge'!$D113,BS_HD_Dem!$F:$F,'5.2 C&amp;D Hospital Discharge'!$E113))</f>
        <v/>
      </c>
      <c r="H113" s="122" t="str">
        <f>IF($E113="(blank)","",SUMIFS(BS_HD_Dem!Q:Q,BS_HD_Dem!$E:$E,'5.2 C&amp;D Hospital Discharge'!$E$5,BS_HD_Dem!$D:$D,'5.2 C&amp;D Hospital Discharge'!$D113,BS_HD_Dem!$F:$F,'5.2 C&amp;D Hospital Discharge'!$E113))</f>
        <v/>
      </c>
      <c r="I113" s="122" t="str">
        <f>IF($E113="(blank)","",SUMIFS(BS_HD_Dem!R:R,BS_HD_Dem!$E:$E,'5.2 C&amp;D Hospital Discharge'!$E$5,BS_HD_Dem!$D:$D,'5.2 C&amp;D Hospital Discharge'!$D113,BS_HD_Dem!$F:$F,'5.2 C&amp;D Hospital Discharge'!$E113))</f>
        <v/>
      </c>
      <c r="J113" s="126" t="str">
        <f>IF($E113="(blank)","",SUMIFS(BS_HD_Dem!S:S,BS_HD_Dem!$E:$E,'5.2 C&amp;D Hospital Discharge'!$E$5,BS_HD_Dem!$D:$D,'5.2 C&amp;D Hospital Discharge'!$D113,BS_HD_Dem!$F:$F,'5.2 C&amp;D Hospital Discharge'!$E113))</f>
        <v/>
      </c>
      <c r="K113" s="200"/>
      <c r="L113" s="200"/>
      <c r="M113" s="200"/>
      <c r="N113" s="200"/>
      <c r="O113" s="201"/>
      <c r="V113" s="21"/>
      <c r="W113" s="17" t="str">
        <f t="shared" si="28"/>
        <v>Yes</v>
      </c>
      <c r="X113" s="22"/>
      <c r="Y113" s="120">
        <f t="shared" si="25"/>
        <v>0</v>
      </c>
      <c r="Z113">
        <f t="shared" si="26"/>
        <v>0</v>
      </c>
      <c r="AA113">
        <f t="shared" si="27"/>
        <v>0</v>
      </c>
    </row>
    <row r="114" spans="3:27" ht="14.4" x14ac:dyDescent="0.3">
      <c r="C114">
        <f t="shared" si="34"/>
        <v>7</v>
      </c>
      <c r="D114" s="125" t="s">
        <v>685</v>
      </c>
      <c r="E114" s="146" t="str">
        <f>IF(C114="Total","Total",IFERROR(VLOOKUP($E$5&amp;$D114&amp;$C114,BS_HD_Dem!A:F,6,0),"(blank)"))</f>
        <v>(blank)</v>
      </c>
      <c r="F114" s="122" t="str">
        <f>IF($E114="(blank)","",SUMIFS(BS_HD_Dem!O:O,BS_HD_Dem!$E:$E,'5.2 C&amp;D Hospital Discharge'!$E$5,BS_HD_Dem!$D:$D,'5.2 C&amp;D Hospital Discharge'!$D114,BS_HD_Dem!$F:$F,'5.2 C&amp;D Hospital Discharge'!$E114))</f>
        <v/>
      </c>
      <c r="G114" s="122" t="str">
        <f>IF($E114="(blank)","",SUMIFS(BS_HD_Dem!P:P,BS_HD_Dem!$E:$E,'5.2 C&amp;D Hospital Discharge'!$E$5,BS_HD_Dem!$D:$D,'5.2 C&amp;D Hospital Discharge'!$D114,BS_HD_Dem!$F:$F,'5.2 C&amp;D Hospital Discharge'!$E114))</f>
        <v/>
      </c>
      <c r="H114" s="122" t="str">
        <f>IF($E114="(blank)","",SUMIFS(BS_HD_Dem!Q:Q,BS_HD_Dem!$E:$E,'5.2 C&amp;D Hospital Discharge'!$E$5,BS_HD_Dem!$D:$D,'5.2 C&amp;D Hospital Discharge'!$D114,BS_HD_Dem!$F:$F,'5.2 C&amp;D Hospital Discharge'!$E114))</f>
        <v/>
      </c>
      <c r="I114" s="122" t="str">
        <f>IF($E114="(blank)","",SUMIFS(BS_HD_Dem!R:R,BS_HD_Dem!$E:$E,'5.2 C&amp;D Hospital Discharge'!$E$5,BS_HD_Dem!$D:$D,'5.2 C&amp;D Hospital Discharge'!$D114,BS_HD_Dem!$F:$F,'5.2 C&amp;D Hospital Discharge'!$E114))</f>
        <v/>
      </c>
      <c r="J114" s="126" t="str">
        <f>IF($E114="(blank)","",SUMIFS(BS_HD_Dem!S:S,BS_HD_Dem!$E:$E,'5.2 C&amp;D Hospital Discharge'!$E$5,BS_HD_Dem!$D:$D,'5.2 C&amp;D Hospital Discharge'!$D114,BS_HD_Dem!$F:$F,'5.2 C&amp;D Hospital Discharge'!$E114))</f>
        <v/>
      </c>
      <c r="K114" s="200"/>
      <c r="L114" s="200"/>
      <c r="M114" s="200"/>
      <c r="N114" s="200"/>
      <c r="O114" s="201"/>
      <c r="V114" s="21"/>
      <c r="W114" s="17" t="str">
        <f t="shared" si="28"/>
        <v>Yes</v>
      </c>
      <c r="X114" s="22"/>
      <c r="Y114" s="120">
        <f t="shared" si="25"/>
        <v>0</v>
      </c>
      <c r="Z114">
        <f t="shared" si="26"/>
        <v>0</v>
      </c>
      <c r="AA114">
        <f t="shared" si="27"/>
        <v>0</v>
      </c>
    </row>
    <row r="115" spans="3:27" ht="14.4" x14ac:dyDescent="0.3">
      <c r="C115">
        <f t="shared" si="34"/>
        <v>8</v>
      </c>
      <c r="D115" s="125" t="s">
        <v>685</v>
      </c>
      <c r="E115" s="146" t="str">
        <f>IF(C115="Total","Total",IFERROR(VLOOKUP($E$5&amp;$D115&amp;$C115,BS_HD_Dem!A:F,6,0),"(blank)"))</f>
        <v>(blank)</v>
      </c>
      <c r="F115" s="122" t="str">
        <f>IF($E115="(blank)","",SUMIFS(BS_HD_Dem!O:O,BS_HD_Dem!$E:$E,'5.2 C&amp;D Hospital Discharge'!$E$5,BS_HD_Dem!$D:$D,'5.2 C&amp;D Hospital Discharge'!$D115,BS_HD_Dem!$F:$F,'5.2 C&amp;D Hospital Discharge'!$E115))</f>
        <v/>
      </c>
      <c r="G115" s="122" t="str">
        <f>IF($E115="(blank)","",SUMIFS(BS_HD_Dem!P:P,BS_HD_Dem!$E:$E,'5.2 C&amp;D Hospital Discharge'!$E$5,BS_HD_Dem!$D:$D,'5.2 C&amp;D Hospital Discharge'!$D115,BS_HD_Dem!$F:$F,'5.2 C&amp;D Hospital Discharge'!$E115))</f>
        <v/>
      </c>
      <c r="H115" s="122" t="str">
        <f>IF($E115="(blank)","",SUMIFS(BS_HD_Dem!Q:Q,BS_HD_Dem!$E:$E,'5.2 C&amp;D Hospital Discharge'!$E$5,BS_HD_Dem!$D:$D,'5.2 C&amp;D Hospital Discharge'!$D115,BS_HD_Dem!$F:$F,'5.2 C&amp;D Hospital Discharge'!$E115))</f>
        <v/>
      </c>
      <c r="I115" s="122" t="str">
        <f>IF($E115="(blank)","",SUMIFS(BS_HD_Dem!R:R,BS_HD_Dem!$E:$E,'5.2 C&amp;D Hospital Discharge'!$E$5,BS_HD_Dem!$D:$D,'5.2 C&amp;D Hospital Discharge'!$D115,BS_HD_Dem!$F:$F,'5.2 C&amp;D Hospital Discharge'!$E115))</f>
        <v/>
      </c>
      <c r="J115" s="126" t="str">
        <f>IF($E115="(blank)","",SUMIFS(BS_HD_Dem!S:S,BS_HD_Dem!$E:$E,'5.2 C&amp;D Hospital Discharge'!$E$5,BS_HD_Dem!$D:$D,'5.2 C&amp;D Hospital Discharge'!$D115,BS_HD_Dem!$F:$F,'5.2 C&amp;D Hospital Discharge'!$E115))</f>
        <v/>
      </c>
      <c r="K115" s="200"/>
      <c r="L115" s="200"/>
      <c r="M115" s="200"/>
      <c r="N115" s="200"/>
      <c r="O115" s="201"/>
      <c r="V115" s="21"/>
      <c r="W115" s="17" t="str">
        <f t="shared" si="28"/>
        <v>Yes</v>
      </c>
      <c r="X115" s="22"/>
      <c r="Y115" s="120">
        <f t="shared" si="25"/>
        <v>0</v>
      </c>
      <c r="Z115">
        <f t="shared" si="26"/>
        <v>0</v>
      </c>
      <c r="AA115">
        <f t="shared" si="27"/>
        <v>0</v>
      </c>
    </row>
    <row r="116" spans="3:27" ht="14.4" x14ac:dyDescent="0.3">
      <c r="C116">
        <f t="shared" si="34"/>
        <v>9</v>
      </c>
      <c r="D116" s="125" t="s">
        <v>685</v>
      </c>
      <c r="E116" s="146" t="str">
        <f>IF(C116="Total","Total",IFERROR(VLOOKUP($E$5&amp;$D116&amp;$C116,BS_HD_Dem!A:F,6,0),"(blank)"))</f>
        <v>(blank)</v>
      </c>
      <c r="F116" s="122" t="str">
        <f>IF($E116="(blank)","",SUMIFS(BS_HD_Dem!O:O,BS_HD_Dem!$E:$E,'5.2 C&amp;D Hospital Discharge'!$E$5,BS_HD_Dem!$D:$D,'5.2 C&amp;D Hospital Discharge'!$D116,BS_HD_Dem!$F:$F,'5.2 C&amp;D Hospital Discharge'!$E116))</f>
        <v/>
      </c>
      <c r="G116" s="122" t="str">
        <f>IF($E116="(blank)","",SUMIFS(BS_HD_Dem!P:P,BS_HD_Dem!$E:$E,'5.2 C&amp;D Hospital Discharge'!$E$5,BS_HD_Dem!$D:$D,'5.2 C&amp;D Hospital Discharge'!$D116,BS_HD_Dem!$F:$F,'5.2 C&amp;D Hospital Discharge'!$E116))</f>
        <v/>
      </c>
      <c r="H116" s="122" t="str">
        <f>IF($E116="(blank)","",SUMIFS(BS_HD_Dem!Q:Q,BS_HD_Dem!$E:$E,'5.2 C&amp;D Hospital Discharge'!$E$5,BS_HD_Dem!$D:$D,'5.2 C&amp;D Hospital Discharge'!$D116,BS_HD_Dem!$F:$F,'5.2 C&amp;D Hospital Discharge'!$E116))</f>
        <v/>
      </c>
      <c r="I116" s="122" t="str">
        <f>IF($E116="(blank)","",SUMIFS(BS_HD_Dem!R:R,BS_HD_Dem!$E:$E,'5.2 C&amp;D Hospital Discharge'!$E$5,BS_HD_Dem!$D:$D,'5.2 C&amp;D Hospital Discharge'!$D116,BS_HD_Dem!$F:$F,'5.2 C&amp;D Hospital Discharge'!$E116))</f>
        <v/>
      </c>
      <c r="J116" s="126" t="str">
        <f>IF($E116="(blank)","",SUMIFS(BS_HD_Dem!S:S,BS_HD_Dem!$E:$E,'5.2 C&amp;D Hospital Discharge'!$E$5,BS_HD_Dem!$D:$D,'5.2 C&amp;D Hospital Discharge'!$D116,BS_HD_Dem!$F:$F,'5.2 C&amp;D Hospital Discharge'!$E116))</f>
        <v/>
      </c>
      <c r="K116" s="200"/>
      <c r="L116" s="200"/>
      <c r="M116" s="200"/>
      <c r="N116" s="200"/>
      <c r="O116" s="201"/>
      <c r="V116" s="21"/>
      <c r="W116" s="17" t="str">
        <f t="shared" si="28"/>
        <v>Yes</v>
      </c>
      <c r="X116" s="22"/>
      <c r="Y116" s="120">
        <f t="shared" si="25"/>
        <v>0</v>
      </c>
      <c r="Z116">
        <f t="shared" si="26"/>
        <v>0</v>
      </c>
      <c r="AA116">
        <f t="shared" si="27"/>
        <v>0</v>
      </c>
    </row>
    <row r="117" spans="3:27" ht="14.4" x14ac:dyDescent="0.3">
      <c r="C117">
        <f t="shared" si="34"/>
        <v>10</v>
      </c>
      <c r="D117" s="125" t="s">
        <v>685</v>
      </c>
      <c r="E117" s="146" t="str">
        <f>IF(C117="Total","Total",IFERROR(VLOOKUP($E$5&amp;$D117&amp;$C117,BS_HD_Dem!A:F,6,0),"(blank)"))</f>
        <v>(blank)</v>
      </c>
      <c r="F117" s="122" t="str">
        <f>IF($E117="(blank)","",SUMIFS(BS_HD_Dem!O:O,BS_HD_Dem!$E:$E,'5.2 C&amp;D Hospital Discharge'!$E$5,BS_HD_Dem!$D:$D,'5.2 C&amp;D Hospital Discharge'!$D117,BS_HD_Dem!$F:$F,'5.2 C&amp;D Hospital Discharge'!$E117))</f>
        <v/>
      </c>
      <c r="G117" s="122" t="str">
        <f>IF($E117="(blank)","",SUMIFS(BS_HD_Dem!P:P,BS_HD_Dem!$E:$E,'5.2 C&amp;D Hospital Discharge'!$E$5,BS_HD_Dem!$D:$D,'5.2 C&amp;D Hospital Discharge'!$D117,BS_HD_Dem!$F:$F,'5.2 C&amp;D Hospital Discharge'!$E117))</f>
        <v/>
      </c>
      <c r="H117" s="122" t="str">
        <f>IF($E117="(blank)","",SUMIFS(BS_HD_Dem!Q:Q,BS_HD_Dem!$E:$E,'5.2 C&amp;D Hospital Discharge'!$E$5,BS_HD_Dem!$D:$D,'5.2 C&amp;D Hospital Discharge'!$D117,BS_HD_Dem!$F:$F,'5.2 C&amp;D Hospital Discharge'!$E117))</f>
        <v/>
      </c>
      <c r="I117" s="122" t="str">
        <f>IF($E117="(blank)","",SUMIFS(BS_HD_Dem!R:R,BS_HD_Dem!$E:$E,'5.2 C&amp;D Hospital Discharge'!$E$5,BS_HD_Dem!$D:$D,'5.2 C&amp;D Hospital Discharge'!$D117,BS_HD_Dem!$F:$F,'5.2 C&amp;D Hospital Discharge'!$E117))</f>
        <v/>
      </c>
      <c r="J117" s="126" t="str">
        <f>IF($E117="(blank)","",SUMIFS(BS_HD_Dem!S:S,BS_HD_Dem!$E:$E,'5.2 C&amp;D Hospital Discharge'!$E$5,BS_HD_Dem!$D:$D,'5.2 C&amp;D Hospital Discharge'!$D117,BS_HD_Dem!$F:$F,'5.2 C&amp;D Hospital Discharge'!$E117))</f>
        <v/>
      </c>
      <c r="K117" s="200"/>
      <c r="L117" s="200"/>
      <c r="M117" s="200"/>
      <c r="N117" s="200"/>
      <c r="O117" s="201"/>
      <c r="V117" s="21"/>
      <c r="W117" s="17" t="str">
        <f t="shared" si="28"/>
        <v>Yes</v>
      </c>
      <c r="X117" s="22"/>
      <c r="Y117" s="120">
        <f t="shared" si="25"/>
        <v>0</v>
      </c>
      <c r="Z117">
        <f t="shared" si="26"/>
        <v>0</v>
      </c>
      <c r="AA117">
        <f t="shared" si="27"/>
        <v>0</v>
      </c>
    </row>
    <row r="118" spans="3:27" ht="14.4" x14ac:dyDescent="0.3">
      <c r="C118">
        <f t="shared" si="34"/>
        <v>11</v>
      </c>
      <c r="D118" s="125" t="s">
        <v>685</v>
      </c>
      <c r="E118" s="146" t="str">
        <f>IF(C118="Total","Total",IFERROR(VLOOKUP($E$5&amp;$D118&amp;$C118,BS_HD_Dem!A:F,6,0),"(blank)"))</f>
        <v>(blank)</v>
      </c>
      <c r="F118" s="122" t="str">
        <f>IF($E118="(blank)","",SUMIFS(BS_HD_Dem!O:O,BS_HD_Dem!$E:$E,'5.2 C&amp;D Hospital Discharge'!$E$5,BS_HD_Dem!$D:$D,'5.2 C&amp;D Hospital Discharge'!$D118,BS_HD_Dem!$F:$F,'5.2 C&amp;D Hospital Discharge'!$E118))</f>
        <v/>
      </c>
      <c r="G118" s="122" t="str">
        <f>IF($E118="(blank)","",SUMIFS(BS_HD_Dem!P:P,BS_HD_Dem!$E:$E,'5.2 C&amp;D Hospital Discharge'!$E$5,BS_HD_Dem!$D:$D,'5.2 C&amp;D Hospital Discharge'!$D118,BS_HD_Dem!$F:$F,'5.2 C&amp;D Hospital Discharge'!$E118))</f>
        <v/>
      </c>
      <c r="H118" s="122" t="str">
        <f>IF($E118="(blank)","",SUMIFS(BS_HD_Dem!Q:Q,BS_HD_Dem!$E:$E,'5.2 C&amp;D Hospital Discharge'!$E$5,BS_HD_Dem!$D:$D,'5.2 C&amp;D Hospital Discharge'!$D118,BS_HD_Dem!$F:$F,'5.2 C&amp;D Hospital Discharge'!$E118))</f>
        <v/>
      </c>
      <c r="I118" s="122" t="str">
        <f>IF($E118="(blank)","",SUMIFS(BS_HD_Dem!R:R,BS_HD_Dem!$E:$E,'5.2 C&amp;D Hospital Discharge'!$E$5,BS_HD_Dem!$D:$D,'5.2 C&amp;D Hospital Discharge'!$D118,BS_HD_Dem!$F:$F,'5.2 C&amp;D Hospital Discharge'!$E118))</f>
        <v/>
      </c>
      <c r="J118" s="126" t="str">
        <f>IF($E118="(blank)","",SUMIFS(BS_HD_Dem!S:S,BS_HD_Dem!$E:$E,'5.2 C&amp;D Hospital Discharge'!$E$5,BS_HD_Dem!$D:$D,'5.2 C&amp;D Hospital Discharge'!$D118,BS_HD_Dem!$F:$F,'5.2 C&amp;D Hospital Discharge'!$E118))</f>
        <v/>
      </c>
      <c r="K118" s="200"/>
      <c r="L118" s="200"/>
      <c r="M118" s="200"/>
      <c r="N118" s="200"/>
      <c r="O118" s="201"/>
      <c r="V118" s="21"/>
      <c r="W118" s="17" t="str">
        <f t="shared" si="28"/>
        <v>Yes</v>
      </c>
      <c r="X118" s="22"/>
      <c r="Y118" s="120">
        <f t="shared" si="25"/>
        <v>0</v>
      </c>
      <c r="Z118">
        <f t="shared" si="26"/>
        <v>0</v>
      </c>
      <c r="AA118">
        <f t="shared" si="27"/>
        <v>0</v>
      </c>
    </row>
    <row r="119" spans="3:27" ht="14.4" x14ac:dyDescent="0.3">
      <c r="C119">
        <f t="shared" si="34"/>
        <v>12</v>
      </c>
      <c r="D119" s="125" t="s">
        <v>685</v>
      </c>
      <c r="E119" s="146" t="str">
        <f>IF(C119="Total","Total",IFERROR(VLOOKUP($E$5&amp;$D119&amp;$C119,BS_HD_Dem!A:F,6,0),"(blank)"))</f>
        <v>(blank)</v>
      </c>
      <c r="F119" s="122" t="str">
        <f>IF($E119="(blank)","",SUMIFS(BS_HD_Dem!O:O,BS_HD_Dem!$E:$E,'5.2 C&amp;D Hospital Discharge'!$E$5,BS_HD_Dem!$D:$D,'5.2 C&amp;D Hospital Discharge'!$D119,BS_HD_Dem!$F:$F,'5.2 C&amp;D Hospital Discharge'!$E119))</f>
        <v/>
      </c>
      <c r="G119" s="122" t="str">
        <f>IF($E119="(blank)","",SUMIFS(BS_HD_Dem!P:P,BS_HD_Dem!$E:$E,'5.2 C&amp;D Hospital Discharge'!$E$5,BS_HD_Dem!$D:$D,'5.2 C&amp;D Hospital Discharge'!$D119,BS_HD_Dem!$F:$F,'5.2 C&amp;D Hospital Discharge'!$E119))</f>
        <v/>
      </c>
      <c r="H119" s="122" t="str">
        <f>IF($E119="(blank)","",SUMIFS(BS_HD_Dem!Q:Q,BS_HD_Dem!$E:$E,'5.2 C&amp;D Hospital Discharge'!$E$5,BS_HD_Dem!$D:$D,'5.2 C&amp;D Hospital Discharge'!$D119,BS_HD_Dem!$F:$F,'5.2 C&amp;D Hospital Discharge'!$E119))</f>
        <v/>
      </c>
      <c r="I119" s="122" t="str">
        <f>IF($E119="(blank)","",SUMIFS(BS_HD_Dem!R:R,BS_HD_Dem!$E:$E,'5.2 C&amp;D Hospital Discharge'!$E$5,BS_HD_Dem!$D:$D,'5.2 C&amp;D Hospital Discharge'!$D119,BS_HD_Dem!$F:$F,'5.2 C&amp;D Hospital Discharge'!$E119))</f>
        <v/>
      </c>
      <c r="J119" s="126" t="str">
        <f>IF($E119="(blank)","",SUMIFS(BS_HD_Dem!S:S,BS_HD_Dem!$E:$E,'5.2 C&amp;D Hospital Discharge'!$E$5,BS_HD_Dem!$D:$D,'5.2 C&amp;D Hospital Discharge'!$D119,BS_HD_Dem!$F:$F,'5.2 C&amp;D Hospital Discharge'!$E119))</f>
        <v/>
      </c>
      <c r="K119" s="200"/>
      <c r="L119" s="200"/>
      <c r="M119" s="200"/>
      <c r="N119" s="200"/>
      <c r="O119" s="201"/>
      <c r="V119" s="21"/>
      <c r="W119" s="17" t="str">
        <f t="shared" si="28"/>
        <v>Yes</v>
      </c>
      <c r="X119" s="22"/>
      <c r="Y119" s="120">
        <f t="shared" si="25"/>
        <v>0</v>
      </c>
      <c r="Z119">
        <f t="shared" si="26"/>
        <v>0</v>
      </c>
      <c r="AA119">
        <f t="shared" si="27"/>
        <v>0</v>
      </c>
    </row>
    <row r="120" spans="3:27" ht="14.4" x14ac:dyDescent="0.3">
      <c r="C120">
        <f t="shared" si="34"/>
        <v>13</v>
      </c>
      <c r="D120" s="125" t="s">
        <v>685</v>
      </c>
      <c r="E120" s="146" t="str">
        <f>IF(C120="Total","Total",IFERROR(VLOOKUP($E$5&amp;$D120&amp;$C120,BS_HD_Dem!A:F,6,0),"(blank)"))</f>
        <v>(blank)</v>
      </c>
      <c r="F120" s="122" t="str">
        <f>IF($E120="(blank)","",SUMIFS(BS_HD_Dem!O:O,BS_HD_Dem!$E:$E,'5.2 C&amp;D Hospital Discharge'!$E$5,BS_HD_Dem!$D:$D,'5.2 C&amp;D Hospital Discharge'!$D120,BS_HD_Dem!$F:$F,'5.2 C&amp;D Hospital Discharge'!$E120))</f>
        <v/>
      </c>
      <c r="G120" s="122" t="str">
        <f>IF($E120="(blank)","",SUMIFS(BS_HD_Dem!P:P,BS_HD_Dem!$E:$E,'5.2 C&amp;D Hospital Discharge'!$E$5,BS_HD_Dem!$D:$D,'5.2 C&amp;D Hospital Discharge'!$D120,BS_HD_Dem!$F:$F,'5.2 C&amp;D Hospital Discharge'!$E120))</f>
        <v/>
      </c>
      <c r="H120" s="122" t="str">
        <f>IF($E120="(blank)","",SUMIFS(BS_HD_Dem!Q:Q,BS_HD_Dem!$E:$E,'5.2 C&amp;D Hospital Discharge'!$E$5,BS_HD_Dem!$D:$D,'5.2 C&amp;D Hospital Discharge'!$D120,BS_HD_Dem!$F:$F,'5.2 C&amp;D Hospital Discharge'!$E120))</f>
        <v/>
      </c>
      <c r="I120" s="122" t="str">
        <f>IF($E120="(blank)","",SUMIFS(BS_HD_Dem!R:R,BS_HD_Dem!$E:$E,'5.2 C&amp;D Hospital Discharge'!$E$5,BS_HD_Dem!$D:$D,'5.2 C&amp;D Hospital Discharge'!$D120,BS_HD_Dem!$F:$F,'5.2 C&amp;D Hospital Discharge'!$E120))</f>
        <v/>
      </c>
      <c r="J120" s="126" t="str">
        <f>IF($E120="(blank)","",SUMIFS(BS_HD_Dem!S:S,BS_HD_Dem!$E:$E,'5.2 C&amp;D Hospital Discharge'!$E$5,BS_HD_Dem!$D:$D,'5.2 C&amp;D Hospital Discharge'!$D120,BS_HD_Dem!$F:$F,'5.2 C&amp;D Hospital Discharge'!$E120))</f>
        <v/>
      </c>
      <c r="K120" s="200"/>
      <c r="L120" s="200"/>
      <c r="M120" s="200"/>
      <c r="N120" s="200"/>
      <c r="O120" s="201"/>
      <c r="V120" s="21"/>
      <c r="W120" s="17" t="str">
        <f t="shared" si="28"/>
        <v>Yes</v>
      </c>
      <c r="X120" s="22"/>
      <c r="Y120" s="120">
        <f t="shared" si="25"/>
        <v>0</v>
      </c>
      <c r="Z120">
        <f t="shared" si="26"/>
        <v>0</v>
      </c>
      <c r="AA120">
        <f t="shared" si="27"/>
        <v>0</v>
      </c>
    </row>
    <row r="121" spans="3:27" ht="14.4" x14ac:dyDescent="0.3">
      <c r="C121">
        <f t="shared" si="34"/>
        <v>14</v>
      </c>
      <c r="D121" s="125" t="s">
        <v>685</v>
      </c>
      <c r="E121" s="146" t="str">
        <f>IF(C121="Total","Total",IFERROR(VLOOKUP($E$5&amp;$D121&amp;$C121,BS_HD_Dem!A:F,6,0),"(blank)"))</f>
        <v>(blank)</v>
      </c>
      <c r="F121" s="122" t="str">
        <f>IF($E121="(blank)","",SUMIFS(BS_HD_Dem!O:O,BS_HD_Dem!$E:$E,'5.2 C&amp;D Hospital Discharge'!$E$5,BS_HD_Dem!$D:$D,'5.2 C&amp;D Hospital Discharge'!$D121,BS_HD_Dem!$F:$F,'5.2 C&amp;D Hospital Discharge'!$E121))</f>
        <v/>
      </c>
      <c r="G121" s="122" t="str">
        <f>IF($E121="(blank)","",SUMIFS(BS_HD_Dem!P:P,BS_HD_Dem!$E:$E,'5.2 C&amp;D Hospital Discharge'!$E$5,BS_HD_Dem!$D:$D,'5.2 C&amp;D Hospital Discharge'!$D121,BS_HD_Dem!$F:$F,'5.2 C&amp;D Hospital Discharge'!$E121))</f>
        <v/>
      </c>
      <c r="H121" s="122" t="str">
        <f>IF($E121="(blank)","",SUMIFS(BS_HD_Dem!Q:Q,BS_HD_Dem!$E:$E,'5.2 C&amp;D Hospital Discharge'!$E$5,BS_HD_Dem!$D:$D,'5.2 C&amp;D Hospital Discharge'!$D121,BS_HD_Dem!$F:$F,'5.2 C&amp;D Hospital Discharge'!$E121))</f>
        <v/>
      </c>
      <c r="I121" s="122" t="str">
        <f>IF($E121="(blank)","",SUMIFS(BS_HD_Dem!R:R,BS_HD_Dem!$E:$E,'5.2 C&amp;D Hospital Discharge'!$E$5,BS_HD_Dem!$D:$D,'5.2 C&amp;D Hospital Discharge'!$D121,BS_HD_Dem!$F:$F,'5.2 C&amp;D Hospital Discharge'!$E121))</f>
        <v/>
      </c>
      <c r="J121" s="126" t="str">
        <f>IF($E121="(blank)","",SUMIFS(BS_HD_Dem!S:S,BS_HD_Dem!$E:$E,'5.2 C&amp;D Hospital Discharge'!$E$5,BS_HD_Dem!$D:$D,'5.2 C&amp;D Hospital Discharge'!$D121,BS_HD_Dem!$F:$F,'5.2 C&amp;D Hospital Discharge'!$E121))</f>
        <v/>
      </c>
      <c r="K121" s="200"/>
      <c r="L121" s="200"/>
      <c r="M121" s="200"/>
      <c r="N121" s="200"/>
      <c r="O121" s="201"/>
      <c r="V121" s="21"/>
      <c r="W121" s="17" t="str">
        <f t="shared" si="28"/>
        <v>Yes</v>
      </c>
      <c r="X121" s="22"/>
      <c r="Y121" s="120">
        <f t="shared" si="25"/>
        <v>0</v>
      </c>
      <c r="Z121">
        <f t="shared" si="26"/>
        <v>0</v>
      </c>
      <c r="AA121">
        <f t="shared" si="27"/>
        <v>0</v>
      </c>
    </row>
    <row r="122" spans="3:27" ht="14.4" x14ac:dyDescent="0.3">
      <c r="C122">
        <f t="shared" si="34"/>
        <v>15</v>
      </c>
      <c r="D122" s="125" t="s">
        <v>685</v>
      </c>
      <c r="E122" s="146" t="str">
        <f>IF(C122="Total","Total",IFERROR(VLOOKUP($E$5&amp;$D122&amp;$C122,BS_HD_Dem!A:F,6,0),"(blank)"))</f>
        <v>(blank)</v>
      </c>
      <c r="F122" s="122" t="str">
        <f>IF($E122="(blank)","",SUMIFS(BS_HD_Dem!O:O,BS_HD_Dem!$E:$E,'5.2 C&amp;D Hospital Discharge'!$E$5,BS_HD_Dem!$D:$D,'5.2 C&amp;D Hospital Discharge'!$D122,BS_HD_Dem!$F:$F,'5.2 C&amp;D Hospital Discharge'!$E122))</f>
        <v/>
      </c>
      <c r="G122" s="122" t="str">
        <f>IF($E122="(blank)","",SUMIFS(BS_HD_Dem!P:P,BS_HD_Dem!$E:$E,'5.2 C&amp;D Hospital Discharge'!$E$5,BS_HD_Dem!$D:$D,'5.2 C&amp;D Hospital Discharge'!$D122,BS_HD_Dem!$F:$F,'5.2 C&amp;D Hospital Discharge'!$E122))</f>
        <v/>
      </c>
      <c r="H122" s="122" t="str">
        <f>IF($E122="(blank)","",SUMIFS(BS_HD_Dem!Q:Q,BS_HD_Dem!$E:$E,'5.2 C&amp;D Hospital Discharge'!$E$5,BS_HD_Dem!$D:$D,'5.2 C&amp;D Hospital Discharge'!$D122,BS_HD_Dem!$F:$F,'5.2 C&amp;D Hospital Discharge'!$E122))</f>
        <v/>
      </c>
      <c r="I122" s="122" t="str">
        <f>IF($E122="(blank)","",SUMIFS(BS_HD_Dem!R:R,BS_HD_Dem!$E:$E,'5.2 C&amp;D Hospital Discharge'!$E$5,BS_HD_Dem!$D:$D,'5.2 C&amp;D Hospital Discharge'!$D122,BS_HD_Dem!$F:$F,'5.2 C&amp;D Hospital Discharge'!$E122))</f>
        <v/>
      </c>
      <c r="J122" s="126" t="str">
        <f>IF($E122="(blank)","",SUMIFS(BS_HD_Dem!S:S,BS_HD_Dem!$E:$E,'5.2 C&amp;D Hospital Discharge'!$E$5,BS_HD_Dem!$D:$D,'5.2 C&amp;D Hospital Discharge'!$D122,BS_HD_Dem!$F:$F,'5.2 C&amp;D Hospital Discharge'!$E122))</f>
        <v/>
      </c>
      <c r="K122" s="200"/>
      <c r="L122" s="200"/>
      <c r="M122" s="200"/>
      <c r="N122" s="200"/>
      <c r="O122" s="201"/>
      <c r="V122" s="21"/>
      <c r="W122" s="17" t="str">
        <f t="shared" si="28"/>
        <v>Yes</v>
      </c>
      <c r="X122" s="22"/>
      <c r="Y122" s="120">
        <f t="shared" si="25"/>
        <v>0</v>
      </c>
      <c r="Z122">
        <f t="shared" si="26"/>
        <v>0</v>
      </c>
      <c r="AA122">
        <f t="shared" si="27"/>
        <v>0</v>
      </c>
    </row>
    <row r="123" spans="3:27" ht="14.4" x14ac:dyDescent="0.3">
      <c r="C123">
        <f t="shared" si="34"/>
        <v>16</v>
      </c>
      <c r="D123" s="125" t="s">
        <v>685</v>
      </c>
      <c r="E123" s="146" t="str">
        <f>IF(C123="Total","Total",IFERROR(VLOOKUP($E$5&amp;$D123&amp;$C123,BS_HD_Dem!A:F,6,0),"(blank)"))</f>
        <v>(blank)</v>
      </c>
      <c r="F123" s="122" t="str">
        <f>IF($E123="(blank)","",SUMIFS(BS_HD_Dem!O:O,BS_HD_Dem!$E:$E,'5.2 C&amp;D Hospital Discharge'!$E$5,BS_HD_Dem!$D:$D,'5.2 C&amp;D Hospital Discharge'!$D123,BS_HD_Dem!$F:$F,'5.2 C&amp;D Hospital Discharge'!$E123))</f>
        <v/>
      </c>
      <c r="G123" s="122" t="str">
        <f>IF($E123="(blank)","",SUMIFS(BS_HD_Dem!P:P,BS_HD_Dem!$E:$E,'5.2 C&amp;D Hospital Discharge'!$E$5,BS_HD_Dem!$D:$D,'5.2 C&amp;D Hospital Discharge'!$D123,BS_HD_Dem!$F:$F,'5.2 C&amp;D Hospital Discharge'!$E123))</f>
        <v/>
      </c>
      <c r="H123" s="122" t="str">
        <f>IF($E123="(blank)","",SUMIFS(BS_HD_Dem!Q:Q,BS_HD_Dem!$E:$E,'5.2 C&amp;D Hospital Discharge'!$E$5,BS_HD_Dem!$D:$D,'5.2 C&amp;D Hospital Discharge'!$D123,BS_HD_Dem!$F:$F,'5.2 C&amp;D Hospital Discharge'!$E123))</f>
        <v/>
      </c>
      <c r="I123" s="122" t="str">
        <f>IF($E123="(blank)","",SUMIFS(BS_HD_Dem!R:R,BS_HD_Dem!$E:$E,'5.2 C&amp;D Hospital Discharge'!$E$5,BS_HD_Dem!$D:$D,'5.2 C&amp;D Hospital Discharge'!$D123,BS_HD_Dem!$F:$F,'5.2 C&amp;D Hospital Discharge'!$E123))</f>
        <v/>
      </c>
      <c r="J123" s="126" t="str">
        <f>IF($E123="(blank)","",SUMIFS(BS_HD_Dem!S:S,BS_HD_Dem!$E:$E,'5.2 C&amp;D Hospital Discharge'!$E$5,BS_HD_Dem!$D:$D,'5.2 C&amp;D Hospital Discharge'!$D123,BS_HD_Dem!$F:$F,'5.2 C&amp;D Hospital Discharge'!$E123))</f>
        <v/>
      </c>
      <c r="K123" s="200"/>
      <c r="L123" s="200"/>
      <c r="M123" s="200"/>
      <c r="N123" s="200"/>
      <c r="O123" s="201"/>
      <c r="V123" s="21"/>
      <c r="W123" s="17" t="str">
        <f t="shared" si="28"/>
        <v>Yes</v>
      </c>
      <c r="X123" s="22"/>
      <c r="Y123" s="120">
        <f t="shared" si="25"/>
        <v>0</v>
      </c>
      <c r="Z123">
        <f t="shared" si="26"/>
        <v>0</v>
      </c>
      <c r="AA123">
        <f t="shared" si="27"/>
        <v>0</v>
      </c>
    </row>
    <row r="124" spans="3:27" ht="14.4" x14ac:dyDescent="0.3">
      <c r="C124">
        <f t="shared" si="34"/>
        <v>17</v>
      </c>
      <c r="D124" s="125" t="s">
        <v>685</v>
      </c>
      <c r="E124" s="146" t="str">
        <f>IF(C124="Total","Total",IFERROR(VLOOKUP($E$5&amp;$D124&amp;$C124,BS_HD_Dem!A:F,6,0),"(blank)"))</f>
        <v>(blank)</v>
      </c>
      <c r="F124" s="122" t="str">
        <f>IF($E124="(blank)","",SUMIFS(BS_HD_Dem!O:O,BS_HD_Dem!$E:$E,'5.2 C&amp;D Hospital Discharge'!$E$5,BS_HD_Dem!$D:$D,'5.2 C&amp;D Hospital Discharge'!$D124,BS_HD_Dem!$F:$F,'5.2 C&amp;D Hospital Discharge'!$E124))</f>
        <v/>
      </c>
      <c r="G124" s="122" t="str">
        <f>IF($E124="(blank)","",SUMIFS(BS_HD_Dem!P:P,BS_HD_Dem!$E:$E,'5.2 C&amp;D Hospital Discharge'!$E$5,BS_HD_Dem!$D:$D,'5.2 C&amp;D Hospital Discharge'!$D124,BS_HD_Dem!$F:$F,'5.2 C&amp;D Hospital Discharge'!$E124))</f>
        <v/>
      </c>
      <c r="H124" s="122" t="str">
        <f>IF($E124="(blank)","",SUMIFS(BS_HD_Dem!Q:Q,BS_HD_Dem!$E:$E,'5.2 C&amp;D Hospital Discharge'!$E$5,BS_HD_Dem!$D:$D,'5.2 C&amp;D Hospital Discharge'!$D124,BS_HD_Dem!$F:$F,'5.2 C&amp;D Hospital Discharge'!$E124))</f>
        <v/>
      </c>
      <c r="I124" s="122" t="str">
        <f>IF($E124="(blank)","",SUMIFS(BS_HD_Dem!R:R,BS_HD_Dem!$E:$E,'5.2 C&amp;D Hospital Discharge'!$E$5,BS_HD_Dem!$D:$D,'5.2 C&amp;D Hospital Discharge'!$D124,BS_HD_Dem!$F:$F,'5.2 C&amp;D Hospital Discharge'!$E124))</f>
        <v/>
      </c>
      <c r="J124" s="126" t="str">
        <f>IF($E124="(blank)","",SUMIFS(BS_HD_Dem!S:S,BS_HD_Dem!$E:$E,'5.2 C&amp;D Hospital Discharge'!$E$5,BS_HD_Dem!$D:$D,'5.2 C&amp;D Hospital Discharge'!$D124,BS_HD_Dem!$F:$F,'5.2 C&amp;D Hospital Discharge'!$E124))</f>
        <v/>
      </c>
      <c r="K124" s="200"/>
      <c r="L124" s="200"/>
      <c r="M124" s="200"/>
      <c r="N124" s="200"/>
      <c r="O124" s="201"/>
      <c r="V124" s="21"/>
      <c r="W124" s="17" t="str">
        <f t="shared" si="28"/>
        <v>Yes</v>
      </c>
      <c r="X124" s="22"/>
      <c r="Y124" s="120">
        <f t="shared" si="25"/>
        <v>0</v>
      </c>
      <c r="Z124">
        <f t="shared" si="26"/>
        <v>0</v>
      </c>
      <c r="AA124">
        <f t="shared" si="27"/>
        <v>0</v>
      </c>
    </row>
    <row r="125" spans="3:27" ht="14.4" x14ac:dyDescent="0.3">
      <c r="C125">
        <f t="shared" si="34"/>
        <v>18</v>
      </c>
      <c r="D125" s="125" t="s">
        <v>685</v>
      </c>
      <c r="E125" s="146" t="str">
        <f>IF(C125="Total","Total",IFERROR(VLOOKUP($E$5&amp;$D125&amp;$C125,BS_HD_Dem!A:F,6,0),"(blank)"))</f>
        <v>(blank)</v>
      </c>
      <c r="F125" s="122" t="str">
        <f>IF($E125="(blank)","",SUMIFS(BS_HD_Dem!O:O,BS_HD_Dem!$E:$E,'5.2 C&amp;D Hospital Discharge'!$E$5,BS_HD_Dem!$D:$D,'5.2 C&amp;D Hospital Discharge'!$D125,BS_HD_Dem!$F:$F,'5.2 C&amp;D Hospital Discharge'!$E125))</f>
        <v/>
      </c>
      <c r="G125" s="122" t="str">
        <f>IF($E125="(blank)","",SUMIFS(BS_HD_Dem!P:P,BS_HD_Dem!$E:$E,'5.2 C&amp;D Hospital Discharge'!$E$5,BS_HD_Dem!$D:$D,'5.2 C&amp;D Hospital Discharge'!$D125,BS_HD_Dem!$F:$F,'5.2 C&amp;D Hospital Discharge'!$E125))</f>
        <v/>
      </c>
      <c r="H125" s="122" t="str">
        <f>IF($E125="(blank)","",SUMIFS(BS_HD_Dem!Q:Q,BS_HD_Dem!$E:$E,'5.2 C&amp;D Hospital Discharge'!$E$5,BS_HD_Dem!$D:$D,'5.2 C&amp;D Hospital Discharge'!$D125,BS_HD_Dem!$F:$F,'5.2 C&amp;D Hospital Discharge'!$E125))</f>
        <v/>
      </c>
      <c r="I125" s="122" t="str">
        <f>IF($E125="(blank)","",SUMIFS(BS_HD_Dem!R:R,BS_HD_Dem!$E:$E,'5.2 C&amp;D Hospital Discharge'!$E$5,BS_HD_Dem!$D:$D,'5.2 C&amp;D Hospital Discharge'!$D125,BS_HD_Dem!$F:$F,'5.2 C&amp;D Hospital Discharge'!$E125))</f>
        <v/>
      </c>
      <c r="J125" s="126" t="str">
        <f>IF($E125="(blank)","",SUMIFS(BS_HD_Dem!S:S,BS_HD_Dem!$E:$E,'5.2 C&amp;D Hospital Discharge'!$E$5,BS_HD_Dem!$D:$D,'5.2 C&amp;D Hospital Discharge'!$D125,BS_HD_Dem!$F:$F,'5.2 C&amp;D Hospital Discharge'!$E125))</f>
        <v/>
      </c>
      <c r="K125" s="200"/>
      <c r="L125" s="200"/>
      <c r="M125" s="200"/>
      <c r="N125" s="200"/>
      <c r="O125" s="201"/>
      <c r="V125" s="21"/>
      <c r="W125" s="17" t="str">
        <f t="shared" si="28"/>
        <v>Yes</v>
      </c>
      <c r="X125" s="22"/>
      <c r="Y125" s="120">
        <f t="shared" si="25"/>
        <v>0</v>
      </c>
      <c r="Z125">
        <f t="shared" si="26"/>
        <v>0</v>
      </c>
      <c r="AA125">
        <f t="shared" si="27"/>
        <v>0</v>
      </c>
    </row>
    <row r="126" spans="3:27" ht="14.4" x14ac:dyDescent="0.3">
      <c r="C126">
        <f t="shared" si="34"/>
        <v>19</v>
      </c>
      <c r="D126" s="125" t="s">
        <v>685</v>
      </c>
      <c r="E126" s="146" t="str">
        <f>IF(C126="Total","Total",IFERROR(VLOOKUP($E$5&amp;$D126&amp;$C126,BS_HD_Dem!A:F,6,0),"(blank)"))</f>
        <v>(blank)</v>
      </c>
      <c r="F126" s="122" t="str">
        <f>IF($E126="(blank)","",SUMIFS(BS_HD_Dem!O:O,BS_HD_Dem!$E:$E,'5.2 C&amp;D Hospital Discharge'!$E$5,BS_HD_Dem!$D:$D,'5.2 C&amp;D Hospital Discharge'!$D126,BS_HD_Dem!$F:$F,'5.2 C&amp;D Hospital Discharge'!$E126))</f>
        <v/>
      </c>
      <c r="G126" s="122" t="str">
        <f>IF($E126="(blank)","",SUMIFS(BS_HD_Dem!P:P,BS_HD_Dem!$E:$E,'5.2 C&amp;D Hospital Discharge'!$E$5,BS_HD_Dem!$D:$D,'5.2 C&amp;D Hospital Discharge'!$D126,BS_HD_Dem!$F:$F,'5.2 C&amp;D Hospital Discharge'!$E126))</f>
        <v/>
      </c>
      <c r="H126" s="122" t="str">
        <f>IF($E126="(blank)","",SUMIFS(BS_HD_Dem!Q:Q,BS_HD_Dem!$E:$E,'5.2 C&amp;D Hospital Discharge'!$E$5,BS_HD_Dem!$D:$D,'5.2 C&amp;D Hospital Discharge'!$D126,BS_HD_Dem!$F:$F,'5.2 C&amp;D Hospital Discharge'!$E126))</f>
        <v/>
      </c>
      <c r="I126" s="122" t="str">
        <f>IF($E126="(blank)","",SUMIFS(BS_HD_Dem!R:R,BS_HD_Dem!$E:$E,'5.2 C&amp;D Hospital Discharge'!$E$5,BS_HD_Dem!$D:$D,'5.2 C&amp;D Hospital Discharge'!$D126,BS_HD_Dem!$F:$F,'5.2 C&amp;D Hospital Discharge'!$E126))</f>
        <v/>
      </c>
      <c r="J126" s="126" t="str">
        <f>IF($E126="(blank)","",SUMIFS(BS_HD_Dem!S:S,BS_HD_Dem!$E:$E,'5.2 C&amp;D Hospital Discharge'!$E$5,BS_HD_Dem!$D:$D,'5.2 C&amp;D Hospital Discharge'!$D126,BS_HD_Dem!$F:$F,'5.2 C&amp;D Hospital Discharge'!$E126))</f>
        <v/>
      </c>
      <c r="K126" s="200"/>
      <c r="L126" s="200"/>
      <c r="M126" s="200"/>
      <c r="N126" s="200"/>
      <c r="O126" s="201"/>
      <c r="V126" s="21"/>
      <c r="W126" s="17" t="str">
        <f t="shared" si="28"/>
        <v>Yes</v>
      </c>
      <c r="X126" s="22"/>
      <c r="Y126" s="120">
        <f t="shared" si="25"/>
        <v>0</v>
      </c>
      <c r="Z126">
        <f t="shared" si="26"/>
        <v>0</v>
      </c>
      <c r="AA126">
        <f t="shared" si="27"/>
        <v>0</v>
      </c>
    </row>
    <row r="127" spans="3:27" ht="14.4" x14ac:dyDescent="0.3">
      <c r="C127">
        <f t="shared" si="34"/>
        <v>20</v>
      </c>
      <c r="D127" s="125" t="s">
        <v>685</v>
      </c>
      <c r="E127" s="146" t="str">
        <f>IF(C127="Total","Total",IFERROR(VLOOKUP($E$5&amp;$D127&amp;$C127,BS_HD_Dem!A:F,6,0),"(blank)"))</f>
        <v>(blank)</v>
      </c>
      <c r="F127" s="122" t="str">
        <f>IF($E127="(blank)","",SUMIFS(BS_HD_Dem!O:O,BS_HD_Dem!$E:$E,'5.2 C&amp;D Hospital Discharge'!$E$5,BS_HD_Dem!$D:$D,'5.2 C&amp;D Hospital Discharge'!$D127,BS_HD_Dem!$F:$F,'5.2 C&amp;D Hospital Discharge'!$E127))</f>
        <v/>
      </c>
      <c r="G127" s="122" t="str">
        <f>IF($E127="(blank)","",SUMIFS(BS_HD_Dem!P:P,BS_HD_Dem!$E:$E,'5.2 C&amp;D Hospital Discharge'!$E$5,BS_HD_Dem!$D:$D,'5.2 C&amp;D Hospital Discharge'!$D127,BS_HD_Dem!$F:$F,'5.2 C&amp;D Hospital Discharge'!$E127))</f>
        <v/>
      </c>
      <c r="H127" s="122" t="str">
        <f>IF($E127="(blank)","",SUMIFS(BS_HD_Dem!Q:Q,BS_HD_Dem!$E:$E,'5.2 C&amp;D Hospital Discharge'!$E$5,BS_HD_Dem!$D:$D,'5.2 C&amp;D Hospital Discharge'!$D127,BS_HD_Dem!$F:$F,'5.2 C&amp;D Hospital Discharge'!$E127))</f>
        <v/>
      </c>
      <c r="I127" s="122" t="str">
        <f>IF($E127="(blank)","",SUMIFS(BS_HD_Dem!R:R,BS_HD_Dem!$E:$E,'5.2 C&amp;D Hospital Discharge'!$E$5,BS_HD_Dem!$D:$D,'5.2 C&amp;D Hospital Discharge'!$D127,BS_HD_Dem!$F:$F,'5.2 C&amp;D Hospital Discharge'!$E127))</f>
        <v/>
      </c>
      <c r="J127" s="126" t="str">
        <f>IF($E127="(blank)","",SUMIFS(BS_HD_Dem!S:S,BS_HD_Dem!$E:$E,'5.2 C&amp;D Hospital Discharge'!$E$5,BS_HD_Dem!$D:$D,'5.2 C&amp;D Hospital Discharge'!$D127,BS_HD_Dem!$F:$F,'5.2 C&amp;D Hospital Discharge'!$E127))</f>
        <v/>
      </c>
      <c r="K127" s="200"/>
      <c r="L127" s="200"/>
      <c r="M127" s="200"/>
      <c r="N127" s="200"/>
      <c r="O127" s="201"/>
      <c r="V127" s="21"/>
      <c r="W127" s="17" t="str">
        <f t="shared" si="28"/>
        <v>Yes</v>
      </c>
      <c r="X127" s="22"/>
      <c r="Y127" s="120">
        <f t="shared" si="25"/>
        <v>0</v>
      </c>
      <c r="Z127">
        <f t="shared" si="26"/>
        <v>0</v>
      </c>
      <c r="AA127">
        <f t="shared" si="27"/>
        <v>0</v>
      </c>
    </row>
    <row r="128" spans="3:27" ht="14.4" x14ac:dyDescent="0.3">
      <c r="C128">
        <f t="shared" si="34"/>
        <v>21</v>
      </c>
      <c r="D128" s="125" t="s">
        <v>685</v>
      </c>
      <c r="E128" s="146" t="str">
        <f>IF(C128="Total","Total",IFERROR(VLOOKUP($E$5&amp;$D128&amp;$C128,BS_HD_Dem!A:F,6,0),"(blank)"))</f>
        <v>(blank)</v>
      </c>
      <c r="F128" s="122" t="str">
        <f>IF($E128="(blank)","",SUMIFS(BS_HD_Dem!O:O,BS_HD_Dem!$E:$E,'5.2 C&amp;D Hospital Discharge'!$E$5,BS_HD_Dem!$D:$D,'5.2 C&amp;D Hospital Discharge'!$D128,BS_HD_Dem!$F:$F,'5.2 C&amp;D Hospital Discharge'!$E128))</f>
        <v/>
      </c>
      <c r="G128" s="122" t="str">
        <f>IF($E128="(blank)","",SUMIFS(BS_HD_Dem!P:P,BS_HD_Dem!$E:$E,'5.2 C&amp;D Hospital Discharge'!$E$5,BS_HD_Dem!$D:$D,'5.2 C&amp;D Hospital Discharge'!$D128,BS_HD_Dem!$F:$F,'5.2 C&amp;D Hospital Discharge'!$E128))</f>
        <v/>
      </c>
      <c r="H128" s="122" t="str">
        <f>IF($E128="(blank)","",SUMIFS(BS_HD_Dem!Q:Q,BS_HD_Dem!$E:$E,'5.2 C&amp;D Hospital Discharge'!$E$5,BS_HD_Dem!$D:$D,'5.2 C&amp;D Hospital Discharge'!$D128,BS_HD_Dem!$F:$F,'5.2 C&amp;D Hospital Discharge'!$E128))</f>
        <v/>
      </c>
      <c r="I128" s="122" t="str">
        <f>IF($E128="(blank)","",SUMIFS(BS_HD_Dem!R:R,BS_HD_Dem!$E:$E,'5.2 C&amp;D Hospital Discharge'!$E$5,BS_HD_Dem!$D:$D,'5.2 C&amp;D Hospital Discharge'!$D128,BS_HD_Dem!$F:$F,'5.2 C&amp;D Hospital Discharge'!$E128))</f>
        <v/>
      </c>
      <c r="J128" s="126" t="str">
        <f>IF($E128="(blank)","",SUMIFS(BS_HD_Dem!S:S,BS_HD_Dem!$E:$E,'5.2 C&amp;D Hospital Discharge'!$E$5,BS_HD_Dem!$D:$D,'5.2 C&amp;D Hospital Discharge'!$D128,BS_HD_Dem!$F:$F,'5.2 C&amp;D Hospital Discharge'!$E128))</f>
        <v/>
      </c>
      <c r="K128" s="200"/>
      <c r="L128" s="200"/>
      <c r="M128" s="200"/>
      <c r="N128" s="200"/>
      <c r="O128" s="201"/>
      <c r="V128" s="21"/>
      <c r="W128" s="17" t="str">
        <f t="shared" si="28"/>
        <v>Yes</v>
      </c>
      <c r="X128" s="22"/>
      <c r="Y128" s="120">
        <f t="shared" si="25"/>
        <v>0</v>
      </c>
      <c r="Z128">
        <f t="shared" ref="Z128:Z156" si="35">IF(AND(E128&lt;&gt;"Total",E128&lt;&gt;"(blank)"),1,0)</f>
        <v>0</v>
      </c>
      <c r="AA128">
        <f t="shared" ref="AA128:AA156" si="36">IF(AND(K128&lt;&gt;"",L128&lt;&gt;"",M128&lt;&gt;"",N128&lt;&gt;"",O128&lt;&gt;""),1,0)</f>
        <v>0</v>
      </c>
    </row>
    <row r="129" spans="1:27" ht="14.4" x14ac:dyDescent="0.3">
      <c r="C129">
        <f t="shared" si="34"/>
        <v>22</v>
      </c>
      <c r="D129" s="125" t="s">
        <v>685</v>
      </c>
      <c r="E129" s="146" t="str">
        <f>IF(C129="Total","Total",IFERROR(VLOOKUP($E$5&amp;$D129&amp;$C129,BS_HD_Dem!A:F,6,0),"(blank)"))</f>
        <v>(blank)</v>
      </c>
      <c r="F129" s="122" t="str">
        <f>IF($E129="(blank)","",SUMIFS(BS_HD_Dem!O:O,BS_HD_Dem!$E:$E,'5.2 C&amp;D Hospital Discharge'!$E$5,BS_HD_Dem!$D:$D,'5.2 C&amp;D Hospital Discharge'!$D129,BS_HD_Dem!$F:$F,'5.2 C&amp;D Hospital Discharge'!$E129))</f>
        <v/>
      </c>
      <c r="G129" s="122" t="str">
        <f>IF($E129="(blank)","",SUMIFS(BS_HD_Dem!P:P,BS_HD_Dem!$E:$E,'5.2 C&amp;D Hospital Discharge'!$E$5,BS_HD_Dem!$D:$D,'5.2 C&amp;D Hospital Discharge'!$D129,BS_HD_Dem!$F:$F,'5.2 C&amp;D Hospital Discharge'!$E129))</f>
        <v/>
      </c>
      <c r="H129" s="122" t="str">
        <f>IF($E129="(blank)","",SUMIFS(BS_HD_Dem!Q:Q,BS_HD_Dem!$E:$E,'5.2 C&amp;D Hospital Discharge'!$E$5,BS_HD_Dem!$D:$D,'5.2 C&amp;D Hospital Discharge'!$D129,BS_HD_Dem!$F:$F,'5.2 C&amp;D Hospital Discharge'!$E129))</f>
        <v/>
      </c>
      <c r="I129" s="122" t="str">
        <f>IF($E129="(blank)","",SUMIFS(BS_HD_Dem!R:R,BS_HD_Dem!$E:$E,'5.2 C&amp;D Hospital Discharge'!$E$5,BS_HD_Dem!$D:$D,'5.2 C&amp;D Hospital Discharge'!$D129,BS_HD_Dem!$F:$F,'5.2 C&amp;D Hospital Discharge'!$E129))</f>
        <v/>
      </c>
      <c r="J129" s="126" t="str">
        <f>IF($E129="(blank)","",SUMIFS(BS_HD_Dem!S:S,BS_HD_Dem!$E:$E,'5.2 C&amp;D Hospital Discharge'!$E$5,BS_HD_Dem!$D:$D,'5.2 C&amp;D Hospital Discharge'!$D129,BS_HD_Dem!$F:$F,'5.2 C&amp;D Hospital Discharge'!$E129))</f>
        <v/>
      </c>
      <c r="K129" s="200"/>
      <c r="L129" s="200"/>
      <c r="M129" s="200"/>
      <c r="N129" s="200"/>
      <c r="O129" s="201"/>
      <c r="V129" s="21"/>
      <c r="W129" s="17" t="str">
        <f t="shared" si="28"/>
        <v>Yes</v>
      </c>
      <c r="X129" s="22"/>
      <c r="Y129" s="120">
        <f t="shared" si="25"/>
        <v>0</v>
      </c>
      <c r="Z129">
        <f t="shared" si="35"/>
        <v>0</v>
      </c>
      <c r="AA129">
        <f t="shared" si="36"/>
        <v>0</v>
      </c>
    </row>
    <row r="130" spans="1:27" ht="14.4" x14ac:dyDescent="0.3">
      <c r="C130">
        <f t="shared" si="34"/>
        <v>23</v>
      </c>
      <c r="D130" s="125" t="s">
        <v>685</v>
      </c>
      <c r="E130" s="146" t="str">
        <f>IF(C130="Total","Total",IFERROR(VLOOKUP($E$5&amp;$D130&amp;$C130,BS_HD_Dem!A:F,6,0),"(blank)"))</f>
        <v>(blank)</v>
      </c>
      <c r="F130" s="122" t="str">
        <f>IF($E130="(blank)","",SUMIFS(BS_HD_Dem!O:O,BS_HD_Dem!$E:$E,'5.2 C&amp;D Hospital Discharge'!$E$5,BS_HD_Dem!$D:$D,'5.2 C&amp;D Hospital Discharge'!$D130,BS_HD_Dem!$F:$F,'5.2 C&amp;D Hospital Discharge'!$E130))</f>
        <v/>
      </c>
      <c r="G130" s="122" t="str">
        <f>IF($E130="(blank)","",SUMIFS(BS_HD_Dem!P:P,BS_HD_Dem!$E:$E,'5.2 C&amp;D Hospital Discharge'!$E$5,BS_HD_Dem!$D:$D,'5.2 C&amp;D Hospital Discharge'!$D130,BS_HD_Dem!$F:$F,'5.2 C&amp;D Hospital Discharge'!$E130))</f>
        <v/>
      </c>
      <c r="H130" s="122" t="str">
        <f>IF($E130="(blank)","",SUMIFS(BS_HD_Dem!Q:Q,BS_HD_Dem!$E:$E,'5.2 C&amp;D Hospital Discharge'!$E$5,BS_HD_Dem!$D:$D,'5.2 C&amp;D Hospital Discharge'!$D130,BS_HD_Dem!$F:$F,'5.2 C&amp;D Hospital Discharge'!$E130))</f>
        <v/>
      </c>
      <c r="I130" s="122" t="str">
        <f>IF($E130="(blank)","",SUMIFS(BS_HD_Dem!R:R,BS_HD_Dem!$E:$E,'5.2 C&amp;D Hospital Discharge'!$E$5,BS_HD_Dem!$D:$D,'5.2 C&amp;D Hospital Discharge'!$D130,BS_HD_Dem!$F:$F,'5.2 C&amp;D Hospital Discharge'!$E130))</f>
        <v/>
      </c>
      <c r="J130" s="126" t="str">
        <f>IF($E130="(blank)","",SUMIFS(BS_HD_Dem!S:S,BS_HD_Dem!$E:$E,'5.2 C&amp;D Hospital Discharge'!$E$5,BS_HD_Dem!$D:$D,'5.2 C&amp;D Hospital Discharge'!$D130,BS_HD_Dem!$F:$F,'5.2 C&amp;D Hospital Discharge'!$E130))</f>
        <v/>
      </c>
      <c r="K130" s="200"/>
      <c r="L130" s="200"/>
      <c r="M130" s="200"/>
      <c r="N130" s="200"/>
      <c r="O130" s="201"/>
      <c r="V130" s="21"/>
      <c r="W130" s="17" t="str">
        <f t="shared" si="28"/>
        <v>Yes</v>
      </c>
      <c r="X130" s="22"/>
      <c r="Y130" s="120">
        <f t="shared" si="25"/>
        <v>0</v>
      </c>
      <c r="Z130">
        <f t="shared" si="35"/>
        <v>0</v>
      </c>
      <c r="AA130">
        <f t="shared" si="36"/>
        <v>0</v>
      </c>
    </row>
    <row r="131" spans="1:27" ht="15" thickBot="1" x14ac:dyDescent="0.35">
      <c r="C131">
        <f t="shared" si="34"/>
        <v>24</v>
      </c>
      <c r="D131" s="127" t="s">
        <v>685</v>
      </c>
      <c r="E131" s="147" t="str">
        <f>IF(C131="Total","Total",IFERROR(VLOOKUP($E$5&amp;$D131&amp;$C131,BS_HD_Dem!A:F,6,0),"(blank)"))</f>
        <v>(blank)</v>
      </c>
      <c r="F131" s="122" t="str">
        <f>IF($E131="(blank)","",SUMIFS(BS_HD_Dem!O:O,BS_HD_Dem!$E:$E,'5.2 C&amp;D Hospital Discharge'!$E$5,BS_HD_Dem!$D:$D,'5.2 C&amp;D Hospital Discharge'!$D131,BS_HD_Dem!$F:$F,'5.2 C&amp;D Hospital Discharge'!$E131))</f>
        <v/>
      </c>
      <c r="G131" s="122" t="str">
        <f>IF($E131="(blank)","",SUMIFS(BS_HD_Dem!P:P,BS_HD_Dem!$E:$E,'5.2 C&amp;D Hospital Discharge'!$E$5,BS_HD_Dem!$D:$D,'5.2 C&amp;D Hospital Discharge'!$D131,BS_HD_Dem!$F:$F,'5.2 C&amp;D Hospital Discharge'!$E131))</f>
        <v/>
      </c>
      <c r="H131" s="122" t="str">
        <f>IF($E131="(blank)","",SUMIFS(BS_HD_Dem!Q:Q,BS_HD_Dem!$E:$E,'5.2 C&amp;D Hospital Discharge'!$E$5,BS_HD_Dem!$D:$D,'5.2 C&amp;D Hospital Discharge'!$D131,BS_HD_Dem!$F:$F,'5.2 C&amp;D Hospital Discharge'!$E131))</f>
        <v/>
      </c>
      <c r="I131" s="122" t="str">
        <f>IF($E131="(blank)","",SUMIFS(BS_HD_Dem!R:R,BS_HD_Dem!$E:$E,'5.2 C&amp;D Hospital Discharge'!$E$5,BS_HD_Dem!$D:$D,'5.2 C&amp;D Hospital Discharge'!$D131,BS_HD_Dem!$F:$F,'5.2 C&amp;D Hospital Discharge'!$E131))</f>
        <v/>
      </c>
      <c r="J131" s="126" t="str">
        <f>IF($E131="(blank)","",SUMIFS(BS_HD_Dem!S:S,BS_HD_Dem!$E:$E,'5.2 C&amp;D Hospital Discharge'!$E$5,BS_HD_Dem!$D:$D,'5.2 C&amp;D Hospital Discharge'!$D131,BS_HD_Dem!$F:$F,'5.2 C&amp;D Hospital Discharge'!$E131))</f>
        <v/>
      </c>
      <c r="K131" s="202"/>
      <c r="L131" s="202"/>
      <c r="M131" s="202"/>
      <c r="N131" s="202"/>
      <c r="O131" s="203"/>
      <c r="V131" s="21"/>
      <c r="W131" s="17" t="str">
        <f t="shared" si="28"/>
        <v>Yes</v>
      </c>
      <c r="X131" s="22"/>
      <c r="Y131" s="120">
        <f t="shared" si="25"/>
        <v>0</v>
      </c>
      <c r="Z131">
        <f t="shared" si="35"/>
        <v>0</v>
      </c>
      <c r="AA131">
        <f t="shared" si="36"/>
        <v>0</v>
      </c>
    </row>
    <row r="132" spans="1:27" ht="30" customHeight="1" x14ac:dyDescent="0.3">
      <c r="A132" s="121"/>
      <c r="B132" s="121"/>
      <c r="C132" s="121" t="s">
        <v>393</v>
      </c>
      <c r="D132" s="130" t="s">
        <v>686</v>
      </c>
      <c r="E132" s="148" t="str">
        <f>IF(C132="Total","Total",IFERROR(VLOOKUP($E$5&amp;$D132&amp;$C132,BS_HD_Dem!A:F,6,0),"(blank)"))</f>
        <v>Total</v>
      </c>
      <c r="F132" s="123">
        <f t="shared" ref="F132" si="37">SUM(F133:F156)</f>
        <v>63</v>
      </c>
      <c r="G132" s="123">
        <f t="shared" ref="G132" si="38">SUM(G133:G156)</f>
        <v>62</v>
      </c>
      <c r="H132" s="123">
        <f t="shared" ref="H132" si="39">SUM(H133:H156)</f>
        <v>66</v>
      </c>
      <c r="I132" s="123">
        <f t="shared" ref="I132" si="40">SUM(I133:I156)</f>
        <v>65</v>
      </c>
      <c r="J132" s="124">
        <f t="shared" ref="J132:O132" si="41">SUM(J133:J156)</f>
        <v>66</v>
      </c>
      <c r="K132" s="124">
        <f t="shared" si="41"/>
        <v>63</v>
      </c>
      <c r="L132" s="124">
        <f t="shared" si="41"/>
        <v>62</v>
      </c>
      <c r="M132" s="124">
        <f t="shared" si="41"/>
        <v>66</v>
      </c>
      <c r="N132" s="124">
        <f t="shared" si="41"/>
        <v>65</v>
      </c>
      <c r="O132" s="124">
        <f t="shared" si="41"/>
        <v>66</v>
      </c>
      <c r="P132" s="121"/>
      <c r="Q132" s="121"/>
      <c r="R132" s="121"/>
      <c r="S132" s="121"/>
      <c r="T132" s="121"/>
      <c r="U132" s="121"/>
      <c r="V132" s="21"/>
      <c r="W132" s="17" t="str">
        <f t="shared" si="28"/>
        <v>Yes</v>
      </c>
      <c r="X132" s="22"/>
      <c r="Y132" s="120">
        <f t="shared" si="25"/>
        <v>0</v>
      </c>
      <c r="Z132">
        <f t="shared" si="35"/>
        <v>0</v>
      </c>
      <c r="AA132">
        <f t="shared" si="36"/>
        <v>1</v>
      </c>
    </row>
    <row r="133" spans="1:27" ht="15" customHeight="1" x14ac:dyDescent="0.3">
      <c r="C133">
        <v>1</v>
      </c>
      <c r="D133" s="131" t="s">
        <v>686</v>
      </c>
      <c r="E133" s="146" t="str">
        <f>IF(C133="Total","Total",IFERROR(VLOOKUP($E$5&amp;$D133&amp;$C133,BS_HD_Dem!A:F,6,0),"(blank)"))</f>
        <v>CHELSEA AND WESTMINSTER HOSPITAL NHS FOUNDATION TRUST</v>
      </c>
      <c r="F133" s="122">
        <f>IF($E133="(blank)","",SUMIFS(BS_HD_Dem!O:O,BS_HD_Dem!$E:$E,'5.2 C&amp;D Hospital Discharge'!$E$5,BS_HD_Dem!$D:$D,'5.2 C&amp;D Hospital Discharge'!$D133,BS_HD_Dem!$F:$F,'5.2 C&amp;D Hospital Discharge'!$E133))</f>
        <v>2</v>
      </c>
      <c r="G133" s="122">
        <f>IF($E133="(blank)","",SUMIFS(BS_HD_Dem!P:P,BS_HD_Dem!$E:$E,'5.2 C&amp;D Hospital Discharge'!$E$5,BS_HD_Dem!$D:$D,'5.2 C&amp;D Hospital Discharge'!$D133,BS_HD_Dem!$F:$F,'5.2 C&amp;D Hospital Discharge'!$E133))</f>
        <v>2</v>
      </c>
      <c r="H133" s="122">
        <f>IF($E133="(blank)","",SUMIFS(BS_HD_Dem!Q:Q,BS_HD_Dem!$E:$E,'5.2 C&amp;D Hospital Discharge'!$E$5,BS_HD_Dem!$D:$D,'5.2 C&amp;D Hospital Discharge'!$D133,BS_HD_Dem!$F:$F,'5.2 C&amp;D Hospital Discharge'!$E133))</f>
        <v>2</v>
      </c>
      <c r="I133" s="122">
        <f>IF($E133="(blank)","",SUMIFS(BS_HD_Dem!R:R,BS_HD_Dem!$E:$E,'5.2 C&amp;D Hospital Discharge'!$E$5,BS_HD_Dem!$D:$D,'5.2 C&amp;D Hospital Discharge'!$D133,BS_HD_Dem!$F:$F,'5.2 C&amp;D Hospital Discharge'!$E133))</f>
        <v>3</v>
      </c>
      <c r="J133" s="126">
        <f>IF($E133="(blank)","",SUMIFS(BS_HD_Dem!S:S,BS_HD_Dem!$E:$E,'5.2 C&amp;D Hospital Discharge'!$E$5,BS_HD_Dem!$D:$D,'5.2 C&amp;D Hospital Discharge'!$D133,BS_HD_Dem!$F:$F,'5.2 C&amp;D Hospital Discharge'!$E133))</f>
        <v>1</v>
      </c>
      <c r="K133" s="200">
        <v>2</v>
      </c>
      <c r="L133" s="200">
        <v>2</v>
      </c>
      <c r="M133" s="200">
        <v>2</v>
      </c>
      <c r="N133" s="200">
        <v>3</v>
      </c>
      <c r="O133" s="201">
        <v>1</v>
      </c>
      <c r="V133" s="21"/>
      <c r="W133" s="17" t="str">
        <f t="shared" si="28"/>
        <v>Yes</v>
      </c>
      <c r="X133" s="22"/>
      <c r="Y133" s="120">
        <f t="shared" si="25"/>
        <v>0</v>
      </c>
      <c r="Z133">
        <f t="shared" si="35"/>
        <v>1</v>
      </c>
      <c r="AA133">
        <f t="shared" si="36"/>
        <v>1</v>
      </c>
    </row>
    <row r="134" spans="1:27" ht="15" customHeight="1" x14ac:dyDescent="0.3">
      <c r="C134">
        <f>C133+1</f>
        <v>2</v>
      </c>
      <c r="D134" s="131" t="s">
        <v>686</v>
      </c>
      <c r="E134" s="146" t="str">
        <f>IF(C134="Total","Total",IFERROR(VLOOKUP($E$5&amp;$D134&amp;$C134,BS_HD_Dem!A:F,6,0),"(blank)"))</f>
        <v>IMPERIAL COLLEGE HEALTHCARE NHS TRUST</v>
      </c>
      <c r="F134" s="122">
        <f>IF($E134="(blank)","",SUMIFS(BS_HD_Dem!O:O,BS_HD_Dem!$E:$E,'5.2 C&amp;D Hospital Discharge'!$E$5,BS_HD_Dem!$D:$D,'5.2 C&amp;D Hospital Discharge'!$D134,BS_HD_Dem!$F:$F,'5.2 C&amp;D Hospital Discharge'!$E134))</f>
        <v>5</v>
      </c>
      <c r="G134" s="122">
        <f>IF($E134="(blank)","",SUMIFS(BS_HD_Dem!P:P,BS_HD_Dem!$E:$E,'5.2 C&amp;D Hospital Discharge'!$E$5,BS_HD_Dem!$D:$D,'5.2 C&amp;D Hospital Discharge'!$D134,BS_HD_Dem!$F:$F,'5.2 C&amp;D Hospital Discharge'!$E134))</f>
        <v>5</v>
      </c>
      <c r="H134" s="122">
        <f>IF($E134="(blank)","",SUMIFS(BS_HD_Dem!Q:Q,BS_HD_Dem!$E:$E,'5.2 C&amp;D Hospital Discharge'!$E$5,BS_HD_Dem!$D:$D,'5.2 C&amp;D Hospital Discharge'!$D134,BS_HD_Dem!$F:$F,'5.2 C&amp;D Hospital Discharge'!$E134))</f>
        <v>5</v>
      </c>
      <c r="I134" s="122">
        <f>IF($E134="(blank)","",SUMIFS(BS_HD_Dem!R:R,BS_HD_Dem!$E:$E,'5.2 C&amp;D Hospital Discharge'!$E$5,BS_HD_Dem!$D:$D,'5.2 C&amp;D Hospital Discharge'!$D134,BS_HD_Dem!$F:$F,'5.2 C&amp;D Hospital Discharge'!$E134))</f>
        <v>5</v>
      </c>
      <c r="J134" s="126">
        <f>IF($E134="(blank)","",SUMIFS(BS_HD_Dem!S:S,BS_HD_Dem!$E:$E,'5.2 C&amp;D Hospital Discharge'!$E$5,BS_HD_Dem!$D:$D,'5.2 C&amp;D Hospital Discharge'!$D134,BS_HD_Dem!$F:$F,'5.2 C&amp;D Hospital Discharge'!$E134))</f>
        <v>5</v>
      </c>
      <c r="K134" s="200">
        <v>5</v>
      </c>
      <c r="L134" s="200">
        <v>5</v>
      </c>
      <c r="M134" s="200">
        <v>5</v>
      </c>
      <c r="N134" s="200">
        <v>5</v>
      </c>
      <c r="O134" s="201">
        <v>5</v>
      </c>
      <c r="V134" s="21"/>
      <c r="W134" s="17" t="str">
        <f t="shared" si="28"/>
        <v>Yes</v>
      </c>
      <c r="X134" s="22"/>
      <c r="Y134" s="120">
        <f t="shared" si="25"/>
        <v>0</v>
      </c>
      <c r="Z134">
        <f t="shared" si="35"/>
        <v>1</v>
      </c>
      <c r="AA134">
        <f t="shared" si="36"/>
        <v>1</v>
      </c>
    </row>
    <row r="135" spans="1:27" ht="15" customHeight="1" x14ac:dyDescent="0.3">
      <c r="C135">
        <f t="shared" ref="C135:C156" si="42">C134+1</f>
        <v>3</v>
      </c>
      <c r="D135" s="131" t="s">
        <v>686</v>
      </c>
      <c r="E135" s="146" t="str">
        <f>IF(C135="Total","Total",IFERROR(VLOOKUP($E$5&amp;$D135&amp;$C135,BS_HD_Dem!A:F,6,0),"(blank)"))</f>
        <v>LONDON NORTH WEST UNIVERSITY HEALTHCARE NHS TRUST</v>
      </c>
      <c r="F135" s="122">
        <f>IF($E135="(blank)","",SUMIFS(BS_HD_Dem!O:O,BS_HD_Dem!$E:$E,'5.2 C&amp;D Hospital Discharge'!$E$5,BS_HD_Dem!$D:$D,'5.2 C&amp;D Hospital Discharge'!$D135,BS_HD_Dem!$F:$F,'5.2 C&amp;D Hospital Discharge'!$E135))</f>
        <v>10</v>
      </c>
      <c r="G135" s="122">
        <f>IF($E135="(blank)","",SUMIFS(BS_HD_Dem!P:P,BS_HD_Dem!$E:$E,'5.2 C&amp;D Hospital Discharge'!$E$5,BS_HD_Dem!$D:$D,'5.2 C&amp;D Hospital Discharge'!$D135,BS_HD_Dem!$F:$F,'5.2 C&amp;D Hospital Discharge'!$E135))</f>
        <v>9</v>
      </c>
      <c r="H135" s="122">
        <f>IF($E135="(blank)","",SUMIFS(BS_HD_Dem!Q:Q,BS_HD_Dem!$E:$E,'5.2 C&amp;D Hospital Discharge'!$E$5,BS_HD_Dem!$D:$D,'5.2 C&amp;D Hospital Discharge'!$D135,BS_HD_Dem!$F:$F,'5.2 C&amp;D Hospital Discharge'!$E135))</f>
        <v>11</v>
      </c>
      <c r="I135" s="122">
        <f>IF($E135="(blank)","",SUMIFS(BS_HD_Dem!R:R,BS_HD_Dem!$E:$E,'5.2 C&amp;D Hospital Discharge'!$E$5,BS_HD_Dem!$D:$D,'5.2 C&amp;D Hospital Discharge'!$D135,BS_HD_Dem!$F:$F,'5.2 C&amp;D Hospital Discharge'!$E135))</f>
        <v>10</v>
      </c>
      <c r="J135" s="126">
        <f>IF($E135="(blank)","",SUMIFS(BS_HD_Dem!S:S,BS_HD_Dem!$E:$E,'5.2 C&amp;D Hospital Discharge'!$E$5,BS_HD_Dem!$D:$D,'5.2 C&amp;D Hospital Discharge'!$D135,BS_HD_Dem!$F:$F,'5.2 C&amp;D Hospital Discharge'!$E135))</f>
        <v>9</v>
      </c>
      <c r="K135" s="200">
        <v>10</v>
      </c>
      <c r="L135" s="200">
        <v>9</v>
      </c>
      <c r="M135" s="200">
        <v>11</v>
      </c>
      <c r="N135" s="200">
        <v>10</v>
      </c>
      <c r="O135" s="201">
        <v>9</v>
      </c>
      <c r="V135" s="21"/>
      <c r="W135" s="17" t="str">
        <f t="shared" si="28"/>
        <v>Yes</v>
      </c>
      <c r="X135" s="22"/>
      <c r="Y135" s="120">
        <f t="shared" si="25"/>
        <v>0</v>
      </c>
      <c r="Z135">
        <f t="shared" si="35"/>
        <v>1</v>
      </c>
      <c r="AA135">
        <f t="shared" si="36"/>
        <v>1</v>
      </c>
    </row>
    <row r="136" spans="1:27" ht="15" customHeight="1" x14ac:dyDescent="0.3">
      <c r="C136">
        <f t="shared" si="42"/>
        <v>4</v>
      </c>
      <c r="D136" s="131" t="s">
        <v>686</v>
      </c>
      <c r="E136" s="146" t="str">
        <f>IF(C136="Total","Total",IFERROR(VLOOKUP($E$5&amp;$D136&amp;$C136,BS_HD_Dem!A:F,6,0),"(blank)"))</f>
        <v>THE HILLINGDON HOSPITALS NHS FOUNDATION TRUST</v>
      </c>
      <c r="F136" s="122">
        <f>IF($E136="(blank)","",SUMIFS(BS_HD_Dem!O:O,BS_HD_Dem!$E:$E,'5.2 C&amp;D Hospital Discharge'!$E$5,BS_HD_Dem!$D:$D,'5.2 C&amp;D Hospital Discharge'!$D136,BS_HD_Dem!$F:$F,'5.2 C&amp;D Hospital Discharge'!$E136))</f>
        <v>46</v>
      </c>
      <c r="G136" s="122">
        <f>IF($E136="(blank)","",SUMIFS(BS_HD_Dem!P:P,BS_HD_Dem!$E:$E,'5.2 C&amp;D Hospital Discharge'!$E$5,BS_HD_Dem!$D:$D,'5.2 C&amp;D Hospital Discharge'!$D136,BS_HD_Dem!$F:$F,'5.2 C&amp;D Hospital Discharge'!$E136))</f>
        <v>46</v>
      </c>
      <c r="H136" s="122">
        <f>IF($E136="(blank)","",SUMIFS(BS_HD_Dem!Q:Q,BS_HD_Dem!$E:$E,'5.2 C&amp;D Hospital Discharge'!$E$5,BS_HD_Dem!$D:$D,'5.2 C&amp;D Hospital Discharge'!$D136,BS_HD_Dem!$F:$F,'5.2 C&amp;D Hospital Discharge'!$E136))</f>
        <v>48</v>
      </c>
      <c r="I136" s="122">
        <f>IF($E136="(blank)","",SUMIFS(BS_HD_Dem!R:R,BS_HD_Dem!$E:$E,'5.2 C&amp;D Hospital Discharge'!$E$5,BS_HD_Dem!$D:$D,'5.2 C&amp;D Hospital Discharge'!$D136,BS_HD_Dem!$F:$F,'5.2 C&amp;D Hospital Discharge'!$E136))</f>
        <v>47</v>
      </c>
      <c r="J136" s="126">
        <f>IF($E136="(blank)","",SUMIFS(BS_HD_Dem!S:S,BS_HD_Dem!$E:$E,'5.2 C&amp;D Hospital Discharge'!$E$5,BS_HD_Dem!$D:$D,'5.2 C&amp;D Hospital Discharge'!$D136,BS_HD_Dem!$F:$F,'5.2 C&amp;D Hospital Discharge'!$E136))</f>
        <v>51</v>
      </c>
      <c r="K136" s="200">
        <v>46</v>
      </c>
      <c r="L136" s="200">
        <v>46</v>
      </c>
      <c r="M136" s="200">
        <v>48</v>
      </c>
      <c r="N136" s="200">
        <v>47</v>
      </c>
      <c r="O136" s="201">
        <v>51</v>
      </c>
      <c r="V136" s="21"/>
      <c r="W136" s="17" t="str">
        <f t="shared" si="28"/>
        <v>Yes</v>
      </c>
      <c r="X136" s="22"/>
      <c r="Y136" s="120">
        <f t="shared" si="25"/>
        <v>0</v>
      </c>
      <c r="Z136">
        <f t="shared" si="35"/>
        <v>1</v>
      </c>
      <c r="AA136">
        <f t="shared" si="36"/>
        <v>1</v>
      </c>
    </row>
    <row r="137" spans="1:27" ht="15" customHeight="1" x14ac:dyDescent="0.3">
      <c r="C137">
        <f t="shared" si="42"/>
        <v>5</v>
      </c>
      <c r="D137" s="131" t="s">
        <v>686</v>
      </c>
      <c r="E137" s="146" t="str">
        <f>IF(C137="Total","Total",IFERROR(VLOOKUP($E$5&amp;$D137&amp;$C137,BS_HD_Dem!A:F,6,0),"(blank)"))</f>
        <v>(blank)</v>
      </c>
      <c r="F137" s="122" t="str">
        <f>IF($E137="(blank)","",SUMIFS(BS_HD_Dem!O:O,BS_HD_Dem!$E:$E,'5.2 C&amp;D Hospital Discharge'!$E$5,BS_HD_Dem!$D:$D,'5.2 C&amp;D Hospital Discharge'!$D137,BS_HD_Dem!$F:$F,'5.2 C&amp;D Hospital Discharge'!$E137))</f>
        <v/>
      </c>
      <c r="G137" s="122" t="str">
        <f>IF($E137="(blank)","",SUMIFS(BS_HD_Dem!P:P,BS_HD_Dem!$E:$E,'5.2 C&amp;D Hospital Discharge'!$E$5,BS_HD_Dem!$D:$D,'5.2 C&amp;D Hospital Discharge'!$D137,BS_HD_Dem!$F:$F,'5.2 C&amp;D Hospital Discharge'!$E137))</f>
        <v/>
      </c>
      <c r="H137" s="122" t="str">
        <f>IF($E137="(blank)","",SUMIFS(BS_HD_Dem!Q:Q,BS_HD_Dem!$E:$E,'5.2 C&amp;D Hospital Discharge'!$E$5,BS_HD_Dem!$D:$D,'5.2 C&amp;D Hospital Discharge'!$D137,BS_HD_Dem!$F:$F,'5.2 C&amp;D Hospital Discharge'!$E137))</f>
        <v/>
      </c>
      <c r="I137" s="122" t="str">
        <f>IF($E137="(blank)","",SUMIFS(BS_HD_Dem!R:R,BS_HD_Dem!$E:$E,'5.2 C&amp;D Hospital Discharge'!$E$5,BS_HD_Dem!$D:$D,'5.2 C&amp;D Hospital Discharge'!$D137,BS_HD_Dem!$F:$F,'5.2 C&amp;D Hospital Discharge'!$E137))</f>
        <v/>
      </c>
      <c r="J137" s="126" t="str">
        <f>IF($E137="(blank)","",SUMIFS(BS_HD_Dem!S:S,BS_HD_Dem!$E:$E,'5.2 C&amp;D Hospital Discharge'!$E$5,BS_HD_Dem!$D:$D,'5.2 C&amp;D Hospital Discharge'!$D137,BS_HD_Dem!$F:$F,'5.2 C&amp;D Hospital Discharge'!$E137))</f>
        <v/>
      </c>
      <c r="K137" s="200"/>
      <c r="L137" s="200"/>
      <c r="M137" s="200"/>
      <c r="N137" s="200"/>
      <c r="O137" s="201"/>
      <c r="V137" s="21"/>
      <c r="W137" s="17" t="str">
        <f t="shared" si="28"/>
        <v>Yes</v>
      </c>
      <c r="X137" s="22"/>
      <c r="Y137" s="120">
        <f t="shared" si="25"/>
        <v>0</v>
      </c>
      <c r="Z137">
        <f t="shared" si="35"/>
        <v>0</v>
      </c>
      <c r="AA137">
        <f t="shared" si="36"/>
        <v>0</v>
      </c>
    </row>
    <row r="138" spans="1:27" ht="15" customHeight="1" x14ac:dyDescent="0.3">
      <c r="C138">
        <f t="shared" si="42"/>
        <v>6</v>
      </c>
      <c r="D138" s="131" t="s">
        <v>686</v>
      </c>
      <c r="E138" s="146" t="str">
        <f>IF(C138="Total","Total",IFERROR(VLOOKUP($E$5&amp;$D138&amp;$C138,BS_HD_Dem!A:F,6,0),"(blank)"))</f>
        <v>(blank)</v>
      </c>
      <c r="F138" s="122" t="str">
        <f>IF($E138="(blank)","",SUMIFS(BS_HD_Dem!O:O,BS_HD_Dem!$E:$E,'5.2 C&amp;D Hospital Discharge'!$E$5,BS_HD_Dem!$D:$D,'5.2 C&amp;D Hospital Discharge'!$D138,BS_HD_Dem!$F:$F,'5.2 C&amp;D Hospital Discharge'!$E138))</f>
        <v/>
      </c>
      <c r="G138" s="122" t="str">
        <f>IF($E138="(blank)","",SUMIFS(BS_HD_Dem!P:P,BS_HD_Dem!$E:$E,'5.2 C&amp;D Hospital Discharge'!$E$5,BS_HD_Dem!$D:$D,'5.2 C&amp;D Hospital Discharge'!$D138,BS_HD_Dem!$F:$F,'5.2 C&amp;D Hospital Discharge'!$E138))</f>
        <v/>
      </c>
      <c r="H138" s="122" t="str">
        <f>IF($E138="(blank)","",SUMIFS(BS_HD_Dem!Q:Q,BS_HD_Dem!$E:$E,'5.2 C&amp;D Hospital Discharge'!$E$5,BS_HD_Dem!$D:$D,'5.2 C&amp;D Hospital Discharge'!$D138,BS_HD_Dem!$F:$F,'5.2 C&amp;D Hospital Discharge'!$E138))</f>
        <v/>
      </c>
      <c r="I138" s="122" t="str">
        <f>IF($E138="(blank)","",SUMIFS(BS_HD_Dem!R:R,BS_HD_Dem!$E:$E,'5.2 C&amp;D Hospital Discharge'!$E$5,BS_HD_Dem!$D:$D,'5.2 C&amp;D Hospital Discharge'!$D138,BS_HD_Dem!$F:$F,'5.2 C&amp;D Hospital Discharge'!$E138))</f>
        <v/>
      </c>
      <c r="J138" s="126" t="str">
        <f>IF($E138="(blank)","",SUMIFS(BS_HD_Dem!S:S,BS_HD_Dem!$E:$E,'5.2 C&amp;D Hospital Discharge'!$E$5,BS_HD_Dem!$D:$D,'5.2 C&amp;D Hospital Discharge'!$D138,BS_HD_Dem!$F:$F,'5.2 C&amp;D Hospital Discharge'!$E138))</f>
        <v/>
      </c>
      <c r="K138" s="200"/>
      <c r="L138" s="200"/>
      <c r="M138" s="200"/>
      <c r="N138" s="200"/>
      <c r="O138" s="201"/>
      <c r="V138" s="21"/>
      <c r="W138" s="17" t="str">
        <f t="shared" si="28"/>
        <v>Yes</v>
      </c>
      <c r="X138" s="22"/>
      <c r="Y138" s="120">
        <f t="shared" si="25"/>
        <v>0</v>
      </c>
      <c r="Z138">
        <f t="shared" si="35"/>
        <v>0</v>
      </c>
      <c r="AA138">
        <f t="shared" si="36"/>
        <v>0</v>
      </c>
    </row>
    <row r="139" spans="1:27" ht="15" customHeight="1" x14ac:dyDescent="0.3">
      <c r="C139">
        <f t="shared" si="42"/>
        <v>7</v>
      </c>
      <c r="D139" s="131" t="s">
        <v>686</v>
      </c>
      <c r="E139" s="146" t="str">
        <f>IF(C139="Total","Total",IFERROR(VLOOKUP($E$5&amp;$D139&amp;$C139,BS_HD_Dem!A:F,6,0),"(blank)"))</f>
        <v>(blank)</v>
      </c>
      <c r="F139" s="122" t="str">
        <f>IF($E139="(blank)","",SUMIFS(BS_HD_Dem!O:O,BS_HD_Dem!$E:$E,'5.2 C&amp;D Hospital Discharge'!$E$5,BS_HD_Dem!$D:$D,'5.2 C&amp;D Hospital Discharge'!$D139,BS_HD_Dem!$F:$F,'5.2 C&amp;D Hospital Discharge'!$E139))</f>
        <v/>
      </c>
      <c r="G139" s="122" t="str">
        <f>IF($E139="(blank)","",SUMIFS(BS_HD_Dem!P:P,BS_HD_Dem!$E:$E,'5.2 C&amp;D Hospital Discharge'!$E$5,BS_HD_Dem!$D:$D,'5.2 C&amp;D Hospital Discharge'!$D139,BS_HD_Dem!$F:$F,'5.2 C&amp;D Hospital Discharge'!$E139))</f>
        <v/>
      </c>
      <c r="H139" s="122" t="str">
        <f>IF($E139="(blank)","",SUMIFS(BS_HD_Dem!Q:Q,BS_HD_Dem!$E:$E,'5.2 C&amp;D Hospital Discharge'!$E$5,BS_HD_Dem!$D:$D,'5.2 C&amp;D Hospital Discharge'!$D139,BS_HD_Dem!$F:$F,'5.2 C&amp;D Hospital Discharge'!$E139))</f>
        <v/>
      </c>
      <c r="I139" s="122" t="str">
        <f>IF($E139="(blank)","",SUMIFS(BS_HD_Dem!R:R,BS_HD_Dem!$E:$E,'5.2 C&amp;D Hospital Discharge'!$E$5,BS_HD_Dem!$D:$D,'5.2 C&amp;D Hospital Discharge'!$D139,BS_HD_Dem!$F:$F,'5.2 C&amp;D Hospital Discharge'!$E139))</f>
        <v/>
      </c>
      <c r="J139" s="126" t="str">
        <f>IF($E139="(blank)","",SUMIFS(BS_HD_Dem!S:S,BS_HD_Dem!$E:$E,'5.2 C&amp;D Hospital Discharge'!$E$5,BS_HD_Dem!$D:$D,'5.2 C&amp;D Hospital Discharge'!$D139,BS_HD_Dem!$F:$F,'5.2 C&amp;D Hospital Discharge'!$E139))</f>
        <v/>
      </c>
      <c r="K139" s="200"/>
      <c r="L139" s="200"/>
      <c r="M139" s="200"/>
      <c r="N139" s="200"/>
      <c r="O139" s="201"/>
      <c r="V139" s="21"/>
      <c r="W139" s="17" t="str">
        <f t="shared" si="28"/>
        <v>Yes</v>
      </c>
      <c r="X139" s="22"/>
      <c r="Y139" s="120">
        <f t="shared" si="25"/>
        <v>0</v>
      </c>
      <c r="Z139">
        <f t="shared" si="35"/>
        <v>0</v>
      </c>
      <c r="AA139">
        <f t="shared" si="36"/>
        <v>0</v>
      </c>
    </row>
    <row r="140" spans="1:27" ht="15" customHeight="1" x14ac:dyDescent="0.3">
      <c r="C140">
        <f t="shared" si="42"/>
        <v>8</v>
      </c>
      <c r="D140" s="131" t="s">
        <v>686</v>
      </c>
      <c r="E140" s="146" t="str">
        <f>IF(C140="Total","Total",IFERROR(VLOOKUP($E$5&amp;$D140&amp;$C140,BS_HD_Dem!A:F,6,0),"(blank)"))</f>
        <v>(blank)</v>
      </c>
      <c r="F140" s="122" t="str">
        <f>IF($E140="(blank)","",SUMIFS(BS_HD_Dem!O:O,BS_HD_Dem!$E:$E,'5.2 C&amp;D Hospital Discharge'!$E$5,BS_HD_Dem!$D:$D,'5.2 C&amp;D Hospital Discharge'!$D140,BS_HD_Dem!$F:$F,'5.2 C&amp;D Hospital Discharge'!$E140))</f>
        <v/>
      </c>
      <c r="G140" s="122" t="str">
        <f>IF($E140="(blank)","",SUMIFS(BS_HD_Dem!P:P,BS_HD_Dem!$E:$E,'5.2 C&amp;D Hospital Discharge'!$E$5,BS_HD_Dem!$D:$D,'5.2 C&amp;D Hospital Discharge'!$D140,BS_HD_Dem!$F:$F,'5.2 C&amp;D Hospital Discharge'!$E140))</f>
        <v/>
      </c>
      <c r="H140" s="122" t="str">
        <f>IF($E140="(blank)","",SUMIFS(BS_HD_Dem!Q:Q,BS_HD_Dem!$E:$E,'5.2 C&amp;D Hospital Discharge'!$E$5,BS_HD_Dem!$D:$D,'5.2 C&amp;D Hospital Discharge'!$D140,BS_HD_Dem!$F:$F,'5.2 C&amp;D Hospital Discharge'!$E140))</f>
        <v/>
      </c>
      <c r="I140" s="122" t="str">
        <f>IF($E140="(blank)","",SUMIFS(BS_HD_Dem!R:R,BS_HD_Dem!$E:$E,'5.2 C&amp;D Hospital Discharge'!$E$5,BS_HD_Dem!$D:$D,'5.2 C&amp;D Hospital Discharge'!$D140,BS_HD_Dem!$F:$F,'5.2 C&amp;D Hospital Discharge'!$E140))</f>
        <v/>
      </c>
      <c r="J140" s="126" t="str">
        <f>IF($E140="(blank)","",SUMIFS(BS_HD_Dem!S:S,BS_HD_Dem!$E:$E,'5.2 C&amp;D Hospital Discharge'!$E$5,BS_HD_Dem!$D:$D,'5.2 C&amp;D Hospital Discharge'!$D140,BS_HD_Dem!$F:$F,'5.2 C&amp;D Hospital Discharge'!$E140))</f>
        <v/>
      </c>
      <c r="K140" s="200"/>
      <c r="L140" s="200"/>
      <c r="M140" s="200"/>
      <c r="N140" s="200"/>
      <c r="O140" s="201"/>
      <c r="V140" s="21"/>
      <c r="W140" s="17" t="str">
        <f t="shared" si="28"/>
        <v>Yes</v>
      </c>
      <c r="X140" s="22"/>
      <c r="Y140" s="120">
        <f t="shared" si="25"/>
        <v>0</v>
      </c>
      <c r="Z140">
        <f t="shared" si="35"/>
        <v>0</v>
      </c>
      <c r="AA140">
        <f t="shared" si="36"/>
        <v>0</v>
      </c>
    </row>
    <row r="141" spans="1:27" ht="15" customHeight="1" x14ac:dyDescent="0.3">
      <c r="C141">
        <f t="shared" si="42"/>
        <v>9</v>
      </c>
      <c r="D141" s="131" t="s">
        <v>686</v>
      </c>
      <c r="E141" s="146" t="str">
        <f>IF(C141="Total","Total",IFERROR(VLOOKUP($E$5&amp;$D141&amp;$C141,BS_HD_Dem!A:F,6,0),"(blank)"))</f>
        <v>(blank)</v>
      </c>
      <c r="F141" s="122" t="str">
        <f>IF($E141="(blank)","",SUMIFS(BS_HD_Dem!O:O,BS_HD_Dem!$E:$E,'5.2 C&amp;D Hospital Discharge'!$E$5,BS_HD_Dem!$D:$D,'5.2 C&amp;D Hospital Discharge'!$D141,BS_HD_Dem!$F:$F,'5.2 C&amp;D Hospital Discharge'!$E141))</f>
        <v/>
      </c>
      <c r="G141" s="122" t="str">
        <f>IF($E141="(blank)","",SUMIFS(BS_HD_Dem!P:P,BS_HD_Dem!$E:$E,'5.2 C&amp;D Hospital Discharge'!$E$5,BS_HD_Dem!$D:$D,'5.2 C&amp;D Hospital Discharge'!$D141,BS_HD_Dem!$F:$F,'5.2 C&amp;D Hospital Discharge'!$E141))</f>
        <v/>
      </c>
      <c r="H141" s="122" t="str">
        <f>IF($E141="(blank)","",SUMIFS(BS_HD_Dem!Q:Q,BS_HD_Dem!$E:$E,'5.2 C&amp;D Hospital Discharge'!$E$5,BS_HD_Dem!$D:$D,'5.2 C&amp;D Hospital Discharge'!$D141,BS_HD_Dem!$F:$F,'5.2 C&amp;D Hospital Discharge'!$E141))</f>
        <v/>
      </c>
      <c r="I141" s="122" t="str">
        <f>IF($E141="(blank)","",SUMIFS(BS_HD_Dem!R:R,BS_HD_Dem!$E:$E,'5.2 C&amp;D Hospital Discharge'!$E$5,BS_HD_Dem!$D:$D,'5.2 C&amp;D Hospital Discharge'!$D141,BS_HD_Dem!$F:$F,'5.2 C&amp;D Hospital Discharge'!$E141))</f>
        <v/>
      </c>
      <c r="J141" s="126" t="str">
        <f>IF($E141="(blank)","",SUMIFS(BS_HD_Dem!S:S,BS_HD_Dem!$E:$E,'5.2 C&amp;D Hospital Discharge'!$E$5,BS_HD_Dem!$D:$D,'5.2 C&amp;D Hospital Discharge'!$D141,BS_HD_Dem!$F:$F,'5.2 C&amp;D Hospital Discharge'!$E141))</f>
        <v/>
      </c>
      <c r="K141" s="200"/>
      <c r="L141" s="200"/>
      <c r="M141" s="200"/>
      <c r="N141" s="200"/>
      <c r="O141" s="201"/>
      <c r="V141" s="21"/>
      <c r="W141" s="17" t="str">
        <f t="shared" si="28"/>
        <v>Yes</v>
      </c>
      <c r="X141" s="22"/>
      <c r="Y141" s="120">
        <f t="shared" si="25"/>
        <v>0</v>
      </c>
      <c r="Z141">
        <f t="shared" si="35"/>
        <v>0</v>
      </c>
      <c r="AA141">
        <f t="shared" si="36"/>
        <v>0</v>
      </c>
    </row>
    <row r="142" spans="1:27" ht="15" customHeight="1" x14ac:dyDescent="0.3">
      <c r="C142">
        <f t="shared" si="42"/>
        <v>10</v>
      </c>
      <c r="D142" s="131" t="s">
        <v>686</v>
      </c>
      <c r="E142" s="146" t="str">
        <f>IF(C142="Total","Total",IFERROR(VLOOKUP($E$5&amp;$D142&amp;$C142,BS_HD_Dem!A:F,6,0),"(blank)"))</f>
        <v>(blank)</v>
      </c>
      <c r="F142" s="122" t="str">
        <f>IF($E142="(blank)","",SUMIFS(BS_HD_Dem!O:O,BS_HD_Dem!$E:$E,'5.2 C&amp;D Hospital Discharge'!$E$5,BS_HD_Dem!$D:$D,'5.2 C&amp;D Hospital Discharge'!$D142,BS_HD_Dem!$F:$F,'5.2 C&amp;D Hospital Discharge'!$E142))</f>
        <v/>
      </c>
      <c r="G142" s="122" t="str">
        <f>IF($E142="(blank)","",SUMIFS(BS_HD_Dem!P:P,BS_HD_Dem!$E:$E,'5.2 C&amp;D Hospital Discharge'!$E$5,BS_HD_Dem!$D:$D,'5.2 C&amp;D Hospital Discharge'!$D142,BS_HD_Dem!$F:$F,'5.2 C&amp;D Hospital Discharge'!$E142))</f>
        <v/>
      </c>
      <c r="H142" s="122" t="str">
        <f>IF($E142="(blank)","",SUMIFS(BS_HD_Dem!Q:Q,BS_HD_Dem!$E:$E,'5.2 C&amp;D Hospital Discharge'!$E$5,BS_HD_Dem!$D:$D,'5.2 C&amp;D Hospital Discharge'!$D142,BS_HD_Dem!$F:$F,'5.2 C&amp;D Hospital Discharge'!$E142))</f>
        <v/>
      </c>
      <c r="I142" s="122" t="str">
        <f>IF($E142="(blank)","",SUMIFS(BS_HD_Dem!R:R,BS_HD_Dem!$E:$E,'5.2 C&amp;D Hospital Discharge'!$E$5,BS_HD_Dem!$D:$D,'5.2 C&amp;D Hospital Discharge'!$D142,BS_HD_Dem!$F:$F,'5.2 C&amp;D Hospital Discharge'!$E142))</f>
        <v/>
      </c>
      <c r="J142" s="126" t="str">
        <f>IF($E142="(blank)","",SUMIFS(BS_HD_Dem!S:S,BS_HD_Dem!$E:$E,'5.2 C&amp;D Hospital Discharge'!$E$5,BS_HD_Dem!$D:$D,'5.2 C&amp;D Hospital Discharge'!$D142,BS_HD_Dem!$F:$F,'5.2 C&amp;D Hospital Discharge'!$E142))</f>
        <v/>
      </c>
      <c r="K142" s="200"/>
      <c r="L142" s="200"/>
      <c r="M142" s="200"/>
      <c r="N142" s="200"/>
      <c r="O142" s="201"/>
      <c r="V142" s="21"/>
      <c r="W142" s="17" t="str">
        <f t="shared" si="28"/>
        <v>Yes</v>
      </c>
      <c r="X142" s="22"/>
      <c r="Y142" s="120">
        <f t="shared" si="25"/>
        <v>0</v>
      </c>
      <c r="Z142">
        <f t="shared" si="35"/>
        <v>0</v>
      </c>
      <c r="AA142">
        <f t="shared" si="36"/>
        <v>0</v>
      </c>
    </row>
    <row r="143" spans="1:27" ht="15" customHeight="1" x14ac:dyDescent="0.3">
      <c r="C143">
        <f t="shared" si="42"/>
        <v>11</v>
      </c>
      <c r="D143" s="131" t="s">
        <v>686</v>
      </c>
      <c r="E143" s="146" t="str">
        <f>IF(C143="Total","Total",IFERROR(VLOOKUP($E$5&amp;$D143&amp;$C143,BS_HD_Dem!A:F,6,0),"(blank)"))</f>
        <v>(blank)</v>
      </c>
      <c r="F143" s="122" t="str">
        <f>IF($E143="(blank)","",SUMIFS(BS_HD_Dem!O:O,BS_HD_Dem!$E:$E,'5.2 C&amp;D Hospital Discharge'!$E$5,BS_HD_Dem!$D:$D,'5.2 C&amp;D Hospital Discharge'!$D143,BS_HD_Dem!$F:$F,'5.2 C&amp;D Hospital Discharge'!$E143))</f>
        <v/>
      </c>
      <c r="G143" s="122" t="str">
        <f>IF($E143="(blank)","",SUMIFS(BS_HD_Dem!P:P,BS_HD_Dem!$E:$E,'5.2 C&amp;D Hospital Discharge'!$E$5,BS_HD_Dem!$D:$D,'5.2 C&amp;D Hospital Discharge'!$D143,BS_HD_Dem!$F:$F,'5.2 C&amp;D Hospital Discharge'!$E143))</f>
        <v/>
      </c>
      <c r="H143" s="122" t="str">
        <f>IF($E143="(blank)","",SUMIFS(BS_HD_Dem!Q:Q,BS_HD_Dem!$E:$E,'5.2 C&amp;D Hospital Discharge'!$E$5,BS_HD_Dem!$D:$D,'5.2 C&amp;D Hospital Discharge'!$D143,BS_HD_Dem!$F:$F,'5.2 C&amp;D Hospital Discharge'!$E143))</f>
        <v/>
      </c>
      <c r="I143" s="122" t="str">
        <f>IF($E143="(blank)","",SUMIFS(BS_HD_Dem!R:R,BS_HD_Dem!$E:$E,'5.2 C&amp;D Hospital Discharge'!$E$5,BS_HD_Dem!$D:$D,'5.2 C&amp;D Hospital Discharge'!$D143,BS_HD_Dem!$F:$F,'5.2 C&amp;D Hospital Discharge'!$E143))</f>
        <v/>
      </c>
      <c r="J143" s="126" t="str">
        <f>IF($E143="(blank)","",SUMIFS(BS_HD_Dem!S:S,BS_HD_Dem!$E:$E,'5.2 C&amp;D Hospital Discharge'!$E$5,BS_HD_Dem!$D:$D,'5.2 C&amp;D Hospital Discharge'!$D143,BS_HD_Dem!$F:$F,'5.2 C&amp;D Hospital Discharge'!$E143))</f>
        <v/>
      </c>
      <c r="K143" s="200"/>
      <c r="L143" s="200"/>
      <c r="M143" s="200"/>
      <c r="N143" s="200"/>
      <c r="O143" s="201"/>
      <c r="V143" s="21"/>
      <c r="W143" s="17" t="str">
        <f t="shared" si="28"/>
        <v>Yes</v>
      </c>
      <c r="X143" s="22"/>
      <c r="Y143" s="120">
        <f t="shared" si="25"/>
        <v>0</v>
      </c>
      <c r="Z143">
        <f t="shared" si="35"/>
        <v>0</v>
      </c>
      <c r="AA143">
        <f t="shared" si="36"/>
        <v>0</v>
      </c>
    </row>
    <row r="144" spans="1:27" ht="15" customHeight="1" x14ac:dyDescent="0.3">
      <c r="C144">
        <f t="shared" si="42"/>
        <v>12</v>
      </c>
      <c r="D144" s="131" t="s">
        <v>686</v>
      </c>
      <c r="E144" s="146" t="str">
        <f>IF(C144="Total","Total",IFERROR(VLOOKUP($E$5&amp;$D144&amp;$C144,BS_HD_Dem!A:F,6,0),"(blank)"))</f>
        <v>(blank)</v>
      </c>
      <c r="F144" s="122" t="str">
        <f>IF($E144="(blank)","",SUMIFS(BS_HD_Dem!O:O,BS_HD_Dem!$E:$E,'5.2 C&amp;D Hospital Discharge'!$E$5,BS_HD_Dem!$D:$D,'5.2 C&amp;D Hospital Discharge'!$D144,BS_HD_Dem!$F:$F,'5.2 C&amp;D Hospital Discharge'!$E144))</f>
        <v/>
      </c>
      <c r="G144" s="122" t="str">
        <f>IF($E144="(blank)","",SUMIFS(BS_HD_Dem!P:P,BS_HD_Dem!$E:$E,'5.2 C&amp;D Hospital Discharge'!$E$5,BS_HD_Dem!$D:$D,'5.2 C&amp;D Hospital Discharge'!$D144,BS_HD_Dem!$F:$F,'5.2 C&amp;D Hospital Discharge'!$E144))</f>
        <v/>
      </c>
      <c r="H144" s="122" t="str">
        <f>IF($E144="(blank)","",SUMIFS(BS_HD_Dem!Q:Q,BS_HD_Dem!$E:$E,'5.2 C&amp;D Hospital Discharge'!$E$5,BS_HD_Dem!$D:$D,'5.2 C&amp;D Hospital Discharge'!$D144,BS_HD_Dem!$F:$F,'5.2 C&amp;D Hospital Discharge'!$E144))</f>
        <v/>
      </c>
      <c r="I144" s="122" t="str">
        <f>IF($E144="(blank)","",SUMIFS(BS_HD_Dem!R:R,BS_HD_Dem!$E:$E,'5.2 C&amp;D Hospital Discharge'!$E$5,BS_HD_Dem!$D:$D,'5.2 C&amp;D Hospital Discharge'!$D144,BS_HD_Dem!$F:$F,'5.2 C&amp;D Hospital Discharge'!$E144))</f>
        <v/>
      </c>
      <c r="J144" s="126" t="str">
        <f>IF($E144="(blank)","",SUMIFS(BS_HD_Dem!S:S,BS_HD_Dem!$E:$E,'5.2 C&amp;D Hospital Discharge'!$E$5,BS_HD_Dem!$D:$D,'5.2 C&amp;D Hospital Discharge'!$D144,BS_HD_Dem!$F:$F,'5.2 C&amp;D Hospital Discharge'!$E144))</f>
        <v/>
      </c>
      <c r="K144" s="200"/>
      <c r="L144" s="200"/>
      <c r="M144" s="200"/>
      <c r="N144" s="200"/>
      <c r="O144" s="201"/>
      <c r="V144" s="21"/>
      <c r="W144" s="17" t="str">
        <f t="shared" si="28"/>
        <v>Yes</v>
      </c>
      <c r="X144" s="22"/>
      <c r="Y144" s="120">
        <f t="shared" si="25"/>
        <v>0</v>
      </c>
      <c r="Z144">
        <f t="shared" si="35"/>
        <v>0</v>
      </c>
      <c r="AA144">
        <f t="shared" si="36"/>
        <v>0</v>
      </c>
    </row>
    <row r="145" spans="3:27" ht="15" customHeight="1" x14ac:dyDescent="0.3">
      <c r="C145">
        <f t="shared" si="42"/>
        <v>13</v>
      </c>
      <c r="D145" s="131" t="s">
        <v>686</v>
      </c>
      <c r="E145" s="146" t="str">
        <f>IF(C145="Total","Total",IFERROR(VLOOKUP($E$5&amp;$D145&amp;$C145,BS_HD_Dem!A:F,6,0),"(blank)"))</f>
        <v>(blank)</v>
      </c>
      <c r="F145" s="122" t="str">
        <f>IF($E145="(blank)","",SUMIFS(BS_HD_Dem!O:O,BS_HD_Dem!$E:$E,'5.2 C&amp;D Hospital Discharge'!$E$5,BS_HD_Dem!$D:$D,'5.2 C&amp;D Hospital Discharge'!$D145,BS_HD_Dem!$F:$F,'5.2 C&amp;D Hospital Discharge'!$E145))</f>
        <v/>
      </c>
      <c r="G145" s="122" t="str">
        <f>IF($E145="(blank)","",SUMIFS(BS_HD_Dem!P:P,BS_HD_Dem!$E:$E,'5.2 C&amp;D Hospital Discharge'!$E$5,BS_HD_Dem!$D:$D,'5.2 C&amp;D Hospital Discharge'!$D145,BS_HD_Dem!$F:$F,'5.2 C&amp;D Hospital Discharge'!$E145))</f>
        <v/>
      </c>
      <c r="H145" s="122" t="str">
        <f>IF($E145="(blank)","",SUMIFS(BS_HD_Dem!Q:Q,BS_HD_Dem!$E:$E,'5.2 C&amp;D Hospital Discharge'!$E$5,BS_HD_Dem!$D:$D,'5.2 C&amp;D Hospital Discharge'!$D145,BS_HD_Dem!$F:$F,'5.2 C&amp;D Hospital Discharge'!$E145))</f>
        <v/>
      </c>
      <c r="I145" s="122" t="str">
        <f>IF($E145="(blank)","",SUMIFS(BS_HD_Dem!R:R,BS_HD_Dem!$E:$E,'5.2 C&amp;D Hospital Discharge'!$E$5,BS_HD_Dem!$D:$D,'5.2 C&amp;D Hospital Discharge'!$D145,BS_HD_Dem!$F:$F,'5.2 C&amp;D Hospital Discharge'!$E145))</f>
        <v/>
      </c>
      <c r="J145" s="126" t="str">
        <f>IF($E145="(blank)","",SUMIFS(BS_HD_Dem!S:S,BS_HD_Dem!$E:$E,'5.2 C&amp;D Hospital Discharge'!$E$5,BS_HD_Dem!$D:$D,'5.2 C&amp;D Hospital Discharge'!$D145,BS_HD_Dem!$F:$F,'5.2 C&amp;D Hospital Discharge'!$E145))</f>
        <v/>
      </c>
      <c r="K145" s="200"/>
      <c r="L145" s="200"/>
      <c r="M145" s="200"/>
      <c r="N145" s="200"/>
      <c r="O145" s="201"/>
      <c r="V145" s="21"/>
      <c r="W145" s="17" t="str">
        <f t="shared" si="28"/>
        <v>Yes</v>
      </c>
      <c r="X145" s="22"/>
      <c r="Y145" s="120">
        <f t="shared" si="25"/>
        <v>0</v>
      </c>
      <c r="Z145">
        <f t="shared" si="35"/>
        <v>0</v>
      </c>
      <c r="AA145">
        <f t="shared" si="36"/>
        <v>0</v>
      </c>
    </row>
    <row r="146" spans="3:27" ht="15" customHeight="1" x14ac:dyDescent="0.3">
      <c r="C146">
        <f t="shared" si="42"/>
        <v>14</v>
      </c>
      <c r="D146" s="131" t="s">
        <v>686</v>
      </c>
      <c r="E146" s="146" t="str">
        <f>IF(C146="Total","Total",IFERROR(VLOOKUP($E$5&amp;$D146&amp;$C146,BS_HD_Dem!A:F,6,0),"(blank)"))</f>
        <v>(blank)</v>
      </c>
      <c r="F146" s="122" t="str">
        <f>IF($E146="(blank)","",SUMIFS(BS_HD_Dem!O:O,BS_HD_Dem!$E:$E,'5.2 C&amp;D Hospital Discharge'!$E$5,BS_HD_Dem!$D:$D,'5.2 C&amp;D Hospital Discharge'!$D146,BS_HD_Dem!$F:$F,'5.2 C&amp;D Hospital Discharge'!$E146))</f>
        <v/>
      </c>
      <c r="G146" s="122" t="str">
        <f>IF($E146="(blank)","",SUMIFS(BS_HD_Dem!P:P,BS_HD_Dem!$E:$E,'5.2 C&amp;D Hospital Discharge'!$E$5,BS_HD_Dem!$D:$D,'5.2 C&amp;D Hospital Discharge'!$D146,BS_HD_Dem!$F:$F,'5.2 C&amp;D Hospital Discharge'!$E146))</f>
        <v/>
      </c>
      <c r="H146" s="122" t="str">
        <f>IF($E146="(blank)","",SUMIFS(BS_HD_Dem!Q:Q,BS_HD_Dem!$E:$E,'5.2 C&amp;D Hospital Discharge'!$E$5,BS_HD_Dem!$D:$D,'5.2 C&amp;D Hospital Discharge'!$D146,BS_HD_Dem!$F:$F,'5.2 C&amp;D Hospital Discharge'!$E146))</f>
        <v/>
      </c>
      <c r="I146" s="122" t="str">
        <f>IF($E146="(blank)","",SUMIFS(BS_HD_Dem!R:R,BS_HD_Dem!$E:$E,'5.2 C&amp;D Hospital Discharge'!$E$5,BS_HD_Dem!$D:$D,'5.2 C&amp;D Hospital Discharge'!$D146,BS_HD_Dem!$F:$F,'5.2 C&amp;D Hospital Discharge'!$E146))</f>
        <v/>
      </c>
      <c r="J146" s="126" t="str">
        <f>IF($E146="(blank)","",SUMIFS(BS_HD_Dem!S:S,BS_HD_Dem!$E:$E,'5.2 C&amp;D Hospital Discharge'!$E$5,BS_HD_Dem!$D:$D,'5.2 C&amp;D Hospital Discharge'!$D146,BS_HD_Dem!$F:$F,'5.2 C&amp;D Hospital Discharge'!$E146))</f>
        <v/>
      </c>
      <c r="K146" s="200"/>
      <c r="L146" s="200"/>
      <c r="M146" s="200"/>
      <c r="N146" s="200"/>
      <c r="O146" s="201"/>
      <c r="V146" s="21"/>
      <c r="W146" s="17" t="str">
        <f t="shared" si="28"/>
        <v>Yes</v>
      </c>
      <c r="X146" s="22"/>
      <c r="Y146" s="120">
        <f t="shared" si="25"/>
        <v>0</v>
      </c>
      <c r="Z146">
        <f t="shared" si="35"/>
        <v>0</v>
      </c>
      <c r="AA146">
        <f t="shared" si="36"/>
        <v>0</v>
      </c>
    </row>
    <row r="147" spans="3:27" ht="15" customHeight="1" x14ac:dyDescent="0.3">
      <c r="C147">
        <f t="shared" si="42"/>
        <v>15</v>
      </c>
      <c r="D147" s="131" t="s">
        <v>686</v>
      </c>
      <c r="E147" s="146" t="str">
        <f>IF(C147="Total","Total",IFERROR(VLOOKUP($E$5&amp;$D147&amp;$C147,BS_HD_Dem!A:F,6,0),"(blank)"))</f>
        <v>(blank)</v>
      </c>
      <c r="F147" s="122" t="str">
        <f>IF($E147="(blank)","",SUMIFS(BS_HD_Dem!O:O,BS_HD_Dem!$E:$E,'5.2 C&amp;D Hospital Discharge'!$E$5,BS_HD_Dem!$D:$D,'5.2 C&amp;D Hospital Discharge'!$D147,BS_HD_Dem!$F:$F,'5.2 C&amp;D Hospital Discharge'!$E147))</f>
        <v/>
      </c>
      <c r="G147" s="122" t="str">
        <f>IF($E147="(blank)","",SUMIFS(BS_HD_Dem!P:P,BS_HD_Dem!$E:$E,'5.2 C&amp;D Hospital Discharge'!$E$5,BS_HD_Dem!$D:$D,'5.2 C&amp;D Hospital Discharge'!$D147,BS_HD_Dem!$F:$F,'5.2 C&amp;D Hospital Discharge'!$E147))</f>
        <v/>
      </c>
      <c r="H147" s="122" t="str">
        <f>IF($E147="(blank)","",SUMIFS(BS_HD_Dem!Q:Q,BS_HD_Dem!$E:$E,'5.2 C&amp;D Hospital Discharge'!$E$5,BS_HD_Dem!$D:$D,'5.2 C&amp;D Hospital Discharge'!$D147,BS_HD_Dem!$F:$F,'5.2 C&amp;D Hospital Discharge'!$E147))</f>
        <v/>
      </c>
      <c r="I147" s="122" t="str">
        <f>IF($E147="(blank)","",SUMIFS(BS_HD_Dem!R:R,BS_HD_Dem!$E:$E,'5.2 C&amp;D Hospital Discharge'!$E$5,BS_HD_Dem!$D:$D,'5.2 C&amp;D Hospital Discharge'!$D147,BS_HD_Dem!$F:$F,'5.2 C&amp;D Hospital Discharge'!$E147))</f>
        <v/>
      </c>
      <c r="J147" s="126" t="str">
        <f>IF($E147="(blank)","",SUMIFS(BS_HD_Dem!S:S,BS_HD_Dem!$E:$E,'5.2 C&amp;D Hospital Discharge'!$E$5,BS_HD_Dem!$D:$D,'5.2 C&amp;D Hospital Discharge'!$D147,BS_HD_Dem!$F:$F,'5.2 C&amp;D Hospital Discharge'!$E147))</f>
        <v/>
      </c>
      <c r="K147" s="200"/>
      <c r="L147" s="200"/>
      <c r="M147" s="200"/>
      <c r="N147" s="200"/>
      <c r="O147" s="201"/>
      <c r="V147" s="21"/>
      <c r="W147" s="17" t="str">
        <f t="shared" si="28"/>
        <v>Yes</v>
      </c>
      <c r="X147" s="22"/>
      <c r="Y147" s="120">
        <f t="shared" si="25"/>
        <v>0</v>
      </c>
      <c r="Z147">
        <f t="shared" si="35"/>
        <v>0</v>
      </c>
      <c r="AA147">
        <f t="shared" si="36"/>
        <v>0</v>
      </c>
    </row>
    <row r="148" spans="3:27" ht="15" customHeight="1" x14ac:dyDescent="0.3">
      <c r="C148">
        <f t="shared" si="42"/>
        <v>16</v>
      </c>
      <c r="D148" s="131" t="s">
        <v>686</v>
      </c>
      <c r="E148" s="146" t="str">
        <f>IF(C148="Total","Total",IFERROR(VLOOKUP($E$5&amp;$D148&amp;$C148,BS_HD_Dem!A:F,6,0),"(blank)"))</f>
        <v>(blank)</v>
      </c>
      <c r="F148" s="122" t="str">
        <f>IF($E148="(blank)","",SUMIFS(BS_HD_Dem!O:O,BS_HD_Dem!$E:$E,'5.2 C&amp;D Hospital Discharge'!$E$5,BS_HD_Dem!$D:$D,'5.2 C&amp;D Hospital Discharge'!$D148,BS_HD_Dem!$F:$F,'5.2 C&amp;D Hospital Discharge'!$E148))</f>
        <v/>
      </c>
      <c r="G148" s="122" t="str">
        <f>IF($E148="(blank)","",SUMIFS(BS_HD_Dem!P:P,BS_HD_Dem!$E:$E,'5.2 C&amp;D Hospital Discharge'!$E$5,BS_HD_Dem!$D:$D,'5.2 C&amp;D Hospital Discharge'!$D148,BS_HD_Dem!$F:$F,'5.2 C&amp;D Hospital Discharge'!$E148))</f>
        <v/>
      </c>
      <c r="H148" s="122" t="str">
        <f>IF($E148="(blank)","",SUMIFS(BS_HD_Dem!Q:Q,BS_HD_Dem!$E:$E,'5.2 C&amp;D Hospital Discharge'!$E$5,BS_HD_Dem!$D:$D,'5.2 C&amp;D Hospital Discharge'!$D148,BS_HD_Dem!$F:$F,'5.2 C&amp;D Hospital Discharge'!$E148))</f>
        <v/>
      </c>
      <c r="I148" s="122" t="str">
        <f>IF($E148="(blank)","",SUMIFS(BS_HD_Dem!R:R,BS_HD_Dem!$E:$E,'5.2 C&amp;D Hospital Discharge'!$E$5,BS_HD_Dem!$D:$D,'5.2 C&amp;D Hospital Discharge'!$D148,BS_HD_Dem!$F:$F,'5.2 C&amp;D Hospital Discharge'!$E148))</f>
        <v/>
      </c>
      <c r="J148" s="126" t="str">
        <f>IF($E148="(blank)","",SUMIFS(BS_HD_Dem!S:S,BS_HD_Dem!$E:$E,'5.2 C&amp;D Hospital Discharge'!$E$5,BS_HD_Dem!$D:$D,'5.2 C&amp;D Hospital Discharge'!$D148,BS_HD_Dem!$F:$F,'5.2 C&amp;D Hospital Discharge'!$E148))</f>
        <v/>
      </c>
      <c r="K148" s="200"/>
      <c r="L148" s="200"/>
      <c r="M148" s="200"/>
      <c r="N148" s="200"/>
      <c r="O148" s="201"/>
      <c r="V148" s="21"/>
      <c r="W148" s="17" t="str">
        <f t="shared" si="28"/>
        <v>Yes</v>
      </c>
      <c r="X148" s="22"/>
      <c r="Y148" s="120">
        <f t="shared" si="25"/>
        <v>0</v>
      </c>
      <c r="Z148">
        <f t="shared" si="35"/>
        <v>0</v>
      </c>
      <c r="AA148">
        <f t="shared" si="36"/>
        <v>0</v>
      </c>
    </row>
    <row r="149" spans="3:27" ht="15" customHeight="1" x14ac:dyDescent="0.3">
      <c r="C149">
        <f t="shared" si="42"/>
        <v>17</v>
      </c>
      <c r="D149" s="131" t="s">
        <v>686</v>
      </c>
      <c r="E149" s="146" t="str">
        <f>IF(C149="Total","Total",IFERROR(VLOOKUP($E$5&amp;$D149&amp;$C149,BS_HD_Dem!A:F,6,0),"(blank)"))</f>
        <v>(blank)</v>
      </c>
      <c r="F149" s="122" t="str">
        <f>IF($E149="(blank)","",SUMIFS(BS_HD_Dem!O:O,BS_HD_Dem!$E:$E,'5.2 C&amp;D Hospital Discharge'!$E$5,BS_HD_Dem!$D:$D,'5.2 C&amp;D Hospital Discharge'!$D149,BS_HD_Dem!$F:$F,'5.2 C&amp;D Hospital Discharge'!$E149))</f>
        <v/>
      </c>
      <c r="G149" s="122" t="str">
        <f>IF($E149="(blank)","",SUMIFS(BS_HD_Dem!P:P,BS_HD_Dem!$E:$E,'5.2 C&amp;D Hospital Discharge'!$E$5,BS_HD_Dem!$D:$D,'5.2 C&amp;D Hospital Discharge'!$D149,BS_HD_Dem!$F:$F,'5.2 C&amp;D Hospital Discharge'!$E149))</f>
        <v/>
      </c>
      <c r="H149" s="122" t="str">
        <f>IF($E149="(blank)","",SUMIFS(BS_HD_Dem!Q:Q,BS_HD_Dem!$E:$E,'5.2 C&amp;D Hospital Discharge'!$E$5,BS_HD_Dem!$D:$D,'5.2 C&amp;D Hospital Discharge'!$D149,BS_HD_Dem!$F:$F,'5.2 C&amp;D Hospital Discharge'!$E149))</f>
        <v/>
      </c>
      <c r="I149" s="122" t="str">
        <f>IF($E149="(blank)","",SUMIFS(BS_HD_Dem!R:R,BS_HD_Dem!$E:$E,'5.2 C&amp;D Hospital Discharge'!$E$5,BS_HD_Dem!$D:$D,'5.2 C&amp;D Hospital Discharge'!$D149,BS_HD_Dem!$F:$F,'5.2 C&amp;D Hospital Discharge'!$E149))</f>
        <v/>
      </c>
      <c r="J149" s="126" t="str">
        <f>IF($E149="(blank)","",SUMIFS(BS_HD_Dem!S:S,BS_HD_Dem!$E:$E,'5.2 C&amp;D Hospital Discharge'!$E$5,BS_HD_Dem!$D:$D,'5.2 C&amp;D Hospital Discharge'!$D149,BS_HD_Dem!$F:$F,'5.2 C&amp;D Hospital Discharge'!$E149))</f>
        <v/>
      </c>
      <c r="K149" s="200"/>
      <c r="L149" s="200"/>
      <c r="M149" s="200"/>
      <c r="N149" s="200"/>
      <c r="O149" s="201"/>
      <c r="V149" s="21"/>
      <c r="W149" s="17" t="str">
        <f t="shared" si="28"/>
        <v>Yes</v>
      </c>
      <c r="X149" s="22"/>
      <c r="Y149" s="120">
        <f t="shared" si="25"/>
        <v>0</v>
      </c>
      <c r="Z149">
        <f t="shared" si="35"/>
        <v>0</v>
      </c>
      <c r="AA149">
        <f t="shared" si="36"/>
        <v>0</v>
      </c>
    </row>
    <row r="150" spans="3:27" ht="15" customHeight="1" x14ac:dyDescent="0.3">
      <c r="C150">
        <f t="shared" si="42"/>
        <v>18</v>
      </c>
      <c r="D150" s="131" t="s">
        <v>686</v>
      </c>
      <c r="E150" s="146" t="str">
        <f>IF(C150="Total","Total",IFERROR(VLOOKUP($E$5&amp;$D150&amp;$C150,BS_HD_Dem!A:F,6,0),"(blank)"))</f>
        <v>(blank)</v>
      </c>
      <c r="F150" s="122" t="str">
        <f>IF($E150="(blank)","",SUMIFS(BS_HD_Dem!O:O,BS_HD_Dem!$E:$E,'5.2 C&amp;D Hospital Discharge'!$E$5,BS_HD_Dem!$D:$D,'5.2 C&amp;D Hospital Discharge'!$D150,BS_HD_Dem!$F:$F,'5.2 C&amp;D Hospital Discharge'!$E150))</f>
        <v/>
      </c>
      <c r="G150" s="122" t="str">
        <f>IF($E150="(blank)","",SUMIFS(BS_HD_Dem!P:P,BS_HD_Dem!$E:$E,'5.2 C&amp;D Hospital Discharge'!$E$5,BS_HD_Dem!$D:$D,'5.2 C&amp;D Hospital Discharge'!$D150,BS_HD_Dem!$F:$F,'5.2 C&amp;D Hospital Discharge'!$E150))</f>
        <v/>
      </c>
      <c r="H150" s="122" t="str">
        <f>IF($E150="(blank)","",SUMIFS(BS_HD_Dem!Q:Q,BS_HD_Dem!$E:$E,'5.2 C&amp;D Hospital Discharge'!$E$5,BS_HD_Dem!$D:$D,'5.2 C&amp;D Hospital Discharge'!$D150,BS_HD_Dem!$F:$F,'5.2 C&amp;D Hospital Discharge'!$E150))</f>
        <v/>
      </c>
      <c r="I150" s="122" t="str">
        <f>IF($E150="(blank)","",SUMIFS(BS_HD_Dem!R:R,BS_HD_Dem!$E:$E,'5.2 C&amp;D Hospital Discharge'!$E$5,BS_HD_Dem!$D:$D,'5.2 C&amp;D Hospital Discharge'!$D150,BS_HD_Dem!$F:$F,'5.2 C&amp;D Hospital Discharge'!$E150))</f>
        <v/>
      </c>
      <c r="J150" s="126" t="str">
        <f>IF($E150="(blank)","",SUMIFS(BS_HD_Dem!S:S,BS_HD_Dem!$E:$E,'5.2 C&amp;D Hospital Discharge'!$E$5,BS_HD_Dem!$D:$D,'5.2 C&amp;D Hospital Discharge'!$D150,BS_HD_Dem!$F:$F,'5.2 C&amp;D Hospital Discharge'!$E150))</f>
        <v/>
      </c>
      <c r="K150" s="200"/>
      <c r="L150" s="200"/>
      <c r="M150" s="200"/>
      <c r="N150" s="200"/>
      <c r="O150" s="201"/>
      <c r="V150" s="21"/>
      <c r="W150" s="17" t="str">
        <f t="shared" si="28"/>
        <v>Yes</v>
      </c>
      <c r="X150" s="22"/>
      <c r="Y150" s="120">
        <f t="shared" si="25"/>
        <v>0</v>
      </c>
      <c r="Z150">
        <f t="shared" si="35"/>
        <v>0</v>
      </c>
      <c r="AA150">
        <f t="shared" si="36"/>
        <v>0</v>
      </c>
    </row>
    <row r="151" spans="3:27" ht="15" customHeight="1" x14ac:dyDescent="0.3">
      <c r="C151">
        <f t="shared" si="42"/>
        <v>19</v>
      </c>
      <c r="D151" s="131" t="s">
        <v>686</v>
      </c>
      <c r="E151" s="146" t="str">
        <f>IF(C151="Total","Total",IFERROR(VLOOKUP($E$5&amp;$D151&amp;$C151,BS_HD_Dem!A:F,6,0),"(blank)"))</f>
        <v>(blank)</v>
      </c>
      <c r="F151" s="122" t="str">
        <f>IF($E151="(blank)","",SUMIFS(BS_HD_Dem!O:O,BS_HD_Dem!$E:$E,'5.2 C&amp;D Hospital Discharge'!$E$5,BS_HD_Dem!$D:$D,'5.2 C&amp;D Hospital Discharge'!$D151,BS_HD_Dem!$F:$F,'5.2 C&amp;D Hospital Discharge'!$E151))</f>
        <v/>
      </c>
      <c r="G151" s="122" t="str">
        <f>IF($E151="(blank)","",SUMIFS(BS_HD_Dem!P:P,BS_HD_Dem!$E:$E,'5.2 C&amp;D Hospital Discharge'!$E$5,BS_HD_Dem!$D:$D,'5.2 C&amp;D Hospital Discharge'!$D151,BS_HD_Dem!$F:$F,'5.2 C&amp;D Hospital Discharge'!$E151))</f>
        <v/>
      </c>
      <c r="H151" s="122" t="str">
        <f>IF($E151="(blank)","",SUMIFS(BS_HD_Dem!Q:Q,BS_HD_Dem!$E:$E,'5.2 C&amp;D Hospital Discharge'!$E$5,BS_HD_Dem!$D:$D,'5.2 C&amp;D Hospital Discharge'!$D151,BS_HD_Dem!$F:$F,'5.2 C&amp;D Hospital Discharge'!$E151))</f>
        <v/>
      </c>
      <c r="I151" s="122" t="str">
        <f>IF($E151="(blank)","",SUMIFS(BS_HD_Dem!R:R,BS_HD_Dem!$E:$E,'5.2 C&amp;D Hospital Discharge'!$E$5,BS_HD_Dem!$D:$D,'5.2 C&amp;D Hospital Discharge'!$D151,BS_HD_Dem!$F:$F,'5.2 C&amp;D Hospital Discharge'!$E151))</f>
        <v/>
      </c>
      <c r="J151" s="126" t="str">
        <f>IF($E151="(blank)","",SUMIFS(BS_HD_Dem!S:S,BS_HD_Dem!$E:$E,'5.2 C&amp;D Hospital Discharge'!$E$5,BS_HD_Dem!$D:$D,'5.2 C&amp;D Hospital Discharge'!$D151,BS_HD_Dem!$F:$F,'5.2 C&amp;D Hospital Discharge'!$E151))</f>
        <v/>
      </c>
      <c r="K151" s="200"/>
      <c r="L151" s="200"/>
      <c r="M151" s="200"/>
      <c r="N151" s="200"/>
      <c r="O151" s="201"/>
      <c r="V151" s="21"/>
      <c r="W151" s="17" t="str">
        <f t="shared" si="28"/>
        <v>Yes</v>
      </c>
      <c r="X151" s="22"/>
      <c r="Y151" s="120">
        <f t="shared" ref="Y151:Y156" si="43">IF(W151="No", 1,0)</f>
        <v>0</v>
      </c>
      <c r="Z151">
        <f t="shared" si="35"/>
        <v>0</v>
      </c>
      <c r="AA151">
        <f t="shared" si="36"/>
        <v>0</v>
      </c>
    </row>
    <row r="152" spans="3:27" ht="15" customHeight="1" x14ac:dyDescent="0.3">
      <c r="C152">
        <f t="shared" si="42"/>
        <v>20</v>
      </c>
      <c r="D152" s="131" t="s">
        <v>686</v>
      </c>
      <c r="E152" s="146" t="str">
        <f>IF(C152="Total","Total",IFERROR(VLOOKUP($E$5&amp;$D152&amp;$C152,BS_HD_Dem!A:F,6,0),"(blank)"))</f>
        <v>(blank)</v>
      </c>
      <c r="F152" s="122" t="str">
        <f>IF($E152="(blank)","",SUMIFS(BS_HD_Dem!O:O,BS_HD_Dem!$E:$E,'5.2 C&amp;D Hospital Discharge'!$E$5,BS_HD_Dem!$D:$D,'5.2 C&amp;D Hospital Discharge'!$D152,BS_HD_Dem!$F:$F,'5.2 C&amp;D Hospital Discharge'!$E152))</f>
        <v/>
      </c>
      <c r="G152" s="122" t="str">
        <f>IF($E152="(blank)","",SUMIFS(BS_HD_Dem!P:P,BS_HD_Dem!$E:$E,'5.2 C&amp;D Hospital Discharge'!$E$5,BS_HD_Dem!$D:$D,'5.2 C&amp;D Hospital Discharge'!$D152,BS_HD_Dem!$F:$F,'5.2 C&amp;D Hospital Discharge'!$E152))</f>
        <v/>
      </c>
      <c r="H152" s="122" t="str">
        <f>IF($E152="(blank)","",SUMIFS(BS_HD_Dem!Q:Q,BS_HD_Dem!$E:$E,'5.2 C&amp;D Hospital Discharge'!$E$5,BS_HD_Dem!$D:$D,'5.2 C&amp;D Hospital Discharge'!$D152,BS_HD_Dem!$F:$F,'5.2 C&amp;D Hospital Discharge'!$E152))</f>
        <v/>
      </c>
      <c r="I152" s="122" t="str">
        <f>IF($E152="(blank)","",SUMIFS(BS_HD_Dem!R:R,BS_HD_Dem!$E:$E,'5.2 C&amp;D Hospital Discharge'!$E$5,BS_HD_Dem!$D:$D,'5.2 C&amp;D Hospital Discharge'!$D152,BS_HD_Dem!$F:$F,'5.2 C&amp;D Hospital Discharge'!$E152))</f>
        <v/>
      </c>
      <c r="J152" s="126" t="str">
        <f>IF($E152="(blank)","",SUMIFS(BS_HD_Dem!S:S,BS_HD_Dem!$E:$E,'5.2 C&amp;D Hospital Discharge'!$E$5,BS_HD_Dem!$D:$D,'5.2 C&amp;D Hospital Discharge'!$D152,BS_HD_Dem!$F:$F,'5.2 C&amp;D Hospital Discharge'!$E152))</f>
        <v/>
      </c>
      <c r="K152" s="200"/>
      <c r="L152" s="200"/>
      <c r="M152" s="200"/>
      <c r="N152" s="200"/>
      <c r="O152" s="201"/>
      <c r="V152" s="21"/>
      <c r="W152" s="17" t="str">
        <f t="shared" si="28"/>
        <v>Yes</v>
      </c>
      <c r="X152" s="22"/>
      <c r="Y152" s="120">
        <f t="shared" si="43"/>
        <v>0</v>
      </c>
      <c r="Z152">
        <f t="shared" si="35"/>
        <v>0</v>
      </c>
      <c r="AA152">
        <f t="shared" si="36"/>
        <v>0</v>
      </c>
    </row>
    <row r="153" spans="3:27" ht="15" customHeight="1" x14ac:dyDescent="0.3">
      <c r="C153">
        <f t="shared" si="42"/>
        <v>21</v>
      </c>
      <c r="D153" s="131" t="s">
        <v>686</v>
      </c>
      <c r="E153" s="146" t="str">
        <f>IF(C153="Total","Total",IFERROR(VLOOKUP($E$5&amp;$D153&amp;$C153,BS_HD_Dem!A:F,6,0),"(blank)"))</f>
        <v>(blank)</v>
      </c>
      <c r="F153" s="122" t="str">
        <f>IF($E153="(blank)","",SUMIFS(BS_HD_Dem!O:O,BS_HD_Dem!$E:$E,'5.2 C&amp;D Hospital Discharge'!$E$5,BS_HD_Dem!$D:$D,'5.2 C&amp;D Hospital Discharge'!$D153,BS_HD_Dem!$F:$F,'5.2 C&amp;D Hospital Discharge'!$E153))</f>
        <v/>
      </c>
      <c r="G153" s="122" t="str">
        <f>IF($E153="(blank)","",SUMIFS(BS_HD_Dem!P:P,BS_HD_Dem!$E:$E,'5.2 C&amp;D Hospital Discharge'!$E$5,BS_HD_Dem!$D:$D,'5.2 C&amp;D Hospital Discharge'!$D153,BS_HD_Dem!$F:$F,'5.2 C&amp;D Hospital Discharge'!$E153))</f>
        <v/>
      </c>
      <c r="H153" s="122" t="str">
        <f>IF($E153="(blank)","",SUMIFS(BS_HD_Dem!Q:Q,BS_HD_Dem!$E:$E,'5.2 C&amp;D Hospital Discharge'!$E$5,BS_HD_Dem!$D:$D,'5.2 C&amp;D Hospital Discharge'!$D153,BS_HD_Dem!$F:$F,'5.2 C&amp;D Hospital Discharge'!$E153))</f>
        <v/>
      </c>
      <c r="I153" s="122" t="str">
        <f>IF($E153="(blank)","",SUMIFS(BS_HD_Dem!R:R,BS_HD_Dem!$E:$E,'5.2 C&amp;D Hospital Discharge'!$E$5,BS_HD_Dem!$D:$D,'5.2 C&amp;D Hospital Discharge'!$D153,BS_HD_Dem!$F:$F,'5.2 C&amp;D Hospital Discharge'!$E153))</f>
        <v/>
      </c>
      <c r="J153" s="126" t="str">
        <f>IF($E153="(blank)","",SUMIFS(BS_HD_Dem!S:S,BS_HD_Dem!$E:$E,'5.2 C&amp;D Hospital Discharge'!$E$5,BS_HD_Dem!$D:$D,'5.2 C&amp;D Hospital Discharge'!$D153,BS_HD_Dem!$F:$F,'5.2 C&amp;D Hospital Discharge'!$E153))</f>
        <v/>
      </c>
      <c r="K153" s="200"/>
      <c r="L153" s="200"/>
      <c r="M153" s="200"/>
      <c r="N153" s="200"/>
      <c r="O153" s="201"/>
      <c r="V153" s="21"/>
      <c r="W153" s="17" t="str">
        <f t="shared" si="28"/>
        <v>Yes</v>
      </c>
      <c r="X153" s="22"/>
      <c r="Y153" s="120">
        <f t="shared" si="43"/>
        <v>0</v>
      </c>
      <c r="Z153">
        <f t="shared" si="35"/>
        <v>0</v>
      </c>
      <c r="AA153">
        <f t="shared" si="36"/>
        <v>0</v>
      </c>
    </row>
    <row r="154" spans="3:27" ht="15" customHeight="1" x14ac:dyDescent="0.3">
      <c r="C154">
        <f t="shared" si="42"/>
        <v>22</v>
      </c>
      <c r="D154" s="131" t="s">
        <v>686</v>
      </c>
      <c r="E154" s="146" t="str">
        <f>IF(C154="Total","Total",IFERROR(VLOOKUP($E$5&amp;$D154&amp;$C154,BS_HD_Dem!A:F,6,0),"(blank)"))</f>
        <v>(blank)</v>
      </c>
      <c r="F154" s="122" t="str">
        <f>IF($E154="(blank)","",SUMIFS(BS_HD_Dem!O:O,BS_HD_Dem!$E:$E,'5.2 C&amp;D Hospital Discharge'!$E$5,BS_HD_Dem!$D:$D,'5.2 C&amp;D Hospital Discharge'!$D154,BS_HD_Dem!$F:$F,'5.2 C&amp;D Hospital Discharge'!$E154))</f>
        <v/>
      </c>
      <c r="G154" s="122" t="str">
        <f>IF($E154="(blank)","",SUMIFS(BS_HD_Dem!P:P,BS_HD_Dem!$E:$E,'5.2 C&amp;D Hospital Discharge'!$E$5,BS_HD_Dem!$D:$D,'5.2 C&amp;D Hospital Discharge'!$D154,BS_HD_Dem!$F:$F,'5.2 C&amp;D Hospital Discharge'!$E154))</f>
        <v/>
      </c>
      <c r="H154" s="122" t="str">
        <f>IF($E154="(blank)","",SUMIFS(BS_HD_Dem!Q:Q,BS_HD_Dem!$E:$E,'5.2 C&amp;D Hospital Discharge'!$E$5,BS_HD_Dem!$D:$D,'5.2 C&amp;D Hospital Discharge'!$D154,BS_HD_Dem!$F:$F,'5.2 C&amp;D Hospital Discharge'!$E154))</f>
        <v/>
      </c>
      <c r="I154" s="122" t="str">
        <f>IF($E154="(blank)","",SUMIFS(BS_HD_Dem!R:R,BS_HD_Dem!$E:$E,'5.2 C&amp;D Hospital Discharge'!$E$5,BS_HD_Dem!$D:$D,'5.2 C&amp;D Hospital Discharge'!$D154,BS_HD_Dem!$F:$F,'5.2 C&amp;D Hospital Discharge'!$E154))</f>
        <v/>
      </c>
      <c r="J154" s="126" t="str">
        <f>IF($E154="(blank)","",SUMIFS(BS_HD_Dem!S:S,BS_HD_Dem!$E:$E,'5.2 C&amp;D Hospital Discharge'!$E$5,BS_HD_Dem!$D:$D,'5.2 C&amp;D Hospital Discharge'!$D154,BS_HD_Dem!$F:$F,'5.2 C&amp;D Hospital Discharge'!$E154))</f>
        <v/>
      </c>
      <c r="K154" s="200"/>
      <c r="L154" s="200"/>
      <c r="M154" s="200"/>
      <c r="N154" s="200"/>
      <c r="O154" s="201"/>
      <c r="V154" s="21"/>
      <c r="W154" s="17" t="str">
        <f t="shared" si="28"/>
        <v>Yes</v>
      </c>
      <c r="X154" s="22"/>
      <c r="Y154" s="120">
        <f t="shared" si="43"/>
        <v>0</v>
      </c>
      <c r="Z154">
        <f t="shared" si="35"/>
        <v>0</v>
      </c>
      <c r="AA154">
        <f t="shared" si="36"/>
        <v>0</v>
      </c>
    </row>
    <row r="155" spans="3:27" ht="15" customHeight="1" x14ac:dyDescent="0.3">
      <c r="C155">
        <f t="shared" si="42"/>
        <v>23</v>
      </c>
      <c r="D155" s="131" t="s">
        <v>686</v>
      </c>
      <c r="E155" s="146" t="str">
        <f>IF(C155="Total","Total",IFERROR(VLOOKUP($E$5&amp;$D155&amp;$C155,BS_HD_Dem!A:F,6,0),"(blank)"))</f>
        <v>(blank)</v>
      </c>
      <c r="F155" s="122" t="str">
        <f>IF($E155="(blank)","",SUMIFS(BS_HD_Dem!O:O,BS_HD_Dem!$E:$E,'5.2 C&amp;D Hospital Discharge'!$E$5,BS_HD_Dem!$D:$D,'5.2 C&amp;D Hospital Discharge'!$D155,BS_HD_Dem!$F:$F,'5.2 C&amp;D Hospital Discharge'!$E155))</f>
        <v/>
      </c>
      <c r="G155" s="122" t="str">
        <f>IF($E155="(blank)","",SUMIFS(BS_HD_Dem!P:P,BS_HD_Dem!$E:$E,'5.2 C&amp;D Hospital Discharge'!$E$5,BS_HD_Dem!$D:$D,'5.2 C&amp;D Hospital Discharge'!$D155,BS_HD_Dem!$F:$F,'5.2 C&amp;D Hospital Discharge'!$E155))</f>
        <v/>
      </c>
      <c r="H155" s="122" t="str">
        <f>IF($E155="(blank)","",SUMIFS(BS_HD_Dem!Q:Q,BS_HD_Dem!$E:$E,'5.2 C&amp;D Hospital Discharge'!$E$5,BS_HD_Dem!$D:$D,'5.2 C&amp;D Hospital Discharge'!$D155,BS_HD_Dem!$F:$F,'5.2 C&amp;D Hospital Discharge'!$E155))</f>
        <v/>
      </c>
      <c r="I155" s="122" t="str">
        <f>IF($E155="(blank)","",SUMIFS(BS_HD_Dem!R:R,BS_HD_Dem!$E:$E,'5.2 C&amp;D Hospital Discharge'!$E$5,BS_HD_Dem!$D:$D,'5.2 C&amp;D Hospital Discharge'!$D155,BS_HD_Dem!$F:$F,'5.2 C&amp;D Hospital Discharge'!$E155))</f>
        <v/>
      </c>
      <c r="J155" s="126" t="str">
        <f>IF($E155="(blank)","",SUMIFS(BS_HD_Dem!S:S,BS_HD_Dem!$E:$E,'5.2 C&amp;D Hospital Discharge'!$E$5,BS_HD_Dem!$D:$D,'5.2 C&amp;D Hospital Discharge'!$D155,BS_HD_Dem!$F:$F,'5.2 C&amp;D Hospital Discharge'!$E155))</f>
        <v/>
      </c>
      <c r="K155" s="200"/>
      <c r="L155" s="200"/>
      <c r="M155" s="200"/>
      <c r="N155" s="200"/>
      <c r="O155" s="201"/>
      <c r="V155" s="21"/>
      <c r="W155" s="17" t="str">
        <f t="shared" si="28"/>
        <v>Yes</v>
      </c>
      <c r="X155" s="22"/>
      <c r="Y155" s="120">
        <f t="shared" si="43"/>
        <v>0</v>
      </c>
      <c r="Z155">
        <f t="shared" si="35"/>
        <v>0</v>
      </c>
      <c r="AA155">
        <f t="shared" si="36"/>
        <v>0</v>
      </c>
    </row>
    <row r="156" spans="3:27" ht="15" customHeight="1" thickBot="1" x14ac:dyDescent="0.35">
      <c r="C156">
        <f t="shared" si="42"/>
        <v>24</v>
      </c>
      <c r="D156" s="132" t="s">
        <v>686</v>
      </c>
      <c r="E156" s="147" t="str">
        <f>IF(C156="Total","Total",IFERROR(VLOOKUP($E$5&amp;$D156&amp;$C156,BS_HD_Dem!A:F,6,0),"(blank)"))</f>
        <v>(blank)</v>
      </c>
      <c r="F156" s="128" t="str">
        <f>IF($E156="(blank)","",SUMIFS(BS_HD_Dem!O:O,BS_HD_Dem!$E:$E,'5.2 C&amp;D Hospital Discharge'!$E$5,BS_HD_Dem!$D:$D,'5.2 C&amp;D Hospital Discharge'!$D156,BS_HD_Dem!$F:$F,'5.2 C&amp;D Hospital Discharge'!$E156))</f>
        <v/>
      </c>
      <c r="G156" s="128" t="str">
        <f>IF($E156="(blank)","",SUMIFS(BS_HD_Dem!P:P,BS_HD_Dem!$E:$E,'5.2 C&amp;D Hospital Discharge'!$E$5,BS_HD_Dem!$D:$D,'5.2 C&amp;D Hospital Discharge'!$D156,BS_HD_Dem!$F:$F,'5.2 C&amp;D Hospital Discharge'!$E156))</f>
        <v/>
      </c>
      <c r="H156" s="128" t="str">
        <f>IF($E156="(blank)","",SUMIFS(BS_HD_Dem!Q:Q,BS_HD_Dem!$E:$E,'5.2 C&amp;D Hospital Discharge'!$E$5,BS_HD_Dem!$D:$D,'5.2 C&amp;D Hospital Discharge'!$D156,BS_HD_Dem!$F:$F,'5.2 C&amp;D Hospital Discharge'!$E156))</f>
        <v/>
      </c>
      <c r="I156" s="128" t="str">
        <f>IF($E156="(blank)","",SUMIFS(BS_HD_Dem!R:R,BS_HD_Dem!$E:$E,'5.2 C&amp;D Hospital Discharge'!$E$5,BS_HD_Dem!$D:$D,'5.2 C&amp;D Hospital Discharge'!$D156,BS_HD_Dem!$F:$F,'5.2 C&amp;D Hospital Discharge'!$E156))</f>
        <v/>
      </c>
      <c r="J156" s="129" t="str">
        <f>IF($E156="(blank)","",SUMIFS(BS_HD_Dem!S:S,BS_HD_Dem!$E:$E,'5.2 C&amp;D Hospital Discharge'!$E$5,BS_HD_Dem!$D:$D,'5.2 C&amp;D Hospital Discharge'!$D156,BS_HD_Dem!$F:$F,'5.2 C&amp;D Hospital Discharge'!$E156))</f>
        <v/>
      </c>
      <c r="K156" s="202"/>
      <c r="L156" s="202"/>
      <c r="M156" s="202"/>
      <c r="N156" s="202"/>
      <c r="O156" s="203"/>
      <c r="V156" s="21"/>
      <c r="W156" s="163" t="str">
        <f t="shared" si="28"/>
        <v>Yes</v>
      </c>
      <c r="X156" s="22"/>
      <c r="Y156" s="120">
        <f t="shared" si="43"/>
        <v>0</v>
      </c>
      <c r="Z156">
        <f t="shared" si="35"/>
        <v>0</v>
      </c>
      <c r="AA156">
        <f t="shared" si="36"/>
        <v>0</v>
      </c>
    </row>
    <row r="157" spans="3:27" ht="15" customHeight="1" x14ac:dyDescent="0.3">
      <c r="D157" s="103"/>
      <c r="E157" s="103"/>
      <c r="F157" s="310" t="s">
        <v>699</v>
      </c>
      <c r="G157" s="310"/>
      <c r="H157" s="310"/>
      <c r="I157" s="104" t="s">
        <v>700</v>
      </c>
      <c r="J157" s="104" t="s">
        <v>701</v>
      </c>
      <c r="V157" s="21"/>
      <c r="W157" s="22"/>
      <c r="X157" s="22"/>
      <c r="Y157" s="120">
        <f ca="1">SUM(Y22:Y156)</f>
        <v>0</v>
      </c>
    </row>
    <row r="158" spans="3:27" ht="14.4" x14ac:dyDescent="0.3">
      <c r="J158" s="106"/>
      <c r="V158" s="21"/>
      <c r="W158" s="22"/>
      <c r="X158" s="22"/>
    </row>
    <row r="159" spans="3:27" ht="14.4" x14ac:dyDescent="0.3"/>
    <row r="160" spans="3:27" ht="14.4" x14ac:dyDescent="0.3"/>
    <row r="161" ht="14.4" x14ac:dyDescent="0.3"/>
    <row r="162" ht="14.4" x14ac:dyDescent="0.3"/>
    <row r="163" ht="14.4" x14ac:dyDescent="0.3"/>
    <row r="164" ht="14.4" x14ac:dyDescent="0.3"/>
    <row r="165" ht="14.4" x14ac:dyDescent="0.3"/>
    <row r="166" ht="14.4" x14ac:dyDescent="0.3"/>
    <row r="167" ht="14.4" x14ac:dyDescent="0.3"/>
    <row r="168" ht="14.4" x14ac:dyDescent="0.3"/>
    <row r="169" ht="14.4" x14ac:dyDescent="0.3"/>
    <row r="170" ht="14.4" x14ac:dyDescent="0.3"/>
    <row r="171" ht="14.4" x14ac:dyDescent="0.3"/>
    <row r="172" ht="14.4" x14ac:dyDescent="0.3"/>
    <row r="173" ht="14.4" x14ac:dyDescent="0.3"/>
    <row r="174" ht="14.4" x14ac:dyDescent="0.3"/>
    <row r="175" ht="14.4" x14ac:dyDescent="0.3"/>
  </sheetData>
  <sheetProtection algorithmName="SHA-512" hashValue="V7yxKKcxti5Eg/bo6AQwWv2CdZUtG8cy7Hyw2GrhtRNPhsJxL/b9yQf8TmtaqKLAQc6I0HG4uIBDxSyvyMQIag==" saltValue="melbncjvzEQeSfExHBpMqg==" spinCount="100000" sheet="1" objects="1" scenarios="1" formatColumns="0" formatRows="0" selectLockedCells="1" autoFilter="0"/>
  <mergeCells count="8">
    <mergeCell ref="D30:E30"/>
    <mergeCell ref="D2:E2"/>
    <mergeCell ref="F157:H157"/>
    <mergeCell ref="P9:T9"/>
    <mergeCell ref="K9:O9"/>
    <mergeCell ref="K20:O20"/>
    <mergeCell ref="P20:T20"/>
    <mergeCell ref="K30:O30"/>
  </mergeCells>
  <conditionalFormatting sqref="E37">
    <cfRule type="expression" priority="14">
      <formula>IF(E36&lt;&gt;"(blank)",1,0)</formula>
    </cfRule>
  </conditionalFormatting>
  <conditionalFormatting sqref="E33:O156">
    <cfRule type="expression" dxfId="3" priority="1">
      <formula>IF($E33="(blank)",1,0)</formula>
    </cfRule>
  </conditionalFormatting>
  <conditionalFormatting sqref="K32:O156">
    <cfRule type="expression" dxfId="2" priority="2">
      <formula>IF(AND($E32&lt;&gt;"(blank)",$E32&lt;&gt;"Total"),1,0)</formula>
    </cfRule>
  </conditionalFormatting>
  <conditionalFormatting sqref="W22:W26 W33:W156">
    <cfRule type="cellIs" dxfId="1" priority="12" operator="equal">
      <formula>"Yes"</formula>
    </cfRule>
  </conditionalFormatting>
  <dataValidations count="2">
    <dataValidation type="decimal" operator="greaterThan" allowBlank="1" showInputMessage="1" showErrorMessage="1" error="Please enter a non-negative number" sqref="F22:T26" xr:uid="{8308A329-4584-4883-B83D-1BCA7EBAA09E}">
      <formula1>-1</formula1>
    </dataValidation>
    <dataValidation type="whole" operator="greaterThan" allowBlank="1" showInputMessage="1" showErrorMessage="1" errorTitle="Data validation error" error="Please enter a non-negative number" sqref="K33:O56 K58:O81 K83:O106 K108:O131 K133:O156" xr:uid="{791951A2-A1AC-4C84-906B-041B34CC758C}">
      <formula1>-1</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43BF53D18AD3468147BA2E2275D68A" ma:contentTypeVersion="22" ma:contentTypeDescription="Create a new document." ma:contentTypeScope="" ma:versionID="619065543ec3de5cae2a197261360b12">
  <xsd:schema xmlns:xsd="http://www.w3.org/2001/XMLSchema" xmlns:xs="http://www.w3.org/2001/XMLSchema" xmlns:p="http://schemas.microsoft.com/office/2006/metadata/properties" xmlns:ns1="http://schemas.microsoft.com/sharepoint/v3" xmlns:ns2="a7f645ad-858e-4a64-8785-b3426c3fca3b" xmlns:ns3="e6c1c78d-fe1e-4280-91dc-49be8f28a2e2" xmlns:ns4="cccaf3ac-2de9-44d4-aa31-54302fceb5f7" targetNamespace="http://schemas.microsoft.com/office/2006/metadata/properties" ma:root="true" ma:fieldsID="5288a6b0ad3ae6d45485a305b6a1777f" ns1:_="" ns2:_="" ns3:_="" ns4:_="">
    <xsd:import namespace="http://schemas.microsoft.com/sharepoint/v3"/>
    <xsd:import namespace="a7f645ad-858e-4a64-8785-b3426c3fca3b"/>
    <xsd:import namespace="e6c1c78d-fe1e-4280-91dc-49be8f28a2e2"/>
    <xsd:import namespace="cccaf3ac-2de9-44d4-aa31-54302fceb5f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Number" minOccurs="0"/>
                <xsd:element ref="ns2:Order0" minOccurs="0"/>
                <xsd:element ref="ns2:lcf76f155ced4ddcb4097134ff3c332f" minOccurs="0"/>
                <xsd:element ref="ns4:TaxCatchAll" minOccurs="0"/>
                <xsd:element ref="ns2:email_x0020_msg"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f645ad-858e-4a64-8785-b3426c3fca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Number" ma:index="23" nillable="true" ma:displayName="Number" ma:format="Dropdown" ma:internalName="Number" ma:percentage="FALSE">
      <xsd:simpleType>
        <xsd:restriction base="dms:Number"/>
      </xsd:simpleType>
    </xsd:element>
    <xsd:element name="Order0" ma:index="24" nillable="true" ma:displayName="Order" ma:format="DateTime" ma:internalName="Order0">
      <xsd:simpleType>
        <xsd:restriction base="dms:DateTim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email_x0020_msg" ma:index="28" nillable="true" ma:displayName="email msg" ma:internalName="email_x0020_msg">
      <xsd:simpleType>
        <xsd:restriction base="dms:Note">
          <xsd:maxLength value="255"/>
        </xsd:restriction>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c1c78d-fe1e-4280-91dc-49be8f28a2e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d90f7027-ca56-4294-af1d-cfa10f47b891}" ma:internalName="TaxCatchAll" ma:showField="CatchAllData" ma:web="e6c1c78d-fe1e-4280-91dc-49be8f28a2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Number xmlns="a7f645ad-858e-4a64-8785-b3426c3fca3b" xsi:nil="true"/>
    <Order0 xmlns="a7f645ad-858e-4a64-8785-b3426c3fca3b" xsi:nil="true"/>
    <lcf76f155ced4ddcb4097134ff3c332f xmlns="a7f645ad-858e-4a64-8785-b3426c3fca3b">
      <Terms xmlns="http://schemas.microsoft.com/office/infopath/2007/PartnerControls"/>
    </lcf76f155ced4ddcb4097134ff3c332f>
    <TaxCatchAll xmlns="cccaf3ac-2de9-44d4-aa31-54302fceb5f7" xsi:nil="true"/>
    <email_x0020_msg xmlns="a7f645ad-858e-4a64-8785-b3426c3fca3b" xsi:nil="true"/>
    <SharedWithUsers xmlns="e6c1c78d-fe1e-4280-91dc-49be8f28a2e2">
      <UserInfo>
        <DisplayName>Jane Lord</DisplayName>
        <AccountId>23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5 f e f e 0 8 7 - b 2 3 c - 4 a 6 e - 8 8 d d - 6 f d 5 5 1 4 c 7 c b 0 "   x m l n s = " h t t p : / / s c h e m a s . m i c r o s o f t . c o m / D a t a M a s h u p " > A A A A A K c K A A B Q S w M E F A A C A A g A c Z Y 1 V / B 1 c K a k A A A A 9 g A A A B I A H A B D b 2 5 m a W c v U G F j a 2 F n Z S 5 4 b W w g o h g A K K A U A A A A A A A A A A A A A A A A A A A A A A A A A A A A h Y + 9 D o I w G E V f h X S n f y 6 E f J R E B x d J T E y M a 1 M q N E I x t F j e z c F H 8 h X E K O r m e M 8 9 w 7 3 3 6 w 3 y s W 2 i i + 6 d 6 W y G G K Y o 0 l Z 1 p b F V h g Z / j B O U C 9 h K d Z K V j i b Z u n R 0 Z Y Z q 7 8 8 p I S E E H B a 4 6 y v C K W X k U G x 2 q t a t R B / Z / J d j Y 5 2 X V m k k Y P 8 a I z h m L M G c c k y B z B A K Y 7 8 C n / Y + 2 x 8 I q 6 H x Q 6 + F t v F 6 C W S O Q N 4 f x A N Q S w M E F A A C A A g A c Z Y 1 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G W N V c U z E v 4 o Q c A A F 5 L A A A T A B w A R m 9 y b X V s Y X M v U 2 V j d G l v b j E u b S C i G A A o o B Q A A A A A A A A A A A A A A A A A A A A A A A A A A A D t W u t P 4 z g Q / 4 7 E / 2 A F a d V I o W 2 a 8 N o 7 9 s R j E X t 7 2 u M o 2 v t Q V c i 0 h k b k 0 c s D q B D / + 4 3 t p H G a O G 0 P K A d y P y x 2 b M + M x + O Z 3 4 w 3 I o P Y C X z U 5 X / N X 9 b X 1 t e i E Q 7 J E J 1 / P U H 7 y C X x + h q C X z d I w g G B L 1 0 6 f B Y 4 f t w 8 C v y Y + H H U 0 E Z x P I 4 + t 1 r + K C L + j Y v 9 Y Z O R G b N 5 g 8 B r R U 5 M o t Y h i W M S H s F I N x m P g z C + I N i z 7 d 2 W Z q D e w d j 5 S c K I C r S P z K 2 + b n D W G 9 o 5 G R D n D o S 6 I N 7 Y x U B J o 5 I w k R 5 7 P 7 B H 9 q v m 9 J 9 6 q Y j 9 K a l O u 2 N t d r b o + k q 6 G b l s X h W N M 9 i g 7 / g 3 0 2 W c W r Y k I 1 G e V k X s 6 0 M c 4 k H M h H i I 0 S G 5 D k K C j o n r e K C y k J K + w F c u a V 6 E 2 I 9 g 0 D s K 3 M T z o 0 a V I A Z 6 f N Q o e 2 g R P B g x o k 1 O d E q z c W k g 7 V L T D R R P x g T F M O X p S V 9 f c / x F h R I N Z U M 7 J h 6 c O D o 9 R t c h b C 8 a E R J r l c Y D R j X d + D f / L r g l 6 C i J 4 s B D J 4 n P b T D f 8 M F w y L f a 4 O t B 6 K k O 0 I n j T v e 4 M f u 9 M V W z L h q R F 9 C z / j M e k R C l S h T Y d Y k L 1 y B X r k w + U H G m 4 V m + T 7 p w r G P Q C V U g J Z 6 y E 7 j x c d Z O N y m V s G r f n A i f Q o W h A s 8 q Y U P r Y j A L w r u 6 o A r 4 A K d I L 3 l w H 8 1 q g H 5 r S D e Q q r z R o / x A N e i c X J M w x G 5 2 y I v + G p w b w h E C 6 5 n Q v 5 M g Q T 4 h Q 1 3 r o 1 + / w K 6 D G L u R p i N q X Y 3 e G Y 5 H 9 3 j S B 3 k 1 r q J o B C 4 E 7 B e 2 H A U D B 4 Q Y g E m i x p j P R C b 6 h D q 6 h o I Q F V a f E 7 o n D w w E 4 R i N A g / E z h f V L 3 B 8 h N E V G V L V R O D O 6 P W b r q 1 m N s J X j u v E m P n a j O E c f o U 1 S / P s 5 o o Z B p 4 z A F I 4 n M x q R 7 Z w k y 0 M S e Q M Y c e g 1 p a f g F 8 G p o w A m B i o 2 y O B T 5 D r 3 B J 3 g u I A p v + T O D C K k R v 4 N y T k R N g C t l / w T w O m w T d h m u / a q t o 1 N 5 6 I x y T U c P y B m w w p 7 5 9 H X T 1 f 2 9 a 1 g k N h 5 I f o J 3 Y T k l + j 9 D v 7 2 p i 9 b M Z K V L w S L g W d G u m u w 8 L 2 j U c t 1 b P o G 4 u K M 6 W a m 1 G w s d y t N x a + B S X Z a d A r i C 7 G x l n p W S z s T Q P E X w k J J 4 e O z 8 w H b O t R 0 8 g D C 8 / h C f j m x M U s e G i f N c F h i 4 5 a e 9 J Q X 4 i u M 2 6 9 M q 4 2 z n A I V G G r J n W k V 4 4 P G 9 X R / p d 8 b m H + 1 4 c B c Z t / B + H t V R D c C q s N 5 C e u C 8 A g T E h 2 Y H z b N k J H e I w H T j z 5 x A P + Z T c L 9 B k S + x Y T b 1 + z m 7 M z N e M 7 K G R f 4 w s A B R 3 j G P c L 5 C t j n z w 4 S 6 W B Y + O z t m j c 5 M 3 t v L m T N 3 f z 5 l 7 e N N t C 2 x T a H a F t C W 1 b a A s 8 T Y G p K X A 1 B b b m X n 4 r u B a + k z F E V A z X D g X X M 9 G Z f Z a h B M 3 Y 2 T b M v e 3 d I r 0 D F j I A D A 0 d a p t w V f j 8 K p B V y Z 3 K y g B Q F v i d a 9 R L V c l c Z 3 Z H E E j j I 2 1 E 8 B C k C o N 7 D R E 3 I s y c i j K B F b s g 1 H F w L + I h + p V + a t Q I T c + W C / N U I p m 7 2 B K k S w F N g W + 6 G 0 A x K U W 2 G U H 6 I o O z M P A C C o d P 2 Q z h V N K R 9 P u s u 6 e M e u m U A 9 f t D j C 4 g W i f 3 q 6 + P t / + a 9 B p S S J Q z i s C M i M / a W i 2 z V b b b t F 8 J + t t F X r b h d 5 O o b d b 6 O 2 J P b N d 6 J m F X q e w j o 3 Z W a 9 T 6 F m 8 V 7 a R 7 P g r r U 4 G v i s i W I X R z b c 5 E T k L + m N I l 1 2 S F O V u i P q U j G 7 X j u 7 U j u 7 W j u 7 V j W b n I x k 1 a 0 c 7 t X z T 8 5 S M d m p H r d l R n R 9 T F r K r j i s P 6 P y W F B N a M R y r I s g K i i D H y d A l k 8 t s 8 m U 2 G T 2 4 0 Q M n X C a U s T g E V 1 i 5 u s l W C / x E G F f P s m g P t B b W o H m W s g V V E F u g I J Z B 0 0 V K Y r l 1 l c s z p w 5 A I Z / 5 I Q m s y S p j H M 0 c x H H o X C V w b P 3 f e n x x / z f q F k U 4 v 1 T l T S p M q S j F t 1 B d k G N j K y r K V b F e U V 0 u V c H 8 2 h z X R y H O s E / 6 8 t U F W Z m u N l e u z 4 2 l + X C X h H c O G O 1 B S H B t U v z S O T F T T n 1 e L P f P e X b b e V Z u 3 P k 4 u f H / O C G e t j s C 3 4 7 A t y P w B T z 5 V J 1 G X Q T j W V x + 6 4 z l 2 b O 5 1 W 4 / J 3 U u 8 Q U Z r a Y 1 P Q i 0 i U 6 D a O z E Q O f Y i Q Z g x D f T k J T n 1 N s s D Z 2 / M M 2 2 F 5 g 4 P w l f O g e f z / X l M q X 5 v B b U m L 5 8 o W W m c G s Z u / + 5 K F B Z W V l d Y a D g u N 9 L / g 6 9 b 0 e H 9 M 8 f B / T f 3 y l 0 Z m G n n N x J l L R w l i e P H i V 4 9 g P f O T f s W c b M v X u 7 K s c Q Z s 5 / L 5 V L o N 5 M 1 Z t p + l N v p u r N V L 2 Z q j f T j / F m W i y v W a q 8 p s p r S / 1 / s 0 0 I s J 6 X + B T z L 1 h l s 9 5 / l c 2 q q b J Z b 1 d l s 1 Z Y Z b M W r b J Z 5 S q b x a p s R d u r l P X F S 1 j W / B K W z A f m R S j r W S U s S 5 W w V A l r m R J W 2 d P K a 1 Y d V D E 7 L V R V j b x C Z a q C z c u V o i q I s 5 1 X f F f F J n B D F x D r 3 0 2 x 6 b X K S j K P X s I j L 1 B W Y h R t B a M V j F 7 y l X p p G G 2 / f x h t 1 8 B o + + 1 g t L 1 C G G 0 v C q P t M o y 2 3 w x G 2 / N h t M w H 5 k D Y f h a M t h W M V j B 6 u Z d g W 3 y e X A B M S + Z P 3 3 1 l 4 6 / y 3 C t h 9 p K v v B I W 9 d p Q M F u 9 6 d a B b 1 k c K K G Y V 3 v T l c F / 9 a a r 3 n T T n 3 r T V W + 6 6 k 1 X v e l + s D f d 6 n g o i 8 g q H q p 4 q O K h i o c q H q p 4 + G H i 4 b 9 Q S w E C L Q A U A A I A C A B x l j V X 8 H V w p q Q A A A D 2 A A A A E g A A A A A A A A A A A A A A A A A A A A A A Q 2 9 u Z m l n L 1 B h Y 2 t h Z 2 U u e G 1 s U E s B A i 0 A F A A C A A g A c Z Y 1 V w / K 6 a u k A A A A 6 Q A A A B M A A A A A A A A A A A A A A A A A 8 A A A A F t D b 2 5 0 Z W 5 0 X 1 R 5 c G V z X S 5 4 b W x Q S w E C L Q A U A A I A C A B x l j V X F M x L + K E H A A B e S w A A E w A A A A A A A A A A A A A A A A D h A Q A A R m 9 y b X V s Y X M v U 2 V j d G l v b j E u b V B L B Q Y A A A A A A w A D A M I A A A D P 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t 4 A A A A A A A A E v 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k V G 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F 1 Z X J 5 S U Q i I F Z h b H V l P S J z Z T Z k Z j U 5 Y T g t Z m U 1 O C 0 0 M G R j L W E w Z m Y t Z D F h Z D g 1 M D l l O G Y 4 I i A v P j x F b n R y e S B U e X B l P S J G a W x s V G 9 E Y X R h T W 9 k Z W x F b m F i b G V k I i B W Y W x 1 Z T 0 i b D A i I C 8 + P E V u d H J 5 I F R 5 c G U 9 I k Z p b G x P Y m p l Y 3 R U e X B l I i B W Y W x 1 Z T 0 i c 0 N v b m 5 l Y 3 R p b 2 5 P b m x 5 I i A v P j x F b n R y e S B U e X B l P S J G a W x s R X J y b 3 J D b 2 R l I i B W Y W x 1 Z T 0 i c 1 V u a 2 5 v d 2 4 i I C 8 + P E V u d H J 5 I F R 5 c G U 9 I k Z p b G x M Y X N 0 V X B k Y X R l Z C I g V m F s d W U 9 I m Q y M D I z L T A 3 L T I 3 V D I y O j U 0 O j Q 3 L j Y w N j M y N j F a I i A v P j x F b n R y e S B U e X B l P S J G a W x s U 3 R h d H V z I i B W Y W x 1 Z T 0 i c 0 N v b X B s Z X R l 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1 J F R i 9 B d X R v U m V t b 3 Z l Z E N v b H V t b n M x L n t D b 2 5 0 Z W 5 0 L D B 9 J n F 1 b 3 Q 7 L C Z x d W 9 0 O 1 N l Y 3 R p b 2 4 x L 1 J F R i 9 B d X R v U m V t b 3 Z l Z E N v b H V t b n M x L n t O Y W 1 l L D F 9 J n F 1 b 3 Q 7 L C Z x d W 9 0 O 1 N l Y 3 R p b 2 4 x L 1 J F R i 9 B d X R v U m V t b 3 Z l Z E N v b H V t b n M x L n t F e H R l b n N p b 2 4 s M n 0 m c X V v d D s s J n F 1 b 3 Q 7 U 2 V j d G l v b j E v U k V G L 0 F 1 d G 9 S Z W 1 v d m V k Q 2 9 s d W 1 u c z E u e 0 R h d G U g Y W N j Z X N z Z W Q s M 3 0 m c X V v d D s s J n F 1 b 3 Q 7 U 2 V j d G l v b j E v U k V G L 0 F 1 d G 9 S Z W 1 v d m V k Q 2 9 s d W 1 u c z E u e 0 R h d G U g b W 9 k a W Z p Z W Q s N H 0 m c X V v d D s s J n F 1 b 3 Q 7 U 2 V j d G l v b j E v U k V G L 0 F 1 d G 9 S Z W 1 v d m V k Q 2 9 s d W 1 u c z E u e 0 R h d G U g Y 3 J l Y X R l Z C w 1 f S Z x d W 9 0 O y w m c X V v d D t T Z W N 0 a W 9 u M S 9 S R U Y v Q X V 0 b 1 J l b W 9 2 Z W R D b 2 x 1 b W 5 z M S 5 7 R m 9 s Z G V y I F B h d G g s N n 0 m c X V v d D t d L C Z x d W 9 0 O 0 N v b H V t b k N v d W 5 0 J n F 1 b 3 Q 7 O j c s J n F 1 b 3 Q 7 S 2 V 5 Q 2 9 s d W 1 u T m F t Z X M m c X V v d D s 6 W 1 0 s J n F 1 b 3 Q 7 Q 2 9 s d W 1 u S W R l b n R p d G l l c y Z x d W 9 0 O z p b J n F 1 b 3 Q 7 U 2 V j d G l v b j E v U k V G L 0 F 1 d G 9 S Z W 1 v d m V k Q 2 9 s d W 1 u c z E u e 0 N v b n R l b n Q s M H 0 m c X V v d D s s J n F 1 b 3 Q 7 U 2 V j d G l v b j E v U k V G L 0 F 1 d G 9 S Z W 1 v d m V k Q 2 9 s d W 1 u c z E u e 0 5 h b W U s M X 0 m c X V v d D s s J n F 1 b 3 Q 7 U 2 V j d G l v b j E v U k V G L 0 F 1 d G 9 S Z W 1 v d m V k Q 2 9 s d W 1 u c z E u e 0 V 4 d G V u c 2 l v b i w y f S Z x d W 9 0 O y w m c X V v d D t T Z W N 0 a W 9 u M S 9 S R U Y v Q X V 0 b 1 J l b W 9 2 Z W R D b 2 x 1 b W 5 z M S 5 7 R G F 0 Z S B h Y 2 N l c 3 N l Z C w z f S Z x d W 9 0 O y w m c X V v d D t T Z W N 0 a W 9 u M S 9 S R U Y v Q X V 0 b 1 J l b W 9 2 Z W R D b 2 x 1 b W 5 z M S 5 7 R G F 0 Z S B t b 2 R p Z m l l Z C w 0 f S Z x d W 9 0 O y w m c X V v d D t T Z W N 0 a W 9 u M S 9 S R U Y v Q X V 0 b 1 J l b W 9 2 Z W R D b 2 x 1 b W 5 z M S 5 7 R G F 0 Z S B j c m V h d G V k L D V 9 J n F 1 b 3 Q 7 L C Z x d W 9 0 O 1 N l Y 3 R p b 2 4 x L 1 J F R i 9 B d X R v U m V t b 3 Z l Z E N v b H V t b n M x L n t G b 2 x k Z X I g U G F 0 a C w 2 f S Z x d W 9 0 O 1 0 s J n F 1 b 3 Q 7 U m V s Y X R p b 2 5 z a G l w S W 5 m b y Z x d W 9 0 O z p b X X 0 i I C 8 + P C 9 T d G F i b G V F b n R y a W V z P j w v S X R l b T 4 8 S X R l b T 4 8 S X R l b U x v Y 2 F 0 a W 9 u P j x J d G V t V H l w Z T 5 G b 3 J t d W x h P C 9 J d G V t V H l w Z T 4 8 S X R l b V B h d G g + U 2 V j d G l v b j E v U k V G L 1 N v d X J j Z T w v S X R l b V B h d G g + P C 9 J d G V t T G 9 j Y X R p b 2 4 + P F N 0 Y W J s Z U V u d H J p Z X M g L z 4 8 L 0 l 0 Z W 0 + P E l 0 Z W 0 + P E l 0 Z W 1 M b 2 N h d G l v b j 4 8 S X R l b V R 5 c G U + R m 9 y b X V s Y T w v S X R l b V R 5 c G U + P E l 0 Z W 1 Q Y X R o P l N l Y 3 R p b 2 4 x L 1 J F R i 9 S Z W N l a X Z l Z C U y M F R l b X B s Y X R l c z w v S X R l b V B h d G g + P C 9 J d G V t T G 9 j Y X R p b 2 4 + P F N 0 Y W J s Z U V u d H J p Z X M g L z 4 8 L 0 l 0 Z W 0 + P E l 0 Z W 0 + P E l 0 Z W 1 M b 2 N h d G l v b j 4 8 S X R l b V R 5 c G U + R m 9 y b X V s Y T w v S X R l b V R 5 c G U + P E l 0 Z W 1 Q Y X R o P l N l Y 3 R p b 2 4 x L 1 J F R i 8 y M D I z L T I 1 P C 9 J d G V t U G F 0 a D 4 8 L 0 l 0 Z W 1 M b 2 N h d G l v b j 4 8 U 3 R h Y m x l R W 5 0 c m l l c y A v P j w v S X R l b T 4 8 S X R l b T 4 8 S X R l b U x v Y 2 F 0 a W 9 u P j x J d G V t V H l w Z T 5 G b 3 J t d W x h P C 9 J d G V t V H l w Z T 4 8 S X R l b V B h d G g + U 2 V j d G l v b j E v U k V G L 1 B s Y W 5 u a W 5 n J T I w V G V t c G x h d G U 8 L 0 l 0 Z W 1 Q Y X R o P j w v S X R l b U x v Y 2 F 0 a W 9 u P j x T d G F i b G V F b n R y a W V z I C 8 + P C 9 J d G V t P j x J d G V t P j x J d G V t T G 9 j Y X R p b 2 4 + P E l 0 Z W 1 U e X B l P k Z v c m 1 1 b G E 8 L 0 l 0 Z W 1 U e X B l P j x J d G V t U G F 0 a D 5 T Z W N 0 a W 9 u M S 9 S R U Y v R X h 0 c m F j d G V k J T I w V G V 4 d C U y M E J l Z m 9 y Z S U y M E R l b G l t a X R l c j w v S X R l b V B h d G g + P C 9 J d G V t T G 9 j Y X R p b 2 4 + P F N 0 Y W J s Z U V u d H J p Z X M g L z 4 8 L 0 l 0 Z W 0 + P E l 0 Z W 0 + P E l 0 Z W 1 M b 2 N h d G l v b j 4 8 S X R l b V R 5 c G U + R m 9 y b X V s Y T w v S X R l b V R 5 c G U + P E l 0 Z W 1 Q Y X R o P l N l Y 3 R p b 2 4 x L 0 R l b W F u Z C U y M E h E J T I w Z n J v b n R z a G V 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R d W V y e U l E I i B W Y W x 1 Z T 0 i c 2 Q w O W R i Z G M x L T Q 4 Y z g t N G V h Y S 0 5 Z j Q x L T Z i M j c z M T I z M 2 Z l N C I g L z 4 8 R W 5 0 c n k g V H l w Z T 0 i R m l s b E x h c 3 R V c G R h d G V k I i B W Y W x 1 Z T 0 i Z D I w M j M t M D c t M T l U M j A 6 M j c 6 M D Y u M D M y M T k w N 1 o i I C 8 + P E V u d H J 5 I F R 5 c G U 9 I k Z p b G x F c n J v c k N v d W 5 0 I i B W Y W x 1 Z T 0 i b D A i I C 8 + P E V u d H J 5 I F R 5 c G U 9 I k Z p b G x D b 2 x 1 b W 5 U e X B l c y I g V m F s d W U 9 I n N C Z 0 F H Q U F B Q U F B Q U F B Q U F B Q U F B Q S I g L z 4 8 R W 5 0 c n k g V H l w Z T 0 i R m l s b E V y c m 9 y Q 2 9 k Z S I g V m F s d W U 9 I n N V b m t u b 3 d u I i A v P j x F b n R y e S B U e X B l P S J G a W x s Q 2 9 s d W 1 u T m F t Z X M i I F Z h b H V l P S J z W y Z x d W 9 0 O 0 5 h b W U m c X V v d D s s J n F 1 b 3 Q 7 V H J 1 c 3 Q g U m V m Z X J y Y W w g U 2 9 1 c m N l I C A g I C A g I C A g I C A g I C A g I C A g I C A g I C A g I C A g I C A g I C A g I C A g I C A g I C A o U 2 V s Z W N 0 I G F z I G 1 h b n k g Y X M g e W 9 1 I G 5 l Z W Q p J n F 1 b 3 Q 7 L C Z x d W 9 0 O 1 B h d G h 3 Y X k 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t d I i A v P j x F b n R y e S B U e X B l P S J G a W x s Q 2 9 1 b n Q i I F Z h b H V l P S J s M j Q z N i I g L z 4 8 R W 5 0 c n k g V H l w Z T 0 i Q W R k Z W R U b 0 R h d G F N b 2 R l b C I g V m F s d W U 9 I m w w 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R G V t Y W 5 k I E h E I G Z y b 2 5 0 c 2 h l Z X Q v Q X V 0 b 1 J l b W 9 2 Z W R D b 2 x 1 b W 5 z M S 5 7 T m F t Z S w w f S Z x d W 9 0 O y w m c X V v d D t T Z W N 0 a W 9 u M S 9 E Z W 1 h b m Q g S E Q g Z n J v b n R z a G V l d C 9 B d X R v U m V t b 3 Z l Z E N v b H V t b n M x L n t U c n V z d C B S Z W Z l c n J h b C B T b 3 V y Y 2 U g I C A g I C A g I C A g I C A g I C A g I C A g I C A g I C A g I C A g I C A g I C A g I C A g I C A g I C h T Z W x l Y 3 Q g Y X M g b W F u e S B h c y B 5 b 3 U g b m V l Z C k s M X 0 m c X V v d D s s J n F 1 b 3 Q 7 U 2 V j d G l v b j E v R G V t Y W 5 k I E h E I G Z y b 2 5 0 c 2 h l Z X Q v Q X V 0 b 1 J l b W 9 2 Z W R D b 2 x 1 b W 5 z M S 5 7 U G F 0 a H d h e S w y f S Z x d W 9 0 O y w m c X V v d D t T Z W N 0 a W 9 u M S 9 E Z W 1 h b m Q g S E Q g Z n J v b n R z a G V l d C 9 B d X R v U m V t b 3 Z l Z E N v b H V t b n M x L n s w M S 8 w N C 8 y M D I z L D N 9 J n F 1 b 3 Q 7 L C Z x d W 9 0 O 1 N l Y 3 R p b 2 4 x L 0 R l b W F u Z C B I R C B m c m 9 u d H N o Z W V 0 L 0 F 1 d G 9 S Z W 1 v d m V k Q 2 9 s d W 1 u c z E u e z A x L z A 1 L z I w M j M s N H 0 m c X V v d D s s J n F 1 b 3 Q 7 U 2 V j d G l v b j E v R G V t Y W 5 k I E h E I G Z y b 2 5 0 c 2 h l Z X Q v Q X V 0 b 1 J l b W 9 2 Z W R D b 2 x 1 b W 5 z M S 5 7 M D E v M D Y v M j A y M y w 1 f S Z x d W 9 0 O y w m c X V v d D t T Z W N 0 a W 9 u M S 9 E Z W 1 h b m Q g S E Q g Z n J v b n R z a G V l d C 9 B d X R v U m V t b 3 Z l Z E N v b H V t b n M x L n s w M S 8 w N y 8 y M D I z L D Z 9 J n F 1 b 3 Q 7 L C Z x d W 9 0 O 1 N l Y 3 R p b 2 4 x L 0 R l b W F u Z C B I R C B m c m 9 u d H N o Z W V 0 L 0 F 1 d G 9 S Z W 1 v d m V k Q 2 9 s d W 1 u c z E u e z A x L z A 4 L z I w M j M s N 3 0 m c X V v d D s s J n F 1 b 3 Q 7 U 2 V j d G l v b j E v R G V t Y W 5 k I E h E I G Z y b 2 5 0 c 2 h l Z X Q v Q X V 0 b 1 J l b W 9 2 Z W R D b 2 x 1 b W 5 z M S 5 7 M D E v M D k v M j A y M y w 4 f S Z x d W 9 0 O y w m c X V v d D t T Z W N 0 a W 9 u M S 9 E Z W 1 h b m Q g S E Q g Z n J v b n R z a G V l d C 9 B d X R v U m V t b 3 Z l Z E N v b H V t b n M x L n s w M S 8 x M C 8 y M D I z L D l 9 J n F 1 b 3 Q 7 L C Z x d W 9 0 O 1 N l Y 3 R p b 2 4 x L 0 R l b W F u Z C B I R C B m c m 9 u d H N o Z W V 0 L 0 F 1 d G 9 S Z W 1 v d m V k Q 2 9 s d W 1 u c z E u e z A x L z E x L z I w M j M s M T B 9 J n F 1 b 3 Q 7 L C Z x d W 9 0 O 1 N l Y 3 R p b 2 4 x L 0 R l b W F u Z C B I R C B m c m 9 u d H N o Z W V 0 L 0 F 1 d G 9 S Z W 1 v d m V k Q 2 9 s d W 1 u c z E u e z A x L z E y L z I w M j M s M T F 9 J n F 1 b 3 Q 7 L C Z x d W 9 0 O 1 N l Y 3 R p b 2 4 x L 0 R l b W F u Z C B I R C B m c m 9 u d H N o Z W V 0 L 0 F 1 d G 9 S Z W 1 v d m V k Q 2 9 s d W 1 u c z E u e z A x L z A x L z I w M j Q s M T J 9 J n F 1 b 3 Q 7 L C Z x d W 9 0 O 1 N l Y 3 R p b 2 4 x L 0 R l b W F u Z C B I R C B m c m 9 u d H N o Z W V 0 L 0 F 1 d G 9 S Z W 1 v d m V k Q 2 9 s d W 1 u c z E u e z A x L z A y L z I w M j Q s M T N 9 J n F 1 b 3 Q 7 L C Z x d W 9 0 O 1 N l Y 3 R p b 2 4 x L 0 R l b W F u Z C B I R C B m c m 9 u d H N o Z W V 0 L 0 F 1 d G 9 S Z W 1 v d m V k Q 2 9 s d W 1 u c z E u e z A x L z A z L z I w M j Q s M T R 9 J n F 1 b 3 Q 7 X S w m c X V v d D t D b 2 x 1 b W 5 D b 3 V u d C Z x d W 9 0 O z o x N S w m c X V v d D t L Z X l D b 2 x 1 b W 5 O Y W 1 l c y Z x d W 9 0 O z p b X S w m c X V v d D t D b 2 x 1 b W 5 J Z G V u d G l 0 a W V z J n F 1 b 3 Q 7 O l s m c X V v d D t T Z W N 0 a W 9 u M S 9 E Z W 1 h b m Q g S E Q g Z n J v b n R z a G V l d C 9 B d X R v U m V t b 3 Z l Z E N v b H V t b n M x L n t O Y W 1 l L D B 9 J n F 1 b 3 Q 7 L C Z x d W 9 0 O 1 N l Y 3 R p b 2 4 x L 0 R l b W F u Z C B I R C B m c m 9 u d H N o Z W V 0 L 0 F 1 d G 9 S Z W 1 v d m V k Q 2 9 s d W 1 u c z E u e 1 R y d X N 0 I F J l Z m V y c m F s I F N v d X J j Z S A g I C A g I C A g I C A g I C A g I C A g I C A g I C A g I C A g I C A g I C A g I C A g I C A g I C A g K F N l b G V j d C B h c y B t Y W 5 5 I G F z I H l v d S B u Z W V k K S w x f S Z x d W 9 0 O y w m c X V v d D t T Z W N 0 a W 9 u M S 9 E Z W 1 h b m Q g S E Q g Z n J v b n R z a G V l d C 9 B d X R v U m V t b 3 Z l Z E N v b H V t b n M x L n t Q Y X R o d 2 F 5 L D J 9 J n F 1 b 3 Q 7 L C Z x d W 9 0 O 1 N l Y 3 R p b 2 4 x L 0 R l b W F u Z C B I R C B m c m 9 u d H N o Z W V 0 L 0 F 1 d G 9 S Z W 1 v d m V k Q 2 9 s d W 1 u c z E u e z A x L z A 0 L z I w M j M s M 3 0 m c X V v d D s s J n F 1 b 3 Q 7 U 2 V j d G l v b j E v R G V t Y W 5 k I E h E I G Z y b 2 5 0 c 2 h l Z X Q v Q X V 0 b 1 J l b W 9 2 Z W R D b 2 x 1 b W 5 z M S 5 7 M D E v M D U v M j A y M y w 0 f S Z x d W 9 0 O y w m c X V v d D t T Z W N 0 a W 9 u M S 9 E Z W 1 h b m Q g S E Q g Z n J v b n R z a G V l d C 9 B d X R v U m V t b 3 Z l Z E N v b H V t b n M x L n s w M S 8 w N i 8 y M D I z L D V 9 J n F 1 b 3 Q 7 L C Z x d W 9 0 O 1 N l Y 3 R p b 2 4 x L 0 R l b W F u Z C B I R C B m c m 9 u d H N o Z W V 0 L 0 F 1 d G 9 S Z W 1 v d m V k Q 2 9 s d W 1 u c z E u e z A x L z A 3 L z I w M j M s N n 0 m c X V v d D s s J n F 1 b 3 Q 7 U 2 V j d G l v b j E v R G V t Y W 5 k I E h E I G Z y b 2 5 0 c 2 h l Z X Q v Q X V 0 b 1 J l b W 9 2 Z W R D b 2 x 1 b W 5 z M S 5 7 M D E v M D g v M j A y M y w 3 f S Z x d W 9 0 O y w m c X V v d D t T Z W N 0 a W 9 u M S 9 E Z W 1 h b m Q g S E Q g Z n J v b n R z a G V l d C 9 B d X R v U m V t b 3 Z l Z E N v b H V t b n M x L n s w M S 8 w O S 8 y M D I z L D h 9 J n F 1 b 3 Q 7 L C Z x d W 9 0 O 1 N l Y 3 R p b 2 4 x L 0 R l b W F u Z C B I R C B m c m 9 u d H N o Z W V 0 L 0 F 1 d G 9 S Z W 1 v d m V k Q 2 9 s d W 1 u c z E u e z A x L z E w L z I w M j M s O X 0 m c X V v d D s s J n F 1 b 3 Q 7 U 2 V j d G l v b j E v R G V t Y W 5 k I E h E I G Z y b 2 5 0 c 2 h l Z X Q v Q X V 0 b 1 J l b W 9 2 Z W R D b 2 x 1 b W 5 z M S 5 7 M D E v M T E v M j A y M y w x M H 0 m c X V v d D s s J n F 1 b 3 Q 7 U 2 V j d G l v b j E v R G V t Y W 5 k I E h E I G Z y b 2 5 0 c 2 h l Z X Q v Q X V 0 b 1 J l b W 9 2 Z W R D b 2 x 1 b W 5 z M S 5 7 M D E v M T I v M j A y M y w x M X 0 m c X V v d D s s J n F 1 b 3 Q 7 U 2 V j d G l v b j E v R G V t Y W 5 k I E h E I G Z y b 2 5 0 c 2 h l Z X Q v Q X V 0 b 1 J l b W 9 2 Z W R D b 2 x 1 b W 5 z M S 5 7 M D E v M D E v M j A y N C w x M n 0 m c X V v d D s s J n F 1 b 3 Q 7 U 2 V j d G l v b j E v R G V t Y W 5 k I E h E I G Z y b 2 5 0 c 2 h l Z X Q v Q X V 0 b 1 J l b W 9 2 Z W R D b 2 x 1 b W 5 z M S 5 7 M D E v M D I v M j A y N C w x M 3 0 m c X V v d D s s J n F 1 b 3 Q 7 U 2 V j d G l v b j E v R G V t Y W 5 k I E h E I G Z y b 2 5 0 c 2 h l Z X Q v Q X V 0 b 1 J l b W 9 2 Z W R D b 2 x 1 b W 5 z M S 5 7 M D E v M D M v M j A y N C w x N H 0 m c X V v d D t d L C Z x d W 9 0 O 1 J l b G F 0 a W 9 u c 2 h p c E l u Z m 8 m c X V v d D s 6 W 1 1 9 I i A v P j w v U 3 R h Y m x l R W 5 0 c m l l c z 4 8 L 0 l 0 Z W 0 + P E l 0 Z W 0 + P E l 0 Z W 1 M b 2 N h d G l v b j 4 8 S X R l b V R 5 c G U + R m 9 y b X V s Y T w v S X R l b V R 5 c G U + P E l 0 Z W 1 Q Y X R o P l N l Y 3 R p b 2 4 x L 0 R l b W F u Z C U y M E h E J T I w Z n J v b n R z a G V l d C 9 T b 3 V y Y 2 U 8 L 0 l 0 Z W 1 Q Y X R o P j w v S X R l b U x v Y 2 F 0 a W 9 u P j x T d G F i b G V F b n R y a W V z I C 8 + P C 9 J d G V t P j x J d G V t P j x J d G V t T G 9 j Y X R p b 2 4 + P E l 0 Z W 1 U e X B l P k Z v c m 1 1 b G E 8 L 0 l 0 Z W 1 U e X B l P j x J d G V t U G F 0 a D 5 T Z W N 0 a W 9 u M S 9 E Z W 1 h b m Q l M j B I R C U y M G Z y b 2 5 0 c 2 h l Z X Q v S W 5 2 b 2 t l J T I w Q 3 V z d G 9 t J T I w R n V u Y 3 R p b 2 4 x P C 9 J d G V t U G F 0 a D 4 8 L 0 l 0 Z W 1 M b 2 N h d G l v b j 4 8 U 3 R h Y m x l R W 5 0 c m l l c y A v P j w v S X R l b T 4 8 S X R l b T 4 8 S X R l b U x v Y 2 F 0 a W 9 u P j x J d G V t V H l w Z T 5 G b 3 J t d W x h P C 9 J d G V t V H l w Z T 4 8 S X R l b V B h d G g + U 2 V j d G l v b j E v R G V t Y W 5 k J T I w S E Q l M j B m c m 9 u d H N o Z W V 0 L 1 J l b W 9 2 Z W Q l M j B P d G h l c i U y M E N v b H V t b n M x P C 9 J d G V t U G F 0 a D 4 8 L 0 l 0 Z W 1 M b 2 N h d G l v b j 4 8 U 3 R h Y m x l R W 5 0 c m l l c y A v P j w v S X R l b T 4 8 S X R l b T 4 8 S X R l b U x v Y 2 F 0 a W 9 u P j x J d G V t V H l w Z T 5 G b 3 J t d W x h P C 9 J d G V t V H l w Z T 4 8 S X R l b V B h d G g + U 2 V j d G l v b j E v R G V t Y W 5 k J T I w S E Q l M j B m c m 9 u d H N o Z W V 0 L 0 V 4 c G F u Z G V k J T I w V G F i b G U l M j B D b 2 x 1 b W 4 x P C 9 J d G V t U G F 0 a D 4 8 L 0 l 0 Z W 1 M b 2 N h d G l v b j 4 8 U 3 R h Y m x l R W 5 0 c m l l c y A v P j w v S X R l b T 4 8 S X R l b T 4 8 S X R l b U x v Y 2 F 0 a W 9 u P j x J d G V t V H l w Z T 5 G b 3 J t d W x h P C 9 J d G V t V H l w Z T 4 8 S X R l b V B h d G g + U 2 V j d G l v b j E v R G V t Y W 5 k J T I w S E Q l M j B m c m 9 u d H N o Z W V 0 L 0 Z p b H R l c m V k J T I w U m 9 3 c z w v S X R l b V B h d G g + P C 9 J d G V t T G 9 j Y X R p b 2 4 + P F N 0 Y W J s Z U V u d H J p Z X M g L z 4 8 L 0 l 0 Z W 0 + P E l 0 Z W 0 + P E l 0 Z W 1 M b 2 N h d G l v b j 4 8 S X R l b V R 5 c G U + R m 9 y b X V s Y T w v S X R l b V R 5 c G U + P E l 0 Z W 1 Q Y X R o P l N l Y 3 R p b 2 4 x L 0 R l b W F u Z C U y M E h E J T I w Z n J v b n R z a G V l d C 9 S Z X B s Y W N l Z C U y M F Z h b H V l P C 9 J d G V t U G F 0 a D 4 8 L 0 l 0 Z W 1 M b 2 N h d G l v b j 4 8 U 3 R h Y m x l R W 5 0 c m l l c y A v P j w v S X R l b T 4 8 S X R l b T 4 8 S X R l b U x v Y 2 F 0 a W 9 u P j x J d G V t V H l w Z T 5 G b 3 J t d W x h P C 9 J d G V t V H l w Z T 4 8 S X R l b V B h d G g + U 2 V j d G l v b j E v R G V t Y W 5 k J T I w S E Q l M j B m c m 9 u d H N o Z W V 0 L 1 J l c G x h Y 2 V k J T I w V m F s d W U x P C 9 J d G V t U G F 0 a D 4 8 L 0 l 0 Z W 1 M b 2 N h d G l v b j 4 8 U 3 R h Y m x l R W 5 0 c m l l c y A v P j w v S X R l b T 4 8 S X R l b T 4 8 S X R l b U x v Y 2 F 0 a W 9 u P j x J d G V t V H l w Z T 5 G b 3 J t d W x h P C 9 J d G V t V H l w Z T 4 8 S X R l b V B h d G g + U 2 V j d G l v b j E v V H J h b n N m b 3 J t J T I w R m l s Z T w v S X R l b V B h d G g + P C 9 J d G V t T G 9 j Y X R p b 2 4 + P F N 0 Y W J s Z U V u d H J p Z X M + P E V u d H J 5 I F R 5 c G U 9 I k x v Y W R U b 1 J l c G 9 y d E R p c 2 F i b G V k I i B W Y W x 1 Z T 0 i b D E i I C 8 + P E V u d H J 5 I F R 5 c G U 9 I l F 1 Z X J 5 R 3 J v d X B J R C I g V m F s d W U 9 I n N j M z k z M j d i O C 1 k M G Y w L T Q z O G U t Y j Y w Z i 0 3 Z T g y N m V l N T g 0 M m I i I C 8 + 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Z 1 b m N 0 a W 9 u I i A v P j x F b n R y e S B U e X B l P S J G a W x s Z W R D b 2 1 w b G V 0 Z V J l c 3 V s d F R v V 2 9 y a 3 N o Z W V 0 I i B W Y W x 1 Z T 0 i b D A i I C 8 + P E V u d H J 5 I F R 5 c G U 9 I k 5 h d m l n Y X R p b 2 5 T d G V w T m F t Z S I g V m F s d W U 9 I n N O Y X Z p Z 2 F 0 a W 9 u I i A v P j x F b n R y e S B U e X B l P S J G a W x s U 3 R h d H V z I i B W Y W x 1 Z T 0 i c 0 N v b X B s Z X R l I i A v P j x F b n R y e S B U e X B l P S J B Z G R l Z F R v R G F 0 Y U 1 v Z G V s I i B W Y W x 1 Z T 0 i b D A i I C 8 + P E V u d H J 5 I F R 5 c G U 9 I k Z p b G x F c n J v c k N v Z G U i I F Z h b H V l P S J z V W 5 r b m 9 3 b i I g L z 4 8 R W 5 0 c n k g V H l w Z T 0 i R m l s b E x h c 3 R V c G R h d G V k I i B W Y W x 1 Z T 0 i Z D I w M j M t M D c t M j d U M j I 6 N T Q 6 N D c u N j I 2 N j k 0 N l o i I C 8 + P C 9 T d G F i b G V F b n R y a W V z P j w v S X R l b T 4 8 S X R l b T 4 8 S X R l b U x v Y 2 F 0 a W 9 u P j x J d G V t V H l w Z T 5 G b 3 J t d W x h P C 9 J d G V t V H l w Z T 4 8 S X R l b V B h d G g + U 2 V j d G l v b j E v V H J h b n N m b 3 J t J T I w R m l s Z S 9 T b 3 V y Y 2 U 8 L 0 l 0 Z W 1 Q Y X R o P j w v S X R l b U x v Y 2 F 0 a W 9 u P j x T d G F i b G V F b n R y a W V z I C 8 + 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M b 2 F k V G 9 S Z X B v c n R E a X N h Y m x l Z C I g V m F s d W U 9 I m w x I i A v P j x F b n R y e S B U e X B l P S J R d W V y e U d y b 3 V w S U Q i I F Z h b H V l P S J z Y z M 5 M z I 3 Y j g t Z D B m M C 0 0 M z h l L W I 2 M G Y t N 2 U 4 M j Z l Z T U 4 N D J i I i A v P j x F b n R y e S B U e X B l P S J G a W x s R W 5 h Y m x l Z C I g V m F s d W U 9 I m w w I i A v P j x F b n R y e S B U e X B l P S J S Z X N 1 b H R U e X B l I i B W Y W x 1 Z T 0 i c 0 J p b m F y e S I g L z 4 8 R W 5 0 c n k g V H l w Z T 0 i R m l s b G V k Q 2 9 t c G x l d G V S Z X N 1 b H R U b 1 d v c m t z a G V l d C I g V m F s d W U 9 I m w w I i A v P j x F b n R y e S B U e X B l P S J C d W Z m Z X J O Z X h 0 U m V m c m V z a C I g V m F s d W U 9 I m w x 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F N 0 Y X R 1 c y I g V m F s d W U 9 I n N D b 2 1 w b G V 0 Z S I g L z 4 8 R W 5 0 c n k g V H l w Z T 0 i T m F 2 a W d h d G l v b l N 0 Z X B O Y W 1 l I i B W Y W x 1 Z T 0 i c 0 5 h d m l n Y X R p b 2 4 i I C 8 + P E V u d H J 5 I F R 5 c G U 9 I k Z p b G x M Y X N 0 V X B k Y X R l Z C I g V m F s d W U 9 I m Q y M D I z L T A 3 L T I 3 V D I y O j U 0 O j Q 3 L j Y z M D Y 4 O T h a 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S Z W N l a X Z l Z C U y M F R l b X B s Y X R l c z w v S X R l b V B h d G g + P C 9 J d G V t T G 9 j Y X R p b 2 4 + P F N 0 Y W J s Z U V u d H J p Z X M g L z 4 8 L 0 l 0 Z W 0 + P E l 0 Z W 0 + P E l 0 Z W 1 M b 2 N h d G l v b j 4 8 S X R l b V R 5 c G U + R m 9 y b X V s Y T w v S X R l b V R 5 c G U + P E l 0 Z W 1 Q Y X R o P l N l Y 3 R p b 2 4 x L 1 N h b X B s Z S U y M E Z p b G U v M j A y M y 0 y N T w v S X R l b V B h d G g + P C 9 J d G V t T G 9 j Y X R p b 2 4 + P F N 0 Y W J s Z U V u d H J p Z X M g L z 4 8 L 0 l 0 Z W 0 + P E l 0 Z W 0 + P E l 0 Z W 1 M b 2 N h d G l v b j 4 8 S X R l b V R 5 c G U + R m 9 y b X V s Y T w v S X R l b V R 5 c G U + P E l 0 Z W 1 Q Y X R o P l N l Y 3 R p b 2 4 x L 1 N h b X B s Z S U y M E Z p b G U v U G x h b m 5 p b m c l M j B U Z W 1 w b G F 0 Z T w v S X R l b V B h d G g + P C 9 J d G V t T G 9 j Y X R p b 2 4 + P F N 0 Y W J s Z U V u d H J p Z X M g L z 4 8 L 0 l 0 Z W 0 + P E l 0 Z W 0 + P E l 0 Z W 1 M b 2 N h d G l v b j 4 8 S X R l b V R 5 c G U + R m 9 y b X V s Y T w v S X R l b V R 5 c G U + P E l 0 Z W 1 Q Y X R o P l N l Y 3 R p b 2 4 x L 1 N h b X B s Z S U y M E Z p b G U v R H V k b G V 5 X 1 B s Y W 5 u a W 5 n X 1 R l b X B s Y X R l J T I w e G x z e D w v S X R l b V B h d G g + P C 9 J d G V t T G 9 j Y X R p b 2 4 + P F N 0 Y W J s Z U V u d H J p Z X M g L z 4 8 L 0 l 0 Z W 0 + P E l 0 Z W 0 + P E l 0 Z W 1 M b 2 N h d G l v b j 4 8 S X R l b V R 5 c G U + R m 9 y b X V s Y T w v S X R l b V R 5 c G U + P E l 0 Z W 1 Q Y X R o P l N l Y 3 R p b 2 4 x L 1 J F R i U y M C g y K T 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2 U 2 Z G Y 1 O W E 4 L W Z l N T g t N D B k Y y 1 h M G Z m L W Q x Y W Q 4 N T A 5 Z T h m O C I g L z 4 8 R W 5 0 c n k g V H l w Z T 0 i R m l s b F R v R G F 0 Y U 1 v Z G V s R W 5 h Y m x l Z C I g V m F s d W U 9 I m w w I i A v P j x F b n R y e S B U e X B l P S J G a W x s T 2 J q Z W N 0 V H l w Z S I g V m F s d W U 9 I n N D b 2 5 u Z W N 0 a W 9 u T 2 5 s e S I g L z 4 8 R W 5 0 c n k g V H l w Z T 0 i R m l s b E V y c m 9 y Q 2 9 k Z S I g V m F s d W U 9 I n N V b m t u b 3 d u I i A v P j x F b n R y e S B U e X B l P S J G a W x s T G F z d F V w Z G F 0 Z W Q i I F Z h b H V l P S J k M j A y M y 0 w N y 0 y N 1 Q y M j o 1 N T o y M y 4 4 N T A w N T A z W i 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S R U Y v Q X V 0 b 1 J l b W 9 2 Z W R D b 2 x 1 b W 5 z M S 5 7 Q 2 9 u d G V u d C w w f S Z x d W 9 0 O y w m c X V v d D t T Z W N 0 a W 9 u M S 9 S R U Y v Q X V 0 b 1 J l b W 9 2 Z W R D b 2 x 1 b W 5 z M S 5 7 T m F t Z S w x f S Z x d W 9 0 O y w m c X V v d D t T Z W N 0 a W 9 u M S 9 S R U Y v Q X V 0 b 1 J l b W 9 2 Z W R D b 2 x 1 b W 5 z M S 5 7 R X h 0 Z W 5 z a W 9 u L D J 9 J n F 1 b 3 Q 7 L C Z x d W 9 0 O 1 N l Y 3 R p b 2 4 x L 1 J F R i 9 B d X R v U m V t b 3 Z l Z E N v b H V t b n M x L n t E Y X R l I G F j Y 2 V z c 2 V k L D N 9 J n F 1 b 3 Q 7 L C Z x d W 9 0 O 1 N l Y 3 R p b 2 4 x L 1 J F R i 9 B d X R v U m V t b 3 Z l Z E N v b H V t b n M x L n t E Y X R l I G 1 v Z G l m a W V k L D R 9 J n F 1 b 3 Q 7 L C Z x d W 9 0 O 1 N l Y 3 R p b 2 4 x L 1 J F R i 9 B d X R v U m V t b 3 Z l Z E N v b H V t b n M x L n t E Y X R l I G N y Z W F 0 Z W Q s N X 0 m c X V v d D s s J n F 1 b 3 Q 7 U 2 V j d G l v b j E v U k V G L 0 F 1 d G 9 S Z W 1 v d m V k Q 2 9 s d W 1 u c z E u e 0 Z v b G R l c i B Q Y X R o L D Z 9 J n F 1 b 3 Q 7 X S w m c X V v d D t D b 2 x 1 b W 5 D b 3 V u d C Z x d W 9 0 O z o 3 L C Z x d W 9 0 O 0 t l e U N v b H V t b k 5 h b W V z J n F 1 b 3 Q 7 O l t d L C Z x d W 9 0 O 0 N v b H V t b k l k Z W 5 0 a X R p Z X M m c X V v d D s 6 W y Z x d W 9 0 O 1 N l Y 3 R p b 2 4 x L 1 J F R i 9 B d X R v U m V t b 3 Z l Z E N v b H V t b n M x L n t D b 2 5 0 Z W 5 0 L D B 9 J n F 1 b 3 Q 7 L C Z x d W 9 0 O 1 N l Y 3 R p b 2 4 x L 1 J F R i 9 B d X R v U m V t b 3 Z l Z E N v b H V t b n M x L n t O Y W 1 l L D F 9 J n F 1 b 3 Q 7 L C Z x d W 9 0 O 1 N l Y 3 R p b 2 4 x L 1 J F R i 9 B d X R v U m V t b 3 Z l Z E N v b H V t b n M x L n t F e H R l b n N p b 2 4 s M n 0 m c X V v d D s s J n F 1 b 3 Q 7 U 2 V j d G l v b j E v U k V G L 0 F 1 d G 9 S Z W 1 v d m V k Q 2 9 s d W 1 u c z E u e 0 R h d G U g Y W N j Z X N z Z W Q s M 3 0 m c X V v d D s s J n F 1 b 3 Q 7 U 2 V j d G l v b j E v U k V G L 0 F 1 d G 9 S Z W 1 v d m V k Q 2 9 s d W 1 u c z E u e 0 R h d G U g b W 9 k a W Z p Z W Q s N H 0 m c X V v d D s s J n F 1 b 3 Q 7 U 2 V j d G l v b j E v U k V G L 0 F 1 d G 9 S Z W 1 v d m V k Q 2 9 s d W 1 u c z E u e 0 R h d G U g Y 3 J l Y X R l Z C w 1 f S Z x d W 9 0 O y w m c X V v d D t T Z W N 0 a W 9 u M S 9 S R U Y v Q X V 0 b 1 J l b W 9 2 Z W R D b 2 x 1 b W 5 z M S 5 7 R m 9 s Z G V y I F B h d G g s N n 0 m c X V v d D t d L C Z x d W 9 0 O 1 J l b G F 0 a W 9 u c 2 h p c E l u Z m 8 m c X V v d D s 6 W 1 1 9 I i A v P j w v U 3 R h Y m x l R W 5 0 c m l l c z 4 8 L 0 l 0 Z W 0 + P E l 0 Z W 0 + P E l 0 Z W 1 M b 2 N h d G l v b j 4 8 S X R l b V R 5 c G U + R m 9 y b X V s Y T w v S X R l b V R 5 c G U + P E l 0 Z W 1 Q Y X R o P l N l Y 3 R p b 2 4 x L 1 J F R i U y M C g y K S 9 T b 3 V y Y 2 U 8 L 0 l 0 Z W 1 Q Y X R o P j w v S X R l b U x v Y 2 F 0 a W 9 u P j x T d G F i b G V F b n R y a W V z I C 8 + P C 9 J d G V t P j x J d G V t P j x J d G V t T G 9 j Y X R p b 2 4 + P E l 0 Z W 1 U e X B l P k Z v c m 1 1 b G E 8 L 0 l 0 Z W 1 U e X B l P j x J d G V t U G F 0 a D 5 T Z W N 0 a W 9 u M S 9 S R U Y l M j A o M i k v U m V j Z W l 2 Z W Q l M j B U Z W 1 w b G F 0 Z X M 8 L 0 l 0 Z W 1 Q Y X R o P j w v S X R l b U x v Y 2 F 0 a W 9 u P j x T d G F i b G V F b n R y a W V z I C 8 + P C 9 J d G V t P j x J d G V t P j x J d G V t T G 9 j Y X R p b 2 4 + P E l 0 Z W 1 U e X B l P k Z v c m 1 1 b G E 8 L 0 l 0 Z W 1 U e X B l P j x J d G V t U G F 0 a D 5 T Z W N 0 a W 9 u M S 9 S R U Y l M j A o M i k v M j A y M y 0 y N T w v S X R l b V B h d G g + P C 9 J d G V t T G 9 j Y X R p b 2 4 + P F N 0 Y W J s Z U V u d H J p Z X M g L z 4 8 L 0 l 0 Z W 0 + P E l 0 Z W 0 + P E l 0 Z W 1 M b 2 N h d G l v b j 4 8 S X R l b V R 5 c G U + R m 9 y b X V s Y T w v S X R l b V R 5 c G U + P E l 0 Z W 1 Q Y X R o P l N l Y 3 R p b 2 4 x L 1 J F R i U y M C g y K S 9 Q b G F u b m l u Z y U y M F R l b X B s Y X R l P C 9 J d G V t U G F 0 a D 4 8 L 0 l 0 Z W 1 M b 2 N h d G l v b j 4 8 U 3 R h Y m x l R W 5 0 c m l l c y A v P j w v S X R l b T 4 8 S X R l b T 4 8 S X R l b U x v Y 2 F 0 a W 9 u P j x J d G V t V H l w Z T 5 G b 3 J t d W x h P C 9 J d G V t V H l w Z T 4 8 S X R l b V B h d G g + U 2 V j d G l v b j E v U k V G J T I w K D I p L 0 V 4 d H J h Y 3 R l Z C U y M F R l e H Q l M j B C Z W Z v c m U l M j B E Z W x p b W l 0 Z X I 8 L 0 l 0 Z W 1 Q Y X R o P j w v S X R l b U x v Y 2 F 0 a W 9 u P j x T d G F i b G V F b n R y a W V z I C 8 + P C 9 J d G V t P j x J d G V t P j x J d G V t T G 9 j Y X R p b 2 4 + P E l 0 Z W 1 U e X B l P k Z v c m 1 1 b G E 8 L 0 l 0 Z W 1 U e X B l P j x J d G V t U G F 0 a D 5 T Z W N 0 a W 9 u M S 9 D Y X B h Y 2 l 0 e S U y M E h E J T I w Z n J v b n R z a G V l d D w v S X R l b V B h d G g + P C 9 J d G V t T G 9 j Y X R p b 2 4 + P F N 0 Y W J s Z U V u d H J p Z X M + 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U Y W J s Z V 9 D Y X B h Y 2 l 0 e V 9 I R F 9 m c m 9 u d H N o Z W V 0 I i A v P j x F b n R y e S B U e X B l P S J G a W x s Z W R D b 2 1 w b G V 0 Z V J l c 3 V s d F R v V 2 9 y a 3 N o Z W V 0 I i B W Y W x 1 Z T 0 i b D E i I C 8 + P E V u d H J 5 I F R 5 c G U 9 I l F 1 Z X J 5 S U Q i I F Z h b H V l P S J z Z T k 4 Y m U 1 Y m M t M j U 1 N C 0 0 Z G Y 1 L T g z N D M t Y T d k N T B m O T g 5 N z F k I i A v P j x F b n R y e S B U e X B l P S J G a W x s T G F z d F V w Z G F 0 Z W Q i I F Z h b H V l P S J k M j A y M y 0 w O S 0 y M V Q x N z o 1 M T o z N S 4 2 N z E 3 N z I 2 W i I g L z 4 8 R W 5 0 c n k g V H l w Z T 0 i R m l s b E N v b H V t b l R 5 c G V z I i B W Y W x 1 Z T 0 i c 0 J n W U F B Q U F B Q U F B Q U F B Q U F B Q U F B Q U F B P S I g L z 4 8 R W 5 0 c n k g V H l w Z T 0 i R m l s b E V y c m 9 y Q 2 9 1 b n Q i I F Z h b H V l P S J s M C I g L z 4 8 R W 5 0 c n k g V H l w Z T 0 i R m l s b E N v b H V t b k 5 h b W V z I i B W Y W x 1 Z T 0 i c 1 s m c X V v d D t O Y W 1 l J n F 1 b 3 Q 7 L C Z x d W 9 0 O 1 N l c n Z p Y 2 U g Q X J l Y S Z x d W 9 0 O y w m c X V v d D s w M S 8 w N C 8 y M D I z J n F 1 b 3 Q 7 L C Z x d W 9 0 O z A x L z A 1 L z I w M j M m c X V v d D s s J n F 1 b 3 Q 7 M D E v M D Y v M j A y M y Z x d W 9 0 O y w m c X V v d D s w M S 8 w N y 8 y M D I z J n F 1 b 3 Q 7 L C Z x d W 9 0 O z A x L z A 4 L z I w M j M m c X V v d D s s J n F 1 b 3 Q 7 M D E v M D k v M j A y M y Z x d W 9 0 O y w m c X V v d D s w M S 8 x M C 8 y M D I z J n F 1 b 3 Q 7 L C Z x d W 9 0 O z A x L z E x L z I w M j M m c X V v d D s s J n F 1 b 3 Q 7 M D E v M T I v M j A y M y Z x d W 9 0 O y w m c X V v d D s w M S 8 w M S 8 y M D I 0 J n F 1 b 3 Q 7 L C Z x d W 9 0 O z A x L z A y L z I w M j Q m c X V v d D s s J n F 1 b 3 Q 7 M D E v M D M v M j A y N C Z x d W 9 0 O y w m c X V v d D t J Q 0 I m c X V v d D s s J n F 1 b 3 Q 7 T E E m c X V v d D s s J n F 1 b 3 Q 7 S m 9 p b n Q m c X V v d D t d I i A v P j x F b n R y e S B U e X B l P S J G a W x s R X J y b 3 J D b 2 R l I i B W Y W x 1 Z T 0 i c 1 V u a 2 5 v d 2 4 i I C 8 + P E V u d H J 5 I F R 5 c G U 9 I k Z p b G x D b 3 V u d C I g V m F s d W U 9 I m w x M D Y 0 I i A v P j x F b n R y e S B U e X B l P S J G a W x s U 3 R h d H V z I i B W Y W x 1 Z T 0 i c 0 N v b X B s Z X R l I i A v P j x F b n R y e S B U e X B l P S J S Z W x h d G l v b n N o a X B J b m Z v Q 2 9 u d G F p b m V y I i B W Y W x 1 Z T 0 i c 3 s m c X V v d D t j b 2 x 1 b W 5 D b 3 V u d C Z x d W 9 0 O z o x N y w m c X V v d D t r Z X l D b 2 x 1 b W 5 O Y W 1 l c y Z x d W 9 0 O z p b X S w m c X V v d D t x d W V y e V J l b G F 0 a W 9 u c 2 h p c H M m c X V v d D s 6 W 1 0 s J n F 1 b 3 Q 7 Y 2 9 s d W 1 u S W R l b n R p d G l l c y Z x d W 9 0 O z p b J n F 1 b 3 Q 7 U 2 V j d G l v b j E v Q 2 F w Y W N p d H k g S E Q g Z n J v b n R z a G V l d C 9 B d X R v U m V t b 3 Z l Z E N v b H V t b n M x L n t O Y W 1 l L D B 9 J n F 1 b 3 Q 7 L C Z x d W 9 0 O 1 N l Y 3 R p b 2 4 x L 0 N h c G F j a X R 5 I E h E I G Z y b 2 5 0 c 2 h l Z X Q v Q X V 0 b 1 J l b W 9 2 Z W R D b 2 x 1 b W 5 z M S 5 7 U 2 V y d m l j Z S B B c m V h L D F 9 J n F 1 b 3 Q 7 L C Z x d W 9 0 O 1 N l Y 3 R p b 2 4 x L 0 N h c G F j a X R 5 I E h E I G Z y b 2 5 0 c 2 h l Z X Q v Q X V 0 b 1 J l b W 9 2 Z W R D b 2 x 1 b W 5 z M S 5 7 M D E v M D Q v M j A y M y w y f S Z x d W 9 0 O y w m c X V v d D t T Z W N 0 a W 9 u M S 9 D Y X B h Y 2 l 0 e S B I R C B m c m 9 u d H N o Z W V 0 L 0 F 1 d G 9 S Z W 1 v d m V k Q 2 9 s d W 1 u c z E u e z A x L z A 1 L z I w M j M s M 3 0 m c X V v d D s s J n F 1 b 3 Q 7 U 2 V j d G l v b j E v Q 2 F w Y W N p d H k g S E Q g Z n J v b n R z a G V l d C 9 B d X R v U m V t b 3 Z l Z E N v b H V t b n M x L n s w M S 8 w N i 8 y M D I z L D R 9 J n F 1 b 3 Q 7 L C Z x d W 9 0 O 1 N l Y 3 R p b 2 4 x L 0 N h c G F j a X R 5 I E h E I G Z y b 2 5 0 c 2 h l Z X Q v Q X V 0 b 1 J l b W 9 2 Z W R D b 2 x 1 b W 5 z M S 5 7 M D E v M D c v M j A y M y w 1 f S Z x d W 9 0 O y w m c X V v d D t T Z W N 0 a W 9 u M S 9 D Y X B h Y 2 l 0 e S B I R C B m c m 9 u d H N o Z W V 0 L 0 F 1 d G 9 S Z W 1 v d m V k Q 2 9 s d W 1 u c z E u e z A x L z A 4 L z I w M j M s N n 0 m c X V v d D s s J n F 1 b 3 Q 7 U 2 V j d G l v b j E v Q 2 F w Y W N p d H k g S E Q g Z n J v b n R z a G V l d C 9 B d X R v U m V t b 3 Z l Z E N v b H V t b n M x L n s w M S 8 w O S 8 y M D I z L D d 9 J n F 1 b 3 Q 7 L C Z x d W 9 0 O 1 N l Y 3 R p b 2 4 x L 0 N h c G F j a X R 5 I E h E I G Z y b 2 5 0 c 2 h l Z X Q v Q X V 0 b 1 J l b W 9 2 Z W R D b 2 x 1 b W 5 z M S 5 7 M D E v M T A v M j A y M y w 4 f S Z x d W 9 0 O y w m c X V v d D t T Z W N 0 a W 9 u M S 9 D Y X B h Y 2 l 0 e S B I R C B m c m 9 u d H N o Z W V 0 L 0 F 1 d G 9 S Z W 1 v d m V k Q 2 9 s d W 1 u c z E u e z A x L z E x L z I w M j M s O X 0 m c X V v d D s s J n F 1 b 3 Q 7 U 2 V j d G l v b j E v Q 2 F w Y W N p d H k g S E Q g Z n J v b n R z a G V l d C 9 B d X R v U m V t b 3 Z l Z E N v b H V t b n M x L n s w M S 8 x M i 8 y M D I z L D E w f S Z x d W 9 0 O y w m c X V v d D t T Z W N 0 a W 9 u M S 9 D Y X B h Y 2 l 0 e S B I R C B m c m 9 u d H N o Z W V 0 L 0 F 1 d G 9 S Z W 1 v d m V k Q 2 9 s d W 1 u c z E u e z A x L z A x L z I w M j Q s M T F 9 J n F 1 b 3 Q 7 L C Z x d W 9 0 O 1 N l Y 3 R p b 2 4 x L 0 N h c G F j a X R 5 I E h E I G Z y b 2 5 0 c 2 h l Z X Q v Q X V 0 b 1 J l b W 9 2 Z W R D b 2 x 1 b W 5 z M S 5 7 M D E v M D I v M j A y N C w x M n 0 m c X V v d D s s J n F 1 b 3 Q 7 U 2 V j d G l v b j E v Q 2 F w Y W N p d H k g S E Q g Z n J v b n R z a G V l d C 9 B d X R v U m V t b 3 Z l Z E N v b H V t b n M x L n s w M S 8 w M y 8 y M D I 0 L D E z f S Z x d W 9 0 O y w m c X V v d D t T Z W N 0 a W 9 u M S 9 D Y X B h Y 2 l 0 e S B I R C B m c m 9 u d H N o Z W V 0 L 0 F 1 d G 9 S Z W 1 v d m V k Q 2 9 s d W 1 u c z E u e 0 l D Q i w x N H 0 m c X V v d D s s J n F 1 b 3 Q 7 U 2 V j d G l v b j E v Q 2 F w Y W N p d H k g S E Q g Z n J v b n R z a G V l d C 9 B d X R v U m V t b 3 Z l Z E N v b H V t b n M x L n t M Q S w x N X 0 m c X V v d D s s J n F 1 b 3 Q 7 U 2 V j d G l v b j E v Q 2 F w Y W N p d H k g S E Q g Z n J v b n R z a G V l d C 9 B d X R v U m V t b 3 Z l Z E N v b H V t b n M x L n t K b 2 l u d C w x N n 0 m c X V v d D t d L C Z x d W 9 0 O 0 N v b H V t b k N v d W 5 0 J n F 1 b 3 Q 7 O j E 3 L C Z x d W 9 0 O 0 t l e U N v b H V t b k 5 h b W V z J n F 1 b 3 Q 7 O l t d L C Z x d W 9 0 O 0 N v b H V t b k l k Z W 5 0 a X R p Z X M m c X V v d D s 6 W y Z x d W 9 0 O 1 N l Y 3 R p b 2 4 x L 0 N h c G F j a X R 5 I E h E I G Z y b 2 5 0 c 2 h l Z X Q v Q X V 0 b 1 J l b W 9 2 Z W R D b 2 x 1 b W 5 z M S 5 7 T m F t Z S w w f S Z x d W 9 0 O y w m c X V v d D t T Z W N 0 a W 9 u M S 9 D Y X B h Y 2 l 0 e S B I R C B m c m 9 u d H N o Z W V 0 L 0 F 1 d G 9 S Z W 1 v d m V k Q 2 9 s d W 1 u c z E u e 1 N l c n Z p Y 2 U g Q X J l Y S w x f S Z x d W 9 0 O y w m c X V v d D t T Z W N 0 a W 9 u M S 9 D Y X B h Y 2 l 0 e S B I R C B m c m 9 u d H N o Z W V 0 L 0 F 1 d G 9 S Z W 1 v d m V k Q 2 9 s d W 1 u c z E u e z A x L z A 0 L z I w M j M s M n 0 m c X V v d D s s J n F 1 b 3 Q 7 U 2 V j d G l v b j E v Q 2 F w Y W N p d H k g S E Q g Z n J v b n R z a G V l d C 9 B d X R v U m V t b 3 Z l Z E N v b H V t b n M x L n s w M S 8 w N S 8 y M D I z L D N 9 J n F 1 b 3 Q 7 L C Z x d W 9 0 O 1 N l Y 3 R p b 2 4 x L 0 N h c G F j a X R 5 I E h E I G Z y b 2 5 0 c 2 h l Z X Q v Q X V 0 b 1 J l b W 9 2 Z W R D b 2 x 1 b W 5 z M S 5 7 M D E v M D Y v M j A y M y w 0 f S Z x d W 9 0 O y w m c X V v d D t T Z W N 0 a W 9 u M S 9 D Y X B h Y 2 l 0 e S B I R C B m c m 9 u d H N o Z W V 0 L 0 F 1 d G 9 S Z W 1 v d m V k Q 2 9 s d W 1 u c z E u e z A x L z A 3 L z I w M j M s N X 0 m c X V v d D s s J n F 1 b 3 Q 7 U 2 V j d G l v b j E v Q 2 F w Y W N p d H k g S E Q g Z n J v b n R z a G V l d C 9 B d X R v U m V t b 3 Z l Z E N v b H V t b n M x L n s w M S 8 w O C 8 y M D I z L D Z 9 J n F 1 b 3 Q 7 L C Z x d W 9 0 O 1 N l Y 3 R p b 2 4 x L 0 N h c G F j a X R 5 I E h E I G Z y b 2 5 0 c 2 h l Z X Q v Q X V 0 b 1 J l b W 9 2 Z W R D b 2 x 1 b W 5 z M S 5 7 M D E v M D k v M j A y M y w 3 f S Z x d W 9 0 O y w m c X V v d D t T Z W N 0 a W 9 u M S 9 D Y X B h Y 2 l 0 e S B I R C B m c m 9 u d H N o Z W V 0 L 0 F 1 d G 9 S Z W 1 v d m V k Q 2 9 s d W 1 u c z E u e z A x L z E w L z I w M j M s O H 0 m c X V v d D s s J n F 1 b 3 Q 7 U 2 V j d G l v b j E v Q 2 F w Y W N p d H k g S E Q g Z n J v b n R z a G V l d C 9 B d X R v U m V t b 3 Z l Z E N v b H V t b n M x L n s w M S 8 x M S 8 y M D I z L D l 9 J n F 1 b 3 Q 7 L C Z x d W 9 0 O 1 N l Y 3 R p b 2 4 x L 0 N h c G F j a X R 5 I E h E I G Z y b 2 5 0 c 2 h l Z X Q v Q X V 0 b 1 J l b W 9 2 Z W R D b 2 x 1 b W 5 z M S 5 7 M D E v M T I v M j A y M y w x M H 0 m c X V v d D s s J n F 1 b 3 Q 7 U 2 V j d G l v b j E v Q 2 F w Y W N p d H k g S E Q g Z n J v b n R z a G V l d C 9 B d X R v U m V t b 3 Z l Z E N v b H V t b n M x L n s w M S 8 w M S 8 y M D I 0 L D E x f S Z x d W 9 0 O y w m c X V v d D t T Z W N 0 a W 9 u M S 9 D Y X B h Y 2 l 0 e S B I R C B m c m 9 u d H N o Z W V 0 L 0 F 1 d G 9 S Z W 1 v d m V k Q 2 9 s d W 1 u c z E u e z A x L z A y L z I w M j Q s M T J 9 J n F 1 b 3 Q 7 L C Z x d W 9 0 O 1 N l Y 3 R p b 2 4 x L 0 N h c G F j a X R 5 I E h E I G Z y b 2 5 0 c 2 h l Z X Q v Q X V 0 b 1 J l b W 9 2 Z W R D b 2 x 1 b W 5 z M S 5 7 M D E v M D M v M j A y N C w x M 3 0 m c X V v d D s s J n F 1 b 3 Q 7 U 2 V j d G l v b j E v Q 2 F w Y W N p d H k g S E Q g Z n J v b n R z a G V l d C 9 B d X R v U m V t b 3 Z l Z E N v b H V t b n M x L n t J Q 0 I s M T R 9 J n F 1 b 3 Q 7 L C Z x d W 9 0 O 1 N l Y 3 R p b 2 4 x L 0 N h c G F j a X R 5 I E h E I G Z y b 2 5 0 c 2 h l Z X Q v Q X V 0 b 1 J l b W 9 2 Z W R D b 2 x 1 b W 5 z M S 5 7 T E E s M T V 9 J n F 1 b 3 Q 7 L C Z x d W 9 0 O 1 N l Y 3 R p b 2 4 x L 0 N h c G F j a X R 5 I E h E I G Z y b 2 5 0 c 2 h l Z X Q v Q X V 0 b 1 J l b W 9 2 Z W R D b 2 x 1 b W 5 z M S 5 7 S m 9 p b n Q s M T Z 9 J n F 1 b 3 Q 7 X S w m c X V v d D t S Z W x h d G l v b n N o a X B J b m Z v J n F 1 b 3 Q 7 O l t d f S I g L z 4 8 R W 5 0 c n k g V H l w Z T 0 i Q W R k Z W R U b 0 R h d G F N b 2 R l b C I g V m F s d W U 9 I m w w I i A v P j w v U 3 R h Y m x l R W 5 0 c m l l c z 4 8 L 0 l 0 Z W 0 + P E l 0 Z W 0 + P E l 0 Z W 1 M b 2 N h d G l v b j 4 8 S X R l b V R 5 c G U + R m 9 y b X V s Y T w v S X R l b V R 5 c G U + P E l 0 Z W 1 Q Y X R o P l N l Y 3 R p b 2 4 x L 0 N h c G F j a X R 5 J T I w S E Q l M j B m c m 9 u d H N o Z W V 0 L 1 N v d X J j Z T w v S X R l b V B h d G g + P C 9 J d G V t T G 9 j Y X R p b 2 4 + P F N 0 Y W J s Z U V u d H J p Z X M g L z 4 8 L 0 l 0 Z W 0 + P E l 0 Z W 0 + P E l 0 Z W 1 M b 2 N h d G l v b j 4 8 S X R l b V R 5 c G U + R m 9 y b X V s Y T w v S X R l b V R 5 c G U + P E l 0 Z W 1 Q Y X R o P l N l Y 3 R p b 2 4 x L 0 N h c G F j a X R 5 J T I w S E Q l M j B m c m 9 u d H N o Z W V 0 L 0 Z p b H R l c m V k J T I w S G l k Z G V u J T I w R m l s Z X M x P C 9 J d G V t U G F 0 a D 4 8 L 0 l 0 Z W 1 M b 2 N h d G l v b j 4 8 U 3 R h Y m x l R W 5 0 c m l l c y A v P j w v S X R l b T 4 8 S X R l b T 4 8 S X R l b U x v Y 2 F 0 a W 9 u P j x J d G V t V H l w Z T 5 G b 3 J t d W x h P C 9 J d G V t V H l w Z T 4 8 S X R l b V B h d G g + U 2 V j d G l v b j E v Q 2 F w Y W N p d H k l M j B I R C U y M G Z y b 2 5 0 c 2 h l Z X Q v S W 5 2 b 2 t l J T I w Q 3 V z d G 9 t J T I w R n V u Y 3 R p b 2 4 x P C 9 J d G V t U G F 0 a D 4 8 L 0 l 0 Z W 1 M b 2 N h d G l v b j 4 8 U 3 R h Y m x l R W 5 0 c m l l c y A v P j w v S X R l b T 4 8 S X R l b T 4 8 S X R l b U x v Y 2 F 0 a W 9 u P j x J d G V t V H l w Z T 5 G b 3 J t d W x h P C 9 J d G V t V H l w Z T 4 8 S X R l b V B h d G g + U 2 V j d G l v b j E v Q 2 F w Y W N p d H k l M j B I R C U y M G Z y b 2 5 0 c 2 h l Z X Q v U m V t b 3 Z l Z C U y M E 9 0 a G V y J T I w Q 2 9 s d W 1 u c z E 8 L 0 l 0 Z W 1 Q Y X R o P j w v S X R l b U x v Y 2 F 0 a W 9 u P j x T d G F i b G V F b n R y a W V z I C 8 + P C 9 J d G V t P j x J d G V t P j x J d G V t T G 9 j Y X R p b 2 4 + P E l 0 Z W 1 U e X B l P k Z v c m 1 1 b G E 8 L 0 l 0 Z W 1 U e X B l P j x J d G V t U G F 0 a D 5 T Z W N 0 a W 9 u M S 9 D Y X B h Y 2 l 0 e S U y M E h E J T I w Z n J v b n R z a G V l d C 9 F e H B h b m R l Z C U y M F R h Y m x l J T I w Q 2 9 s d W 1 u M T w v S X R l b V B h d G g + P C 9 J d G V t T G 9 j Y X R p b 2 4 + P F N 0 Y W J s Z U V u d H J p Z X M g L z 4 8 L 0 l 0 Z W 0 + P E l 0 Z W 0 + P E l 0 Z W 1 M b 2 N h d G l v b j 4 8 S X R l b V R 5 c G U + R m 9 y b X V s Y T w v S X R l b V R 5 c G U + P E l 0 Z W 1 Q Y X R o P l N l Y 3 R p b 2 4 x L 0 N h c G F j a X R 5 J T I w S E Q l M j B m c m 9 u d H N o Z W V 0 L 1 J l c G x h Y 2 V k J T I w V m F s d W U 8 L 0 l 0 Z W 1 Q Y X R o P j w v S X R l b U x v Y 2 F 0 a W 9 u P j x T d G F i b G V F b n R y a W V z I C 8 + P C 9 J d G V t P j x J d G V t P j x J d G V t T G 9 j Y X R p b 2 4 + P E l 0 Z W 1 U e X B l P k Z v c m 1 1 b G E 8 L 0 l 0 Z W 1 U e X B l P j x J d G V t U G F 0 a D 5 T Z W N 0 a W 9 u M S 9 U c m F u c 2 Z v c m 0 l M j B G a W x l J T I w K D I p P C 9 J d G V t U G F 0 a D 4 8 L 0 l 0 Z W 1 M b 2 N h d G l v b j 4 8 U 3 R h Y m x l R W 5 0 c m l l c z 4 8 R W 5 0 c n k g V H l w Z T 0 i T G 9 h Z F R v U m V w b 3 J 0 R G l z Y W J s Z W Q i I F Z h b H V l P S J s M S I g L z 4 8 R W 5 0 c n k g V H l w Z T 0 i U X V l c n l H c m 9 1 c E l E I i B W Y W x 1 Z T 0 i c 2 I z Z D g 1 M D d k L W R i Z m U t N D N i M S 1 i Y j B h L W I 1 N z Z k Z W N m N z g x Z 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R m l s b F N 0 Y X R 1 c y I g V m F s d W U 9 I n N D b 2 1 w b G V 0 Z S I g L z 4 8 R W 5 0 c n k g V H l w Z T 0 i Q W R k Z W R U b 0 R h d G F N b 2 R l b C I g V m F s d W U 9 I m w w I i A v P j x F b n R y e S B U e X B l P S J G a W x s R X J y b 3 J D b 2 R l I i B W Y W x 1 Z T 0 i c 1 V u a 2 5 v d 2 4 i I C 8 + P E V u d H J 5 I F R 5 c G U 9 I k Z p b G x M Y X N 0 V X B k Y X R l Z C I g V m F s d W U 9 I m Q y M D I z L T A 3 L T I 3 V D I y O j U 1 O j I z L j g 4 M T E 4 N j J a I i A v P j w v U 3 R h Y m x l R W 5 0 c m l l c z 4 8 L 0 l 0 Z W 0 + P E l 0 Z W 0 + P E l 0 Z W 1 M b 2 N h d G l v b j 4 8 S X R l b V R 5 c G U + R m 9 y b X V s Y T w v S X R l b V R 5 c G U + P E l 0 Z W 1 Q Y X R o P l N l Y 3 R p b 2 4 x L 1 R y Y W 5 z Z m 9 y b S U y M E Z p b G U l M j A o M i k v U 2 9 1 c m N l P C 9 J d G V t U G F 0 a D 4 8 L 0 l 0 Z W 1 M b 2 N h d G l v b j 4 8 U 3 R h Y m x l R W 5 0 c m l l c y A v P j w v S X R l b T 4 8 S X R l b T 4 8 S X R l b U x v Y 2 F 0 a W 9 u P j x J d G V t V H l w Z T 5 G b 3 J t d W x h P C 9 J d G V t V H l w Z T 4 8 S X R l b V B h d G g + U 2 V j d G l v b j E v U 2 F t c G x l J T I w R m l s Z S U y M C g y K T w v S X R l b V B h d G g + P C 9 J d G V t T G 9 j Y X R p b 2 4 + P F N 0 Y W J s Z U V u d H J p Z X M + P E V u d H J 5 I F R 5 c G U 9 I k l z U H J p d m F 0 Z S I g V m F s d W U 9 I m w w I i A v P j x F b n R y e S B U e X B l P S J M b 2 F k Z W R U b 0 F u Y W x 5 c 2 l z U 2 V y d m l j Z X M i I F Z h b H V l P S J s M C I g L z 4 8 R W 5 0 c n k g V H l w Z T 0 i Q W R k Z W R U b 0 R h d G F N b 2 R l b C I g V m F s d W U 9 I m w w I i A v P j x F b n R y e S B U e X B l P S J G a W x s U 3 R h d H V z I i B W Y W x 1 Z T 0 i c 0 N v b X B s Z X R l I i A v P j x F b n R y e S B U e X B l P S J M b 2 F k V G 9 S Z X B v c n R E a X N h Y m x l Z C I g V m F s d W U 9 I m w x I i A v P j x F b n R y e S B U e X B l P S J R d W V y e U d y b 3 V w S U Q i I F Z h b H V l P S J z Y j N k O D U w N 2 Q t Z G J m Z S 0 0 M 2 I x L W J i M G E t Y j U 3 N m R l Y 2 Y 3 O D F k 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R m l s b E V y c m 9 y Q 2 9 k Z S I g V m F s d W U 9 I n N V b m t u b 3 d u I i A v P j x F b n R y e S B U e X B l P S J G a W x s Z W R D b 2 1 w b G V 0 Z V J l c 3 V s d F R v V 2 9 y a 3 N o Z W V 0 I i B W Y W x 1 Z T 0 i b D A i I C 8 + P E V u d H J 5 I F R 5 c G U 9 I k Z p b G x M Y X N 0 V X B k Y X R l Z C I g V m F s d W U 9 I m Q y M D I z L T A 3 L T I 3 V D I y O j U 1 O j I z L j k z M T U 1 N j d a I i A v P j w v U 3 R h Y m x l R W 5 0 c m l l c z 4 8 L 0 l 0 Z W 0 + P E l 0 Z W 0 + P E l 0 Z W 1 M b 2 N h d G l v b j 4 8 S X R l b V R 5 c G U + R m 9 y b X V s Y T w v S X R l b V R 5 c G U + P E l 0 Z W 1 Q Y X R o P l N l Y 3 R p b 2 4 x L 1 N h b X B s Z S U y M E Z p b G U l M j A o M i k v U 2 9 1 c m N l P C 9 J d G V t U G F 0 a D 4 8 L 0 l 0 Z W 1 M b 2 N h d G l v b j 4 8 U 3 R h Y m x l R W 5 0 c m l l c y A v P j w v S X R l b T 4 8 S X R l b T 4 8 S X R l b U x v Y 2 F 0 a W 9 u P j x J d G V t V H l w Z T 5 G b 3 J t d W x h P C 9 J d G V t V H l w Z T 4 8 S X R l b V B h d G g + U 2 V j d G l v b j E v U 2 F t c G x l J T I w R m l s Z S U y M C g y K S 9 O Y X Z p Z 2 F 0 a W 9 u M T w v S X R l b V B h d G g + P C 9 J d G V t T G 9 j Y X R p b 2 4 + P F N 0 Y W J s Z U V u d H J p Z X M g L z 4 8 L 0 l 0 Z W 0 + P E l 0 Z W 0 + P E l 0 Z W 1 M b 2 N h d G l v b j 4 8 S X R l b V R 5 c G U + R m 9 y b X V s Y T w v S X R l b V R 5 c G U + P E l 0 Z W 1 Q Y X R o P l N l Y 3 R p b 2 4 x L 0 R l b W F u Z C U y M E h E J T I w Z n J v b n R z a G V l d 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x I i A v P j x F b n R y e S B U e X B l P S J G a W x s Q 2 9 s d W 1 u V H l w Z X M i I F Z h b H V l P S J z Q m d B R 0 F B Q U F B Q U F B Q U F B Q U F B Q U E i I C 8 + P E V u d H J 5 I F R 5 c G U 9 I k Z p b G x M Y X N 0 V X B k Y X R l Z C I g V m F s d W U 9 I m Q y M D I z L T A 3 L T E 5 V D I w O j I 3 O j A 2 L j A z M j E 5 M D d a I i A v P j x F b n R y e S B U e X B l P S J G a W x s Q 2 9 s d W 1 u T m F t Z X M i I F Z h b H V l P S J z W y Z x d W 9 0 O 0 5 h b W U m c X V v d D s s J n F 1 b 3 Q 7 V H J 1 c 3 Q g U m V m Z X J y Y W w g U 2 9 1 c m N l I C A g I C A g I C A g I C A g I C A g I C A g I C A g I C A g I C A g I C A g I C A g I C A g I C A g I C A o U 2 V s Z W N 0 I G F z I G 1 h b n k g Y X M g e W 9 1 I G 5 l Z W Q p J n F 1 b 3 Q 7 L C Z x d W 9 0 O 1 B h d G h 3 Y X k 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t d I i A v P j x F b n R y e S B U e X B l P S J G a W x s R X J y b 3 J D b 3 V u d C I g V m F s d W U 9 I m w w I i A v P j x F b n R y e S B U e X B l P S J G a W x s U 3 R h d H V z I i B W Y W x 1 Z T 0 i c 0 N v b X B s Z X R l I i A v P j x F b n R y e S B U e X B l P S J G a W x s R X J y b 3 J D b 2 R l I i B W Y W x 1 Z T 0 i c 1 V u a 2 5 v d 2 4 i I C 8 + P E V u d H J 5 I F R 5 c G U 9 I k F k Z G V k V G 9 E Y X R h T W 9 k Z W w i I F Z h b H V l P S J s M C I g L z 4 8 R W 5 0 c n k g V H l w Z T 0 i R m l s b E N v d W 5 0 I i B W Y W x 1 Z T 0 i b D I 0 M z Y i I C 8 + P E V u d H J 5 I F R 5 c G U 9 I l J l b G F 0 a W 9 u c 2 h p c E l u Z m 9 D b 2 5 0 Y W l u Z X I i I F Z h b H V l P S J z e y Z x d W 9 0 O 2 N v b H V t b k N v d W 5 0 J n F 1 b 3 Q 7 O j E 1 L C Z x d W 9 0 O 2 t l e U N v b H V t b k 5 h b W V z J n F 1 b 3 Q 7 O l t d L C Z x d W 9 0 O 3 F 1 Z X J 5 U m V s Y X R p b 2 5 z a G l w c y Z x d W 9 0 O z p b X S w m c X V v d D t j b 2 x 1 b W 5 J Z G V u d G l 0 a W V z J n F 1 b 3 Q 7 O l s m c X V v d D t T Z W N 0 a W 9 u M S 9 E Z W 1 h b m Q g S E Q g Z n J v b n R z a G V l d C 9 B d X R v U m V t b 3 Z l Z E N v b H V t b n M x L n t O Y W 1 l L D B 9 J n F 1 b 3 Q 7 L C Z x d W 9 0 O 1 N l Y 3 R p b 2 4 x L 0 R l b W F u Z C B I R C B m c m 9 u d H N o Z W V 0 L 0 F 1 d G 9 S Z W 1 v d m V k Q 2 9 s d W 1 u c z E u e 1 R y d X N 0 I F J l Z m V y c m F s I F N v d X J j Z S A g I C A g I C A g I C A g I C A g I C A g I C A g I C A g I C A g I C A g I C A g I C A g I C A g I C A g K F N l b G V j d C B h c y B t Y W 5 5 I G F z I H l v d S B u Z W V k K S w x f S Z x d W 9 0 O y w m c X V v d D t T Z W N 0 a W 9 u M S 9 E Z W 1 h b m Q g S E Q g Z n J v b n R z a G V l d C 9 B d X R v U m V t b 3 Z l Z E N v b H V t b n M x L n t Q Y X R o d 2 F 5 L D J 9 J n F 1 b 3 Q 7 L C Z x d W 9 0 O 1 N l Y 3 R p b 2 4 x L 0 R l b W F u Z C B I R C B m c m 9 u d H N o Z W V 0 L 0 F 1 d G 9 S Z W 1 v d m V k Q 2 9 s d W 1 u c z E u e z A x L z A 0 L z I w M j M s M 3 0 m c X V v d D s s J n F 1 b 3 Q 7 U 2 V j d G l v b j E v R G V t Y W 5 k I E h E I G Z y b 2 5 0 c 2 h l Z X Q v Q X V 0 b 1 J l b W 9 2 Z W R D b 2 x 1 b W 5 z M S 5 7 M D E v M D U v M j A y M y w 0 f S Z x d W 9 0 O y w m c X V v d D t T Z W N 0 a W 9 u M S 9 E Z W 1 h b m Q g S E Q g Z n J v b n R z a G V l d C 9 B d X R v U m V t b 3 Z l Z E N v b H V t b n M x L n s w M S 8 w N i 8 y M D I z L D V 9 J n F 1 b 3 Q 7 L C Z x d W 9 0 O 1 N l Y 3 R p b 2 4 x L 0 R l b W F u Z C B I R C B m c m 9 u d H N o Z W V 0 L 0 F 1 d G 9 S Z W 1 v d m V k Q 2 9 s d W 1 u c z E u e z A x L z A 3 L z I w M j M s N n 0 m c X V v d D s s J n F 1 b 3 Q 7 U 2 V j d G l v b j E v R G V t Y W 5 k I E h E I G Z y b 2 5 0 c 2 h l Z X Q v Q X V 0 b 1 J l b W 9 2 Z W R D b 2 x 1 b W 5 z M S 5 7 M D E v M D g v M j A y M y w 3 f S Z x d W 9 0 O y w m c X V v d D t T Z W N 0 a W 9 u M S 9 E Z W 1 h b m Q g S E Q g Z n J v b n R z a G V l d C 9 B d X R v U m V t b 3 Z l Z E N v b H V t b n M x L n s w M S 8 w O S 8 y M D I z L D h 9 J n F 1 b 3 Q 7 L C Z x d W 9 0 O 1 N l Y 3 R p b 2 4 x L 0 R l b W F u Z C B I R C B m c m 9 u d H N o Z W V 0 L 0 F 1 d G 9 S Z W 1 v d m V k Q 2 9 s d W 1 u c z E u e z A x L z E w L z I w M j M s O X 0 m c X V v d D s s J n F 1 b 3 Q 7 U 2 V j d G l v b j E v R G V t Y W 5 k I E h E I G Z y b 2 5 0 c 2 h l Z X Q v Q X V 0 b 1 J l b W 9 2 Z W R D b 2 x 1 b W 5 z M S 5 7 M D E v M T E v M j A y M y w x M H 0 m c X V v d D s s J n F 1 b 3 Q 7 U 2 V j d G l v b j E v R G V t Y W 5 k I E h E I G Z y b 2 5 0 c 2 h l Z X Q v Q X V 0 b 1 J l b W 9 2 Z W R D b 2 x 1 b W 5 z M S 5 7 M D E v M T I v M j A y M y w x M X 0 m c X V v d D s s J n F 1 b 3 Q 7 U 2 V j d G l v b j E v R G V t Y W 5 k I E h E I G Z y b 2 5 0 c 2 h l Z X Q v Q X V 0 b 1 J l b W 9 2 Z W R D b 2 x 1 b W 5 z M S 5 7 M D E v M D E v M j A y N C w x M n 0 m c X V v d D s s J n F 1 b 3 Q 7 U 2 V j d G l v b j E v R G V t Y W 5 k I E h E I G Z y b 2 5 0 c 2 h l Z X Q v Q X V 0 b 1 J l b W 9 2 Z W R D b 2 x 1 b W 5 z M S 5 7 M D E v M D I v M j A y N C w x M 3 0 m c X V v d D s s J n F 1 b 3 Q 7 U 2 V j d G l v b j E v R G V t Y W 5 k I E h E I G Z y b 2 5 0 c 2 h l Z X Q v Q X V 0 b 1 J l b W 9 2 Z W R D b 2 x 1 b W 5 z M S 5 7 M D E v M D M v M j A y N C w x N H 0 m c X V v d D t d L C Z x d W 9 0 O 0 N v b H V t b k N v d W 5 0 J n F 1 b 3 Q 7 O j E 1 L C Z x d W 9 0 O 0 t l e U N v b H V t b k 5 h b W V z J n F 1 b 3 Q 7 O l t d L C Z x d W 9 0 O 0 N v b H V t b k l k Z W 5 0 a X R p Z X M m c X V v d D s 6 W y Z x d W 9 0 O 1 N l Y 3 R p b 2 4 x L 0 R l b W F u Z C B I R C B m c m 9 u d H N o Z W V 0 L 0 F 1 d G 9 S Z W 1 v d m V k Q 2 9 s d W 1 u c z E u e 0 5 h b W U s M H 0 m c X V v d D s s J n F 1 b 3 Q 7 U 2 V j d G l v b j E v R G V t Y W 5 k I E h E I G Z y b 2 5 0 c 2 h l Z X Q v Q X V 0 b 1 J l b W 9 2 Z W R D b 2 x 1 b W 5 z M S 5 7 V H J 1 c 3 Q g U m V m Z X J y Y W w g U 2 9 1 c m N l I C A g I C A g I C A g I C A g I C A g I C A g I C A g I C A g I C A g I C A g I C A g I C A g I C A g I C A o U 2 V s Z W N 0 I G F z I G 1 h b n k g Y X M g e W 9 1 I G 5 l Z W Q p L D F 9 J n F 1 b 3 Q 7 L C Z x d W 9 0 O 1 N l Y 3 R p b 2 4 x L 0 R l b W F u Z C B I R C B m c m 9 u d H N o Z W V 0 L 0 F 1 d G 9 S Z W 1 v d m V k Q 2 9 s d W 1 u c z E u e 1 B h d G h 3 Y X k s M n 0 m c X V v d D s s J n F 1 b 3 Q 7 U 2 V j d G l v b j E v R G V t Y W 5 k I E h E I G Z y b 2 5 0 c 2 h l Z X Q v Q X V 0 b 1 J l b W 9 2 Z W R D b 2 x 1 b W 5 z M S 5 7 M D E v M D Q v M j A y M y w z f S Z x d W 9 0 O y w m c X V v d D t T Z W N 0 a W 9 u M S 9 E Z W 1 h b m Q g S E Q g Z n J v b n R z a G V l d C 9 B d X R v U m V t b 3 Z l Z E N v b H V t b n M x L n s w M S 8 w N S 8 y M D I z L D R 9 J n F 1 b 3 Q 7 L C Z x d W 9 0 O 1 N l Y 3 R p b 2 4 x L 0 R l b W F u Z C B I R C B m c m 9 u d H N o Z W V 0 L 0 F 1 d G 9 S Z W 1 v d m V k Q 2 9 s d W 1 u c z E u e z A x L z A 2 L z I w M j M s N X 0 m c X V v d D s s J n F 1 b 3 Q 7 U 2 V j d G l v b j E v R G V t Y W 5 k I E h E I G Z y b 2 5 0 c 2 h l Z X Q v Q X V 0 b 1 J l b W 9 2 Z W R D b 2 x 1 b W 5 z M S 5 7 M D E v M D c v M j A y M y w 2 f S Z x d W 9 0 O y w m c X V v d D t T Z W N 0 a W 9 u M S 9 E Z W 1 h b m Q g S E Q g Z n J v b n R z a G V l d C 9 B d X R v U m V t b 3 Z l Z E N v b H V t b n M x L n s w M S 8 w O C 8 y M D I z L D d 9 J n F 1 b 3 Q 7 L C Z x d W 9 0 O 1 N l Y 3 R p b 2 4 x L 0 R l b W F u Z C B I R C B m c m 9 u d H N o Z W V 0 L 0 F 1 d G 9 S Z W 1 v d m V k Q 2 9 s d W 1 u c z E u e z A x L z A 5 L z I w M j M s O H 0 m c X V v d D s s J n F 1 b 3 Q 7 U 2 V j d G l v b j E v R G V t Y W 5 k I E h E I G Z y b 2 5 0 c 2 h l Z X Q v Q X V 0 b 1 J l b W 9 2 Z W R D b 2 x 1 b W 5 z M S 5 7 M D E v M T A v M j A y M y w 5 f S Z x d W 9 0 O y w m c X V v d D t T Z W N 0 a W 9 u M S 9 E Z W 1 h b m Q g S E Q g Z n J v b n R z a G V l d C 9 B d X R v U m V t b 3 Z l Z E N v b H V t b n M x L n s w M S 8 x M S 8 y M D I z L D E w f S Z x d W 9 0 O y w m c X V v d D t T Z W N 0 a W 9 u M S 9 E Z W 1 h b m Q g S E Q g Z n J v b n R z a G V l d C 9 B d X R v U m V t b 3 Z l Z E N v b H V t b n M x L n s w M S 8 x M i 8 y M D I z L D E x f S Z x d W 9 0 O y w m c X V v d D t T Z W N 0 a W 9 u M S 9 E Z W 1 h b m Q g S E Q g Z n J v b n R z a G V l d C 9 B d X R v U m V t b 3 Z l Z E N v b H V t b n M x L n s w M S 8 w M S 8 y M D I 0 L D E y f S Z x d W 9 0 O y w m c X V v d D t T Z W N 0 a W 9 u M S 9 E Z W 1 h b m Q g S E Q g Z n J v b n R z a G V l d C 9 B d X R v U m V t b 3 Z l Z E N v b H V t b n M x L n s w M S 8 w M i 8 y M D I 0 L D E z f S Z x d W 9 0 O y w m c X V v d D t T Z W N 0 a W 9 u M S 9 E Z W 1 h b m Q g S E Q g Z n J v b n R z a G V l d C 9 B d X R v U m V t b 3 Z l Z E N v b H V t b n M x L n s w M S 8 w M y 8 y M D I 0 L D E 0 f S Z x d W 9 0 O 1 0 s J n F 1 b 3 Q 7 U m V s Y X R p b 2 5 z a G l w S W 5 m b y Z x d W 9 0 O z p b X X 0 i I C 8 + P E V u d H J 5 I F R 5 c G U 9 I k x v Y W R l Z F R v Q W 5 h b H l z a X N T Z X J 2 a W N l c y I g V m F s d W U 9 I m w w I i A v P j w v U 3 R h Y m x l R W 5 0 c m l l c z 4 8 L 0 l 0 Z W 0 + P E l 0 Z W 0 + P E l 0 Z W 1 M b 2 N h d G l v b j 4 8 S X R l b V R 5 c G U + R m 9 y b X V s Y T w v S X R l b V R 5 c G U + P E l 0 Z W 1 Q Y X R o P l N l Y 3 R p b 2 4 x L 0 R l b W F u Z C U y M E h E J T I w Z n J v b n R z a G V l d C U y M C g y K S 9 T b 3 V y Y 2 U 8 L 0 l 0 Z W 1 Q Y X R o P j w v S X R l b U x v Y 2 F 0 a W 9 u P j x T d G F i b G V F b n R y a W V z I C 8 + P C 9 J d G V t P j x J d G V t P j x J d G V t T G 9 j Y X R p b 2 4 + P E l 0 Z W 1 U e X B l P k Z v c m 1 1 b G E 8 L 0 l 0 Z W 1 U e X B l P j x J d G V t U G F 0 a D 5 T Z W N 0 a W 9 u M S 9 E Z W 1 h b m Q l M j B I R C U y M G Z y b 2 5 0 c 2 h l Z X Q l M j A o M i k v S W 5 2 b 2 t l J T I w Q 3 V z d G 9 t J T I w R n V u Y 3 R p b 2 4 x P C 9 J d G V t U G F 0 a D 4 8 L 0 l 0 Z W 1 M b 2 N h d G l v b j 4 8 U 3 R h Y m x l R W 5 0 c m l l c y A v P j w v S X R l b T 4 8 S X R l b T 4 8 S X R l b U x v Y 2 F 0 a W 9 u P j x J d G V t V H l w Z T 5 G b 3 J t d W x h P C 9 J d G V t V H l w Z T 4 8 S X R l b V B h d G g + U 2 V j d G l v b j E v R G V t Y W 5 k J T I w S E Q l M j B m c m 9 u d H N o Z W V 0 J T I w K D I p L 1 J l b W 9 2 Z W Q l M j B P d G h l c i U y M E N v b H V t b n M x P C 9 J d G V t U G F 0 a D 4 8 L 0 l 0 Z W 1 M b 2 N h d G l v b j 4 8 U 3 R h Y m x l R W 5 0 c m l l c y A v P j w v S X R l b T 4 8 S X R l b T 4 8 S X R l b U x v Y 2 F 0 a W 9 u P j x J d G V t V H l w Z T 5 G b 3 J t d W x h P C 9 J d G V t V H l w Z T 4 8 S X R l b V B h d G g + U 2 V j d G l v b j E v R G V t Y W 5 k J T I w S E Q l M j B m c m 9 u d H N o Z W V 0 J T I w K D I p L 0 V 4 c G F u Z G V k J T I w V G F i b G U l M j B D b 2 x 1 b W 4 x P C 9 J d G V t U G F 0 a D 4 8 L 0 l 0 Z W 1 M b 2 N h d G l v b j 4 8 U 3 R h Y m x l R W 5 0 c m l l c y A v P j w v S X R l b T 4 8 S X R l b T 4 8 S X R l b U x v Y 2 F 0 a W 9 u P j x J d G V t V H l w Z T 5 G b 3 J t d W x h P C 9 J d G V t V H l w Z T 4 8 S X R l b V B h d G g + U 2 V j d G l v b j E v R G V t Y W 5 k J T I w S E Q l M j B m c m 9 u d H N o Z W V 0 J T I w K D I p L 0 Z p b H R l c m V k J T I w U m 9 3 c z w v S X R l b V B h d G g + P C 9 J d G V t T G 9 j Y X R p b 2 4 + P F N 0 Y W J s Z U V u d H J p Z X M g L z 4 8 L 0 l 0 Z W 0 + P E l 0 Z W 0 + P E l 0 Z W 1 M b 2 N h d G l v b j 4 8 S X R l b V R 5 c G U + R m 9 y b X V s Y T w v S X R l b V R 5 c G U + P E l 0 Z W 1 Q Y X R o P l N l Y 3 R p b 2 4 x L 0 R l b W F u Z C U y M E h E J T I w Z n J v b n R z a G V l d C U y M C g y K S 9 S Z X B s Y W N l Z C U y M F Z h b H V l P C 9 J d G V t U G F 0 a D 4 8 L 0 l 0 Z W 1 M b 2 N h d G l v b j 4 8 U 3 R h Y m x l R W 5 0 c m l l c y A v P j w v S X R l b T 4 8 S X R l b T 4 8 S X R l b U x v Y 2 F 0 a W 9 u P j x J d G V t V H l w Z T 5 G b 3 J t d W x h P C 9 J d G V t V H l w Z T 4 8 S X R l b V B h d G g + U 2 V j d G l v b j E v R G V t Y W 5 k J T I w S E Q l M j B m c m 9 u d H N o Z W V 0 J T I w K D I p L 1 J l c G x h Y 2 V k J T I w V m F s d W U x P C 9 J d G V t U G F 0 a D 4 8 L 0 l 0 Z W 1 M b 2 N h d G l v b j 4 8 U 3 R h Y m x l R W 5 0 c m l l c y A v P j w v S X R l b T 4 8 S X R l b T 4 8 S X R l b U x v Y 2 F 0 a W 9 u P j x J d G V t V H l w Z T 5 G b 3 J t d W x h P C 9 J d G V t V H l w Z T 4 8 S X R l b V B h d G g + U 2 V j d G l v b j E v U k V G J T I w K D M p 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F 1 Z X J 5 S U Q i I F Z h b H V l P S J z Z T Z k Z j U 5 Y T g t Z m U 1 O C 0 0 M G R j L W E w Z m Y t Z D F h Z D g 1 M D l l O G Y 4 I i A v P j x F b n R y e S B U e X B l P S J G a W x s V G 9 E Y X R h T W 9 k Z W x F b m F i b G V k I i B W Y W x 1 Z T 0 i b D A i I C 8 + P E V u d H J 5 I F R 5 c G U 9 I k Z p b G x P Y m p l Y 3 R U e X B l I i B W Y W x 1 Z T 0 i c 0 N v b m 5 l Y 3 R p b 2 5 P b m x 5 I i A v P j x F b n R y e S B U e X B l P S J G a W x s R X J y b 3 J D b 2 R l I i B W Y W x 1 Z T 0 i c 1 V u a 2 5 v d 2 4 i I C 8 + P E V u d H J 5 I F R 5 c G U 9 I k Z p b G x M Y X N 0 V X B k Y X R l Z C I g V m F s d W U 9 I m Q y M D I z L T A 3 L T I 3 V D I y O j U 2 O j A z L j Y 1 N j M 2 M j l a I i A v P j x F b n R y e S B U e X B l P S J G a W x s U 3 R h d H V z I i B W Y W x 1 Z T 0 i c 0 N v b X B s Z X R l 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1 J F R i 9 B d X R v U m V t b 3 Z l Z E N v b H V t b n M x L n t D b 2 5 0 Z W 5 0 L D B 9 J n F 1 b 3 Q 7 L C Z x d W 9 0 O 1 N l Y 3 R p b 2 4 x L 1 J F R i 9 B d X R v U m V t b 3 Z l Z E N v b H V t b n M x L n t O Y W 1 l L D F 9 J n F 1 b 3 Q 7 L C Z x d W 9 0 O 1 N l Y 3 R p b 2 4 x L 1 J F R i 9 B d X R v U m V t b 3 Z l Z E N v b H V t b n M x L n t F e H R l b n N p b 2 4 s M n 0 m c X V v d D s s J n F 1 b 3 Q 7 U 2 V j d G l v b j E v U k V G L 0 F 1 d G 9 S Z W 1 v d m V k Q 2 9 s d W 1 u c z E u e 0 R h d G U g Y W N j Z X N z Z W Q s M 3 0 m c X V v d D s s J n F 1 b 3 Q 7 U 2 V j d G l v b j E v U k V G L 0 F 1 d G 9 S Z W 1 v d m V k Q 2 9 s d W 1 u c z E u e 0 R h d G U g b W 9 k a W Z p Z W Q s N H 0 m c X V v d D s s J n F 1 b 3 Q 7 U 2 V j d G l v b j E v U k V G L 0 F 1 d G 9 S Z W 1 v d m V k Q 2 9 s d W 1 u c z E u e 0 R h d G U g Y 3 J l Y X R l Z C w 1 f S Z x d W 9 0 O y w m c X V v d D t T Z W N 0 a W 9 u M S 9 S R U Y v Q X V 0 b 1 J l b W 9 2 Z W R D b 2 x 1 b W 5 z M S 5 7 R m 9 s Z G V y I F B h d G g s N n 0 m c X V v d D t d L C Z x d W 9 0 O 0 N v b H V t b k N v d W 5 0 J n F 1 b 3 Q 7 O j c s J n F 1 b 3 Q 7 S 2 V 5 Q 2 9 s d W 1 u T m F t Z X M m c X V v d D s 6 W 1 0 s J n F 1 b 3 Q 7 Q 2 9 s d W 1 u S W R l b n R p d G l l c y Z x d W 9 0 O z p b J n F 1 b 3 Q 7 U 2 V j d G l v b j E v U k V G L 0 F 1 d G 9 S Z W 1 v d m V k Q 2 9 s d W 1 u c z E u e 0 N v b n R l b n Q s M H 0 m c X V v d D s s J n F 1 b 3 Q 7 U 2 V j d G l v b j E v U k V G L 0 F 1 d G 9 S Z W 1 v d m V k Q 2 9 s d W 1 u c z E u e 0 5 h b W U s M X 0 m c X V v d D s s J n F 1 b 3 Q 7 U 2 V j d G l v b j E v U k V G L 0 F 1 d G 9 S Z W 1 v d m V k Q 2 9 s d W 1 u c z E u e 0 V 4 d G V u c 2 l v b i w y f S Z x d W 9 0 O y w m c X V v d D t T Z W N 0 a W 9 u M S 9 S R U Y v Q X V 0 b 1 J l b W 9 2 Z W R D b 2 x 1 b W 5 z M S 5 7 R G F 0 Z S B h Y 2 N l c 3 N l Z C w z f S Z x d W 9 0 O y w m c X V v d D t T Z W N 0 a W 9 u M S 9 S R U Y v Q X V 0 b 1 J l b W 9 2 Z W R D b 2 x 1 b W 5 z M S 5 7 R G F 0 Z S B t b 2 R p Z m l l Z C w 0 f S Z x d W 9 0 O y w m c X V v d D t T Z W N 0 a W 9 u M S 9 S R U Y v Q X V 0 b 1 J l b W 9 2 Z W R D b 2 x 1 b W 5 z M S 5 7 R G F 0 Z S B j c m V h d G V k L D V 9 J n F 1 b 3 Q 7 L C Z x d W 9 0 O 1 N l Y 3 R p b 2 4 x L 1 J F R i 9 B d X R v U m V t b 3 Z l Z E N v b H V t b n M x L n t G b 2 x k Z X I g U G F 0 a C w 2 f S Z x d W 9 0 O 1 0 s J n F 1 b 3 Q 7 U m V s Y X R p b 2 5 z a G l w S W 5 m b y Z x d W 9 0 O z p b X X 0 i I C 8 + P C 9 T d G F i b G V F b n R y a W V z P j w v S X R l b T 4 8 S X R l b T 4 8 S X R l b U x v Y 2 F 0 a W 9 u P j x J d G V t V H l w Z T 5 G b 3 J t d W x h P C 9 J d G V t V H l w Z T 4 8 S X R l b V B h d G g + U 2 V j d G l v b j E v U k V G J T I w K D M p L 1 N v d X J j Z T w v S X R l b V B h d G g + P C 9 J d G V t T G 9 j Y X R p b 2 4 + P F N 0 Y W J s Z U V u d H J p Z X M g L z 4 8 L 0 l 0 Z W 0 + P E l 0 Z W 0 + P E l 0 Z W 1 M b 2 N h d G l v b j 4 8 S X R l b V R 5 c G U + R m 9 y b X V s Y T w v S X R l b V R 5 c G U + P E l 0 Z W 1 Q Y X R o P l N l Y 3 R p b 2 4 x L 1 J F R i U y M C g z K S 9 S Z W N l a X Z l Z C U y M F R l b X B s Y X R l c z w v S X R l b V B h d G g + P C 9 J d G V t T G 9 j Y X R p b 2 4 + P F N 0 Y W J s Z U V u d H J p Z X M g L z 4 8 L 0 l 0 Z W 0 + P E l 0 Z W 0 + P E l 0 Z W 1 M b 2 N h d G l v b j 4 8 S X R l b V R 5 c G U + R m 9 y b X V s Y T w v S X R l b V R 5 c G U + P E l 0 Z W 1 Q Y X R o P l N l Y 3 R p b 2 4 x L 1 J F R i U y M C g z K S 8 y M D I z L T I 1 P C 9 J d G V t U G F 0 a D 4 8 L 0 l 0 Z W 1 M b 2 N h d G l v b j 4 8 U 3 R h Y m x l R W 5 0 c m l l c y A v P j w v S X R l b T 4 8 S X R l b T 4 8 S X R l b U x v Y 2 F 0 a W 9 u P j x J d G V t V H l w Z T 5 G b 3 J t d W x h P C 9 J d G V t V H l w Z T 4 8 S X R l b V B h d G g + U 2 V j d G l v b j E v U k V G J T I w K D M p L 1 B s Y W 5 u a W 5 n J T I w V G V t c G x h d G U 8 L 0 l 0 Z W 1 Q Y X R o P j w v S X R l b U x v Y 2 F 0 a W 9 u P j x T d G F i b G V F b n R y a W V z I C 8 + P C 9 J d G V t P j x J d G V t P j x J d G V t T G 9 j Y X R p b 2 4 + P E l 0 Z W 1 U e X B l P k Z v c m 1 1 b G E 8 L 0 l 0 Z W 1 U e X B l P j x J d G V t U G F 0 a D 5 T Z W N 0 a W 9 u M S 9 S R U Y l M j A o M y k v R X h 0 c m F j d G V k J T I w V G V 4 d C U y M E J l Z m 9 y Z S U y M E R l b G l t a X R l c j w v S X R l b V B h d G g + P C 9 J d G V t T G 9 j Y X R p b 2 4 + P F N 0 Y W J s Z U V u d H J p Z X M g L z 4 8 L 0 l 0 Z W 0 + P E l 0 Z W 0 + P E l 0 Z W 1 M b 2 N h d G l v b j 4 8 S X R l b V R 5 c G U + R m 9 y b X V s Y T w v S X R l b V R 5 c G U + P E l 0 Z W 1 Q Y X R o P l N l Y 3 R p b 2 4 x L 0 R l b W F u Z C U y M C 0 l M j B D b 2 1 t d W 5 p d H k l M j B m c m 9 u d H N o Z W V 0 P C 9 J d G V t U G F 0 a D 4 8 L 0 l 0 Z W 1 M b 2 N h d G l v b j 4 8 U 3 R h Y m x l R W 5 0 c m l l c 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x l X 0 R l b W F u Z F 9 f X 0 N v b W 1 1 b m l 0 e V 9 m c m 9 u d H N o Z W V 0 I i A v P j x F b n R y e S B U e X B l P S J G a W x s Z W R D b 2 1 w b G V 0 Z V J l c 3 V s d F R v V 2 9 y a 3 N o Z W V 0 I i B W Y W x 1 Z T 0 i b D E i I C 8 + P E V u d H J 5 I F R 5 c G U 9 I l F 1 Z X J 5 S U Q i I F Z h b H V l P S J z Z D k 5 Y j l j Y T Y t M W I z Y S 0 0 Z T U y L T k 5 Y T Y t O D U x Z W U x Z T F k M z M w I i A v P j x F b n R y e S B U e X B l P S J G a W x s T G F z d F V w Z G F 0 Z W Q i I F Z h b H V l P S J k M j A y M y 0 w N y 0 x O V Q y M D o y N z o x M S 4 y M z k z M D A 4 W i I g L z 4 8 R W 5 0 c n k g V H l w Z T 0 i R m l s b E V y c m 9 y Q 2 9 1 b n Q i I F Z h b H V l P S J s M C I g L z 4 8 R W 5 0 c n k g V H l w Z T 0 i R m l s b E N v b H V t b l R 5 c G V z I i B W Y W x 1 Z T 0 i c 0 J n Q U F B Q U F B Q U F B Q U F B Q U F B Q U E 9 I i A v P j x F b n R y e S B U e X B l P S J G a W x s R X J y b 3 J D b 2 R l I i B W Y W x 1 Z T 0 i c 1 V u a 2 5 v d 2 4 i I C 8 + P E V u d H J 5 I F R 5 c G U 9 I k Z p b G x D b 2 x 1 b W 5 O Y W 1 l c y I g V m F s d W U 9 I n N b J n F 1 b 3 Q 7 T m F t Z S Z x d W 9 0 O y w m c X V v d D t T Z X J 2 a W N l I F R 5 c G U 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t d I i A v P j x F b n R y e S B U e X B l P S J G a W x s Q 2 9 1 b n Q i I F Z h b H V l P S J s M T A w O C I g L z 4 8 R W 5 0 c n k g V H l w Z T 0 i Q W R k Z W R U b 0 R h d G F N b 2 R l b C I g V m F s d W U 9 I m w w 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R G V t Y W 5 k I C 0 g Q 2 9 t b X V u a X R 5 I G Z y b 2 5 0 c 2 h l Z X Q v Q X V 0 b 1 J l b W 9 2 Z W R D b 2 x 1 b W 5 z M S 5 7 T m F t Z S w w f S Z x d W 9 0 O y w m c X V v d D t T Z W N 0 a W 9 u M S 9 E Z W 1 h b m Q g L S B D b 2 1 t d W 5 p d H k g Z n J v b n R z a G V l d C 9 B d X R v U m V t b 3 Z l Z E N v b H V t b n M x L n t T Z X J 2 a W N l I F R 5 c G U s M X 0 m c X V v d D s s J n F 1 b 3 Q 7 U 2 V j d G l v b j E v R G V t Y W 5 k I C 0 g Q 2 9 t b X V u a X R 5 I G Z y b 2 5 0 c 2 h l Z X Q v Q X V 0 b 1 J l b W 9 2 Z W R D b 2 x 1 b W 5 z M S 5 7 M D E v M D Q v M j A y M y w y f S Z x d W 9 0 O y w m c X V v d D t T Z W N 0 a W 9 u M S 9 E Z W 1 h b m Q g L S B D b 2 1 t d W 5 p d H k g Z n J v b n R z a G V l d C 9 B d X R v U m V t b 3 Z l Z E N v b H V t b n M x L n s w M S 8 w N S 8 y M D I z L D N 9 J n F 1 b 3 Q 7 L C Z x d W 9 0 O 1 N l Y 3 R p b 2 4 x L 0 R l b W F u Z C A t I E N v b W 1 1 b m l 0 e S B m c m 9 u d H N o Z W V 0 L 0 F 1 d G 9 S Z W 1 v d m V k Q 2 9 s d W 1 u c z E u e z A x L z A 2 L z I w M j M s N H 0 m c X V v d D s s J n F 1 b 3 Q 7 U 2 V j d G l v b j E v R G V t Y W 5 k I C 0 g Q 2 9 t b X V u a X R 5 I G Z y b 2 5 0 c 2 h l Z X Q v Q X V 0 b 1 J l b W 9 2 Z W R D b 2 x 1 b W 5 z M S 5 7 M D E v M D c v M j A y M y w 1 f S Z x d W 9 0 O y w m c X V v d D t T Z W N 0 a W 9 u M S 9 E Z W 1 h b m Q g L S B D b 2 1 t d W 5 p d H k g Z n J v b n R z a G V l d C 9 B d X R v U m V t b 3 Z l Z E N v b H V t b n M x L n s w M S 8 w O C 8 y M D I z L D Z 9 J n F 1 b 3 Q 7 L C Z x d W 9 0 O 1 N l Y 3 R p b 2 4 x L 0 R l b W F u Z C A t I E N v b W 1 1 b m l 0 e S B m c m 9 u d H N o Z W V 0 L 0 F 1 d G 9 S Z W 1 v d m V k Q 2 9 s d W 1 u c z E u e z A x L z A 5 L z I w M j M s N 3 0 m c X V v d D s s J n F 1 b 3 Q 7 U 2 V j d G l v b j E v R G V t Y W 5 k I C 0 g Q 2 9 t b X V u a X R 5 I G Z y b 2 5 0 c 2 h l Z X Q v Q X V 0 b 1 J l b W 9 2 Z W R D b 2 x 1 b W 5 z M S 5 7 M D E v M T A v M j A y M y w 4 f S Z x d W 9 0 O y w m c X V v d D t T Z W N 0 a W 9 u M S 9 E Z W 1 h b m Q g L S B D b 2 1 t d W 5 p d H k g Z n J v b n R z a G V l d C 9 B d X R v U m V t b 3 Z l Z E N v b H V t b n M x L n s w M S 8 x M S 8 y M D I z L D l 9 J n F 1 b 3 Q 7 L C Z x d W 9 0 O 1 N l Y 3 R p b 2 4 x L 0 R l b W F u Z C A t I E N v b W 1 1 b m l 0 e S B m c m 9 u d H N o Z W V 0 L 0 F 1 d G 9 S Z W 1 v d m V k Q 2 9 s d W 1 u c z E u e z A x L z E y L z I w M j M s M T B 9 J n F 1 b 3 Q 7 L C Z x d W 9 0 O 1 N l Y 3 R p b 2 4 x L 0 R l b W F u Z C A t I E N v b W 1 1 b m l 0 e S B m c m 9 u d H N o Z W V 0 L 0 F 1 d G 9 S Z W 1 v d m V k Q 2 9 s d W 1 u c z E u e z A x L z A x L z I w M j Q s M T F 9 J n F 1 b 3 Q 7 L C Z x d W 9 0 O 1 N l Y 3 R p b 2 4 x L 0 R l b W F u Z C A t I E N v b W 1 1 b m l 0 e S B m c m 9 u d H N o Z W V 0 L 0 F 1 d G 9 S Z W 1 v d m V k Q 2 9 s d W 1 u c z E u e z A x L z A y L z I w M j Q s M T J 9 J n F 1 b 3 Q 7 L C Z x d W 9 0 O 1 N l Y 3 R p b 2 4 x L 0 R l b W F u Z C A t I E N v b W 1 1 b m l 0 e S B m c m 9 u d H N o Z W V 0 L 0 F 1 d G 9 S Z W 1 v d m V k Q 2 9 s d W 1 u c z E u e z A x L z A z L z I w M j Q s M T N 9 J n F 1 b 3 Q 7 X S w m c X V v d D t D b 2 x 1 b W 5 D b 3 V u d C Z x d W 9 0 O z o x N C w m c X V v d D t L Z X l D b 2 x 1 b W 5 O Y W 1 l c y Z x d W 9 0 O z p b X S w m c X V v d D t D b 2 x 1 b W 5 J Z G V u d G l 0 a W V z J n F 1 b 3 Q 7 O l s m c X V v d D t T Z W N 0 a W 9 u M S 9 E Z W 1 h b m Q g L S B D b 2 1 t d W 5 p d H k g Z n J v b n R z a G V l d C 9 B d X R v U m V t b 3 Z l Z E N v b H V t b n M x L n t O Y W 1 l L D B 9 J n F 1 b 3 Q 7 L C Z x d W 9 0 O 1 N l Y 3 R p b 2 4 x L 0 R l b W F u Z C A t I E N v b W 1 1 b m l 0 e S B m c m 9 u d H N o Z W V 0 L 0 F 1 d G 9 S Z W 1 v d m V k Q 2 9 s d W 1 u c z E u e 1 N l c n Z p Y 2 U g V H l w Z S w x f S Z x d W 9 0 O y w m c X V v d D t T Z W N 0 a W 9 u M S 9 E Z W 1 h b m Q g L S B D b 2 1 t d W 5 p d H k g Z n J v b n R z a G V l d C 9 B d X R v U m V t b 3 Z l Z E N v b H V t b n M x L n s w M S 8 w N C 8 y M D I z L D J 9 J n F 1 b 3 Q 7 L C Z x d W 9 0 O 1 N l Y 3 R p b 2 4 x L 0 R l b W F u Z C A t I E N v b W 1 1 b m l 0 e S B m c m 9 u d H N o Z W V 0 L 0 F 1 d G 9 S Z W 1 v d m V k Q 2 9 s d W 1 u c z E u e z A x L z A 1 L z I w M j M s M 3 0 m c X V v d D s s J n F 1 b 3 Q 7 U 2 V j d G l v b j E v R G V t Y W 5 k I C 0 g Q 2 9 t b X V u a X R 5 I G Z y b 2 5 0 c 2 h l Z X Q v Q X V 0 b 1 J l b W 9 2 Z W R D b 2 x 1 b W 5 z M S 5 7 M D E v M D Y v M j A y M y w 0 f S Z x d W 9 0 O y w m c X V v d D t T Z W N 0 a W 9 u M S 9 E Z W 1 h b m Q g L S B D b 2 1 t d W 5 p d H k g Z n J v b n R z a G V l d C 9 B d X R v U m V t b 3 Z l Z E N v b H V t b n M x L n s w M S 8 w N y 8 y M D I z L D V 9 J n F 1 b 3 Q 7 L C Z x d W 9 0 O 1 N l Y 3 R p b 2 4 x L 0 R l b W F u Z C A t I E N v b W 1 1 b m l 0 e S B m c m 9 u d H N o Z W V 0 L 0 F 1 d G 9 S Z W 1 v d m V k Q 2 9 s d W 1 u c z E u e z A x L z A 4 L z I w M j M s N n 0 m c X V v d D s s J n F 1 b 3 Q 7 U 2 V j d G l v b j E v R G V t Y W 5 k I C 0 g Q 2 9 t b X V u a X R 5 I G Z y b 2 5 0 c 2 h l Z X Q v Q X V 0 b 1 J l b W 9 2 Z W R D b 2 x 1 b W 5 z M S 5 7 M D E v M D k v M j A y M y w 3 f S Z x d W 9 0 O y w m c X V v d D t T Z W N 0 a W 9 u M S 9 E Z W 1 h b m Q g L S B D b 2 1 t d W 5 p d H k g Z n J v b n R z a G V l d C 9 B d X R v U m V t b 3 Z l Z E N v b H V t b n M x L n s w M S 8 x M C 8 y M D I z L D h 9 J n F 1 b 3 Q 7 L C Z x d W 9 0 O 1 N l Y 3 R p b 2 4 x L 0 R l b W F u Z C A t I E N v b W 1 1 b m l 0 e S B m c m 9 u d H N o Z W V 0 L 0 F 1 d G 9 S Z W 1 v d m V k Q 2 9 s d W 1 u c z E u e z A x L z E x L z I w M j M s O X 0 m c X V v d D s s J n F 1 b 3 Q 7 U 2 V j d G l v b j E v R G V t Y W 5 k I C 0 g Q 2 9 t b X V u a X R 5 I G Z y b 2 5 0 c 2 h l Z X Q v Q X V 0 b 1 J l b W 9 2 Z W R D b 2 x 1 b W 5 z M S 5 7 M D E v M T I v M j A y M y w x M H 0 m c X V v d D s s J n F 1 b 3 Q 7 U 2 V j d G l v b j E v R G V t Y W 5 k I C 0 g Q 2 9 t b X V u a X R 5 I G Z y b 2 5 0 c 2 h l Z X Q v Q X V 0 b 1 J l b W 9 2 Z W R D b 2 x 1 b W 5 z M S 5 7 M D E v M D E v M j A y N C w x M X 0 m c X V v d D s s J n F 1 b 3 Q 7 U 2 V j d G l v b j E v R G V t Y W 5 k I C 0 g Q 2 9 t b X V u a X R 5 I G Z y b 2 5 0 c 2 h l Z X Q v Q X V 0 b 1 J l b W 9 2 Z W R D b 2 x 1 b W 5 z M S 5 7 M D E v M D I v M j A y N C w x M n 0 m c X V v d D s s J n F 1 b 3 Q 7 U 2 V j d G l v b j E v R G V t Y W 5 k I C 0 g Q 2 9 t b X V u a X R 5 I G Z y b 2 5 0 c 2 h l Z X Q v Q X V 0 b 1 J l b W 9 2 Z W R D b 2 x 1 b W 5 z M S 5 7 M D E v M D M v M j A y N C w x M 3 0 m c X V v d D t d L C Z x d W 9 0 O 1 J l b G F 0 a W 9 u c 2 h p c E l u Z m 8 m c X V v d D s 6 W 1 1 9 I i A v P j w v U 3 R h Y m x l R W 5 0 c m l l c z 4 8 L 0 l 0 Z W 0 + P E l 0 Z W 0 + P E l 0 Z W 1 M b 2 N h d G l v b j 4 8 S X R l b V R 5 c G U + R m 9 y b X V s Y T w v S X R l b V R 5 c G U + P E l 0 Z W 1 Q Y X R o P l N l Y 3 R p b 2 4 x L 0 R l b W F u Z C U y M C 0 l M j B D b 2 1 t d W 5 p d H k l M j B m c m 9 u d H N o Z W V 0 L 1 N v d X J j Z T w v S X R l b V B h d G g + P C 9 J d G V t T G 9 j Y X R p b 2 4 + P F N 0 Y W J s Z U V u d H J p Z X M g L z 4 8 L 0 l 0 Z W 0 + P E l 0 Z W 0 + P E l 0 Z W 1 M b 2 N h d G l v b j 4 8 S X R l b V R 5 c G U + R m 9 y b X V s Y T w v S X R l b V R 5 c G U + P E l 0 Z W 1 Q Y X R o P l N l Y 3 R p b 2 4 x L 0 R l b W F u Z C U y M C 0 l M j B D b 2 1 t d W 5 p d H k l M j B m c m 9 u d H N o Z W V 0 L 0 Z p b H R l c m V k J T I w S G l k Z G V u J T I w R m l s Z X M x P C 9 J d G V t U G F 0 a D 4 8 L 0 l 0 Z W 1 M b 2 N h d G l v b j 4 8 U 3 R h Y m x l R W 5 0 c m l l c y A v P j w v S X R l b T 4 8 S X R l b T 4 8 S X R l b U x v Y 2 F 0 a W 9 u P j x J d G V t V H l w Z T 5 G b 3 J t d W x h P C 9 J d G V t V H l w Z T 4 8 S X R l b V B h d G g + U 2 V j d G l v b j E v R G V t Y W 5 k J T I w L S U y M E N v b W 1 1 b m l 0 e S U y M G Z y b 2 5 0 c 2 h l Z X Q v S W 5 2 b 2 t l J T I w Q 3 V z d G 9 t J T I w R n V u Y 3 R p b 2 4 x P C 9 J d G V t U G F 0 a D 4 8 L 0 l 0 Z W 1 M b 2 N h d G l v b j 4 8 U 3 R h Y m x l R W 5 0 c m l l c y A v P j w v S X R l b T 4 8 S X R l b T 4 8 S X R l b U x v Y 2 F 0 a W 9 u P j x J d G V t V H l w Z T 5 G b 3 J t d W x h P C 9 J d G V t V H l w Z T 4 8 S X R l b V B h d G g + U 2 V j d G l v b j E v R G V t Y W 5 k J T I w L S U y M E N v b W 1 1 b m l 0 e S U y M G Z y b 2 5 0 c 2 h l Z X Q v U m V t b 3 Z l Z C U y M E 9 0 a G V y J T I w Q 2 9 s d W 1 u c z E 8 L 0 l 0 Z W 1 Q Y X R o P j w v S X R l b U x v Y 2 F 0 a W 9 u P j x T d G F i b G V F b n R y a W V z I C 8 + P C 9 J d G V t P j x J d G V t P j x J d G V t T G 9 j Y X R p b 2 4 + P E l 0 Z W 1 U e X B l P k Z v c m 1 1 b G E 8 L 0 l 0 Z W 1 U e X B l P j x J d G V t U G F 0 a D 5 T Z W N 0 a W 9 u M S 9 E Z W 1 h b m Q l M j A t J T I w Q 2 9 t b X V u a X R 5 J T I w Z n J v b n R z a G V l d C 9 F e H B h b m R l Z C U y M F R h Y m x l J T I w Q 2 9 s d W 1 u M T 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d y b 3 V w S U Q i I F Z h b H V l P S J z M T A 2 O G I 1 Y m M t M G Q z Z i 0 0 Y T Z l L W I 4 O D k t Z m F k Z j Y y Z W E w Y T Q 5 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M t M D c t M j d U M j I 6 N T Y 6 M D M u N j c 1 O D k w N V o i I C 8 + P C 9 T d G F i b G V F b n R y a W V z P j w v S X R l b T 4 8 S X R l b T 4 8 S X R l b U x v Y 2 F 0 a W 9 u P j x J d G V t V H l w Z T 5 G b 3 J t d W x h P C 9 J d G V t V H l w Z T 4 8 S X R l b V B h d G g + U 2 V j d G l v b j E v V H J h b n N m b 3 J t J T I w R m l s Z S U y M C g z K S 9 T b 3 V y Y 2 U 8 L 0 l 0 Z W 1 Q Y X R o P j w v S X R l b U x v Y 2 F 0 a W 9 u P j x T d G F i b G V F b n R y a W V z I C 8 + P C 9 J d G V t P j x J d G V t P j x J d G V t T G 9 j Y X R p b 2 4 + P E l 0 Z W 1 U e X B l P k Z v c m 1 1 b G E 8 L 0 l 0 Z W 1 U e X B l P j x J d G V t U G F 0 a D 5 T Z W N 0 a W 9 u M S 9 T Y W 1 w b G U l M j B G a W x l J T I w K D M p P C 9 J d G V t U G F 0 a D 4 8 L 0 l 0 Z W 1 M b 2 N h d G l v b j 4 8 U 3 R h Y m x l R W 5 0 c m l l c z 4 8 R W 5 0 c n k g V H l w Z T 0 i S X N Q c m l 2 Y X R l I i B W Y W x 1 Z T 0 i b D A i I C 8 + P E V u d H J 5 I F R 5 c G U 9 I k x v Y W R l Z F R v Q W 5 h b H l z a X N T Z X J 2 a W N l c y I g V m F s d W U 9 I m w w I i A v P j x F b n R y e S B U e X B l P S J G a W x s U 3 R h d H V z I i B W Y W x 1 Z T 0 i c 0 N v b X B s Z X R l I i A v P j x F b n R y e S B U e X B l P S J B Z G R l Z F R v R G F 0 Y U 1 v Z G V s I i B W Y W x 1 Z T 0 i b D A i I C 8 + P E V u d H J 5 I F R 5 c G U 9 I k Z p b G x F c n J v c k N v Z G U i I F Z h b H V l P S J z V W 5 r b m 9 3 b i I g L z 4 8 R W 5 0 c n k g V H l w Z T 0 i T G 9 h Z F R v U m V w b 3 J 0 R G l z Y W J s Z W Q i I F Z h b H V l P S J s M S I g L z 4 8 R W 5 0 c n k g V H l w Z T 0 i U X V l c n l H c m 9 1 c E l E I i B W Y W x 1 Z T 0 i c z E w N j h i N W J j L T B k M 2 Y t N G E 2 Z S 1 i O D g 5 L W Z h Z G Y 2 M m V h M G E 0 O 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T m F 2 a W d h d G l v b l N 0 Z X B O Y W 1 l I i B W Y W x 1 Z T 0 i c 0 5 h d m l n Y X R p b 2 4 i I C 8 + P E V u d H J 5 I F R 5 c G U 9 I k Z p b G x M Y X N 0 V X B k Y X R l Z C I g V m F s d W U 9 I m Q y M D I z L T A 3 L T I 3 V D I y O j U 2 O j A z L j c x N D A 0 M z V a I i A v P j w v U 3 R h Y m x l R W 5 0 c m l l c z 4 8 L 0 l 0 Z W 0 + P E l 0 Z W 0 + P E l 0 Z W 1 M b 2 N h d G l v b j 4 8 S X R l b V R 5 c G U + R m 9 y b X V s Y T w v S X R l b V R 5 c G U + P E l 0 Z W 1 Q Y X R o P l N l Y 3 R p b 2 4 x L 1 N h b X B s Z S U y M E Z p b G U l M j A o M y k v U 2 9 1 c m N l P C 9 J d G V t U G F 0 a D 4 8 L 0 l 0 Z W 1 M b 2 N h d G l v b j 4 8 U 3 R h Y m x l R W 5 0 c m l l c y A v P j w v S X R l b T 4 8 S X R l b T 4 8 S X R l b U x v Y 2 F 0 a W 9 u P j x J d G V t V H l w Z T 5 G b 3 J t d W x h P C 9 J d G V t V H l w Z T 4 8 S X R l b V B h d G g + U 2 V j d G l v b j E v U 2 F t c G x l J T I w R m l s Z S U y M C g z K S 9 O Y X Z p Z 2 F 0 a W 9 u M T w v S X R l b V B h d G g + P C 9 J d G V t T G 9 j Y X R p b 2 4 + P F N 0 Y W J s Z U V u d H J p Z X M g L z 4 8 L 0 l 0 Z W 0 + P E l 0 Z W 0 + P E l 0 Z W 1 M b 2 N h d G l v b j 4 8 S X R l b V R 5 c G U + R m 9 y b X V s Y T w v S X R l b V R 5 c G U + P E l 0 Z W 1 Q Y X R o P l N l Y 3 R p b 2 4 x L 1 J F R i U y M C g 0 K T 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2 U 2 Z G Y 1 O W E 4 L W Z l N T g t N D B k Y y 1 h M G Z m L W Q x Y W Q 4 N T A 5 Z T h m O C I g L z 4 8 R W 5 0 c n k g V H l w Z T 0 i R m l s b F R v R G F 0 Y U 1 v Z G V s R W 5 h Y m x l Z C I g V m F s d W U 9 I m w w I i A v P j x F b n R y e S B U e X B l P S J G a W x s T 2 J q Z W N 0 V H l w Z S I g V m F s d W U 9 I n N D b 2 5 u Z W N 0 a W 9 u T 2 5 s e S I g L z 4 8 R W 5 0 c n k g V H l w Z T 0 i R m l s b E V y c m 9 y Q 2 9 k Z S I g V m F s d W U 9 I n N V b m t u b 3 d u I i A v P j x F b n R y e S B U e X B l P S J G a W x s T G F z d F V w Z G F 0 Z W Q i I F Z h b H V l P S J k M j A y M y 0 w N y 0 y N 1 Q y M j o 1 N j o y M C 4 y O T Y 1 O D U 5 W i 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S R U Y v Q X V 0 b 1 J l b W 9 2 Z W R D b 2 x 1 b W 5 z M S 5 7 Q 2 9 u d G V u d C w w f S Z x d W 9 0 O y w m c X V v d D t T Z W N 0 a W 9 u M S 9 S R U Y v Q X V 0 b 1 J l b W 9 2 Z W R D b 2 x 1 b W 5 z M S 5 7 T m F t Z S w x f S Z x d W 9 0 O y w m c X V v d D t T Z W N 0 a W 9 u M S 9 S R U Y v Q X V 0 b 1 J l b W 9 2 Z W R D b 2 x 1 b W 5 z M S 5 7 R X h 0 Z W 5 z a W 9 u L D J 9 J n F 1 b 3 Q 7 L C Z x d W 9 0 O 1 N l Y 3 R p b 2 4 x L 1 J F R i 9 B d X R v U m V t b 3 Z l Z E N v b H V t b n M x L n t E Y X R l I G F j Y 2 V z c 2 V k L D N 9 J n F 1 b 3 Q 7 L C Z x d W 9 0 O 1 N l Y 3 R p b 2 4 x L 1 J F R i 9 B d X R v U m V t b 3 Z l Z E N v b H V t b n M x L n t E Y X R l I G 1 v Z G l m a W V k L D R 9 J n F 1 b 3 Q 7 L C Z x d W 9 0 O 1 N l Y 3 R p b 2 4 x L 1 J F R i 9 B d X R v U m V t b 3 Z l Z E N v b H V t b n M x L n t E Y X R l I G N y Z W F 0 Z W Q s N X 0 m c X V v d D s s J n F 1 b 3 Q 7 U 2 V j d G l v b j E v U k V G L 0 F 1 d G 9 S Z W 1 v d m V k Q 2 9 s d W 1 u c z E u e 0 Z v b G R l c i B Q Y X R o L D Z 9 J n F 1 b 3 Q 7 X S w m c X V v d D t D b 2 x 1 b W 5 D b 3 V u d C Z x d W 9 0 O z o 3 L C Z x d W 9 0 O 0 t l e U N v b H V t b k 5 h b W V z J n F 1 b 3 Q 7 O l t d L C Z x d W 9 0 O 0 N v b H V t b k l k Z W 5 0 a X R p Z X M m c X V v d D s 6 W y Z x d W 9 0 O 1 N l Y 3 R p b 2 4 x L 1 J F R i 9 B d X R v U m V t b 3 Z l Z E N v b H V t b n M x L n t D b 2 5 0 Z W 5 0 L D B 9 J n F 1 b 3 Q 7 L C Z x d W 9 0 O 1 N l Y 3 R p b 2 4 x L 1 J F R i 9 B d X R v U m V t b 3 Z l Z E N v b H V t b n M x L n t O Y W 1 l L D F 9 J n F 1 b 3 Q 7 L C Z x d W 9 0 O 1 N l Y 3 R p b 2 4 x L 1 J F R i 9 B d X R v U m V t b 3 Z l Z E N v b H V t b n M x L n t F e H R l b n N p b 2 4 s M n 0 m c X V v d D s s J n F 1 b 3 Q 7 U 2 V j d G l v b j E v U k V G L 0 F 1 d G 9 S Z W 1 v d m V k Q 2 9 s d W 1 u c z E u e 0 R h d G U g Y W N j Z X N z Z W Q s M 3 0 m c X V v d D s s J n F 1 b 3 Q 7 U 2 V j d G l v b j E v U k V G L 0 F 1 d G 9 S Z W 1 v d m V k Q 2 9 s d W 1 u c z E u e 0 R h d G U g b W 9 k a W Z p Z W Q s N H 0 m c X V v d D s s J n F 1 b 3 Q 7 U 2 V j d G l v b j E v U k V G L 0 F 1 d G 9 S Z W 1 v d m V k Q 2 9 s d W 1 u c z E u e 0 R h d G U g Y 3 J l Y X R l Z C w 1 f S Z x d W 9 0 O y w m c X V v d D t T Z W N 0 a W 9 u M S 9 S R U Y v Q X V 0 b 1 J l b W 9 2 Z W R D b 2 x 1 b W 5 z M S 5 7 R m 9 s Z G V y I F B h d G g s N n 0 m c X V v d D t d L C Z x d W 9 0 O 1 J l b G F 0 a W 9 u c 2 h p c E l u Z m 8 m c X V v d D s 6 W 1 1 9 I i A v P j w v U 3 R h Y m x l R W 5 0 c m l l c z 4 8 L 0 l 0 Z W 0 + P E l 0 Z W 0 + P E l 0 Z W 1 M b 2 N h d G l v b j 4 8 S X R l b V R 5 c G U + R m 9 y b X V s Y T w v S X R l b V R 5 c G U + P E l 0 Z W 1 Q Y X R o P l N l Y 3 R p b 2 4 x L 1 J F R i U y M C g 0 K S 9 T b 3 V y Y 2 U 8 L 0 l 0 Z W 1 Q Y X R o P j w v S X R l b U x v Y 2 F 0 a W 9 u P j x T d G F i b G V F b n R y a W V z I C 8 + P C 9 J d G V t P j x J d G V t P j x J d G V t T G 9 j Y X R p b 2 4 + P E l 0 Z W 1 U e X B l P k Z v c m 1 1 b G E 8 L 0 l 0 Z W 1 U e X B l P j x J d G V t U G F 0 a D 5 T Z W N 0 a W 9 u M S 9 S R U Y l M j A o N C k v U m V j Z W l 2 Z W Q l M j B U Z W 1 w b G F 0 Z X M 8 L 0 l 0 Z W 1 Q Y X R o P j w v S X R l b U x v Y 2 F 0 a W 9 u P j x T d G F i b G V F b n R y a W V z I C 8 + P C 9 J d G V t P j x J d G V t P j x J d G V t T G 9 j Y X R p b 2 4 + P E l 0 Z W 1 U e X B l P k Z v c m 1 1 b G E 8 L 0 l 0 Z W 1 U e X B l P j x J d G V t U G F 0 a D 5 T Z W N 0 a W 9 u M S 9 S R U Y l M j A o N C k v M j A y M y 0 y N T w v S X R l b V B h d G g + P C 9 J d G V t T G 9 j Y X R p b 2 4 + P F N 0 Y W J s Z U V u d H J p Z X M g L z 4 8 L 0 l 0 Z W 0 + P E l 0 Z W 0 + P E l 0 Z W 1 M b 2 N h d G l v b j 4 8 S X R l b V R 5 c G U + R m 9 y b X V s Y T w v S X R l b V R 5 c G U + P E l 0 Z W 1 Q Y X R o P l N l Y 3 R p b 2 4 x L 1 J F R i U y M C g 0 K S 9 Q b G F u b m l u Z y U y M F R l b X B s Y X R l P C 9 J d G V t U G F 0 a D 4 8 L 0 l 0 Z W 1 M b 2 N h d G l v b j 4 8 U 3 R h Y m x l R W 5 0 c m l l c y A v P j w v S X R l b T 4 8 S X R l b T 4 8 S X R l b U x v Y 2 F 0 a W 9 u P j x J d G V t V H l w Z T 5 G b 3 J t d W x h P C 9 J d G V t V H l w Z T 4 8 S X R l b V B h d G g + U 2 V j d G l v b j E v U k V G J T I w K D Q p L 0 V 4 d H J h Y 3 R l Z C U y M F R l e H Q l M j B C Z W Z v c m U l M j B E Z W x p b W l 0 Z X I 8 L 0 l 0 Z W 1 Q Y X R o P j w v S X R l b U x v Y 2 F 0 a W 9 u P j x T d G F i b G V F b n R y a W V z I C 8 + P C 9 J d G V t P j x J d G V t P j x J d G V t T G 9 j Y X R p b 2 4 + P E l 0 Z W 1 U e X B l P k Z v c m 1 1 b G E 8 L 0 l 0 Z W 1 U e X B l P j x J d G V t U G F 0 a D 5 T Z W N 0 a W 9 u M S 9 D Y X B h Y 2 l 0 e S U y M E N v b W 1 1 b m l 0 e S U y M G Z y b 2 5 0 c 2 h l Z X Q 8 L 0 l 0 Z W 1 Q Y X R o P j w v S X R l b U x v Y 2 F 0 a W 9 u P j x T d G F i b G V F b n R y a W V z P j x F b n R y e S B U e X B l P S J G a W x s R W 5 h Y m x l Z C I g V m F s d W U 9 I m w x I i A v P j x F b n R y e S B U e X B l P S J G a W x s T 2 J q Z W N 0 V H l w Z S I g V m F s d W U 9 I n N U Y W J s Z 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Q 2 F w Y W N p d H l f Q 2 9 t b X V u a X R 5 X 2 Z y b 2 5 0 c 2 h l Z X Q i I C 8 + P E V u d H J 5 I F R 5 c G U 9 I k Z p b G x l Z E N v b X B s Z X R l U m V z d W x 0 V G 9 X b 3 J r c 2 h l Z X Q i I F Z h b H V l P S J s M S I g L z 4 8 R W 5 0 c n k g V H l w Z T 0 i U X V l c n l J R C I g V m F s d W U 9 I n M w Z T U 4 Y m Y 1 O C 0 x N D V m L T Q 5 N m U t Y j E y O S 0 0 O D g 1 Y j Y 0 O W M 2 M 2 Q i I C 8 + P E V u d H J 5 I F R 5 c G U 9 I k Z p b G x M Y X N 0 V X B k Y X R l Z C I g V m F s d W U 9 I m Q y M D I z L T A 3 L T E 5 V D I w O j I 3 O j E x L j I 4 N j Q w N z V a I i A v P j x F b n R y e S B U e X B l P S J G a W x s R X J y b 3 J D b 3 V u d C I g V m F s d W U 9 I m w w I i A v P j x F b n R y e S B U e X B l P S J G a W x s Q 2 9 s d W 1 u V H l w Z X M i I F Z h b H V l P S J z Q m d B Q U F B Q U F B Q U F B Q U F B Q U F B Q U F B Q U E 9 I i A v P j x F b n R y e S B U e X B l P S J G a W x s R X J y b 3 J D b 2 R l I i B W Y W x 1 Z T 0 i c 1 V u a 2 5 v d 2 4 i I C 8 + P E V u d H J 5 I F R 5 c G U 9 I k Z p b G x D b 2 x 1 b W 5 O Y W 1 l c y I g V m F s d W U 9 I n N b J n F 1 b 3 Q 7 T m F t Z S Z x d W 9 0 O y w m c X V v d D t T Z X J 2 a W N l I E F y Z W E 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s s J n F 1 b 3 Q 7 S U N C J n F 1 b 3 Q 7 L C Z x d W 9 0 O 0 x B J n F 1 b 3 Q 7 L C Z x d W 9 0 O 0 p v a W 5 0 J n F 1 b 3 Q 7 X S I g L z 4 8 R W 5 0 c n k g V H l w Z T 0 i R m l s b E N v d W 5 0 I i B W Y W x 1 Z T 0 i b D E w M D g i I C 8 + P E V u d H J 5 I F R 5 c G U 9 I k F k Z G V k V G 9 E Y X R h T W 9 k Z W w i I F Z h b H V l P S J s M C 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0 N h c G F j a X R 5 I E N v b W 1 1 b m l 0 e S B m c m 9 u d H N o Z W V 0 L 0 F 1 d G 9 S Z W 1 v d m V k Q 2 9 s d W 1 u c z E u e 0 5 h b W U s M H 0 m c X V v d D s s J n F 1 b 3 Q 7 U 2 V j d G l v b j E v Q 2 F w Y W N p d H k g Q 2 9 t b X V u a X R 5 I G Z y b 2 5 0 c 2 h l Z X Q v Q X V 0 b 1 J l b W 9 2 Z W R D b 2 x 1 b W 5 z M S 5 7 U 2 V y d m l j Z S B B c m V h L D F 9 J n F 1 b 3 Q 7 L C Z x d W 9 0 O 1 N l Y 3 R p b 2 4 x L 0 N h c G F j a X R 5 I E N v b W 1 1 b m l 0 e S B m c m 9 u d H N o Z W V 0 L 0 F 1 d G 9 S Z W 1 v d m V k Q 2 9 s d W 1 u c z E u e z A x L z A 0 L z I w M j M s M n 0 m c X V v d D s s J n F 1 b 3 Q 7 U 2 V j d G l v b j E v Q 2 F w Y W N p d H k g Q 2 9 t b X V u a X R 5 I G Z y b 2 5 0 c 2 h l Z X Q v Q X V 0 b 1 J l b W 9 2 Z W R D b 2 x 1 b W 5 z M S 5 7 M D E v M D U v M j A y M y w z f S Z x d W 9 0 O y w m c X V v d D t T Z W N 0 a W 9 u M S 9 D Y X B h Y 2 l 0 e S B D b 2 1 t d W 5 p d H k g Z n J v b n R z a G V l d C 9 B d X R v U m V t b 3 Z l Z E N v b H V t b n M x L n s w M S 8 w N i 8 y M D I z L D R 9 J n F 1 b 3 Q 7 L C Z x d W 9 0 O 1 N l Y 3 R p b 2 4 x L 0 N h c G F j a X R 5 I E N v b W 1 1 b m l 0 e S B m c m 9 u d H N o Z W V 0 L 0 F 1 d G 9 S Z W 1 v d m V k Q 2 9 s d W 1 u c z E u e z A x L z A 3 L z I w M j M s N X 0 m c X V v d D s s J n F 1 b 3 Q 7 U 2 V j d G l v b j E v Q 2 F w Y W N p d H k g Q 2 9 t b X V u a X R 5 I G Z y b 2 5 0 c 2 h l Z X Q v Q X V 0 b 1 J l b W 9 2 Z W R D b 2 x 1 b W 5 z M S 5 7 M D E v M D g v M j A y M y w 2 f S Z x d W 9 0 O y w m c X V v d D t T Z W N 0 a W 9 u M S 9 D Y X B h Y 2 l 0 e S B D b 2 1 t d W 5 p d H k g Z n J v b n R z a G V l d C 9 B d X R v U m V t b 3 Z l Z E N v b H V t b n M x L n s w M S 8 w O S 8 y M D I z L D d 9 J n F 1 b 3 Q 7 L C Z x d W 9 0 O 1 N l Y 3 R p b 2 4 x L 0 N h c G F j a X R 5 I E N v b W 1 1 b m l 0 e S B m c m 9 u d H N o Z W V 0 L 0 F 1 d G 9 S Z W 1 v d m V k Q 2 9 s d W 1 u c z E u e z A x L z E w L z I w M j M s O H 0 m c X V v d D s s J n F 1 b 3 Q 7 U 2 V j d G l v b j E v Q 2 F w Y W N p d H k g Q 2 9 t b X V u a X R 5 I G Z y b 2 5 0 c 2 h l Z X Q v Q X V 0 b 1 J l b W 9 2 Z W R D b 2 x 1 b W 5 z M S 5 7 M D E v M T E v M j A y M y w 5 f S Z x d W 9 0 O y w m c X V v d D t T Z W N 0 a W 9 u M S 9 D Y X B h Y 2 l 0 e S B D b 2 1 t d W 5 p d H k g Z n J v b n R z a G V l d C 9 B d X R v U m V t b 3 Z l Z E N v b H V t b n M x L n s w M S 8 x M i 8 y M D I z L D E w f S Z x d W 9 0 O y w m c X V v d D t T Z W N 0 a W 9 u M S 9 D Y X B h Y 2 l 0 e S B D b 2 1 t d W 5 p d H k g Z n J v b n R z a G V l d C 9 B d X R v U m V t b 3 Z l Z E N v b H V t b n M x L n s w M S 8 w M S 8 y M D I 0 L D E x f S Z x d W 9 0 O y w m c X V v d D t T Z W N 0 a W 9 u M S 9 D Y X B h Y 2 l 0 e S B D b 2 1 t d W 5 p d H k g Z n J v b n R z a G V l d C 9 B d X R v U m V t b 3 Z l Z E N v b H V t b n M x L n s w M S 8 w M i 8 y M D I 0 L D E y f S Z x d W 9 0 O y w m c X V v d D t T Z W N 0 a W 9 u M S 9 D Y X B h Y 2 l 0 e S B D b 2 1 t d W 5 p d H k g Z n J v b n R z a G V l d C 9 B d X R v U m V t b 3 Z l Z E N v b H V t b n M x L n s w M S 8 w M y 8 y M D I 0 L D E z f S Z x d W 9 0 O y w m c X V v d D t T Z W N 0 a W 9 u M S 9 D Y X B h Y 2 l 0 e S B D b 2 1 t d W 5 p d H k g Z n J v b n R z a G V l d C 9 B d X R v U m V t b 3 Z l Z E N v b H V t b n M x L n t J Q 0 I s M T R 9 J n F 1 b 3 Q 7 L C Z x d W 9 0 O 1 N l Y 3 R p b 2 4 x L 0 N h c G F j a X R 5 I E N v b W 1 1 b m l 0 e S B m c m 9 u d H N o Z W V 0 L 0 F 1 d G 9 S Z W 1 v d m V k Q 2 9 s d W 1 u c z E u e 0 x B L D E 1 f S Z x d W 9 0 O y w m c X V v d D t T Z W N 0 a W 9 u M S 9 D Y X B h Y 2 l 0 e S B D b 2 1 t d W 5 p d H k g Z n J v b n R z a G V l d C 9 B d X R v U m V t b 3 Z l Z E N v b H V t b n M x L n t K b 2 l u d C w x N n 0 m c X V v d D t d L C Z x d W 9 0 O 0 N v b H V t b k N v d W 5 0 J n F 1 b 3 Q 7 O j E 3 L C Z x d W 9 0 O 0 t l e U N v b H V t b k 5 h b W V z J n F 1 b 3 Q 7 O l t d L C Z x d W 9 0 O 0 N v b H V t b k l k Z W 5 0 a X R p Z X M m c X V v d D s 6 W y Z x d W 9 0 O 1 N l Y 3 R p b 2 4 x L 0 N h c G F j a X R 5 I E N v b W 1 1 b m l 0 e S B m c m 9 u d H N o Z W V 0 L 0 F 1 d G 9 S Z W 1 v d m V k Q 2 9 s d W 1 u c z E u e 0 5 h b W U s M H 0 m c X V v d D s s J n F 1 b 3 Q 7 U 2 V j d G l v b j E v Q 2 F w Y W N p d H k g Q 2 9 t b X V u a X R 5 I G Z y b 2 5 0 c 2 h l Z X Q v Q X V 0 b 1 J l b W 9 2 Z W R D b 2 x 1 b W 5 z M S 5 7 U 2 V y d m l j Z S B B c m V h L D F 9 J n F 1 b 3 Q 7 L C Z x d W 9 0 O 1 N l Y 3 R p b 2 4 x L 0 N h c G F j a X R 5 I E N v b W 1 1 b m l 0 e S B m c m 9 u d H N o Z W V 0 L 0 F 1 d G 9 S Z W 1 v d m V k Q 2 9 s d W 1 u c z E u e z A x L z A 0 L z I w M j M s M n 0 m c X V v d D s s J n F 1 b 3 Q 7 U 2 V j d G l v b j E v Q 2 F w Y W N p d H k g Q 2 9 t b X V u a X R 5 I G Z y b 2 5 0 c 2 h l Z X Q v Q X V 0 b 1 J l b W 9 2 Z W R D b 2 x 1 b W 5 z M S 5 7 M D E v M D U v M j A y M y w z f S Z x d W 9 0 O y w m c X V v d D t T Z W N 0 a W 9 u M S 9 D Y X B h Y 2 l 0 e S B D b 2 1 t d W 5 p d H k g Z n J v b n R z a G V l d C 9 B d X R v U m V t b 3 Z l Z E N v b H V t b n M x L n s w M S 8 w N i 8 y M D I z L D R 9 J n F 1 b 3 Q 7 L C Z x d W 9 0 O 1 N l Y 3 R p b 2 4 x L 0 N h c G F j a X R 5 I E N v b W 1 1 b m l 0 e S B m c m 9 u d H N o Z W V 0 L 0 F 1 d G 9 S Z W 1 v d m V k Q 2 9 s d W 1 u c z E u e z A x L z A 3 L z I w M j M s N X 0 m c X V v d D s s J n F 1 b 3 Q 7 U 2 V j d G l v b j E v Q 2 F w Y W N p d H k g Q 2 9 t b X V u a X R 5 I G Z y b 2 5 0 c 2 h l Z X Q v Q X V 0 b 1 J l b W 9 2 Z W R D b 2 x 1 b W 5 z M S 5 7 M D E v M D g v M j A y M y w 2 f S Z x d W 9 0 O y w m c X V v d D t T Z W N 0 a W 9 u M S 9 D Y X B h Y 2 l 0 e S B D b 2 1 t d W 5 p d H k g Z n J v b n R z a G V l d C 9 B d X R v U m V t b 3 Z l Z E N v b H V t b n M x L n s w M S 8 w O S 8 y M D I z L D d 9 J n F 1 b 3 Q 7 L C Z x d W 9 0 O 1 N l Y 3 R p b 2 4 x L 0 N h c G F j a X R 5 I E N v b W 1 1 b m l 0 e S B m c m 9 u d H N o Z W V 0 L 0 F 1 d G 9 S Z W 1 v d m V k Q 2 9 s d W 1 u c z E u e z A x L z E w L z I w M j M s O H 0 m c X V v d D s s J n F 1 b 3 Q 7 U 2 V j d G l v b j E v Q 2 F w Y W N p d H k g Q 2 9 t b X V u a X R 5 I G Z y b 2 5 0 c 2 h l Z X Q v Q X V 0 b 1 J l b W 9 2 Z W R D b 2 x 1 b W 5 z M S 5 7 M D E v M T E v M j A y M y w 5 f S Z x d W 9 0 O y w m c X V v d D t T Z W N 0 a W 9 u M S 9 D Y X B h Y 2 l 0 e S B D b 2 1 t d W 5 p d H k g Z n J v b n R z a G V l d C 9 B d X R v U m V t b 3 Z l Z E N v b H V t b n M x L n s w M S 8 x M i 8 y M D I z L D E w f S Z x d W 9 0 O y w m c X V v d D t T Z W N 0 a W 9 u M S 9 D Y X B h Y 2 l 0 e S B D b 2 1 t d W 5 p d H k g Z n J v b n R z a G V l d C 9 B d X R v U m V t b 3 Z l Z E N v b H V t b n M x L n s w M S 8 w M S 8 y M D I 0 L D E x f S Z x d W 9 0 O y w m c X V v d D t T Z W N 0 a W 9 u M S 9 D Y X B h Y 2 l 0 e S B D b 2 1 t d W 5 p d H k g Z n J v b n R z a G V l d C 9 B d X R v U m V t b 3 Z l Z E N v b H V t b n M x L n s w M S 8 w M i 8 y M D I 0 L D E y f S Z x d W 9 0 O y w m c X V v d D t T Z W N 0 a W 9 u M S 9 D Y X B h Y 2 l 0 e S B D b 2 1 t d W 5 p d H k g Z n J v b n R z a G V l d C 9 B d X R v U m V t b 3 Z l Z E N v b H V t b n M x L n s w M S 8 w M y 8 y M D I 0 L D E z f S Z x d W 9 0 O y w m c X V v d D t T Z W N 0 a W 9 u M S 9 D Y X B h Y 2 l 0 e S B D b 2 1 t d W 5 p d H k g Z n J v b n R z a G V l d C 9 B d X R v U m V t b 3 Z l Z E N v b H V t b n M x L n t J Q 0 I s M T R 9 J n F 1 b 3 Q 7 L C Z x d W 9 0 O 1 N l Y 3 R p b 2 4 x L 0 N h c G F j a X R 5 I E N v b W 1 1 b m l 0 e S B m c m 9 u d H N o Z W V 0 L 0 F 1 d G 9 S Z W 1 v d m V k Q 2 9 s d W 1 u c z E u e 0 x B L D E 1 f S Z x d W 9 0 O y w m c X V v d D t T Z W N 0 a W 9 u M S 9 D Y X B h Y 2 l 0 e S B D b 2 1 t d W 5 p d H k g Z n J v b n R z a G V l d C 9 B d X R v U m V t b 3 Z l Z E N v b H V t b n M x L n t K b 2 l u d C w x N n 0 m c X V v d D t d L C Z x d W 9 0 O 1 J l b G F 0 a W 9 u c 2 h p c E l u Z m 8 m c X V v d D s 6 W 1 1 9 I i A v P j w v U 3 R h Y m x l R W 5 0 c m l l c z 4 8 L 0 l 0 Z W 0 + P E l 0 Z W 0 + P E l 0 Z W 1 M b 2 N h d G l v b j 4 8 S X R l b V R 5 c G U + R m 9 y b X V s Y T w v S X R l b V R 5 c G U + P E l 0 Z W 1 Q Y X R o P l N l Y 3 R p b 2 4 x L 0 N h c G F j a X R 5 J T I w Q 2 9 t b X V u a X R 5 J T I w Z n J v b n R z a G V l d C 9 T b 3 V y Y 2 U 8 L 0 l 0 Z W 1 Q Y X R o P j w v S X R l b U x v Y 2 F 0 a W 9 u P j x T d G F i b G V F b n R y a W V z I C 8 + P C 9 J d G V t P j x J d G V t P j x J d G V t T G 9 j Y X R p b 2 4 + P E l 0 Z W 1 U e X B l P k Z v c m 1 1 b G E 8 L 0 l 0 Z W 1 U e X B l P j x J d G V t U G F 0 a D 5 T Z W N 0 a W 9 u M S 9 D Y X B h Y 2 l 0 e S U y M E N v b W 1 1 b m l 0 e S U y M G Z y b 2 5 0 c 2 h l Z X Q v R m l s d G V y Z W Q l M j B I a W R k Z W 4 l M j B G a W x l c z E 8 L 0 l 0 Z W 1 Q Y X R o P j w v S X R l b U x v Y 2 F 0 a W 9 u P j x T d G F i b G V F b n R y a W V z I C 8 + P C 9 J d G V t P j x J d G V t P j x J d G V t T G 9 j Y X R p b 2 4 + P E l 0 Z W 1 U e X B l P k Z v c m 1 1 b G E 8 L 0 l 0 Z W 1 U e X B l P j x J d G V t U G F 0 a D 5 T Z W N 0 a W 9 u M S 9 D Y X B h Y 2 l 0 e S U y M E N v b W 1 1 b m l 0 e S U y M G Z y b 2 5 0 c 2 h l Z X Q v S W 5 2 b 2 t l J T I w Q 3 V z d G 9 t J T I w R n V u Y 3 R p b 2 4 x P C 9 J d G V t U G F 0 a D 4 8 L 0 l 0 Z W 1 M b 2 N h d G l v b j 4 8 U 3 R h Y m x l R W 5 0 c m l l c y A v P j w v S X R l b T 4 8 S X R l b T 4 8 S X R l b U x v Y 2 F 0 a W 9 u P j x J d G V t V H l w Z T 5 G b 3 J t d W x h P C 9 J d G V t V H l w Z T 4 8 S X R l b V B h d G g + U 2 V j d G l v b j E v Q 2 F w Y W N p d H k l M j B D b 2 1 t d W 5 p d H k l M j B m c m 9 u d H N o Z W V 0 L 1 J l b W 9 2 Z W Q l M j B P d G h l c i U y M E N v b H V t b n M x P C 9 J d G V t U G F 0 a D 4 8 L 0 l 0 Z W 1 M b 2 N h d G l v b j 4 8 U 3 R h Y m x l R W 5 0 c m l l c y A v P j w v S X R l b T 4 8 S X R l b T 4 8 S X R l b U x v Y 2 F 0 a W 9 u P j x J d G V t V H l w Z T 5 G b 3 J t d W x h P C 9 J d G V t V H l w Z T 4 8 S X R l b V B h d G g + U 2 V j d G l v b j E v Q 2 F w Y W N p d H k l M j B D b 2 1 t d W 5 p d H k l M j B m c m 9 u d H N o Z W V 0 L 0 V 4 c G F u Z G V k J T I w V G F i b G U l M j B D b 2 x 1 b W 4 x P C 9 J d G V t U G F 0 a D 4 8 L 0 l 0 Z W 1 M b 2 N h d G l v b j 4 8 U 3 R h Y m x l R W 5 0 c m l l c y A v P j w v S X R l b T 4 8 S X R l b T 4 8 S X R l b U x v Y 2 F 0 a W 9 u P j x J d G V t V H l w Z T 5 G b 3 J t d W x h P C 9 J d G V t V H l w Z T 4 8 S X R l b V B h d G g + U 2 V j d G l v b j E v V H J h b n N m b 3 J t J T I w R m l s Z S U y M C g 0 K T w v S X R l b V B h d G g + P C 9 J d G V t T G 9 j Y X R p b 2 4 + P F N 0 Y W J s Z U V u d H J p Z X M + P E V u d H J 5 I F R 5 c G U 9 I k x v Y W R U b 1 J l c G 9 y d E R p c 2 F i b G V k I i B W Y W x 1 Z T 0 i b D E i I C 8 + P E V u d H J 5 I F R 5 c G U 9 I l F 1 Z X J 5 R 3 J v d X B J R C I g V m F s d W U 9 I n N l Y z k 0 N D M 1 Z S 1 j Z W I z L T Q 4 Y j k t Y j g z Y S 1 j Z W Z l M T I z M G Q 5 Z T g 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Z p b G x T d G F 0 d X M i I F Z h b H V l P S J z Q 2 9 t c G x l d G U i I C 8 + P E V u d H J 5 I F R 5 c G U 9 I k F k Z G V k V G 9 E Y X R h T W 9 k Z W w i I F Z h b H V l P S J s M C I g L z 4 8 R W 5 0 c n k g V H l w Z T 0 i R m l s b E V y c m 9 y Q 2 9 k Z S I g V m F s d W U 9 I n N V b m t u b 3 d u I i A v P j x F b n R y e S B U e X B l P S J G a W x s T G F z d F V w Z G F 0 Z W Q i I F Z h b H V l P S J k M j A y M y 0 w N y 0 y N 1 Q y M j o 1 N j o y M C 4 z M T M w M D k w W i I g L z 4 8 L 1 N 0 Y W J s Z U V u d H J p Z X M + P C 9 J d G V t P j x J d G V t P j x J d G V t T G 9 j Y X R p b 2 4 + P E l 0 Z W 1 U e X B l P k Z v c m 1 1 b G E 8 L 0 l 0 Z W 1 U e X B l P j x J d G V t U G F 0 a D 5 T Z W N 0 a W 9 u M S 9 U c m F u c 2 Z v c m 0 l M j B G a W x l J T I w K D Q p L 1 N v d X J j Z T w v S X R l b V B h d G g + P C 9 J d G V t T G 9 j Y X R p b 2 4 + P F N 0 Y W J s Z U V u d H J p Z X M g L z 4 8 L 0 l 0 Z W 0 + P E l 0 Z W 0 + P E l 0 Z W 1 M b 2 N h d G l v b j 4 8 S X R l b V R 5 c G U + R m 9 y b X V s Y T w v S X R l b V R 5 c G U + P E l 0 Z W 1 Q Y X R o P l N l Y 3 R p b 2 4 x L 1 N h b X B s Z S U y M E Z p b G U l M j A o N C k 8 L 0 l 0 Z W 1 Q Y X R o P j w v S X R l b U x v Y 2 F 0 a W 9 u P j x T d G F i b G V F b n R y a W V z P j x F b n R y e S B U e X B l P S J J c 1 B y a X Z h d G U i I F Z h b H V l P S J s M C I g L z 4 8 R W 5 0 c n k g V H l w Z T 0 i T G 9 h Z G V k V G 9 B b m F s e X N p c 1 N l c n Z p Y 2 V z I i B W Y W x 1 Z T 0 i b D A i I C 8 + P E V u d H J 5 I F R 5 c G U 9 I k Z p b G x T d G F 0 d X M i I F Z h b H V l P S J z Q 2 9 t c G x l d G U i I C 8 + P E V u d H J 5 I F R 5 c G U 9 I k F k Z G V k V G 9 E Y X R h T W 9 k Z W w i I F Z h b H V l P S J s M C I g L z 4 8 R W 5 0 c n k g V H l w Z T 0 i R m l s b E V y c m 9 y Q 2 9 k Z S I g V m F s d W U 9 I n N V b m t u b 3 d u I i A v P j x F b n R y e S B U e X B l P S J M b 2 F k V G 9 S Z X B v c n R E a X N h Y m x l Z C I g V m F s d W U 9 I m w x I i A v P j x F b n R y e S B U e X B l P S J R d W V y e U d y b 3 V w S U Q i I F Z h b H V l P S J z Z W M 5 N D Q z N W U t Y 2 V i M y 0 0 O G I 5 L W I 4 M 2 E t Y 2 V m Z T E y M z B k O W U 4 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R m l s b G V k Q 2 9 t c G x l d G V S Z X N 1 b H R U b 1 d v c m t z a G V l d C I g V m F s d W U 9 I m w w I i A v P j x F b n R y e S B U e X B l P S J G a W x s T G F z d F V w Z G F 0 Z W Q i I F Z h b H V l P S J k M j A y M y 0 w N y 0 y N 1 Q y M j o 1 N j o y M C 4 z N D Y w O T E 1 W i I g L z 4 8 L 1 N 0 Y W J s Z U V u d H J p Z X M + P C 9 J d G V t P j x J d G V t P j x J d G V t T G 9 j Y X R p b 2 4 + P E l 0 Z W 1 U e X B l P k Z v c m 1 1 b G E 8 L 0 l 0 Z W 1 U e X B l P j x J d G V t U G F 0 a D 5 T Z W N 0 a W 9 u M S 9 T Y W 1 w b G U l M j B G a W x l J T I w K D Q p L 1 N v d X J j Z T w v S X R l b V B h d G g + P C 9 J d G V t T G 9 j Y X R p b 2 4 + P F N 0 Y W J s Z U V u d H J p Z X M g L z 4 8 L 0 l 0 Z W 0 + P E l 0 Z W 0 + P E l 0 Z W 1 M b 2 N h d G l v b j 4 8 S X R l b V R 5 c G U + R m 9 y b X V s Y T w v S X R l b V R 5 c G U + P E l 0 Z W 1 Q Y X R o P l N l Y 3 R p b 2 4 x L 1 N h b X B s Z S U y M E Z p b G U l M j A o N C k v T m F 2 a W d h d G l v b j E 8 L 0 l 0 Z W 1 Q Y X R o P j w v S X R l b U x v Y 2 F 0 a W 9 u P j x T d G F i b G V F b n R y a W V z I C 8 + P C 9 J d G V t P j x J d G V t P j x J d G V t T G 9 j Y X R p b 2 4 + P E l 0 Z W 1 U e X B l P k Z v c m 1 1 b G E 8 L 0 l 0 Z W 1 U e X B l P j x J d G V t U G F 0 a D 5 T Z W N 0 a W 9 u M S 9 E Z W 1 h b m Q l M j B I R C U y M G Z y b 2 5 0 c 2 h l Z X Q 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S I g L z 4 8 R W 5 0 c n k g V H l w Z T 0 i R m l s b E N v b H V t b l R 5 c G V z I i B W Y W x 1 Z T 0 i c 0 J n Q U d B Q U F B Q U F B Q U F B Q U F B Q U F B I i A v P j x F b n R y e S B U e X B l P S J G a W x s T G F z d F V w Z G F 0 Z W Q i I F Z h b H V l P S J k M j A y M y 0 w N y 0 x O V Q y M D o y N z o w N i 4 w M z I x O T A 3 W i I g L z 4 8 R W 5 0 c n k g V H l w Z T 0 i R m l s b E N v b H V t b k 5 h b W V z I i B W Y W x 1 Z T 0 i c 1 s m c X V v d D t O Y W 1 l J n F 1 b 3 Q 7 L C Z x d W 9 0 O 1 R y d X N 0 I F J l Z m V y c m F s I F N v d X J j Z S A g I C A g I C A g I C A g I C A g I C A g I C A g I C A g I C A g I C A g I C A g I C A g I C A g I C A g K F N l b G V j d C B h c y B t Y W 5 5 I G F z I H l v d S B u Z W V k K S Z x d W 9 0 O y w m c X V v d D t Q Y X R o d 2 F 5 J n F 1 b 3 Q 7 L C Z x d W 9 0 O z A x L z A 0 L z I w M j M m c X V v d D s s J n F 1 b 3 Q 7 M D E v M D U v M j A y M y Z x d W 9 0 O y w m c X V v d D s w M S 8 w N i 8 y M D I z J n F 1 b 3 Q 7 L C Z x d W 9 0 O z A x L z A 3 L z I w M j M m c X V v d D s s J n F 1 b 3 Q 7 M D E v M D g v M j A y M y Z x d W 9 0 O y w m c X V v d D s w M S 8 w O S 8 y M D I z J n F 1 b 3 Q 7 L C Z x d W 9 0 O z A x L z E w L z I w M j M m c X V v d D s s J n F 1 b 3 Q 7 M D E v M T E v M j A y M y Z x d W 9 0 O y w m c X V v d D s w M S 8 x M i 8 y M D I z J n F 1 b 3 Q 7 L C Z x d W 9 0 O z A x L z A x L z I w M j Q m c X V v d D s s J n F 1 b 3 Q 7 M D E v M D I v M j A y N C Z x d W 9 0 O y w m c X V v d D s w M S 8 w M y 8 y M D I 0 J n F 1 b 3 Q 7 X S I g L z 4 8 R W 5 0 c n k g V H l w Z T 0 i R m l s b F N 0 Y X R 1 c y I g V m F s d W U 9 I n N D b 2 1 w b G V 0 Z S I g L z 4 8 R W 5 0 c n k g V H l w Z T 0 i R m l s b E V y c m 9 y Q 2 9 1 b n Q i I F Z h b H V l P S J s M C I g L z 4 8 R W 5 0 c n k g V H l w Z T 0 i R m l s b E V y c m 9 y Q 2 9 k Z S I g V m F s d W U 9 I n N V b m t u b 3 d u I i A v P j x F b n R y e S B U e X B l P S J G a W x s Q 2 9 1 b n Q i I F Z h b H V l P S J s M j Q z N i I g L z 4 8 R W 5 0 c n k g V H l w Z T 0 i U m V s Y X R p b 2 5 z a G l w S W 5 m b 0 N v b n R h a W 5 l c i I g V m F s d W U 9 I n N 7 J n F 1 b 3 Q 7 Y 2 9 s d W 1 u Q 2 9 1 b n Q m c X V v d D s 6 M T U s J n F 1 b 3 Q 7 a 2 V 5 Q 2 9 s d W 1 u T m F t Z X M m c X V v d D s 6 W 1 0 s J n F 1 b 3 Q 7 c X V l c n l S Z W x h d G l v b n N o a X B z J n F 1 b 3 Q 7 O l t d L C Z x d W 9 0 O 2 N v b H V t b k l k Z W 5 0 a X R p Z X M m c X V v d D s 6 W y Z x d W 9 0 O 1 N l Y 3 R p b 2 4 x L 0 R l b W F u Z C B I R C B m c m 9 u d H N o Z W V 0 L 0 F 1 d G 9 S Z W 1 v d m V k Q 2 9 s d W 1 u c z E u e 0 5 h b W U s M H 0 m c X V v d D s s J n F 1 b 3 Q 7 U 2 V j d G l v b j E v R G V t Y W 5 k I E h E I G Z y b 2 5 0 c 2 h l Z X Q v Q X V 0 b 1 J l b W 9 2 Z W R D b 2 x 1 b W 5 z M S 5 7 V H J 1 c 3 Q g U m V m Z X J y Y W w g U 2 9 1 c m N l I C A g I C A g I C A g I C A g I C A g I C A g I C A g I C A g I C A g I C A g I C A g I C A g I C A g I C A o U 2 V s Z W N 0 I G F z I G 1 h b n k g Y X M g e W 9 1 I G 5 l Z W Q p L D F 9 J n F 1 b 3 Q 7 L C Z x d W 9 0 O 1 N l Y 3 R p b 2 4 x L 0 R l b W F u Z C B I R C B m c m 9 u d H N o Z W V 0 L 0 F 1 d G 9 S Z W 1 v d m V k Q 2 9 s d W 1 u c z E u e 1 B h d G h 3 Y X k s M n 0 m c X V v d D s s J n F 1 b 3 Q 7 U 2 V j d G l v b j E v R G V t Y W 5 k I E h E I G Z y b 2 5 0 c 2 h l Z X Q v Q X V 0 b 1 J l b W 9 2 Z W R D b 2 x 1 b W 5 z M S 5 7 M D E v M D Q v M j A y M y w z f S Z x d W 9 0 O y w m c X V v d D t T Z W N 0 a W 9 u M S 9 E Z W 1 h b m Q g S E Q g Z n J v b n R z a G V l d C 9 B d X R v U m V t b 3 Z l Z E N v b H V t b n M x L n s w M S 8 w N S 8 y M D I z L D R 9 J n F 1 b 3 Q 7 L C Z x d W 9 0 O 1 N l Y 3 R p b 2 4 x L 0 R l b W F u Z C B I R C B m c m 9 u d H N o Z W V 0 L 0 F 1 d G 9 S Z W 1 v d m V k Q 2 9 s d W 1 u c z E u e z A x L z A 2 L z I w M j M s N X 0 m c X V v d D s s J n F 1 b 3 Q 7 U 2 V j d G l v b j E v R G V t Y W 5 k I E h E I G Z y b 2 5 0 c 2 h l Z X Q v Q X V 0 b 1 J l b W 9 2 Z W R D b 2 x 1 b W 5 z M S 5 7 M D E v M D c v M j A y M y w 2 f S Z x d W 9 0 O y w m c X V v d D t T Z W N 0 a W 9 u M S 9 E Z W 1 h b m Q g S E Q g Z n J v b n R z a G V l d C 9 B d X R v U m V t b 3 Z l Z E N v b H V t b n M x L n s w M S 8 w O C 8 y M D I z L D d 9 J n F 1 b 3 Q 7 L C Z x d W 9 0 O 1 N l Y 3 R p b 2 4 x L 0 R l b W F u Z C B I R C B m c m 9 u d H N o Z W V 0 L 0 F 1 d G 9 S Z W 1 v d m V k Q 2 9 s d W 1 u c z E u e z A x L z A 5 L z I w M j M s O H 0 m c X V v d D s s J n F 1 b 3 Q 7 U 2 V j d G l v b j E v R G V t Y W 5 k I E h E I G Z y b 2 5 0 c 2 h l Z X Q v Q X V 0 b 1 J l b W 9 2 Z W R D b 2 x 1 b W 5 z M S 5 7 M D E v M T A v M j A y M y w 5 f S Z x d W 9 0 O y w m c X V v d D t T Z W N 0 a W 9 u M S 9 E Z W 1 h b m Q g S E Q g Z n J v b n R z a G V l d C 9 B d X R v U m V t b 3 Z l Z E N v b H V t b n M x L n s w M S 8 x M S 8 y M D I z L D E w f S Z x d W 9 0 O y w m c X V v d D t T Z W N 0 a W 9 u M S 9 E Z W 1 h b m Q g S E Q g Z n J v b n R z a G V l d C 9 B d X R v U m V t b 3 Z l Z E N v b H V t b n M x L n s w M S 8 x M i 8 y M D I z L D E x f S Z x d W 9 0 O y w m c X V v d D t T Z W N 0 a W 9 u M S 9 E Z W 1 h b m Q g S E Q g Z n J v b n R z a G V l d C 9 B d X R v U m V t b 3 Z l Z E N v b H V t b n M x L n s w M S 8 w M S 8 y M D I 0 L D E y f S Z x d W 9 0 O y w m c X V v d D t T Z W N 0 a W 9 u M S 9 E Z W 1 h b m Q g S E Q g Z n J v b n R z a G V l d C 9 B d X R v U m V t b 3 Z l Z E N v b H V t b n M x L n s w M S 8 w M i 8 y M D I 0 L D E z f S Z x d W 9 0 O y w m c X V v d D t T Z W N 0 a W 9 u M S 9 E Z W 1 h b m Q g S E Q g Z n J v b n R z a G V l d C 9 B d X R v U m V t b 3 Z l Z E N v b H V t b n M x L n s w M S 8 w M y 8 y M D I 0 L D E 0 f S Z x d W 9 0 O 1 0 s J n F 1 b 3 Q 7 Q 2 9 s d W 1 u Q 2 9 1 b n Q m c X V v d D s 6 M T U s J n F 1 b 3 Q 7 S 2 V 5 Q 2 9 s d W 1 u T m F t Z X M m c X V v d D s 6 W 1 0 s J n F 1 b 3 Q 7 Q 2 9 s d W 1 u S W R l b n R p d G l l c y Z x d W 9 0 O z p b J n F 1 b 3 Q 7 U 2 V j d G l v b j E v R G V t Y W 5 k I E h E I G Z y b 2 5 0 c 2 h l Z X Q v Q X V 0 b 1 J l b W 9 2 Z W R D b 2 x 1 b W 5 z M S 5 7 T m F t Z S w w f S Z x d W 9 0 O y w m c X V v d D t T Z W N 0 a W 9 u M S 9 E Z W 1 h b m Q g S E Q g Z n J v b n R z a G V l d C 9 B d X R v U m V t b 3 Z l Z E N v b H V t b n M x L n t U c n V z d C B S Z W Z l c n J h b C B T b 3 V y Y 2 U g I C A g I C A g I C A g I C A g I C A g I C A g I C A g I C A g I C A g I C A g I C A g I C A g I C A g I C h T Z W x l Y 3 Q g Y X M g b W F u e S B h c y B 5 b 3 U g b m V l Z C k s M X 0 m c X V v d D s s J n F 1 b 3 Q 7 U 2 V j d G l v b j E v R G V t Y W 5 k I E h E I G Z y b 2 5 0 c 2 h l Z X Q v Q X V 0 b 1 J l b W 9 2 Z W R D b 2 x 1 b W 5 z M S 5 7 U G F 0 a H d h e S w y f S Z x d W 9 0 O y w m c X V v d D t T Z W N 0 a W 9 u M S 9 E Z W 1 h b m Q g S E Q g Z n J v b n R z a G V l d C 9 B d X R v U m V t b 3 Z l Z E N v b H V t b n M x L n s w M S 8 w N C 8 y M D I z L D N 9 J n F 1 b 3 Q 7 L C Z x d W 9 0 O 1 N l Y 3 R p b 2 4 x L 0 R l b W F u Z C B I R C B m c m 9 u d H N o Z W V 0 L 0 F 1 d G 9 S Z W 1 v d m V k Q 2 9 s d W 1 u c z E u e z A x L z A 1 L z I w M j M s N H 0 m c X V v d D s s J n F 1 b 3 Q 7 U 2 V j d G l v b j E v R G V t Y W 5 k I E h E I G Z y b 2 5 0 c 2 h l Z X Q v Q X V 0 b 1 J l b W 9 2 Z W R D b 2 x 1 b W 5 z M S 5 7 M D E v M D Y v M j A y M y w 1 f S Z x d W 9 0 O y w m c X V v d D t T Z W N 0 a W 9 u M S 9 E Z W 1 h b m Q g S E Q g Z n J v b n R z a G V l d C 9 B d X R v U m V t b 3 Z l Z E N v b H V t b n M x L n s w M S 8 w N y 8 y M D I z L D Z 9 J n F 1 b 3 Q 7 L C Z x d W 9 0 O 1 N l Y 3 R p b 2 4 x L 0 R l b W F u Z C B I R C B m c m 9 u d H N o Z W V 0 L 0 F 1 d G 9 S Z W 1 v d m V k Q 2 9 s d W 1 u c z E u e z A x L z A 4 L z I w M j M s N 3 0 m c X V v d D s s J n F 1 b 3 Q 7 U 2 V j d G l v b j E v R G V t Y W 5 k I E h E I G Z y b 2 5 0 c 2 h l Z X Q v Q X V 0 b 1 J l b W 9 2 Z W R D b 2 x 1 b W 5 z M S 5 7 M D E v M D k v M j A y M y w 4 f S Z x d W 9 0 O y w m c X V v d D t T Z W N 0 a W 9 u M S 9 E Z W 1 h b m Q g S E Q g Z n J v b n R z a G V l d C 9 B d X R v U m V t b 3 Z l Z E N v b H V t b n M x L n s w M S 8 x M C 8 y M D I z L D l 9 J n F 1 b 3 Q 7 L C Z x d W 9 0 O 1 N l Y 3 R p b 2 4 x L 0 R l b W F u Z C B I R C B m c m 9 u d H N o Z W V 0 L 0 F 1 d G 9 S Z W 1 v d m V k Q 2 9 s d W 1 u c z E u e z A x L z E x L z I w M j M s M T B 9 J n F 1 b 3 Q 7 L C Z x d W 9 0 O 1 N l Y 3 R p b 2 4 x L 0 R l b W F u Z C B I R C B m c m 9 u d H N o Z W V 0 L 0 F 1 d G 9 S Z W 1 v d m V k Q 2 9 s d W 1 u c z E u e z A x L z E y L z I w M j M s M T F 9 J n F 1 b 3 Q 7 L C Z x d W 9 0 O 1 N l Y 3 R p b 2 4 x L 0 R l b W F u Z C B I R C B m c m 9 u d H N o Z W V 0 L 0 F 1 d G 9 S Z W 1 v d m V k Q 2 9 s d W 1 u c z E u e z A x L z A x L z I w M j Q s M T J 9 J n F 1 b 3 Q 7 L C Z x d W 9 0 O 1 N l Y 3 R p b 2 4 x L 0 R l b W F u Z C B I R C B m c m 9 u d H N o Z W V 0 L 0 F 1 d G 9 S Z W 1 v d m V k Q 2 9 s d W 1 u c z E u e z A x L z A y L z I w M j Q s M T N 9 J n F 1 b 3 Q 7 L C Z x d W 9 0 O 1 N l Y 3 R p b 2 4 x L 0 R l b W F u Z C B I R C B m c m 9 u d H N o Z W V 0 L 0 F 1 d G 9 S Z W 1 v d m V k Q 2 9 s d W 1 u c z E u e z A x L z A z L z I w M j Q s M T R 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E Z W 1 h b m Q l M j B I R C U y M G Z y b 2 5 0 c 2 h l Z X Q l M j A o M y k v U 2 9 1 c m N l P C 9 J d G V t U G F 0 a D 4 8 L 0 l 0 Z W 1 M b 2 N h d G l v b j 4 8 U 3 R h Y m x l R W 5 0 c m l l c y A v P j w v S X R l b T 4 8 S X R l b T 4 8 S X R l b U x v Y 2 F 0 a W 9 u P j x J d G V t V H l w Z T 5 G b 3 J t d W x h P C 9 J d G V t V H l w Z T 4 8 S X R l b V B h d G g + U 2 V j d G l v b j E v R G V t Y W 5 k J T I w S E Q l M j B m c m 9 u d H N o Z W V 0 J T I w K D M p L 0 l u d m 9 r Z S U y M E N 1 c 3 R v b S U y M E Z 1 b m N 0 a W 9 u M T w v S X R l b V B h d G g + P C 9 J d G V t T G 9 j Y X R p b 2 4 + P F N 0 Y W J s Z U V u d H J p Z X M g L z 4 8 L 0 l 0 Z W 0 + P E l 0 Z W 0 + P E l 0 Z W 1 M b 2 N h d G l v b j 4 8 S X R l b V R 5 c G U + R m 9 y b X V s Y T w v S X R l b V R 5 c G U + P E l 0 Z W 1 Q Y X R o P l N l Y 3 R p b 2 4 x L 0 R l b W F u Z C U y M E h E J T I w Z n J v b n R z a G V l d C U y M C g z K S 9 S Z W 1 v d m V k J T I w T 3 R o Z X I l M j B D b 2 x 1 b W 5 z M T w v S X R l b V B h d G g + P C 9 J d G V t T G 9 j Y X R p b 2 4 + P F N 0 Y W J s Z U V u d H J p Z X M g L z 4 8 L 0 l 0 Z W 0 + P E l 0 Z W 0 + P E l 0 Z W 1 M b 2 N h d G l v b j 4 8 S X R l b V R 5 c G U + R m 9 y b X V s Y T w v S X R l b V R 5 c G U + P E l 0 Z W 1 Q Y X R o P l N l Y 3 R p b 2 4 x L 0 R l b W F u Z C U y M E h E J T I w Z n J v b n R z a G V l d C U y M C g z K S 9 F e H B h b m R l Z C U y M F R h Y m x l J T I w Q 2 9 s d W 1 u M T w v S X R l b V B h d G g + P C 9 J d G V t T G 9 j Y X R p b 2 4 + P F N 0 Y W J s Z U V u d H J p Z X M g L z 4 8 L 0 l 0 Z W 0 + P E l 0 Z W 0 + P E l 0 Z W 1 M b 2 N h d G l v b j 4 8 S X R l b V R 5 c G U + R m 9 y b X V s Y T w v S X R l b V R 5 c G U + P E l 0 Z W 1 Q Y X R o P l N l Y 3 R p b 2 4 x L 0 R l b W F u Z C U y M E h E J T I w Z n J v b n R z a G V l d C U y M C g z K S 9 G a W x 0 Z X J l Z C U y M F J v d 3 M 8 L 0 l 0 Z W 1 Q Y X R o P j w v S X R l b U x v Y 2 F 0 a W 9 u P j x T d G F i b G V F b n R y a W V z I C 8 + P C 9 J d G V t P j x J d G V t P j x J d G V t T G 9 j Y X R p b 2 4 + P E l 0 Z W 1 U e X B l P k Z v c m 1 1 b G E 8 L 0 l 0 Z W 1 U e X B l P j x J d G V t U G F 0 a D 5 T Z W N 0 a W 9 u M S 9 E Z W 1 h b m Q l M j B I R C U y M G Z y b 2 5 0 c 2 h l Z X Q l M j A o M y k v U m V w b G F j Z W Q l M j B W Y W x 1 Z T w v S X R l b V B h d G g + P C 9 J d G V t T G 9 j Y X R p b 2 4 + P F N 0 Y W J s Z U V u d H J p Z X M g L z 4 8 L 0 l 0 Z W 0 + P E l 0 Z W 0 + P E l 0 Z W 1 M b 2 N h d G l v b j 4 8 S X R l b V R 5 c G U + R m 9 y b X V s Y T w v S X R l b V R 5 c G U + P E l 0 Z W 1 Q Y X R o P l N l Y 3 R p b 2 4 x L 0 R l b W F u Z C U y M E h E J T I w Z n J v b n R z a G V l d C U y M C g z K S 9 S Z X B s Y W N l Z C U y M F Z h b H V l M T w v S X R l b V B h d G g + P C 9 J d G V t T G 9 j Y X R p b 2 4 + P F N 0 Y W J s Z U V u d H J p Z X M g L z 4 8 L 0 l 0 Z W 0 + P E l 0 Z W 0 + P E l 0 Z W 1 M b 2 N h d G l v b j 4 8 S X R l b V R 5 c G U + R m 9 y b X V s Y T w v S X R l b V R 5 c G U + P E l 0 Z W 1 Q Y X R o P l N l Y 3 R p b 2 4 x L 0 R l b W F u Z C U y M E h E J T I w Z n J v b n R z a G V l d C 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T m F 2 a W d h d G l v b i I g L z 4 8 R W 5 0 c n k g V H l w Z T 0 i R m l s b G V k Q 2 9 t c G x l d G V S Z X N 1 b H R U b 1 d v c m t z a G V l d C I g V m F s d W U 9 I m w x I i A v P j x F b n R y e S B U e X B l P S J G a W x s Q 2 9 s d W 1 u T m F t Z X M i I F Z h b H V l P S J z W y Z x d W 9 0 O 0 5 h b W U m c X V v d D s s J n F 1 b 3 Q 7 V H J 1 c 3 Q g U m V m Z X J y Y W w g U 2 9 1 c m N l I C A g I C A g I C A g I C A g I C A g I C A g I C A g I C A g I C A g I C A g I C A g I C A g I C A g I C A o U 2 V s Z W N 0 I G F z I G 1 h b n k g Y X M g e W 9 1 I G 5 l Z W Q p J n F 1 b 3 Q 7 L C Z x d W 9 0 O 1 B h d G h 3 Y X k 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t d I i A v P j x F b n R y e S B U e X B l P S J G a W x s Q 2 9 s d W 1 u V H l w Z X M i I F Z h b H V l P S J z Q m d B R 0 F B Q U F B Q U F B Q U F B Q U F B Q U E i I C 8 + P E V u d H J 5 I F R 5 c G U 9 I k Z p b G x T d G F 0 d X M i I F Z h b H V l P S J z Q 2 9 t c G x l d G U i I C 8 + P E V u d H J 5 I F R 5 c G U 9 I k Z p b G x M Y X N 0 V X B k Y X R l Z C I g V m F s d W U 9 I m Q y M D I z L T A 3 L T E 5 V D I w O j I 3 O j A 2 L j A z M j E 5 M D d a I i A v P j x F b n R y e S B U e X B l P S J G a W x s Q 2 9 1 b n Q i I F Z h b H V l P S J s M j Q z N i I g L z 4 8 R W 5 0 c n k g V H l w Z T 0 i R m l s b E V y c m 9 y Q 2 9 1 b n Q i I F Z h b H V l P S J s M C I g L z 4 8 R W 5 0 c n k g V H l w Z T 0 i R m l s b E V y c m 9 y Q 2 9 k Z S I g V m F s d W U 9 I n N V b m t u b 3 d u I i A v P j x F b n R y e S B U e X B l P S J S Z W x h d G l v b n N o a X B J b m Z v Q 2 9 u d G F p b m V y I i B W Y W x 1 Z T 0 i c 3 s m c X V v d D t j b 2 x 1 b W 5 D b 3 V u d C Z x d W 9 0 O z o x N S w m c X V v d D t r Z X l D b 2 x 1 b W 5 O Y W 1 l c y Z x d W 9 0 O z p b X S w m c X V v d D t x d W V y e V J l b G F 0 a W 9 u c 2 h p c H M m c X V v d D s 6 W 1 0 s J n F 1 b 3 Q 7 Y 2 9 s d W 1 u S W R l b n R p d G l l c y Z x d W 9 0 O z p b J n F 1 b 3 Q 7 U 2 V j d G l v b j E v R G V t Y W 5 k I E h E I G Z y b 2 5 0 c 2 h l Z X Q v Q X V 0 b 1 J l b W 9 2 Z W R D b 2 x 1 b W 5 z M S 5 7 T m F t Z S w w f S Z x d W 9 0 O y w m c X V v d D t T Z W N 0 a W 9 u M S 9 E Z W 1 h b m Q g S E Q g Z n J v b n R z a G V l d C 9 B d X R v U m V t b 3 Z l Z E N v b H V t b n M x L n t U c n V z d C B S Z W Z l c n J h b C B T b 3 V y Y 2 U g I C A g I C A g I C A g I C A g I C A g I C A g I C A g I C A g I C A g I C A g I C A g I C A g I C A g I C h T Z W x l Y 3 Q g Y X M g b W F u e S B h c y B 5 b 3 U g b m V l Z C k s M X 0 m c X V v d D s s J n F 1 b 3 Q 7 U 2 V j d G l v b j E v R G V t Y W 5 k I E h E I G Z y b 2 5 0 c 2 h l Z X Q v Q X V 0 b 1 J l b W 9 2 Z W R D b 2 x 1 b W 5 z M S 5 7 U G F 0 a H d h e S w y f S Z x d W 9 0 O y w m c X V v d D t T Z W N 0 a W 9 u M S 9 E Z W 1 h b m Q g S E Q g Z n J v b n R z a G V l d C 9 B d X R v U m V t b 3 Z l Z E N v b H V t b n M x L n s w M S 8 w N C 8 y M D I z L D N 9 J n F 1 b 3 Q 7 L C Z x d W 9 0 O 1 N l Y 3 R p b 2 4 x L 0 R l b W F u Z C B I R C B m c m 9 u d H N o Z W V 0 L 0 F 1 d G 9 S Z W 1 v d m V k Q 2 9 s d W 1 u c z E u e z A x L z A 1 L z I w M j M s N H 0 m c X V v d D s s J n F 1 b 3 Q 7 U 2 V j d G l v b j E v R G V t Y W 5 k I E h E I G Z y b 2 5 0 c 2 h l Z X Q v Q X V 0 b 1 J l b W 9 2 Z W R D b 2 x 1 b W 5 z M S 5 7 M D E v M D Y v M j A y M y w 1 f S Z x d W 9 0 O y w m c X V v d D t T Z W N 0 a W 9 u M S 9 E Z W 1 h b m Q g S E Q g Z n J v b n R z a G V l d C 9 B d X R v U m V t b 3 Z l Z E N v b H V t b n M x L n s w M S 8 w N y 8 y M D I z L D Z 9 J n F 1 b 3 Q 7 L C Z x d W 9 0 O 1 N l Y 3 R p b 2 4 x L 0 R l b W F u Z C B I R C B m c m 9 u d H N o Z W V 0 L 0 F 1 d G 9 S Z W 1 v d m V k Q 2 9 s d W 1 u c z E u e z A x L z A 4 L z I w M j M s N 3 0 m c X V v d D s s J n F 1 b 3 Q 7 U 2 V j d G l v b j E v R G V t Y W 5 k I E h E I G Z y b 2 5 0 c 2 h l Z X Q v Q X V 0 b 1 J l b W 9 2 Z W R D b 2 x 1 b W 5 z M S 5 7 M D E v M D k v M j A y M y w 4 f S Z x d W 9 0 O y w m c X V v d D t T Z W N 0 a W 9 u M S 9 E Z W 1 h b m Q g S E Q g Z n J v b n R z a G V l d C 9 B d X R v U m V t b 3 Z l Z E N v b H V t b n M x L n s w M S 8 x M C 8 y M D I z L D l 9 J n F 1 b 3 Q 7 L C Z x d W 9 0 O 1 N l Y 3 R p b 2 4 x L 0 R l b W F u Z C B I R C B m c m 9 u d H N o Z W V 0 L 0 F 1 d G 9 S Z W 1 v d m V k Q 2 9 s d W 1 u c z E u e z A x L z E x L z I w M j M s M T B 9 J n F 1 b 3 Q 7 L C Z x d W 9 0 O 1 N l Y 3 R p b 2 4 x L 0 R l b W F u Z C B I R C B m c m 9 u d H N o Z W V 0 L 0 F 1 d G 9 S Z W 1 v d m V k Q 2 9 s d W 1 u c z E u e z A x L z E y L z I w M j M s M T F 9 J n F 1 b 3 Q 7 L C Z x d W 9 0 O 1 N l Y 3 R p b 2 4 x L 0 R l b W F u Z C B I R C B m c m 9 u d H N o Z W V 0 L 0 F 1 d G 9 S Z W 1 v d m V k Q 2 9 s d W 1 u c z E u e z A x L z A x L z I w M j Q s M T J 9 J n F 1 b 3 Q 7 L C Z x d W 9 0 O 1 N l Y 3 R p b 2 4 x L 0 R l b W F u Z C B I R C B m c m 9 u d H N o Z W V 0 L 0 F 1 d G 9 S Z W 1 v d m V k Q 2 9 s d W 1 u c z E u e z A x L z A y L z I w M j Q s M T N 9 J n F 1 b 3 Q 7 L C Z x d W 9 0 O 1 N l Y 3 R p b 2 4 x L 0 R l b W F u Z C B I R C B m c m 9 u d H N o Z W V 0 L 0 F 1 d G 9 S Z W 1 v d m V k Q 2 9 s d W 1 u c z E u e z A x L z A z L z I w M j Q s M T R 9 J n F 1 b 3 Q 7 X S w m c X V v d D t D b 2 x 1 b W 5 D b 3 V u d C Z x d W 9 0 O z o x N S w m c X V v d D t L Z X l D b 2 x 1 b W 5 O Y W 1 l c y Z x d W 9 0 O z p b X S w m c X V v d D t D b 2 x 1 b W 5 J Z G V u d G l 0 a W V z J n F 1 b 3 Q 7 O l s m c X V v d D t T Z W N 0 a W 9 u M S 9 E Z W 1 h b m Q g S E Q g Z n J v b n R z a G V l d C 9 B d X R v U m V t b 3 Z l Z E N v b H V t b n M x L n t O Y W 1 l L D B 9 J n F 1 b 3 Q 7 L C Z x d W 9 0 O 1 N l Y 3 R p b 2 4 x L 0 R l b W F u Z C B I R C B m c m 9 u d H N o Z W V 0 L 0 F 1 d G 9 S Z W 1 v d m V k Q 2 9 s d W 1 u c z E u e 1 R y d X N 0 I F J l Z m V y c m F s I F N v d X J j Z S A g I C A g I C A g I C A g I C A g I C A g I C A g I C A g I C A g I C A g I C A g I C A g I C A g I C A g K F N l b G V j d C B h c y B t Y W 5 5 I G F z I H l v d S B u Z W V k K S w x f S Z x d W 9 0 O y w m c X V v d D t T Z W N 0 a W 9 u M S 9 E Z W 1 h b m Q g S E Q g Z n J v b n R z a G V l d C 9 B d X R v U m V t b 3 Z l Z E N v b H V t b n M x L n t Q Y X R o d 2 F 5 L D J 9 J n F 1 b 3 Q 7 L C Z x d W 9 0 O 1 N l Y 3 R p b 2 4 x L 0 R l b W F u Z C B I R C B m c m 9 u d H N o Z W V 0 L 0 F 1 d G 9 S Z W 1 v d m V k Q 2 9 s d W 1 u c z E u e z A x L z A 0 L z I w M j M s M 3 0 m c X V v d D s s J n F 1 b 3 Q 7 U 2 V j d G l v b j E v R G V t Y W 5 k I E h E I G Z y b 2 5 0 c 2 h l Z X Q v Q X V 0 b 1 J l b W 9 2 Z W R D b 2 x 1 b W 5 z M S 5 7 M D E v M D U v M j A y M y w 0 f S Z x d W 9 0 O y w m c X V v d D t T Z W N 0 a W 9 u M S 9 E Z W 1 h b m Q g S E Q g Z n J v b n R z a G V l d C 9 B d X R v U m V t b 3 Z l Z E N v b H V t b n M x L n s w M S 8 w N i 8 y M D I z L D V 9 J n F 1 b 3 Q 7 L C Z x d W 9 0 O 1 N l Y 3 R p b 2 4 x L 0 R l b W F u Z C B I R C B m c m 9 u d H N o Z W V 0 L 0 F 1 d G 9 S Z W 1 v d m V k Q 2 9 s d W 1 u c z E u e z A x L z A 3 L z I w M j M s N n 0 m c X V v d D s s J n F 1 b 3 Q 7 U 2 V j d G l v b j E v R G V t Y W 5 k I E h E I G Z y b 2 5 0 c 2 h l Z X Q v Q X V 0 b 1 J l b W 9 2 Z W R D b 2 x 1 b W 5 z M S 5 7 M D E v M D g v M j A y M y w 3 f S Z x d W 9 0 O y w m c X V v d D t T Z W N 0 a W 9 u M S 9 E Z W 1 h b m Q g S E Q g Z n J v b n R z a G V l d C 9 B d X R v U m V t b 3 Z l Z E N v b H V t b n M x L n s w M S 8 w O S 8 y M D I z L D h 9 J n F 1 b 3 Q 7 L C Z x d W 9 0 O 1 N l Y 3 R p b 2 4 x L 0 R l b W F u Z C B I R C B m c m 9 u d H N o Z W V 0 L 0 F 1 d G 9 S Z W 1 v d m V k Q 2 9 s d W 1 u c z E u e z A x L z E w L z I w M j M s O X 0 m c X V v d D s s J n F 1 b 3 Q 7 U 2 V j d G l v b j E v R G V t Y W 5 k I E h E I G Z y b 2 5 0 c 2 h l Z X Q v Q X V 0 b 1 J l b W 9 2 Z W R D b 2 x 1 b W 5 z M S 5 7 M D E v M T E v M j A y M y w x M H 0 m c X V v d D s s J n F 1 b 3 Q 7 U 2 V j d G l v b j E v R G V t Y W 5 k I E h E I G Z y b 2 5 0 c 2 h l Z X Q v Q X V 0 b 1 J l b W 9 2 Z W R D b 2 x 1 b W 5 z M S 5 7 M D E v M T I v M j A y M y w x M X 0 m c X V v d D s s J n F 1 b 3 Q 7 U 2 V j d G l v b j E v R G V t Y W 5 k I E h E I G Z y b 2 5 0 c 2 h l Z X Q v Q X V 0 b 1 J l b W 9 2 Z W R D b 2 x 1 b W 5 z M S 5 7 M D E v M D E v M j A y N C w x M n 0 m c X V v d D s s J n F 1 b 3 Q 7 U 2 V j d G l v b j E v R G V t Y W 5 k I E h E I G Z y b 2 5 0 c 2 h l Z X Q v Q X V 0 b 1 J l b W 9 2 Z W R D b 2 x 1 b W 5 z M S 5 7 M D E v M D I v M j A y N C w x M 3 0 m c X V v d D s s J n F 1 b 3 Q 7 U 2 V j d G l v b j E v R G V t Y W 5 k I E h E I G Z y b 2 5 0 c 2 h l Z X Q v Q X V 0 b 1 J l b W 9 2 Z W R D b 2 x 1 b W 5 z M S 5 7 M D E v M D M v M j A y N C w x N 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0 R l b W F u Z C U y M E h E J T I w Z n J v b n R z a G V l d C U y M C g 0 K S 9 T b 3 V y Y 2 U 8 L 0 l 0 Z W 1 Q Y X R o P j w v S X R l b U x v Y 2 F 0 a W 9 u P j x T d G F i b G V F b n R y a W V z I C 8 + P C 9 J d G V t P j x J d G V t P j x J d G V t T G 9 j Y X R p b 2 4 + P E l 0 Z W 1 U e X B l P k Z v c m 1 1 b G E 8 L 0 l 0 Z W 1 U e X B l P j x J d G V t U G F 0 a D 5 T Z W N 0 a W 9 u M S 9 E Z W 1 h b m Q l M j B I R C U y M G Z y b 2 5 0 c 2 h l Z X Q l M j A o N C k v S W 5 2 b 2 t l J T I w Q 3 V z d G 9 t J T I w R n V u Y 3 R p b 2 4 x P C 9 J d G V t U G F 0 a D 4 8 L 0 l 0 Z W 1 M b 2 N h d G l v b j 4 8 U 3 R h Y m x l R W 5 0 c m l l c y A v P j w v S X R l b T 4 8 S X R l b T 4 8 S X R l b U x v Y 2 F 0 a W 9 u P j x J d G V t V H l w Z T 5 G b 3 J t d W x h P C 9 J d G V t V H l w Z T 4 8 S X R l b V B h d G g + U 2 V j d G l v b j E v R G V t Y W 5 k J T I w S E Q l M j B m c m 9 u d H N o Z W V 0 J T I w K D Q p L 1 J l b W 9 2 Z W Q l M j B P d G h l c i U y M E N v b H V t b n M x P C 9 J d G V t U G F 0 a D 4 8 L 0 l 0 Z W 1 M b 2 N h d G l v b j 4 8 U 3 R h Y m x l R W 5 0 c m l l c y A v P j w v S X R l b T 4 8 S X R l b T 4 8 S X R l b U x v Y 2 F 0 a W 9 u P j x J d G V t V H l w Z T 5 G b 3 J t d W x h P C 9 J d G V t V H l w Z T 4 8 S X R l b V B h d G g + U 2 V j d G l v b j E v R G V t Y W 5 k J T I w S E Q l M j B m c m 9 u d H N o Z W V 0 J T I w K D Q p L 0 V 4 c G F u Z G V k J T I w V G F i b G U l M j B D b 2 x 1 b W 4 x P C 9 J d G V t U G F 0 a D 4 8 L 0 l 0 Z W 1 M b 2 N h d G l v b j 4 8 U 3 R h Y m x l R W 5 0 c m l l c y A v P j w v S X R l b T 4 8 S X R l b T 4 8 S X R l b U x v Y 2 F 0 a W 9 u P j x J d G V t V H l w Z T 5 G b 3 J t d W x h P C 9 J d G V t V H l w Z T 4 8 S X R l b V B h d G g + U 2 V j d G l v b j E v R G V t Y W 5 k J T I w S E Q l M j B m c m 9 u d H N o Z W V 0 J T I w K D Q p L 0 Z p b H R l c m V k J T I w U m 9 3 c z w v S X R l b V B h d G g + P C 9 J d G V t T G 9 j Y X R p b 2 4 + P F N 0 Y W J s Z U V u d H J p Z X M g L z 4 8 L 0 l 0 Z W 0 + P E l 0 Z W 0 + P E l 0 Z W 1 M b 2 N h d G l v b j 4 8 S X R l b V R 5 c G U + R m 9 y b X V s Y T w v S X R l b V R 5 c G U + P E l 0 Z W 1 Q Y X R o P l N l Y 3 R p b 2 4 x L 0 R l b W F u Z C U y M E h E J T I w Z n J v b n R z a G V l d C U y M C g 0 K S 9 S Z X B s Y W N l Z C U y M F Z h b H V l P C 9 J d G V t U G F 0 a D 4 8 L 0 l 0 Z W 1 M b 2 N h d G l v b j 4 8 U 3 R h Y m x l R W 5 0 c m l l c y A v P j w v S X R l b T 4 8 S X R l b T 4 8 S X R l b U x v Y 2 F 0 a W 9 u P j x J d G V t V H l w Z T 5 G b 3 J t d W x h P C 9 J d G V t V H l w Z T 4 8 S X R l b V B h d G g + U 2 V j d G l v b j E v R G V t Y W 5 k J T I w S E Q l M j B m c m 9 u d H N o Z W V 0 J T I w K D Q p L 1 J l c G x h Y 2 V k J T I w V m F s d W U x P C 9 J d G V t U G F 0 a D 4 8 L 0 l 0 Z W 1 M b 2 N h d G l v b j 4 8 U 3 R h Y m x l R W 5 0 c m l l c y A v P j w v S X R l b T 4 8 L 0 l 0 Z W 1 z P j w v T G 9 j Y W x Q Y W N r Y W d l T W V 0 Y W R h d G F G a W x l P h Y A A A B Q S w U G A A A A A A A A A A A A A A A A A A A A A A A A J g E A A A E A A A D Q j J 3 f A R X R E Y x 6 A M B P w p f r A Q A A A G v C 0 g S p J 3 F I q L Q i o m 8 j B H E A A A A A A g A A A A A A E G Y A A A A B A A A g A A A A 7 D v E S H 2 t 9 k K + g 0 K 7 d R N B X 8 W x m 9 a b i d V M 8 8 f A x U H 6 j 6 M A A A A A D o A A A A A C A A A g A A A A 5 + 0 6 1 X J N 4 z W U X X j u u 8 n 8 / Q m I 7 Y M k L Q 3 W A 1 k 1 T 1 b 4 W h 1 Q A A A A p M r o o f D Y S K V x N r W G i y e u 6 R 4 i K H B M A u Z V + 9 j b I V h E Q h R y T s l H O w 6 H R e l v 3 m 3 n W V H 4 h J T a Q V A l K W L 4 U 6 H k i e Z J 8 q + X S B j G G y i e n + U x + + m c 0 M Z A A A A A 2 I k 0 p b a a Y u 8 J E C A P 6 t P D A T w R O U y j 7 T u G y y T d T a F w J E l 8 N c E H I w z L + x Q N a x J j J T R 4 G S 6 n c a Y p 9 e O J p / o A d n V v 7 g = = < / D a t a M a s h u p > 
</file>

<file path=customXml/itemProps1.xml><?xml version="1.0" encoding="utf-8"?>
<ds:datastoreItem xmlns:ds="http://schemas.openxmlformats.org/officeDocument/2006/customXml" ds:itemID="{05A035D1-25A3-49FE-B885-F4C4B8B2C5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f645ad-858e-4a64-8785-b3426c3fca3b"/>
    <ds:schemaRef ds:uri="e6c1c78d-fe1e-4280-91dc-49be8f28a2e2"/>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22F371-EF3F-465B-A314-A213510F02BF}">
  <ds:schemaRefs>
    <ds:schemaRef ds:uri="http://schemas.microsoft.com/office/2006/metadata/properties"/>
    <ds:schemaRef ds:uri="http://schemas.microsoft.com/office/infopath/2007/PartnerControls"/>
    <ds:schemaRef ds:uri="http://schemas.microsoft.com/sharepoint/v3"/>
    <ds:schemaRef ds:uri="a7f645ad-858e-4a64-8785-b3426c3fca3b"/>
    <ds:schemaRef ds:uri="cccaf3ac-2de9-44d4-aa31-54302fceb5f7"/>
    <ds:schemaRef ds:uri="e6c1c78d-fe1e-4280-91dc-49be8f28a2e2"/>
  </ds:schemaRefs>
</ds:datastoreItem>
</file>

<file path=customXml/itemProps3.xml><?xml version="1.0" encoding="utf-8"?>
<ds:datastoreItem xmlns:ds="http://schemas.openxmlformats.org/officeDocument/2006/customXml" ds:itemID="{DE1E3CC7-4AD7-4591-9044-CF354EC206C6}">
  <ds:schemaRefs>
    <ds:schemaRef ds:uri="http://schemas.microsoft.com/sharepoint/v3/contenttype/forms"/>
  </ds:schemaRefs>
</ds:datastoreItem>
</file>

<file path=customXml/itemProps4.xml><?xml version="1.0" encoding="utf-8"?>
<ds:datastoreItem xmlns:ds="http://schemas.openxmlformats.org/officeDocument/2006/customXml" ds:itemID="{76D83A32-3F27-4989-ABBD-F81FC59CA71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1. Guidance</vt:lpstr>
      <vt:lpstr>2. Cover</vt:lpstr>
      <vt:lpstr>3. National Conditions</vt:lpstr>
      <vt:lpstr>4. Metrics</vt:lpstr>
      <vt:lpstr>Metrics Q1 data sheet</vt:lpstr>
      <vt:lpstr>Metrics backsheet</vt:lpstr>
      <vt:lpstr>TrustList</vt:lpstr>
      <vt:lpstr>5.1 C&amp;D Guidance &amp; Assumptions</vt:lpstr>
      <vt:lpstr>5.2 C&amp;D Hospital Discharge</vt:lpstr>
      <vt:lpstr>5.3 C&amp;D Community</vt:lpstr>
      <vt:lpstr>PathwayLookup</vt:lpstr>
      <vt:lpstr>BS_HD_Dem</vt:lpstr>
      <vt:lpstr>6. Spend &amp; Activity</vt:lpstr>
      <vt:lpstr>SpendActivityBS</vt:lpstr>
      <vt:lpstr>BS_HD_Cap</vt:lpstr>
      <vt:lpstr>BS_Comm_Dem</vt:lpstr>
      <vt:lpstr>BS_Comm_Cap</vt:lpstr>
      <vt:lpstr>ASC Discharge Fund-due 2nd May</vt:lpstr>
      <vt:lpstr>dfplnexp</vt:lpstr>
      <vt:lpstr>units</vt:lpstr>
      <vt:lpstr>Backsheet for muncher</vt:lpstr>
      <vt:lpstr>'2. Cover'!Print_Area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Armstrong, Johan</dc:creator>
  <cp:keywords/>
  <dc:description/>
  <cp:lastModifiedBy>Gary Collier</cp:lastModifiedBy>
  <cp:revision/>
  <dcterms:created xsi:type="dcterms:W3CDTF">2018-11-22T10:49:45Z</dcterms:created>
  <dcterms:modified xsi:type="dcterms:W3CDTF">2023-11-13T17:25:49Z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0x0101006E43BF53D18AD3468147BA2E2275D68A</vt:lpwstr>
  </property>
  <property fmtid="{D5CDD505-2E9C-101B-9397-08002B2CF9AE}" pid="3" name="MediaServiceImageTags">
    <vt:lpwstr/>
  </property>
  <property fmtid="{D5CDD505-2E9C-101B-9397-08002B2CF9AE}" pid="4" name="MSIP_Label_7a8edf35-91ea-44e1-afab-38c462b39a0c_Enabled">
    <vt:lpwstr>true</vt:lpwstr>
  </property>
  <property fmtid="{D5CDD505-2E9C-101B-9397-08002B2CF9AE}" pid="5" name="MSIP_Label_7a8edf35-91ea-44e1-afab-38c462b39a0c_SetDate">
    <vt:lpwstr>2023-10-24T09:37:10Z</vt:lpwstr>
  </property>
  <property fmtid="{D5CDD505-2E9C-101B-9397-08002B2CF9AE}" pid="6" name="MSIP_Label_7a8edf35-91ea-44e1-afab-38c462b39a0c_Method">
    <vt:lpwstr>Standard</vt:lpwstr>
  </property>
  <property fmtid="{D5CDD505-2E9C-101B-9397-08002B2CF9AE}" pid="7" name="MSIP_Label_7a8edf35-91ea-44e1-afab-38c462b39a0c_Name">
    <vt:lpwstr>Official</vt:lpwstr>
  </property>
  <property fmtid="{D5CDD505-2E9C-101B-9397-08002B2CF9AE}" pid="8" name="MSIP_Label_7a8edf35-91ea-44e1-afab-38c462b39a0c_SiteId">
    <vt:lpwstr>aaacb679-c381-48fb-b320-f9d581ee948f</vt:lpwstr>
  </property>
  <property fmtid="{D5CDD505-2E9C-101B-9397-08002B2CF9AE}" pid="9" name="MSIP_Label_7a8edf35-91ea-44e1-afab-38c462b39a0c_ActionId">
    <vt:lpwstr>3a493544-6979-4c28-8940-cb34d463216d</vt:lpwstr>
  </property>
  <property fmtid="{D5CDD505-2E9C-101B-9397-08002B2CF9AE}" pid="10" name="MSIP_Label_7a8edf35-91ea-44e1-afab-38c462b39a0c_ContentBits">
    <vt:lpwstr>0</vt:lpwstr>
  </property>
</Properties>
</file>